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Bogdana\КЕВР\Бизнес план 2027-2031\БП\"/>
    </mc:Choice>
  </mc:AlternateContent>
  <workbookProtection workbookPassword="EF75" lockStructure="1"/>
  <bookViews>
    <workbookView xWindow="0" yWindow="0" windowWidth="28800" windowHeight="12180" tabRatio="875" firstSheet="11" activeTab="11"/>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1.3. ДА Базова година" sheetId="82" r:id="rId17"/>
    <sheet name="12. Разходи" sheetId="53" r:id="rId18"/>
    <sheet name="12.1. Разходи изменение" sheetId="73" r:id="rId19"/>
    <sheet name="12.2.Нови дейности или обекти" sheetId="77" r:id="rId20"/>
    <sheet name="13. Соц. поносимост" sheetId="16" r:id="rId21"/>
    <sheet name="14. ОПР" sheetId="47" r:id="rId22"/>
    <sheet name="15. ОПП" sheetId="48" r:id="rId23"/>
    <sheet name="16. Необходими приходи" sheetId="17" r:id="rId24"/>
    <sheet name="17. РБА" sheetId="49" r:id="rId25"/>
    <sheet name="18. OK" sheetId="20" r:id="rId26"/>
    <sheet name="19. HB" sheetId="21" r:id="rId27"/>
    <sheet name="20.Цени " sheetId="22" r:id="rId28"/>
    <sheet name="Анализ (ТЧ)" sheetId="78" state="hidden" r:id="rId29"/>
    <sheet name="Анализ (ТЧ€)" sheetId="83" state="hidden" r:id="rId30"/>
    <sheet name="Анализ (ОЧ)" sheetId="79" state="hidden" r:id="rId31"/>
    <sheet name="Анализ (ОЧ€)" sheetId="84" state="hidden" r:id="rId32"/>
    <sheet name="Анализ (ИЧ)" sheetId="67" state="hidden" r:id="rId33"/>
    <sheet name="Анализ (ИЧ€)" sheetId="85" state="hidden" r:id="rId34"/>
    <sheet name="Лист1" sheetId="68" r:id="rId35"/>
    <sheet name="Лист2" sheetId="80" r:id="rId36"/>
    <sheet name="Лист3" sheetId="81" r:id="rId37"/>
  </sheets>
  <externalReferences>
    <externalReference r:id="rId38"/>
    <externalReference r:id="rId39"/>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информация'!$A$1:$D$50</definedName>
    <definedName name="_xlnm.Print_Area" localSheetId="12">'10. Финансиране на ИП'!$A$1:$AX$87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'11.3. ДА Базова година'!$A$1:$X$241</definedName>
    <definedName name="_xlnm.Print_Area" localSheetId="17">'12. Разходи'!$A$1:$BH$95,'12. Разходи'!$A$96:$Z$122</definedName>
    <definedName name="_xlnm.Print_Area" localSheetId="18">'12.1. Разходи изменение'!$A$1:$BE$95,'12.1. Разходи изменение'!$A$97:$AT$112</definedName>
    <definedName name="_xlnm.Print_Area" localSheetId="19">'12.2.Нови дейности или обекти'!$A$1:$AA$155</definedName>
    <definedName name="_xlnm.Print_Area" localSheetId="20">'13. Соц. поносимост'!$A$1:$I$27</definedName>
    <definedName name="_xlnm.Print_Area" localSheetId="21">'14. ОПР'!$A$1:$G$51</definedName>
    <definedName name="_xlnm.Print_Area" localSheetId="22">'15. ОПП'!$A$1:$G$55</definedName>
    <definedName name="_xlnm.Print_Area" localSheetId="23">'16. Необходими приходи'!$A$1:$H$70</definedName>
    <definedName name="_xlnm.Print_Area" localSheetId="24">'17. РБА'!$A$1:$G$86</definedName>
    <definedName name="_xlnm.Print_Area" localSheetId="25">'18. OK'!$A$1:$H$38</definedName>
    <definedName name="_xlnm.Print_Area" localSheetId="26">'19. HB'!$A$1:$H$37</definedName>
    <definedName name="_xlnm.Print_Area" localSheetId="27">'20.Цени '!$A$2:$N$30</definedName>
    <definedName name="_xlnm.Print_Area" localSheetId="3">'3. Показатели за качество'!$A$1:$V$56</definedName>
    <definedName name="_xlnm.Print_Area" localSheetId="4">'4. Отчет и прогн. потребление'!$A$1:$I$123</definedName>
    <definedName name="_xlnm.Print_Area" localSheetId="5">'4.1. Фактурирани количества'!$A$1:$M$139</definedName>
    <definedName name="_xlnm.Print_Area" localSheetId="9">'7. Утайки от ПСОВ'!$A$1:$K$50</definedName>
    <definedName name="_xlnm.Print_Area" localSheetId="10">'8. Ремонтна програма'!$A$1:$V$165</definedName>
    <definedName name="_xlnm.Print_Area" localSheetId="11">'9.Инвестиционна програма'!$A$1:$AX$157</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'11.3. ДА Базова година'!$7:$9</definedName>
    <definedName name="_xlnm.Print_Titles" localSheetId="17">'12. Разходи'!$A:$B,'12. Разходи'!$8:$10</definedName>
    <definedName name="_xlnm.Print_Titles" localSheetId="18">'12.1. Разходи изменение'!$A:$B,'12.1. Разходи изменение'!$7:$10</definedName>
    <definedName name="_xlnm.Print_Titles" localSheetId="19">'12.2.Нови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16">#REF!</definedName>
    <definedName name="Year" localSheetId="5">#REF!</definedName>
    <definedName name="Year" localSheetId="33">#REF!</definedName>
    <definedName name="Year" localSheetId="30">#REF!</definedName>
    <definedName name="Year" localSheetId="31">#REF!</definedName>
    <definedName name="Year" localSheetId="29">#REF!</definedName>
    <definedName name="Year">#REF!</definedName>
    <definedName name="Z_0B349829_3F54_4163_960D_ECAFCC24CFC8_.wvu.PrintArea" localSheetId="20" hidden="1">'13. Соц. поносимост'!$A$1:$J$33</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ПСОВ'!$A$1:$K$49</definedName>
    <definedName name="Z_40B752E9_F1B2_49B8_8062_4CC854FDABFB_.wvu.PrintArea" localSheetId="20" hidden="1">'13. Соц. поносимост'!$A$1:$J$33</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ПСОВ'!$A$1:$K$49</definedName>
    <definedName name="Z_E23DBFBB_7C2B_43B5_8169_5032323B5185_.wvu.PrintArea" localSheetId="20" hidden="1">'13. Соц. поносимост'!$A$1:$J$33</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ПСОВ'!$A$1:$K$49</definedName>
    <definedName name="Амортизации" localSheetId="16" hidden="1">[1]Инвестиции!$A$43:$IV$43</definedName>
    <definedName name="Амортизации" localSheetId="9" hidden="1">[1]Инвестиции!$43:$43</definedName>
    <definedName name="Амортизации" hidden="1">[1]Инвестиции!$A$43:$IV$43</definedName>
    <definedName name="Амортизации_първа_год" localSheetId="16" hidden="1">[1]Инвестиции!$E$40</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6">#REF!</definedName>
    <definedName name="Брутна_печалба" localSheetId="20">#REF!</definedName>
    <definedName name="Брутна_печалба" localSheetId="21">#REF!</definedName>
    <definedName name="Брутна_печалба" localSheetId="22">#REF!</definedName>
    <definedName name="Брутна_печалба" localSheetId="24">#REF!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33">#REF!</definedName>
    <definedName name="Брутна_печалба" localSheetId="30">#REF!</definedName>
    <definedName name="Брутна_печалба" localSheetId="31">#REF!</definedName>
    <definedName name="Брутна_печалба" localSheetId="29">#REF!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6">#REF!</definedName>
    <definedName name="Вземания_по_ДДС" localSheetId="20">#REF!</definedName>
    <definedName name="Вземания_по_ДДС" localSheetId="21">#REF!</definedName>
    <definedName name="Вземания_по_ДДС" localSheetId="22">#REF!</definedName>
    <definedName name="Вземания_по_ДДС" localSheetId="24">#REF!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33">#REF!</definedName>
    <definedName name="Вземания_по_ДДС" localSheetId="30">#REF!</definedName>
    <definedName name="Вземания_по_ДДС" localSheetId="31">#REF!</definedName>
    <definedName name="Вземания_по_ДДС" localSheetId="29">#REF!</definedName>
    <definedName name="Вземания_по_ДДС" localSheetId="0">#REF!</definedName>
    <definedName name="Вземания_по_ДДС">#REF!</definedName>
    <definedName name="Вземания_по_получени_през_периода_съучастия" localSheetId="16" hidden="1">'[1]Собствен капитал'!$A$7:$IV$7</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6">#REF!</definedName>
    <definedName name="Внесен_ДДС" localSheetId="20">#REF!</definedName>
    <definedName name="Внесен_ДДС" localSheetId="21">#REF!</definedName>
    <definedName name="Внесен_ДДС" localSheetId="22">#REF!</definedName>
    <definedName name="Внесен_ДДС" localSheetId="24">#REF!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33">#REF!</definedName>
    <definedName name="Внесен_ДДС" localSheetId="30">#REF!</definedName>
    <definedName name="Внесен_ДДС" localSheetId="31">#REF!</definedName>
    <definedName name="Внесен_ДДС" localSheetId="29">#REF!</definedName>
    <definedName name="Внесен_ДДС" localSheetId="0">#REF!</definedName>
    <definedName name="Внесен_ДДС">#REF!</definedName>
    <definedName name="ВС_1" localSheetId="1">#REF!</definedName>
    <definedName name="ВС_1" localSheetId="12">#REF!</definedName>
    <definedName name="ВС_1" localSheetId="16">#REF!</definedName>
    <definedName name="ВС_1" localSheetId="20">#REF!</definedName>
    <definedName name="ВС_1" localSheetId="21">#REF!</definedName>
    <definedName name="ВС_1" localSheetId="22">#REF!</definedName>
    <definedName name="ВС_1" localSheetId="24">#REF!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33">#REF!</definedName>
    <definedName name="ВС_1" localSheetId="30">#REF!</definedName>
    <definedName name="ВС_1" localSheetId="31">#REF!</definedName>
    <definedName name="ВС_1" localSheetId="29">#REF!</definedName>
    <definedName name="ВС_1" localSheetId="0">#REF!</definedName>
    <definedName name="ВС_1">#REF!</definedName>
    <definedName name="ВС_2" localSheetId="1">#REF!</definedName>
    <definedName name="ВС_2" localSheetId="12">#REF!</definedName>
    <definedName name="ВС_2" localSheetId="16">#REF!</definedName>
    <definedName name="ВС_2" localSheetId="20">#REF!</definedName>
    <definedName name="ВС_2" localSheetId="21">#REF!</definedName>
    <definedName name="ВС_2" localSheetId="22">#REF!</definedName>
    <definedName name="ВС_2" localSheetId="24">#REF!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33">#REF!</definedName>
    <definedName name="ВС_2" localSheetId="30">#REF!</definedName>
    <definedName name="ВС_2" localSheetId="31">#REF!</definedName>
    <definedName name="ВС_2" localSheetId="29">#REF!</definedName>
    <definedName name="ВС_2" localSheetId="0">#REF!</definedName>
    <definedName name="ВС_2">#REF!</definedName>
    <definedName name="ВС_3" localSheetId="1">#REF!</definedName>
    <definedName name="ВС_3" localSheetId="12">#REF!</definedName>
    <definedName name="ВС_3" localSheetId="16">#REF!</definedName>
    <definedName name="ВС_3" localSheetId="20">#REF!</definedName>
    <definedName name="ВС_3" localSheetId="21">#REF!</definedName>
    <definedName name="ВС_3" localSheetId="22">#REF!</definedName>
    <definedName name="ВС_3" localSheetId="24">#REF!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33">#REF!</definedName>
    <definedName name="ВС_3" localSheetId="30">#REF!</definedName>
    <definedName name="ВС_3" localSheetId="31">#REF!</definedName>
    <definedName name="ВС_3" localSheetId="29">#REF!</definedName>
    <definedName name="ВС_3" localSheetId="0">#REF!</definedName>
    <definedName name="ВС_3">#REF!</definedName>
    <definedName name="ВС_4" localSheetId="1">#REF!</definedName>
    <definedName name="ВС_4" localSheetId="12">#REF!</definedName>
    <definedName name="ВС_4" localSheetId="16">#REF!</definedName>
    <definedName name="ВС_4" localSheetId="20">#REF!</definedName>
    <definedName name="ВС_4" localSheetId="21">#REF!</definedName>
    <definedName name="ВС_4" localSheetId="22">#REF!</definedName>
    <definedName name="ВС_4" localSheetId="24">#REF!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33">#REF!</definedName>
    <definedName name="ВС_4" localSheetId="30">#REF!</definedName>
    <definedName name="ВС_4" localSheetId="31">#REF!</definedName>
    <definedName name="ВС_4" localSheetId="29">#REF!</definedName>
    <definedName name="ВС_4" localSheetId="0">#REF!</definedName>
    <definedName name="ВС_4">#REF!</definedName>
    <definedName name="ВС_5" localSheetId="1">#REF!</definedName>
    <definedName name="ВС_5" localSheetId="12">#REF!</definedName>
    <definedName name="ВС_5" localSheetId="16">#REF!</definedName>
    <definedName name="ВС_5" localSheetId="20">#REF!</definedName>
    <definedName name="ВС_5" localSheetId="21">#REF!</definedName>
    <definedName name="ВС_5" localSheetId="22">#REF!</definedName>
    <definedName name="ВС_5" localSheetId="24">#REF!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33">#REF!</definedName>
    <definedName name="ВС_5" localSheetId="30">#REF!</definedName>
    <definedName name="ВС_5" localSheetId="31">#REF!</definedName>
    <definedName name="ВС_5" localSheetId="29">#REF!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6">#REF!</definedName>
    <definedName name="Всичко_инвестиции" localSheetId="20">#REF!</definedName>
    <definedName name="Всичко_инвестиции" localSheetId="21">#REF!</definedName>
    <definedName name="Всичко_инвестиции" localSheetId="22">#REF!</definedName>
    <definedName name="Всичко_инвестиции" localSheetId="24">#REF!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33">#REF!</definedName>
    <definedName name="Всичко_инвестиции" localSheetId="30">#REF!</definedName>
    <definedName name="Всичко_инвестиции" localSheetId="31">#REF!</definedName>
    <definedName name="Всичко_инвестиции" localSheetId="29">#REF!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6">#REF!</definedName>
    <definedName name="Външни_услуги" localSheetId="20">#REF!</definedName>
    <definedName name="Външни_услуги" localSheetId="21">#REF!</definedName>
    <definedName name="Външни_услуги" localSheetId="22">#REF!</definedName>
    <definedName name="Външни_услуги" localSheetId="24">#REF!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33">#REF!</definedName>
    <definedName name="Външни_услуги" localSheetId="30">#REF!</definedName>
    <definedName name="Външни_услуги" localSheetId="31">#REF!</definedName>
    <definedName name="Външни_услуги" localSheetId="29">#REF!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6">#REF!</definedName>
    <definedName name="Данъци" localSheetId="20">#REF!</definedName>
    <definedName name="Данъци" localSheetId="21">#REF!</definedName>
    <definedName name="Данъци" localSheetId="22">#REF!</definedName>
    <definedName name="Данъци" localSheetId="24">#REF!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33">#REF!</definedName>
    <definedName name="Данъци" localSheetId="30">#REF!</definedName>
    <definedName name="Данъци" localSheetId="31">#REF!</definedName>
    <definedName name="Данъци" localSheetId="29">#REF!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6">#REF!</definedName>
    <definedName name="Данъчен_период" localSheetId="20">#REF!</definedName>
    <definedName name="Данъчен_период" localSheetId="21">#REF!</definedName>
    <definedName name="Данъчен_период" localSheetId="22">#REF!</definedName>
    <definedName name="Данъчен_период" localSheetId="24">#REF!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33">#REF!</definedName>
    <definedName name="Данъчен_период" localSheetId="30">#REF!</definedName>
    <definedName name="Данъчен_период" localSheetId="31">#REF!</definedName>
    <definedName name="Данъчен_период" localSheetId="29">#REF!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6">#REF!</definedName>
    <definedName name="Дни_на_оборот_на_запасите" localSheetId="20">#REF!</definedName>
    <definedName name="Дни_на_оборот_на_запасите" localSheetId="21">#REF!</definedName>
    <definedName name="Дни_на_оборот_на_запасите" localSheetId="22">#REF!</definedName>
    <definedName name="Дни_на_оборот_на_запасите" localSheetId="24">#REF!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33">#REF!</definedName>
    <definedName name="Дни_на_оборот_на_запасите" localSheetId="30">#REF!</definedName>
    <definedName name="Дни_на_оборот_на_запасите" localSheetId="31">#REF!</definedName>
    <definedName name="Дни_на_оборот_на_запасите" localSheetId="29">#REF!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6">#REF!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2">#REF!</definedName>
    <definedName name="Дял_на_продажбите_на_кредит" localSheetId="24">#REF!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33">#REF!</definedName>
    <definedName name="Дял_на_продажбите_на_кредит" localSheetId="30">#REF!</definedName>
    <definedName name="Дял_на_продажбите_на_кредит" localSheetId="31">#REF!</definedName>
    <definedName name="Дял_на_продажбите_на_кредит" localSheetId="29">#REF!</definedName>
    <definedName name="Дял_на_продажбите_на_кредит" localSheetId="0">#REF!</definedName>
    <definedName name="Дял_на_продажбите_на_кредит">#REF!</definedName>
    <definedName name="Електроенергия" localSheetId="16" hidden="1">[1]Себестойност!$A$124:$IV$124</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6">#REF!</definedName>
    <definedName name="Задължения_по_ДДС" localSheetId="20">#REF!</definedName>
    <definedName name="Задължения_по_ДДС" localSheetId="21">#REF!</definedName>
    <definedName name="Задължения_по_ДДС" localSheetId="22">#REF!</definedName>
    <definedName name="Задължения_по_ДДС" localSheetId="24">#REF!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33">#REF!</definedName>
    <definedName name="Задължения_по_ДДС" localSheetId="30">#REF!</definedName>
    <definedName name="Задължения_по_ДДС" localSheetId="31">#REF!</definedName>
    <definedName name="Задължения_по_ДДС" localSheetId="29">#REF!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6">#REF!</definedName>
    <definedName name="Зона_1" localSheetId="20">#REF!</definedName>
    <definedName name="Зона_1" localSheetId="21">#REF!</definedName>
    <definedName name="Зона_1" localSheetId="22">#REF!</definedName>
    <definedName name="Зона_1" localSheetId="24">#REF!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33">#REF!</definedName>
    <definedName name="Зона_1" localSheetId="30">#REF!</definedName>
    <definedName name="Зона_1" localSheetId="31">#REF!</definedName>
    <definedName name="Зона_1" localSheetId="29">#REF!</definedName>
    <definedName name="Зона_1" localSheetId="0">#REF!</definedName>
    <definedName name="Зона_1">#REF!</definedName>
    <definedName name="Зона_2" localSheetId="1">#REF!</definedName>
    <definedName name="Зона_2" localSheetId="12">#REF!</definedName>
    <definedName name="Зона_2" localSheetId="16">#REF!</definedName>
    <definedName name="Зона_2" localSheetId="20">#REF!</definedName>
    <definedName name="Зона_2" localSheetId="21">#REF!</definedName>
    <definedName name="Зона_2" localSheetId="22">#REF!</definedName>
    <definedName name="Зона_2" localSheetId="24">#REF!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33">#REF!</definedName>
    <definedName name="Зона_2" localSheetId="30">#REF!</definedName>
    <definedName name="Зона_2" localSheetId="31">#REF!</definedName>
    <definedName name="Зона_2" localSheetId="29">#REF!</definedName>
    <definedName name="Зона_2" localSheetId="0">#REF!</definedName>
    <definedName name="Зона_2">#REF!</definedName>
    <definedName name="Зона_3" localSheetId="1">#REF!</definedName>
    <definedName name="Зона_3" localSheetId="12">#REF!</definedName>
    <definedName name="Зона_3" localSheetId="16">#REF!</definedName>
    <definedName name="Зона_3" localSheetId="20">#REF!</definedName>
    <definedName name="Зона_3" localSheetId="21">#REF!</definedName>
    <definedName name="Зона_3" localSheetId="22">#REF!</definedName>
    <definedName name="Зона_3" localSheetId="24">#REF!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33">#REF!</definedName>
    <definedName name="Зона_3" localSheetId="30">#REF!</definedName>
    <definedName name="Зона_3" localSheetId="31">#REF!</definedName>
    <definedName name="Зона_3" localSheetId="29">#REF!</definedName>
    <definedName name="Зона_3" localSheetId="0">#REF!</definedName>
    <definedName name="Зона_3">#REF!</definedName>
    <definedName name="Зона_4" localSheetId="1">#REF!</definedName>
    <definedName name="Зона_4" localSheetId="12">#REF!</definedName>
    <definedName name="Зона_4" localSheetId="16">#REF!</definedName>
    <definedName name="Зона_4" localSheetId="20">#REF!</definedName>
    <definedName name="Зона_4" localSheetId="21">#REF!</definedName>
    <definedName name="Зона_4" localSheetId="22">#REF!</definedName>
    <definedName name="Зона_4" localSheetId="24">#REF!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33">#REF!</definedName>
    <definedName name="Зона_4" localSheetId="30">#REF!</definedName>
    <definedName name="Зона_4" localSheetId="31">#REF!</definedName>
    <definedName name="Зона_4" localSheetId="29">#REF!</definedName>
    <definedName name="Зона_4" localSheetId="0">#REF!</definedName>
    <definedName name="Зона_4">#REF!</definedName>
    <definedName name="Зона_5" localSheetId="1">#REF!</definedName>
    <definedName name="Зона_5" localSheetId="12">#REF!</definedName>
    <definedName name="Зона_5" localSheetId="16">#REF!</definedName>
    <definedName name="Зона_5" localSheetId="20">#REF!</definedName>
    <definedName name="Зона_5" localSheetId="21">#REF!</definedName>
    <definedName name="Зона_5" localSheetId="22">#REF!</definedName>
    <definedName name="Зона_5" localSheetId="24">#REF!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33">#REF!</definedName>
    <definedName name="Зона_5" localSheetId="30">#REF!</definedName>
    <definedName name="Зона_5" localSheetId="31">#REF!</definedName>
    <definedName name="Зона_5" localSheetId="29">#REF!</definedName>
    <definedName name="Зона_5" localSheetId="0">#REF!</definedName>
    <definedName name="Зона_5">#REF!</definedName>
    <definedName name="Лихви" localSheetId="1">#REF!</definedName>
    <definedName name="Лихви" localSheetId="12">#REF!</definedName>
    <definedName name="Лихви" localSheetId="16">#REF!</definedName>
    <definedName name="Лихви" localSheetId="20">#REF!</definedName>
    <definedName name="Лихви" localSheetId="21">#REF!</definedName>
    <definedName name="Лихви" localSheetId="22">#REF!</definedName>
    <definedName name="Лихви" localSheetId="24">#REF!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33">#REF!</definedName>
    <definedName name="Лихви" localSheetId="30">#REF!</definedName>
    <definedName name="Лихви" localSheetId="31">#REF!</definedName>
    <definedName name="Лихви" localSheetId="29">#REF!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6">#REF!</definedName>
    <definedName name="Материали" localSheetId="20">#REF!</definedName>
    <definedName name="Материали" localSheetId="21">#REF!</definedName>
    <definedName name="Материали" localSheetId="22">#REF!</definedName>
    <definedName name="Материали" localSheetId="24">#REF!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33">#REF!</definedName>
    <definedName name="Материали" localSheetId="30">#REF!</definedName>
    <definedName name="Материали" localSheetId="31">#REF!</definedName>
    <definedName name="Материали" localSheetId="29">#REF!</definedName>
    <definedName name="Материали" localSheetId="0">#REF!</definedName>
    <definedName name="Материали">#REF!</definedName>
    <definedName name="Намаление_на_собствения_капитал" localSheetId="16" hidden="1">'[1]Собствен капитал'!$A$6:$IV$6</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6">#REF!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2">#REF!</definedName>
    <definedName name="Намаление_на_финансиранията" localSheetId="24">#REF!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33">#REF!</definedName>
    <definedName name="Намаление_на_финансиранията" localSheetId="30">#REF!</definedName>
    <definedName name="Намаление_на_финансиранията" localSheetId="31">#REF!</definedName>
    <definedName name="Намаление_на_финансиранията" localSheetId="29">#REF!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6">#REF!</definedName>
    <definedName name="Начална_година" localSheetId="20">#REF!</definedName>
    <definedName name="Начална_година" localSheetId="21">#REF!</definedName>
    <definedName name="Начална_година" localSheetId="22">#REF!</definedName>
    <definedName name="Начална_година" localSheetId="24">#REF!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33">#REF!</definedName>
    <definedName name="Начална_година" localSheetId="30">#REF!</definedName>
    <definedName name="Начална_година" localSheetId="31">#REF!</definedName>
    <definedName name="Начална_година" localSheetId="29">#REF!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6">#REF!</definedName>
    <definedName name="Общо_разходи_за_заплати" localSheetId="20">#REF!</definedName>
    <definedName name="Общо_разходи_за_заплати" localSheetId="21">#REF!</definedName>
    <definedName name="Общо_разходи_за_заплати" localSheetId="22">#REF!</definedName>
    <definedName name="Общо_разходи_за_заплати" localSheetId="24">#REF!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33">#REF!</definedName>
    <definedName name="Общо_разходи_за_заплати" localSheetId="30">#REF!</definedName>
    <definedName name="Общо_разходи_за_заплати" localSheetId="31">#REF!</definedName>
    <definedName name="Общо_разходи_за_заплати" localSheetId="29">#REF!</definedName>
    <definedName name="Общо_разходи_за_заплати" localSheetId="0">#REF!</definedName>
    <definedName name="Общо_разходи_за_заплати">#REF!</definedName>
    <definedName name="Отчетна_стойност_на_продадените_стоки" localSheetId="16" hidden="1">[1]Себестойност!$A$125:$IV$125</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6">#REF!</definedName>
    <definedName name="Печалба_загуба" localSheetId="20">#REF!</definedName>
    <definedName name="Печалба_загуба" localSheetId="21">#REF!</definedName>
    <definedName name="Печалба_загуба" localSheetId="22">#REF!</definedName>
    <definedName name="Печалба_загуба" localSheetId="24">#REF!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33">#REF!</definedName>
    <definedName name="Печалба_загуба" localSheetId="30">#REF!</definedName>
    <definedName name="Печалба_загуба" localSheetId="31">#REF!</definedName>
    <definedName name="Печалба_загуба" localSheetId="29">#REF!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6">#REF!</definedName>
    <definedName name="Платен_ДДС" localSheetId="20">#REF!</definedName>
    <definedName name="Платен_ДДС" localSheetId="21">#REF!</definedName>
    <definedName name="Платен_ДДС" localSheetId="22">#REF!</definedName>
    <definedName name="Платен_ДДС" localSheetId="24">#REF!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33">#REF!</definedName>
    <definedName name="Платен_ДДС" localSheetId="30">#REF!</definedName>
    <definedName name="Платен_ДДС" localSheetId="31">#REF!</definedName>
    <definedName name="Платен_ДДС" localSheetId="29">#REF!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6">#REF!</definedName>
    <definedName name="Погасяване_главници_ДЗ" localSheetId="20">#REF!</definedName>
    <definedName name="Погасяване_главници_ДЗ" localSheetId="21">#REF!</definedName>
    <definedName name="Погасяване_главници_ДЗ" localSheetId="22">#REF!</definedName>
    <definedName name="Погасяване_главници_ДЗ" localSheetId="24">#REF!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33">#REF!</definedName>
    <definedName name="Погасяване_главници_ДЗ" localSheetId="30">#REF!</definedName>
    <definedName name="Погасяване_главници_ДЗ" localSheetId="31">#REF!</definedName>
    <definedName name="Погасяване_главници_ДЗ" localSheetId="29">#REF!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6">#REF!</definedName>
    <definedName name="Погасяване_главници_КЗ" localSheetId="20">#REF!</definedName>
    <definedName name="Погасяване_главници_КЗ" localSheetId="21">#REF!</definedName>
    <definedName name="Погасяване_главници_КЗ" localSheetId="22">#REF!</definedName>
    <definedName name="Погасяване_главници_КЗ" localSheetId="24">#REF!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33">#REF!</definedName>
    <definedName name="Погасяване_главници_КЗ" localSheetId="30">#REF!</definedName>
    <definedName name="Погасяване_главници_КЗ" localSheetId="31">#REF!</definedName>
    <definedName name="Погасяване_главници_КЗ" localSheetId="29">#REF!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6">#REF!</definedName>
    <definedName name="Погасяване_главници_ОЗ" localSheetId="20">#REF!</definedName>
    <definedName name="Погасяване_главници_ОЗ" localSheetId="21">#REF!</definedName>
    <definedName name="Погасяване_главници_ОЗ" localSheetId="22">#REF!</definedName>
    <definedName name="Погасяване_главници_ОЗ" localSheetId="24">#REF!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33">#REF!</definedName>
    <definedName name="Погасяване_главници_ОЗ" localSheetId="30">#REF!</definedName>
    <definedName name="Погасяване_главници_ОЗ" localSheetId="31">#REF!</definedName>
    <definedName name="Погасяване_главници_ОЗ" localSheetId="29">#REF!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6">#REF!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2">#REF!</definedName>
    <definedName name="Получен_ДДС_от_бюджета_през_периода" localSheetId="24">#REF!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33">#REF!</definedName>
    <definedName name="Получен_ДДС_от_бюджета_през_периода" localSheetId="30">#REF!</definedName>
    <definedName name="Получен_ДДС_от_бюджета_през_периода" localSheetId="31">#REF!</definedName>
    <definedName name="Получен_ДДС_от_бюджета_през_периода" localSheetId="29">#REF!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16" hidden="1">'[1]Собствен капитал'!$A$5:$IV$5</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6">#REF!</definedName>
    <definedName name="Получени_ДЗ" localSheetId="20">#REF!</definedName>
    <definedName name="Получени_ДЗ" localSheetId="21">#REF!</definedName>
    <definedName name="Получени_ДЗ" localSheetId="22">#REF!</definedName>
    <definedName name="Получени_ДЗ" localSheetId="24">#REF!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33">#REF!</definedName>
    <definedName name="Получени_ДЗ" localSheetId="30">#REF!</definedName>
    <definedName name="Получени_ДЗ" localSheetId="31">#REF!</definedName>
    <definedName name="Получени_ДЗ" localSheetId="29">#REF!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6">#REF!</definedName>
    <definedName name="Получени_КЗ" localSheetId="20">#REF!</definedName>
    <definedName name="Получени_КЗ" localSheetId="21">#REF!</definedName>
    <definedName name="Получени_КЗ" localSheetId="22">#REF!</definedName>
    <definedName name="Получени_КЗ" localSheetId="24">#REF!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33">#REF!</definedName>
    <definedName name="Получени_КЗ" localSheetId="30">#REF!</definedName>
    <definedName name="Получени_КЗ" localSheetId="31">#REF!</definedName>
    <definedName name="Получени_КЗ" localSheetId="29">#REF!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6">#REF!</definedName>
    <definedName name="Получени_ОЗ" localSheetId="20">#REF!</definedName>
    <definedName name="Получени_ОЗ" localSheetId="21">#REF!</definedName>
    <definedName name="Получени_ОЗ" localSheetId="22">#REF!</definedName>
    <definedName name="Получени_ОЗ" localSheetId="24">#REF!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33">#REF!</definedName>
    <definedName name="Получени_ОЗ" localSheetId="30">#REF!</definedName>
    <definedName name="Получени_ОЗ" localSheetId="31">#REF!</definedName>
    <definedName name="Получени_ОЗ" localSheetId="29">#REF!</definedName>
    <definedName name="Получени_ОЗ" localSheetId="0">#REF!</definedName>
    <definedName name="Получени_ОЗ">#REF!</definedName>
    <definedName name="Получени_съучастия" localSheetId="16" hidden="1">'[1]Собствен капитал'!$A$4:$IV$4</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6">#REF!</definedName>
    <definedName name="Получени_финансирания" localSheetId="20">#REF!</definedName>
    <definedName name="Получени_финансирания" localSheetId="21">#REF!</definedName>
    <definedName name="Получени_финансирания" localSheetId="22">#REF!</definedName>
    <definedName name="Получени_финансирания" localSheetId="24">#REF!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33">#REF!</definedName>
    <definedName name="Получени_финансирания" localSheetId="30">#REF!</definedName>
    <definedName name="Получени_финансирания" localSheetId="31">#REF!</definedName>
    <definedName name="Получени_финансирания" localSheetId="29">#REF!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6">#REF!</definedName>
    <definedName name="Продажби" localSheetId="20">#REF!</definedName>
    <definedName name="Продажби" localSheetId="21">#REF!</definedName>
    <definedName name="Продажби" localSheetId="22">#REF!</definedName>
    <definedName name="Продажби" localSheetId="24">#REF!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33">#REF!</definedName>
    <definedName name="Продажби" localSheetId="30">#REF!</definedName>
    <definedName name="Продажби" localSheetId="31">#REF!</definedName>
    <definedName name="Продажби" localSheetId="29">#REF!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6">#REF!</definedName>
    <definedName name="Разходи_за_външни_услуги" localSheetId="20">#REF!</definedName>
    <definedName name="Разходи_за_външни_услуги" localSheetId="21">#REF!</definedName>
    <definedName name="Разходи_за_външни_услуги" localSheetId="22">#REF!</definedName>
    <definedName name="Разходи_за_външни_услуги" localSheetId="24">#REF!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33">#REF!</definedName>
    <definedName name="Разходи_за_външни_услуги" localSheetId="30">#REF!</definedName>
    <definedName name="Разходи_за_външни_услуги" localSheetId="31">#REF!</definedName>
    <definedName name="Разходи_за_външни_услуги" localSheetId="29">#REF!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6">#REF!</definedName>
    <definedName name="Разходи_за_материали" localSheetId="20">#REF!</definedName>
    <definedName name="Разходи_за_материали" localSheetId="21">#REF!</definedName>
    <definedName name="Разходи_за_материали" localSheetId="22">#REF!</definedName>
    <definedName name="Разходи_за_материали" localSheetId="24">#REF!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33">#REF!</definedName>
    <definedName name="Разходи_за_материали" localSheetId="30">#REF!</definedName>
    <definedName name="Разходи_за_материали" localSheetId="31">#REF!</definedName>
    <definedName name="Разходи_за_материали" localSheetId="29">#REF!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6">#REF!</definedName>
    <definedName name="Разходи_за_осигуровки" localSheetId="20">#REF!</definedName>
    <definedName name="Разходи_за_осигуровки" localSheetId="21">#REF!</definedName>
    <definedName name="Разходи_за_осигуровки" localSheetId="22">#REF!</definedName>
    <definedName name="Разходи_за_осигуровки" localSheetId="24">#REF!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33">#REF!</definedName>
    <definedName name="Разходи_за_осигуровки" localSheetId="30">#REF!</definedName>
    <definedName name="Разходи_за_осигуровки" localSheetId="31">#REF!</definedName>
    <definedName name="Разходи_за_осигуровки" localSheetId="29">#REF!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6">#REF!</definedName>
    <definedName name="Срок_на_плащане" localSheetId="20">#REF!</definedName>
    <definedName name="Срок_на_плащане" localSheetId="21">#REF!</definedName>
    <definedName name="Срок_на_плащане" localSheetId="22">#REF!</definedName>
    <definedName name="Срок_на_плащане" localSheetId="24">#REF!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33">#REF!</definedName>
    <definedName name="Срок_на_плащане" localSheetId="30">#REF!</definedName>
    <definedName name="Срок_на_плащане" localSheetId="31">#REF!</definedName>
    <definedName name="Срок_на_плащане" localSheetId="29">#REF!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6">#REF!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2">#REF!</definedName>
    <definedName name="Срок_на_събиране_на_вземанията" localSheetId="24">#REF!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33">#REF!</definedName>
    <definedName name="Срок_на_събиране_на_вземанията" localSheetId="30">#REF!</definedName>
    <definedName name="Срок_на_събиране_на_вземанията" localSheetId="31">#REF!</definedName>
    <definedName name="Срок_на_събиране_на_вземанията" localSheetId="29">#REF!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6">#REF!</definedName>
    <definedName name="Ставка_ДДС" localSheetId="20">#REF!</definedName>
    <definedName name="Ставка_ДДС" localSheetId="21">#REF!</definedName>
    <definedName name="Ставка_ДДС" localSheetId="22">#REF!</definedName>
    <definedName name="Ставка_ДДС" localSheetId="24">#REF!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33">#REF!</definedName>
    <definedName name="Ставка_ДДС" localSheetId="30">#REF!</definedName>
    <definedName name="Ставка_ДДС" localSheetId="31">#REF!</definedName>
    <definedName name="Ставка_ДДС" localSheetId="29">#REF!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6">#REF!</definedName>
    <definedName name="Събран_ДДС" localSheetId="20">#REF!</definedName>
    <definedName name="Събран_ДДС" localSheetId="21">#REF!</definedName>
    <definedName name="Събран_ДДС" localSheetId="22">#REF!</definedName>
    <definedName name="Събран_ДДС" localSheetId="24">#REF!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33">#REF!</definedName>
    <definedName name="Събран_ДДС" localSheetId="30">#REF!</definedName>
    <definedName name="Събран_ДДС" localSheetId="31">#REF!</definedName>
    <definedName name="Събран_ДДС" localSheetId="29">#REF!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6">#REF!</definedName>
    <definedName name="Услуга_1" localSheetId="20">#REF!</definedName>
    <definedName name="Услуга_1" localSheetId="21">#REF!</definedName>
    <definedName name="Услуга_1" localSheetId="22">#REF!</definedName>
    <definedName name="Услуга_1" localSheetId="24">#REF!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33">#REF!</definedName>
    <definedName name="Услуга_1" localSheetId="30">#REF!</definedName>
    <definedName name="Услуга_1" localSheetId="31">#REF!</definedName>
    <definedName name="Услуга_1" localSheetId="29">#REF!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6">#REF!</definedName>
    <definedName name="Услуга_2" localSheetId="20">#REF!</definedName>
    <definedName name="Услуга_2" localSheetId="21">#REF!</definedName>
    <definedName name="Услуга_2" localSheetId="22">#REF!</definedName>
    <definedName name="Услуга_2" localSheetId="24">#REF!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33">#REF!</definedName>
    <definedName name="Услуга_2" localSheetId="30">#REF!</definedName>
    <definedName name="Услуга_2" localSheetId="31">#REF!</definedName>
    <definedName name="Услуга_2" localSheetId="29">#REF!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6">#REF!</definedName>
    <definedName name="Услуга_3" localSheetId="20">#REF!</definedName>
    <definedName name="Услуга_3" localSheetId="21">#REF!</definedName>
    <definedName name="Услуга_3" localSheetId="22">#REF!</definedName>
    <definedName name="Услуга_3" localSheetId="24">#REF!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33">#REF!</definedName>
    <definedName name="Услуга_3" localSheetId="30">#REF!</definedName>
    <definedName name="Услуга_3" localSheetId="31">#REF!</definedName>
    <definedName name="Услуга_3" localSheetId="29">#REF!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6">#REF!</definedName>
    <definedName name="Услуга_4" localSheetId="20">#REF!</definedName>
    <definedName name="Услуга_4" localSheetId="21">#REF!</definedName>
    <definedName name="Услуга_4" localSheetId="22">#REF!</definedName>
    <definedName name="Услуга_4" localSheetId="24">#REF!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33">#REF!</definedName>
    <definedName name="Услуга_4" localSheetId="30">#REF!</definedName>
    <definedName name="Услуга_4" localSheetId="31">#REF!</definedName>
    <definedName name="Услуга_4" localSheetId="29">#REF!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6">#REF!</definedName>
    <definedName name="Услуга_5" localSheetId="20">#REF!</definedName>
    <definedName name="Услуга_5" localSheetId="21">#REF!</definedName>
    <definedName name="Услуга_5" localSheetId="22">#REF!</definedName>
    <definedName name="Услуга_5" localSheetId="24">#REF!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33">#REF!</definedName>
    <definedName name="Услуга_5" localSheetId="30">#REF!</definedName>
    <definedName name="Услуга_5" localSheetId="31">#REF!</definedName>
    <definedName name="Услуга_5" localSheetId="29">#REF!</definedName>
    <definedName name="Услуга_5" localSheetId="0">#REF!</definedName>
    <definedName name="Услуга_5">#REF!</definedName>
    <definedName name="Услуги_и_др." localSheetId="16" hidden="1">[1]Себестойност!$A$126:$IV$126</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6">#REF!</definedName>
    <definedName name="ЧПП" localSheetId="20">#REF!</definedName>
    <definedName name="ЧПП" localSheetId="21">#REF!</definedName>
    <definedName name="ЧПП" localSheetId="22">#REF!</definedName>
    <definedName name="ЧПП" localSheetId="24">#REF!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33">#REF!</definedName>
    <definedName name="ЧПП" localSheetId="30">#REF!</definedName>
    <definedName name="ЧПП" localSheetId="31">#REF!</definedName>
    <definedName name="ЧПП" localSheetId="29">#REF!</definedName>
    <definedName name="ЧПП" localSheetId="0">#REF!</definedName>
    <definedName name="ЧПП">#REF!</definedName>
  </definedNames>
  <calcPr calcId="162913"/>
</workbook>
</file>

<file path=xl/calcChain.xml><?xml version="1.0" encoding="utf-8"?>
<calcChain xmlns="http://schemas.openxmlformats.org/spreadsheetml/2006/main">
  <c r="A3" i="82" l="1"/>
  <c r="I15" i="16" l="1"/>
  <c r="H15" i="16"/>
  <c r="G15" i="16"/>
  <c r="F15" i="16"/>
  <c r="M142" i="85" l="1"/>
  <c r="N117" i="85"/>
  <c r="S178" i="85"/>
  <c r="S177" i="85"/>
  <c r="S176" i="85"/>
  <c r="S175" i="85"/>
  <c r="S174" i="85"/>
  <c r="S173" i="85"/>
  <c r="S172" i="85"/>
  <c r="S171" i="85"/>
  <c r="S170" i="85"/>
  <c r="S169" i="85"/>
  <c r="S165" i="85"/>
  <c r="S164" i="85"/>
  <c r="S163" i="85"/>
  <c r="S162" i="85"/>
  <c r="S161" i="85"/>
  <c r="S160" i="85"/>
  <c r="S159" i="85"/>
  <c r="S158" i="85"/>
  <c r="S157" i="85"/>
  <c r="S156" i="85"/>
  <c r="S152" i="85"/>
  <c r="S151" i="85"/>
  <c r="S150" i="85"/>
  <c r="S149" i="85"/>
  <c r="S148" i="85"/>
  <c r="S147" i="85"/>
  <c r="S146" i="85"/>
  <c r="S145" i="85"/>
  <c r="S144" i="85"/>
  <c r="S143" i="85"/>
  <c r="T100" i="85"/>
  <c r="AM51" i="85"/>
  <c r="AM50" i="85"/>
  <c r="AQ47" i="85"/>
  <c r="AP47" i="85"/>
  <c r="AO47" i="85"/>
  <c r="AN47" i="85"/>
  <c r="AM47" i="85"/>
  <c r="AL35" i="85"/>
  <c r="AS27" i="85" s="1"/>
  <c r="AL27" i="85"/>
  <c r="AS21" i="85" s="1"/>
  <c r="AL19" i="85"/>
  <c r="AL11" i="85"/>
  <c r="N7" i="85"/>
  <c r="M7" i="85"/>
  <c r="L7" i="85"/>
  <c r="K7" i="85"/>
  <c r="J7" i="85"/>
  <c r="O6" i="85"/>
  <c r="O5" i="85"/>
  <c r="O4" i="85"/>
  <c r="AL3" i="85"/>
  <c r="O7" i="85" l="1"/>
  <c r="S54" i="84"/>
  <c r="S53" i="84"/>
  <c r="S52" i="84"/>
  <c r="S51" i="84"/>
  <c r="S50" i="84"/>
  <c r="S49" i="84"/>
  <c r="S48" i="84"/>
  <c r="S47" i="84"/>
  <c r="S45" i="84"/>
  <c r="S44" i="84"/>
  <c r="S43" i="84"/>
  <c r="S42" i="84"/>
  <c r="S41" i="84"/>
  <c r="S40" i="84"/>
  <c r="S39" i="84"/>
  <c r="S38" i="84"/>
  <c r="S37" i="84"/>
  <c r="S36" i="84"/>
  <c r="AG35" i="84"/>
  <c r="AF35" i="84"/>
  <c r="AE35" i="84"/>
  <c r="AD35" i="84"/>
  <c r="AC35" i="84"/>
  <c r="S35" i="84"/>
  <c r="AG34" i="84"/>
  <c r="AF34" i="84"/>
  <c r="AE34" i="84"/>
  <c r="AD34" i="84"/>
  <c r="AC34" i="84"/>
  <c r="S34" i="84"/>
  <c r="AG33" i="84"/>
  <c r="AF33" i="84"/>
  <c r="AE33" i="84"/>
  <c r="AD33" i="84"/>
  <c r="AC33" i="84"/>
  <c r="AS24" i="84"/>
  <c r="AR24" i="84"/>
  <c r="AQ24" i="84"/>
  <c r="AP24" i="84"/>
  <c r="AO24" i="84"/>
  <c r="AN24" i="84"/>
  <c r="AS21" i="84"/>
  <c r="AR21" i="84"/>
  <c r="AQ21" i="84"/>
  <c r="AP21" i="84"/>
  <c r="AO21" i="84"/>
  <c r="AN21" i="84"/>
  <c r="AM21" i="84"/>
  <c r="AC21" i="84"/>
  <c r="AG20" i="84"/>
  <c r="AF20" i="84"/>
  <c r="AE20" i="84"/>
  <c r="AD20" i="84"/>
  <c r="AC20" i="84"/>
  <c r="AC18" i="84"/>
  <c r="AK14" i="84" s="1"/>
  <c r="AG17" i="84"/>
  <c r="AF17" i="84"/>
  <c r="AE17" i="84"/>
  <c r="AD17" i="84"/>
  <c r="AC17" i="84"/>
  <c r="AK16" i="84"/>
  <c r="AG16" i="84"/>
  <c r="AF16" i="84"/>
  <c r="AE16" i="84"/>
  <c r="AD16" i="84"/>
  <c r="AC16" i="84"/>
  <c r="AG15" i="84"/>
  <c r="AF15" i="84"/>
  <c r="AE15" i="84"/>
  <c r="AD15" i="84"/>
  <c r="AD14" i="84" s="1"/>
  <c r="AC15" i="84"/>
  <c r="AC14" i="84" s="1"/>
  <c r="H64" i="83"/>
  <c r="G64" i="83"/>
  <c r="F64" i="83"/>
  <c r="E64" i="83"/>
  <c r="D64" i="83"/>
  <c r="C64" i="83"/>
  <c r="H61" i="83"/>
  <c r="G61" i="83"/>
  <c r="F61" i="83"/>
  <c r="E61" i="83"/>
  <c r="D61" i="83"/>
  <c r="C61" i="83"/>
  <c r="H60" i="83"/>
  <c r="G60" i="83"/>
  <c r="F60" i="83"/>
  <c r="E60" i="83"/>
  <c r="D60" i="83"/>
  <c r="C60" i="83"/>
  <c r="H59" i="83"/>
  <c r="G59" i="83"/>
  <c r="F59" i="83"/>
  <c r="E59" i="83"/>
  <c r="D59" i="83"/>
  <c r="C59" i="83"/>
  <c r="AH33" i="83"/>
  <c r="AH32" i="83"/>
  <c r="AH31" i="83"/>
  <c r="AH30" i="83"/>
  <c r="AH29" i="83"/>
  <c r="AH28" i="83"/>
  <c r="AH27" i="83"/>
  <c r="AH26" i="83"/>
  <c r="H26" i="83"/>
  <c r="G26" i="83"/>
  <c r="F26" i="83"/>
  <c r="E26" i="83"/>
  <c r="D26" i="83"/>
  <c r="C26" i="83"/>
  <c r="AH25" i="83"/>
  <c r="H25" i="83"/>
  <c r="G25" i="83"/>
  <c r="F25" i="83"/>
  <c r="E25" i="83"/>
  <c r="D25" i="83"/>
  <c r="C25" i="83"/>
  <c r="AH24" i="83"/>
  <c r="H24" i="83"/>
  <c r="G24" i="83"/>
  <c r="F24" i="83"/>
  <c r="E24" i="83"/>
  <c r="D24" i="83"/>
  <c r="C24" i="83"/>
  <c r="AH23" i="83"/>
  <c r="H23" i="83"/>
  <c r="G23" i="83"/>
  <c r="F23" i="83"/>
  <c r="E23" i="83"/>
  <c r="D23" i="83"/>
  <c r="C23" i="83"/>
  <c r="AH22" i="83"/>
  <c r="H22" i="83"/>
  <c r="G22" i="83"/>
  <c r="F22" i="83"/>
  <c r="E22" i="83"/>
  <c r="D22" i="83"/>
  <c r="C22" i="83"/>
  <c r="AH21" i="83"/>
  <c r="Q21" i="83"/>
  <c r="P21" i="83"/>
  <c r="O21" i="83"/>
  <c r="N21" i="83"/>
  <c r="M21" i="83"/>
  <c r="L21" i="83"/>
  <c r="H21" i="83"/>
  <c r="G21" i="83"/>
  <c r="F21" i="83"/>
  <c r="E21" i="83"/>
  <c r="D21" i="83"/>
  <c r="C21" i="83"/>
  <c r="AH20" i="83"/>
  <c r="H20" i="83"/>
  <c r="G20" i="83"/>
  <c r="F20" i="83"/>
  <c r="E20" i="83"/>
  <c r="D20" i="83"/>
  <c r="C20" i="83"/>
  <c r="AH19" i="83"/>
  <c r="H19" i="83"/>
  <c r="G19" i="83"/>
  <c r="F19" i="83"/>
  <c r="E19" i="83"/>
  <c r="D19" i="83"/>
  <c r="C19" i="83"/>
  <c r="AH18" i="83"/>
  <c r="H18" i="83"/>
  <c r="G18" i="83"/>
  <c r="F18" i="83"/>
  <c r="E18" i="83"/>
  <c r="D18" i="83"/>
  <c r="C18" i="83"/>
  <c r="AH17" i="83"/>
  <c r="Q17" i="83"/>
  <c r="P17" i="83"/>
  <c r="O17" i="83"/>
  <c r="N17" i="83"/>
  <c r="M17" i="83"/>
  <c r="L17" i="83"/>
  <c r="H17" i="83"/>
  <c r="G17" i="83"/>
  <c r="F17" i="83"/>
  <c r="E17" i="83"/>
  <c r="D17" i="83"/>
  <c r="C17" i="83"/>
  <c r="AH16" i="83"/>
  <c r="H16" i="83"/>
  <c r="G16" i="83"/>
  <c r="F16" i="83"/>
  <c r="E16" i="83"/>
  <c r="D16" i="83"/>
  <c r="C16" i="83"/>
  <c r="AH15" i="83"/>
  <c r="H15" i="83"/>
  <c r="G15" i="83"/>
  <c r="F15" i="83"/>
  <c r="E15" i="83"/>
  <c r="D15" i="83"/>
  <c r="C15" i="83"/>
  <c r="AH14" i="83"/>
  <c r="AH13" i="83"/>
  <c r="AH12" i="83"/>
  <c r="AH11" i="83"/>
  <c r="H11" i="83"/>
  <c r="G11" i="83"/>
  <c r="F11" i="83"/>
  <c r="E11" i="83"/>
  <c r="D11" i="83"/>
  <c r="C11" i="83"/>
  <c r="AH10" i="83"/>
  <c r="H10" i="83"/>
  <c r="G10" i="83"/>
  <c r="F10" i="83"/>
  <c r="E10" i="83"/>
  <c r="D10" i="83"/>
  <c r="C10" i="83"/>
  <c r="AH9" i="83"/>
  <c r="H9" i="83"/>
  <c r="G9" i="83"/>
  <c r="F9" i="83"/>
  <c r="E9" i="83"/>
  <c r="D9" i="83"/>
  <c r="C9" i="83"/>
  <c r="AH8" i="83"/>
  <c r="H8" i="83"/>
  <c r="G8" i="83"/>
  <c r="F8" i="83"/>
  <c r="E8" i="83"/>
  <c r="D8" i="83"/>
  <c r="C8" i="83"/>
  <c r="AH7" i="83"/>
  <c r="H7" i="83"/>
  <c r="G7" i="83"/>
  <c r="F7" i="83"/>
  <c r="E7" i="83"/>
  <c r="D7" i="83"/>
  <c r="C7" i="83"/>
  <c r="AH6" i="83"/>
  <c r="AH5" i="83"/>
  <c r="AH4" i="83"/>
  <c r="AG14" i="84" l="1"/>
  <c r="AE14" i="84"/>
  <c r="AE36" i="84"/>
  <c r="AG36" i="84"/>
  <c r="AC36" i="84"/>
  <c r="AF36" i="84"/>
  <c r="AF14" i="84"/>
  <c r="AD36" i="84"/>
  <c r="P114" i="82"/>
  <c r="H114" i="82"/>
  <c r="L119" i="82"/>
  <c r="L120" i="82"/>
  <c r="AO69" i="60" l="1"/>
  <c r="AN69" i="60"/>
  <c r="AL69" i="60"/>
  <c r="O10" i="21" l="1"/>
  <c r="N10" i="21"/>
  <c r="M10" i="21"/>
  <c r="L10" i="21"/>
  <c r="K10" i="21"/>
  <c r="C1" i="21"/>
  <c r="A1" i="21"/>
  <c r="O7" i="20"/>
  <c r="N7" i="20"/>
  <c r="M7" i="20"/>
  <c r="L7" i="20"/>
  <c r="K7" i="20"/>
  <c r="C1" i="20"/>
  <c r="A1" i="20"/>
  <c r="M9" i="49"/>
  <c r="M23" i="49" s="1"/>
  <c r="M37" i="49" s="1"/>
  <c r="M51" i="49" s="1"/>
  <c r="M65" i="49" s="1"/>
  <c r="L9" i="49"/>
  <c r="L23" i="49" s="1"/>
  <c r="L37" i="49" s="1"/>
  <c r="L51" i="49" s="1"/>
  <c r="L65" i="49" s="1"/>
  <c r="K9" i="49"/>
  <c r="K23" i="49" s="1"/>
  <c r="K37" i="49" s="1"/>
  <c r="K51" i="49" s="1"/>
  <c r="K65" i="49" s="1"/>
  <c r="J9" i="49"/>
  <c r="J23" i="49" s="1"/>
  <c r="J37" i="49" s="1"/>
  <c r="J51" i="49" s="1"/>
  <c r="J65" i="49" s="1"/>
  <c r="I9" i="49"/>
  <c r="I23" i="49" s="1"/>
  <c r="I37" i="49" s="1"/>
  <c r="I51" i="49" s="1"/>
  <c r="I65" i="49" s="1"/>
  <c r="C1" i="49"/>
  <c r="O8" i="17"/>
  <c r="O14" i="17" s="1"/>
  <c r="O22" i="17" s="1"/>
  <c r="O33" i="17" s="1"/>
  <c r="O39" i="17" s="1"/>
  <c r="N8" i="17"/>
  <c r="N14" i="17" s="1"/>
  <c r="N22" i="17" s="1"/>
  <c r="N33" i="17" s="1"/>
  <c r="N39" i="17" s="1"/>
  <c r="M8" i="17"/>
  <c r="M14" i="17" s="1"/>
  <c r="M22" i="17" s="1"/>
  <c r="M33" i="17" s="1"/>
  <c r="M39" i="17" s="1"/>
  <c r="L8" i="17"/>
  <c r="L14" i="17" s="1"/>
  <c r="L22" i="17" s="1"/>
  <c r="L33" i="17" s="1"/>
  <c r="L39" i="17" s="1"/>
  <c r="K8" i="17"/>
  <c r="K14" i="17" s="1"/>
  <c r="K22" i="17" s="1"/>
  <c r="K33" i="17" s="1"/>
  <c r="K39" i="17" s="1"/>
  <c r="C1" i="17"/>
  <c r="A1" i="17"/>
  <c r="N7" i="48"/>
  <c r="M7" i="48"/>
  <c r="L7" i="48"/>
  <c r="K7" i="48"/>
  <c r="J7" i="48"/>
  <c r="I7" i="48"/>
  <c r="B1" i="48"/>
  <c r="N12" i="48" s="1"/>
  <c r="A1" i="48"/>
  <c r="M12" i="47"/>
  <c r="N42" i="47"/>
  <c r="N7" i="47"/>
  <c r="M7" i="47"/>
  <c r="L7" i="47"/>
  <c r="K7" i="47"/>
  <c r="J7" i="47"/>
  <c r="I7" i="47"/>
  <c r="B1" i="47"/>
  <c r="J11" i="47" s="1"/>
  <c r="A1" i="47"/>
  <c r="A1" i="16"/>
  <c r="B1" i="16"/>
  <c r="M9" i="16" s="1"/>
  <c r="BA133" i="77"/>
  <c r="AZ133" i="77"/>
  <c r="AY133" i="77"/>
  <c r="AX133" i="77"/>
  <c r="AW133" i="77"/>
  <c r="AV133" i="77"/>
  <c r="AU133" i="77"/>
  <c r="AT133" i="77"/>
  <c r="AS133" i="77"/>
  <c r="AR133" i="77"/>
  <c r="AQ133" i="77"/>
  <c r="AP133" i="77"/>
  <c r="AO133" i="77"/>
  <c r="AN133" i="77"/>
  <c r="AM133" i="77"/>
  <c r="AL133" i="77"/>
  <c r="AK133" i="77"/>
  <c r="AJ133" i="77"/>
  <c r="AI133" i="77"/>
  <c r="AH133" i="77"/>
  <c r="AG133" i="77"/>
  <c r="AF133" i="77"/>
  <c r="AE133" i="77"/>
  <c r="AD133" i="77"/>
  <c r="AC133" i="77"/>
  <c r="AW132" i="77"/>
  <c r="AR132" i="77"/>
  <c r="AM132" i="77"/>
  <c r="AH132" i="77"/>
  <c r="AC132" i="77"/>
  <c r="AW131" i="77"/>
  <c r="AR131" i="77"/>
  <c r="AM131" i="77"/>
  <c r="AH131" i="77"/>
  <c r="AC131" i="77"/>
  <c r="AW130" i="77"/>
  <c r="AR130" i="77"/>
  <c r="AM130" i="77"/>
  <c r="AH130" i="77"/>
  <c r="AC130" i="77"/>
  <c r="AW129" i="77"/>
  <c r="AR129" i="77"/>
  <c r="AM129" i="77"/>
  <c r="AH129" i="77"/>
  <c r="AC129" i="77"/>
  <c r="AW128" i="77"/>
  <c r="AR128" i="77"/>
  <c r="AM128" i="77"/>
  <c r="AH128" i="77"/>
  <c r="AC128" i="77"/>
  <c r="AW127" i="77"/>
  <c r="AR127" i="77"/>
  <c r="AM127" i="77"/>
  <c r="AH127" i="77"/>
  <c r="AC127" i="77"/>
  <c r="AC126" i="77"/>
  <c r="BA110" i="77"/>
  <c r="AZ110" i="77"/>
  <c r="AY110" i="77"/>
  <c r="AX110" i="77"/>
  <c r="AW110" i="77"/>
  <c r="AV110" i="77"/>
  <c r="AU110" i="77"/>
  <c r="AT110" i="77"/>
  <c r="AS110" i="77"/>
  <c r="AR110" i="77"/>
  <c r="AQ110" i="77"/>
  <c r="AP110" i="77"/>
  <c r="AO110" i="77"/>
  <c r="AN110" i="77"/>
  <c r="AM110" i="77"/>
  <c r="AL110" i="77"/>
  <c r="AK110" i="77"/>
  <c r="AJ110" i="77"/>
  <c r="AI110" i="77"/>
  <c r="AH110" i="77"/>
  <c r="AG110" i="77"/>
  <c r="AF110" i="77"/>
  <c r="AE110" i="77"/>
  <c r="AD110" i="77"/>
  <c r="AC110" i="77"/>
  <c r="AW109" i="77"/>
  <c r="AR109" i="77"/>
  <c r="AM109" i="77"/>
  <c r="AH109" i="77"/>
  <c r="AC109" i="77"/>
  <c r="AW108" i="77"/>
  <c r="AR108" i="77"/>
  <c r="AM108" i="77"/>
  <c r="AH108" i="77"/>
  <c r="AC108" i="77"/>
  <c r="AW107" i="77"/>
  <c r="AR107" i="77"/>
  <c r="AM107" i="77"/>
  <c r="AH107" i="77"/>
  <c r="AC107" i="77"/>
  <c r="AW106" i="77"/>
  <c r="AR106" i="77"/>
  <c r="AM106" i="77"/>
  <c r="AH106" i="77"/>
  <c r="AC106" i="77"/>
  <c r="AW105" i="77"/>
  <c r="AR105" i="77"/>
  <c r="AM105" i="77"/>
  <c r="AH105" i="77"/>
  <c r="AC105" i="77"/>
  <c r="AW104" i="77"/>
  <c r="AR104" i="77"/>
  <c r="AM104" i="77"/>
  <c r="AH104" i="77"/>
  <c r="AC104" i="77"/>
  <c r="AC103" i="77"/>
  <c r="AC102" i="77"/>
  <c r="AQ93" i="77"/>
  <c r="BA86" i="77"/>
  <c r="AZ86" i="77"/>
  <c r="AY86" i="77"/>
  <c r="AX86" i="77"/>
  <c r="AW86" i="77"/>
  <c r="AV86" i="77"/>
  <c r="AU86" i="77"/>
  <c r="AT86" i="77"/>
  <c r="AS86" i="77"/>
  <c r="AR86" i="77"/>
  <c r="AQ86" i="77"/>
  <c r="AP86" i="77"/>
  <c r="AO86" i="77"/>
  <c r="AN86" i="77"/>
  <c r="AM86" i="77"/>
  <c r="AL86" i="77"/>
  <c r="AK86" i="77"/>
  <c r="AJ86" i="77"/>
  <c r="AI86" i="77"/>
  <c r="AH86" i="77"/>
  <c r="AG86" i="77"/>
  <c r="AF86" i="77"/>
  <c r="AE86" i="77"/>
  <c r="AD86" i="77"/>
  <c r="AC86" i="77"/>
  <c r="AW85" i="77"/>
  <c r="AR85" i="77"/>
  <c r="AM85" i="77"/>
  <c r="AH85" i="77"/>
  <c r="AC85" i="77"/>
  <c r="AW84" i="77"/>
  <c r="AR84" i="77"/>
  <c r="AM84" i="77"/>
  <c r="AH84" i="77"/>
  <c r="AC84" i="77"/>
  <c r="AW83" i="77"/>
  <c r="AR83" i="77"/>
  <c r="AM83" i="77"/>
  <c r="AH83" i="77"/>
  <c r="AC83" i="77"/>
  <c r="AW82" i="77"/>
  <c r="AR82" i="77"/>
  <c r="AM82" i="77"/>
  <c r="AH82" i="77"/>
  <c r="AC82" i="77"/>
  <c r="AW81" i="77"/>
  <c r="AR81" i="77"/>
  <c r="AM81" i="77"/>
  <c r="AH81" i="77"/>
  <c r="AC81" i="77"/>
  <c r="AW80" i="77"/>
  <c r="AR80" i="77"/>
  <c r="AM80" i="77"/>
  <c r="AH80" i="77"/>
  <c r="AC80" i="77"/>
  <c r="AC79" i="77"/>
  <c r="AR77" i="77"/>
  <c r="BA63" i="77"/>
  <c r="AZ63" i="77"/>
  <c r="AY63" i="77"/>
  <c r="AX63" i="77"/>
  <c r="AW63" i="77"/>
  <c r="AV63" i="77"/>
  <c r="AU63" i="77"/>
  <c r="AT63" i="77"/>
  <c r="AS63" i="77"/>
  <c r="AR63" i="77"/>
  <c r="AQ63" i="77"/>
  <c r="AP63" i="77"/>
  <c r="AO63" i="77"/>
  <c r="AN63" i="77"/>
  <c r="AM63" i="77"/>
  <c r="AL63" i="77"/>
  <c r="AK63" i="77"/>
  <c r="AJ63" i="77"/>
  <c r="AI63" i="77"/>
  <c r="AH63" i="77"/>
  <c r="AG63" i="77"/>
  <c r="AF63" i="77"/>
  <c r="AE63" i="77"/>
  <c r="AD63" i="77"/>
  <c r="AC63" i="77"/>
  <c r="AW62" i="77"/>
  <c r="AR62" i="77"/>
  <c r="AM62" i="77"/>
  <c r="AH62" i="77"/>
  <c r="AC62" i="77"/>
  <c r="AW61" i="77"/>
  <c r="AR61" i="77"/>
  <c r="AM61" i="77"/>
  <c r="AH61" i="77"/>
  <c r="AC61" i="77"/>
  <c r="AW60" i="77"/>
  <c r="AR60" i="77"/>
  <c r="AM60" i="77"/>
  <c r="AH60" i="77"/>
  <c r="AC60" i="77"/>
  <c r="AW59" i="77"/>
  <c r="AR59" i="77"/>
  <c r="AM59" i="77"/>
  <c r="AH59" i="77"/>
  <c r="AC59" i="77"/>
  <c r="AW58" i="77"/>
  <c r="AR58" i="77"/>
  <c r="AM58" i="77"/>
  <c r="AH58" i="77"/>
  <c r="AC58" i="77"/>
  <c r="AW57" i="77"/>
  <c r="AR57" i="77"/>
  <c r="AM57" i="77"/>
  <c r="AH57" i="77"/>
  <c r="AC57" i="77"/>
  <c r="AC56" i="77"/>
  <c r="AC55" i="77"/>
  <c r="AD54" i="77"/>
  <c r="AH53" i="77"/>
  <c r="AU48" i="77"/>
  <c r="AE48"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W38" i="77"/>
  <c r="AR38" i="77"/>
  <c r="AM38" i="77"/>
  <c r="AH38" i="77"/>
  <c r="AC38" i="77"/>
  <c r="AW37" i="77"/>
  <c r="AR37" i="77"/>
  <c r="AM37" i="77"/>
  <c r="AH37" i="77"/>
  <c r="AC37" i="77"/>
  <c r="AW36" i="77"/>
  <c r="AR36" i="77"/>
  <c r="AM36" i="77"/>
  <c r="AH36" i="77"/>
  <c r="AC36" i="77"/>
  <c r="AW35" i="77"/>
  <c r="AR35" i="77"/>
  <c r="AM35" i="77"/>
  <c r="AH35" i="77"/>
  <c r="AC35" i="77"/>
  <c r="AW34" i="77"/>
  <c r="AR34" i="77"/>
  <c r="AM34" i="77"/>
  <c r="AH34" i="77"/>
  <c r="AC34" i="77"/>
  <c r="AW33" i="77"/>
  <c r="AR33" i="77"/>
  <c r="AM33" i="77"/>
  <c r="AH33" i="77"/>
  <c r="AC33" i="77"/>
  <c r="AC32" i="77"/>
  <c r="AC9" i="77"/>
  <c r="AN31" i="77"/>
  <c r="BA30" i="77"/>
  <c r="AK27" i="77"/>
  <c r="AX26" i="77"/>
  <c r="AJ23" i="77"/>
  <c r="AU22" i="77"/>
  <c r="AW15" i="77"/>
  <c r="AW14" i="77"/>
  <c r="AW13" i="77"/>
  <c r="AW12" i="77"/>
  <c r="AW11" i="77"/>
  <c r="AW10" i="77"/>
  <c r="AR15" i="77"/>
  <c r="AR14" i="77"/>
  <c r="AR13" i="77"/>
  <c r="AR12" i="77"/>
  <c r="AR11" i="77"/>
  <c r="AR10" i="77"/>
  <c r="AM15" i="77"/>
  <c r="AM14" i="77"/>
  <c r="AM13" i="77"/>
  <c r="AM12" i="77"/>
  <c r="AM11" i="77"/>
  <c r="AM10" i="77"/>
  <c r="AH15" i="77"/>
  <c r="AH14" i="77"/>
  <c r="AH13" i="77"/>
  <c r="AH12" i="77"/>
  <c r="AH11" i="77"/>
  <c r="AH10" i="77"/>
  <c r="AC15" i="77"/>
  <c r="AC14" i="77"/>
  <c r="AC13" i="77"/>
  <c r="AC12" i="77"/>
  <c r="AC11" i="77"/>
  <c r="AC10" i="77"/>
  <c r="AC8" i="77"/>
  <c r="BA16" i="77"/>
  <c r="AZ16" i="77"/>
  <c r="AY16" i="77"/>
  <c r="AX16" i="77"/>
  <c r="AW16" i="77"/>
  <c r="AV16" i="77"/>
  <c r="AU16" i="77"/>
  <c r="AT16" i="77"/>
  <c r="AS16" i="77"/>
  <c r="AR16" i="77"/>
  <c r="AQ16" i="77"/>
  <c r="AP16" i="77"/>
  <c r="AO16" i="77"/>
  <c r="AN16" i="77"/>
  <c r="AM16" i="77"/>
  <c r="AL16" i="77"/>
  <c r="AK16" i="77"/>
  <c r="AJ16" i="77"/>
  <c r="AI16" i="77"/>
  <c r="AH16" i="77"/>
  <c r="AG16" i="77"/>
  <c r="AF16" i="77"/>
  <c r="AE16" i="77"/>
  <c r="AD16" i="77"/>
  <c r="AC16" i="77"/>
  <c r="D1" i="77"/>
  <c r="AW145" i="77" s="1"/>
  <c r="A1" i="77"/>
  <c r="BY10" i="73"/>
  <c r="CE10" i="73" s="1"/>
  <c r="BS10" i="73"/>
  <c r="BM10" i="73"/>
  <c r="CJ9" i="73"/>
  <c r="CI9" i="73"/>
  <c r="CH9" i="73"/>
  <c r="CG9" i="73"/>
  <c r="CF9" i="73"/>
  <c r="CE9" i="73"/>
  <c r="CD9" i="73"/>
  <c r="CC9" i="73"/>
  <c r="CB9" i="73"/>
  <c r="CA9" i="73"/>
  <c r="BZ9" i="73"/>
  <c r="BY9" i="73"/>
  <c r="BX9" i="73"/>
  <c r="BW9" i="73"/>
  <c r="BV9" i="73"/>
  <c r="BU9" i="73"/>
  <c r="BT9" i="73"/>
  <c r="BS9" i="73"/>
  <c r="BR9" i="73"/>
  <c r="BQ9" i="73"/>
  <c r="BP9" i="73"/>
  <c r="BO9" i="73"/>
  <c r="BN9" i="73"/>
  <c r="BM9" i="73"/>
  <c r="D1" i="73"/>
  <c r="BI49" i="73" s="1"/>
  <c r="A1" i="73"/>
  <c r="AV23" i="77" l="1"/>
  <c r="AX27" i="77"/>
  <c r="BA31" i="77"/>
  <c r="AL49" i="77"/>
  <c r="AU97" i="77"/>
  <c r="I36" i="47"/>
  <c r="J45" i="48"/>
  <c r="AE17" i="85" s="1"/>
  <c r="K37" i="47"/>
  <c r="AJ24" i="77"/>
  <c r="AM28" i="77"/>
  <c r="AC50" i="77"/>
  <c r="AC69" i="77"/>
  <c r="M28" i="47"/>
  <c r="K30" i="48"/>
  <c r="AV24" i="77"/>
  <c r="AY28" i="77"/>
  <c r="AP45" i="77"/>
  <c r="AS50" i="77"/>
  <c r="AX70" i="77"/>
  <c r="AH117" i="77"/>
  <c r="M20" i="47"/>
  <c r="K17" i="48"/>
  <c r="AJ25" i="77"/>
  <c r="AM29" i="77"/>
  <c r="AG46" i="77"/>
  <c r="AJ51" i="77"/>
  <c r="AO72" i="77"/>
  <c r="BA123" i="77"/>
  <c r="K20" i="47"/>
  <c r="I12" i="47"/>
  <c r="AX25" i="77"/>
  <c r="AY29" i="77"/>
  <c r="AW46" i="77"/>
  <c r="AZ51" i="77"/>
  <c r="AF74" i="77"/>
  <c r="M17" i="47"/>
  <c r="AH22" i="77"/>
  <c r="AK26" i="77"/>
  <c r="AM30" i="77"/>
  <c r="AN47" i="77"/>
  <c r="AQ52" i="77"/>
  <c r="BA75" i="77"/>
  <c r="K15" i="47"/>
  <c r="AK22" i="77"/>
  <c r="AX46" i="77"/>
  <c r="AT50" i="77"/>
  <c r="AV72" i="77"/>
  <c r="AD76" i="77"/>
  <c r="AR93" i="77"/>
  <c r="AX117" i="77"/>
  <c r="AO22" i="77"/>
  <c r="AO23" i="77"/>
  <c r="AQ24" i="77"/>
  <c r="AQ25" i="77"/>
  <c r="AQ26" i="77"/>
  <c r="AR27" i="77"/>
  <c r="AR28" i="77"/>
  <c r="AT29" i="77"/>
  <c r="AT30" i="77"/>
  <c r="AT31" i="77"/>
  <c r="AX45" i="77"/>
  <c r="AF47" i="77"/>
  <c r="AM48" i="77"/>
  <c r="AT49" i="77"/>
  <c r="BA50" i="77"/>
  <c r="AI52" i="77"/>
  <c r="AP53" i="77"/>
  <c r="AZ69" i="77"/>
  <c r="AM73" i="77"/>
  <c r="AT76" i="77"/>
  <c r="AS94" i="77"/>
  <c r="AV119" i="77"/>
  <c r="M38" i="47"/>
  <c r="K19" i="47"/>
  <c r="J41" i="48"/>
  <c r="AK23" i="77"/>
  <c r="AK24" i="77"/>
  <c r="AL25" i="77"/>
  <c r="AL26" i="77"/>
  <c r="AN27" i="77"/>
  <c r="AN28" i="77"/>
  <c r="AN29" i="77"/>
  <c r="AO30" i="77"/>
  <c r="AO31" i="77"/>
  <c r="AQ45" i="77"/>
  <c r="AF48" i="77"/>
  <c r="AM49" i="77"/>
  <c r="BA51" i="77"/>
  <c r="AI53" i="77"/>
  <c r="AJ69" i="77"/>
  <c r="AT22" i="77"/>
  <c r="AT23" i="77"/>
  <c r="AU24" i="77"/>
  <c r="AU25" i="77"/>
  <c r="AW26" i="77"/>
  <c r="AW27" i="77"/>
  <c r="AW28" i="77"/>
  <c r="AX29" i="77"/>
  <c r="AX30" i="77"/>
  <c r="AZ31" i="77"/>
  <c r="AF46" i="77"/>
  <c r="AM47" i="77"/>
  <c r="AT48" i="77"/>
  <c r="BA49" i="77"/>
  <c r="AI51" i="77"/>
  <c r="AP52" i="77"/>
  <c r="BA53" i="77"/>
  <c r="AR70" i="77"/>
  <c r="AE74" i="77"/>
  <c r="AQ77" i="77"/>
  <c r="AE96" i="77"/>
  <c r="AZ123" i="77"/>
  <c r="I38" i="47"/>
  <c r="I18" i="47"/>
  <c r="L36" i="48"/>
  <c r="AW23" i="77"/>
  <c r="AY25" i="77"/>
  <c r="AZ27" i="77"/>
  <c r="AC30" i="77"/>
  <c r="AZ70" i="77"/>
  <c r="AI78" i="77"/>
  <c r="AL98" i="77"/>
  <c r="AO143" i="77"/>
  <c r="AC22" i="77"/>
  <c r="AC23" i="77"/>
  <c r="AC24" i="77"/>
  <c r="AD25" i="77"/>
  <c r="AD26" i="77"/>
  <c r="AF27" i="77"/>
  <c r="AF28" i="77"/>
  <c r="AF29" i="77"/>
  <c r="AG30" i="77"/>
  <c r="AG31" i="77"/>
  <c r="AH45" i="77"/>
  <c r="AO46" i="77"/>
  <c r="AV47" i="77"/>
  <c r="AD49" i="77"/>
  <c r="AK50" i="77"/>
  <c r="AR51" i="77"/>
  <c r="AY52" i="77"/>
  <c r="AT54" i="77"/>
  <c r="AQ71" i="77"/>
  <c r="AD75" i="77"/>
  <c r="AR92" i="77"/>
  <c r="AJ100" i="77"/>
  <c r="AR148" i="77"/>
  <c r="M33" i="47"/>
  <c r="I14" i="47"/>
  <c r="AW22" i="77"/>
  <c r="AY24" i="77"/>
  <c r="AY26" i="77"/>
  <c r="AZ28" i="77"/>
  <c r="AC31" i="77"/>
  <c r="AH46" i="77"/>
  <c r="AO47" i="77"/>
  <c r="AV48" i="77"/>
  <c r="AD50" i="77"/>
  <c r="AK51" i="77"/>
  <c r="AR52" i="77"/>
  <c r="AH54" i="77"/>
  <c r="AM74" i="77"/>
  <c r="AG22" i="77"/>
  <c r="AG23" i="77"/>
  <c r="AI24" i="77"/>
  <c r="AI25" i="77"/>
  <c r="AI26" i="77"/>
  <c r="AJ27" i="77"/>
  <c r="AJ28" i="77"/>
  <c r="AL29" i="77"/>
  <c r="AL30" i="77"/>
  <c r="AL31" i="77"/>
  <c r="AO45" i="77"/>
  <c r="AV46" i="77"/>
  <c r="AD48" i="77"/>
  <c r="AK49" i="77"/>
  <c r="AR50" i="77"/>
  <c r="AY51" i="77"/>
  <c r="AG53" i="77"/>
  <c r="AN72" i="77"/>
  <c r="AU75" i="77"/>
  <c r="AK93" i="77"/>
  <c r="I45" i="48"/>
  <c r="AD17" i="85" s="1"/>
  <c r="I15" i="48"/>
  <c r="AL22" i="77"/>
  <c r="AX22" i="77"/>
  <c r="AL23" i="77"/>
  <c r="AZ23" i="77"/>
  <c r="AM24" i="77"/>
  <c r="AZ24" i="77"/>
  <c r="AM25" i="77"/>
  <c r="AZ25" i="77"/>
  <c r="AO26" i="77"/>
  <c r="BA26" i="77"/>
  <c r="AO27" i="77"/>
  <c r="BA27" i="77"/>
  <c r="AO28" i="77"/>
  <c r="AD29" i="77"/>
  <c r="AP29" i="77"/>
  <c r="AD30" i="77"/>
  <c r="AP30" i="77"/>
  <c r="AD31" i="77"/>
  <c r="AR31" i="77"/>
  <c r="AC45" i="77"/>
  <c r="AS45" i="77"/>
  <c r="AJ46" i="77"/>
  <c r="AZ46" i="77"/>
  <c r="AQ47" i="77"/>
  <c r="AH48" i="77"/>
  <c r="AX48" i="77"/>
  <c r="AO49" i="77"/>
  <c r="AF50" i="77"/>
  <c r="AV50" i="77"/>
  <c r="AM51" i="77"/>
  <c r="AD52" i="77"/>
  <c r="AT52" i="77"/>
  <c r="AK53" i="77"/>
  <c r="AJ54" i="77"/>
  <c r="AS69" i="77"/>
  <c r="AO71" i="77"/>
  <c r="AF73" i="77"/>
  <c r="AV74" i="77"/>
  <c r="AR76" i="77"/>
  <c r="AJ78" i="77"/>
  <c r="AJ94" i="77"/>
  <c r="AM98" i="77"/>
  <c r="AO119" i="77"/>
  <c r="AR124" i="77"/>
  <c r="M37" i="47"/>
  <c r="L33" i="47"/>
  <c r="J20" i="47"/>
  <c r="L17" i="47"/>
  <c r="K12" i="47"/>
  <c r="M41" i="48"/>
  <c r="M33" i="48"/>
  <c r="N13" i="48"/>
  <c r="J36" i="48"/>
  <c r="AM22" i="77"/>
  <c r="BA22" i="77"/>
  <c r="AN23" i="77"/>
  <c r="BA23" i="77"/>
  <c r="AN24" i="77"/>
  <c r="BA24" i="77"/>
  <c r="AP25" i="77"/>
  <c r="AC26" i="77"/>
  <c r="AP26" i="77"/>
  <c r="AC27" i="77"/>
  <c r="AP27" i="77"/>
  <c r="AE28" i="77"/>
  <c r="AQ28" i="77"/>
  <c r="AE29" i="77"/>
  <c r="AQ29" i="77"/>
  <c r="AE30" i="77"/>
  <c r="AS30" i="77"/>
  <c r="AF31" i="77"/>
  <c r="AS31" i="77"/>
  <c r="AG45" i="77"/>
  <c r="AW45" i="77"/>
  <c r="AN46" i="77"/>
  <c r="AE47" i="77"/>
  <c r="AU47" i="77"/>
  <c r="AL48" i="77"/>
  <c r="AC49" i="77"/>
  <c r="AS49" i="77"/>
  <c r="AJ50" i="77"/>
  <c r="AZ50" i="77"/>
  <c r="AQ51" i="77"/>
  <c r="AH52" i="77"/>
  <c r="AX52" i="77"/>
  <c r="AO53" i="77"/>
  <c r="AR54" i="77"/>
  <c r="AY69" i="77"/>
  <c r="AP71" i="77"/>
  <c r="AG73" i="77"/>
  <c r="AC75" i="77"/>
  <c r="AS76" i="77"/>
  <c r="AP78" i="77"/>
  <c r="AK94" i="77"/>
  <c r="AI100" i="77"/>
  <c r="AP119" i="77"/>
  <c r="AH142" i="77"/>
  <c r="L37" i="47"/>
  <c r="K33" i="47"/>
  <c r="I20" i="47"/>
  <c r="K17" i="47"/>
  <c r="J12" i="47"/>
  <c r="L41" i="48"/>
  <c r="I33" i="48"/>
  <c r="J13" i="48"/>
  <c r="AD22" i="77"/>
  <c r="AP22" i="77"/>
  <c r="AD23" i="77"/>
  <c r="AR23" i="77"/>
  <c r="AE24" i="77"/>
  <c r="AR24" i="77"/>
  <c r="AE25" i="77"/>
  <c r="AR25" i="77"/>
  <c r="AG26" i="77"/>
  <c r="AS26" i="77"/>
  <c r="AG27" i="77"/>
  <c r="AS27" i="77"/>
  <c r="AG28" i="77"/>
  <c r="AU28" i="77"/>
  <c r="AH29" i="77"/>
  <c r="AU29" i="77"/>
  <c r="AH30" i="77"/>
  <c r="AU30" i="77"/>
  <c r="AJ31" i="77"/>
  <c r="AV31" i="77"/>
  <c r="AI45" i="77"/>
  <c r="AY45" i="77"/>
  <c r="AP46" i="77"/>
  <c r="AG47" i="77"/>
  <c r="AW47" i="77"/>
  <c r="AN48" i="77"/>
  <c r="AE49" i="77"/>
  <c r="AU49" i="77"/>
  <c r="AL50" i="77"/>
  <c r="AC51" i="77"/>
  <c r="AS51" i="77"/>
  <c r="AJ52" i="77"/>
  <c r="AZ52" i="77"/>
  <c r="AQ53" i="77"/>
  <c r="AX54" i="77"/>
  <c r="AH70" i="77"/>
  <c r="AX71" i="77"/>
  <c r="AO73" i="77"/>
  <c r="AK75" i="77"/>
  <c r="BA76" i="77"/>
  <c r="AS92" i="77"/>
  <c r="AW95" i="77"/>
  <c r="AZ100" i="77"/>
  <c r="AM121" i="77"/>
  <c r="AY143" i="77"/>
  <c r="J42" i="47"/>
  <c r="M36" i="47"/>
  <c r="K28" i="47"/>
  <c r="I19" i="47"/>
  <c r="I15" i="47"/>
  <c r="K11" i="47"/>
  <c r="I41" i="48"/>
  <c r="I30" i="48"/>
  <c r="L11" i="48"/>
  <c r="AE22" i="77"/>
  <c r="AS22" i="77"/>
  <c r="AF23" i="77"/>
  <c r="AS23" i="77"/>
  <c r="AF24" i="77"/>
  <c r="AS24" i="77"/>
  <c r="AH25" i="77"/>
  <c r="AT25" i="77"/>
  <c r="AH26" i="77"/>
  <c r="AT26" i="77"/>
  <c r="AH27" i="77"/>
  <c r="AV27" i="77"/>
  <c r="AI28" i="77"/>
  <c r="AV28" i="77"/>
  <c r="AI29" i="77"/>
  <c r="AV29" i="77"/>
  <c r="AK30" i="77"/>
  <c r="AW30" i="77"/>
  <c r="AK31" i="77"/>
  <c r="AW31" i="77"/>
  <c r="AK45" i="77"/>
  <c r="BA45" i="77"/>
  <c r="AR46" i="77"/>
  <c r="AI47" i="77"/>
  <c r="AY47" i="77"/>
  <c r="AP48" i="77"/>
  <c r="AG49" i="77"/>
  <c r="AW49" i="77"/>
  <c r="AN50" i="77"/>
  <c r="AE51" i="77"/>
  <c r="AU51" i="77"/>
  <c r="AL52" i="77"/>
  <c r="AC53" i="77"/>
  <c r="AS53" i="77"/>
  <c r="AZ54" i="77"/>
  <c r="AQ70" i="77"/>
  <c r="AH72" i="77"/>
  <c r="AD74" i="77"/>
  <c r="AT75" i="77"/>
  <c r="AK77" i="77"/>
  <c r="AT92" i="77"/>
  <c r="AX95" i="77"/>
  <c r="AD122" i="77"/>
  <c r="AI147" i="77"/>
  <c r="I41" i="47"/>
  <c r="K36" i="47"/>
  <c r="J28" i="47"/>
  <c r="N18" i="47"/>
  <c r="N14" i="47"/>
  <c r="I11" i="47"/>
  <c r="N37" i="48"/>
  <c r="I18" i="48"/>
  <c r="BA116" i="77"/>
  <c r="AE122" i="77"/>
  <c r="AK147" i="77"/>
  <c r="N38" i="47"/>
  <c r="J36" i="47"/>
  <c r="I28" i="47"/>
  <c r="M18" i="47"/>
  <c r="M14" i="47"/>
  <c r="I10" i="47"/>
  <c r="L37" i="48"/>
  <c r="M17" i="48"/>
  <c r="AF22" i="77"/>
  <c r="AN22" i="77"/>
  <c r="AV22" i="77"/>
  <c r="AE23" i="77"/>
  <c r="AM23" i="77"/>
  <c r="AU23" i="77"/>
  <c r="AD24" i="77"/>
  <c r="AL24" i="77"/>
  <c r="AT24" i="77"/>
  <c r="AC25" i="77"/>
  <c r="AK25" i="77"/>
  <c r="AS25" i="77"/>
  <c r="BA25" i="77"/>
  <c r="AJ26" i="77"/>
  <c r="AR26" i="77"/>
  <c r="AZ26" i="77"/>
  <c r="AI27" i="77"/>
  <c r="AQ27" i="77"/>
  <c r="AY27" i="77"/>
  <c r="AH28" i="77"/>
  <c r="AP28" i="77"/>
  <c r="AX28" i="77"/>
  <c r="AG29" i="77"/>
  <c r="AO29" i="77"/>
  <c r="AW29" i="77"/>
  <c r="AF30" i="77"/>
  <c r="AN30" i="77"/>
  <c r="AV30" i="77"/>
  <c r="AE31" i="77"/>
  <c r="AM31" i="77"/>
  <c r="AU31" i="77"/>
  <c r="AJ45" i="77"/>
  <c r="AR45" i="77"/>
  <c r="AZ45" i="77"/>
  <c r="AI46" i="77"/>
  <c r="AQ46" i="77"/>
  <c r="AY46" i="77"/>
  <c r="AH47" i="77"/>
  <c r="AP47" i="77"/>
  <c r="AX47" i="77"/>
  <c r="AG48" i="77"/>
  <c r="AO48" i="77"/>
  <c r="AW48" i="77"/>
  <c r="AF49" i="77"/>
  <c r="AN49" i="77"/>
  <c r="AV49" i="77"/>
  <c r="AE50" i="77"/>
  <c r="AM50" i="77"/>
  <c r="AU50" i="77"/>
  <c r="AD51" i="77"/>
  <c r="AL51" i="77"/>
  <c r="AT51" i="77"/>
  <c r="AC52" i="77"/>
  <c r="AK52" i="77"/>
  <c r="AS52" i="77"/>
  <c r="BA52" i="77"/>
  <c r="AJ53" i="77"/>
  <c r="AR53" i="77"/>
  <c r="AI54" i="77"/>
  <c r="AY54" i="77"/>
  <c r="AI69" i="77"/>
  <c r="BA69" i="77"/>
  <c r="AY70" i="77"/>
  <c r="AW71" i="77"/>
  <c r="AP72" i="77"/>
  <c r="AN73" i="77"/>
  <c r="AL74" i="77"/>
  <c r="AE75" i="77"/>
  <c r="AC76" i="77"/>
  <c r="AZ76" i="77"/>
  <c r="AS77" i="77"/>
  <c r="AQ78" i="77"/>
  <c r="AC92" i="77"/>
  <c r="AZ92" i="77"/>
  <c r="AS93" i="77"/>
  <c r="AT94" i="77"/>
  <c r="AU96" i="77"/>
  <c r="AS98" i="77"/>
  <c r="BA100" i="77"/>
  <c r="AY117" i="77"/>
  <c r="AM120" i="77"/>
  <c r="AK122" i="77"/>
  <c r="AS124" i="77"/>
  <c r="AH140" i="77"/>
  <c r="AD144" i="77"/>
  <c r="AY77" i="77"/>
  <c r="AR78" i="77"/>
  <c r="AD92" i="77"/>
  <c r="BA92" i="77"/>
  <c r="AY93" i="77"/>
  <c r="AW94" i="77"/>
  <c r="AV96" i="77"/>
  <c r="AJ99" i="77"/>
  <c r="AH101" i="77"/>
  <c r="AC116" i="77"/>
  <c r="AZ117" i="77"/>
  <c r="AN120" i="77"/>
  <c r="BA122" i="77"/>
  <c r="AY124" i="77"/>
  <c r="AJ140" i="77"/>
  <c r="AK145" i="77"/>
  <c r="AD45" i="77"/>
  <c r="AL45" i="77"/>
  <c r="AT45" i="77"/>
  <c r="AC46" i="77"/>
  <c r="AK46" i="77"/>
  <c r="AS46" i="77"/>
  <c r="BA46" i="77"/>
  <c r="AJ47" i="77"/>
  <c r="AR47" i="77"/>
  <c r="AZ47" i="77"/>
  <c r="AI48" i="77"/>
  <c r="AQ48" i="77"/>
  <c r="AY48" i="77"/>
  <c r="AH49" i="77"/>
  <c r="AP49" i="77"/>
  <c r="AX49" i="77"/>
  <c r="AG50" i="77"/>
  <c r="AO50" i="77"/>
  <c r="AW50" i="77"/>
  <c r="AF51" i="77"/>
  <c r="AN51" i="77"/>
  <c r="AV51" i="77"/>
  <c r="AE52" i="77"/>
  <c r="AM52" i="77"/>
  <c r="AU52" i="77"/>
  <c r="AD53" i="77"/>
  <c r="AL53" i="77"/>
  <c r="AU53" i="77"/>
  <c r="AL54" i="77"/>
  <c r="AK69" i="77"/>
  <c r="AI70" i="77"/>
  <c r="AG71" i="77"/>
  <c r="AY71" i="77"/>
  <c r="AW72" i="77"/>
  <c r="AU73" i="77"/>
  <c r="AN74" i="77"/>
  <c r="AL75" i="77"/>
  <c r="AJ76" i="77"/>
  <c r="AC77" i="77"/>
  <c r="AZ77" i="77"/>
  <c r="AX78" i="77"/>
  <c r="AJ92" i="77"/>
  <c r="AC93" i="77"/>
  <c r="AZ93" i="77"/>
  <c r="AG95" i="77"/>
  <c r="AW96" i="77"/>
  <c r="AK99" i="77"/>
  <c r="AX101" i="77"/>
  <c r="AI116" i="77"/>
  <c r="AQ118" i="77"/>
  <c r="AO120" i="77"/>
  <c r="AC123" i="77"/>
  <c r="AP125" i="77"/>
  <c r="AT140" i="77"/>
  <c r="AM145" i="77"/>
  <c r="AI22" i="77"/>
  <c r="AQ22" i="77"/>
  <c r="AY22" i="77"/>
  <c r="AH23" i="77"/>
  <c r="AP23" i="77"/>
  <c r="AX23" i="77"/>
  <c r="AG24" i="77"/>
  <c r="AO24" i="77"/>
  <c r="AW24" i="77"/>
  <c r="AF25" i="77"/>
  <c r="AN25" i="77"/>
  <c r="AV25" i="77"/>
  <c r="AE26" i="77"/>
  <c r="AM26" i="77"/>
  <c r="AU26" i="77"/>
  <c r="AD27" i="77"/>
  <c r="AL27" i="77"/>
  <c r="AT27" i="77"/>
  <c r="AC28" i="77"/>
  <c r="AK28" i="77"/>
  <c r="AS28" i="77"/>
  <c r="BA28" i="77"/>
  <c r="AJ29" i="77"/>
  <c r="AR29" i="77"/>
  <c r="AZ29" i="77"/>
  <c r="AI30" i="77"/>
  <c r="AQ30" i="77"/>
  <c r="AY30" i="77"/>
  <c r="AH31" i="77"/>
  <c r="AP31" i="77"/>
  <c r="AX31" i="77"/>
  <c r="AE45" i="77"/>
  <c r="AM45" i="77"/>
  <c r="AU45" i="77"/>
  <c r="AD46" i="77"/>
  <c r="AL46" i="77"/>
  <c r="AT46" i="77"/>
  <c r="AC47" i="77"/>
  <c r="AK47" i="77"/>
  <c r="AS47" i="77"/>
  <c r="BA47" i="77"/>
  <c r="AJ48" i="77"/>
  <c r="AR48" i="77"/>
  <c r="AZ48" i="77"/>
  <c r="AI49" i="77"/>
  <c r="AQ49" i="77"/>
  <c r="AY49" i="77"/>
  <c r="AH50" i="77"/>
  <c r="AP50" i="77"/>
  <c r="AX50" i="77"/>
  <c r="AG51" i="77"/>
  <c r="AO51" i="77"/>
  <c r="AW51" i="77"/>
  <c r="AF52" i="77"/>
  <c r="AN52" i="77"/>
  <c r="AV52" i="77"/>
  <c r="AE53" i="77"/>
  <c r="AM53" i="77"/>
  <c r="AY53" i="77"/>
  <c r="AP54" i="77"/>
  <c r="AQ69" i="77"/>
  <c r="AJ70" i="77"/>
  <c r="AH71" i="77"/>
  <c r="AF72" i="77"/>
  <c r="AX72" i="77"/>
  <c r="AV73" i="77"/>
  <c r="AT74" i="77"/>
  <c r="AM75" i="77"/>
  <c r="AK76" i="77"/>
  <c r="AI77" i="77"/>
  <c r="BA77" i="77"/>
  <c r="AY78" i="77"/>
  <c r="AK92" i="77"/>
  <c r="AI93" i="77"/>
  <c r="BA93" i="77"/>
  <c r="AH95" i="77"/>
  <c r="AN97" i="77"/>
  <c r="AL99" i="77"/>
  <c r="AY101" i="77"/>
  <c r="AJ116" i="77"/>
  <c r="AW118" i="77"/>
  <c r="AF121" i="77"/>
  <c r="AD123" i="77"/>
  <c r="AQ125" i="77"/>
  <c r="BA141" i="77"/>
  <c r="AY148" i="77"/>
  <c r="AQ148" i="77"/>
  <c r="AI148" i="77"/>
  <c r="AZ147" i="77"/>
  <c r="AR147" i="77"/>
  <c r="AJ147" i="77"/>
  <c r="BA146" i="77"/>
  <c r="AS146" i="77"/>
  <c r="AK146" i="77"/>
  <c r="AC146" i="77"/>
  <c r="AT145" i="77"/>
  <c r="AL145" i="77"/>
  <c r="AD145" i="77"/>
  <c r="AU144" i="77"/>
  <c r="AM144" i="77"/>
  <c r="AE144" i="77"/>
  <c r="AV143" i="77"/>
  <c r="AN143" i="77"/>
  <c r="AF143" i="77"/>
  <c r="AW142" i="77"/>
  <c r="AO142" i="77"/>
  <c r="AG142" i="77"/>
  <c r="AX141" i="77"/>
  <c r="AP141" i="77"/>
  <c r="AH141" i="77"/>
  <c r="AY140" i="77"/>
  <c r="AQ140" i="77"/>
  <c r="AI140" i="77"/>
  <c r="AZ139" i="77"/>
  <c r="AR139" i="77"/>
  <c r="AJ139" i="77"/>
  <c r="AW125" i="77"/>
  <c r="AW148" i="77"/>
  <c r="AO148" i="77"/>
  <c r="AG148" i="77"/>
  <c r="AX147" i="77"/>
  <c r="AP147" i="77"/>
  <c r="AH147" i="77"/>
  <c r="AY146" i="77"/>
  <c r="AQ146" i="77"/>
  <c r="AI146" i="77"/>
  <c r="AZ145" i="77"/>
  <c r="AR145" i="77"/>
  <c r="AJ145" i="77"/>
  <c r="BA144" i="77"/>
  <c r="AS144" i="77"/>
  <c r="AK144" i="77"/>
  <c r="AC144" i="77"/>
  <c r="AT143" i="77"/>
  <c r="AL143" i="77"/>
  <c r="AD143" i="77"/>
  <c r="AU142" i="77"/>
  <c r="AM142" i="77"/>
  <c r="AE142" i="77"/>
  <c r="AV141" i="77"/>
  <c r="AN141" i="77"/>
  <c r="AF141" i="77"/>
  <c r="AW140" i="77"/>
  <c r="AO140" i="77"/>
  <c r="AG140" i="77"/>
  <c r="AX139" i="77"/>
  <c r="AP139" i="77"/>
  <c r="AH139" i="77"/>
  <c r="AV148" i="77"/>
  <c r="AN148" i="77"/>
  <c r="AF148" i="77"/>
  <c r="AW147" i="77"/>
  <c r="AO147" i="77"/>
  <c r="AG147" i="77"/>
  <c r="AX146" i="77"/>
  <c r="AP146" i="77"/>
  <c r="AH146" i="77"/>
  <c r="AY145" i="77"/>
  <c r="AQ145" i="77"/>
  <c r="AI145" i="77"/>
  <c r="AZ144" i="77"/>
  <c r="AR144" i="77"/>
  <c r="AJ144" i="77"/>
  <c r="BA143" i="77"/>
  <c r="AS143" i="77"/>
  <c r="AK143" i="77"/>
  <c r="AC143" i="77"/>
  <c r="AT142" i="77"/>
  <c r="AL142" i="77"/>
  <c r="AD142" i="77"/>
  <c r="AU141" i="77"/>
  <c r="AM141" i="77"/>
  <c r="AE141" i="77"/>
  <c r="AV140" i="77"/>
  <c r="AN140" i="77"/>
  <c r="AF140" i="77"/>
  <c r="AW139" i="77"/>
  <c r="AO139" i="77"/>
  <c r="AG139" i="77"/>
  <c r="AU148" i="77"/>
  <c r="AM148" i="77"/>
  <c r="AE148" i="77"/>
  <c r="AV147" i="77"/>
  <c r="AN147" i="77"/>
  <c r="AF147" i="77"/>
  <c r="AW146" i="77"/>
  <c r="AO146" i="77"/>
  <c r="AG146" i="77"/>
  <c r="AX145" i="77"/>
  <c r="AP145" i="77"/>
  <c r="AH145" i="77"/>
  <c r="AY144" i="77"/>
  <c r="AQ144" i="77"/>
  <c r="AI144" i="77"/>
  <c r="AZ143" i="77"/>
  <c r="AR143" i="77"/>
  <c r="AJ143" i="77"/>
  <c r="BA142" i="77"/>
  <c r="AS142" i="77"/>
  <c r="AK142" i="77"/>
  <c r="AC142" i="77"/>
  <c r="AT141" i="77"/>
  <c r="AL141" i="77"/>
  <c r="AD141" i="77"/>
  <c r="AU140" i="77"/>
  <c r="AM140" i="77"/>
  <c r="AE140" i="77"/>
  <c r="AV139" i="77"/>
  <c r="AN139" i="77"/>
  <c r="AF139" i="77"/>
  <c r="BA148" i="77"/>
  <c r="AK148" i="77"/>
  <c r="AT147" i="77"/>
  <c r="AD147" i="77"/>
  <c r="AM146" i="77"/>
  <c r="AV145" i="77"/>
  <c r="AF145" i="77"/>
  <c r="AO144" i="77"/>
  <c r="AX143" i="77"/>
  <c r="AH143" i="77"/>
  <c r="AQ142" i="77"/>
  <c r="AZ141" i="77"/>
  <c r="AJ141" i="77"/>
  <c r="AS140" i="77"/>
  <c r="AC140" i="77"/>
  <c r="AL139" i="77"/>
  <c r="AX125" i="77"/>
  <c r="AO125" i="77"/>
  <c r="AG125" i="77"/>
  <c r="AX124" i="77"/>
  <c r="AP124" i="77"/>
  <c r="AH124" i="77"/>
  <c r="AY123" i="77"/>
  <c r="AQ123" i="77"/>
  <c r="AI123" i="77"/>
  <c r="AZ122" i="77"/>
  <c r="AR122" i="77"/>
  <c r="AJ122" i="77"/>
  <c r="BA121" i="77"/>
  <c r="AS121" i="77"/>
  <c r="AK121" i="77"/>
  <c r="AC121" i="77"/>
  <c r="AT120" i="77"/>
  <c r="AL120" i="77"/>
  <c r="AD120" i="77"/>
  <c r="AU119" i="77"/>
  <c r="AM119" i="77"/>
  <c r="AE119" i="77"/>
  <c r="AV118" i="77"/>
  <c r="AN118" i="77"/>
  <c r="AF118" i="77"/>
  <c r="AW117" i="77"/>
  <c r="AO117" i="77"/>
  <c r="AG117" i="77"/>
  <c r="AX116" i="77"/>
  <c r="AP116" i="77"/>
  <c r="AH116" i="77"/>
  <c r="AW101" i="77"/>
  <c r="AO101" i="77"/>
  <c r="AG101" i="77"/>
  <c r="AX100" i="77"/>
  <c r="AP100" i="77"/>
  <c r="AH100" i="77"/>
  <c r="AY99" i="77"/>
  <c r="AQ99" i="77"/>
  <c r="AI99" i="77"/>
  <c r="AZ98" i="77"/>
  <c r="AR98" i="77"/>
  <c r="AJ98" i="77"/>
  <c r="BA97" i="77"/>
  <c r="AS97" i="77"/>
  <c r="AK97" i="77"/>
  <c r="AC97" i="77"/>
  <c r="AT96" i="77"/>
  <c r="AL96" i="77"/>
  <c r="AD96" i="77"/>
  <c r="AU95" i="77"/>
  <c r="AM95" i="77"/>
  <c r="AE95" i="77"/>
  <c r="AV94" i="77"/>
  <c r="AZ148" i="77"/>
  <c r="AJ148" i="77"/>
  <c r="AS147" i="77"/>
  <c r="AC147" i="77"/>
  <c r="AL146" i="77"/>
  <c r="AU145" i="77"/>
  <c r="AE145" i="77"/>
  <c r="AN144" i="77"/>
  <c r="AW143" i="77"/>
  <c r="AG143" i="77"/>
  <c r="AP142" i="77"/>
  <c r="AY141" i="77"/>
  <c r="AI141" i="77"/>
  <c r="AR140" i="77"/>
  <c r="BA139" i="77"/>
  <c r="AK139" i="77"/>
  <c r="AV125" i="77"/>
  <c r="AN125" i="77"/>
  <c r="AF125" i="77"/>
  <c r="AW124" i="77"/>
  <c r="AO124" i="77"/>
  <c r="AG124" i="77"/>
  <c r="AX123" i="77"/>
  <c r="AP123" i="77"/>
  <c r="AH123" i="77"/>
  <c r="AY122" i="77"/>
  <c r="AQ122" i="77"/>
  <c r="AI122" i="77"/>
  <c r="AZ121" i="77"/>
  <c r="AR121" i="77"/>
  <c r="AJ121" i="77"/>
  <c r="BA120" i="77"/>
  <c r="AS120" i="77"/>
  <c r="AK120" i="77"/>
  <c r="AC120" i="77"/>
  <c r="AT119" i="77"/>
  <c r="AL119" i="77"/>
  <c r="AD119" i="77"/>
  <c r="AU118" i="77"/>
  <c r="AM118" i="77"/>
  <c r="AE118" i="77"/>
  <c r="AV117" i="77"/>
  <c r="AN117" i="77"/>
  <c r="AF117" i="77"/>
  <c r="AW116" i="77"/>
  <c r="AO116" i="77"/>
  <c r="AG116" i="77"/>
  <c r="AV101" i="77"/>
  <c r="AN101" i="77"/>
  <c r="AF101" i="77"/>
  <c r="AW100" i="77"/>
  <c r="AO100" i="77"/>
  <c r="AG100" i="77"/>
  <c r="AX99" i="77"/>
  <c r="AP99" i="77"/>
  <c r="AH99" i="77"/>
  <c r="AY98" i="77"/>
  <c r="AQ98" i="77"/>
  <c r="AI98" i="77"/>
  <c r="AZ97" i="77"/>
  <c r="AR97" i="77"/>
  <c r="AJ97" i="77"/>
  <c r="BA96" i="77"/>
  <c r="AS96" i="77"/>
  <c r="AK96" i="77"/>
  <c r="AC96" i="77"/>
  <c r="AT95" i="77"/>
  <c r="AL95" i="77"/>
  <c r="AD95" i="77"/>
  <c r="AU94" i="77"/>
  <c r="AM94" i="77"/>
  <c r="AE94" i="77"/>
  <c r="AX148" i="77"/>
  <c r="AH148" i="77"/>
  <c r="AQ147" i="77"/>
  <c r="AZ146" i="77"/>
  <c r="AJ146" i="77"/>
  <c r="AS145" i="77"/>
  <c r="AC145" i="77"/>
  <c r="AL144" i="77"/>
  <c r="AU143" i="77"/>
  <c r="AE143" i="77"/>
  <c r="AN142" i="77"/>
  <c r="AW141" i="77"/>
  <c r="AG141" i="77"/>
  <c r="AP140" i="77"/>
  <c r="AY139" i="77"/>
  <c r="AI139" i="77"/>
  <c r="AU125" i="77"/>
  <c r="AM125" i="77"/>
  <c r="AE125" i="77"/>
  <c r="AV124" i="77"/>
  <c r="AN124" i="77"/>
  <c r="AF124" i="77"/>
  <c r="AW123" i="77"/>
  <c r="AO123" i="77"/>
  <c r="AG123" i="77"/>
  <c r="AX122" i="77"/>
  <c r="AP122" i="77"/>
  <c r="AH122" i="77"/>
  <c r="AY121" i="77"/>
  <c r="AQ121" i="77"/>
  <c r="AI121" i="77"/>
  <c r="AZ120" i="77"/>
  <c r="AR120" i="77"/>
  <c r="AJ120" i="77"/>
  <c r="BA119" i="77"/>
  <c r="AS119" i="77"/>
  <c r="AK119" i="77"/>
  <c r="AC119" i="77"/>
  <c r="AT118" i="77"/>
  <c r="AL118" i="77"/>
  <c r="AD118" i="77"/>
  <c r="AU117" i="77"/>
  <c r="AM117" i="77"/>
  <c r="AE117" i="77"/>
  <c r="AV116" i="77"/>
  <c r="AN116" i="77"/>
  <c r="AF116" i="77"/>
  <c r="AU101" i="77"/>
  <c r="AM101" i="77"/>
  <c r="AE101" i="77"/>
  <c r="AV100" i="77"/>
  <c r="AN100" i="77"/>
  <c r="AF100" i="77"/>
  <c r="AW99" i="77"/>
  <c r="AO99" i="77"/>
  <c r="AG99" i="77"/>
  <c r="AX98" i="77"/>
  <c r="AP98" i="77"/>
  <c r="AH98" i="77"/>
  <c r="AY97" i="77"/>
  <c r="AQ97" i="77"/>
  <c r="AI97" i="77"/>
  <c r="AZ96" i="77"/>
  <c r="AR96" i="77"/>
  <c r="AJ96" i="77"/>
  <c r="BA95" i="77"/>
  <c r="AS95" i="77"/>
  <c r="AK95" i="77"/>
  <c r="AT148" i="77"/>
  <c r="AD148" i="77"/>
  <c r="AM147" i="77"/>
  <c r="AV146" i="77"/>
  <c r="AF146" i="77"/>
  <c r="AO145" i="77"/>
  <c r="AX144" i="77"/>
  <c r="AH144" i="77"/>
  <c r="AQ143" i="77"/>
  <c r="AZ142" i="77"/>
  <c r="AJ142" i="77"/>
  <c r="AS141" i="77"/>
  <c r="AC141" i="77"/>
  <c r="AL140" i="77"/>
  <c r="AU139" i="77"/>
  <c r="AE139" i="77"/>
  <c r="AT125" i="77"/>
  <c r="AL125" i="77"/>
  <c r="AD125" i="77"/>
  <c r="AU124" i="77"/>
  <c r="AM124" i="77"/>
  <c r="AE124" i="77"/>
  <c r="AV123" i="77"/>
  <c r="AN123" i="77"/>
  <c r="AF123" i="77"/>
  <c r="AW122" i="77"/>
  <c r="AO122" i="77"/>
  <c r="AG122" i="77"/>
  <c r="AX121" i="77"/>
  <c r="AP121" i="77"/>
  <c r="AH121" i="77"/>
  <c r="AY120" i="77"/>
  <c r="AQ120" i="77"/>
  <c r="AI120" i="77"/>
  <c r="AZ119" i="77"/>
  <c r="AR119" i="77"/>
  <c r="AJ119" i="77"/>
  <c r="BA118" i="77"/>
  <c r="AS118" i="77"/>
  <c r="AK118" i="77"/>
  <c r="AC118" i="77"/>
  <c r="AT117" i="77"/>
  <c r="AL117" i="77"/>
  <c r="AD117" i="77"/>
  <c r="AU116" i="77"/>
  <c r="AM116" i="77"/>
  <c r="AE116" i="77"/>
  <c r="AT101" i="77"/>
  <c r="AL101" i="77"/>
  <c r="AD101" i="77"/>
  <c r="AU100" i="77"/>
  <c r="AM100" i="77"/>
  <c r="AE100" i="77"/>
  <c r="AV99" i="77"/>
  <c r="AN99" i="77"/>
  <c r="AF99" i="77"/>
  <c r="AW98" i="77"/>
  <c r="AO98" i="77"/>
  <c r="AG98" i="77"/>
  <c r="AX97" i="77"/>
  <c r="AP97" i="77"/>
  <c r="AH97" i="77"/>
  <c r="AY96" i="77"/>
  <c r="AQ96" i="77"/>
  <c r="AI96" i="77"/>
  <c r="AZ95" i="77"/>
  <c r="AS148" i="77"/>
  <c r="AC148" i="77"/>
  <c r="AL147" i="77"/>
  <c r="AU146" i="77"/>
  <c r="AE146" i="77"/>
  <c r="AN145" i="77"/>
  <c r="AW144" i="77"/>
  <c r="AG144" i="77"/>
  <c r="AP143" i="77"/>
  <c r="AY142" i="77"/>
  <c r="AI142" i="77"/>
  <c r="AR141" i="77"/>
  <c r="BA140" i="77"/>
  <c r="AK140" i="77"/>
  <c r="AT139" i="77"/>
  <c r="AD139" i="77"/>
  <c r="AS125" i="77"/>
  <c r="AK125" i="77"/>
  <c r="AC125" i="77"/>
  <c r="AT124" i="77"/>
  <c r="AL124" i="77"/>
  <c r="AD124" i="77"/>
  <c r="AU123" i="77"/>
  <c r="AM123" i="77"/>
  <c r="AE123" i="77"/>
  <c r="AV122" i="77"/>
  <c r="AN122" i="77"/>
  <c r="AF122" i="77"/>
  <c r="AW121" i="77"/>
  <c r="AO121" i="77"/>
  <c r="AG121" i="77"/>
  <c r="AX120" i="77"/>
  <c r="AP120" i="77"/>
  <c r="AH120" i="77"/>
  <c r="AY119" i="77"/>
  <c r="AQ119" i="77"/>
  <c r="AI119" i="77"/>
  <c r="AZ118" i="77"/>
  <c r="AR118" i="77"/>
  <c r="AJ118" i="77"/>
  <c r="BA117" i="77"/>
  <c r="AS117" i="77"/>
  <c r="AK117" i="77"/>
  <c r="AC117" i="77"/>
  <c r="AT116" i="77"/>
  <c r="AL116" i="77"/>
  <c r="AD116" i="77"/>
  <c r="BA101" i="77"/>
  <c r="AS101" i="77"/>
  <c r="AK101" i="77"/>
  <c r="AC101" i="77"/>
  <c r="AT100" i="77"/>
  <c r="AL100" i="77"/>
  <c r="AD100" i="77"/>
  <c r="AU99" i="77"/>
  <c r="AM99" i="77"/>
  <c r="AE99" i="77"/>
  <c r="AV98" i="77"/>
  <c r="AN98" i="77"/>
  <c r="AF98" i="77"/>
  <c r="AW97" i="77"/>
  <c r="AO97" i="77"/>
  <c r="AG97" i="77"/>
  <c r="AX96" i="77"/>
  <c r="AP96" i="77"/>
  <c r="AH96" i="77"/>
  <c r="AY95" i="77"/>
  <c r="AQ95" i="77"/>
  <c r="AI95" i="77"/>
  <c r="AZ94" i="77"/>
  <c r="AR94" i="77"/>
  <c r="AP148" i="77"/>
  <c r="AT146" i="77"/>
  <c r="AG145" i="77"/>
  <c r="AM143" i="77"/>
  <c r="AQ141" i="77"/>
  <c r="AD140" i="77"/>
  <c r="AJ125" i="77"/>
  <c r="AQ124" i="77"/>
  <c r="AS123" i="77"/>
  <c r="AU122" i="77"/>
  <c r="AC122" i="77"/>
  <c r="AE121" i="77"/>
  <c r="AG120" i="77"/>
  <c r="AN119" i="77"/>
  <c r="AP118" i="77"/>
  <c r="AR117" i="77"/>
  <c r="AY116" i="77"/>
  <c r="AR101" i="77"/>
  <c r="AY100" i="77"/>
  <c r="BA99" i="77"/>
  <c r="AD99" i="77"/>
  <c r="AK98" i="77"/>
  <c r="AM97" i="77"/>
  <c r="AO96" i="77"/>
  <c r="AV95" i="77"/>
  <c r="AF95" i="77"/>
  <c r="AQ94" i="77"/>
  <c r="AH94" i="77"/>
  <c r="AX93" i="77"/>
  <c r="AP93" i="77"/>
  <c r="AH93" i="77"/>
  <c r="AY92" i="77"/>
  <c r="AQ92" i="77"/>
  <c r="AI92" i="77"/>
  <c r="AW78" i="77"/>
  <c r="AO78" i="77"/>
  <c r="AG78" i="77"/>
  <c r="AX77" i="77"/>
  <c r="AP77" i="77"/>
  <c r="AH77" i="77"/>
  <c r="AY76" i="77"/>
  <c r="AQ76" i="77"/>
  <c r="AI76" i="77"/>
  <c r="AZ75" i="77"/>
  <c r="AR75" i="77"/>
  <c r="AJ75" i="77"/>
  <c r="BA74" i="77"/>
  <c r="AS74" i="77"/>
  <c r="AK74" i="77"/>
  <c r="AC74" i="77"/>
  <c r="AT73" i="77"/>
  <c r="AL73" i="77"/>
  <c r="AD73" i="77"/>
  <c r="AU72" i="77"/>
  <c r="AM72" i="77"/>
  <c r="AE72" i="77"/>
  <c r="AV71" i="77"/>
  <c r="AN71" i="77"/>
  <c r="AF71" i="77"/>
  <c r="AW70" i="77"/>
  <c r="AO70" i="77"/>
  <c r="AG70" i="77"/>
  <c r="AX69" i="77"/>
  <c r="AP69" i="77"/>
  <c r="AH69" i="77"/>
  <c r="AW54" i="77"/>
  <c r="AO54" i="77"/>
  <c r="AG54" i="77"/>
  <c r="AX53" i="77"/>
  <c r="AL148" i="77"/>
  <c r="AR146" i="77"/>
  <c r="AV144" i="77"/>
  <c r="AI143" i="77"/>
  <c r="AO141" i="77"/>
  <c r="AS139" i="77"/>
  <c r="AI125" i="77"/>
  <c r="AK124" i="77"/>
  <c r="AR123" i="77"/>
  <c r="AT122" i="77"/>
  <c r="AV121" i="77"/>
  <c r="AD121" i="77"/>
  <c r="AF120" i="77"/>
  <c r="AH119" i="77"/>
  <c r="AO118" i="77"/>
  <c r="AQ117" i="77"/>
  <c r="AS116" i="77"/>
  <c r="AQ101" i="77"/>
  <c r="AS100" i="77"/>
  <c r="AZ99" i="77"/>
  <c r="AC99" i="77"/>
  <c r="AE98" i="77"/>
  <c r="AL97" i="77"/>
  <c r="AN96" i="77"/>
  <c r="AR95" i="77"/>
  <c r="AC95" i="77"/>
  <c r="AP94" i="77"/>
  <c r="AG94" i="77"/>
  <c r="AW93" i="77"/>
  <c r="AO93" i="77"/>
  <c r="AG93" i="77"/>
  <c r="AX92" i="77"/>
  <c r="AP92" i="77"/>
  <c r="AH92" i="77"/>
  <c r="AV78" i="77"/>
  <c r="AN78" i="77"/>
  <c r="AF78" i="77"/>
  <c r="AW77" i="77"/>
  <c r="AO77" i="77"/>
  <c r="AG77" i="77"/>
  <c r="AX76" i="77"/>
  <c r="AP76" i="77"/>
  <c r="AH76" i="77"/>
  <c r="AY75" i="77"/>
  <c r="AQ75" i="77"/>
  <c r="AI75" i="77"/>
  <c r="AZ74" i="77"/>
  <c r="AR74" i="77"/>
  <c r="AJ74" i="77"/>
  <c r="BA73" i="77"/>
  <c r="AS73" i="77"/>
  <c r="AK73" i="77"/>
  <c r="AC73" i="77"/>
  <c r="AT72" i="77"/>
  <c r="AL72" i="77"/>
  <c r="AD72" i="77"/>
  <c r="AU71" i="77"/>
  <c r="AM71" i="77"/>
  <c r="AE71" i="77"/>
  <c r="AV70" i="77"/>
  <c r="AN70" i="77"/>
  <c r="AF70" i="77"/>
  <c r="AW69" i="77"/>
  <c r="AO69" i="77"/>
  <c r="AG69" i="77"/>
  <c r="AV54" i="77"/>
  <c r="AN54" i="77"/>
  <c r="AF54" i="77"/>
  <c r="AW53" i="77"/>
  <c r="BA147" i="77"/>
  <c r="AN146" i="77"/>
  <c r="AT144" i="77"/>
  <c r="AX142" i="77"/>
  <c r="AK141" i="77"/>
  <c r="AQ139" i="77"/>
  <c r="BA125" i="77"/>
  <c r="AH125" i="77"/>
  <c r="AJ124" i="77"/>
  <c r="AL123" i="77"/>
  <c r="AS122" i="77"/>
  <c r="AU121" i="77"/>
  <c r="AW120" i="77"/>
  <c r="AE120" i="77"/>
  <c r="AG119" i="77"/>
  <c r="AI118" i="77"/>
  <c r="AP117" i="77"/>
  <c r="AR116" i="77"/>
  <c r="AP101" i="77"/>
  <c r="AR100" i="77"/>
  <c r="AT99" i="77"/>
  <c r="BA98" i="77"/>
  <c r="AD98" i="77"/>
  <c r="AF97" i="77"/>
  <c r="AM96" i="77"/>
  <c r="AP95" i="77"/>
  <c r="BA94" i="77"/>
  <c r="AO94" i="77"/>
  <c r="AF94" i="77"/>
  <c r="AV93" i="77"/>
  <c r="AN93" i="77"/>
  <c r="AF93" i="77"/>
  <c r="AW92" i="77"/>
  <c r="AO92" i="77"/>
  <c r="AG92" i="77"/>
  <c r="AU78" i="77"/>
  <c r="AM78" i="77"/>
  <c r="AE78" i="77"/>
  <c r="AV77" i="77"/>
  <c r="AN77" i="77"/>
  <c r="AF77" i="77"/>
  <c r="AW76" i="77"/>
  <c r="AO76" i="77"/>
  <c r="AG76" i="77"/>
  <c r="AX75" i="77"/>
  <c r="AP75" i="77"/>
  <c r="AH75" i="77"/>
  <c r="AY74" i="77"/>
  <c r="AQ74" i="77"/>
  <c r="AI74" i="77"/>
  <c r="AZ73" i="77"/>
  <c r="AR73" i="77"/>
  <c r="AJ73" i="77"/>
  <c r="BA72" i="77"/>
  <c r="AS72" i="77"/>
  <c r="AK72" i="77"/>
  <c r="AC72" i="77"/>
  <c r="AT71" i="77"/>
  <c r="AL71" i="77"/>
  <c r="AD71" i="77"/>
  <c r="AU70" i="77"/>
  <c r="AM70" i="77"/>
  <c r="AE70" i="77"/>
  <c r="AV69" i="77"/>
  <c r="AN69" i="77"/>
  <c r="AF69" i="77"/>
  <c r="AU54" i="77"/>
  <c r="AM54" i="77"/>
  <c r="AE54" i="77"/>
  <c r="AV53" i="77"/>
  <c r="AY147" i="77"/>
  <c r="AD146" i="77"/>
  <c r="AP144" i="77"/>
  <c r="AV142" i="77"/>
  <c r="AZ140" i="77"/>
  <c r="AM139" i="77"/>
  <c r="AZ125" i="77"/>
  <c r="BA124" i="77"/>
  <c r="AI124" i="77"/>
  <c r="AK123" i="77"/>
  <c r="AM122" i="77"/>
  <c r="AT121" i="77"/>
  <c r="AV120" i="77"/>
  <c r="AX119" i="77"/>
  <c r="AF119" i="77"/>
  <c r="AH118" i="77"/>
  <c r="AJ117" i="77"/>
  <c r="AQ116" i="77"/>
  <c r="AJ101" i="77"/>
  <c r="AQ100" i="77"/>
  <c r="AS99" i="77"/>
  <c r="AU98" i="77"/>
  <c r="AC98" i="77"/>
  <c r="AE97" i="77"/>
  <c r="AG96" i="77"/>
  <c r="AO95" i="77"/>
  <c r="AY94" i="77"/>
  <c r="AN94" i="77"/>
  <c r="AD94" i="77"/>
  <c r="AU93" i="77"/>
  <c r="AM93" i="77"/>
  <c r="AE93" i="77"/>
  <c r="AV92" i="77"/>
  <c r="AN92" i="77"/>
  <c r="AF92" i="77"/>
  <c r="AT78" i="77"/>
  <c r="AL78" i="77"/>
  <c r="AD78" i="77"/>
  <c r="AU77" i="77"/>
  <c r="AM77" i="77"/>
  <c r="AE77" i="77"/>
  <c r="AV76" i="77"/>
  <c r="AN76" i="77"/>
  <c r="AF76" i="77"/>
  <c r="AW75" i="77"/>
  <c r="AO75" i="77"/>
  <c r="AG75" i="77"/>
  <c r="AX74" i="77"/>
  <c r="AP74" i="77"/>
  <c r="AH74" i="77"/>
  <c r="AY73" i="77"/>
  <c r="AQ73" i="77"/>
  <c r="AI73" i="77"/>
  <c r="AZ72" i="77"/>
  <c r="AR72" i="77"/>
  <c r="AJ72" i="77"/>
  <c r="BA71" i="77"/>
  <c r="AS71" i="77"/>
  <c r="AK71" i="77"/>
  <c r="AC71" i="77"/>
  <c r="AT70" i="77"/>
  <c r="AL70" i="77"/>
  <c r="AD70" i="77"/>
  <c r="AU69" i="77"/>
  <c r="AM69" i="77"/>
  <c r="AE69" i="77"/>
  <c r="AU147" i="77"/>
  <c r="BA145" i="77"/>
  <c r="AF144" i="77"/>
  <c r="AR142" i="77"/>
  <c r="AX140" i="77"/>
  <c r="AC139" i="77"/>
  <c r="AY125" i="77"/>
  <c r="AZ124" i="77"/>
  <c r="AC124" i="77"/>
  <c r="AJ123" i="77"/>
  <c r="AL122" i="77"/>
  <c r="AN121" i="77"/>
  <c r="AU120" i="77"/>
  <c r="AW119" i="77"/>
  <c r="AY118" i="77"/>
  <c r="AG118" i="77"/>
  <c r="AI117" i="77"/>
  <c r="AK116" i="77"/>
  <c r="AI101" i="77"/>
  <c r="AK100" i="77"/>
  <c r="AR99" i="77"/>
  <c r="AT98" i="77"/>
  <c r="AV97" i="77"/>
  <c r="AD97" i="77"/>
  <c r="AF96" i="77"/>
  <c r="AN95" i="77"/>
  <c r="AX94" i="77"/>
  <c r="AL94" i="77"/>
  <c r="AC94" i="77"/>
  <c r="AT93" i="77"/>
  <c r="AL93" i="77"/>
  <c r="AD93" i="77"/>
  <c r="AU92" i="77"/>
  <c r="AM92" i="77"/>
  <c r="AE92" i="77"/>
  <c r="BA78" i="77"/>
  <c r="AS78" i="77"/>
  <c r="AK78" i="77"/>
  <c r="AC78" i="77"/>
  <c r="AT77" i="77"/>
  <c r="AL77" i="77"/>
  <c r="AD77" i="77"/>
  <c r="AU76" i="77"/>
  <c r="AM76" i="77"/>
  <c r="AE76" i="77"/>
  <c r="AV75" i="77"/>
  <c r="AN75" i="77"/>
  <c r="AF75" i="77"/>
  <c r="AW74" i="77"/>
  <c r="AO74" i="77"/>
  <c r="AG74" i="77"/>
  <c r="AX73" i="77"/>
  <c r="AP73" i="77"/>
  <c r="AH73" i="77"/>
  <c r="AY72" i="77"/>
  <c r="AQ72" i="77"/>
  <c r="AI72" i="77"/>
  <c r="AZ71" i="77"/>
  <c r="AR71" i="77"/>
  <c r="AJ71" i="77"/>
  <c r="BA70" i="77"/>
  <c r="AS70" i="77"/>
  <c r="AK70" i="77"/>
  <c r="AC70" i="77"/>
  <c r="AT69" i="77"/>
  <c r="AL69" i="77"/>
  <c r="AD69" i="77"/>
  <c r="BA54" i="77"/>
  <c r="AS54" i="77"/>
  <c r="AK54" i="77"/>
  <c r="AC54" i="77"/>
  <c r="AT53" i="77"/>
  <c r="AJ22" i="77"/>
  <c r="AR22" i="77"/>
  <c r="AZ22" i="77"/>
  <c r="AI23" i="77"/>
  <c r="AQ23" i="77"/>
  <c r="AY23" i="77"/>
  <c r="AH24" i="77"/>
  <c r="AP24" i="77"/>
  <c r="AX24" i="77"/>
  <c r="AG25" i="77"/>
  <c r="AO25" i="77"/>
  <c r="AW25" i="77"/>
  <c r="AF26" i="77"/>
  <c r="AN26" i="77"/>
  <c r="AV26" i="77"/>
  <c r="AE27" i="77"/>
  <c r="AM27" i="77"/>
  <c r="AU27" i="77"/>
  <c r="AD28" i="77"/>
  <c r="AL28" i="77"/>
  <c r="AT28" i="77"/>
  <c r="AC29" i="77"/>
  <c r="AK29" i="77"/>
  <c r="AS29" i="77"/>
  <c r="BA29" i="77"/>
  <c r="AJ30" i="77"/>
  <c r="AR30" i="77"/>
  <c r="AZ30" i="77"/>
  <c r="AI31" i="77"/>
  <c r="AQ31" i="77"/>
  <c r="AY31" i="77"/>
  <c r="AF45" i="77"/>
  <c r="AN45" i="77"/>
  <c r="AV45" i="77"/>
  <c r="AE46" i="77"/>
  <c r="AM46" i="77"/>
  <c r="AU46" i="77"/>
  <c r="AD47" i="77"/>
  <c r="AL47" i="77"/>
  <c r="AT47" i="77"/>
  <c r="AC48" i="77"/>
  <c r="AK48" i="77"/>
  <c r="AS48" i="77"/>
  <c r="BA48" i="77"/>
  <c r="AJ49" i="77"/>
  <c r="AR49" i="77"/>
  <c r="AZ49" i="77"/>
  <c r="AI50" i="77"/>
  <c r="AQ50" i="77"/>
  <c r="AY50" i="77"/>
  <c r="AH51" i="77"/>
  <c r="AP51" i="77"/>
  <c r="AX51" i="77"/>
  <c r="AG52" i="77"/>
  <c r="AO52" i="77"/>
  <c r="AW52" i="77"/>
  <c r="AF53" i="77"/>
  <c r="AN53" i="77"/>
  <c r="AZ53" i="77"/>
  <c r="AQ54" i="77"/>
  <c r="AR69" i="77"/>
  <c r="AP70" i="77"/>
  <c r="AI71" i="77"/>
  <c r="AG72" i="77"/>
  <c r="AE73" i="77"/>
  <c r="AW73" i="77"/>
  <c r="AU74" i="77"/>
  <c r="AS75" i="77"/>
  <c r="AL76" i="77"/>
  <c r="AJ77" i="77"/>
  <c r="AH78" i="77"/>
  <c r="AZ78" i="77"/>
  <c r="AL92" i="77"/>
  <c r="AJ93" i="77"/>
  <c r="AI94" i="77"/>
  <c r="AJ95" i="77"/>
  <c r="AT97" i="77"/>
  <c r="AC100" i="77"/>
  <c r="AZ101" i="77"/>
  <c r="AZ116" i="77"/>
  <c r="AX118" i="77"/>
  <c r="AL121" i="77"/>
  <c r="AT123" i="77"/>
  <c r="AR125" i="77"/>
  <c r="AF142" i="77"/>
  <c r="AE147" i="77"/>
  <c r="L10" i="16"/>
  <c r="L9" i="16"/>
  <c r="M8" i="16"/>
  <c r="L8" i="16"/>
  <c r="M10" i="16"/>
  <c r="L14" i="16"/>
  <c r="AM23" i="84" s="1"/>
  <c r="M42" i="47"/>
  <c r="L38" i="47"/>
  <c r="J37" i="47"/>
  <c r="J33" i="47"/>
  <c r="N19" i="47"/>
  <c r="L18" i="47"/>
  <c r="J17" i="47"/>
  <c r="N15" i="47"/>
  <c r="L14" i="47"/>
  <c r="N11" i="47"/>
  <c r="L42" i="47"/>
  <c r="K38" i="47"/>
  <c r="I37" i="47"/>
  <c r="I33" i="47"/>
  <c r="I29" i="47"/>
  <c r="M19" i="47"/>
  <c r="K18" i="47"/>
  <c r="I17" i="47"/>
  <c r="M15" i="47"/>
  <c r="K14" i="47"/>
  <c r="I13" i="47"/>
  <c r="M11" i="47"/>
  <c r="I12" i="48"/>
  <c r="K13" i="48"/>
  <c r="L15" i="48"/>
  <c r="L30" i="48"/>
  <c r="J33" i="48"/>
  <c r="M36" i="48"/>
  <c r="I38" i="48"/>
  <c r="I40" i="48"/>
  <c r="J12" i="48"/>
  <c r="L13" i="48"/>
  <c r="M15" i="48"/>
  <c r="I17" i="48"/>
  <c r="M30" i="48"/>
  <c r="I32" i="48"/>
  <c r="K33" i="48"/>
  <c r="N36" i="48"/>
  <c r="J38" i="48"/>
  <c r="I11" i="48"/>
  <c r="K12" i="48"/>
  <c r="M13" i="48"/>
  <c r="N15" i="48"/>
  <c r="J17" i="48"/>
  <c r="N30" i="48"/>
  <c r="L33" i="48"/>
  <c r="I37" i="48"/>
  <c r="I39" i="48"/>
  <c r="J11" i="48"/>
  <c r="L12" i="48"/>
  <c r="K11" i="48"/>
  <c r="M12" i="48"/>
  <c r="L17" i="48"/>
  <c r="N33" i="48"/>
  <c r="I36" i="48"/>
  <c r="K37" i="48"/>
  <c r="M11" i="48"/>
  <c r="I13" i="48"/>
  <c r="J15" i="48"/>
  <c r="N17" i="48"/>
  <c r="J30" i="48"/>
  <c r="K36" i="48"/>
  <c r="M37" i="48"/>
  <c r="N41" i="48"/>
  <c r="K41" i="48"/>
  <c r="J37" i="48"/>
  <c r="N11" i="48"/>
  <c r="K42" i="47"/>
  <c r="J38" i="47"/>
  <c r="N36" i="47"/>
  <c r="N28" i="47"/>
  <c r="N20" i="47"/>
  <c r="L19" i="47"/>
  <c r="J18" i="47"/>
  <c r="L15" i="47"/>
  <c r="J14" i="47"/>
  <c r="N12" i="47"/>
  <c r="L11" i="47"/>
  <c r="I42" i="47"/>
  <c r="N37" i="47"/>
  <c r="L36" i="47"/>
  <c r="N33" i="47"/>
  <c r="L28" i="47"/>
  <c r="L20" i="47"/>
  <c r="J19" i="47"/>
  <c r="N17" i="47"/>
  <c r="J15" i="47"/>
  <c r="L12" i="47"/>
  <c r="K15" i="48"/>
  <c r="BK50" i="73"/>
  <c r="BX73" i="73"/>
  <c r="BZ72" i="73"/>
  <c r="CJ72" i="73"/>
  <c r="BZ50" i="73"/>
  <c r="CB74" i="73"/>
  <c r="BU73" i="73"/>
  <c r="CJ50" i="73"/>
  <c r="BP50" i="73"/>
  <c r="CI49" i="73"/>
  <c r="BY74" i="73"/>
  <c r="CJ74" i="73"/>
  <c r="BP73" i="73"/>
  <c r="CD72" i="73"/>
  <c r="CD50" i="73"/>
  <c r="BM50" i="73"/>
  <c r="BN49" i="73"/>
  <c r="BJ74" i="73"/>
  <c r="CC50" i="73"/>
  <c r="BG49" i="73"/>
  <c r="CD74" i="73"/>
  <c r="BI50" i="73"/>
  <c r="BY49" i="73"/>
  <c r="CH72" i="73"/>
  <c r="CH50" i="73"/>
  <c r="CH49" i="73"/>
  <c r="BO49" i="73"/>
  <c r="BT73" i="73"/>
  <c r="CG74" i="73"/>
  <c r="BO73" i="73"/>
  <c r="CC49" i="73"/>
  <c r="BM49" i="73"/>
  <c r="CF74" i="73"/>
  <c r="BK74" i="73"/>
  <c r="BS73" i="73"/>
  <c r="CF72" i="73"/>
  <c r="CI50" i="73"/>
  <c r="BY50" i="73"/>
  <c r="CJ49" i="73"/>
  <c r="CB49" i="73"/>
  <c r="BK49" i="73"/>
  <c r="CI74" i="73"/>
  <c r="BG74" i="73"/>
  <c r="CI72" i="73"/>
  <c r="CA72" i="73"/>
  <c r="CF50" i="73"/>
  <c r="CG49" i="73"/>
  <c r="BJ49" i="73"/>
  <c r="BJ50" i="73"/>
  <c r="CE49" i="73"/>
  <c r="BP49" i="73"/>
  <c r="BH49" i="73"/>
  <c r="BQ49" i="73"/>
  <c r="BZ49" i="73"/>
  <c r="CD49" i="73"/>
  <c r="BN50" i="73"/>
  <c r="BR50" i="73"/>
  <c r="CA50" i="73"/>
  <c r="CE50" i="73"/>
  <c r="CC72" i="73"/>
  <c r="BQ73" i="73"/>
  <c r="CA74" i="73"/>
  <c r="CE74" i="73"/>
  <c r="CA49" i="73"/>
  <c r="CF49" i="73"/>
  <c r="BL50" i="73"/>
  <c r="BQ50" i="73"/>
  <c r="BM73" i="73"/>
  <c r="BR73" i="73"/>
  <c r="BW73" i="73"/>
  <c r="BH74" i="73"/>
  <c r="BL49" i="73"/>
  <c r="BG50" i="73"/>
  <c r="CB50" i="73"/>
  <c r="CG50" i="73"/>
  <c r="CB72" i="73"/>
  <c r="CG72" i="73"/>
  <c r="BN73" i="73"/>
  <c r="BI74" i="73"/>
  <c r="CC74" i="73"/>
  <c r="CH74" i="73"/>
  <c r="BZ74" i="73"/>
  <c r="BL74" i="73"/>
  <c r="BV73" i="73"/>
  <c r="CE72" i="73"/>
  <c r="BY72" i="73"/>
  <c r="BO50" i="73"/>
  <c r="BH50" i="73"/>
  <c r="BR49" i="73"/>
  <c r="D1" i="53"/>
  <c r="A1" i="53"/>
  <c r="AG9" i="82"/>
  <c r="AK9" i="82" s="1"/>
  <c r="AO9" i="82" s="1"/>
  <c r="AS9" i="82" s="1"/>
  <c r="AF9" i="82"/>
  <c r="AJ9" i="82" s="1"/>
  <c r="AN9" i="82" s="1"/>
  <c r="AR9" i="82" s="1"/>
  <c r="AE9" i="82"/>
  <c r="AI9" i="82" s="1"/>
  <c r="AM9" i="82" s="1"/>
  <c r="AQ9" i="82" s="1"/>
  <c r="AD9" i="82"/>
  <c r="AH9" i="82" s="1"/>
  <c r="AL9" i="82" s="1"/>
  <c r="AP9" i="82" s="1"/>
  <c r="AH154" i="82"/>
  <c r="AN161" i="82"/>
  <c r="AD183" i="82"/>
  <c r="AL185" i="82"/>
  <c r="AN193" i="82"/>
  <c r="D1" i="82"/>
  <c r="AJ97" i="82" s="1"/>
  <c r="A1" i="82"/>
  <c r="D1" i="62"/>
  <c r="BK145" i="62" s="1"/>
  <c r="A1" i="62"/>
  <c r="D1" i="51"/>
  <c r="A1" i="51"/>
  <c r="D1" i="50"/>
  <c r="A1" i="50"/>
  <c r="C1" i="7"/>
  <c r="BE39" i="7" s="1"/>
  <c r="A1" i="7"/>
  <c r="E1" i="41"/>
  <c r="BO87" i="41" s="1"/>
  <c r="A1" i="41"/>
  <c r="Q10" i="46"/>
  <c r="CC17" i="62" l="1"/>
  <c r="BV19" i="62"/>
  <c r="AQ221" i="82"/>
  <c r="AJ190" i="82"/>
  <c r="AF179" i="82"/>
  <c r="AM130" i="82"/>
  <c r="BN27" i="62"/>
  <c r="AM221" i="82"/>
  <c r="AH190" i="82"/>
  <c r="AP176" i="82"/>
  <c r="AI119" i="82"/>
  <c r="BU32" i="62"/>
  <c r="AJ221" i="82"/>
  <c r="Z189" i="82"/>
  <c r="AP174" i="82"/>
  <c r="AD192" i="82"/>
  <c r="BO59" i="62"/>
  <c r="AD195" i="82"/>
  <c r="AP185" i="82"/>
  <c r="AB166" i="82"/>
  <c r="BG56" i="62"/>
  <c r="AR196" i="82"/>
  <c r="AP188" i="82"/>
  <c r="AF171" i="82"/>
  <c r="BA144" i="62"/>
  <c r="AP193" i="82"/>
  <c r="AN185" i="82"/>
  <c r="Z166" i="82"/>
  <c r="BR16" i="41"/>
  <c r="BM21" i="41"/>
  <c r="BU27" i="41"/>
  <c r="BT16" i="41"/>
  <c r="BQ12" i="41"/>
  <c r="BZ13" i="41"/>
  <c r="BN15" i="41"/>
  <c r="CC16" i="41"/>
  <c r="BS18" i="41"/>
  <c r="BI20" i="41"/>
  <c r="BL22" i="41"/>
  <c r="CD23" i="41"/>
  <c r="BZ28" i="41"/>
  <c r="CB33" i="41"/>
  <c r="BU45" i="41"/>
  <c r="CC65" i="41"/>
  <c r="BE115" i="62"/>
  <c r="AP162" i="82"/>
  <c r="AD130" i="82"/>
  <c r="CE17" i="41"/>
  <c r="CD42" i="41"/>
  <c r="CC23" i="41"/>
  <c r="BS12" i="41"/>
  <c r="CA13" i="41"/>
  <c r="BP15" i="41"/>
  <c r="CE16" i="41"/>
  <c r="BU18" i="41"/>
  <c r="BL20" i="41"/>
  <c r="BN22" i="41"/>
  <c r="BW24" i="41"/>
  <c r="CB28" i="41"/>
  <c r="BM35" i="41"/>
  <c r="BO47" i="41"/>
  <c r="BQ77" i="41"/>
  <c r="BD32" i="62"/>
  <c r="BD133" i="62"/>
  <c r="AF197" i="82"/>
  <c r="AL193" i="82"/>
  <c r="AR188" i="82"/>
  <c r="AF183" i="82"/>
  <c r="AJ174" i="82"/>
  <c r="Z162" i="82"/>
  <c r="AB122" i="82"/>
  <c r="BZ14" i="41"/>
  <c r="BU19" i="41"/>
  <c r="CD31" i="41"/>
  <c r="BI12" i="41"/>
  <c r="BJ18" i="41"/>
  <c r="BT28" i="41"/>
  <c r="CF42" i="41"/>
  <c r="CF18" i="41"/>
  <c r="BM37" i="41"/>
  <c r="BP13" i="41"/>
  <c r="CA23" i="41"/>
  <c r="CF54" i="41"/>
  <c r="BR13" i="41"/>
  <c r="CF16" i="41"/>
  <c r="BX29" i="41"/>
  <c r="CB12" i="41"/>
  <c r="BL14" i="41"/>
  <c r="CA15" i="41"/>
  <c r="BS17" i="41"/>
  <c r="BI19" i="41"/>
  <c r="BX20" i="41"/>
  <c r="BY22" i="41"/>
  <c r="BT25" i="41"/>
  <c r="BZ30" i="41"/>
  <c r="BP37" i="41"/>
  <c r="BZ49" i="41"/>
  <c r="CB82" i="41"/>
  <c r="BH41" i="62"/>
  <c r="CB145" i="62"/>
  <c r="AP196" i="82"/>
  <c r="AB192" i="82"/>
  <c r="AH187" i="82"/>
  <c r="AJ182" i="82"/>
  <c r="AJ170" i="82"/>
  <c r="AJ158" i="82"/>
  <c r="AE114" i="82"/>
  <c r="CB14" i="41"/>
  <c r="BZ21" i="41"/>
  <c r="CE31" i="41"/>
  <c r="BT12" i="41"/>
  <c r="BQ15" i="41"/>
  <c r="BO22" i="41"/>
  <c r="BR49" i="41"/>
  <c r="CC12" i="41"/>
  <c r="BN14" i="41"/>
  <c r="CD15" i="41"/>
  <c r="BT17" i="41"/>
  <c r="BJ19" i="41"/>
  <c r="BY20" i="41"/>
  <c r="BN23" i="41"/>
  <c r="BP26" i="41"/>
  <c r="CE30" i="41"/>
  <c r="CB39" i="41"/>
  <c r="BI52" i="41"/>
  <c r="CF94" i="41"/>
  <c r="BL44" i="62"/>
  <c r="AH195" i="82"/>
  <c r="Z192" i="82"/>
  <c r="AF187" i="82"/>
  <c r="AB180" i="82"/>
  <c r="AH170" i="82"/>
  <c r="AN157" i="82"/>
  <c r="AJ64" i="82"/>
  <c r="BW19" i="41"/>
  <c r="BK55" i="41"/>
  <c r="CB13" i="41"/>
  <c r="BV20" i="41"/>
  <c r="BQ25" i="41"/>
  <c r="BU81" i="41"/>
  <c r="CD12" i="41"/>
  <c r="BY14" i="41"/>
  <c r="BP16" i="41"/>
  <c r="CD17" i="41"/>
  <c r="BT19" i="41"/>
  <c r="BK21" i="41"/>
  <c r="BQ23" i="41"/>
  <c r="BQ26" i="41"/>
  <c r="BW31" i="41"/>
  <c r="BU41" i="41"/>
  <c r="BY53" i="41"/>
  <c r="BL14" i="62"/>
  <c r="BO48" i="62"/>
  <c r="AF195" i="82"/>
  <c r="AL190" i="82"/>
  <c r="AD187" i="82"/>
  <c r="Z180" i="82"/>
  <c r="AD167" i="82"/>
  <c r="AL157" i="82"/>
  <c r="CH39" i="7"/>
  <c r="CS73" i="7"/>
  <c r="CB38" i="7"/>
  <c r="BS39" i="7"/>
  <c r="CI40" i="7"/>
  <c r="BN38" i="7"/>
  <c r="BU40" i="7"/>
  <c r="BC38" i="7"/>
  <c r="BG40" i="7"/>
  <c r="CI31" i="7"/>
  <c r="CD39" i="7"/>
  <c r="BU31" i="7"/>
  <c r="BG31" i="7"/>
  <c r="BO21" i="41"/>
  <c r="BZ22" i="41"/>
  <c r="BP24" i="41"/>
  <c r="BT26" i="41"/>
  <c r="BY29" i="41"/>
  <c r="BX32" i="41"/>
  <c r="BU38" i="41"/>
  <c r="BL44" i="41"/>
  <c r="BX50" i="41"/>
  <c r="BX56" i="41"/>
  <c r="CM38" i="7"/>
  <c r="BK120" i="41"/>
  <c r="BP94" i="41"/>
  <c r="BX86" i="41"/>
  <c r="BM81" i="41"/>
  <c r="BS75" i="41"/>
  <c r="BM65" i="41"/>
  <c r="BV56" i="41"/>
  <c r="CE54" i="41"/>
  <c r="BN53" i="41"/>
  <c r="CC51" i="41"/>
  <c r="BV50" i="41"/>
  <c r="BQ49" i="41"/>
  <c r="BZ46" i="41"/>
  <c r="BQ45" i="41"/>
  <c r="CF43" i="41"/>
  <c r="CA42" i="41"/>
  <c r="BL41" i="41"/>
  <c r="CA39" i="41"/>
  <c r="BR38" i="41"/>
  <c r="CF35" i="41"/>
  <c r="BY34" i="41"/>
  <c r="BU33" i="41"/>
  <c r="BV32" i="41"/>
  <c r="BV31" i="41"/>
  <c r="BX30" i="41"/>
  <c r="BU29" i="41"/>
  <c r="BR28" i="41"/>
  <c r="BM27" i="41"/>
  <c r="BI26" i="41"/>
  <c r="BL25" i="41"/>
  <c r="BO24" i="41"/>
  <c r="BY23" i="41"/>
  <c r="BM23" i="41"/>
  <c r="BW22" i="41"/>
  <c r="BJ22" i="41"/>
  <c r="BW21" i="41"/>
  <c r="BJ21" i="41"/>
  <c r="BT20" i="41"/>
  <c r="CE19" i="41"/>
  <c r="BR19" i="41"/>
  <c r="CD18" i="41"/>
  <c r="BR18" i="41"/>
  <c r="CB17" i="41"/>
  <c r="BO17" i="41"/>
  <c r="CB16" i="41"/>
  <c r="BO16" i="41"/>
  <c r="BY15" i="41"/>
  <c r="BM15" i="41"/>
  <c r="BW14" i="41"/>
  <c r="BJ14" i="41"/>
  <c r="BX13" i="41"/>
  <c r="BM13" i="41"/>
  <c r="CA12" i="41"/>
  <c r="BP12" i="41"/>
  <c r="CC49" i="41"/>
  <c r="BY41" i="41"/>
  <c r="CE38" i="41"/>
  <c r="CC32" i="41"/>
  <c r="BM118" i="41"/>
  <c r="BI93" i="41"/>
  <c r="BQ85" i="41"/>
  <c r="CD80" i="41"/>
  <c r="CE71" i="41"/>
  <c r="CE63" i="41"/>
  <c r="BS56" i="41"/>
  <c r="CB54" i="41"/>
  <c r="BM53" i="41"/>
  <c r="CA51" i="41"/>
  <c r="BS50" i="41"/>
  <c r="BM49" i="41"/>
  <c r="BW46" i="41"/>
  <c r="BI45" i="41"/>
  <c r="BX43" i="41"/>
  <c r="BS42" i="41"/>
  <c r="BI41" i="41"/>
  <c r="BW39" i="41"/>
  <c r="BJ38" i="41"/>
  <c r="CE35" i="41"/>
  <c r="BV34" i="41"/>
  <c r="BT33" i="41"/>
  <c r="BP32" i="41"/>
  <c r="BS31" i="41"/>
  <c r="BR30" i="41"/>
  <c r="BS29" i="41"/>
  <c r="BO28" i="41"/>
  <c r="BJ27" i="41"/>
  <c r="CC25" i="41"/>
  <c r="BJ25" i="41"/>
  <c r="BM24" i="41"/>
  <c r="BX23" i="41"/>
  <c r="BK23" i="41"/>
  <c r="BV22" i="41"/>
  <c r="BI22" i="41"/>
  <c r="BU21" i="41"/>
  <c r="CF20" i="41"/>
  <c r="BS20" i="41"/>
  <c r="CC19" i="41"/>
  <c r="BQ19" i="41"/>
  <c r="CC18" i="41"/>
  <c r="BP18" i="41"/>
  <c r="CA17" i="41"/>
  <c r="BN17" i="41"/>
  <c r="BZ16" i="41"/>
  <c r="BM16" i="41"/>
  <c r="BX15" i="41"/>
  <c r="BK15" i="41"/>
  <c r="BV14" i="41"/>
  <c r="BI14" i="41"/>
  <c r="BW13" i="41"/>
  <c r="BL13" i="41"/>
  <c r="BY12" i="41"/>
  <c r="BN12" i="41"/>
  <c r="BM89" i="41"/>
  <c r="BP59" i="41"/>
  <c r="CA53" i="41"/>
  <c r="CD45" i="41"/>
  <c r="BQ37" i="41"/>
  <c r="BQ114" i="41"/>
  <c r="BR92" i="41"/>
  <c r="BI85" i="41"/>
  <c r="BW79" i="41"/>
  <c r="BW71" i="41"/>
  <c r="BO63" i="41"/>
  <c r="BY55" i="41"/>
  <c r="BT54" i="41"/>
  <c r="BI53" i="41"/>
  <c r="BX51" i="41"/>
  <c r="BK50" i="41"/>
  <c r="CE47" i="41"/>
  <c r="BO46" i="41"/>
  <c r="CD44" i="41"/>
  <c r="BW43" i="41"/>
  <c r="BQ42" i="41"/>
  <c r="CF40" i="41"/>
  <c r="BO39" i="41"/>
  <c r="CD37" i="41"/>
  <c r="CA35" i="41"/>
  <c r="BT34" i="41"/>
  <c r="BQ33" i="41"/>
  <c r="BN32" i="41"/>
  <c r="BQ31" i="41"/>
  <c r="BP30" i="41"/>
  <c r="BM29" i="41"/>
  <c r="BN28" i="41"/>
  <c r="CD26" i="41"/>
  <c r="CB25" i="41"/>
  <c r="CF24" i="41"/>
  <c r="BL24" i="41"/>
  <c r="BV23" i="41"/>
  <c r="BI23" i="41"/>
  <c r="BT22" i="41"/>
  <c r="CF21" i="41"/>
  <c r="BS21" i="41"/>
  <c r="CD20" i="41"/>
  <c r="BQ20" i="41"/>
  <c r="CB19" i="41"/>
  <c r="BO19" i="41"/>
  <c r="CA18" i="41"/>
  <c r="BN18" i="41"/>
  <c r="BY17" i="41"/>
  <c r="BL17" i="41"/>
  <c r="BX16" i="41"/>
  <c r="BL16" i="41"/>
  <c r="BV15" i="41"/>
  <c r="BI15" i="41"/>
  <c r="BT14" i="41"/>
  <c r="CF13" i="41"/>
  <c r="BU13" i="41"/>
  <c r="BK13" i="41"/>
  <c r="BX12" i="41"/>
  <c r="BM12" i="41"/>
  <c r="BY77" i="41"/>
  <c r="BK51" i="41"/>
  <c r="BS40" i="41"/>
  <c r="CA104" i="41"/>
  <c r="BK91" i="41"/>
  <c r="BZ84" i="41"/>
  <c r="BO79" i="41"/>
  <c r="BY69" i="41"/>
  <c r="BQ61" i="41"/>
  <c r="BW55" i="41"/>
  <c r="BR54" i="41"/>
  <c r="CD52" i="41"/>
  <c r="BP51" i="41"/>
  <c r="BI50" i="41"/>
  <c r="CB47" i="41"/>
  <c r="BM46" i="41"/>
  <c r="CB44" i="41"/>
  <c r="BS43" i="41"/>
  <c r="BN42" i="41"/>
  <c r="CC40" i="41"/>
  <c r="BN39" i="41"/>
  <c r="CC37" i="41"/>
  <c r="BS35" i="41"/>
  <c r="BN34" i="41"/>
  <c r="BO33" i="41"/>
  <c r="BK32" i="41"/>
  <c r="BK31" i="41"/>
  <c r="BM30" i="41"/>
  <c r="BK29" i="41"/>
  <c r="CA27" i="41"/>
  <c r="CB26" i="41"/>
  <c r="BY25" i="41"/>
  <c r="CA24" i="41"/>
  <c r="BJ24" i="41"/>
  <c r="BU23" i="41"/>
  <c r="CE22" i="41"/>
  <c r="BR22" i="41"/>
  <c r="CE21" i="41"/>
  <c r="BR21" i="41"/>
  <c r="CB20" i="41"/>
  <c r="BP20" i="41"/>
  <c r="BZ19" i="41"/>
  <c r="BM19" i="41"/>
  <c r="BZ18" i="41"/>
  <c r="BM18" i="41"/>
  <c r="BW17" i="41"/>
  <c r="BK17" i="41"/>
  <c r="BW16" i="41"/>
  <c r="BJ16" i="41"/>
  <c r="BU15" i="41"/>
  <c r="CE14" i="41"/>
  <c r="BR14" i="41"/>
  <c r="CE13" i="41"/>
  <c r="BT13" i="41"/>
  <c r="BJ13" i="41"/>
  <c r="BV12" i="41"/>
  <c r="BL12" i="41"/>
  <c r="CD96" i="41"/>
  <c r="CA67" i="41"/>
  <c r="BT52" i="41"/>
  <c r="BQ44" i="41"/>
  <c r="BI34" i="41"/>
  <c r="CC102" i="41"/>
  <c r="BT90" i="41"/>
  <c r="BS83" i="41"/>
  <c r="CF78" i="41"/>
  <c r="BI69" i="41"/>
  <c r="CF59" i="41"/>
  <c r="BT55" i="41"/>
  <c r="BO54" i="41"/>
  <c r="BV52" i="41"/>
  <c r="BO51" i="41"/>
  <c r="CE49" i="41"/>
  <c r="BT47" i="41"/>
  <c r="BJ46" i="41"/>
  <c r="BY44" i="41"/>
  <c r="BK43" i="41"/>
  <c r="BZ41" i="41"/>
  <c r="BU40" i="41"/>
  <c r="BK39" i="41"/>
  <c r="BY37" i="41"/>
  <c r="BR35" i="41"/>
  <c r="BL34" i="41"/>
  <c r="BI33" i="41"/>
  <c r="BJ32" i="41"/>
  <c r="BI31" i="41"/>
  <c r="BL30" i="41"/>
  <c r="CE28" i="41"/>
  <c r="BZ27" i="41"/>
  <c r="BV26" i="41"/>
  <c r="BW25" i="41"/>
  <c r="BZ24" i="41"/>
  <c r="CF23" i="41"/>
  <c r="BS23" i="41"/>
  <c r="CD22" i="41"/>
  <c r="BQ22" i="41"/>
  <c r="CC21" i="41"/>
  <c r="BP21" i="41"/>
  <c r="CA20" i="41"/>
  <c r="BN20" i="41"/>
  <c r="BY19" i="41"/>
  <c r="BL19" i="41"/>
  <c r="BX18" i="41"/>
  <c r="BK18" i="41"/>
  <c r="BV17" i="41"/>
  <c r="BI17" i="41"/>
  <c r="BU16" i="41"/>
  <c r="CF15" i="41"/>
  <c r="BS15" i="41"/>
  <c r="CD14" i="41"/>
  <c r="BQ14" i="41"/>
  <c r="CC13" i="41"/>
  <c r="BS13" i="41"/>
  <c r="CF12" i="41"/>
  <c r="BU12" i="41"/>
  <c r="BK12" i="41"/>
  <c r="BK83" i="41"/>
  <c r="BL55" i="41"/>
  <c r="BS47" i="41"/>
  <c r="BJ43" i="41"/>
  <c r="BO35" i="41"/>
  <c r="BO13" i="41"/>
  <c r="BO14" i="41"/>
  <c r="CC15" i="41"/>
  <c r="BQ17" i="41"/>
  <c r="BV18" i="41"/>
  <c r="BK20" i="41"/>
  <c r="BX21" i="41"/>
  <c r="CB22" i="41"/>
  <c r="BV24" i="41"/>
  <c r="BO27" i="41"/>
  <c r="CF29" i="41"/>
  <c r="CA32" i="41"/>
  <c r="BW38" i="41"/>
  <c r="BO44" i="41"/>
  <c r="CF50" i="41"/>
  <c r="BI58" i="41"/>
  <c r="BV88" i="41"/>
  <c r="CA21" i="41"/>
  <c r="BP23" i="41"/>
  <c r="BO25" i="41"/>
  <c r="BW27" i="41"/>
  <c r="CC30" i="41"/>
  <c r="CC33" i="41"/>
  <c r="BP40" i="41"/>
  <c r="BV45" i="41"/>
  <c r="BQ52" i="41"/>
  <c r="BK67" i="41"/>
  <c r="BN96" i="41"/>
  <c r="CA34" i="41"/>
  <c r="BM41" i="41"/>
  <c r="CB46" i="41"/>
  <c r="BV53" i="41"/>
  <c r="CA75" i="41"/>
  <c r="BI20" i="62"/>
  <c r="AY36" i="62"/>
  <c r="BP48" i="62"/>
  <c r="BF115" i="62"/>
  <c r="BB149" i="62"/>
  <c r="AI221" i="82"/>
  <c r="AJ196" i="82"/>
  <c r="AR194" i="82"/>
  <c r="AF193" i="82"/>
  <c r="AN191" i="82"/>
  <c r="AB190" i="82"/>
  <c r="AJ188" i="82"/>
  <c r="AR186" i="82"/>
  <c r="AF185" i="82"/>
  <c r="AB182" i="82"/>
  <c r="AR178" i="82"/>
  <c r="AN173" i="82"/>
  <c r="AF169" i="82"/>
  <c r="AD165" i="82"/>
  <c r="AR160" i="82"/>
  <c r="AJ156" i="82"/>
  <c r="AL128" i="82"/>
  <c r="AE110" i="82"/>
  <c r="BW21" i="62"/>
  <c r="BD36" i="62"/>
  <c r="CC48" i="62"/>
  <c r="BW117" i="62"/>
  <c r="BH149" i="62"/>
  <c r="AE221" i="82"/>
  <c r="AE196" i="82"/>
  <c r="AM194" i="82"/>
  <c r="AA193" i="82"/>
  <c r="AI191" i="82"/>
  <c r="AQ189" i="82"/>
  <c r="AE188" i="82"/>
  <c r="AM186" i="82"/>
  <c r="Z185" i="82"/>
  <c r="Z182" i="82"/>
  <c r="AP178" i="82"/>
  <c r="AL173" i="82"/>
  <c r="AD169" i="82"/>
  <c r="AR164" i="82"/>
  <c r="AP160" i="82"/>
  <c r="AH156" i="82"/>
  <c r="AE128" i="82"/>
  <c r="AD108" i="82"/>
  <c r="BE24" i="62"/>
  <c r="BF39" i="62"/>
  <c r="BN53" i="62"/>
  <c r="BI125" i="62"/>
  <c r="AB221" i="82"/>
  <c r="AD196" i="82"/>
  <c r="AL194" i="82"/>
  <c r="Z193" i="82"/>
  <c r="AH191" i="82"/>
  <c r="AP189" i="82"/>
  <c r="AD188" i="82"/>
  <c r="AL186" i="82"/>
  <c r="AH184" i="82"/>
  <c r="AD181" i="82"/>
  <c r="Z178" i="82"/>
  <c r="AJ172" i="82"/>
  <c r="AH168" i="82"/>
  <c r="AB164" i="82"/>
  <c r="AN159" i="82"/>
  <c r="AL155" i="82"/>
  <c r="AD126" i="82"/>
  <c r="AD102" i="82"/>
  <c r="CD13" i="62"/>
  <c r="BM26" i="62"/>
  <c r="BL40" i="62"/>
  <c r="BW53" i="62"/>
  <c r="BH128" i="62"/>
  <c r="AA221" i="82"/>
  <c r="AP195" i="82"/>
  <c r="AD194" i="82"/>
  <c r="AL192" i="82"/>
  <c r="Z191" i="82"/>
  <c r="AH189" i="82"/>
  <c r="AP187" i="82"/>
  <c r="AD186" i="82"/>
  <c r="AB184" i="82"/>
  <c r="AR180" i="82"/>
  <c r="AN177" i="82"/>
  <c r="AH172" i="82"/>
  <c r="AB168" i="82"/>
  <c r="Z164" i="82"/>
  <c r="AL159" i="82"/>
  <c r="AF155" i="82"/>
  <c r="AI125" i="82"/>
  <c r="AA101" i="82"/>
  <c r="BA14" i="62"/>
  <c r="BN26" i="62"/>
  <c r="BM40" i="62"/>
  <c r="CD54" i="62"/>
  <c r="BB133" i="62"/>
  <c r="AR221" i="82"/>
  <c r="AQ197" i="82"/>
  <c r="AN195" i="82"/>
  <c r="AB194" i="82"/>
  <c r="AJ192" i="82"/>
  <c r="AR190" i="82"/>
  <c r="AF189" i="82"/>
  <c r="AN187" i="82"/>
  <c r="AB186" i="82"/>
  <c r="AL183" i="82"/>
  <c r="AH180" i="82"/>
  <c r="AR176" i="82"/>
  <c r="AL171" i="82"/>
  <c r="AF167" i="82"/>
  <c r="AR162" i="82"/>
  <c r="AP158" i="82"/>
  <c r="AJ154" i="82"/>
  <c r="Z123" i="82"/>
  <c r="AN92" i="82"/>
  <c r="CE123" i="41"/>
  <c r="BW123" i="41"/>
  <c r="BO123" i="41"/>
  <c r="CF122" i="41"/>
  <c r="BX122" i="41"/>
  <c r="BP122" i="41"/>
  <c r="BY121" i="41"/>
  <c r="BQ121" i="41"/>
  <c r="BI121" i="41"/>
  <c r="BZ120" i="41"/>
  <c r="BR120" i="41"/>
  <c r="BJ120" i="41"/>
  <c r="CA119" i="41"/>
  <c r="BS119" i="41"/>
  <c r="BK119" i="41"/>
  <c r="CB118" i="41"/>
  <c r="BT118" i="41"/>
  <c r="BL118" i="41"/>
  <c r="CC117" i="41"/>
  <c r="BU117" i="41"/>
  <c r="BM117" i="41"/>
  <c r="CD116" i="41"/>
  <c r="BV116" i="41"/>
  <c r="BN116" i="41"/>
  <c r="CE115" i="41"/>
  <c r="BW115" i="41"/>
  <c r="BO115" i="41"/>
  <c r="CF114" i="41"/>
  <c r="BX114" i="41"/>
  <c r="BP114" i="41"/>
  <c r="BY113" i="41"/>
  <c r="BQ113" i="41"/>
  <c r="BI113" i="41"/>
  <c r="BZ112" i="41"/>
  <c r="BR112" i="41"/>
  <c r="BJ112" i="41"/>
  <c r="CA111" i="41"/>
  <c r="BS111" i="41"/>
  <c r="BK111" i="41"/>
  <c r="CB110" i="41"/>
  <c r="BT110" i="41"/>
  <c r="BL110" i="41"/>
  <c r="CC109" i="41"/>
  <c r="BU109" i="41"/>
  <c r="BM109" i="41"/>
  <c r="CD108" i="41"/>
  <c r="BV108" i="41"/>
  <c r="BN108" i="41"/>
  <c r="CE107" i="41"/>
  <c r="BW107" i="41"/>
  <c r="BO107" i="41"/>
  <c r="CF106" i="41"/>
  <c r="BX106" i="41"/>
  <c r="BP106" i="41"/>
  <c r="BY105" i="41"/>
  <c r="BQ105" i="41"/>
  <c r="BI105" i="41"/>
  <c r="BZ104" i="41"/>
  <c r="BR104" i="41"/>
  <c r="BJ104" i="41"/>
  <c r="CA103" i="41"/>
  <c r="BS103" i="41"/>
  <c r="BK103" i="41"/>
  <c r="CB102" i="41"/>
  <c r="BT102" i="41"/>
  <c r="BL102" i="41"/>
  <c r="CC101" i="41"/>
  <c r="BU101" i="41"/>
  <c r="BM101" i="41"/>
  <c r="CD100" i="41"/>
  <c r="BV100" i="41"/>
  <c r="BN100" i="41"/>
  <c r="CF98" i="41"/>
  <c r="BX98" i="41"/>
  <c r="BP98" i="41"/>
  <c r="CD123" i="41"/>
  <c r="BV123" i="41"/>
  <c r="BN123" i="41"/>
  <c r="CE122" i="41"/>
  <c r="BW122" i="41"/>
  <c r="BO122" i="41"/>
  <c r="CF121" i="41"/>
  <c r="BX121" i="41"/>
  <c r="BP121" i="41"/>
  <c r="BY120" i="41"/>
  <c r="BQ120" i="41"/>
  <c r="BI120" i="41"/>
  <c r="BZ119" i="41"/>
  <c r="BR119" i="41"/>
  <c r="BJ119" i="41"/>
  <c r="CA118" i="41"/>
  <c r="BS118" i="41"/>
  <c r="BK118" i="41"/>
  <c r="CB117" i="41"/>
  <c r="BT117" i="41"/>
  <c r="BL117" i="41"/>
  <c r="CC116" i="41"/>
  <c r="BU116" i="41"/>
  <c r="BM116" i="41"/>
  <c r="CD115" i="41"/>
  <c r="BV115" i="41"/>
  <c r="BN115" i="41"/>
  <c r="CE114" i="41"/>
  <c r="BW114" i="41"/>
  <c r="BO114" i="41"/>
  <c r="CF113" i="41"/>
  <c r="BX113" i="41"/>
  <c r="BP113" i="41"/>
  <c r="BY112" i="41"/>
  <c r="BQ112" i="41"/>
  <c r="BI112" i="41"/>
  <c r="BZ111" i="41"/>
  <c r="BR111" i="41"/>
  <c r="BJ111" i="41"/>
  <c r="CA110" i="41"/>
  <c r="BS110" i="41"/>
  <c r="BK110" i="41"/>
  <c r="CB109" i="41"/>
  <c r="BT109" i="41"/>
  <c r="BL109" i="41"/>
  <c r="CC108" i="41"/>
  <c r="BU108" i="41"/>
  <c r="BM108" i="41"/>
  <c r="CD107" i="41"/>
  <c r="BV107" i="41"/>
  <c r="BN107" i="41"/>
  <c r="CE106" i="41"/>
  <c r="BW106" i="41"/>
  <c r="BO106" i="41"/>
  <c r="CF105" i="41"/>
  <c r="BX105" i="41"/>
  <c r="BP105" i="41"/>
  <c r="BY104" i="41"/>
  <c r="BQ104" i="41"/>
  <c r="BI104" i="41"/>
  <c r="BZ103" i="41"/>
  <c r="BR103" i="41"/>
  <c r="BJ103" i="41"/>
  <c r="CA102" i="41"/>
  <c r="BS102" i="41"/>
  <c r="BK102" i="41"/>
  <c r="CB101" i="41"/>
  <c r="BT101" i="41"/>
  <c r="BL101" i="41"/>
  <c r="CC100" i="41"/>
  <c r="BU100" i="41"/>
  <c r="BM100" i="41"/>
  <c r="CE98" i="41"/>
  <c r="BW98" i="41"/>
  <c r="BO98" i="41"/>
  <c r="CC123" i="41"/>
  <c r="BU123" i="41"/>
  <c r="BM123" i="41"/>
  <c r="CD122" i="41"/>
  <c r="BV122" i="41"/>
  <c r="BN122" i="41"/>
  <c r="CE121" i="41"/>
  <c r="BW121" i="41"/>
  <c r="BO121" i="41"/>
  <c r="CF120" i="41"/>
  <c r="BX120" i="41"/>
  <c r="BP120" i="41"/>
  <c r="BY119" i="41"/>
  <c r="BQ119" i="41"/>
  <c r="BI119" i="41"/>
  <c r="BZ118" i="41"/>
  <c r="BR118" i="41"/>
  <c r="BJ118" i="41"/>
  <c r="CA117" i="41"/>
  <c r="BS117" i="41"/>
  <c r="BK117" i="41"/>
  <c r="CB116" i="41"/>
  <c r="BT116" i="41"/>
  <c r="BL116" i="41"/>
  <c r="CC115" i="41"/>
  <c r="BU115" i="41"/>
  <c r="BM115" i="41"/>
  <c r="CD114" i="41"/>
  <c r="BV114" i="41"/>
  <c r="BN114" i="41"/>
  <c r="CE113" i="41"/>
  <c r="BW113" i="41"/>
  <c r="BO113" i="41"/>
  <c r="CF112" i="41"/>
  <c r="BX112" i="41"/>
  <c r="BP112" i="41"/>
  <c r="BY111" i="41"/>
  <c r="BQ111" i="41"/>
  <c r="BI111" i="41"/>
  <c r="BZ110" i="41"/>
  <c r="BR110" i="41"/>
  <c r="BJ110" i="41"/>
  <c r="CA109" i="41"/>
  <c r="BS109" i="41"/>
  <c r="BK109" i="41"/>
  <c r="CB108" i="41"/>
  <c r="BT108" i="41"/>
  <c r="BL108" i="41"/>
  <c r="CC107" i="41"/>
  <c r="BU107" i="41"/>
  <c r="BM107" i="41"/>
  <c r="CD106" i="41"/>
  <c r="BV106" i="41"/>
  <c r="BN106" i="41"/>
  <c r="CE105" i="41"/>
  <c r="BW105" i="41"/>
  <c r="BO105" i="41"/>
  <c r="CF104" i="41"/>
  <c r="BX104" i="41"/>
  <c r="BP104" i="41"/>
  <c r="BY103" i="41"/>
  <c r="BQ103" i="41"/>
  <c r="BI103" i="41"/>
  <c r="BZ102" i="41"/>
  <c r="BR102" i="41"/>
  <c r="BJ102" i="41"/>
  <c r="CA101" i="41"/>
  <c r="BS101" i="41"/>
  <c r="BK101" i="41"/>
  <c r="CB100" i="41"/>
  <c r="BT100" i="41"/>
  <c r="BL100" i="41"/>
  <c r="CD98" i="41"/>
  <c r="BV98" i="41"/>
  <c r="BN98" i="41"/>
  <c r="BF98" i="41"/>
  <c r="CB123" i="41"/>
  <c r="BT123" i="41"/>
  <c r="BL123" i="41"/>
  <c r="CC122" i="41"/>
  <c r="BU122" i="41"/>
  <c r="BM122" i="41"/>
  <c r="CD121" i="41"/>
  <c r="BV121" i="41"/>
  <c r="BN121" i="41"/>
  <c r="CE120" i="41"/>
  <c r="BW120" i="41"/>
  <c r="BO120" i="41"/>
  <c r="CF119" i="41"/>
  <c r="BX119" i="41"/>
  <c r="BP119" i="41"/>
  <c r="BY118" i="41"/>
  <c r="BQ118" i="41"/>
  <c r="BI118" i="41"/>
  <c r="BZ117" i="41"/>
  <c r="BR117" i="41"/>
  <c r="BJ117" i="41"/>
  <c r="CA116" i="41"/>
  <c r="BS116" i="41"/>
  <c r="BK116" i="41"/>
  <c r="CB115" i="41"/>
  <c r="BT115" i="41"/>
  <c r="BL115" i="41"/>
  <c r="CC114" i="41"/>
  <c r="BU114" i="41"/>
  <c r="BM114" i="41"/>
  <c r="CD113" i="41"/>
  <c r="BV113" i="41"/>
  <c r="BN113" i="41"/>
  <c r="CE112" i="41"/>
  <c r="BW112" i="41"/>
  <c r="BO112" i="41"/>
  <c r="CF111" i="41"/>
  <c r="BX111" i="41"/>
  <c r="BP111" i="41"/>
  <c r="BY110" i="41"/>
  <c r="BQ110" i="41"/>
  <c r="BI110" i="41"/>
  <c r="BZ109" i="41"/>
  <c r="BR109" i="41"/>
  <c r="BJ109" i="41"/>
  <c r="CA108" i="41"/>
  <c r="BS108" i="41"/>
  <c r="BK108" i="41"/>
  <c r="CB107" i="41"/>
  <c r="BT107" i="41"/>
  <c r="BL107" i="41"/>
  <c r="CC106" i="41"/>
  <c r="BU106" i="41"/>
  <c r="BM106" i="41"/>
  <c r="CD105" i="41"/>
  <c r="BV105" i="41"/>
  <c r="BN105" i="41"/>
  <c r="CE104" i="41"/>
  <c r="BW104" i="41"/>
  <c r="BO104" i="41"/>
  <c r="CF103" i="41"/>
  <c r="BX103" i="41"/>
  <c r="BP103" i="41"/>
  <c r="BY102" i="41"/>
  <c r="BQ102" i="41"/>
  <c r="BI102" i="41"/>
  <c r="BZ101" i="41"/>
  <c r="BR101" i="41"/>
  <c r="BJ101" i="41"/>
  <c r="CA100" i="41"/>
  <c r="BS100" i="41"/>
  <c r="BK100" i="41"/>
  <c r="CC98" i="41"/>
  <c r="BU98" i="41"/>
  <c r="BM98" i="41"/>
  <c r="CA123" i="41"/>
  <c r="BS123" i="41"/>
  <c r="BK123" i="41"/>
  <c r="CB122" i="41"/>
  <c r="BT122" i="41"/>
  <c r="BL122" i="41"/>
  <c r="CC121" i="41"/>
  <c r="BU121" i="41"/>
  <c r="BM121" i="41"/>
  <c r="CD120" i="41"/>
  <c r="BV120" i="41"/>
  <c r="BN120" i="41"/>
  <c r="CE119" i="41"/>
  <c r="BW119" i="41"/>
  <c r="BO119" i="41"/>
  <c r="CF118" i="41"/>
  <c r="BX118" i="41"/>
  <c r="BP118" i="41"/>
  <c r="BY117" i="41"/>
  <c r="BQ117" i="41"/>
  <c r="BI117" i="41"/>
  <c r="BZ116" i="41"/>
  <c r="BR116" i="41"/>
  <c r="BJ116" i="41"/>
  <c r="CA115" i="41"/>
  <c r="BS115" i="41"/>
  <c r="BK115" i="41"/>
  <c r="CB114" i="41"/>
  <c r="BT114" i="41"/>
  <c r="BL114" i="41"/>
  <c r="CC113" i="41"/>
  <c r="BU113" i="41"/>
  <c r="BM113" i="41"/>
  <c r="CD112" i="41"/>
  <c r="BV112" i="41"/>
  <c r="BN112" i="41"/>
  <c r="CE111" i="41"/>
  <c r="BW111" i="41"/>
  <c r="BO111" i="41"/>
  <c r="CF110" i="41"/>
  <c r="BX110" i="41"/>
  <c r="BP110" i="41"/>
  <c r="BY109" i="41"/>
  <c r="BQ109" i="41"/>
  <c r="BI109" i="41"/>
  <c r="BZ108" i="41"/>
  <c r="BR108" i="41"/>
  <c r="BJ108" i="41"/>
  <c r="CA107" i="41"/>
  <c r="BS107" i="41"/>
  <c r="BK107" i="41"/>
  <c r="CB106" i="41"/>
  <c r="BT106" i="41"/>
  <c r="BL106" i="41"/>
  <c r="CC105" i="41"/>
  <c r="BU105" i="41"/>
  <c r="BM105" i="41"/>
  <c r="CD104" i="41"/>
  <c r="BV104" i="41"/>
  <c r="BN104" i="41"/>
  <c r="CE103" i="41"/>
  <c r="BW103" i="41"/>
  <c r="BO103" i="41"/>
  <c r="CF102" i="41"/>
  <c r="BX102" i="41"/>
  <c r="BP102" i="41"/>
  <c r="BY101" i="41"/>
  <c r="BQ101" i="41"/>
  <c r="BI101" i="41"/>
  <c r="BZ100" i="41"/>
  <c r="BR100" i="41"/>
  <c r="BJ100" i="41"/>
  <c r="CB98" i="41"/>
  <c r="BT98" i="41"/>
  <c r="BZ123" i="41"/>
  <c r="BR123" i="41"/>
  <c r="BJ123" i="41"/>
  <c r="CA122" i="41"/>
  <c r="BS122" i="41"/>
  <c r="BK122" i="41"/>
  <c r="CB121" i="41"/>
  <c r="BT121" i="41"/>
  <c r="BL121" i="41"/>
  <c r="CC120" i="41"/>
  <c r="BU120" i="41"/>
  <c r="BM120" i="41"/>
  <c r="CD119" i="41"/>
  <c r="BV119" i="41"/>
  <c r="BN119" i="41"/>
  <c r="CE118" i="41"/>
  <c r="BW118" i="41"/>
  <c r="BO118" i="41"/>
  <c r="CF117" i="41"/>
  <c r="BX117" i="41"/>
  <c r="BP117" i="41"/>
  <c r="BY116" i="41"/>
  <c r="BQ116" i="41"/>
  <c r="BI116" i="41"/>
  <c r="BZ115" i="41"/>
  <c r="BR115" i="41"/>
  <c r="BJ115" i="41"/>
  <c r="CA114" i="41"/>
  <c r="BS114" i="41"/>
  <c r="BK114" i="41"/>
  <c r="CB113" i="41"/>
  <c r="BT113" i="41"/>
  <c r="BL113" i="41"/>
  <c r="CC112" i="41"/>
  <c r="BU112" i="41"/>
  <c r="BM112" i="41"/>
  <c r="CD111" i="41"/>
  <c r="BV111" i="41"/>
  <c r="BN111" i="41"/>
  <c r="CE110" i="41"/>
  <c r="BW110" i="41"/>
  <c r="BO110" i="41"/>
  <c r="CF109" i="41"/>
  <c r="BX109" i="41"/>
  <c r="BP109" i="41"/>
  <c r="BY108" i="41"/>
  <c r="BQ108" i="41"/>
  <c r="BI108" i="41"/>
  <c r="BZ107" i="41"/>
  <c r="BR107" i="41"/>
  <c r="BJ107" i="41"/>
  <c r="CA106" i="41"/>
  <c r="BS106" i="41"/>
  <c r="BK106" i="41"/>
  <c r="CB105" i="41"/>
  <c r="BT105" i="41"/>
  <c r="BL105" i="41"/>
  <c r="CC104" i="41"/>
  <c r="BU104" i="41"/>
  <c r="BM104" i="41"/>
  <c r="CD103" i="41"/>
  <c r="BV103" i="41"/>
  <c r="BN103" i="41"/>
  <c r="CE102" i="41"/>
  <c r="BW102" i="41"/>
  <c r="BO102" i="41"/>
  <c r="CF101" i="41"/>
  <c r="BX101" i="41"/>
  <c r="BP101" i="41"/>
  <c r="BY100" i="41"/>
  <c r="BQ100" i="41"/>
  <c r="BI100" i="41"/>
  <c r="CA98" i="41"/>
  <c r="BS98" i="41"/>
  <c r="BK98" i="41"/>
  <c r="BY123" i="41"/>
  <c r="BQ123" i="41"/>
  <c r="BI123" i="41"/>
  <c r="BZ122" i="41"/>
  <c r="BR122" i="41"/>
  <c r="BJ122" i="41"/>
  <c r="CA121" i="41"/>
  <c r="BS121" i="41"/>
  <c r="BK121" i="41"/>
  <c r="CB120" i="41"/>
  <c r="BT120" i="41"/>
  <c r="BL120" i="41"/>
  <c r="CC119" i="41"/>
  <c r="BU119" i="41"/>
  <c r="BM119" i="41"/>
  <c r="CD118" i="41"/>
  <c r="BV118" i="41"/>
  <c r="BN118" i="41"/>
  <c r="CE117" i="41"/>
  <c r="BW117" i="41"/>
  <c r="BO117" i="41"/>
  <c r="CF116" i="41"/>
  <c r="BX116" i="41"/>
  <c r="BP116" i="41"/>
  <c r="BY115" i="41"/>
  <c r="BQ115" i="41"/>
  <c r="BI115" i="41"/>
  <c r="BZ114" i="41"/>
  <c r="BR114" i="41"/>
  <c r="BJ114" i="41"/>
  <c r="CA113" i="41"/>
  <c r="BS113" i="41"/>
  <c r="BK113" i="41"/>
  <c r="CB112" i="41"/>
  <c r="BT112" i="41"/>
  <c r="BL112" i="41"/>
  <c r="CC111" i="41"/>
  <c r="BU111" i="41"/>
  <c r="BM111" i="41"/>
  <c r="CD110" i="41"/>
  <c r="BV110" i="41"/>
  <c r="BN110" i="41"/>
  <c r="CE109" i="41"/>
  <c r="BW109" i="41"/>
  <c r="BO109" i="41"/>
  <c r="CF108" i="41"/>
  <c r="BX108" i="41"/>
  <c r="BP108" i="41"/>
  <c r="BY107" i="41"/>
  <c r="BQ107" i="41"/>
  <c r="BI107" i="41"/>
  <c r="BZ106" i="41"/>
  <c r="BR106" i="41"/>
  <c r="BJ106" i="41"/>
  <c r="CA105" i="41"/>
  <c r="BS105" i="41"/>
  <c r="BK105" i="41"/>
  <c r="CB104" i="41"/>
  <c r="BT104" i="41"/>
  <c r="BL104" i="41"/>
  <c r="CC103" i="41"/>
  <c r="BU103" i="41"/>
  <c r="BM103" i="41"/>
  <c r="CD102" i="41"/>
  <c r="BV102" i="41"/>
  <c r="BN102" i="41"/>
  <c r="CE101" i="41"/>
  <c r="BW101" i="41"/>
  <c r="BO101" i="41"/>
  <c r="CF100" i="41"/>
  <c r="BX100" i="41"/>
  <c r="BP100" i="41"/>
  <c r="BZ98" i="41"/>
  <c r="BR98" i="41"/>
  <c r="BJ98" i="41"/>
  <c r="CF123" i="41"/>
  <c r="BI114" i="41"/>
  <c r="BK112" i="41"/>
  <c r="BM110" i="41"/>
  <c r="BO108" i="41"/>
  <c r="BQ106" i="41"/>
  <c r="BS104" i="41"/>
  <c r="BU102" i="41"/>
  <c r="BW100" i="41"/>
  <c r="BY98" i="41"/>
  <c r="BC98" i="41"/>
  <c r="CB97" i="41"/>
  <c r="BT97" i="41"/>
  <c r="BL97" i="41"/>
  <c r="CC96" i="41"/>
  <c r="BU96" i="41"/>
  <c r="BM96" i="41"/>
  <c r="CD95" i="41"/>
  <c r="BV95" i="41"/>
  <c r="BN95" i="41"/>
  <c r="CE94" i="41"/>
  <c r="BW94" i="41"/>
  <c r="BO94" i="41"/>
  <c r="CF93" i="41"/>
  <c r="BX93" i="41"/>
  <c r="BP93" i="41"/>
  <c r="BY92" i="41"/>
  <c r="BQ92" i="41"/>
  <c r="BI92" i="41"/>
  <c r="BZ91" i="41"/>
  <c r="BR91" i="41"/>
  <c r="BJ91" i="41"/>
  <c r="CA90" i="41"/>
  <c r="BS90" i="41"/>
  <c r="BK90" i="41"/>
  <c r="CB89" i="41"/>
  <c r="BT89" i="41"/>
  <c r="BL89" i="41"/>
  <c r="CC88" i="41"/>
  <c r="BU88" i="41"/>
  <c r="BM88" i="41"/>
  <c r="CD87" i="41"/>
  <c r="BV87" i="41"/>
  <c r="BN87" i="41"/>
  <c r="CE86" i="41"/>
  <c r="BW86" i="41"/>
  <c r="BO86" i="41"/>
  <c r="CF85" i="41"/>
  <c r="BX85" i="41"/>
  <c r="BP85" i="41"/>
  <c r="BY84" i="41"/>
  <c r="BQ84" i="41"/>
  <c r="BI84" i="41"/>
  <c r="BZ83" i="41"/>
  <c r="BR83" i="41"/>
  <c r="BJ83" i="41"/>
  <c r="CA82" i="41"/>
  <c r="BS82" i="41"/>
  <c r="BK82" i="41"/>
  <c r="CB81" i="41"/>
  <c r="BT81" i="41"/>
  <c r="BL81" i="41"/>
  <c r="CC80" i="41"/>
  <c r="BU80" i="41"/>
  <c r="BM80" i="41"/>
  <c r="CD79" i="41"/>
  <c r="BV79" i="41"/>
  <c r="BN79" i="41"/>
  <c r="CE78" i="41"/>
  <c r="BW78" i="41"/>
  <c r="BO78" i="41"/>
  <c r="CF77" i="41"/>
  <c r="BX77" i="41"/>
  <c r="BP77" i="41"/>
  <c r="BY76" i="41"/>
  <c r="BQ76" i="41"/>
  <c r="BI76" i="41"/>
  <c r="BZ75" i="41"/>
  <c r="BR75" i="41"/>
  <c r="BJ75" i="41"/>
  <c r="CA74" i="41"/>
  <c r="BS74" i="41"/>
  <c r="BK74" i="41"/>
  <c r="CC72" i="41"/>
  <c r="BU72" i="41"/>
  <c r="BM72" i="41"/>
  <c r="BE72" i="41"/>
  <c r="CD71" i="41"/>
  <c r="BV71" i="41"/>
  <c r="BN71" i="41"/>
  <c r="CE70" i="41"/>
  <c r="BW70" i="41"/>
  <c r="BO70" i="41"/>
  <c r="CF69" i="41"/>
  <c r="BX69" i="41"/>
  <c r="BP69" i="41"/>
  <c r="BY68" i="41"/>
  <c r="BQ68" i="41"/>
  <c r="BI68" i="41"/>
  <c r="BZ67" i="41"/>
  <c r="BR67" i="41"/>
  <c r="BJ67" i="41"/>
  <c r="CA66" i="41"/>
  <c r="BS66" i="41"/>
  <c r="BK66" i="41"/>
  <c r="CB65" i="41"/>
  <c r="BT65" i="41"/>
  <c r="BL65" i="41"/>
  <c r="CC64" i="41"/>
  <c r="BU64" i="41"/>
  <c r="BM64" i="41"/>
  <c r="CD63" i="41"/>
  <c r="BV63" i="41"/>
  <c r="BN63" i="41"/>
  <c r="CE62" i="41"/>
  <c r="BW62" i="41"/>
  <c r="BO62" i="41"/>
  <c r="CF61" i="41"/>
  <c r="BX61" i="41"/>
  <c r="BP61" i="41"/>
  <c r="CE59" i="41"/>
  <c r="BW59" i="41"/>
  <c r="BO59" i="41"/>
  <c r="CF58" i="41"/>
  <c r="BX58" i="41"/>
  <c r="BP58" i="41"/>
  <c r="BZ56" i="41"/>
  <c r="BR56" i="41"/>
  <c r="BJ56" i="41"/>
  <c r="CA55" i="41"/>
  <c r="BX123" i="41"/>
  <c r="BZ121" i="41"/>
  <c r="CB119" i="41"/>
  <c r="CD117" i="41"/>
  <c r="CF115" i="41"/>
  <c r="BI106" i="41"/>
  <c r="BK104" i="41"/>
  <c r="BM102" i="41"/>
  <c r="BO100" i="41"/>
  <c r="BQ98" i="41"/>
  <c r="BB98" i="41"/>
  <c r="CA97" i="41"/>
  <c r="BS97" i="41"/>
  <c r="BK97" i="41"/>
  <c r="CB96" i="41"/>
  <c r="BT96" i="41"/>
  <c r="BL96" i="41"/>
  <c r="CC95" i="41"/>
  <c r="BU95" i="41"/>
  <c r="BM95" i="41"/>
  <c r="CD94" i="41"/>
  <c r="BV94" i="41"/>
  <c r="BN94" i="41"/>
  <c r="CE93" i="41"/>
  <c r="BW93" i="41"/>
  <c r="BO93" i="41"/>
  <c r="CF92" i="41"/>
  <c r="BX92" i="41"/>
  <c r="BP92" i="41"/>
  <c r="BY91" i="41"/>
  <c r="BQ91" i="41"/>
  <c r="BI91" i="41"/>
  <c r="BZ90" i="41"/>
  <c r="BR90" i="41"/>
  <c r="BJ90" i="41"/>
  <c r="CA89" i="41"/>
  <c r="BS89" i="41"/>
  <c r="BK89" i="41"/>
  <c r="CB88" i="41"/>
  <c r="BT88" i="41"/>
  <c r="BL88" i="41"/>
  <c r="CC87" i="41"/>
  <c r="BU87" i="41"/>
  <c r="BM87" i="41"/>
  <c r="CD86" i="41"/>
  <c r="BV86" i="41"/>
  <c r="BN86" i="41"/>
  <c r="CE85" i="41"/>
  <c r="BW85" i="41"/>
  <c r="BO85" i="41"/>
  <c r="CF84" i="41"/>
  <c r="BX84" i="41"/>
  <c r="BP84" i="41"/>
  <c r="BY83" i="41"/>
  <c r="BQ83" i="41"/>
  <c r="BI83" i="41"/>
  <c r="BZ82" i="41"/>
  <c r="BR82" i="41"/>
  <c r="BJ82" i="41"/>
  <c r="CA81" i="41"/>
  <c r="BS81" i="41"/>
  <c r="BK81" i="41"/>
  <c r="CB80" i="41"/>
  <c r="BT80" i="41"/>
  <c r="BL80" i="41"/>
  <c r="CC79" i="41"/>
  <c r="BU79" i="41"/>
  <c r="BM79" i="41"/>
  <c r="CD78" i="41"/>
  <c r="BV78" i="41"/>
  <c r="BN78" i="41"/>
  <c r="CE77" i="41"/>
  <c r="BW77" i="41"/>
  <c r="BO77" i="41"/>
  <c r="CF76" i="41"/>
  <c r="BX76" i="41"/>
  <c r="BP76" i="41"/>
  <c r="BY75" i="41"/>
  <c r="BQ75" i="41"/>
  <c r="BI75" i="41"/>
  <c r="BZ74" i="41"/>
  <c r="BR74" i="41"/>
  <c r="BJ74" i="41"/>
  <c r="CB72" i="41"/>
  <c r="BT72" i="41"/>
  <c r="BL72" i="41"/>
  <c r="BD72" i="41"/>
  <c r="CC71" i="41"/>
  <c r="BU71" i="41"/>
  <c r="BM71" i="41"/>
  <c r="CD70" i="41"/>
  <c r="BV70" i="41"/>
  <c r="BN70" i="41"/>
  <c r="CE69" i="41"/>
  <c r="BW69" i="41"/>
  <c r="BO69" i="41"/>
  <c r="CF68" i="41"/>
  <c r="BX68" i="41"/>
  <c r="BP68" i="41"/>
  <c r="BY67" i="41"/>
  <c r="BQ67" i="41"/>
  <c r="BI67" i="41"/>
  <c r="BZ66" i="41"/>
  <c r="BR66" i="41"/>
  <c r="BJ66" i="41"/>
  <c r="CA65" i="41"/>
  <c r="BS65" i="41"/>
  <c r="BK65" i="41"/>
  <c r="CB64" i="41"/>
  <c r="BT64" i="41"/>
  <c r="BL64" i="41"/>
  <c r="CC63" i="41"/>
  <c r="BU63" i="41"/>
  <c r="BM63" i="41"/>
  <c r="CD62" i="41"/>
  <c r="BV62" i="41"/>
  <c r="BN62" i="41"/>
  <c r="CE61" i="41"/>
  <c r="BW61" i="41"/>
  <c r="BO61" i="41"/>
  <c r="CD59" i="41"/>
  <c r="BV59" i="41"/>
  <c r="BN59" i="41"/>
  <c r="CE58" i="41"/>
  <c r="BW58" i="41"/>
  <c r="BO58" i="41"/>
  <c r="BY56" i="41"/>
  <c r="BQ56" i="41"/>
  <c r="BI56" i="41"/>
  <c r="BZ55" i="41"/>
  <c r="BR55" i="41"/>
  <c r="BJ55" i="41"/>
  <c r="CA54" i="41"/>
  <c r="BS54" i="41"/>
  <c r="BK54" i="41"/>
  <c r="CB53" i="41"/>
  <c r="BT53" i="41"/>
  <c r="BL53" i="41"/>
  <c r="CC52" i="41"/>
  <c r="BU52" i="41"/>
  <c r="BM52" i="41"/>
  <c r="CD51" i="41"/>
  <c r="BV51" i="41"/>
  <c r="BN51" i="41"/>
  <c r="CE50" i="41"/>
  <c r="BW50" i="41"/>
  <c r="BO50" i="41"/>
  <c r="CF49" i="41"/>
  <c r="BX49" i="41"/>
  <c r="BP49" i="41"/>
  <c r="BZ47" i="41"/>
  <c r="BR47" i="41"/>
  <c r="BJ47" i="41"/>
  <c r="CA46" i="41"/>
  <c r="BS46" i="41"/>
  <c r="BK46" i="41"/>
  <c r="CB45" i="41"/>
  <c r="BT45" i="41"/>
  <c r="BL45" i="41"/>
  <c r="CC44" i="41"/>
  <c r="BU44" i="41"/>
  <c r="BM44" i="41"/>
  <c r="CD43" i="41"/>
  <c r="BV43" i="41"/>
  <c r="BN43" i="41"/>
  <c r="CE42" i="41"/>
  <c r="BW42" i="41"/>
  <c r="BO42" i="41"/>
  <c r="CF41" i="41"/>
  <c r="BX41" i="41"/>
  <c r="BP41" i="41"/>
  <c r="BY40" i="41"/>
  <c r="BQ40" i="41"/>
  <c r="BI40" i="41"/>
  <c r="BZ39" i="41"/>
  <c r="BR39" i="41"/>
  <c r="BJ39" i="41"/>
  <c r="CA38" i="41"/>
  <c r="BS38" i="41"/>
  <c r="BK38" i="41"/>
  <c r="CB37" i="41"/>
  <c r="BT37" i="41"/>
  <c r="BL37" i="41"/>
  <c r="CD35" i="41"/>
  <c r="BV35" i="41"/>
  <c r="BN35" i="41"/>
  <c r="CE34" i="41"/>
  <c r="BW34" i="41"/>
  <c r="BO34" i="41"/>
  <c r="CF33" i="41"/>
  <c r="BX33" i="41"/>
  <c r="BP33" i="41"/>
  <c r="BY32" i="41"/>
  <c r="BQ32" i="41"/>
  <c r="BI32" i="41"/>
  <c r="BZ31" i="41"/>
  <c r="BR31" i="41"/>
  <c r="BJ31" i="41"/>
  <c r="CA30" i="41"/>
  <c r="BS30" i="41"/>
  <c r="BK30" i="41"/>
  <c r="CB29" i="41"/>
  <c r="BT29" i="41"/>
  <c r="BL29" i="41"/>
  <c r="CC28" i="41"/>
  <c r="BU28" i="41"/>
  <c r="BM28" i="41"/>
  <c r="CD27" i="41"/>
  <c r="BV27" i="41"/>
  <c r="BN27" i="41"/>
  <c r="CE26" i="41"/>
  <c r="BW26" i="41"/>
  <c r="BO26" i="41"/>
  <c r="CF25" i="41"/>
  <c r="BX25" i="41"/>
  <c r="BP25" i="41"/>
  <c r="BY24" i="41"/>
  <c r="BQ24" i="41"/>
  <c r="BP123" i="41"/>
  <c r="BR121" i="41"/>
  <c r="BT119" i="41"/>
  <c r="BV117" i="41"/>
  <c r="BX115" i="41"/>
  <c r="BZ113" i="41"/>
  <c r="CB111" i="41"/>
  <c r="CD109" i="41"/>
  <c r="CF107" i="41"/>
  <c r="BL98" i="41"/>
  <c r="BA98" i="41"/>
  <c r="BZ97" i="41"/>
  <c r="BR97" i="41"/>
  <c r="BJ97" i="41"/>
  <c r="CA96" i="41"/>
  <c r="BS96" i="41"/>
  <c r="BK96" i="41"/>
  <c r="CB95" i="41"/>
  <c r="BT95" i="41"/>
  <c r="BL95" i="41"/>
  <c r="CC94" i="41"/>
  <c r="BU94" i="41"/>
  <c r="BM94" i="41"/>
  <c r="CD93" i="41"/>
  <c r="BV93" i="41"/>
  <c r="BN93" i="41"/>
  <c r="CE92" i="41"/>
  <c r="BW92" i="41"/>
  <c r="BO92" i="41"/>
  <c r="CF91" i="41"/>
  <c r="BX91" i="41"/>
  <c r="BP91" i="41"/>
  <c r="BY90" i="41"/>
  <c r="BQ90" i="41"/>
  <c r="BI90" i="41"/>
  <c r="BZ89" i="41"/>
  <c r="BR89" i="41"/>
  <c r="BJ89" i="41"/>
  <c r="CA88" i="41"/>
  <c r="BS88" i="41"/>
  <c r="BK88" i="41"/>
  <c r="CB87" i="41"/>
  <c r="BT87" i="41"/>
  <c r="BL87" i="41"/>
  <c r="CC86" i="41"/>
  <c r="BU86" i="41"/>
  <c r="BM86" i="41"/>
  <c r="CD85" i="41"/>
  <c r="BV85" i="41"/>
  <c r="BN85" i="41"/>
  <c r="CE84" i="41"/>
  <c r="BW84" i="41"/>
  <c r="BO84" i="41"/>
  <c r="CF83" i="41"/>
  <c r="BX83" i="41"/>
  <c r="BP83" i="41"/>
  <c r="BY82" i="41"/>
  <c r="BQ82" i="41"/>
  <c r="BI82" i="41"/>
  <c r="BZ81" i="41"/>
  <c r="BR81" i="41"/>
  <c r="BJ81" i="41"/>
  <c r="CA80" i="41"/>
  <c r="BS80" i="41"/>
  <c r="BK80" i="41"/>
  <c r="CB79" i="41"/>
  <c r="BT79" i="41"/>
  <c r="BL79" i="41"/>
  <c r="CC78" i="41"/>
  <c r="BU78" i="41"/>
  <c r="BM78" i="41"/>
  <c r="CD77" i="41"/>
  <c r="BV77" i="41"/>
  <c r="BN77" i="41"/>
  <c r="CE76" i="41"/>
  <c r="BW76" i="41"/>
  <c r="BO76" i="41"/>
  <c r="CF75" i="41"/>
  <c r="BX75" i="41"/>
  <c r="BP75" i="41"/>
  <c r="BY74" i="41"/>
  <c r="BQ74" i="41"/>
  <c r="BI74" i="41"/>
  <c r="CA72" i="41"/>
  <c r="BS72" i="41"/>
  <c r="BK72" i="41"/>
  <c r="BC72" i="41"/>
  <c r="CB71" i="41"/>
  <c r="BT71" i="41"/>
  <c r="BL71" i="41"/>
  <c r="CC70" i="41"/>
  <c r="BU70" i="41"/>
  <c r="BM70" i="41"/>
  <c r="CD69" i="41"/>
  <c r="BV69" i="41"/>
  <c r="BN69" i="41"/>
  <c r="CE68" i="41"/>
  <c r="BW68" i="41"/>
  <c r="BO68" i="41"/>
  <c r="CF67" i="41"/>
  <c r="BX67" i="41"/>
  <c r="BP67" i="41"/>
  <c r="BY66" i="41"/>
  <c r="BQ66" i="41"/>
  <c r="BI66" i="41"/>
  <c r="BZ65" i="41"/>
  <c r="BR65" i="41"/>
  <c r="BJ65" i="41"/>
  <c r="CA64" i="41"/>
  <c r="BS64" i="41"/>
  <c r="BK64" i="41"/>
  <c r="CB63" i="41"/>
  <c r="BT63" i="41"/>
  <c r="BL63" i="41"/>
  <c r="CC62" i="41"/>
  <c r="BU62" i="41"/>
  <c r="BM62" i="41"/>
  <c r="CD61" i="41"/>
  <c r="BV61" i="41"/>
  <c r="BN61" i="41"/>
  <c r="CC59" i="41"/>
  <c r="BU59" i="41"/>
  <c r="BM59" i="41"/>
  <c r="CD58" i="41"/>
  <c r="BV58" i="41"/>
  <c r="BN58" i="41"/>
  <c r="BJ121" i="41"/>
  <c r="BL119" i="41"/>
  <c r="BN117" i="41"/>
  <c r="BP115" i="41"/>
  <c r="BR113" i="41"/>
  <c r="BT111" i="41"/>
  <c r="BV109" i="41"/>
  <c r="BX107" i="41"/>
  <c r="BZ105" i="41"/>
  <c r="CB103" i="41"/>
  <c r="CD101" i="41"/>
  <c r="BI98" i="41"/>
  <c r="AZ98" i="41"/>
  <c r="BY97" i="41"/>
  <c r="BQ97" i="41"/>
  <c r="BI97" i="41"/>
  <c r="BZ96" i="41"/>
  <c r="BR96" i="41"/>
  <c r="BJ96" i="41"/>
  <c r="CA95" i="41"/>
  <c r="BS95" i="41"/>
  <c r="BK95" i="41"/>
  <c r="CB94" i="41"/>
  <c r="BT94" i="41"/>
  <c r="BL94" i="41"/>
  <c r="CC93" i="41"/>
  <c r="BU93" i="41"/>
  <c r="BM93" i="41"/>
  <c r="CD92" i="41"/>
  <c r="BV92" i="41"/>
  <c r="BN92" i="41"/>
  <c r="CE91" i="41"/>
  <c r="BW91" i="41"/>
  <c r="BO91" i="41"/>
  <c r="CF90" i="41"/>
  <c r="BX90" i="41"/>
  <c r="BP90" i="41"/>
  <c r="BY89" i="41"/>
  <c r="BQ89" i="41"/>
  <c r="BI89" i="41"/>
  <c r="BZ88" i="41"/>
  <c r="BR88" i="41"/>
  <c r="BJ88" i="41"/>
  <c r="CA87" i="41"/>
  <c r="BS87" i="41"/>
  <c r="BK87" i="41"/>
  <c r="CB86" i="41"/>
  <c r="BT86" i="41"/>
  <c r="BL86" i="41"/>
  <c r="CC85" i="41"/>
  <c r="BU85" i="41"/>
  <c r="BM85" i="41"/>
  <c r="CD84" i="41"/>
  <c r="BV84" i="41"/>
  <c r="BN84" i="41"/>
  <c r="CE83" i="41"/>
  <c r="BW83" i="41"/>
  <c r="BO83" i="41"/>
  <c r="CF82" i="41"/>
  <c r="BX82" i="41"/>
  <c r="BP82" i="41"/>
  <c r="BY81" i="41"/>
  <c r="BQ81" i="41"/>
  <c r="BI81" i="41"/>
  <c r="BZ80" i="41"/>
  <c r="BR80" i="41"/>
  <c r="BJ80" i="41"/>
  <c r="CA79" i="41"/>
  <c r="BS79" i="41"/>
  <c r="BK79" i="41"/>
  <c r="CB78" i="41"/>
  <c r="BT78" i="41"/>
  <c r="BL78" i="41"/>
  <c r="CC77" i="41"/>
  <c r="BU77" i="41"/>
  <c r="BM77" i="41"/>
  <c r="CD76" i="41"/>
  <c r="BV76" i="41"/>
  <c r="BN76" i="41"/>
  <c r="CE75" i="41"/>
  <c r="BW75" i="41"/>
  <c r="BO75" i="41"/>
  <c r="CF74" i="41"/>
  <c r="BX74" i="41"/>
  <c r="BP74" i="41"/>
  <c r="BZ72" i="41"/>
  <c r="BR72" i="41"/>
  <c r="BJ72" i="41"/>
  <c r="BB72" i="41"/>
  <c r="CA71" i="41"/>
  <c r="BS71" i="41"/>
  <c r="BK71" i="41"/>
  <c r="CB70" i="41"/>
  <c r="BT70" i="41"/>
  <c r="BL70" i="41"/>
  <c r="CC69" i="41"/>
  <c r="BU69" i="41"/>
  <c r="BM69" i="41"/>
  <c r="CD68" i="41"/>
  <c r="BV68" i="41"/>
  <c r="BN68" i="41"/>
  <c r="CE67" i="41"/>
  <c r="BW67" i="41"/>
  <c r="BO67" i="41"/>
  <c r="CF66" i="41"/>
  <c r="BX66" i="41"/>
  <c r="BP66" i="41"/>
  <c r="BY65" i="41"/>
  <c r="BQ65" i="41"/>
  <c r="BI65" i="41"/>
  <c r="BZ64" i="41"/>
  <c r="BR64" i="41"/>
  <c r="BJ64" i="41"/>
  <c r="CA63" i="41"/>
  <c r="BS63" i="41"/>
  <c r="BK63" i="41"/>
  <c r="CB62" i="41"/>
  <c r="BT62" i="41"/>
  <c r="BL62" i="41"/>
  <c r="CC61" i="41"/>
  <c r="BU61" i="41"/>
  <c r="BM61" i="41"/>
  <c r="CB59" i="41"/>
  <c r="BT59" i="41"/>
  <c r="BL59" i="41"/>
  <c r="CC58" i="41"/>
  <c r="BU58" i="41"/>
  <c r="BM58" i="41"/>
  <c r="CE56" i="41"/>
  <c r="BW56" i="41"/>
  <c r="BO56" i="41"/>
  <c r="CF55" i="41"/>
  <c r="BX55" i="41"/>
  <c r="BP55" i="41"/>
  <c r="BY54" i="41"/>
  <c r="BQ54" i="41"/>
  <c r="BI54" i="41"/>
  <c r="BZ53" i="41"/>
  <c r="BR53" i="41"/>
  <c r="BJ53" i="41"/>
  <c r="CA52" i="41"/>
  <c r="BS52" i="41"/>
  <c r="BK52" i="41"/>
  <c r="CB51" i="41"/>
  <c r="BT51" i="41"/>
  <c r="BL51" i="41"/>
  <c r="CC50" i="41"/>
  <c r="BU50" i="41"/>
  <c r="BM50" i="41"/>
  <c r="CD49" i="41"/>
  <c r="BV49" i="41"/>
  <c r="BN49" i="41"/>
  <c r="CF47" i="41"/>
  <c r="BX47" i="41"/>
  <c r="BP47" i="41"/>
  <c r="BY46" i="41"/>
  <c r="BQ46" i="41"/>
  <c r="BI46" i="41"/>
  <c r="BZ45" i="41"/>
  <c r="BR45" i="41"/>
  <c r="BJ45" i="41"/>
  <c r="CA44" i="41"/>
  <c r="BS44" i="41"/>
  <c r="BK44" i="41"/>
  <c r="CB43" i="41"/>
  <c r="BT43" i="41"/>
  <c r="BL43" i="41"/>
  <c r="CC42" i="41"/>
  <c r="BU42" i="41"/>
  <c r="BM42" i="41"/>
  <c r="CD41" i="41"/>
  <c r="BV41" i="41"/>
  <c r="BN41" i="41"/>
  <c r="CE40" i="41"/>
  <c r="BW40" i="41"/>
  <c r="BO40" i="41"/>
  <c r="CF39" i="41"/>
  <c r="BX39" i="41"/>
  <c r="BP39" i="41"/>
  <c r="BY38" i="41"/>
  <c r="BQ38" i="41"/>
  <c r="BI38" i="41"/>
  <c r="BZ37" i="41"/>
  <c r="BR37" i="41"/>
  <c r="BJ37" i="41"/>
  <c r="CB35" i="41"/>
  <c r="BT35" i="41"/>
  <c r="BL35" i="41"/>
  <c r="CC34" i="41"/>
  <c r="BU34" i="41"/>
  <c r="BM34" i="41"/>
  <c r="CD33" i="41"/>
  <c r="BV33" i="41"/>
  <c r="BN33" i="41"/>
  <c r="CE32" i="41"/>
  <c r="BW32" i="41"/>
  <c r="BO32" i="41"/>
  <c r="CF31" i="41"/>
  <c r="BX31" i="41"/>
  <c r="BP31" i="41"/>
  <c r="BY30" i="41"/>
  <c r="BQ30" i="41"/>
  <c r="BI30" i="41"/>
  <c r="BZ29" i="41"/>
  <c r="BR29" i="41"/>
  <c r="BJ29" i="41"/>
  <c r="CA28" i="41"/>
  <c r="BS28" i="41"/>
  <c r="BK28" i="41"/>
  <c r="CB27" i="41"/>
  <c r="BT27" i="41"/>
  <c r="BL27" i="41"/>
  <c r="CC26" i="41"/>
  <c r="BU26" i="41"/>
  <c r="BM26" i="41"/>
  <c r="CD25" i="41"/>
  <c r="BV25" i="41"/>
  <c r="BN25" i="41"/>
  <c r="BJ113" i="41"/>
  <c r="BL111" i="41"/>
  <c r="BN109" i="41"/>
  <c r="BP107" i="41"/>
  <c r="BR105" i="41"/>
  <c r="BT103" i="41"/>
  <c r="BV101" i="41"/>
  <c r="BH98" i="41"/>
  <c r="CF97" i="41"/>
  <c r="BX97" i="41"/>
  <c r="BP97" i="41"/>
  <c r="BY96" i="41"/>
  <c r="BQ96" i="41"/>
  <c r="BI96" i="41"/>
  <c r="BZ95" i="41"/>
  <c r="BR95" i="41"/>
  <c r="BJ95" i="41"/>
  <c r="CA94" i="41"/>
  <c r="BS94" i="41"/>
  <c r="BK94" i="41"/>
  <c r="CB93" i="41"/>
  <c r="BT93" i="41"/>
  <c r="BL93" i="41"/>
  <c r="CC92" i="41"/>
  <c r="BU92" i="41"/>
  <c r="BM92" i="41"/>
  <c r="CD91" i="41"/>
  <c r="BV91" i="41"/>
  <c r="BN91" i="41"/>
  <c r="CE90" i="41"/>
  <c r="BW90" i="41"/>
  <c r="BO90" i="41"/>
  <c r="CF89" i="41"/>
  <c r="BX89" i="41"/>
  <c r="BP89" i="41"/>
  <c r="BY88" i="41"/>
  <c r="BQ88" i="41"/>
  <c r="BI88" i="41"/>
  <c r="BZ87" i="41"/>
  <c r="BR87" i="41"/>
  <c r="BJ87" i="41"/>
  <c r="CA86" i="41"/>
  <c r="BS86" i="41"/>
  <c r="BK86" i="41"/>
  <c r="CB85" i="41"/>
  <c r="BT85" i="41"/>
  <c r="BL85" i="41"/>
  <c r="CC84" i="41"/>
  <c r="BU84" i="41"/>
  <c r="BM84" i="41"/>
  <c r="CD83" i="41"/>
  <c r="BV83" i="41"/>
  <c r="BN83" i="41"/>
  <c r="CE82" i="41"/>
  <c r="BW82" i="41"/>
  <c r="BO82" i="41"/>
  <c r="CF81" i="41"/>
  <c r="BX81" i="41"/>
  <c r="BP81" i="41"/>
  <c r="BY80" i="41"/>
  <c r="BQ80" i="41"/>
  <c r="BI80" i="41"/>
  <c r="BZ79" i="41"/>
  <c r="BR79" i="41"/>
  <c r="BJ79" i="41"/>
  <c r="CA78" i="41"/>
  <c r="BS78" i="41"/>
  <c r="BK78" i="41"/>
  <c r="CB77" i="41"/>
  <c r="BT77" i="41"/>
  <c r="BL77" i="41"/>
  <c r="CC76" i="41"/>
  <c r="BU76" i="41"/>
  <c r="BM76" i="41"/>
  <c r="CD75" i="41"/>
  <c r="BV75" i="41"/>
  <c r="BN75" i="41"/>
  <c r="CE74" i="41"/>
  <c r="BW74" i="41"/>
  <c r="BO74" i="41"/>
  <c r="BY72" i="41"/>
  <c r="BQ72" i="41"/>
  <c r="BI72" i="41"/>
  <c r="BA72" i="41"/>
  <c r="BZ71" i="41"/>
  <c r="BR71" i="41"/>
  <c r="BJ71" i="41"/>
  <c r="CA70" i="41"/>
  <c r="BS70" i="41"/>
  <c r="BK70" i="41"/>
  <c r="CB69" i="41"/>
  <c r="BT69" i="41"/>
  <c r="BL69" i="41"/>
  <c r="CC68" i="41"/>
  <c r="BU68" i="41"/>
  <c r="BM68" i="41"/>
  <c r="CD67" i="41"/>
  <c r="BV67" i="41"/>
  <c r="BN67" i="41"/>
  <c r="CE66" i="41"/>
  <c r="BW66" i="41"/>
  <c r="BO66" i="41"/>
  <c r="CF65" i="41"/>
  <c r="BX65" i="41"/>
  <c r="BP65" i="41"/>
  <c r="BY64" i="41"/>
  <c r="BQ64" i="41"/>
  <c r="BI64" i="41"/>
  <c r="BZ63" i="41"/>
  <c r="BR63" i="41"/>
  <c r="BJ63" i="41"/>
  <c r="CA62" i="41"/>
  <c r="BS62" i="41"/>
  <c r="BK62" i="41"/>
  <c r="CB61" i="41"/>
  <c r="BT61" i="41"/>
  <c r="BL61" i="41"/>
  <c r="CA59" i="41"/>
  <c r="BS59" i="41"/>
  <c r="BK59" i="41"/>
  <c r="CB58" i="41"/>
  <c r="BT58" i="41"/>
  <c r="BL58" i="41"/>
  <c r="BY122" i="41"/>
  <c r="CA120" i="41"/>
  <c r="CC118" i="41"/>
  <c r="CE116" i="41"/>
  <c r="BJ105" i="41"/>
  <c r="BL103" i="41"/>
  <c r="BN101" i="41"/>
  <c r="BG98" i="41"/>
  <c r="CE97" i="41"/>
  <c r="BW97" i="41"/>
  <c r="BO97" i="41"/>
  <c r="CF96" i="41"/>
  <c r="BX96" i="41"/>
  <c r="BP96" i="41"/>
  <c r="BY95" i="41"/>
  <c r="BQ95" i="41"/>
  <c r="BI95" i="41"/>
  <c r="BZ94" i="41"/>
  <c r="BR94" i="41"/>
  <c r="BJ94" i="41"/>
  <c r="CA93" i="41"/>
  <c r="BS93" i="41"/>
  <c r="BK93" i="41"/>
  <c r="CB92" i="41"/>
  <c r="BT92" i="41"/>
  <c r="BL92" i="41"/>
  <c r="CC91" i="41"/>
  <c r="BU91" i="41"/>
  <c r="BM91" i="41"/>
  <c r="CD90" i="41"/>
  <c r="BV90" i="41"/>
  <c r="BN90" i="41"/>
  <c r="CE89" i="41"/>
  <c r="BW89" i="41"/>
  <c r="BO89" i="41"/>
  <c r="CF88" i="41"/>
  <c r="BX88" i="41"/>
  <c r="BP88" i="41"/>
  <c r="BY87" i="41"/>
  <c r="BQ87" i="41"/>
  <c r="BI87" i="41"/>
  <c r="BZ86" i="41"/>
  <c r="BR86" i="41"/>
  <c r="BJ86" i="41"/>
  <c r="CA85" i="41"/>
  <c r="BS85" i="41"/>
  <c r="BK85" i="41"/>
  <c r="CB84" i="41"/>
  <c r="BT84" i="41"/>
  <c r="BL84" i="41"/>
  <c r="CC83" i="41"/>
  <c r="BU83" i="41"/>
  <c r="BM83" i="41"/>
  <c r="CD82" i="41"/>
  <c r="BV82" i="41"/>
  <c r="BN82" i="41"/>
  <c r="CE81" i="41"/>
  <c r="BW81" i="41"/>
  <c r="BO81" i="41"/>
  <c r="CF80" i="41"/>
  <c r="BX80" i="41"/>
  <c r="BP80" i="41"/>
  <c r="BY79" i="41"/>
  <c r="BQ79" i="41"/>
  <c r="BI79" i="41"/>
  <c r="BZ78" i="41"/>
  <c r="BR78" i="41"/>
  <c r="BJ78" i="41"/>
  <c r="CA77" i="41"/>
  <c r="BS77" i="41"/>
  <c r="BK77" i="41"/>
  <c r="CB76" i="41"/>
  <c r="BT76" i="41"/>
  <c r="BL76" i="41"/>
  <c r="CC75" i="41"/>
  <c r="BU75" i="41"/>
  <c r="BM75" i="41"/>
  <c r="CD74" i="41"/>
  <c r="BV74" i="41"/>
  <c r="BN74" i="41"/>
  <c r="CF72" i="41"/>
  <c r="BX72" i="41"/>
  <c r="BP72" i="41"/>
  <c r="BH72" i="41"/>
  <c r="AZ72" i="41"/>
  <c r="BY71" i="41"/>
  <c r="BQ71" i="41"/>
  <c r="BI71" i="41"/>
  <c r="BZ70" i="41"/>
  <c r="BR70" i="41"/>
  <c r="BJ70" i="41"/>
  <c r="CA69" i="41"/>
  <c r="BS69" i="41"/>
  <c r="BK69" i="41"/>
  <c r="CB68" i="41"/>
  <c r="BT68" i="41"/>
  <c r="BL68" i="41"/>
  <c r="CC67" i="41"/>
  <c r="BU67" i="41"/>
  <c r="BM67" i="41"/>
  <c r="CD66" i="41"/>
  <c r="BV66" i="41"/>
  <c r="BN66" i="41"/>
  <c r="CE65" i="41"/>
  <c r="BW65" i="41"/>
  <c r="BO65" i="41"/>
  <c r="CF64" i="41"/>
  <c r="BX64" i="41"/>
  <c r="BP64" i="41"/>
  <c r="BY63" i="41"/>
  <c r="BQ63" i="41"/>
  <c r="BI63" i="41"/>
  <c r="BZ62" i="41"/>
  <c r="BR62" i="41"/>
  <c r="BJ62" i="41"/>
  <c r="CA61" i="41"/>
  <c r="BS61" i="41"/>
  <c r="BK61" i="41"/>
  <c r="BZ59" i="41"/>
  <c r="BR59" i="41"/>
  <c r="BJ59" i="41"/>
  <c r="CA58" i="41"/>
  <c r="BS58" i="41"/>
  <c r="BK58" i="41"/>
  <c r="BQ122" i="41"/>
  <c r="BS120" i="41"/>
  <c r="BU118" i="41"/>
  <c r="BW116" i="41"/>
  <c r="BY114" i="41"/>
  <c r="CA112" i="41"/>
  <c r="CC110" i="41"/>
  <c r="CE108" i="41"/>
  <c r="BE98" i="41"/>
  <c r="CD97" i="41"/>
  <c r="BV97" i="41"/>
  <c r="BN97" i="41"/>
  <c r="CE96" i="41"/>
  <c r="BW96" i="41"/>
  <c r="BO96" i="41"/>
  <c r="CF95" i="41"/>
  <c r="BX95" i="41"/>
  <c r="BP95" i="41"/>
  <c r="BY94" i="41"/>
  <c r="BQ94" i="41"/>
  <c r="BI94" i="41"/>
  <c r="BZ93" i="41"/>
  <c r="BR93" i="41"/>
  <c r="BJ93" i="41"/>
  <c r="CA92" i="41"/>
  <c r="BS92" i="41"/>
  <c r="BK92" i="41"/>
  <c r="CB91" i="41"/>
  <c r="BT91" i="41"/>
  <c r="BL91" i="41"/>
  <c r="CC90" i="41"/>
  <c r="BU90" i="41"/>
  <c r="BM90" i="41"/>
  <c r="CD89" i="41"/>
  <c r="BV89" i="41"/>
  <c r="BN89" i="41"/>
  <c r="CE88" i="41"/>
  <c r="BW88" i="41"/>
  <c r="BO88" i="41"/>
  <c r="CF87" i="41"/>
  <c r="BX87" i="41"/>
  <c r="BP87" i="41"/>
  <c r="BY86" i="41"/>
  <c r="BQ86" i="41"/>
  <c r="BI86" i="41"/>
  <c r="BZ85" i="41"/>
  <c r="BR85" i="41"/>
  <c r="BJ85" i="41"/>
  <c r="CA84" i="41"/>
  <c r="BS84" i="41"/>
  <c r="BK84" i="41"/>
  <c r="CB83" i="41"/>
  <c r="BT83" i="41"/>
  <c r="BL83" i="41"/>
  <c r="CC82" i="41"/>
  <c r="BU82" i="41"/>
  <c r="BM82" i="41"/>
  <c r="CD81" i="41"/>
  <c r="BV81" i="41"/>
  <c r="BN81" i="41"/>
  <c r="CE80" i="41"/>
  <c r="BW80" i="41"/>
  <c r="BO80" i="41"/>
  <c r="CF79" i="41"/>
  <c r="BX79" i="41"/>
  <c r="BP79" i="41"/>
  <c r="BY78" i="41"/>
  <c r="BQ78" i="41"/>
  <c r="BI78" i="41"/>
  <c r="BZ77" i="41"/>
  <c r="BR77" i="41"/>
  <c r="BJ77" i="41"/>
  <c r="CA76" i="41"/>
  <c r="BS76" i="41"/>
  <c r="BK76" i="41"/>
  <c r="CB75" i="41"/>
  <c r="BT75" i="41"/>
  <c r="BL75" i="41"/>
  <c r="CC74" i="41"/>
  <c r="BU74" i="41"/>
  <c r="BM74" i="41"/>
  <c r="CE72" i="41"/>
  <c r="BW72" i="41"/>
  <c r="BO72" i="41"/>
  <c r="BG72" i="41"/>
  <c r="CF71" i="41"/>
  <c r="BX71" i="41"/>
  <c r="BP71" i="41"/>
  <c r="BY70" i="41"/>
  <c r="BQ70" i="41"/>
  <c r="BI70" i="41"/>
  <c r="BZ69" i="41"/>
  <c r="BR69" i="41"/>
  <c r="BJ69" i="41"/>
  <c r="CA68" i="41"/>
  <c r="BS68" i="41"/>
  <c r="BK68" i="41"/>
  <c r="CB67" i="41"/>
  <c r="BT67" i="41"/>
  <c r="BL67" i="41"/>
  <c r="CC66" i="41"/>
  <c r="BU66" i="41"/>
  <c r="BM66" i="41"/>
  <c r="CD65" i="41"/>
  <c r="BV65" i="41"/>
  <c r="BN65" i="41"/>
  <c r="CE64" i="41"/>
  <c r="BW64" i="41"/>
  <c r="BO64" i="41"/>
  <c r="CF63" i="41"/>
  <c r="BX63" i="41"/>
  <c r="BP63" i="41"/>
  <c r="BY62" i="41"/>
  <c r="BQ62" i="41"/>
  <c r="BI62" i="41"/>
  <c r="BZ61" i="41"/>
  <c r="BR61" i="41"/>
  <c r="BJ61" i="41"/>
  <c r="BY59" i="41"/>
  <c r="BQ59" i="41"/>
  <c r="BI59" i="41"/>
  <c r="BZ58" i="41"/>
  <c r="BR58" i="41"/>
  <c r="BJ58" i="41"/>
  <c r="CB56" i="41"/>
  <c r="BT56" i="41"/>
  <c r="BL56" i="41"/>
  <c r="CC55" i="41"/>
  <c r="BU55" i="41"/>
  <c r="BM55" i="41"/>
  <c r="CD54" i="41"/>
  <c r="BV54" i="41"/>
  <c r="BN54" i="41"/>
  <c r="CE53" i="41"/>
  <c r="BW53" i="41"/>
  <c r="BO53" i="41"/>
  <c r="CF52" i="41"/>
  <c r="BX52" i="41"/>
  <c r="BP52" i="41"/>
  <c r="BY51" i="41"/>
  <c r="BQ51" i="41"/>
  <c r="BI51" i="41"/>
  <c r="BZ50" i="41"/>
  <c r="BR50" i="41"/>
  <c r="BJ50" i="41"/>
  <c r="CA49" i="41"/>
  <c r="BS49" i="41"/>
  <c r="BK49" i="41"/>
  <c r="CC47" i="41"/>
  <c r="BU47" i="41"/>
  <c r="BM47" i="41"/>
  <c r="CD46" i="41"/>
  <c r="BV46" i="41"/>
  <c r="BN46" i="41"/>
  <c r="CE45" i="41"/>
  <c r="BW45" i="41"/>
  <c r="BO45" i="41"/>
  <c r="CF44" i="41"/>
  <c r="BX44" i="41"/>
  <c r="BP44" i="41"/>
  <c r="BY43" i="41"/>
  <c r="BQ43" i="41"/>
  <c r="BI43" i="41"/>
  <c r="BZ42" i="41"/>
  <c r="BR42" i="41"/>
  <c r="BJ42" i="41"/>
  <c r="CA41" i="41"/>
  <c r="BS41" i="41"/>
  <c r="BK41" i="41"/>
  <c r="CB40" i="41"/>
  <c r="BT40" i="41"/>
  <c r="BL40" i="41"/>
  <c r="CC39" i="41"/>
  <c r="BU39" i="41"/>
  <c r="BM39" i="41"/>
  <c r="CD38" i="41"/>
  <c r="BV38" i="41"/>
  <c r="BN38" i="41"/>
  <c r="CE37" i="41"/>
  <c r="BW37" i="41"/>
  <c r="BO37" i="41"/>
  <c r="BY35" i="41"/>
  <c r="BQ35" i="41"/>
  <c r="BI35" i="41"/>
  <c r="BZ34" i="41"/>
  <c r="BR34" i="41"/>
  <c r="BJ34" i="41"/>
  <c r="CA33" i="41"/>
  <c r="BS33" i="41"/>
  <c r="BK33" i="41"/>
  <c r="CB32" i="41"/>
  <c r="BT32" i="41"/>
  <c r="BL32" i="41"/>
  <c r="CC31" i="41"/>
  <c r="BU31" i="41"/>
  <c r="BM31" i="41"/>
  <c r="CD30" i="41"/>
  <c r="BV30" i="41"/>
  <c r="BN30" i="41"/>
  <c r="CE29" i="41"/>
  <c r="BW29" i="41"/>
  <c r="BO29" i="41"/>
  <c r="CF28" i="41"/>
  <c r="BX28" i="41"/>
  <c r="BP28" i="41"/>
  <c r="BY27" i="41"/>
  <c r="BQ27" i="41"/>
  <c r="BI27" i="41"/>
  <c r="BZ26" i="41"/>
  <c r="BR26" i="41"/>
  <c r="BJ26" i="41"/>
  <c r="CA25" i="41"/>
  <c r="BS25" i="41"/>
  <c r="BK25" i="41"/>
  <c r="CB24" i="41"/>
  <c r="BT24" i="41"/>
  <c r="BJ12" i="41"/>
  <c r="BR12" i="41"/>
  <c r="BZ12" i="41"/>
  <c r="BI13" i="41"/>
  <c r="BQ13" i="41"/>
  <c r="BY13" i="41"/>
  <c r="BP14" i="41"/>
  <c r="BX14" i="41"/>
  <c r="CF14" i="41"/>
  <c r="BO15" i="41"/>
  <c r="BW15" i="41"/>
  <c r="CE15" i="41"/>
  <c r="BN16" i="41"/>
  <c r="BV16" i="41"/>
  <c r="CD16" i="41"/>
  <c r="BM17" i="41"/>
  <c r="BU17" i="41"/>
  <c r="CC17" i="41"/>
  <c r="BL18" i="41"/>
  <c r="BT18" i="41"/>
  <c r="CB18" i="41"/>
  <c r="BK19" i="41"/>
  <c r="BS19" i="41"/>
  <c r="CA19" i="41"/>
  <c r="BJ20" i="41"/>
  <c r="BR20" i="41"/>
  <c r="BZ20" i="41"/>
  <c r="BI21" i="41"/>
  <c r="BQ21" i="41"/>
  <c r="BY21" i="41"/>
  <c r="BP22" i="41"/>
  <c r="BX22" i="41"/>
  <c r="CF22" i="41"/>
  <c r="BO23" i="41"/>
  <c r="BW23" i="41"/>
  <c r="CE23" i="41"/>
  <c r="BN24" i="41"/>
  <c r="BX24" i="41"/>
  <c r="BM25" i="41"/>
  <c r="BZ25" i="41"/>
  <c r="BS26" i="41"/>
  <c r="CF26" i="41"/>
  <c r="BK27" i="41"/>
  <c r="BX27" i="41"/>
  <c r="BQ28" i="41"/>
  <c r="CD28" i="41"/>
  <c r="BI29" i="41"/>
  <c r="BV29" i="41"/>
  <c r="BO30" i="41"/>
  <c r="CB30" i="41"/>
  <c r="BT31" i="41"/>
  <c r="BM32" i="41"/>
  <c r="BZ32" i="41"/>
  <c r="BR33" i="41"/>
  <c r="CE33" i="41"/>
  <c r="BK34" i="41"/>
  <c r="BX34" i="41"/>
  <c r="BP35" i="41"/>
  <c r="CC35" i="41"/>
  <c r="BN37" i="41"/>
  <c r="CA37" i="41"/>
  <c r="BT38" i="41"/>
  <c r="CF38" i="41"/>
  <c r="BL39" i="41"/>
  <c r="BY39" i="41"/>
  <c r="BR40" i="41"/>
  <c r="CD40" i="41"/>
  <c r="BJ41" i="41"/>
  <c r="BW41" i="41"/>
  <c r="BP42" i="41"/>
  <c r="CB42" i="41"/>
  <c r="BU43" i="41"/>
  <c r="BN44" i="41"/>
  <c r="BZ44" i="41"/>
  <c r="BS45" i="41"/>
  <c r="CF45" i="41"/>
  <c r="BL46" i="41"/>
  <c r="BX46" i="41"/>
  <c r="BQ47" i="41"/>
  <c r="CD47" i="41"/>
  <c r="BO49" i="41"/>
  <c r="CB49" i="41"/>
  <c r="BT50" i="41"/>
  <c r="BM51" i="41"/>
  <c r="BZ51" i="41"/>
  <c r="BR52" i="41"/>
  <c r="CE52" i="41"/>
  <c r="BK53" i="41"/>
  <c r="BX53" i="41"/>
  <c r="BP54" i="41"/>
  <c r="CC54" i="41"/>
  <c r="BI55" i="41"/>
  <c r="BV55" i="41"/>
  <c r="BU56" i="41"/>
  <c r="BX59" i="41"/>
  <c r="BY61" i="41"/>
  <c r="BW63" i="41"/>
  <c r="BU65" i="41"/>
  <c r="BS67" i="41"/>
  <c r="BQ69" i="41"/>
  <c r="BO71" i="41"/>
  <c r="BK75" i="41"/>
  <c r="BI77" i="41"/>
  <c r="CF86" i="41"/>
  <c r="CD88" i="41"/>
  <c r="CB90" i="41"/>
  <c r="BZ92" i="41"/>
  <c r="BX94" i="41"/>
  <c r="BV96" i="41"/>
  <c r="CE100" i="41"/>
  <c r="BO116" i="41"/>
  <c r="BK14" i="41"/>
  <c r="BS14" i="41"/>
  <c r="CA14" i="41"/>
  <c r="BJ15" i="41"/>
  <c r="BR15" i="41"/>
  <c r="BZ15" i="41"/>
  <c r="BI16" i="41"/>
  <c r="BQ16" i="41"/>
  <c r="BY16" i="41"/>
  <c r="BP17" i="41"/>
  <c r="BX17" i="41"/>
  <c r="CF17" i="41"/>
  <c r="BO18" i="41"/>
  <c r="BW18" i="41"/>
  <c r="CE18" i="41"/>
  <c r="BN19" i="41"/>
  <c r="BV19" i="41"/>
  <c r="CD19" i="41"/>
  <c r="BM20" i="41"/>
  <c r="BU20" i="41"/>
  <c r="CC20" i="41"/>
  <c r="BL21" i="41"/>
  <c r="BT21" i="41"/>
  <c r="CB21" i="41"/>
  <c r="BK22" i="41"/>
  <c r="BS22" i="41"/>
  <c r="CA22" i="41"/>
  <c r="BJ23" i="41"/>
  <c r="BR23" i="41"/>
  <c r="BZ23" i="41"/>
  <c r="BI24" i="41"/>
  <c r="BR24" i="41"/>
  <c r="CC24" i="41"/>
  <c r="BR25" i="41"/>
  <c r="CE25" i="41"/>
  <c r="BK26" i="41"/>
  <c r="BX26" i="41"/>
  <c r="BP27" i="41"/>
  <c r="CC27" i="41"/>
  <c r="BI28" i="41"/>
  <c r="BV28" i="41"/>
  <c r="BN29" i="41"/>
  <c r="CA29" i="41"/>
  <c r="BT30" i="41"/>
  <c r="CF30" i="41"/>
  <c r="BL31" i="41"/>
  <c r="BY31" i="41"/>
  <c r="BR32" i="41"/>
  <c r="CD32" i="41"/>
  <c r="BJ33" i="41"/>
  <c r="BW33" i="41"/>
  <c r="BP34" i="41"/>
  <c r="CB34" i="41"/>
  <c r="BU35" i="41"/>
  <c r="BS37" i="41"/>
  <c r="CF37" i="41"/>
  <c r="BL38" i="41"/>
  <c r="BX38" i="41"/>
  <c r="BQ39" i="41"/>
  <c r="CD39" i="41"/>
  <c r="BJ40" i="41"/>
  <c r="BV40" i="41"/>
  <c r="BO41" i="41"/>
  <c r="CB41" i="41"/>
  <c r="BT42" i="41"/>
  <c r="BM43" i="41"/>
  <c r="BZ43" i="41"/>
  <c r="BR44" i="41"/>
  <c r="CE44" i="41"/>
  <c r="BK45" i="41"/>
  <c r="BX45" i="41"/>
  <c r="BP46" i="41"/>
  <c r="CC46" i="41"/>
  <c r="BI47" i="41"/>
  <c r="BV47" i="41"/>
  <c r="BT49" i="41"/>
  <c r="BL50" i="41"/>
  <c r="BY50" i="41"/>
  <c r="BR51" i="41"/>
  <c r="CE51" i="41"/>
  <c r="BJ52" i="41"/>
  <c r="BW52" i="41"/>
  <c r="BP53" i="41"/>
  <c r="CC53" i="41"/>
  <c r="BU54" i="41"/>
  <c r="BN55" i="41"/>
  <c r="CB55" i="41"/>
  <c r="BK56" i="41"/>
  <c r="CA56" i="41"/>
  <c r="BQ58" i="41"/>
  <c r="BP62" i="41"/>
  <c r="BN64" i="41"/>
  <c r="BL66" i="41"/>
  <c r="BJ68" i="41"/>
  <c r="BF72" i="41"/>
  <c r="CE79" i="41"/>
  <c r="CC81" i="41"/>
  <c r="CA83" i="41"/>
  <c r="BY85" i="41"/>
  <c r="BW87" i="41"/>
  <c r="BU89" i="41"/>
  <c r="BS91" i="41"/>
  <c r="BQ93" i="41"/>
  <c r="BO95" i="41"/>
  <c r="BM97" i="41"/>
  <c r="BY106" i="41"/>
  <c r="BI122" i="41"/>
  <c r="BU30" i="41"/>
  <c r="BN31" i="41"/>
  <c r="CA31" i="41"/>
  <c r="BS32" i="41"/>
  <c r="CF32" i="41"/>
  <c r="BL33" i="41"/>
  <c r="BY33" i="41"/>
  <c r="CD34" i="41"/>
  <c r="BJ35" i="41"/>
  <c r="BW35" i="41"/>
  <c r="BU37" i="41"/>
  <c r="BM38" i="41"/>
  <c r="BZ38" i="41"/>
  <c r="BS39" i="41"/>
  <c r="CE39" i="41"/>
  <c r="BK40" i="41"/>
  <c r="BX40" i="41"/>
  <c r="BQ41" i="41"/>
  <c r="CC41" i="41"/>
  <c r="BI42" i="41"/>
  <c r="BV42" i="41"/>
  <c r="BO43" i="41"/>
  <c r="CA43" i="41"/>
  <c r="BT44" i="41"/>
  <c r="BM45" i="41"/>
  <c r="BY45" i="41"/>
  <c r="BR46" i="41"/>
  <c r="CE46" i="41"/>
  <c r="BK47" i="41"/>
  <c r="BW47" i="41"/>
  <c r="BI49" i="41"/>
  <c r="BU49" i="41"/>
  <c r="BN50" i="41"/>
  <c r="CA50" i="41"/>
  <c r="BS51" i="41"/>
  <c r="CF51" i="41"/>
  <c r="BL52" i="41"/>
  <c r="BY52" i="41"/>
  <c r="BQ53" i="41"/>
  <c r="CD53" i="41"/>
  <c r="BJ54" i="41"/>
  <c r="BW54" i="41"/>
  <c r="BO55" i="41"/>
  <c r="CD55" i="41"/>
  <c r="BM56" i="41"/>
  <c r="CC56" i="41"/>
  <c r="BY58" i="41"/>
  <c r="BX62" i="41"/>
  <c r="BV64" i="41"/>
  <c r="BT66" i="41"/>
  <c r="BR68" i="41"/>
  <c r="BP70" i="41"/>
  <c r="BN72" i="41"/>
  <c r="BL74" i="41"/>
  <c r="BJ76" i="41"/>
  <c r="CE87" i="41"/>
  <c r="CC89" i="41"/>
  <c r="CA91" i="41"/>
  <c r="BY93" i="41"/>
  <c r="BW95" i="41"/>
  <c r="BU97" i="41"/>
  <c r="BW108" i="41"/>
  <c r="BS24" i="41"/>
  <c r="CD24" i="41"/>
  <c r="BL26" i="41"/>
  <c r="BY26" i="41"/>
  <c r="BR27" i="41"/>
  <c r="CE27" i="41"/>
  <c r="BJ28" i="41"/>
  <c r="BW28" i="41"/>
  <c r="BP29" i="41"/>
  <c r="CC29" i="41"/>
  <c r="BQ34" i="41"/>
  <c r="BO12" i="41"/>
  <c r="BW12" i="41"/>
  <c r="CE12" i="41"/>
  <c r="BN13" i="41"/>
  <c r="BV13" i="41"/>
  <c r="CD13" i="41"/>
  <c r="BM14" i="41"/>
  <c r="BU14" i="41"/>
  <c r="CC14" i="41"/>
  <c r="BL15" i="41"/>
  <c r="BT15" i="41"/>
  <c r="CB15" i="41"/>
  <c r="BK16" i="41"/>
  <c r="BS16" i="41"/>
  <c r="CA16" i="41"/>
  <c r="BJ17" i="41"/>
  <c r="BR17" i="41"/>
  <c r="BZ17" i="41"/>
  <c r="BI18" i="41"/>
  <c r="BQ18" i="41"/>
  <c r="BY18" i="41"/>
  <c r="BP19" i="41"/>
  <c r="BX19" i="41"/>
  <c r="CF19" i="41"/>
  <c r="BO20" i="41"/>
  <c r="BW20" i="41"/>
  <c r="CE20" i="41"/>
  <c r="BN21" i="41"/>
  <c r="BV21" i="41"/>
  <c r="CD21" i="41"/>
  <c r="BM22" i="41"/>
  <c r="BU22" i="41"/>
  <c r="CC22" i="41"/>
  <c r="BL23" i="41"/>
  <c r="BT23" i="41"/>
  <c r="CB23" i="41"/>
  <c r="BK24" i="41"/>
  <c r="BU24" i="41"/>
  <c r="CE24" i="41"/>
  <c r="BI25" i="41"/>
  <c r="BU25" i="41"/>
  <c r="BN26" i="41"/>
  <c r="CA26" i="41"/>
  <c r="BS27" i="41"/>
  <c r="CF27" i="41"/>
  <c r="BL28" i="41"/>
  <c r="BY28" i="41"/>
  <c r="BQ29" i="41"/>
  <c r="CD29" i="41"/>
  <c r="BJ30" i="41"/>
  <c r="BW30" i="41"/>
  <c r="BO31" i="41"/>
  <c r="CB31" i="41"/>
  <c r="BU32" i="41"/>
  <c r="BM33" i="41"/>
  <c r="BZ33" i="41"/>
  <c r="BS34" i="41"/>
  <c r="CF34" i="41"/>
  <c r="BK35" i="41"/>
  <c r="BX35" i="41"/>
  <c r="BI37" i="41"/>
  <c r="BV37" i="41"/>
  <c r="BO38" i="41"/>
  <c r="CB38" i="41"/>
  <c r="BT39" i="41"/>
  <c r="BM40" i="41"/>
  <c r="BZ40" i="41"/>
  <c r="BR41" i="41"/>
  <c r="CE41" i="41"/>
  <c r="BK42" i="41"/>
  <c r="BX42" i="41"/>
  <c r="BP43" i="41"/>
  <c r="CC43" i="41"/>
  <c r="BI44" i="41"/>
  <c r="BV44" i="41"/>
  <c r="BN45" i="41"/>
  <c r="CA45" i="41"/>
  <c r="BT46" i="41"/>
  <c r="CF46" i="41"/>
  <c r="BL47" i="41"/>
  <c r="BY47" i="41"/>
  <c r="BJ49" i="41"/>
  <c r="BW49" i="41"/>
  <c r="BP50" i="41"/>
  <c r="CB50" i="41"/>
  <c r="BU51" i="41"/>
  <c r="BN52" i="41"/>
  <c r="BZ52" i="41"/>
  <c r="BS53" i="41"/>
  <c r="CF53" i="41"/>
  <c r="BL54" i="41"/>
  <c r="BX54" i="41"/>
  <c r="BQ55" i="41"/>
  <c r="CE55" i="41"/>
  <c r="BN56" i="41"/>
  <c r="CD56" i="41"/>
  <c r="CF62" i="41"/>
  <c r="CD64" i="41"/>
  <c r="CB66" i="41"/>
  <c r="BZ68" i="41"/>
  <c r="BX70" i="41"/>
  <c r="BV72" i="41"/>
  <c r="BT74" i="41"/>
  <c r="BR76" i="41"/>
  <c r="BP78" i="41"/>
  <c r="BN80" i="41"/>
  <c r="BL82" i="41"/>
  <c r="BJ84" i="41"/>
  <c r="CE95" i="41"/>
  <c r="CC97" i="41"/>
  <c r="BU110" i="41"/>
  <c r="BZ35" i="41"/>
  <c r="BK37" i="41"/>
  <c r="BX37" i="41"/>
  <c r="BP38" i="41"/>
  <c r="CC38" i="41"/>
  <c r="BI39" i="41"/>
  <c r="BV39" i="41"/>
  <c r="BN40" i="41"/>
  <c r="CA40" i="41"/>
  <c r="BT41" i="41"/>
  <c r="BL42" i="41"/>
  <c r="BY42" i="41"/>
  <c r="BR43" i="41"/>
  <c r="CE43" i="41"/>
  <c r="BJ44" i="41"/>
  <c r="BW44" i="41"/>
  <c r="BP45" i="41"/>
  <c r="CC45" i="41"/>
  <c r="BU46" i="41"/>
  <c r="BN47" i="41"/>
  <c r="CA47" i="41"/>
  <c r="BL49" i="41"/>
  <c r="BY49" i="41"/>
  <c r="BQ50" i="41"/>
  <c r="CD50" i="41"/>
  <c r="BJ51" i="41"/>
  <c r="BW51" i="41"/>
  <c r="BO52" i="41"/>
  <c r="CB52" i="41"/>
  <c r="BU53" i="41"/>
  <c r="BM54" i="41"/>
  <c r="BZ54" i="41"/>
  <c r="BS55" i="41"/>
  <c r="BP56" i="41"/>
  <c r="CF56" i="41"/>
  <c r="BI61" i="41"/>
  <c r="CF70" i="41"/>
  <c r="CD72" i="41"/>
  <c r="CB74" i="41"/>
  <c r="BZ76" i="41"/>
  <c r="BX78" i="41"/>
  <c r="BV80" i="41"/>
  <c r="BT82" i="41"/>
  <c r="BR84" i="41"/>
  <c r="BP86" i="41"/>
  <c r="BN88" i="41"/>
  <c r="BL90" i="41"/>
  <c r="BJ92" i="41"/>
  <c r="BD98" i="41"/>
  <c r="BS112" i="41"/>
  <c r="BK31" i="7"/>
  <c r="BV31" i="7"/>
  <c r="CJ31" i="7"/>
  <c r="BD38" i="7"/>
  <c r="BO38" i="7"/>
  <c r="CC38" i="7"/>
  <c r="BF39" i="7"/>
  <c r="BT39" i="7"/>
  <c r="CE39" i="7"/>
  <c r="BK40" i="7"/>
  <c r="BV40" i="7"/>
  <c r="CJ40" i="7"/>
  <c r="CQ62" i="7"/>
  <c r="CQ72" i="7"/>
  <c r="CT73" i="7"/>
  <c r="BA40" i="7"/>
  <c r="AZ37" i="7"/>
  <c r="BI39" i="7"/>
  <c r="BR38" i="7"/>
  <c r="BX38" i="7"/>
  <c r="BZ40" i="7"/>
  <c r="CF40" i="7"/>
  <c r="BL31" i="7"/>
  <c r="BW31" i="7"/>
  <c r="CK31" i="7"/>
  <c r="BE38" i="7"/>
  <c r="BS38" i="7"/>
  <c r="CD38" i="7"/>
  <c r="BG39" i="7"/>
  <c r="BU39" i="7"/>
  <c r="CI39" i="7"/>
  <c r="BL40" i="7"/>
  <c r="BW40" i="7"/>
  <c r="CK40" i="7"/>
  <c r="CR62" i="7"/>
  <c r="CR72" i="7"/>
  <c r="CU73" i="7"/>
  <c r="AZ38" i="7"/>
  <c r="BB40" i="7"/>
  <c r="BH37" i="7"/>
  <c r="BJ39" i="7"/>
  <c r="BP39" i="7"/>
  <c r="BY38" i="7"/>
  <c r="CG40" i="7"/>
  <c r="BM31" i="7"/>
  <c r="CA31" i="7"/>
  <c r="CL31" i="7"/>
  <c r="BF38" i="7"/>
  <c r="BT38" i="7"/>
  <c r="CE38" i="7"/>
  <c r="BK39" i="7"/>
  <c r="BV39" i="7"/>
  <c r="CJ39" i="7"/>
  <c r="BM40" i="7"/>
  <c r="CA40" i="7"/>
  <c r="CL40" i="7"/>
  <c r="CQ61" i="7"/>
  <c r="CS62" i="7"/>
  <c r="CS72" i="7"/>
  <c r="BA38" i="7"/>
  <c r="BH40" i="7"/>
  <c r="BQ39" i="7"/>
  <c r="BZ38" i="7"/>
  <c r="CF38" i="7"/>
  <c r="CH40" i="7"/>
  <c r="CP72" i="7"/>
  <c r="BC31" i="7"/>
  <c r="BN31" i="7"/>
  <c r="CB31" i="7"/>
  <c r="CM31" i="7"/>
  <c r="BG38" i="7"/>
  <c r="BU38" i="7"/>
  <c r="CI38" i="7"/>
  <c r="BL39" i="7"/>
  <c r="BW39" i="7"/>
  <c r="CK39" i="7"/>
  <c r="BC40" i="7"/>
  <c r="BN40" i="7"/>
  <c r="CB40" i="7"/>
  <c r="CM40" i="7"/>
  <c r="CR61" i="7"/>
  <c r="CT62" i="7"/>
  <c r="CT72" i="7"/>
  <c r="BB38" i="7"/>
  <c r="BI40" i="7"/>
  <c r="BP37" i="7"/>
  <c r="BR39" i="7"/>
  <c r="BX39" i="7"/>
  <c r="CG38" i="7"/>
  <c r="CP73" i="7"/>
  <c r="BD31" i="7"/>
  <c r="BO31" i="7"/>
  <c r="CC31" i="7"/>
  <c r="BK38" i="7"/>
  <c r="BV38" i="7"/>
  <c r="CJ38" i="7"/>
  <c r="BM39" i="7"/>
  <c r="CA39" i="7"/>
  <c r="CL39" i="7"/>
  <c r="BD40" i="7"/>
  <c r="BO40" i="7"/>
  <c r="CC40" i="7"/>
  <c r="CS61" i="7"/>
  <c r="CU62" i="7"/>
  <c r="CU72" i="7"/>
  <c r="AZ39" i="7"/>
  <c r="BH38" i="7"/>
  <c r="BJ40" i="7"/>
  <c r="BP40" i="7"/>
  <c r="BY39" i="7"/>
  <c r="CH38" i="7"/>
  <c r="BE31" i="7"/>
  <c r="BS31" i="7"/>
  <c r="CD31" i="7"/>
  <c r="BL38" i="7"/>
  <c r="BW38" i="7"/>
  <c r="CK38" i="7"/>
  <c r="BC39" i="7"/>
  <c r="BN39" i="7"/>
  <c r="CB39" i="7"/>
  <c r="CM39" i="7"/>
  <c r="BE40" i="7"/>
  <c r="BS40" i="7"/>
  <c r="CD40" i="7"/>
  <c r="CT61" i="7"/>
  <c r="CQ73" i="7"/>
  <c r="BA39" i="7"/>
  <c r="BI38" i="7"/>
  <c r="BQ40" i="7"/>
  <c r="BX37" i="7"/>
  <c r="BZ39" i="7"/>
  <c r="CF39" i="7"/>
  <c r="CP61" i="7"/>
  <c r="BF31" i="7"/>
  <c r="BT31" i="7"/>
  <c r="CE31" i="7"/>
  <c r="BM38" i="7"/>
  <c r="CA38" i="7"/>
  <c r="CL38" i="7"/>
  <c r="BD39" i="7"/>
  <c r="BO39" i="7"/>
  <c r="CC39" i="7"/>
  <c r="BF40" i="7"/>
  <c r="BT40" i="7"/>
  <c r="CE40" i="7"/>
  <c r="CU61" i="7"/>
  <c r="CR73" i="7"/>
  <c r="BB39" i="7"/>
  <c r="BJ38" i="7"/>
  <c r="BP38" i="7"/>
  <c r="BR40" i="7"/>
  <c r="BX40" i="7"/>
  <c r="CG39" i="7"/>
  <c r="CP62" i="7"/>
  <c r="AZ40" i="7"/>
  <c r="BH39" i="7"/>
  <c r="BQ38" i="7"/>
  <c r="BY40" i="7"/>
  <c r="CF37" i="7"/>
  <c r="AF53" i="82"/>
  <c r="AE13" i="82"/>
  <c r="Z119" i="82"/>
  <c r="AP114" i="82"/>
  <c r="AJ109" i="82"/>
  <c r="AP101" i="82"/>
  <c r="AN51" i="82"/>
  <c r="AX16" i="62"/>
  <c r="BF23" i="62"/>
  <c r="BT27" i="62"/>
  <c r="BS36" i="62"/>
  <c r="BW42" i="62"/>
  <c r="BY49" i="62"/>
  <c r="CC56" i="62"/>
  <c r="AY118" i="62"/>
  <c r="BP136" i="62"/>
  <c r="AM196" i="82"/>
  <c r="AL195" i="82"/>
  <c r="AA195" i="82"/>
  <c r="Z194" i="82"/>
  <c r="AI193" i="82"/>
  <c r="AH192" i="82"/>
  <c r="AQ191" i="82"/>
  <c r="AP190" i="82"/>
  <c r="AE190" i="82"/>
  <c r="AD189" i="82"/>
  <c r="AM188" i="82"/>
  <c r="AL187" i="82"/>
  <c r="AA187" i="82"/>
  <c r="Z186" i="82"/>
  <c r="AI185" i="82"/>
  <c r="AR184" i="82"/>
  <c r="Z184" i="82"/>
  <c r="AR182" i="82"/>
  <c r="AP180" i="82"/>
  <c r="AN179" i="82"/>
  <c r="AL177" i="82"/>
  <c r="AJ176" i="82"/>
  <c r="AH174" i="82"/>
  <c r="AF173" i="82"/>
  <c r="AD171" i="82"/>
  <c r="AB170" i="82"/>
  <c r="Z168" i="82"/>
  <c r="AR166" i="82"/>
  <c r="AP164" i="82"/>
  <c r="AN163" i="82"/>
  <c r="AL161" i="82"/>
  <c r="AJ160" i="82"/>
  <c r="AH158" i="82"/>
  <c r="AF157" i="82"/>
  <c r="AD155" i="82"/>
  <c r="AB154" i="82"/>
  <c r="AA125" i="82"/>
  <c r="AR117" i="82"/>
  <c r="AD114" i="82"/>
  <c r="AB107" i="82"/>
  <c r="Z99" i="82"/>
  <c r="AQ63" i="82"/>
  <c r="AI47" i="82"/>
  <c r="BK16" i="62"/>
  <c r="BG23" i="62"/>
  <c r="CB28" i="62"/>
  <c r="BM37" i="62"/>
  <c r="BB43" i="62"/>
  <c r="BZ49" i="62"/>
  <c r="BW58" i="62"/>
  <c r="BE122" i="62"/>
  <c r="BD137" i="62"/>
  <c r="AN197" i="82"/>
  <c r="AL196" i="82"/>
  <c r="AB196" i="82"/>
  <c r="Z195" i="82"/>
  <c r="AJ194" i="82"/>
  <c r="AH193" i="82"/>
  <c r="AR192" i="82"/>
  <c r="AP191" i="82"/>
  <c r="AF191" i="82"/>
  <c r="AD190" i="82"/>
  <c r="AN189" i="82"/>
  <c r="AL188" i="82"/>
  <c r="AB188" i="82"/>
  <c r="Z187" i="82"/>
  <c r="AJ186" i="82"/>
  <c r="AH185" i="82"/>
  <c r="AP184" i="82"/>
  <c r="AP182" i="82"/>
  <c r="AN181" i="82"/>
  <c r="AL179" i="82"/>
  <c r="AJ178" i="82"/>
  <c r="AH176" i="82"/>
  <c r="AD173" i="82"/>
  <c r="AB172" i="82"/>
  <c r="Z170" i="82"/>
  <c r="AR168" i="82"/>
  <c r="AP166" i="82"/>
  <c r="AN165" i="82"/>
  <c r="AL163" i="82"/>
  <c r="AJ162" i="82"/>
  <c r="AH160" i="82"/>
  <c r="AF159" i="82"/>
  <c r="AD157" i="82"/>
  <c r="AB156" i="82"/>
  <c r="Z154" i="82"/>
  <c r="AQ129" i="82"/>
  <c r="AH127" i="82"/>
  <c r="AM121" i="82"/>
  <c r="AJ117" i="82"/>
  <c r="Z113" i="82"/>
  <c r="AA107" i="82"/>
  <c r="BS17" i="62"/>
  <c r="BZ23" i="62"/>
  <c r="AX29" i="62"/>
  <c r="CC37" i="62"/>
  <c r="BK44" i="62"/>
  <c r="BO52" i="62"/>
  <c r="BN59" i="62"/>
  <c r="BG124" i="62"/>
  <c r="BH137" i="62"/>
  <c r="AB12" i="82"/>
  <c r="AJ12" i="82"/>
  <c r="AR12" i="82"/>
  <c r="AF13" i="82"/>
  <c r="AN13" i="82"/>
  <c r="AF15" i="82"/>
  <c r="AN15" i="82"/>
  <c r="AB16" i="82"/>
  <c r="AJ16" i="82"/>
  <c r="AR16" i="82"/>
  <c r="AF17" i="82"/>
  <c r="AN17" i="82"/>
  <c r="AB18" i="82"/>
  <c r="AJ18" i="82"/>
  <c r="AR18" i="82"/>
  <c r="AF19" i="82"/>
  <c r="AN19" i="82"/>
  <c r="AF21" i="82"/>
  <c r="AN21" i="82"/>
  <c r="AB22" i="82"/>
  <c r="AJ22" i="82"/>
  <c r="AR22" i="82"/>
  <c r="AF23" i="82"/>
  <c r="AN23" i="82"/>
  <c r="AB24" i="82"/>
  <c r="AJ24" i="82"/>
  <c r="AR24" i="82"/>
  <c r="AF25" i="82"/>
  <c r="AN25" i="82"/>
  <c r="AB26" i="82"/>
  <c r="AJ26" i="82"/>
  <c r="AR26" i="82"/>
  <c r="AF27" i="82"/>
  <c r="AN27" i="82"/>
  <c r="AB28" i="82"/>
  <c r="AJ28" i="82"/>
  <c r="AR28" i="82"/>
  <c r="AF29" i="82"/>
  <c r="AN29" i="82"/>
  <c r="AM31" i="82"/>
  <c r="AI32" i="82"/>
  <c r="AB33" i="82"/>
  <c r="AJ33" i="82"/>
  <c r="AR33" i="82"/>
  <c r="AF34" i="82"/>
  <c r="AN34" i="82"/>
  <c r="AB35" i="82"/>
  <c r="AJ35" i="82"/>
  <c r="AR35" i="82"/>
  <c r="AB37" i="82"/>
  <c r="AJ37" i="82"/>
  <c r="AR37" i="82"/>
  <c r="AF38" i="82"/>
  <c r="AN38" i="82"/>
  <c r="AB39" i="82"/>
  <c r="AJ39" i="82"/>
  <c r="AR39" i="82"/>
  <c r="AB41" i="82"/>
  <c r="AJ41" i="82"/>
  <c r="AR41" i="82"/>
  <c r="AF42" i="82"/>
  <c r="AN42" i="82"/>
  <c r="AF44" i="82"/>
  <c r="AN44" i="82"/>
  <c r="AB45" i="82"/>
  <c r="AN31" i="82"/>
  <c r="AJ32" i="82"/>
  <c r="AC37" i="82"/>
  <c r="AK37" i="82"/>
  <c r="AS37" i="82"/>
  <c r="AG38" i="82"/>
  <c r="AO38" i="82"/>
  <c r="AE12" i="82"/>
  <c r="AM12" i="82"/>
  <c r="AA13" i="82"/>
  <c r="AI13" i="82"/>
  <c r="AQ13" i="82"/>
  <c r="AA15" i="82"/>
  <c r="AI15" i="82"/>
  <c r="AQ15" i="82"/>
  <c r="AE16" i="82"/>
  <c r="AM16" i="82"/>
  <c r="AA17" i="82"/>
  <c r="AI17" i="82"/>
  <c r="AQ17" i="82"/>
  <c r="AE18" i="82"/>
  <c r="AM18" i="82"/>
  <c r="AA19" i="82"/>
  <c r="AI19" i="82"/>
  <c r="AQ19" i="82"/>
  <c r="AA21" i="82"/>
  <c r="AI21" i="82"/>
  <c r="AQ21" i="82"/>
  <c r="AE22" i="82"/>
  <c r="AM22" i="82"/>
  <c r="AA23" i="82"/>
  <c r="AI23" i="82"/>
  <c r="AQ23" i="82"/>
  <c r="AE24" i="82"/>
  <c r="AM24" i="82"/>
  <c r="AA25" i="82"/>
  <c r="AI25" i="82"/>
  <c r="AQ25" i="82"/>
  <c r="AE26" i="82"/>
  <c r="AM26" i="82"/>
  <c r="AA27" i="82"/>
  <c r="AI27" i="82"/>
  <c r="AQ27" i="82"/>
  <c r="AE28" i="82"/>
  <c r="AM28" i="82"/>
  <c r="AA29" i="82"/>
  <c r="AI29" i="82"/>
  <c r="AQ29" i="82"/>
  <c r="AB31" i="82"/>
  <c r="AR31" i="82"/>
  <c r="AN32" i="82"/>
  <c r="AE33" i="82"/>
  <c r="AM33" i="82"/>
  <c r="AA34" i="82"/>
  <c r="AI34" i="82"/>
  <c r="AQ34" i="82"/>
  <c r="AE35" i="82"/>
  <c r="AM35" i="82"/>
  <c r="AE37" i="82"/>
  <c r="AM37" i="82"/>
  <c r="AA38" i="82"/>
  <c r="AI38" i="82"/>
  <c r="AQ38" i="82"/>
  <c r="AE39" i="82"/>
  <c r="AM39" i="82"/>
  <c r="AE41" i="82"/>
  <c r="AM41" i="82"/>
  <c r="AA42" i="82"/>
  <c r="AI42" i="82"/>
  <c r="AQ42" i="82"/>
  <c r="AA44" i="82"/>
  <c r="AI44" i="82"/>
  <c r="AQ44" i="82"/>
  <c r="AE45" i="82"/>
  <c r="AF12" i="82"/>
  <c r="AN12" i="82"/>
  <c r="AB13" i="82"/>
  <c r="AJ13" i="82"/>
  <c r="AR13" i="82"/>
  <c r="AB15" i="82"/>
  <c r="AJ15" i="82"/>
  <c r="AR15" i="82"/>
  <c r="AF16" i="82"/>
  <c r="AN16" i="82"/>
  <c r="AB17" i="82"/>
  <c r="AJ17" i="82"/>
  <c r="AR17" i="82"/>
  <c r="AF18" i="82"/>
  <c r="AN18" i="82"/>
  <c r="AB19" i="82"/>
  <c r="AJ19" i="82"/>
  <c r="AR19" i="82"/>
  <c r="AB21" i="82"/>
  <c r="AJ21" i="82"/>
  <c r="AR21" i="82"/>
  <c r="AF22" i="82"/>
  <c r="AN22" i="82"/>
  <c r="AB23" i="82"/>
  <c r="AJ23" i="82"/>
  <c r="AR23" i="82"/>
  <c r="AF24" i="82"/>
  <c r="AN24" i="82"/>
  <c r="AB25" i="82"/>
  <c r="AJ25" i="82"/>
  <c r="AR25" i="82"/>
  <c r="AF26" i="82"/>
  <c r="AN26" i="82"/>
  <c r="AB27" i="82"/>
  <c r="AJ27" i="82"/>
  <c r="AR27" i="82"/>
  <c r="AF28" i="82"/>
  <c r="AN28" i="82"/>
  <c r="AB29" i="82"/>
  <c r="AJ29" i="82"/>
  <c r="AR29" i="82"/>
  <c r="AE31" i="82"/>
  <c r="AA32" i="82"/>
  <c r="AQ32" i="82"/>
  <c r="AF33" i="82"/>
  <c r="AN33" i="82"/>
  <c r="AB34" i="82"/>
  <c r="AJ34" i="82"/>
  <c r="AR34" i="82"/>
  <c r="AF35" i="82"/>
  <c r="AN35" i="82"/>
  <c r="AF37" i="82"/>
  <c r="AN37" i="82"/>
  <c r="AB38" i="82"/>
  <c r="AJ38" i="82"/>
  <c r="AR38" i="82"/>
  <c r="AF39" i="82"/>
  <c r="AN39" i="82"/>
  <c r="AF41" i="82"/>
  <c r="AN41" i="82"/>
  <c r="AB42" i="82"/>
  <c r="AJ42" i="82"/>
  <c r="AR42" i="82"/>
  <c r="AB44" i="82"/>
  <c r="AJ44" i="82"/>
  <c r="AR44" i="82"/>
  <c r="AF45" i="82"/>
  <c r="AN45" i="82"/>
  <c r="Z12" i="82"/>
  <c r="AH12" i="82"/>
  <c r="AP12" i="82"/>
  <c r="AD13" i="82"/>
  <c r="AL13" i="82"/>
  <c r="AD15" i="82"/>
  <c r="AL15" i="82"/>
  <c r="Z16" i="82"/>
  <c r="AH16" i="82"/>
  <c r="AP16" i="82"/>
  <c r="AD17" i="82"/>
  <c r="AL17" i="82"/>
  <c r="Z18" i="82"/>
  <c r="AH18" i="82"/>
  <c r="AP18" i="82"/>
  <c r="AD19" i="82"/>
  <c r="AL19" i="82"/>
  <c r="AD21" i="82"/>
  <c r="AL21" i="82"/>
  <c r="Z22" i="82"/>
  <c r="AH22" i="82"/>
  <c r="AP22" i="82"/>
  <c r="AD23" i="82"/>
  <c r="AL23" i="82"/>
  <c r="Z24" i="82"/>
  <c r="AH24" i="82"/>
  <c r="AP24" i="82"/>
  <c r="AD25" i="82"/>
  <c r="AL25" i="82"/>
  <c r="Z26" i="82"/>
  <c r="AH26" i="82"/>
  <c r="AP26" i="82"/>
  <c r="AD27" i="82"/>
  <c r="AL27" i="82"/>
  <c r="Z28" i="82"/>
  <c r="AH28" i="82"/>
  <c r="AP28" i="82"/>
  <c r="AD29" i="82"/>
  <c r="AL29" i="82"/>
  <c r="Z30" i="82"/>
  <c r="AH30" i="82"/>
  <c r="AP30" i="82"/>
  <c r="AI31" i="82"/>
  <c r="AE32" i="82"/>
  <c r="Z33" i="82"/>
  <c r="AH33" i="82"/>
  <c r="AP33" i="82"/>
  <c r="AD34" i="82"/>
  <c r="AL34" i="82"/>
  <c r="Z35" i="82"/>
  <c r="AH35" i="82"/>
  <c r="AP35" i="82"/>
  <c r="AD36" i="82"/>
  <c r="AL36" i="82"/>
  <c r="Z37" i="82"/>
  <c r="AH37" i="82"/>
  <c r="AP37" i="82"/>
  <c r="AD38" i="82"/>
  <c r="AL38" i="82"/>
  <c r="Z39" i="82"/>
  <c r="AH39" i="82"/>
  <c r="AP39" i="82"/>
  <c r="Z41" i="82"/>
  <c r="AH41" i="82"/>
  <c r="AP41" i="82"/>
  <c r="AD42" i="82"/>
  <c r="AL42" i="82"/>
  <c r="AD44" i="82"/>
  <c r="AL44" i="82"/>
  <c r="Z45" i="82"/>
  <c r="AH45" i="82"/>
  <c r="AP45" i="82"/>
  <c r="AQ12" i="82"/>
  <c r="Z15" i="82"/>
  <c r="AA16" i="82"/>
  <c r="AD18" i="82"/>
  <c r="AE19" i="82"/>
  <c r="AH21" i="82"/>
  <c r="AI22" i="82"/>
  <c r="AL24" i="82"/>
  <c r="AM25" i="82"/>
  <c r="AP27" i="82"/>
  <c r="AQ28" i="82"/>
  <c r="AA31" i="82"/>
  <c r="AA33" i="82"/>
  <c r="AD35" i="82"/>
  <c r="AG37" i="82"/>
  <c r="AH38" i="82"/>
  <c r="AI39" i="82"/>
  <c r="AL41" i="82"/>
  <c r="AM42" i="82"/>
  <c r="AP44" i="82"/>
  <c r="AA46" i="82"/>
  <c r="AI46" i="82"/>
  <c r="AQ46" i="82"/>
  <c r="AE47" i="82"/>
  <c r="AM47" i="82"/>
  <c r="AA48" i="82"/>
  <c r="AI48" i="82"/>
  <c r="AQ48" i="82"/>
  <c r="AA50" i="82"/>
  <c r="AI50" i="82"/>
  <c r="AQ50" i="82"/>
  <c r="AE51" i="82"/>
  <c r="AM51" i="82"/>
  <c r="AA52" i="82"/>
  <c r="AI52" i="82"/>
  <c r="AQ52" i="82"/>
  <c r="AE53" i="82"/>
  <c r="AM53" i="82"/>
  <c r="AA54" i="82"/>
  <c r="AI54" i="82"/>
  <c r="AQ54" i="82"/>
  <c r="AE55" i="82"/>
  <c r="AM55" i="82"/>
  <c r="AA56" i="82"/>
  <c r="AI56" i="82"/>
  <c r="AQ56" i="82"/>
  <c r="AE57" i="82"/>
  <c r="AM57" i="82"/>
  <c r="AA58" i="82"/>
  <c r="AI58" i="82"/>
  <c r="AQ58" i="82"/>
  <c r="AE59" i="82"/>
  <c r="AM59" i="82"/>
  <c r="AA60" i="82"/>
  <c r="AI60" i="82"/>
  <c r="AQ60" i="82"/>
  <c r="AE61" i="82"/>
  <c r="AM61" i="82"/>
  <c r="AA62" i="82"/>
  <c r="AI62" i="82"/>
  <c r="AQ62" i="82"/>
  <c r="AE63" i="82"/>
  <c r="AM63" i="82"/>
  <c r="AA64" i="82"/>
  <c r="AI64" i="82"/>
  <c r="AQ64" i="82"/>
  <c r="Z13" i="82"/>
  <c r="AD16" i="82"/>
  <c r="AE17" i="82"/>
  <c r="AH19" i="82"/>
  <c r="AL22" i="82"/>
  <c r="AM23" i="82"/>
  <c r="AP25" i="82"/>
  <c r="AQ26" i="82"/>
  <c r="Z29" i="82"/>
  <c r="AF31" i="82"/>
  <c r="AD33" i="82"/>
  <c r="AE34" i="82"/>
  <c r="AH36" i="82"/>
  <c r="AI37" i="82"/>
  <c r="AK38" i="82"/>
  <c r="AL39" i="82"/>
  <c r="AP42" i="82"/>
  <c r="AA12" i="82"/>
  <c r="AE15" i="82"/>
  <c r="AH17" i="82"/>
  <c r="AI18" i="82"/>
  <c r="AM21" i="82"/>
  <c r="AP23" i="82"/>
  <c r="AQ24" i="82"/>
  <c r="Z27" i="82"/>
  <c r="AA28" i="82"/>
  <c r="AD30" i="82"/>
  <c r="AJ31" i="82"/>
  <c r="AH34" i="82"/>
  <c r="AI35" i="82"/>
  <c r="AL37" i="82"/>
  <c r="AM38" i="82"/>
  <c r="AQ41" i="82"/>
  <c r="Z44" i="82"/>
  <c r="AA45" i="82"/>
  <c r="AM45" i="82"/>
  <c r="AH13" i="82"/>
  <c r="AL18" i="82"/>
  <c r="AH23" i="82"/>
  <c r="AE25" i="82"/>
  <c r="AL28" i="82"/>
  <c r="AR32" i="82"/>
  <c r="AP34" i="82"/>
  <c r="AC38" i="82"/>
  <c r="AI41" i="82"/>
  <c r="AR45" i="82"/>
  <c r="AH46" i="82"/>
  <c r="Z47" i="82"/>
  <c r="AJ47" i="82"/>
  <c r="Z48" i="82"/>
  <c r="AL48" i="82"/>
  <c r="AD50" i="82"/>
  <c r="AN50" i="82"/>
  <c r="AD51" i="82"/>
  <c r="AP51" i="82"/>
  <c r="AF52" i="82"/>
  <c r="AP52" i="82"/>
  <c r="AH53" i="82"/>
  <c r="AR53" i="82"/>
  <c r="AH54" i="82"/>
  <c r="Z55" i="82"/>
  <c r="AJ55" i="82"/>
  <c r="Z56" i="82"/>
  <c r="AL56" i="82"/>
  <c r="AB57" i="82"/>
  <c r="AL57" i="82"/>
  <c r="AD58" i="82"/>
  <c r="AN58" i="82"/>
  <c r="AD59" i="82"/>
  <c r="AP59" i="82"/>
  <c r="AF60" i="82"/>
  <c r="AP60" i="82"/>
  <c r="AH61" i="82"/>
  <c r="AR61" i="82"/>
  <c r="AH62" i="82"/>
  <c r="Z63" i="82"/>
  <c r="AJ63" i="82"/>
  <c r="Z64" i="82"/>
  <c r="AL64" i="82"/>
  <c r="AG90" i="82"/>
  <c r="AO90" i="82"/>
  <c r="AH15" i="82"/>
  <c r="AQ16" i="82"/>
  <c r="AA22" i="82"/>
  <c r="AH25" i="82"/>
  <c r="AE27" i="82"/>
  <c r="AL30" i="82"/>
  <c r="AI33" i="82"/>
  <c r="AP36" i="82"/>
  <c r="AE38" i="82"/>
  <c r="Z42" i="82"/>
  <c r="AD45" i="82"/>
  <c r="AJ46" i="82"/>
  <c r="AA47" i="82"/>
  <c r="AB48" i="82"/>
  <c r="AM48" i="82"/>
  <c r="AE50" i="82"/>
  <c r="AF51" i="82"/>
  <c r="AQ51" i="82"/>
  <c r="AR52" i="82"/>
  <c r="AI53" i="82"/>
  <c r="AJ54" i="82"/>
  <c r="AA55" i="82"/>
  <c r="AB56" i="82"/>
  <c r="AM56" i="82"/>
  <c r="AN57" i="82"/>
  <c r="AE58" i="82"/>
  <c r="AF59" i="82"/>
  <c r="AQ59" i="82"/>
  <c r="AR60" i="82"/>
  <c r="AI61" i="82"/>
  <c r="AJ62" i="82"/>
  <c r="AA63" i="82"/>
  <c r="AB64" i="82"/>
  <c r="AM64" i="82"/>
  <c r="Z90" i="82"/>
  <c r="AH90" i="82"/>
  <c r="AP90" i="82"/>
  <c r="Z92" i="82"/>
  <c r="AH92" i="82"/>
  <c r="AP92" i="82"/>
  <c r="AD93" i="82"/>
  <c r="AL93" i="82"/>
  <c r="Z94" i="82"/>
  <c r="AH94" i="82"/>
  <c r="AP94" i="82"/>
  <c r="AD95" i="82"/>
  <c r="AL95" i="82"/>
  <c r="Z96" i="82"/>
  <c r="AH96" i="82"/>
  <c r="AP96" i="82"/>
  <c r="AD97" i="82"/>
  <c r="AL97" i="82"/>
  <c r="Z98" i="82"/>
  <c r="AH98" i="82"/>
  <c r="AP98" i="82"/>
  <c r="AD99" i="82"/>
  <c r="AL99" i="82"/>
  <c r="Z100" i="82"/>
  <c r="AH100" i="82"/>
  <c r="AP100" i="82"/>
  <c r="AD101" i="82"/>
  <c r="AL101" i="82"/>
  <c r="Z102" i="82"/>
  <c r="AH102" i="82"/>
  <c r="AP102" i="82"/>
  <c r="AD103" i="82"/>
  <c r="AL103" i="82"/>
  <c r="Z104" i="82"/>
  <c r="AH104" i="82"/>
  <c r="AP104" i="82"/>
  <c r="AD105" i="82"/>
  <c r="AL105" i="82"/>
  <c r="Z106" i="82"/>
  <c r="AH106" i="82"/>
  <c r="AP106" i="82"/>
  <c r="AD107" i="82"/>
  <c r="AL107" i="82"/>
  <c r="Z108" i="82"/>
  <c r="AH108" i="82"/>
  <c r="AP108" i="82"/>
  <c r="AD109" i="82"/>
  <c r="AL109" i="82"/>
  <c r="Z110" i="82"/>
  <c r="AH110" i="82"/>
  <c r="AP110" i="82"/>
  <c r="AD12" i="82"/>
  <c r="AM13" i="82"/>
  <c r="Z17" i="82"/>
  <c r="AQ18" i="82"/>
  <c r="AD22" i="82"/>
  <c r="AA24" i="82"/>
  <c r="AH27" i="82"/>
  <c r="AE29" i="82"/>
  <c r="AL33" i="82"/>
  <c r="AA35" i="82"/>
  <c r="AP38" i="82"/>
  <c r="Z46" i="82"/>
  <c r="AL46" i="82"/>
  <c r="AB47" i="82"/>
  <c r="AL47" i="82"/>
  <c r="AD48" i="82"/>
  <c r="AN48" i="82"/>
  <c r="AF50" i="82"/>
  <c r="AP50" i="82"/>
  <c r="AH51" i="82"/>
  <c r="AR51" i="82"/>
  <c r="AH52" i="82"/>
  <c r="Z53" i="82"/>
  <c r="AJ53" i="82"/>
  <c r="Z54" i="82"/>
  <c r="AL54" i="82"/>
  <c r="AB55" i="82"/>
  <c r="AL55" i="82"/>
  <c r="AD56" i="82"/>
  <c r="AN56" i="82"/>
  <c r="AD57" i="82"/>
  <c r="AP57" i="82"/>
  <c r="AF58" i="82"/>
  <c r="AP58" i="82"/>
  <c r="AH59" i="82"/>
  <c r="AR59" i="82"/>
  <c r="AH60" i="82"/>
  <c r="Z61" i="82"/>
  <c r="AJ61" i="82"/>
  <c r="Z62" i="82"/>
  <c r="AL62" i="82"/>
  <c r="AB63" i="82"/>
  <c r="AL63" i="82"/>
  <c r="AD64" i="82"/>
  <c r="AN64" i="82"/>
  <c r="AA90" i="82"/>
  <c r="AI90" i="82"/>
  <c r="AQ90" i="82"/>
  <c r="AA92" i="82"/>
  <c r="AI92" i="82"/>
  <c r="AQ92" i="82"/>
  <c r="AE93" i="82"/>
  <c r="AM93" i="82"/>
  <c r="AA94" i="82"/>
  <c r="AI94" i="82"/>
  <c r="AQ94" i="82"/>
  <c r="AE95" i="82"/>
  <c r="AM95" i="82"/>
  <c r="AA96" i="82"/>
  <c r="AI96" i="82"/>
  <c r="AQ96" i="82"/>
  <c r="AE97" i="82"/>
  <c r="AM97" i="82"/>
  <c r="AA98" i="82"/>
  <c r="AI98" i="82"/>
  <c r="AQ98" i="82"/>
  <c r="AE99" i="82"/>
  <c r="AM99" i="82"/>
  <c r="AA100" i="82"/>
  <c r="AI100" i="82"/>
  <c r="AQ100" i="82"/>
  <c r="AE101" i="82"/>
  <c r="AM101" i="82"/>
  <c r="AA102" i="82"/>
  <c r="AI102" i="82"/>
  <c r="AQ102" i="82"/>
  <c r="AE103" i="82"/>
  <c r="AM103" i="82"/>
  <c r="AA104" i="82"/>
  <c r="AI104" i="82"/>
  <c r="AQ104" i="82"/>
  <c r="AE105" i="82"/>
  <c r="AM105" i="82"/>
  <c r="AA106" i="82"/>
  <c r="AI106" i="82"/>
  <c r="AQ106" i="82"/>
  <c r="AE107" i="82"/>
  <c r="AM107" i="82"/>
  <c r="AA108" i="82"/>
  <c r="AI108" i="82"/>
  <c r="AQ108" i="82"/>
  <c r="AE109" i="82"/>
  <c r="AM109" i="82"/>
  <c r="AA110" i="82"/>
  <c r="AI110" i="82"/>
  <c r="AQ110" i="82"/>
  <c r="AA112" i="82"/>
  <c r="AI112" i="82"/>
  <c r="AQ112" i="82"/>
  <c r="AE113" i="82"/>
  <c r="AM113" i="82"/>
  <c r="AA114" i="82"/>
  <c r="AI114" i="82"/>
  <c r="AQ114" i="82"/>
  <c r="AE115" i="82"/>
  <c r="AM115" i="82"/>
  <c r="AA116" i="82"/>
  <c r="AI116" i="82"/>
  <c r="AQ116" i="82"/>
  <c r="AE117" i="82"/>
  <c r="AM117" i="82"/>
  <c r="AA118" i="82"/>
  <c r="AI118" i="82"/>
  <c r="AQ118" i="82"/>
  <c r="AE119" i="82"/>
  <c r="AM119" i="82"/>
  <c r="AA120" i="82"/>
  <c r="AI120" i="82"/>
  <c r="AQ120" i="82"/>
  <c r="AE121" i="82"/>
  <c r="AP13" i="82"/>
  <c r="AM15" i="82"/>
  <c r="Z19" i="82"/>
  <c r="AD24" i="82"/>
  <c r="AA26" i="82"/>
  <c r="AH29" i="82"/>
  <c r="AL35" i="82"/>
  <c r="AA37" i="82"/>
  <c r="AS38" i="82"/>
  <c r="AE42" i="82"/>
  <c r="AI45" i="82"/>
  <c r="AB46" i="82"/>
  <c r="AM46" i="82"/>
  <c r="AN47" i="82"/>
  <c r="AE48" i="82"/>
  <c r="AR50" i="82"/>
  <c r="AI51" i="82"/>
  <c r="AJ52" i="82"/>
  <c r="AA53" i="82"/>
  <c r="AB54" i="82"/>
  <c r="AM54" i="82"/>
  <c r="AN55" i="82"/>
  <c r="AE56" i="82"/>
  <c r="AF57" i="82"/>
  <c r="AQ57" i="82"/>
  <c r="AR58" i="82"/>
  <c r="AI59" i="82"/>
  <c r="AJ60" i="82"/>
  <c r="AA61" i="82"/>
  <c r="AB62" i="82"/>
  <c r="AM62" i="82"/>
  <c r="AN63" i="82"/>
  <c r="AE64" i="82"/>
  <c r="AB90" i="82"/>
  <c r="AJ90" i="82"/>
  <c r="AR90" i="82"/>
  <c r="AB92" i="82"/>
  <c r="AJ92" i="82"/>
  <c r="AR92" i="82"/>
  <c r="AF93" i="82"/>
  <c r="AN93" i="82"/>
  <c r="AB94" i="82"/>
  <c r="AJ94" i="82"/>
  <c r="AR94" i="82"/>
  <c r="AF95" i="82"/>
  <c r="AN95" i="82"/>
  <c r="AB96" i="82"/>
  <c r="AJ96" i="82"/>
  <c r="AR96" i="82"/>
  <c r="AF97" i="82"/>
  <c r="AN97" i="82"/>
  <c r="AB98" i="82"/>
  <c r="AJ98" i="82"/>
  <c r="AR98" i="82"/>
  <c r="AF99" i="82"/>
  <c r="AN99" i="82"/>
  <c r="AB100" i="82"/>
  <c r="AJ100" i="82"/>
  <c r="AR100" i="82"/>
  <c r="AF101" i="82"/>
  <c r="AN101" i="82"/>
  <c r="AB102" i="82"/>
  <c r="AJ102" i="82"/>
  <c r="AR102" i="82"/>
  <c r="AF103" i="82"/>
  <c r="AN103" i="82"/>
  <c r="AB104" i="82"/>
  <c r="AJ104" i="82"/>
  <c r="AR104" i="82"/>
  <c r="AF105" i="82"/>
  <c r="AN105" i="82"/>
  <c r="AB106" i="82"/>
  <c r="AJ106" i="82"/>
  <c r="AR106" i="82"/>
  <c r="AF107" i="82"/>
  <c r="AN107" i="82"/>
  <c r="AB108" i="82"/>
  <c r="AJ108" i="82"/>
  <c r="AR108" i="82"/>
  <c r="AF109" i="82"/>
  <c r="AN109" i="82"/>
  <c r="AB110" i="82"/>
  <c r="AJ110" i="82"/>
  <c r="AR110" i="82"/>
  <c r="AB112" i="82"/>
  <c r="AJ112" i="82"/>
  <c r="AR112" i="82"/>
  <c r="AF113" i="82"/>
  <c r="AN113" i="82"/>
  <c r="AB114" i="82"/>
  <c r="AJ114" i="82"/>
  <c r="AR114" i="82"/>
  <c r="AF115" i="82"/>
  <c r="AN115" i="82"/>
  <c r="AB116" i="82"/>
  <c r="AJ116" i="82"/>
  <c r="AR116" i="82"/>
  <c r="AI12" i="82"/>
  <c r="AP15" i="82"/>
  <c r="AM17" i="82"/>
  <c r="Z21" i="82"/>
  <c r="AQ22" i="82"/>
  <c r="AD26" i="82"/>
  <c r="AM27" i="82"/>
  <c r="AQ31" i="82"/>
  <c r="AQ33" i="82"/>
  <c r="AD37" i="82"/>
  <c r="AA39" i="82"/>
  <c r="AH42" i="82"/>
  <c r="AE44" i="82"/>
  <c r="AJ45" i="82"/>
  <c r="AD46" i="82"/>
  <c r="AN46" i="82"/>
  <c r="AD47" i="82"/>
  <c r="AP47" i="82"/>
  <c r="AF48" i="82"/>
  <c r="AP48" i="82"/>
  <c r="AH50" i="82"/>
  <c r="Z51" i="82"/>
  <c r="AJ51" i="82"/>
  <c r="Z52" i="82"/>
  <c r="AL52" i="82"/>
  <c r="AB53" i="82"/>
  <c r="AL53" i="82"/>
  <c r="AD54" i="82"/>
  <c r="AN54" i="82"/>
  <c r="AD55" i="82"/>
  <c r="AP55" i="82"/>
  <c r="AF56" i="82"/>
  <c r="AP56" i="82"/>
  <c r="AH57" i="82"/>
  <c r="AR57" i="82"/>
  <c r="AH58" i="82"/>
  <c r="Z59" i="82"/>
  <c r="AJ59" i="82"/>
  <c r="Z60" i="82"/>
  <c r="AL60" i="82"/>
  <c r="AB61" i="82"/>
  <c r="AL61" i="82"/>
  <c r="AD62" i="82"/>
  <c r="AN62" i="82"/>
  <c r="AD63" i="82"/>
  <c r="AP63" i="82"/>
  <c r="AF64" i="82"/>
  <c r="AP64" i="82"/>
  <c r="AC90" i="82"/>
  <c r="AK90" i="82"/>
  <c r="AS90" i="82"/>
  <c r="AL12" i="82"/>
  <c r="AP17" i="82"/>
  <c r="AM19" i="82"/>
  <c r="Z23" i="82"/>
  <c r="AI24" i="82"/>
  <c r="AD28" i="82"/>
  <c r="AM29" i="82"/>
  <c r="AB32" i="82"/>
  <c r="Z34" i="82"/>
  <c r="AQ35" i="82"/>
  <c r="AO37" i="82"/>
  <c r="AD39" i="82"/>
  <c r="AA41" i="82"/>
  <c r="AI16" i="82"/>
  <c r="AP19" i="82"/>
  <c r="AE21" i="82"/>
  <c r="Z25" i="82"/>
  <c r="AI26" i="82"/>
  <c r="AP29" i="82"/>
  <c r="AF32" i="82"/>
  <c r="Z36" i="82"/>
  <c r="AQ37" i="82"/>
  <c r="AD41" i="82"/>
  <c r="AF46" i="82"/>
  <c r="AP46" i="82"/>
  <c r="AH47" i="82"/>
  <c r="AR47" i="82"/>
  <c r="AH48" i="82"/>
  <c r="Z50" i="82"/>
  <c r="AL50" i="82"/>
  <c r="AB51" i="82"/>
  <c r="AL51" i="82"/>
  <c r="AD52" i="82"/>
  <c r="AN52" i="82"/>
  <c r="AD53" i="82"/>
  <c r="AP53" i="82"/>
  <c r="AF54" i="82"/>
  <c r="AP54" i="82"/>
  <c r="AH55" i="82"/>
  <c r="AR55" i="82"/>
  <c r="AH56" i="82"/>
  <c r="Z57" i="82"/>
  <c r="AJ57" i="82"/>
  <c r="Z58" i="82"/>
  <c r="AL58" i="82"/>
  <c r="AB59" i="82"/>
  <c r="AL59" i="82"/>
  <c r="AD60" i="82"/>
  <c r="AN60" i="82"/>
  <c r="AD61" i="82"/>
  <c r="AP61" i="82"/>
  <c r="AF62" i="82"/>
  <c r="AP62" i="82"/>
  <c r="AH63" i="82"/>
  <c r="AR63" i="82"/>
  <c r="AH64" i="82"/>
  <c r="AE90" i="82"/>
  <c r="AM90" i="82"/>
  <c r="AE92" i="82"/>
  <c r="AM92" i="82"/>
  <c r="AA93" i="82"/>
  <c r="AI93" i="82"/>
  <c r="AQ93" i="82"/>
  <c r="AE94" i="82"/>
  <c r="AM94" i="82"/>
  <c r="AA95" i="82"/>
  <c r="AI95" i="82"/>
  <c r="AQ95" i="82"/>
  <c r="AE96" i="82"/>
  <c r="AM96" i="82"/>
  <c r="AA97" i="82"/>
  <c r="AI97" i="82"/>
  <c r="AQ97" i="82"/>
  <c r="AE98" i="82"/>
  <c r="AM98" i="82"/>
  <c r="AA99" i="82"/>
  <c r="AI99" i="82"/>
  <c r="AQ99" i="82"/>
  <c r="AE100" i="82"/>
  <c r="AM100" i="82"/>
  <c r="AL16" i="82"/>
  <c r="AH44" i="82"/>
  <c r="AF47" i="82"/>
  <c r="AN53" i="82"/>
  <c r="AQ55" i="82"/>
  <c r="AB60" i="82"/>
  <c r="AE62" i="82"/>
  <c r="Z93" i="82"/>
  <c r="AL94" i="82"/>
  <c r="AD96" i="82"/>
  <c r="AP97" i="82"/>
  <c r="AH99" i="82"/>
  <c r="Z101" i="82"/>
  <c r="AR101" i="82"/>
  <c r="AA103" i="82"/>
  <c r="AD104" i="82"/>
  <c r="AB105" i="82"/>
  <c r="AE106" i="82"/>
  <c r="AH107" i="82"/>
  <c r="AF108" i="82"/>
  <c r="AI109" i="82"/>
  <c r="AL110" i="82"/>
  <c r="AE112" i="82"/>
  <c r="AA113" i="82"/>
  <c r="AF114" i="82"/>
  <c r="Z115" i="82"/>
  <c r="AL115" i="82"/>
  <c r="AE116" i="82"/>
  <c r="AI117" i="82"/>
  <c r="Z118" i="82"/>
  <c r="AA119" i="82"/>
  <c r="AL119" i="82"/>
  <c r="AM120" i="82"/>
  <c r="AD121" i="82"/>
  <c r="AN121" i="82"/>
  <c r="AL122" i="82"/>
  <c r="AA123" i="82"/>
  <c r="AJ123" i="82"/>
  <c r="AR123" i="82"/>
  <c r="AF124" i="82"/>
  <c r="AN124" i="82"/>
  <c r="AB125" i="82"/>
  <c r="AJ125" i="82"/>
  <c r="AR125" i="82"/>
  <c r="AF126" i="82"/>
  <c r="AN126" i="82"/>
  <c r="AB127" i="82"/>
  <c r="AJ127" i="82"/>
  <c r="AR127" i="82"/>
  <c r="AF128" i="82"/>
  <c r="AN128" i="82"/>
  <c r="AB129" i="82"/>
  <c r="AJ129" i="82"/>
  <c r="AR129" i="82"/>
  <c r="AF130" i="82"/>
  <c r="AN130" i="82"/>
  <c r="AM34" i="82"/>
  <c r="AL45" i="82"/>
  <c r="AQ47" i="82"/>
  <c r="AB52" i="82"/>
  <c r="AE54" i="82"/>
  <c r="AJ58" i="82"/>
  <c r="AM60" i="82"/>
  <c r="AR64" i="82"/>
  <c r="AD90" i="82"/>
  <c r="AH93" i="82"/>
  <c r="Z95" i="82"/>
  <c r="AL96" i="82"/>
  <c r="AD98" i="82"/>
  <c r="AP99" i="82"/>
  <c r="AB101" i="82"/>
  <c r="AE102" i="82"/>
  <c r="AH103" i="82"/>
  <c r="AF104" i="82"/>
  <c r="AI105" i="82"/>
  <c r="AL106" i="82"/>
  <c r="AJ107" i="82"/>
  <c r="AM108" i="82"/>
  <c r="AP109" i="82"/>
  <c r="AN110" i="82"/>
  <c r="AH112" i="82"/>
  <c r="AD113" i="82"/>
  <c r="AQ113" i="82"/>
  <c r="AB115" i="82"/>
  <c r="AP115" i="82"/>
  <c r="AH116" i="82"/>
  <c r="AA117" i="82"/>
  <c r="AL117" i="82"/>
  <c r="AM118" i="82"/>
  <c r="AD119" i="82"/>
  <c r="AE120" i="82"/>
  <c r="AP120" i="82"/>
  <c r="AP121" i="82"/>
  <c r="AE122" i="82"/>
  <c r="AN122" i="82"/>
  <c r="AD123" i="82"/>
  <c r="AL123" i="82"/>
  <c r="Z124" i="82"/>
  <c r="AH124" i="82"/>
  <c r="AP124" i="82"/>
  <c r="AD125" i="82"/>
  <c r="AL125" i="82"/>
  <c r="Z126" i="82"/>
  <c r="AH126" i="82"/>
  <c r="AP126" i="82"/>
  <c r="AD127" i="82"/>
  <c r="AL127" i="82"/>
  <c r="Z128" i="82"/>
  <c r="AH128" i="82"/>
  <c r="AP128" i="82"/>
  <c r="AD129" i="82"/>
  <c r="AL129" i="82"/>
  <c r="Z130" i="82"/>
  <c r="AH130" i="82"/>
  <c r="AP130" i="82"/>
  <c r="AP21" i="82"/>
  <c r="AQ45" i="82"/>
  <c r="AB50" i="82"/>
  <c r="AE52" i="82"/>
  <c r="AJ56" i="82"/>
  <c r="AM58" i="82"/>
  <c r="AR62" i="82"/>
  <c r="AF90" i="82"/>
  <c r="AJ93" i="82"/>
  <c r="AB95" i="82"/>
  <c r="AN96" i="82"/>
  <c r="AF98" i="82"/>
  <c r="AR99" i="82"/>
  <c r="AH101" i="82"/>
  <c r="AF102" i="82"/>
  <c r="AI103" i="82"/>
  <c r="AL104" i="82"/>
  <c r="AJ105" i="82"/>
  <c r="AM106" i="82"/>
  <c r="AP107" i="82"/>
  <c r="AN108" i="82"/>
  <c r="AQ109" i="82"/>
  <c r="AL112" i="82"/>
  <c r="AR113" i="82"/>
  <c r="AL114" i="82"/>
  <c r="AD115" i="82"/>
  <c r="AQ115" i="82"/>
  <c r="AB117" i="82"/>
  <c r="AN117" i="82"/>
  <c r="AD118" i="82"/>
  <c r="AN118" i="82"/>
  <c r="AF119" i="82"/>
  <c r="AP119" i="82"/>
  <c r="AF120" i="82"/>
  <c r="AR120" i="82"/>
  <c r="AH121" i="82"/>
  <c r="AQ121" i="82"/>
  <c r="AF122" i="82"/>
  <c r="AP122" i="82"/>
  <c r="AE123" i="82"/>
  <c r="AM123" i="82"/>
  <c r="AA124" i="82"/>
  <c r="AI124" i="82"/>
  <c r="AQ124" i="82"/>
  <c r="AE125" i="82"/>
  <c r="AM125" i="82"/>
  <c r="AA126" i="82"/>
  <c r="AI126" i="82"/>
  <c r="AQ126" i="82"/>
  <c r="AE127" i="82"/>
  <c r="AM127" i="82"/>
  <c r="AA128" i="82"/>
  <c r="AE23" i="82"/>
  <c r="Z38" i="82"/>
  <c r="AE46" i="82"/>
  <c r="AJ50" i="82"/>
  <c r="AM52" i="82"/>
  <c r="AR56" i="82"/>
  <c r="AA59" i="82"/>
  <c r="AF63" i="82"/>
  <c r="AL90" i="82"/>
  <c r="AD92" i="82"/>
  <c r="AP93" i="82"/>
  <c r="AH95" i="82"/>
  <c r="Z97" i="82"/>
  <c r="AL98" i="82"/>
  <c r="AD100" i="82"/>
  <c r="AI101" i="82"/>
  <c r="AL102" i="82"/>
  <c r="AJ103" i="82"/>
  <c r="AM104" i="82"/>
  <c r="AP105" i="82"/>
  <c r="AN106" i="82"/>
  <c r="AQ107" i="82"/>
  <c r="Z109" i="82"/>
  <c r="AR109" i="82"/>
  <c r="AM112" i="82"/>
  <c r="AH113" i="82"/>
  <c r="Z114" i="82"/>
  <c r="AM114" i="82"/>
  <c r="AR115" i="82"/>
  <c r="AL116" i="82"/>
  <c r="AD117" i="82"/>
  <c r="AE118" i="82"/>
  <c r="AP118" i="82"/>
  <c r="AQ119" i="82"/>
  <c r="AH120" i="82"/>
  <c r="AI121" i="82"/>
  <c r="AR121" i="82"/>
  <c r="AH122" i="82"/>
  <c r="AQ122" i="82"/>
  <c r="AF123" i="82"/>
  <c r="AN123" i="82"/>
  <c r="AB124" i="82"/>
  <c r="AJ124" i="82"/>
  <c r="AR124" i="82"/>
  <c r="AF125" i="82"/>
  <c r="AN125" i="82"/>
  <c r="AB126" i="82"/>
  <c r="AJ126" i="82"/>
  <c r="AR126" i="82"/>
  <c r="AF127" i="82"/>
  <c r="AN127" i="82"/>
  <c r="AB128" i="82"/>
  <c r="AJ128" i="82"/>
  <c r="AR128" i="82"/>
  <c r="AF129" i="82"/>
  <c r="AN129" i="82"/>
  <c r="AB130" i="82"/>
  <c r="AJ130" i="82"/>
  <c r="AR130" i="82"/>
  <c r="AQ39" i="82"/>
  <c r="AJ48" i="82"/>
  <c r="AM50" i="82"/>
  <c r="AR54" i="82"/>
  <c r="AA57" i="82"/>
  <c r="AF61" i="82"/>
  <c r="AI63" i="82"/>
  <c r="AN90" i="82"/>
  <c r="AF92" i="82"/>
  <c r="AR93" i="82"/>
  <c r="AJ95" i="82"/>
  <c r="AB97" i="82"/>
  <c r="AN98" i="82"/>
  <c r="AF100" i="82"/>
  <c r="AJ101" i="82"/>
  <c r="AM102" i="82"/>
  <c r="AP103" i="82"/>
  <c r="AN104" i="82"/>
  <c r="AQ105" i="82"/>
  <c r="Z107" i="82"/>
  <c r="AR107" i="82"/>
  <c r="AA109" i="82"/>
  <c r="AD110" i="82"/>
  <c r="AN112" i="82"/>
  <c r="AI113" i="82"/>
  <c r="AN114" i="82"/>
  <c r="AH115" i="82"/>
  <c r="Z116" i="82"/>
  <c r="AM116" i="82"/>
  <c r="AF117" i="82"/>
  <c r="AP117" i="82"/>
  <c r="AF118" i="82"/>
  <c r="AR118" i="82"/>
  <c r="AH119" i="82"/>
  <c r="AR119" i="82"/>
  <c r="AJ120" i="82"/>
  <c r="Z121" i="82"/>
  <c r="AJ121" i="82"/>
  <c r="Z122" i="82"/>
  <c r="AI122" i="82"/>
  <c r="AR122" i="82"/>
  <c r="AA18" i="82"/>
  <c r="AR46" i="82"/>
  <c r="AB58" i="82"/>
  <c r="AD94" i="82"/>
  <c r="AR97" i="82"/>
  <c r="AQ101" i="82"/>
  <c r="Z105" i="82"/>
  <c r="AI107" i="82"/>
  <c r="AF110" i="82"/>
  <c r="AP112" i="82"/>
  <c r="AH114" i="82"/>
  <c r="AD116" i="82"/>
  <c r="AQ117" i="82"/>
  <c r="AB119" i="82"/>
  <c r="AL120" i="82"/>
  <c r="AA122" i="82"/>
  <c r="AB123" i="82"/>
  <c r="AE124" i="82"/>
  <c r="AH125" i="82"/>
  <c r="AI127" i="82"/>
  <c r="AI128" i="82"/>
  <c r="AE129" i="82"/>
  <c r="AA130" i="82"/>
  <c r="AQ130" i="82"/>
  <c r="AA154" i="82"/>
  <c r="AI154" i="82"/>
  <c r="AQ154" i="82"/>
  <c r="AE155" i="82"/>
  <c r="AM155" i="82"/>
  <c r="AA156" i="82"/>
  <c r="AI156" i="82"/>
  <c r="AQ156" i="82"/>
  <c r="AE157" i="82"/>
  <c r="AM157" i="82"/>
  <c r="AA158" i="82"/>
  <c r="AI158" i="82"/>
  <c r="AQ158" i="82"/>
  <c r="AE159" i="82"/>
  <c r="AM159" i="82"/>
  <c r="AA160" i="82"/>
  <c r="AI160" i="82"/>
  <c r="AQ160" i="82"/>
  <c r="AE161" i="82"/>
  <c r="AM161" i="82"/>
  <c r="AA162" i="82"/>
  <c r="AI162" i="82"/>
  <c r="AQ162" i="82"/>
  <c r="AE163" i="82"/>
  <c r="AM163" i="82"/>
  <c r="AA164" i="82"/>
  <c r="AI164" i="82"/>
  <c r="AQ164" i="82"/>
  <c r="AE165" i="82"/>
  <c r="AM165" i="82"/>
  <c r="AA166" i="82"/>
  <c r="AI166" i="82"/>
  <c r="AQ166" i="82"/>
  <c r="AE167" i="82"/>
  <c r="AM167" i="82"/>
  <c r="AA168" i="82"/>
  <c r="AI168" i="82"/>
  <c r="AQ168" i="82"/>
  <c r="AE169" i="82"/>
  <c r="AM169" i="82"/>
  <c r="AA170" i="82"/>
  <c r="AI170" i="82"/>
  <c r="AQ170" i="82"/>
  <c r="AE171" i="82"/>
  <c r="AM171" i="82"/>
  <c r="AA172" i="82"/>
  <c r="AI172" i="82"/>
  <c r="AQ172" i="82"/>
  <c r="AE173" i="82"/>
  <c r="AM173" i="82"/>
  <c r="AA174" i="82"/>
  <c r="AI174" i="82"/>
  <c r="AQ174" i="82"/>
  <c r="AA176" i="82"/>
  <c r="AI176" i="82"/>
  <c r="AQ176" i="82"/>
  <c r="AE177" i="82"/>
  <c r="AM177" i="82"/>
  <c r="AA178" i="82"/>
  <c r="AI178" i="82"/>
  <c r="AQ178" i="82"/>
  <c r="AE179" i="82"/>
  <c r="AM179" i="82"/>
  <c r="AA180" i="82"/>
  <c r="AI180" i="82"/>
  <c r="AQ180" i="82"/>
  <c r="AE181" i="82"/>
  <c r="AM181" i="82"/>
  <c r="AA182" i="82"/>
  <c r="AI182" i="82"/>
  <c r="AQ182" i="82"/>
  <c r="AE183" i="82"/>
  <c r="AM183" i="82"/>
  <c r="AA184" i="82"/>
  <c r="AI184" i="82"/>
  <c r="AQ184" i="82"/>
  <c r="AE185" i="82"/>
  <c r="AM185" i="82"/>
  <c r="AA186" i="82"/>
  <c r="AI186" i="82"/>
  <c r="AQ186" i="82"/>
  <c r="AE187" i="82"/>
  <c r="AM187" i="82"/>
  <c r="AA188" i="82"/>
  <c r="AI188" i="82"/>
  <c r="AQ188" i="82"/>
  <c r="AE189" i="82"/>
  <c r="AM189" i="82"/>
  <c r="AA190" i="82"/>
  <c r="AI190" i="82"/>
  <c r="AQ190" i="82"/>
  <c r="AE191" i="82"/>
  <c r="AM191" i="82"/>
  <c r="AA192" i="82"/>
  <c r="AI192" i="82"/>
  <c r="AQ192" i="82"/>
  <c r="AE193" i="82"/>
  <c r="AM193" i="82"/>
  <c r="AA194" i="82"/>
  <c r="AI194" i="82"/>
  <c r="AQ194" i="82"/>
  <c r="AE195" i="82"/>
  <c r="AM195" i="82"/>
  <c r="AA196" i="82"/>
  <c r="AI196" i="82"/>
  <c r="AQ196" i="82"/>
  <c r="AE197" i="82"/>
  <c r="AM197" i="82"/>
  <c r="AI28" i="82"/>
  <c r="AR48" i="82"/>
  <c r="AQ53" i="82"/>
  <c r="AN59" i="82"/>
  <c r="AN94" i="82"/>
  <c r="AB99" i="82"/>
  <c r="AN102" i="82"/>
  <c r="AH105" i="82"/>
  <c r="AE108" i="82"/>
  <c r="AB113" i="82"/>
  <c r="AN116" i="82"/>
  <c r="AB118" i="82"/>
  <c r="AJ119" i="82"/>
  <c r="AA121" i="82"/>
  <c r="AD122" i="82"/>
  <c r="AI123" i="82"/>
  <c r="AL124" i="82"/>
  <c r="AM126" i="82"/>
  <c r="AP127" i="82"/>
  <c r="AM128" i="82"/>
  <c r="AI129" i="82"/>
  <c r="AE130" i="82"/>
  <c r="AM32" i="82"/>
  <c r="AF55" i="82"/>
  <c r="AE60" i="82"/>
  <c r="AP95" i="82"/>
  <c r="AJ99" i="82"/>
  <c r="Z103" i="82"/>
  <c r="AR105" i="82"/>
  <c r="AL108" i="82"/>
  <c r="AJ113" i="82"/>
  <c r="AA115" i="82"/>
  <c r="AP116" i="82"/>
  <c r="AH118" i="82"/>
  <c r="AN119" i="82"/>
  <c r="AB121" i="82"/>
  <c r="AJ122" i="82"/>
  <c r="AM124" i="82"/>
  <c r="AP125" i="82"/>
  <c r="AQ127" i="82"/>
  <c r="AD154" i="82"/>
  <c r="AL154" i="82"/>
  <c r="Z155" i="82"/>
  <c r="AH155" i="82"/>
  <c r="AP155" i="82"/>
  <c r="AD156" i="82"/>
  <c r="AL156" i="82"/>
  <c r="Z157" i="82"/>
  <c r="AH157" i="82"/>
  <c r="AP157" i="82"/>
  <c r="AD158" i="82"/>
  <c r="AL158" i="82"/>
  <c r="Z159" i="82"/>
  <c r="AH159" i="82"/>
  <c r="AP159" i="82"/>
  <c r="AD160" i="82"/>
  <c r="AL160" i="82"/>
  <c r="Z161" i="82"/>
  <c r="AH161" i="82"/>
  <c r="AP161" i="82"/>
  <c r="AD162" i="82"/>
  <c r="AL162" i="82"/>
  <c r="Z163" i="82"/>
  <c r="AH163" i="82"/>
  <c r="AP163" i="82"/>
  <c r="AD164" i="82"/>
  <c r="AL164" i="82"/>
  <c r="Z165" i="82"/>
  <c r="AH165" i="82"/>
  <c r="AP165" i="82"/>
  <c r="AD166" i="82"/>
  <c r="AL166" i="82"/>
  <c r="Z167" i="82"/>
  <c r="AH167" i="82"/>
  <c r="AP167" i="82"/>
  <c r="AD168" i="82"/>
  <c r="AL168" i="82"/>
  <c r="Z169" i="82"/>
  <c r="AH169" i="82"/>
  <c r="AP169" i="82"/>
  <c r="AD170" i="82"/>
  <c r="AL170" i="82"/>
  <c r="Z171" i="82"/>
  <c r="AH171" i="82"/>
  <c r="AP171" i="82"/>
  <c r="AD172" i="82"/>
  <c r="AL172" i="82"/>
  <c r="Z173" i="82"/>
  <c r="AH173" i="82"/>
  <c r="AP173" i="82"/>
  <c r="AD174" i="82"/>
  <c r="AL174" i="82"/>
  <c r="AD176" i="82"/>
  <c r="AL176" i="82"/>
  <c r="Z177" i="82"/>
  <c r="AH177" i="82"/>
  <c r="AP177" i="82"/>
  <c r="AD178" i="82"/>
  <c r="AL178" i="82"/>
  <c r="Z179" i="82"/>
  <c r="AH179" i="82"/>
  <c r="AP179" i="82"/>
  <c r="AD180" i="82"/>
  <c r="AL180" i="82"/>
  <c r="Z181" i="82"/>
  <c r="AH181" i="82"/>
  <c r="AP181" i="82"/>
  <c r="AD182" i="82"/>
  <c r="AL182" i="82"/>
  <c r="Z183" i="82"/>
  <c r="AH183" i="82"/>
  <c r="AP183" i="82"/>
  <c r="AD184" i="82"/>
  <c r="AL184" i="82"/>
  <c r="AI55" i="82"/>
  <c r="AN61" i="82"/>
  <c r="AR95" i="82"/>
  <c r="AL100" i="82"/>
  <c r="AB103" i="82"/>
  <c r="AD106" i="82"/>
  <c r="AB109" i="82"/>
  <c r="AL113" i="82"/>
  <c r="AI115" i="82"/>
  <c r="Z117" i="82"/>
  <c r="AJ118" i="82"/>
  <c r="Z120" i="82"/>
  <c r="AF121" i="82"/>
  <c r="AP123" i="82"/>
  <c r="AQ125" i="82"/>
  <c r="Z127" i="82"/>
  <c r="AQ128" i="82"/>
  <c r="AM129" i="82"/>
  <c r="AI130" i="82"/>
  <c r="AE154" i="82"/>
  <c r="AM154" i="82"/>
  <c r="AA155" i="82"/>
  <c r="AI155" i="82"/>
  <c r="AQ155" i="82"/>
  <c r="AE156" i="82"/>
  <c r="AM156" i="82"/>
  <c r="AA157" i="82"/>
  <c r="AI157" i="82"/>
  <c r="AQ157" i="82"/>
  <c r="AE158" i="82"/>
  <c r="AM158" i="82"/>
  <c r="AA159" i="82"/>
  <c r="AI159" i="82"/>
  <c r="AQ159" i="82"/>
  <c r="AE160" i="82"/>
  <c r="AM160" i="82"/>
  <c r="AA161" i="82"/>
  <c r="AI161" i="82"/>
  <c r="AQ161" i="82"/>
  <c r="AE162" i="82"/>
  <c r="AM162" i="82"/>
  <c r="AA163" i="82"/>
  <c r="AI163" i="82"/>
  <c r="AQ163" i="82"/>
  <c r="AE164" i="82"/>
  <c r="AM164" i="82"/>
  <c r="AA165" i="82"/>
  <c r="AI165" i="82"/>
  <c r="AQ165" i="82"/>
  <c r="AE166" i="82"/>
  <c r="AM166" i="82"/>
  <c r="AA167" i="82"/>
  <c r="AI167" i="82"/>
  <c r="AQ167" i="82"/>
  <c r="AE168" i="82"/>
  <c r="AM168" i="82"/>
  <c r="AA169" i="82"/>
  <c r="AI169" i="82"/>
  <c r="AQ169" i="82"/>
  <c r="AE170" i="82"/>
  <c r="AM170" i="82"/>
  <c r="AA171" i="82"/>
  <c r="AI171" i="82"/>
  <c r="AQ171" i="82"/>
  <c r="AE172" i="82"/>
  <c r="AM172" i="82"/>
  <c r="AA173" i="82"/>
  <c r="AI173" i="82"/>
  <c r="AQ173" i="82"/>
  <c r="AE174" i="82"/>
  <c r="AM174" i="82"/>
  <c r="AE176" i="82"/>
  <c r="AM176" i="82"/>
  <c r="AA177" i="82"/>
  <c r="AI177" i="82"/>
  <c r="AQ177" i="82"/>
  <c r="AE178" i="82"/>
  <c r="AM178" i="82"/>
  <c r="AA179" i="82"/>
  <c r="AI179" i="82"/>
  <c r="AQ179" i="82"/>
  <c r="AE180" i="82"/>
  <c r="AM180" i="82"/>
  <c r="AA181" i="82"/>
  <c r="AI181" i="82"/>
  <c r="AQ181" i="82"/>
  <c r="AE182" i="82"/>
  <c r="AM182" i="82"/>
  <c r="AA183" i="82"/>
  <c r="AI183" i="82"/>
  <c r="AQ183" i="82"/>
  <c r="AE184" i="82"/>
  <c r="AM184" i="82"/>
  <c r="AA185" i="82"/>
  <c r="AA51" i="82"/>
  <c r="AQ61" i="82"/>
  <c r="AL92" i="82"/>
  <c r="AF96" i="82"/>
  <c r="AN100" i="82"/>
  <c r="AQ103" i="82"/>
  <c r="AF106" i="82"/>
  <c r="AH109" i="82"/>
  <c r="Z112" i="82"/>
  <c r="AP113" i="82"/>
  <c r="AJ115" i="82"/>
  <c r="AL118" i="82"/>
  <c r="AB120" i="82"/>
  <c r="AL121" i="82"/>
  <c r="AM122" i="82"/>
  <c r="AQ123" i="82"/>
  <c r="Z125" i="82"/>
  <c r="AA127" i="82"/>
  <c r="AD128" i="82"/>
  <c r="Z129" i="82"/>
  <c r="AP129" i="82"/>
  <c r="AL130" i="82"/>
  <c r="AF154" i="82"/>
  <c r="AN154" i="82"/>
  <c r="AB155" i="82"/>
  <c r="AJ155" i="82"/>
  <c r="AR155" i="82"/>
  <c r="AF156" i="82"/>
  <c r="AN156" i="82"/>
  <c r="AB157" i="82"/>
  <c r="AJ157" i="82"/>
  <c r="AR157" i="82"/>
  <c r="AF158" i="82"/>
  <c r="AN158" i="82"/>
  <c r="AB159" i="82"/>
  <c r="AJ159" i="82"/>
  <c r="AR159" i="82"/>
  <c r="AF160" i="82"/>
  <c r="AN160" i="82"/>
  <c r="AB161" i="82"/>
  <c r="AJ161" i="82"/>
  <c r="AR161" i="82"/>
  <c r="AF162" i="82"/>
  <c r="AN162" i="82"/>
  <c r="AB163" i="82"/>
  <c r="AJ163" i="82"/>
  <c r="AR163" i="82"/>
  <c r="AF164" i="82"/>
  <c r="AN164" i="82"/>
  <c r="AB165" i="82"/>
  <c r="AJ165" i="82"/>
  <c r="AR165" i="82"/>
  <c r="AF166" i="82"/>
  <c r="AN166" i="82"/>
  <c r="AB167" i="82"/>
  <c r="AJ167" i="82"/>
  <c r="AR167" i="82"/>
  <c r="AF168" i="82"/>
  <c r="AN168" i="82"/>
  <c r="AB169" i="82"/>
  <c r="AJ169" i="82"/>
  <c r="AR169" i="82"/>
  <c r="AF170" i="82"/>
  <c r="AN170" i="82"/>
  <c r="AB171" i="82"/>
  <c r="AJ171" i="82"/>
  <c r="AR171" i="82"/>
  <c r="AF172" i="82"/>
  <c r="AN172" i="82"/>
  <c r="AB173" i="82"/>
  <c r="AJ173" i="82"/>
  <c r="AR173" i="82"/>
  <c r="AF174" i="82"/>
  <c r="AN174" i="82"/>
  <c r="AF176" i="82"/>
  <c r="AN176" i="82"/>
  <c r="AB177" i="82"/>
  <c r="AJ177" i="82"/>
  <c r="AR177" i="82"/>
  <c r="AF178" i="82"/>
  <c r="AN178" i="82"/>
  <c r="AB179" i="82"/>
  <c r="AJ179" i="82"/>
  <c r="AR179" i="82"/>
  <c r="AF180" i="82"/>
  <c r="AN180" i="82"/>
  <c r="AB181" i="82"/>
  <c r="AJ181" i="82"/>
  <c r="AR181" i="82"/>
  <c r="AF182" i="82"/>
  <c r="AN182" i="82"/>
  <c r="AB183" i="82"/>
  <c r="AJ183" i="82"/>
  <c r="AR183" i="82"/>
  <c r="AF184" i="82"/>
  <c r="AN184" i="82"/>
  <c r="AB185" i="82"/>
  <c r="AJ185" i="82"/>
  <c r="AR185" i="82"/>
  <c r="AF186" i="82"/>
  <c r="AN186" i="82"/>
  <c r="AB187" i="82"/>
  <c r="AJ187" i="82"/>
  <c r="AR187" i="82"/>
  <c r="AF188" i="82"/>
  <c r="AN188" i="82"/>
  <c r="AB189" i="82"/>
  <c r="AJ189" i="82"/>
  <c r="AR189" i="82"/>
  <c r="AF190" i="82"/>
  <c r="AN190" i="82"/>
  <c r="AB191" i="82"/>
  <c r="AJ191" i="82"/>
  <c r="AR191" i="82"/>
  <c r="AF192" i="82"/>
  <c r="AN192" i="82"/>
  <c r="AB193" i="82"/>
  <c r="AJ193" i="82"/>
  <c r="AR193" i="82"/>
  <c r="AF194" i="82"/>
  <c r="AN194" i="82"/>
  <c r="AB195" i="82"/>
  <c r="AJ195" i="82"/>
  <c r="AR195" i="82"/>
  <c r="AF196" i="82"/>
  <c r="AN196" i="82"/>
  <c r="AB197" i="82"/>
  <c r="AJ197" i="82"/>
  <c r="AR197" i="82"/>
  <c r="AN221" i="82"/>
  <c r="AF221" i="82"/>
  <c r="AA197" i="82"/>
  <c r="Z196" i="82"/>
  <c r="AI195" i="82"/>
  <c r="AH194" i="82"/>
  <c r="AQ193" i="82"/>
  <c r="AP192" i="82"/>
  <c r="AE192" i="82"/>
  <c r="AD191" i="82"/>
  <c r="AM190" i="82"/>
  <c r="AL189" i="82"/>
  <c r="AA189" i="82"/>
  <c r="Z188" i="82"/>
  <c r="AI187" i="82"/>
  <c r="AH186" i="82"/>
  <c r="AQ185" i="82"/>
  <c r="AN183" i="82"/>
  <c r="AL181" i="82"/>
  <c r="AJ180" i="82"/>
  <c r="AH178" i="82"/>
  <c r="AF177" i="82"/>
  <c r="AB174" i="82"/>
  <c r="Z172" i="82"/>
  <c r="AR170" i="82"/>
  <c r="AP168" i="82"/>
  <c r="AN167" i="82"/>
  <c r="AL165" i="82"/>
  <c r="AJ164" i="82"/>
  <c r="AH162" i="82"/>
  <c r="AF161" i="82"/>
  <c r="AD159" i="82"/>
  <c r="AB158" i="82"/>
  <c r="Z156" i="82"/>
  <c r="AR154" i="82"/>
  <c r="AH129" i="82"/>
  <c r="AD124" i="82"/>
  <c r="AN120" i="82"/>
  <c r="AH117" i="82"/>
  <c r="AF112" i="82"/>
  <c r="AA105" i="82"/>
  <c r="AH97" i="82"/>
  <c r="AM44" i="82"/>
  <c r="AD177" i="82"/>
  <c r="AB176" i="82"/>
  <c r="Z174" i="82"/>
  <c r="AR172" i="82"/>
  <c r="AP170" i="82"/>
  <c r="AN169" i="82"/>
  <c r="AL167" i="82"/>
  <c r="AJ166" i="82"/>
  <c r="AH164" i="82"/>
  <c r="AF163" i="82"/>
  <c r="AD161" i="82"/>
  <c r="AB160" i="82"/>
  <c r="Z158" i="82"/>
  <c r="AR156" i="82"/>
  <c r="AP154" i="82"/>
  <c r="AL126" i="82"/>
  <c r="AF116" i="82"/>
  <c r="AD112" i="82"/>
  <c r="AE104" i="82"/>
  <c r="AF94" i="82"/>
  <c r="AL26" i="82"/>
  <c r="BB19" i="62"/>
  <c r="BG26" i="62"/>
  <c r="BE32" i="62"/>
  <c r="AY40" i="62"/>
  <c r="BW44" i="62"/>
  <c r="BV53" i="62"/>
  <c r="BL114" i="62"/>
  <c r="BL125" i="62"/>
  <c r="AI197" i="82"/>
  <c r="AH196" i="82"/>
  <c r="AQ195" i="82"/>
  <c r="AP194" i="82"/>
  <c r="AE194" i="82"/>
  <c r="AD193" i="82"/>
  <c r="AM192" i="82"/>
  <c r="AL191" i="82"/>
  <c r="AA191" i="82"/>
  <c r="Z190" i="82"/>
  <c r="AI189" i="82"/>
  <c r="AH188" i="82"/>
  <c r="AQ187" i="82"/>
  <c r="AP186" i="82"/>
  <c r="AE186" i="82"/>
  <c r="AD185" i="82"/>
  <c r="AJ184" i="82"/>
  <c r="AH182" i="82"/>
  <c r="AF181" i="82"/>
  <c r="AD179" i="82"/>
  <c r="AB178" i="82"/>
  <c r="Z176" i="82"/>
  <c r="AR174" i="82"/>
  <c r="AP172" i="82"/>
  <c r="AN171" i="82"/>
  <c r="AL169" i="82"/>
  <c r="AJ168" i="82"/>
  <c r="AH166" i="82"/>
  <c r="AF165" i="82"/>
  <c r="AD163" i="82"/>
  <c r="AB162" i="82"/>
  <c r="Z160" i="82"/>
  <c r="AR158" i="82"/>
  <c r="AP156" i="82"/>
  <c r="AN155" i="82"/>
  <c r="AA129" i="82"/>
  <c r="AE126" i="82"/>
  <c r="AH123" i="82"/>
  <c r="AD120" i="82"/>
  <c r="AM110" i="82"/>
  <c r="AR103" i="82"/>
  <c r="AB93" i="82"/>
  <c r="AI57" i="82"/>
  <c r="BO107" i="53"/>
  <c r="BY107" i="53"/>
  <c r="CW94" i="53"/>
  <c r="CO94" i="53"/>
  <c r="W116" i="85" s="1"/>
  <c r="CH94" i="53"/>
  <c r="W92" i="85" s="1"/>
  <c r="CA94" i="53"/>
  <c r="W61" i="85" s="1"/>
  <c r="BT94" i="53"/>
  <c r="W40" i="85" s="1"/>
  <c r="BM94" i="53"/>
  <c r="W19" i="85" s="1"/>
  <c r="CQ92" i="53"/>
  <c r="Y114" i="85" s="1"/>
  <c r="BZ107" i="53"/>
  <c r="CV94" i="53"/>
  <c r="CN94" i="53"/>
  <c r="V116" i="85" s="1"/>
  <c r="CG94" i="53"/>
  <c r="V92" i="85" s="1"/>
  <c r="BZ94" i="53"/>
  <c r="V61" i="85" s="1"/>
  <c r="BS94" i="53"/>
  <c r="V40" i="85" s="1"/>
  <c r="BL94" i="53"/>
  <c r="V19" i="85" s="1"/>
  <c r="CX92" i="53"/>
  <c r="CP92" i="53"/>
  <c r="X114" i="85" s="1"/>
  <c r="CI92" i="53"/>
  <c r="X90" i="85" s="1"/>
  <c r="CB92" i="53"/>
  <c r="X59" i="85" s="1"/>
  <c r="BU92" i="53"/>
  <c r="X38" i="85" s="1"/>
  <c r="BN92" i="53"/>
  <c r="X17" i="85" s="1"/>
  <c r="CU87" i="53"/>
  <c r="CM87" i="53"/>
  <c r="CF87" i="53"/>
  <c r="BY87" i="53"/>
  <c r="BR87" i="53"/>
  <c r="BK87" i="53"/>
  <c r="CS94" i="53"/>
  <c r="CJ94" i="53"/>
  <c r="Y92" i="85" s="1"/>
  <c r="BY94" i="53"/>
  <c r="U61" i="85" s="1"/>
  <c r="CO92" i="53"/>
  <c r="W114" i="85" s="1"/>
  <c r="CG92" i="53"/>
  <c r="V90" i="85" s="1"/>
  <c r="BY92" i="53"/>
  <c r="U59" i="85" s="1"/>
  <c r="BQ92" i="53"/>
  <c r="T38" i="85" s="1"/>
  <c r="CQ87" i="53"/>
  <c r="CI87" i="53"/>
  <c r="CA87" i="53"/>
  <c r="BS87" i="53"/>
  <c r="BJ87" i="53"/>
  <c r="CU86" i="53"/>
  <c r="CM86" i="53"/>
  <c r="CF86" i="53"/>
  <c r="BY86" i="53"/>
  <c r="BR86" i="53"/>
  <c r="BK86" i="53"/>
  <c r="CV85" i="53"/>
  <c r="CN85" i="53"/>
  <c r="CG85" i="53"/>
  <c r="BZ85" i="53"/>
  <c r="BS85" i="53"/>
  <c r="BL85" i="53"/>
  <c r="CW84" i="53"/>
  <c r="CI94" i="53"/>
  <c r="X92" i="85" s="1"/>
  <c r="BX94" i="53"/>
  <c r="T61" i="85" s="1"/>
  <c r="CN92" i="53"/>
  <c r="V114" i="85" s="1"/>
  <c r="CF92" i="53"/>
  <c r="U90" i="85" s="1"/>
  <c r="BX92" i="53"/>
  <c r="T59" i="85" s="1"/>
  <c r="CP87" i="53"/>
  <c r="CH87" i="53"/>
  <c r="BZ87" i="53"/>
  <c r="BQ87" i="53"/>
  <c r="CT86" i="53"/>
  <c r="CL86" i="53"/>
  <c r="CE86" i="53"/>
  <c r="BX86" i="53"/>
  <c r="BQ86" i="53"/>
  <c r="BJ86" i="53"/>
  <c r="CU85" i="53"/>
  <c r="CM85" i="53"/>
  <c r="CX94" i="53"/>
  <c r="BJ94" i="53"/>
  <c r="T19" i="85" s="1"/>
  <c r="CV92" i="53"/>
  <c r="BZ92" i="53"/>
  <c r="V59" i="85" s="1"/>
  <c r="BO92" i="53"/>
  <c r="Y17" i="85" s="1"/>
  <c r="CN87" i="53"/>
  <c r="BT87" i="53"/>
  <c r="CX86" i="53"/>
  <c r="CN86" i="53"/>
  <c r="BU86" i="53"/>
  <c r="BL86" i="53"/>
  <c r="CQ85" i="53"/>
  <c r="CH85" i="53"/>
  <c r="BY85" i="53"/>
  <c r="BQ85" i="53"/>
  <c r="CT82" i="53"/>
  <c r="CL82" i="53"/>
  <c r="CE82" i="53"/>
  <c r="BX82" i="53"/>
  <c r="BQ82" i="53"/>
  <c r="BJ82" i="53"/>
  <c r="CU81" i="53"/>
  <c r="CM81" i="53"/>
  <c r="CF81" i="53"/>
  <c r="BY81" i="53"/>
  <c r="BR81" i="53"/>
  <c r="BK81" i="53"/>
  <c r="CV80" i="53"/>
  <c r="CN80" i="53"/>
  <c r="CG80" i="53"/>
  <c r="BZ80" i="53"/>
  <c r="BS80" i="53"/>
  <c r="BL80" i="53"/>
  <c r="CW79" i="53"/>
  <c r="CO79" i="53"/>
  <c r="CH79" i="53"/>
  <c r="CA79" i="53"/>
  <c r="BT79" i="53"/>
  <c r="BM79" i="53"/>
  <c r="CX78" i="53"/>
  <c r="CP78" i="53"/>
  <c r="CI78" i="53"/>
  <c r="CB78" i="53"/>
  <c r="BU78" i="53"/>
  <c r="BN78" i="53"/>
  <c r="CQ77" i="53"/>
  <c r="CJ77" i="53"/>
  <c r="CC77" i="53"/>
  <c r="BV77" i="53"/>
  <c r="BO77" i="53"/>
  <c r="CS75" i="53"/>
  <c r="CT74" i="53"/>
  <c r="CL74" i="53"/>
  <c r="CE74" i="53"/>
  <c r="BX74" i="53"/>
  <c r="BQ74" i="53"/>
  <c r="BJ74" i="53"/>
  <c r="CU73" i="53"/>
  <c r="CM73" i="53"/>
  <c r="CF73" i="53"/>
  <c r="BY73" i="53"/>
  <c r="BR73" i="53"/>
  <c r="BK73" i="53"/>
  <c r="CV72" i="53"/>
  <c r="CN72" i="53"/>
  <c r="CG72" i="53"/>
  <c r="BZ72" i="53"/>
  <c r="BS72" i="53"/>
  <c r="BL72" i="53"/>
  <c r="CW71" i="53"/>
  <c r="CO71" i="53"/>
  <c r="CH71" i="53"/>
  <c r="CA71" i="53"/>
  <c r="BT71" i="53"/>
  <c r="BM71" i="53"/>
  <c r="BL107" i="53"/>
  <c r="CC107" i="53"/>
  <c r="CF94" i="53"/>
  <c r="U92" i="85" s="1"/>
  <c r="BU94" i="53"/>
  <c r="X40" i="85" s="1"/>
  <c r="CW92" i="53"/>
  <c r="CJ92" i="53"/>
  <c r="Y90" i="85" s="1"/>
  <c r="BK92" i="53"/>
  <c r="U17" i="85" s="1"/>
  <c r="CO87" i="53"/>
  <c r="CC87" i="53"/>
  <c r="CH86" i="53"/>
  <c r="BM86" i="53"/>
  <c r="CO85" i="53"/>
  <c r="BV85" i="53"/>
  <c r="BM85" i="53"/>
  <c r="CS84" i="53"/>
  <c r="CJ84" i="53"/>
  <c r="CB84" i="53"/>
  <c r="BT84" i="53"/>
  <c r="BL84" i="53"/>
  <c r="CW82" i="53"/>
  <c r="CN82" i="53"/>
  <c r="CF82" i="53"/>
  <c r="CP81" i="53"/>
  <c r="CH81" i="53"/>
  <c r="BZ81" i="53"/>
  <c r="BQ81" i="53"/>
  <c r="CJ80" i="53"/>
  <c r="CB80" i="53"/>
  <c r="BT80" i="53"/>
  <c r="BK80" i="53"/>
  <c r="CT79" i="53"/>
  <c r="BM107" i="53"/>
  <c r="CU94" i="53"/>
  <c r="CE94" i="53"/>
  <c r="T92" i="85" s="1"/>
  <c r="BR94" i="53"/>
  <c r="U40" i="85" s="1"/>
  <c r="CU92" i="53"/>
  <c r="CH92" i="53"/>
  <c r="W90" i="85" s="1"/>
  <c r="BV92" i="53"/>
  <c r="Y38" i="85" s="1"/>
  <c r="BJ92" i="53"/>
  <c r="T17" i="85" s="1"/>
  <c r="CL87" i="53"/>
  <c r="CB87" i="53"/>
  <c r="BO87" i="53"/>
  <c r="CQ86" i="53"/>
  <c r="CG86" i="53"/>
  <c r="BV86" i="53"/>
  <c r="CL85" i="53"/>
  <c r="BU85" i="53"/>
  <c r="BK85" i="53"/>
  <c r="CQ84" i="53"/>
  <c r="CI84" i="53"/>
  <c r="CA84" i="53"/>
  <c r="BS84" i="53"/>
  <c r="BK84" i="53"/>
  <c r="CV82" i="53"/>
  <c r="CM82" i="53"/>
  <c r="BO82" i="53"/>
  <c r="CX81" i="53"/>
  <c r="CO81" i="53"/>
  <c r="CG81" i="53"/>
  <c r="BX81" i="53"/>
  <c r="CQ80" i="53"/>
  <c r="CI80" i="53"/>
  <c r="CA80" i="53"/>
  <c r="BR80" i="53"/>
  <c r="BJ80" i="53"/>
  <c r="CS79" i="53"/>
  <c r="CC79" i="53"/>
  <c r="BU79" i="53"/>
  <c r="BL79" i="53"/>
  <c r="CU78" i="53"/>
  <c r="CL78" i="53"/>
  <c r="BO78" i="53"/>
  <c r="CW77" i="53"/>
  <c r="CN77" i="53"/>
  <c r="CF77" i="53"/>
  <c r="BX77" i="53"/>
  <c r="CJ75" i="53"/>
  <c r="CB75" i="53"/>
  <c r="BT75" i="53"/>
  <c r="BL75" i="53"/>
  <c r="CU74" i="53"/>
  <c r="BV74" i="53"/>
  <c r="BN74" i="53"/>
  <c r="CW73" i="53"/>
  <c r="CN73" i="53"/>
  <c r="CE73" i="53"/>
  <c r="CP72" i="53"/>
  <c r="CH72" i="53"/>
  <c r="BY72" i="53"/>
  <c r="BQ72" i="53"/>
  <c r="CJ71" i="53"/>
  <c r="CB71" i="53"/>
  <c r="BS71" i="53"/>
  <c r="BK71" i="53"/>
  <c r="CS57" i="53"/>
  <c r="CT56" i="53"/>
  <c r="CL56" i="53"/>
  <c r="T105" i="85" s="1"/>
  <c r="CE56" i="53"/>
  <c r="T81" i="85" s="1"/>
  <c r="BX56" i="53"/>
  <c r="T50" i="85" s="1"/>
  <c r="BQ56" i="53"/>
  <c r="T29" i="85" s="1"/>
  <c r="BJ56" i="53"/>
  <c r="T8" i="85" s="1"/>
  <c r="CV54" i="53"/>
  <c r="CN54" i="53"/>
  <c r="CG54" i="53"/>
  <c r="BZ54" i="53"/>
  <c r="BS54" i="53"/>
  <c r="BL54" i="53"/>
  <c r="CW53" i="53"/>
  <c r="CO53" i="53"/>
  <c r="CH53" i="53"/>
  <c r="CA53" i="53"/>
  <c r="BT53" i="53"/>
  <c r="BM53" i="53"/>
  <c r="CX52" i="53"/>
  <c r="CP52" i="53"/>
  <c r="CI52" i="53"/>
  <c r="CB52" i="53"/>
  <c r="BU52" i="53"/>
  <c r="BN52" i="53"/>
  <c r="CR50" i="53"/>
  <c r="CK50" i="53"/>
  <c r="BW50" i="53"/>
  <c r="BP50" i="53"/>
  <c r="CS49" i="53"/>
  <c r="CT48" i="53"/>
  <c r="CU47" i="53"/>
  <c r="CM47" i="53"/>
  <c r="CF47" i="53"/>
  <c r="BY47" i="53"/>
  <c r="BR47" i="53"/>
  <c r="BK47" i="53"/>
  <c r="CV46" i="53"/>
  <c r="CN46" i="53"/>
  <c r="CG46" i="53"/>
  <c r="BZ46" i="53"/>
  <c r="BS46" i="53"/>
  <c r="BL46" i="53"/>
  <c r="CW45" i="53"/>
  <c r="CO45" i="53"/>
  <c r="CH45" i="53"/>
  <c r="CA45" i="53"/>
  <c r="BT45" i="53"/>
  <c r="BM45" i="53"/>
  <c r="CX44" i="53"/>
  <c r="CP44" i="53"/>
  <c r="CI44" i="53"/>
  <c r="CB44" i="53"/>
  <c r="BU44" i="53"/>
  <c r="BN44" i="53"/>
  <c r="CQ43" i="53"/>
  <c r="CJ43" i="53"/>
  <c r="CC43" i="53"/>
  <c r="BV43" i="53"/>
  <c r="BO43" i="53"/>
  <c r="BO94" i="53"/>
  <c r="Y19" i="85" s="1"/>
  <c r="CM92" i="53"/>
  <c r="U114" i="85" s="1"/>
  <c r="CT87" i="53"/>
  <c r="BM87" i="53"/>
  <c r="CW86" i="53"/>
  <c r="CI86" i="53"/>
  <c r="BS86" i="53"/>
  <c r="CP85" i="53"/>
  <c r="CB85" i="53"/>
  <c r="CO84" i="53"/>
  <c r="CE84" i="53"/>
  <c r="BU84" i="53"/>
  <c r="CS82" i="53"/>
  <c r="CI82" i="53"/>
  <c r="BY82" i="53"/>
  <c r="BM82" i="53"/>
  <c r="CQ81" i="53"/>
  <c r="BU81" i="53"/>
  <c r="BJ81" i="53"/>
  <c r="CX80" i="53"/>
  <c r="CL80" i="53"/>
  <c r="CC80" i="53"/>
  <c r="CU79" i="53"/>
  <c r="CJ79" i="53"/>
  <c r="BZ79" i="53"/>
  <c r="BQ79" i="53"/>
  <c r="CN78" i="53"/>
  <c r="CE78" i="53"/>
  <c r="BV78" i="53"/>
  <c r="BL78" i="53"/>
  <c r="CS77" i="53"/>
  <c r="CI77" i="53"/>
  <c r="BZ77" i="53"/>
  <c r="BQ77" i="53"/>
  <c r="CQ75" i="53"/>
  <c r="CH75" i="53"/>
  <c r="BY75" i="53"/>
  <c r="CW74" i="53"/>
  <c r="CM74" i="53"/>
  <c r="CC74" i="53"/>
  <c r="BT74" i="53"/>
  <c r="BK74" i="53"/>
  <c r="CQ73" i="53"/>
  <c r="CH73" i="53"/>
  <c r="BX73" i="53"/>
  <c r="BO73" i="53"/>
  <c r="CU72" i="53"/>
  <c r="CC72" i="53"/>
  <c r="BT72" i="53"/>
  <c r="BJ72" i="53"/>
  <c r="CP71" i="53"/>
  <c r="CF71" i="53"/>
  <c r="BO71" i="53"/>
  <c r="CV58" i="53"/>
  <c r="CE58" i="53"/>
  <c r="T83" i="85" s="1"/>
  <c r="CX57" i="53"/>
  <c r="BQ57" i="53"/>
  <c r="T30" i="85" s="1"/>
  <c r="CU54" i="53"/>
  <c r="CL54" i="53"/>
  <c r="BO54" i="53"/>
  <c r="CX53" i="53"/>
  <c r="CN53" i="53"/>
  <c r="CF53" i="53"/>
  <c r="BX53" i="53"/>
  <c r="CQ52" i="53"/>
  <c r="CH52" i="53"/>
  <c r="BZ52" i="53"/>
  <c r="BR52" i="53"/>
  <c r="BJ52" i="53"/>
  <c r="CU50" i="53"/>
  <c r="CL50" i="53"/>
  <c r="BV50" i="53"/>
  <c r="BN50" i="53"/>
  <c r="CW49" i="53"/>
  <c r="CN49" i="53"/>
  <c r="CF49" i="53"/>
  <c r="BP49" i="53"/>
  <c r="CJ47" i="53"/>
  <c r="CB47" i="53"/>
  <c r="BT47" i="53"/>
  <c r="BL47" i="53"/>
  <c r="CT46" i="53"/>
  <c r="BV46" i="53"/>
  <c r="BN46" i="53"/>
  <c r="CV45" i="53"/>
  <c r="CM45" i="53"/>
  <c r="CE45" i="53"/>
  <c r="CO44" i="53"/>
  <c r="CG44" i="53"/>
  <c r="BY44" i="53"/>
  <c r="BQ44" i="53"/>
  <c r="CI43" i="53"/>
  <c r="CA43" i="53"/>
  <c r="BS43" i="53"/>
  <c r="BK43" i="53"/>
  <c r="CU42" i="53"/>
  <c r="CM42" i="53"/>
  <c r="CF42" i="53"/>
  <c r="BY42" i="53"/>
  <c r="BR42" i="53"/>
  <c r="BK42" i="53"/>
  <c r="CV41" i="53"/>
  <c r="CN41" i="53"/>
  <c r="CG41" i="53"/>
  <c r="BZ41" i="53"/>
  <c r="BS41" i="53"/>
  <c r="BL41" i="53"/>
  <c r="CW40" i="53"/>
  <c r="CO40" i="53"/>
  <c r="CH40" i="53"/>
  <c r="CA40" i="53"/>
  <c r="BT40" i="53"/>
  <c r="BM40" i="53"/>
  <c r="CX39" i="53"/>
  <c r="CP39" i="53"/>
  <c r="CI39" i="53"/>
  <c r="CB39" i="53"/>
  <c r="BU39" i="53"/>
  <c r="BN39" i="53"/>
  <c r="CS36" i="53"/>
  <c r="CT35" i="53"/>
  <c r="CL35" i="53"/>
  <c r="CE35" i="53"/>
  <c r="BX35" i="53"/>
  <c r="BQ35" i="53"/>
  <c r="BJ35" i="53"/>
  <c r="CU34" i="53"/>
  <c r="CM34" i="53"/>
  <c r="CF34" i="53"/>
  <c r="BY34" i="53"/>
  <c r="BR34" i="53"/>
  <c r="BK34" i="53"/>
  <c r="CV33" i="53"/>
  <c r="CN33" i="53"/>
  <c r="CG33" i="53"/>
  <c r="BZ33" i="53"/>
  <c r="BS33" i="53"/>
  <c r="BL33" i="53"/>
  <c r="CW32" i="53"/>
  <c r="CO32" i="53"/>
  <c r="CH32" i="53"/>
  <c r="CA32" i="53"/>
  <c r="BT32" i="53"/>
  <c r="BM32" i="53"/>
  <c r="CX31" i="53"/>
  <c r="CP31" i="53"/>
  <c r="CI31" i="53"/>
  <c r="CB31" i="53"/>
  <c r="BU31" i="53"/>
  <c r="BN31" i="53"/>
  <c r="CQ30" i="53"/>
  <c r="CJ30" i="53"/>
  <c r="CC30" i="53"/>
  <c r="BV30" i="53"/>
  <c r="BO30" i="53"/>
  <c r="CS28" i="53"/>
  <c r="CT27" i="53"/>
  <c r="CL27" i="53"/>
  <c r="CE27" i="53"/>
  <c r="BX27" i="53"/>
  <c r="BQ27" i="53"/>
  <c r="BJ27" i="53"/>
  <c r="CU26" i="53"/>
  <c r="CM26" i="53"/>
  <c r="CF26" i="53"/>
  <c r="BY26" i="53"/>
  <c r="BR26" i="53"/>
  <c r="BK26" i="53"/>
  <c r="CW24" i="53"/>
  <c r="CX23" i="53"/>
  <c r="CP23" i="53"/>
  <c r="CI23" i="53"/>
  <c r="CB23" i="53"/>
  <c r="BU23" i="53"/>
  <c r="BN23" i="53"/>
  <c r="CQ22" i="53"/>
  <c r="CJ22" i="53"/>
  <c r="CC22" i="53"/>
  <c r="BV22" i="53"/>
  <c r="BO22" i="53"/>
  <c r="CS20" i="53"/>
  <c r="CT19" i="53"/>
  <c r="CL19" i="53"/>
  <c r="CE19" i="53"/>
  <c r="BX19" i="53"/>
  <c r="BQ19" i="53"/>
  <c r="BJ19" i="53"/>
  <c r="CW16" i="53"/>
  <c r="CO16" i="53"/>
  <c r="CH16" i="53"/>
  <c r="CA16" i="53"/>
  <c r="BT16" i="53"/>
  <c r="BM16" i="53"/>
  <c r="CX15" i="53"/>
  <c r="CP15" i="53"/>
  <c r="CI15" i="53"/>
  <c r="CB15" i="53"/>
  <c r="BU15" i="53"/>
  <c r="BN15" i="53"/>
  <c r="CQ14" i="53"/>
  <c r="CJ14" i="53"/>
  <c r="CC14" i="53"/>
  <c r="BV14" i="53"/>
  <c r="BO14" i="53"/>
  <c r="BN94" i="53"/>
  <c r="X19" i="85" s="1"/>
  <c r="CL92" i="53"/>
  <c r="T114" i="85" s="1"/>
  <c r="BT92" i="53"/>
  <c r="W38" i="85" s="1"/>
  <c r="CS87" i="53"/>
  <c r="BX87" i="53"/>
  <c r="BL87" i="53"/>
  <c r="CV86" i="53"/>
  <c r="CA85" i="53"/>
  <c r="BO85" i="53"/>
  <c r="CN84" i="53"/>
  <c r="BR84" i="53"/>
  <c r="CH82" i="53"/>
  <c r="BV82" i="53"/>
  <c r="BL82" i="53"/>
  <c r="CN81" i="53"/>
  <c r="BT81" i="53"/>
  <c r="CW80" i="53"/>
  <c r="BY80" i="53"/>
  <c r="CI79" i="53"/>
  <c r="BY79" i="53"/>
  <c r="CW78" i="53"/>
  <c r="CM78" i="53"/>
  <c r="BT78" i="53"/>
  <c r="BK78" i="53"/>
  <c r="CH77" i="53"/>
  <c r="BY77" i="53"/>
  <c r="CP75" i="53"/>
  <c r="CG75" i="53"/>
  <c r="BX75" i="53"/>
  <c r="BO75" i="53"/>
  <c r="CV74" i="53"/>
  <c r="CK74" i="53"/>
  <c r="CB74" i="53"/>
  <c r="BS74" i="53"/>
  <c r="CP73" i="53"/>
  <c r="CG73" i="53"/>
  <c r="BW73" i="53"/>
  <c r="BN73" i="53"/>
  <c r="CT72" i="53"/>
  <c r="CK72" i="53"/>
  <c r="CB72" i="53"/>
  <c r="BR72" i="53"/>
  <c r="CN71" i="53"/>
  <c r="CE71" i="53"/>
  <c r="BN71" i="53"/>
  <c r="CP94" i="53"/>
  <c r="X116" i="85" s="1"/>
  <c r="BQ94" i="53"/>
  <c r="T40" i="85" s="1"/>
  <c r="BR92" i="53"/>
  <c r="U38" i="85" s="1"/>
  <c r="Z38" i="85" s="1"/>
  <c r="CX87" i="53"/>
  <c r="CE87" i="53"/>
  <c r="BT86" i="53"/>
  <c r="CX85" i="53"/>
  <c r="CF85" i="53"/>
  <c r="CX84" i="53"/>
  <c r="CH84" i="53"/>
  <c r="BV84" i="53"/>
  <c r="CJ82" i="53"/>
  <c r="BT82" i="53"/>
  <c r="CB81" i="53"/>
  <c r="BN81" i="53"/>
  <c r="CH80" i="53"/>
  <c r="BV80" i="53"/>
  <c r="CP79" i="53"/>
  <c r="BR79" i="53"/>
  <c r="CF78" i="53"/>
  <c r="BR78" i="53"/>
  <c r="CT77" i="53"/>
  <c r="CE77" i="53"/>
  <c r="BT77" i="53"/>
  <c r="CV75" i="53"/>
  <c r="CI75" i="53"/>
  <c r="BV75" i="53"/>
  <c r="BJ75" i="53"/>
  <c r="CX74" i="53"/>
  <c r="CI74" i="53"/>
  <c r="BL74" i="53"/>
  <c r="CX73" i="53"/>
  <c r="BZ73" i="53"/>
  <c r="BL73" i="53"/>
  <c r="CL72" i="53"/>
  <c r="BX72" i="53"/>
  <c r="BN72" i="53"/>
  <c r="CL71" i="53"/>
  <c r="BZ71" i="53"/>
  <c r="CT58" i="53"/>
  <c r="CE57" i="53"/>
  <c r="T82" i="85" s="1"/>
  <c r="CS56" i="53"/>
  <c r="CI54" i="53"/>
  <c r="BY54" i="53"/>
  <c r="BK107" i="53"/>
  <c r="CM94" i="53"/>
  <c r="U116" i="85" s="1"/>
  <c r="Z116" i="85" s="1"/>
  <c r="BK94" i="53"/>
  <c r="U19" i="85" s="1"/>
  <c r="CW87" i="53"/>
  <c r="CW85" i="53"/>
  <c r="CE85" i="53"/>
  <c r="BN85" i="53"/>
  <c r="CV84" i="53"/>
  <c r="CG84" i="53"/>
  <c r="BQ84" i="53"/>
  <c r="CX82" i="53"/>
  <c r="CG82" i="53"/>
  <c r="BS82" i="53"/>
  <c r="CL81" i="53"/>
  <c r="CA81" i="53"/>
  <c r="BM81" i="53"/>
  <c r="CU80" i="53"/>
  <c r="CF80" i="53"/>
  <c r="BU80" i="53"/>
  <c r="CN79" i="53"/>
  <c r="CQ78" i="53"/>
  <c r="CC78" i="53"/>
  <c r="BQ78" i="53"/>
  <c r="CP77" i="53"/>
  <c r="BS77" i="53"/>
  <c r="CU75" i="53"/>
  <c r="CF75" i="53"/>
  <c r="BU75" i="53"/>
  <c r="CS74" i="53"/>
  <c r="CH74" i="53"/>
  <c r="CV73" i="53"/>
  <c r="CJ73" i="53"/>
  <c r="BV73" i="53"/>
  <c r="BJ73" i="53"/>
  <c r="CX72" i="53"/>
  <c r="CJ72" i="53"/>
  <c r="BM72" i="53"/>
  <c r="CX71" i="53"/>
  <c r="BY71" i="53"/>
  <c r="BL71" i="53"/>
  <c r="CS58" i="53"/>
  <c r="BQ58" i="53"/>
  <c r="T31" i="85" s="1"/>
  <c r="CW57" i="53"/>
  <c r="CQ54" i="53"/>
  <c r="CH54" i="53"/>
  <c r="BX54" i="53"/>
  <c r="CU53" i="53"/>
  <c r="CC53" i="53"/>
  <c r="BS53" i="53"/>
  <c r="BJ53" i="53"/>
  <c r="CO52" i="53"/>
  <c r="CF52" i="53"/>
  <c r="BO52" i="53"/>
  <c r="CO50" i="53"/>
  <c r="CF50" i="53"/>
  <c r="BM50" i="53"/>
  <c r="CT49" i="53"/>
  <c r="CJ49" i="53"/>
  <c r="BR49" i="53"/>
  <c r="CX48" i="53"/>
  <c r="CS47" i="53"/>
  <c r="CI47" i="53"/>
  <c r="BZ47" i="53"/>
  <c r="CX46" i="53"/>
  <c r="CM46" i="53"/>
  <c r="BU46" i="53"/>
  <c r="BK46" i="53"/>
  <c r="CI45" i="53"/>
  <c r="BY45" i="53"/>
  <c r="CV44" i="53"/>
  <c r="CL44" i="53"/>
  <c r="BT44" i="53"/>
  <c r="BK44" i="53"/>
  <c r="CP43" i="53"/>
  <c r="CG43" i="53"/>
  <c r="BX43" i="53"/>
  <c r="CW42" i="53"/>
  <c r="CN42" i="53"/>
  <c r="CE42" i="53"/>
  <c r="CP41" i="53"/>
  <c r="CH41" i="53"/>
  <c r="BY41" i="53"/>
  <c r="BQ41" i="53"/>
  <c r="CJ40" i="53"/>
  <c r="CB40" i="53"/>
  <c r="BS40" i="53"/>
  <c r="BK40" i="53"/>
  <c r="CT39" i="53"/>
  <c r="BV39" i="53"/>
  <c r="BM39" i="53"/>
  <c r="CX37" i="53"/>
  <c r="CO37" i="53"/>
  <c r="CG37" i="53"/>
  <c r="BY37" i="53"/>
  <c r="BQ37" i="53"/>
  <c r="CQ36" i="53"/>
  <c r="CI36" i="53"/>
  <c r="CA36" i="53"/>
  <c r="BS36" i="53"/>
  <c r="BK36" i="53"/>
  <c r="CS35" i="53"/>
  <c r="CC35" i="53"/>
  <c r="BU35" i="53"/>
  <c r="BM35" i="53"/>
  <c r="CV34" i="53"/>
  <c r="CL34" i="53"/>
  <c r="BO34" i="53"/>
  <c r="CX33" i="53"/>
  <c r="CO33" i="53"/>
  <c r="CF33" i="53"/>
  <c r="BX33" i="53"/>
  <c r="CQ32" i="53"/>
  <c r="CI32" i="53"/>
  <c r="BZ32" i="53"/>
  <c r="BR32" i="53"/>
  <c r="CL94" i="53"/>
  <c r="T116" i="85" s="1"/>
  <c r="CE92" i="53"/>
  <c r="T90" i="85" s="1"/>
  <c r="BZ86" i="53"/>
  <c r="CT85" i="53"/>
  <c r="CF84" i="53"/>
  <c r="BN84" i="53"/>
  <c r="BR82" i="53"/>
  <c r="CW81" i="53"/>
  <c r="CE81" i="53"/>
  <c r="BL81" i="53"/>
  <c r="CP80" i="53"/>
  <c r="BV79" i="53"/>
  <c r="CL77" i="53"/>
  <c r="CN75" i="53"/>
  <c r="BZ75" i="53"/>
  <c r="CP74" i="53"/>
  <c r="BZ74" i="53"/>
  <c r="CB73" i="53"/>
  <c r="CR72" i="53"/>
  <c r="BK72" i="53"/>
  <c r="CT71" i="53"/>
  <c r="BJ71" i="53"/>
  <c r="CT57" i="53"/>
  <c r="CV56" i="53"/>
  <c r="CX54" i="53"/>
  <c r="BK54" i="53"/>
  <c r="CP53" i="53"/>
  <c r="BU53" i="53"/>
  <c r="CW52" i="53"/>
  <c r="CL52" i="53"/>
  <c r="CC52" i="53"/>
  <c r="BQ52" i="53"/>
  <c r="CS50" i="53"/>
  <c r="CH50" i="53"/>
  <c r="BL50" i="53"/>
  <c r="CP49" i="53"/>
  <c r="CE49" i="53"/>
  <c r="BU49" i="53"/>
  <c r="BK49" i="53"/>
  <c r="CW47" i="53"/>
  <c r="CA47" i="53"/>
  <c r="CS46" i="53"/>
  <c r="CI46" i="53"/>
  <c r="BX46" i="53"/>
  <c r="BO46" i="53"/>
  <c r="CQ45" i="53"/>
  <c r="CF45" i="53"/>
  <c r="BV45" i="53"/>
  <c r="BK45" i="53"/>
  <c r="CN44" i="53"/>
  <c r="BS44" i="53"/>
  <c r="CW43" i="53"/>
  <c r="CL43" i="53"/>
  <c r="CB43" i="53"/>
  <c r="BQ43" i="53"/>
  <c r="CV42" i="53"/>
  <c r="CC42" i="53"/>
  <c r="BT42" i="53"/>
  <c r="BJ42" i="53"/>
  <c r="CQ41" i="53"/>
  <c r="CF41" i="53"/>
  <c r="BO41" i="53"/>
  <c r="CU40" i="53"/>
  <c r="CC40" i="53"/>
  <c r="BR40" i="53"/>
  <c r="CO39" i="53"/>
  <c r="CF39" i="53"/>
  <c r="BO39" i="53"/>
  <c r="CN37" i="53"/>
  <c r="CE37" i="53"/>
  <c r="BV37" i="53"/>
  <c r="BM37" i="53"/>
  <c r="CT36" i="53"/>
  <c r="CJ36" i="53"/>
  <c r="BZ36" i="53"/>
  <c r="BQ36" i="53"/>
  <c r="CX35" i="53"/>
  <c r="CN35" i="53"/>
  <c r="BV35" i="53"/>
  <c r="BL35" i="53"/>
  <c r="CI34" i="53"/>
  <c r="BZ34" i="53"/>
  <c r="CW33" i="53"/>
  <c r="CL33" i="53"/>
  <c r="BU33" i="53"/>
  <c r="BK33" i="53"/>
  <c r="CG32" i="53"/>
  <c r="BX32" i="53"/>
  <c r="CO31" i="53"/>
  <c r="CG31" i="53"/>
  <c r="BY31" i="53"/>
  <c r="BQ31" i="53"/>
  <c r="CI30" i="53"/>
  <c r="CA30" i="53"/>
  <c r="BS30" i="53"/>
  <c r="BK30" i="53"/>
  <c r="CV28" i="53"/>
  <c r="CM28" i="53"/>
  <c r="CE28" i="53"/>
  <c r="BO28" i="53"/>
  <c r="CX27" i="53"/>
  <c r="CO27" i="53"/>
  <c r="CG27" i="53"/>
  <c r="BY27" i="53"/>
  <c r="CQ26" i="53"/>
  <c r="CI26" i="53"/>
  <c r="CA26" i="53"/>
  <c r="BS26" i="53"/>
  <c r="BJ26" i="53"/>
  <c r="CU24" i="53"/>
  <c r="CW23" i="53"/>
  <c r="CN23" i="53"/>
  <c r="CF23" i="53"/>
  <c r="BX23" i="53"/>
  <c r="CP22" i="53"/>
  <c r="CH22" i="53"/>
  <c r="BZ22" i="53"/>
  <c r="BR22" i="53"/>
  <c r="BJ22" i="53"/>
  <c r="CS21" i="53"/>
  <c r="CU20" i="53"/>
  <c r="CL20" i="53"/>
  <c r="BV20" i="53"/>
  <c r="BN20" i="53"/>
  <c r="CW19" i="53"/>
  <c r="CN19" i="53"/>
  <c r="CF19" i="53"/>
  <c r="CT16" i="53"/>
  <c r="BV16" i="53"/>
  <c r="BN16" i="53"/>
  <c r="BV87" i="53"/>
  <c r="CS86" i="53"/>
  <c r="CS85" i="53"/>
  <c r="CC84" i="53"/>
  <c r="BM84" i="53"/>
  <c r="CV81" i="53"/>
  <c r="CC81" i="53"/>
  <c r="CO80" i="53"/>
  <c r="CG79" i="53"/>
  <c r="BS79" i="53"/>
  <c r="CJ78" i="53"/>
  <c r="BS78" i="53"/>
  <c r="BU77" i="53"/>
  <c r="CM75" i="53"/>
  <c r="CO74" i="53"/>
  <c r="BY74" i="53"/>
  <c r="CO73" i="53"/>
  <c r="CA73" i="53"/>
  <c r="CQ72" i="53"/>
  <c r="CA72" i="53"/>
  <c r="CS71" i="53"/>
  <c r="CC71" i="53"/>
  <c r="CU56" i="53"/>
  <c r="CW54" i="53"/>
  <c r="CJ54" i="53"/>
  <c r="BV54" i="53"/>
  <c r="BJ54" i="53"/>
  <c r="CM53" i="53"/>
  <c r="BR53" i="53"/>
  <c r="CV52" i="53"/>
  <c r="CA52" i="53"/>
  <c r="CQ50" i="53"/>
  <c r="CG50" i="53"/>
  <c r="BU50" i="53"/>
  <c r="BK50" i="53"/>
  <c r="CO49" i="53"/>
  <c r="BT49" i="53"/>
  <c r="BJ49" i="53"/>
  <c r="CW48" i="53"/>
  <c r="CV47" i="53"/>
  <c r="BX47" i="53"/>
  <c r="BO47" i="53"/>
  <c r="CH46" i="53"/>
  <c r="BM46" i="53"/>
  <c r="CP45" i="53"/>
  <c r="BU45" i="53"/>
  <c r="BJ45" i="53"/>
  <c r="CM44" i="53"/>
  <c r="CC44" i="53"/>
  <c r="BR44" i="53"/>
  <c r="CV43" i="53"/>
  <c r="BZ43" i="53"/>
  <c r="CT42" i="53"/>
  <c r="CB42" i="53"/>
  <c r="BS42" i="53"/>
  <c r="CO41" i="53"/>
  <c r="CE41" i="53"/>
  <c r="BN41" i="53"/>
  <c r="CT40" i="53"/>
  <c r="BZ40" i="53"/>
  <c r="BQ40" i="53"/>
  <c r="CN39" i="53"/>
  <c r="CE39" i="53"/>
  <c r="BL39" i="53"/>
  <c r="CW37" i="53"/>
  <c r="CM37" i="53"/>
  <c r="BU37" i="53"/>
  <c r="BL37" i="53"/>
  <c r="CH36" i="53"/>
  <c r="BY36" i="53"/>
  <c r="CW35" i="53"/>
  <c r="CM35" i="53"/>
  <c r="BT35" i="53"/>
  <c r="BK35" i="53"/>
  <c r="CQ34" i="53"/>
  <c r="CH34" i="53"/>
  <c r="BX34" i="53"/>
  <c r="CU33" i="53"/>
  <c r="CC33" i="53"/>
  <c r="BT33" i="53"/>
  <c r="BJ33" i="53"/>
  <c r="CP32" i="53"/>
  <c r="CF32" i="53"/>
  <c r="BO32" i="53"/>
  <c r="CW31" i="53"/>
  <c r="CN31" i="53"/>
  <c r="CF31" i="53"/>
  <c r="BX31" i="53"/>
  <c r="CP30" i="53"/>
  <c r="CH30" i="53"/>
  <c r="BZ30" i="53"/>
  <c r="BR30" i="53"/>
  <c r="BJ30" i="53"/>
  <c r="CU28" i="53"/>
  <c r="CL28" i="53"/>
  <c r="BV28" i="53"/>
  <c r="BN28" i="53"/>
  <c r="CW27" i="53"/>
  <c r="CN27" i="53"/>
  <c r="CF27" i="53"/>
  <c r="CP26" i="53"/>
  <c r="CH26" i="53"/>
  <c r="BZ26" i="53"/>
  <c r="BQ26" i="53"/>
  <c r="CT24" i="53"/>
  <c r="CV23" i="53"/>
  <c r="CM23" i="53"/>
  <c r="CE23" i="53"/>
  <c r="CX22" i="53"/>
  <c r="CO22" i="53"/>
  <c r="CG22" i="53"/>
  <c r="BY22" i="53"/>
  <c r="BQ22" i="53"/>
  <c r="CT20" i="53"/>
  <c r="CC20" i="53"/>
  <c r="BU20" i="53"/>
  <c r="BM20" i="53"/>
  <c r="CV19" i="53"/>
  <c r="CM19" i="53"/>
  <c r="BO19" i="53"/>
  <c r="CS16" i="53"/>
  <c r="CC16" i="53"/>
  <c r="BU16" i="53"/>
  <c r="BL16" i="53"/>
  <c r="CU15" i="53"/>
  <c r="CL15" i="53"/>
  <c r="BO15" i="53"/>
  <c r="CW14" i="53"/>
  <c r="CN14" i="53"/>
  <c r="CF14" i="53"/>
  <c r="BX14" i="53"/>
  <c r="CP13" i="53"/>
  <c r="CH13" i="53"/>
  <c r="BZ13" i="53"/>
  <c r="BR13" i="53"/>
  <c r="BJ13" i="53"/>
  <c r="CC94" i="53"/>
  <c r="Y61" i="85" s="1"/>
  <c r="AA61" i="85" s="1"/>
  <c r="CV87" i="53"/>
  <c r="BU87" i="53"/>
  <c r="CP86" i="53"/>
  <c r="BO86" i="53"/>
  <c r="BT85" i="53"/>
  <c r="CU84" i="53"/>
  <c r="BZ84" i="53"/>
  <c r="BJ84" i="53"/>
  <c r="BN82" i="53"/>
  <c r="CT81" i="53"/>
  <c r="CM80" i="53"/>
  <c r="BQ80" i="53"/>
  <c r="CF79" i="53"/>
  <c r="BO79" i="53"/>
  <c r="CH78" i="53"/>
  <c r="BR77" i="53"/>
  <c r="CL75" i="53"/>
  <c r="BS75" i="53"/>
  <c r="CN74" i="53"/>
  <c r="BU74" i="53"/>
  <c r="CL73" i="53"/>
  <c r="BU73" i="53"/>
  <c r="CO72" i="53"/>
  <c r="CQ71" i="53"/>
  <c r="BX71" i="53"/>
  <c r="CT54" i="53"/>
  <c r="CF54" i="53"/>
  <c r="BU54" i="53"/>
  <c r="CL53" i="53"/>
  <c r="CB53" i="53"/>
  <c r="BQ53" i="53"/>
  <c r="CU52" i="53"/>
  <c r="BY52" i="53"/>
  <c r="CP50" i="53"/>
  <c r="CE50" i="53"/>
  <c r="BT50" i="53"/>
  <c r="BJ50" i="53"/>
  <c r="CM49" i="53"/>
  <c r="BS49" i="53"/>
  <c r="CV48" i="53"/>
  <c r="CT47" i="53"/>
  <c r="CH47" i="53"/>
  <c r="BN47" i="53"/>
  <c r="CQ46" i="53"/>
  <c r="CF46" i="53"/>
  <c r="BJ46" i="53"/>
  <c r="CN45" i="53"/>
  <c r="BS45" i="53"/>
  <c r="CW44" i="53"/>
  <c r="CA44" i="53"/>
  <c r="CU43" i="53"/>
  <c r="BY43" i="53"/>
  <c r="BN43" i="53"/>
  <c r="CS42" i="53"/>
  <c r="CJ42" i="53"/>
  <c r="CA42" i="53"/>
  <c r="BQ42" i="53"/>
  <c r="CX41" i="53"/>
  <c r="CM41" i="53"/>
  <c r="BV41" i="53"/>
  <c r="BM41" i="53"/>
  <c r="CS40" i="53"/>
  <c r="CI40" i="53"/>
  <c r="BY40" i="53"/>
  <c r="CW39" i="53"/>
  <c r="CM39" i="53"/>
  <c r="BT39" i="53"/>
  <c r="BK39" i="53"/>
  <c r="CV37" i="53"/>
  <c r="CL37" i="53"/>
  <c r="CC37" i="53"/>
  <c r="BT37" i="53"/>
  <c r="BK37" i="53"/>
  <c r="CP36" i="53"/>
  <c r="CG36" i="53"/>
  <c r="BX36" i="53"/>
  <c r="BO36" i="53"/>
  <c r="CV35" i="53"/>
  <c r="CB35" i="53"/>
  <c r="BS35" i="53"/>
  <c r="CP34" i="53"/>
  <c r="CG34" i="53"/>
  <c r="BN34" i="53"/>
  <c r="CT33" i="53"/>
  <c r="CB33" i="53"/>
  <c r="BR33" i="53"/>
  <c r="CN32" i="53"/>
  <c r="CE32" i="53"/>
  <c r="BN32" i="53"/>
  <c r="CV31" i="53"/>
  <c r="CM31" i="53"/>
  <c r="CE31" i="53"/>
  <c r="CX30" i="53"/>
  <c r="CO30" i="53"/>
  <c r="CG30" i="53"/>
  <c r="BY30" i="53"/>
  <c r="BQ30" i="53"/>
  <c r="CT28" i="53"/>
  <c r="CC28" i="53"/>
  <c r="BU28" i="53"/>
  <c r="BM28" i="53"/>
  <c r="CV27" i="53"/>
  <c r="CM27" i="53"/>
  <c r="BO27" i="53"/>
  <c r="CX26" i="53"/>
  <c r="CO26" i="53"/>
  <c r="CG26" i="53"/>
  <c r="BX26" i="53"/>
  <c r="CS24" i="53"/>
  <c r="CU23" i="53"/>
  <c r="CL23" i="53"/>
  <c r="BO23" i="53"/>
  <c r="CW22" i="53"/>
  <c r="CN22" i="53"/>
  <c r="CF22" i="53"/>
  <c r="BX22" i="53"/>
  <c r="CJ20" i="53"/>
  <c r="CB20" i="53"/>
  <c r="BT20" i="53"/>
  <c r="BL20" i="53"/>
  <c r="CU19" i="53"/>
  <c r="BV19" i="53"/>
  <c r="BN19" i="53"/>
  <c r="CJ16" i="53"/>
  <c r="CB16" i="53"/>
  <c r="BS16" i="53"/>
  <c r="BK16" i="53"/>
  <c r="CT15" i="53"/>
  <c r="BV15" i="53"/>
  <c r="BM15" i="53"/>
  <c r="CV14" i="53"/>
  <c r="CM14" i="53"/>
  <c r="CE14" i="53"/>
  <c r="CX13" i="53"/>
  <c r="CO13" i="53"/>
  <c r="CG13" i="53"/>
  <c r="BY13" i="53"/>
  <c r="BQ13" i="53"/>
  <c r="CA107" i="53"/>
  <c r="BV94" i="53"/>
  <c r="Y40" i="85" s="1"/>
  <c r="AA40" i="85" s="1"/>
  <c r="BM92" i="53"/>
  <c r="W17" i="85" s="1"/>
  <c r="CJ87" i="53"/>
  <c r="CJ86" i="53"/>
  <c r="BY84" i="53"/>
  <c r="CO82" i="53"/>
  <c r="CT80" i="53"/>
  <c r="BN80" i="53"/>
  <c r="CL79" i="53"/>
  <c r="BJ79" i="53"/>
  <c r="CG78" i="53"/>
  <c r="BJ77" i="53"/>
  <c r="CC75" i="53"/>
  <c r="CA74" i="53"/>
  <c r="BT73" i="53"/>
  <c r="CW72" i="53"/>
  <c r="BU72" i="53"/>
  <c r="CU71" i="53"/>
  <c r="BR71" i="53"/>
  <c r="BX57" i="53"/>
  <c r="T51" i="85" s="1"/>
  <c r="CB107" i="53"/>
  <c r="BL92" i="53"/>
  <c r="V17" i="85" s="1"/>
  <c r="CG87" i="53"/>
  <c r="CC86" i="53"/>
  <c r="BX84" i="53"/>
  <c r="CC82" i="53"/>
  <c r="BV81" i="53"/>
  <c r="CS80" i="53"/>
  <c r="BM80" i="53"/>
  <c r="CE79" i="53"/>
  <c r="CA78" i="53"/>
  <c r="CB77" i="53"/>
  <c r="CX75" i="53"/>
  <c r="CA75" i="53"/>
  <c r="BR74" i="53"/>
  <c r="CT73" i="53"/>
  <c r="BS73" i="53"/>
  <c r="CS72" i="53"/>
  <c r="CM71" i="53"/>
  <c r="BQ71" i="53"/>
  <c r="CX58" i="53"/>
  <c r="CL57" i="53"/>
  <c r="T106" i="85" s="1"/>
  <c r="CE54" i="53"/>
  <c r="BN54" i="53"/>
  <c r="CT53" i="53"/>
  <c r="CE53" i="53"/>
  <c r="BN53" i="53"/>
  <c r="CT52" i="53"/>
  <c r="BL52" i="53"/>
  <c r="CV50" i="53"/>
  <c r="BO50" i="53"/>
  <c r="CU49" i="53"/>
  <c r="BM49" i="53"/>
  <c r="CS48" i="53"/>
  <c r="CQ47" i="53"/>
  <c r="BJ47" i="53"/>
  <c r="CU46" i="53"/>
  <c r="CB46" i="53"/>
  <c r="CT45" i="53"/>
  <c r="CB45" i="53"/>
  <c r="BL45" i="53"/>
  <c r="CS44" i="53"/>
  <c r="BZ44" i="53"/>
  <c r="BL44" i="53"/>
  <c r="CS43" i="53"/>
  <c r="BJ43" i="53"/>
  <c r="BO42" i="53"/>
  <c r="BU41" i="53"/>
  <c r="CP40" i="53"/>
  <c r="BN40" i="53"/>
  <c r="CV39" i="53"/>
  <c r="CH39" i="53"/>
  <c r="BR39" i="53"/>
  <c r="CT37" i="53"/>
  <c r="CF37" i="53"/>
  <c r="CL36" i="53"/>
  <c r="BV36" i="53"/>
  <c r="CQ35" i="53"/>
  <c r="CA35" i="53"/>
  <c r="BO35" i="53"/>
  <c r="CX34" i="53"/>
  <c r="CJ34" i="53"/>
  <c r="BT34" i="53"/>
  <c r="CP33" i="53"/>
  <c r="BY33" i="53"/>
  <c r="BM33" i="53"/>
  <c r="CU32" i="53"/>
  <c r="BQ32" i="53"/>
  <c r="CQ31" i="53"/>
  <c r="CC31" i="53"/>
  <c r="BO31" i="53"/>
  <c r="CM30" i="53"/>
  <c r="CB30" i="53"/>
  <c r="BN30" i="53"/>
  <c r="CJ28" i="53"/>
  <c r="BY28" i="53"/>
  <c r="BK28" i="53"/>
  <c r="CJ27" i="53"/>
  <c r="BV27" i="53"/>
  <c r="BK27" i="53"/>
  <c r="CV26" i="53"/>
  <c r="CJ26" i="53"/>
  <c r="BV26" i="53"/>
  <c r="BR23" i="53"/>
  <c r="CN20" i="53"/>
  <c r="BZ20" i="53"/>
  <c r="BO20" i="53"/>
  <c r="BZ19" i="53"/>
  <c r="BL19" i="53"/>
  <c r="CV16" i="53"/>
  <c r="CG16" i="53"/>
  <c r="CV15" i="53"/>
  <c r="CJ15" i="53"/>
  <c r="BY15" i="53"/>
  <c r="CG14" i="53"/>
  <c r="BU14" i="53"/>
  <c r="BK14" i="53"/>
  <c r="CM13" i="53"/>
  <c r="CC13" i="53"/>
  <c r="BS13" i="53"/>
  <c r="BJ107" i="53"/>
  <c r="CB86" i="53"/>
  <c r="CJ85" i="53"/>
  <c r="CB82" i="53"/>
  <c r="BS81" i="53"/>
  <c r="CB79" i="53"/>
  <c r="BZ78" i="53"/>
  <c r="CX77" i="53"/>
  <c r="CA77" i="53"/>
  <c r="CW75" i="53"/>
  <c r="BR75" i="53"/>
  <c r="CR74" i="53"/>
  <c r="CS73" i="53"/>
  <c r="BQ73" i="53"/>
  <c r="CM72" i="53"/>
  <c r="CW58" i="53"/>
  <c r="BJ58" i="53"/>
  <c r="T10" i="85" s="1"/>
  <c r="CX56" i="53"/>
  <c r="BM54" i="53"/>
  <c r="CS53" i="53"/>
  <c r="BZ53" i="53"/>
  <c r="BL53" i="53"/>
  <c r="CS52" i="53"/>
  <c r="BK52" i="53"/>
  <c r="CT50" i="53"/>
  <c r="CR49" i="53"/>
  <c r="BL49" i="53"/>
  <c r="CP47" i="53"/>
  <c r="CC47" i="53"/>
  <c r="CP46" i="53"/>
  <c r="CA46" i="53"/>
  <c r="CS45" i="53"/>
  <c r="BZ45" i="53"/>
  <c r="BX44" i="53"/>
  <c r="BJ44" i="53"/>
  <c r="CO43" i="53"/>
  <c r="CQ42" i="53"/>
  <c r="BN42" i="53"/>
  <c r="CW41" i="53"/>
  <c r="CJ41" i="53"/>
  <c r="BT41" i="53"/>
  <c r="CN40" i="53"/>
  <c r="BX40" i="53"/>
  <c r="BL40" i="53"/>
  <c r="CU39" i="53"/>
  <c r="CG39" i="53"/>
  <c r="BQ39" i="53"/>
  <c r="CS37" i="53"/>
  <c r="CB37" i="53"/>
  <c r="BO37" i="53"/>
  <c r="CX36" i="53"/>
  <c r="BU36" i="53"/>
  <c r="CP35" i="53"/>
  <c r="BZ35" i="53"/>
  <c r="BN35" i="53"/>
  <c r="CW34" i="53"/>
  <c r="CE34" i="53"/>
  <c r="BS34" i="53"/>
  <c r="CM33" i="53"/>
  <c r="CT32" i="53"/>
  <c r="CL31" i="53"/>
  <c r="CA31" i="53"/>
  <c r="BM31" i="53"/>
  <c r="CL30" i="53"/>
  <c r="BX30" i="53"/>
  <c r="BM30" i="53"/>
  <c r="CX28" i="53"/>
  <c r="CI28" i="53"/>
  <c r="BX28" i="53"/>
  <c r="BJ28" i="53"/>
  <c r="CU27" i="53"/>
  <c r="CI27" i="53"/>
  <c r="BU27" i="53"/>
  <c r="CT26" i="53"/>
  <c r="CE26" i="53"/>
  <c r="BU26" i="53"/>
  <c r="CQ23" i="53"/>
  <c r="CC23" i="53"/>
  <c r="BQ23" i="53"/>
  <c r="CM22" i="53"/>
  <c r="CB22" i="53"/>
  <c r="BN22" i="53"/>
  <c r="CM20" i="53"/>
  <c r="BY20" i="53"/>
  <c r="BK20" i="53"/>
  <c r="CJ19" i="53"/>
  <c r="BY19" i="53"/>
  <c r="BK19" i="53"/>
  <c r="CU16" i="53"/>
  <c r="CF16" i="53"/>
  <c r="BR16" i="53"/>
  <c r="CS15" i="53"/>
  <c r="CH15" i="53"/>
  <c r="BX15" i="53"/>
  <c r="BL15" i="53"/>
  <c r="CP14" i="53"/>
  <c r="BT14" i="53"/>
  <c r="BJ14" i="53"/>
  <c r="CW13" i="53"/>
  <c r="CL13" i="53"/>
  <c r="CB13" i="53"/>
  <c r="CT92" i="53"/>
  <c r="BN87" i="53"/>
  <c r="CA86" i="53"/>
  <c r="CI85" i="53"/>
  <c r="CT84" i="53"/>
  <c r="CA82" i="53"/>
  <c r="CS81" i="53"/>
  <c r="CE80" i="53"/>
  <c r="BX79" i="53"/>
  <c r="CV78" i="53"/>
  <c r="BY78" i="53"/>
  <c r="CV77" i="53"/>
  <c r="CT75" i="53"/>
  <c r="BQ75" i="53"/>
  <c r="CQ74" i="53"/>
  <c r="BP74" i="53"/>
  <c r="CI72" i="53"/>
  <c r="BO72" i="53"/>
  <c r="CI71" i="53"/>
  <c r="CU58" i="53"/>
  <c r="BX58" i="53"/>
  <c r="T52" i="85" s="1"/>
  <c r="CW56" i="53"/>
  <c r="CC54" i="53"/>
  <c r="BY53" i="53"/>
  <c r="BK53" i="53"/>
  <c r="BX52" i="53"/>
  <c r="CN50" i="53"/>
  <c r="CQ49" i="53"/>
  <c r="CO47" i="53"/>
  <c r="CO46" i="53"/>
  <c r="BY46" i="53"/>
  <c r="CL45" i="53"/>
  <c r="BX45" i="53"/>
  <c r="CQ44" i="53"/>
  <c r="CN43" i="53"/>
  <c r="CP42" i="53"/>
  <c r="BZ42" i="53"/>
  <c r="BM42" i="53"/>
  <c r="CU41" i="53"/>
  <c r="CI41" i="53"/>
  <c r="BR41" i="53"/>
  <c r="CM40" i="53"/>
  <c r="BJ40" i="53"/>
  <c r="CS39" i="53"/>
  <c r="CC39" i="53"/>
  <c r="CQ37" i="53"/>
  <c r="CA37" i="53"/>
  <c r="BN37" i="53"/>
  <c r="CW36" i="53"/>
  <c r="CF36" i="53"/>
  <c r="BT36" i="53"/>
  <c r="CO35" i="53"/>
  <c r="BY35" i="53"/>
  <c r="CT34" i="53"/>
  <c r="BQ34" i="53"/>
  <c r="CJ33" i="53"/>
  <c r="CS32" i="53"/>
  <c r="CC32" i="53"/>
  <c r="BL32" i="53"/>
  <c r="BZ31" i="53"/>
  <c r="BL31" i="53"/>
  <c r="CW30" i="53"/>
  <c r="BL30" i="53"/>
  <c r="CW28" i="53"/>
  <c r="CH28" i="53"/>
  <c r="BT28" i="53"/>
  <c r="CS27" i="53"/>
  <c r="CH27" i="53"/>
  <c r="BT27" i="53"/>
  <c r="CS26" i="53"/>
  <c r="BT26" i="53"/>
  <c r="CO23" i="53"/>
  <c r="CA23" i="53"/>
  <c r="BM23" i="53"/>
  <c r="CL22" i="53"/>
  <c r="CA22" i="53"/>
  <c r="BM22" i="53"/>
  <c r="CX21" i="53"/>
  <c r="CX20" i="53"/>
  <c r="CI20" i="53"/>
  <c r="BX20" i="53"/>
  <c r="BJ20" i="53"/>
  <c r="CX19" i="53"/>
  <c r="CI19" i="53"/>
  <c r="BU19" i="53"/>
  <c r="CQ16" i="53"/>
  <c r="CE16" i="53"/>
  <c r="BQ16" i="53"/>
  <c r="CG15" i="53"/>
  <c r="BK15" i="53"/>
  <c r="CO14" i="53"/>
  <c r="BS14" i="53"/>
  <c r="CV13" i="53"/>
  <c r="CA13" i="53"/>
  <c r="BO13" i="53"/>
  <c r="CT94" i="53"/>
  <c r="CS92" i="53"/>
  <c r="BN86" i="53"/>
  <c r="CC85" i="53"/>
  <c r="CP84" i="53"/>
  <c r="BO84" i="53"/>
  <c r="BZ82" i="53"/>
  <c r="BO81" i="53"/>
  <c r="CX79" i="53"/>
  <c r="CT78" i="53"/>
  <c r="BX78" i="53"/>
  <c r="CU77" i="53"/>
  <c r="BN77" i="53"/>
  <c r="CO75" i="53"/>
  <c r="BN75" i="53"/>
  <c r="CJ74" i="53"/>
  <c r="BO74" i="53"/>
  <c r="CI73" i="53"/>
  <c r="BM73" i="53"/>
  <c r="CF72" i="53"/>
  <c r="CG71" i="53"/>
  <c r="CS54" i="53"/>
  <c r="CB54" i="53"/>
  <c r="CQ53" i="53"/>
  <c r="CN52" i="53"/>
  <c r="CM50" i="53"/>
  <c r="CL49" i="53"/>
  <c r="BW49" i="53"/>
  <c r="CN47" i="53"/>
  <c r="BV47" i="53"/>
  <c r="CL46" i="53"/>
  <c r="BT46" i="53"/>
  <c r="CM43" i="53"/>
  <c r="BU43" i="53"/>
  <c r="CO42" i="53"/>
  <c r="BX42" i="53"/>
  <c r="BL42" i="53"/>
  <c r="CT41" i="53"/>
  <c r="CL40" i="53"/>
  <c r="CA39" i="53"/>
  <c r="CP37" i="53"/>
  <c r="BZ37" i="53"/>
  <c r="BJ37" i="53"/>
  <c r="CV36" i="53"/>
  <c r="CE36" i="53"/>
  <c r="BR36" i="53"/>
  <c r="CJ35" i="53"/>
  <c r="CS34" i="53"/>
  <c r="CC34" i="53"/>
  <c r="BM34" i="53"/>
  <c r="CI33" i="53"/>
  <c r="BV33" i="53"/>
  <c r="CM32" i="53"/>
  <c r="CB32" i="53"/>
  <c r="BK32" i="53"/>
  <c r="BW31" i="53"/>
  <c r="BK31" i="53"/>
  <c r="CV30" i="53"/>
  <c r="CG28" i="53"/>
  <c r="BS28" i="53"/>
  <c r="BS27" i="53"/>
  <c r="BZ23" i="53"/>
  <c r="BL23" i="53"/>
  <c r="BL22" i="53"/>
  <c r="CW21" i="53"/>
  <c r="CW20" i="53"/>
  <c r="CH20" i="53"/>
  <c r="CS19" i="53"/>
  <c r="CH19" i="53"/>
  <c r="BT19" i="53"/>
  <c r="CP16" i="53"/>
  <c r="CQ15" i="53"/>
  <c r="CF15" i="53"/>
  <c r="BT15" i="53"/>
  <c r="BJ15" i="53"/>
  <c r="CL14" i="53"/>
  <c r="CB14" i="53"/>
  <c r="BR14" i="53"/>
  <c r="CU13" i="53"/>
  <c r="CJ13" i="53"/>
  <c r="BX13" i="53"/>
  <c r="BN13" i="53"/>
  <c r="CQ94" i="53"/>
  <c r="Y116" i="85" s="1"/>
  <c r="AA116" i="85" s="1"/>
  <c r="CC92" i="53"/>
  <c r="Y59" i="85" s="1"/>
  <c r="BX85" i="53"/>
  <c r="CM84" i="53"/>
  <c r="CU82" i="53"/>
  <c r="BU82" i="53"/>
  <c r="CV79" i="53"/>
  <c r="CS78" i="53"/>
  <c r="CO77" i="53"/>
  <c r="BM77" i="53"/>
  <c r="BM75" i="53"/>
  <c r="CG74" i="53"/>
  <c r="BM74" i="53"/>
  <c r="CE72" i="53"/>
  <c r="CL58" i="53"/>
  <c r="T107" i="85" s="1"/>
  <c r="CP54" i="53"/>
  <c r="CA54" i="53"/>
  <c r="CM52" i="53"/>
  <c r="BV52" i="53"/>
  <c r="BS50" i="53"/>
  <c r="CK49" i="53"/>
  <c r="BV49" i="53"/>
  <c r="CL47" i="53"/>
  <c r="BU47" i="53"/>
  <c r="BR46" i="53"/>
  <c r="BR45" i="53"/>
  <c r="CJ44" i="53"/>
  <c r="BV44" i="53"/>
  <c r="CH43" i="53"/>
  <c r="BT43" i="53"/>
  <c r="CL42" i="53"/>
  <c r="CS41" i="53"/>
  <c r="CC41" i="53"/>
  <c r="CG40" i="53"/>
  <c r="BV40" i="53"/>
  <c r="CQ39" i="53"/>
  <c r="BZ39" i="53"/>
  <c r="BJ39" i="53"/>
  <c r="BX37" i="53"/>
  <c r="CU36" i="53"/>
  <c r="BN36" i="53"/>
  <c r="CI35" i="53"/>
  <c r="CO34" i="53"/>
  <c r="CB34" i="53"/>
  <c r="BL34" i="53"/>
  <c r="CH33" i="53"/>
  <c r="BQ33" i="53"/>
  <c r="CL32" i="53"/>
  <c r="BY32" i="53"/>
  <c r="BJ32" i="53"/>
  <c r="CU31" i="53"/>
  <c r="CJ31" i="53"/>
  <c r="BV31" i="53"/>
  <c r="BJ31" i="53"/>
  <c r="CU30" i="53"/>
  <c r="CF30" i="53"/>
  <c r="BU30" i="53"/>
  <c r="CQ28" i="53"/>
  <c r="CF28" i="53"/>
  <c r="BR28" i="53"/>
  <c r="CQ27" i="53"/>
  <c r="CC27" i="53"/>
  <c r="BR27" i="53"/>
  <c r="CN26" i="53"/>
  <c r="CC26" i="53"/>
  <c r="BO26" i="53"/>
  <c r="BY23" i="53"/>
  <c r="BK23" i="53"/>
  <c r="CV22" i="53"/>
  <c r="BK22" i="53"/>
  <c r="CV21" i="53"/>
  <c r="CV20" i="53"/>
  <c r="CG20" i="53"/>
  <c r="BS20" i="53"/>
  <c r="CG19" i="53"/>
  <c r="BS19" i="53"/>
  <c r="CN16" i="53"/>
  <c r="BZ16" i="53"/>
  <c r="CO15" i="53"/>
  <c r="CE15" i="53"/>
  <c r="BS15" i="53"/>
  <c r="CX14" i="53"/>
  <c r="CA14" i="53"/>
  <c r="BQ14" i="53"/>
  <c r="CT13" i="53"/>
  <c r="CI13" i="53"/>
  <c r="BM13" i="53"/>
  <c r="BN107" i="53"/>
  <c r="CB94" i="53"/>
  <c r="X61" i="85" s="1"/>
  <c r="CA92" i="53"/>
  <c r="W59" i="85" s="1"/>
  <c r="BR85" i="53"/>
  <c r="CL84" i="53"/>
  <c r="CQ82" i="53"/>
  <c r="BK82" i="53"/>
  <c r="CJ81" i="53"/>
  <c r="BX80" i="53"/>
  <c r="CQ79" i="53"/>
  <c r="BN79" i="53"/>
  <c r="CO78" i="53"/>
  <c r="BM78" i="53"/>
  <c r="CM77" i="53"/>
  <c r="BL77" i="53"/>
  <c r="CE75" i="53"/>
  <c r="BK75" i="53"/>
  <c r="CF74" i="53"/>
  <c r="CD73" i="53"/>
  <c r="BV71" i="53"/>
  <c r="CV57" i="53"/>
  <c r="BJ57" i="53"/>
  <c r="T9" i="85" s="1"/>
  <c r="CO54" i="53"/>
  <c r="BT54" i="53"/>
  <c r="CJ53" i="53"/>
  <c r="BV53" i="53"/>
  <c r="CJ52" i="53"/>
  <c r="BT52" i="53"/>
  <c r="CJ50" i="53"/>
  <c r="BR50" i="53"/>
  <c r="CI49" i="53"/>
  <c r="BQ49" i="53"/>
  <c r="CG47" i="53"/>
  <c r="BS47" i="53"/>
  <c r="CJ46" i="53"/>
  <c r="BQ46" i="53"/>
  <c r="CJ45" i="53"/>
  <c r="BQ45" i="53"/>
  <c r="CH44" i="53"/>
  <c r="CF43" i="53"/>
  <c r="BR43" i="53"/>
  <c r="CI42" i="53"/>
  <c r="BV42" i="53"/>
  <c r="CB41" i="53"/>
  <c r="BK41" i="53"/>
  <c r="CX40" i="53"/>
  <c r="CF40" i="53"/>
  <c r="BU40" i="53"/>
  <c r="CL39" i="53"/>
  <c r="BY39" i="53"/>
  <c r="CJ37" i="53"/>
  <c r="CO36" i="53"/>
  <c r="CC36" i="53"/>
  <c r="BM36" i="53"/>
  <c r="CH35" i="53"/>
  <c r="BR35" i="53"/>
  <c r="CN34" i="53"/>
  <c r="CA34" i="53"/>
  <c r="BJ34" i="53"/>
  <c r="CS33" i="53"/>
  <c r="CE33" i="53"/>
  <c r="BV32" i="53"/>
  <c r="CT31" i="53"/>
  <c r="CH31" i="53"/>
  <c r="BT31" i="53"/>
  <c r="CT30" i="53"/>
  <c r="CE30" i="53"/>
  <c r="BT30" i="53"/>
  <c r="CP28" i="53"/>
  <c r="CB28" i="53"/>
  <c r="BQ28" i="53"/>
  <c r="CP27" i="53"/>
  <c r="CB27" i="53"/>
  <c r="BN27" i="53"/>
  <c r="CL26" i="53"/>
  <c r="CB26" i="53"/>
  <c r="BN26" i="53"/>
  <c r="CJ23" i="53"/>
  <c r="BV23" i="53"/>
  <c r="CP82" i="53"/>
  <c r="BJ78" i="53"/>
  <c r="BQ54" i="53"/>
  <c r="CU48" i="53"/>
  <c r="CT44" i="53"/>
  <c r="CH37" i="53"/>
  <c r="CV32" i="53"/>
  <c r="CN30" i="53"/>
  <c r="CN28" i="53"/>
  <c r="CG23" i="53"/>
  <c r="CS22" i="53"/>
  <c r="CO20" i="53"/>
  <c r="BR19" i="53"/>
  <c r="CI16" i="53"/>
  <c r="BR15" i="53"/>
  <c r="CS14" i="53"/>
  <c r="BM14" i="53"/>
  <c r="CF13" i="53"/>
  <c r="CG77" i="53"/>
  <c r="CC73" i="53"/>
  <c r="CG52" i="53"/>
  <c r="CX49" i="53"/>
  <c r="BQ47" i="53"/>
  <c r="CX45" i="53"/>
  <c r="CF44" i="53"/>
  <c r="BM43" i="53"/>
  <c r="CV40" i="53"/>
  <c r="BS37" i="53"/>
  <c r="BL36" i="53"/>
  <c r="CA28" i="53"/>
  <c r="CA27" i="53"/>
  <c r="BT23" i="53"/>
  <c r="CI22" i="53"/>
  <c r="CF20" i="53"/>
  <c r="BY16" i="53"/>
  <c r="CW15" i="53"/>
  <c r="BQ15" i="53"/>
  <c r="BL14" i="53"/>
  <c r="CE13" i="53"/>
  <c r="CO86" i="53"/>
  <c r="CI81" i="53"/>
  <c r="BK77" i="53"/>
  <c r="CV53" i="53"/>
  <c r="CE52" i="53"/>
  <c r="CV49" i="53"/>
  <c r="BM47" i="53"/>
  <c r="CU45" i="53"/>
  <c r="CE44" i="53"/>
  <c r="BL43" i="53"/>
  <c r="CQ40" i="53"/>
  <c r="CJ39" i="53"/>
  <c r="BR37" i="53"/>
  <c r="BJ36" i="53"/>
  <c r="CQ33" i="53"/>
  <c r="CJ32" i="53"/>
  <c r="CD31" i="53"/>
  <c r="BZ28" i="53"/>
  <c r="BZ27" i="53"/>
  <c r="BS23" i="53"/>
  <c r="CE22" i="53"/>
  <c r="CU21" i="53"/>
  <c r="CE20" i="53"/>
  <c r="CQ19" i="53"/>
  <c r="BM19" i="53"/>
  <c r="BX16" i="53"/>
  <c r="CN15" i="53"/>
  <c r="CI14" i="53"/>
  <c r="BV72" i="53"/>
  <c r="CI53" i="53"/>
  <c r="BS52" i="53"/>
  <c r="CX50" i="53"/>
  <c r="CH49" i="53"/>
  <c r="CG45" i="53"/>
  <c r="BO44" i="53"/>
  <c r="CL41" i="53"/>
  <c r="CE40" i="53"/>
  <c r="BX39" i="53"/>
  <c r="CU35" i="53"/>
  <c r="BU32" i="53"/>
  <c r="BS31" i="53"/>
  <c r="BM27" i="53"/>
  <c r="BM26" i="53"/>
  <c r="BJ23" i="53"/>
  <c r="CT21" i="53"/>
  <c r="CA20" i="53"/>
  <c r="CP19" i="53"/>
  <c r="CM15" i="53"/>
  <c r="CH14" i="53"/>
  <c r="BV13" i="53"/>
  <c r="BS92" i="53"/>
  <c r="V38" i="85" s="1"/>
  <c r="BJ85" i="53"/>
  <c r="BO80" i="53"/>
  <c r="CV71" i="53"/>
  <c r="CU57" i="53"/>
  <c r="CG53" i="53"/>
  <c r="BM52" i="53"/>
  <c r="CW50" i="53"/>
  <c r="CG49" i="53"/>
  <c r="CW46" i="53"/>
  <c r="CC45" i="53"/>
  <c r="BM44" i="53"/>
  <c r="CX42" i="53"/>
  <c r="BS39" i="53"/>
  <c r="CA33" i="53"/>
  <c r="BS32" i="53"/>
  <c r="BR31" i="53"/>
  <c r="BL28" i="53"/>
  <c r="BL27" i="53"/>
  <c r="BL26" i="53"/>
  <c r="BU22" i="53"/>
  <c r="BR20" i="53"/>
  <c r="CO19" i="53"/>
  <c r="BO16" i="53"/>
  <c r="BZ14" i="53"/>
  <c r="BU13" i="53"/>
  <c r="CM79" i="53"/>
  <c r="BU71" i="53"/>
  <c r="CM54" i="53"/>
  <c r="CI50" i="53"/>
  <c r="BO49" i="53"/>
  <c r="CE46" i="53"/>
  <c r="BO45" i="53"/>
  <c r="CX43" i="53"/>
  <c r="CH42" i="53"/>
  <c r="CA41" i="53"/>
  <c r="CN36" i="53"/>
  <c r="CG35" i="53"/>
  <c r="BV34" i="53"/>
  <c r="BO33" i="53"/>
  <c r="CX24" i="53"/>
  <c r="CT23" i="53"/>
  <c r="BT22" i="53"/>
  <c r="BQ20" i="53"/>
  <c r="CC19" i="53"/>
  <c r="CX16" i="53"/>
  <c r="BJ16" i="53"/>
  <c r="CC15" i="53"/>
  <c r="BY14" i="53"/>
  <c r="CS13" i="53"/>
  <c r="BT13" i="53"/>
  <c r="BK79" i="53"/>
  <c r="BO53" i="53"/>
  <c r="BN49" i="53"/>
  <c r="CX47" i="53"/>
  <c r="CC46" i="53"/>
  <c r="BN45" i="53"/>
  <c r="CT43" i="53"/>
  <c r="CG42" i="53"/>
  <c r="BX41" i="53"/>
  <c r="BO40" i="53"/>
  <c r="CU37" i="53"/>
  <c r="CM36" i="53"/>
  <c r="CF35" i="53"/>
  <c r="BU34" i="53"/>
  <c r="BN33" i="53"/>
  <c r="CW26" i="53"/>
  <c r="CV24" i="53"/>
  <c r="CS23" i="53"/>
  <c r="CU22" i="53"/>
  <c r="BS22" i="53"/>
  <c r="CQ20" i="53"/>
  <c r="CB19" i="53"/>
  <c r="CM16" i="53"/>
  <c r="CA15" i="53"/>
  <c r="CU14" i="53"/>
  <c r="CQ13" i="53"/>
  <c r="BL13" i="53"/>
  <c r="BX107" i="53"/>
  <c r="BR54" i="53"/>
  <c r="BQ50" i="53"/>
  <c r="CE47" i="53"/>
  <c r="CU44" i="53"/>
  <c r="CE43" i="53"/>
  <c r="BU42" i="53"/>
  <c r="BJ41" i="53"/>
  <c r="CI37" i="53"/>
  <c r="CB36" i="53"/>
  <c r="CX32" i="53"/>
  <c r="CS31" i="53"/>
  <c r="CS30" i="53"/>
  <c r="CO28" i="53"/>
  <c r="CH23" i="53"/>
  <c r="CT22" i="53"/>
  <c r="CP20" i="53"/>
  <c r="CA19" i="53"/>
  <c r="CL16" i="53"/>
  <c r="BZ15" i="53"/>
  <c r="CT14" i="53"/>
  <c r="BN14" i="53"/>
  <c r="CN13" i="53"/>
  <c r="BK13" i="53"/>
  <c r="BK153" i="62"/>
  <c r="BO147" i="62"/>
  <c r="AZ144" i="62"/>
  <c r="BN140" i="62"/>
  <c r="BN135" i="62"/>
  <c r="CA131" i="62"/>
  <c r="BE127" i="62"/>
  <c r="CC123" i="62"/>
  <c r="AY117" i="62"/>
  <c r="BK114" i="62"/>
  <c r="BG58" i="62"/>
  <c r="BD56" i="62"/>
  <c r="CC54" i="62"/>
  <c r="BM53" i="62"/>
  <c r="BV51" i="62"/>
  <c r="BS49" i="62"/>
  <c r="BL48" i="62"/>
  <c r="CB46" i="62"/>
  <c r="AY44" i="62"/>
  <c r="BN42" i="62"/>
  <c r="BE41" i="62"/>
  <c r="AX40" i="62"/>
  <c r="BY38" i="62"/>
  <c r="BL37" i="62"/>
  <c r="CC35" i="62"/>
  <c r="BM33" i="62"/>
  <c r="BW29" i="62"/>
  <c r="BW28" i="62"/>
  <c r="BK27" i="62"/>
  <c r="CD24" i="62"/>
  <c r="BW23" i="62"/>
  <c r="BF21" i="62"/>
  <c r="BU19" i="62"/>
  <c r="BE17" i="62"/>
  <c r="AW16" i="62"/>
  <c r="BO13" i="62"/>
  <c r="BV150" i="62"/>
  <c r="BP142" i="62"/>
  <c r="CD134" i="62"/>
  <c r="CD125" i="62"/>
  <c r="BM119" i="62"/>
  <c r="CB59" i="62"/>
  <c r="BW57" i="62"/>
  <c r="CA52" i="62"/>
  <c r="BL51" i="62"/>
  <c r="BW47" i="62"/>
  <c r="BE43" i="62"/>
  <c r="BW40" i="62"/>
  <c r="BE38" i="62"/>
  <c r="BM35" i="62"/>
  <c r="BW32" i="62"/>
  <c r="CC26" i="62"/>
  <c r="BO24" i="62"/>
  <c r="BU16" i="62"/>
  <c r="BE13" i="62"/>
  <c r="AW146" i="62"/>
  <c r="BA129" i="62"/>
  <c r="CC125" i="62"/>
  <c r="BL119" i="62"/>
  <c r="BP59" i="62"/>
  <c r="BP52" i="62"/>
  <c r="BV47" i="62"/>
  <c r="CC41" i="62"/>
  <c r="BW36" i="62"/>
  <c r="AY29" i="62"/>
  <c r="AX152" i="62"/>
  <c r="BH147" i="62"/>
  <c r="BZ143" i="62"/>
  <c r="BE139" i="62"/>
  <c r="AY135" i="62"/>
  <c r="BG130" i="62"/>
  <c r="BZ123" i="62"/>
  <c r="BS119" i="62"/>
  <c r="AX117" i="62"/>
  <c r="BE111" i="62"/>
  <c r="CD57" i="62"/>
  <c r="BW55" i="62"/>
  <c r="BU54" i="62"/>
  <c r="AW53" i="62"/>
  <c r="BU51" i="62"/>
  <c r="BR49" i="62"/>
  <c r="BK48" i="62"/>
  <c r="BN46" i="62"/>
  <c r="BV43" i="62"/>
  <c r="BM42" i="62"/>
  <c r="BD41" i="62"/>
  <c r="AW40" i="62"/>
  <c r="BS38" i="62"/>
  <c r="BF37" i="62"/>
  <c r="CB35" i="62"/>
  <c r="BK33" i="62"/>
  <c r="BV29" i="62"/>
  <c r="BO28" i="62"/>
  <c r="AW27" i="62"/>
  <c r="CC24" i="62"/>
  <c r="BV23" i="62"/>
  <c r="BE21" i="62"/>
  <c r="BT19" i="62"/>
  <c r="BD17" i="62"/>
  <c r="BY14" i="62"/>
  <c r="BN13" i="62"/>
  <c r="BF146" i="62"/>
  <c r="BL138" i="62"/>
  <c r="BE130" i="62"/>
  <c r="BR122" i="62"/>
  <c r="BY116" i="62"/>
  <c r="BY112" i="62"/>
  <c r="BP55" i="62"/>
  <c r="BI54" i="62"/>
  <c r="BD49" i="62"/>
  <c r="BL46" i="62"/>
  <c r="AW42" i="62"/>
  <c r="BO39" i="62"/>
  <c r="BY36" i="62"/>
  <c r="BM29" i="62"/>
  <c r="BB28" i="62"/>
  <c r="BR23" i="62"/>
  <c r="CB20" i="62"/>
  <c r="BM14" i="62"/>
  <c r="BV149" i="62"/>
  <c r="BA142" i="62"/>
  <c r="BW133" i="62"/>
  <c r="BH122" i="62"/>
  <c r="BB57" i="62"/>
  <c r="BK55" i="62"/>
  <c r="CD48" i="62"/>
  <c r="BD43" i="62"/>
  <c r="BN39" i="62"/>
  <c r="BL35" i="62"/>
  <c r="BE151" i="62"/>
  <c r="BG147" i="62"/>
  <c r="BV138" i="62"/>
  <c r="AX135" i="62"/>
  <c r="BF130" i="62"/>
  <c r="AW127" i="62"/>
  <c r="AX123" i="62"/>
  <c r="BN119" i="62"/>
  <c r="BZ116" i="62"/>
  <c r="BY113" i="62"/>
  <c r="CC59" i="62"/>
  <c r="CA57" i="62"/>
  <c r="BV55" i="62"/>
  <c r="BM54" i="62"/>
  <c r="CB52" i="62"/>
  <c r="BT51" i="62"/>
  <c r="BE49" i="62"/>
  <c r="BE48" i="62"/>
  <c r="BM46" i="62"/>
  <c r="BU43" i="62"/>
  <c r="AX42" i="62"/>
  <c r="BA41" i="62"/>
  <c r="CA39" i="62"/>
  <c r="BM38" i="62"/>
  <c r="BA37" i="62"/>
  <c r="BO35" i="62"/>
  <c r="AW33" i="62"/>
  <c r="BN29" i="62"/>
  <c r="BG28" i="62"/>
  <c r="CD26" i="62"/>
  <c r="CB24" i="62"/>
  <c r="BS23" i="62"/>
  <c r="BD21" i="62"/>
  <c r="BG19" i="62"/>
  <c r="BB17" i="62"/>
  <c r="BU14" i="62"/>
  <c r="BF13" i="62"/>
  <c r="BF19" i="62"/>
  <c r="BR115" i="62"/>
  <c r="BB54" i="62"/>
  <c r="BF51" i="62"/>
  <c r="BK46" i="62"/>
  <c r="BU40" i="62"/>
  <c r="AW38" i="62"/>
  <c r="BV32" i="62"/>
  <c r="BL16" i="62"/>
  <c r="BO20" i="62"/>
  <c r="BM24" i="62"/>
  <c r="BU27" i="62"/>
  <c r="BR33" i="62"/>
  <c r="CD37" i="62"/>
  <c r="BP41" i="62"/>
  <c r="BB47" i="62"/>
  <c r="AW51" i="62"/>
  <c r="AX55" i="62"/>
  <c r="CB111" i="62"/>
  <c r="BK118" i="62"/>
  <c r="BY128" i="62"/>
  <c r="BP140" i="62"/>
  <c r="BT149" i="62"/>
  <c r="BD13" i="62"/>
  <c r="BO16" i="62"/>
  <c r="BP20" i="62"/>
  <c r="BN24" i="62"/>
  <c r="BZ27" i="62"/>
  <c r="CC33" i="62"/>
  <c r="BZ38" i="62"/>
  <c r="BT41" i="62"/>
  <c r="BH47" i="62"/>
  <c r="BW51" i="62"/>
  <c r="AY55" i="62"/>
  <c r="CC111" i="62"/>
  <c r="AX121" i="62"/>
  <c r="BZ128" i="62"/>
  <c r="BU140" i="62"/>
  <c r="CB153" i="62"/>
  <c r="CC13" i="62"/>
  <c r="BH17" i="62"/>
  <c r="BV21" i="62"/>
  <c r="BA26" i="62"/>
  <c r="CA28" i="62"/>
  <c r="BD35" i="62"/>
  <c r="BB39" i="62"/>
  <c r="BO42" i="62"/>
  <c r="BS47" i="62"/>
  <c r="BG52" i="62"/>
  <c r="BE56" i="62"/>
  <c r="BT112" i="62"/>
  <c r="AY121" i="62"/>
  <c r="CB131" i="62"/>
  <c r="BW141" i="62"/>
  <c r="CD153" i="62"/>
  <c r="CC153" i="62"/>
  <c r="BU153" i="62"/>
  <c r="BM153" i="62"/>
  <c r="BE153" i="62"/>
  <c r="AW153" i="62"/>
  <c r="BW152" i="62"/>
  <c r="BO152" i="62"/>
  <c r="BG152" i="62"/>
  <c r="AY152" i="62"/>
  <c r="BY151" i="62"/>
  <c r="BI151" i="62"/>
  <c r="BA151" i="62"/>
  <c r="CA150" i="62"/>
  <c r="BS150" i="62"/>
  <c r="BK150" i="62"/>
  <c r="CC149" i="62"/>
  <c r="BU149" i="62"/>
  <c r="BM149" i="62"/>
  <c r="BE149" i="62"/>
  <c r="AW149" i="62"/>
  <c r="BW148" i="62"/>
  <c r="BO148" i="62"/>
  <c r="BG148" i="62"/>
  <c r="AY148" i="62"/>
  <c r="BY147" i="62"/>
  <c r="BI147" i="62"/>
  <c r="BA147" i="62"/>
  <c r="CA146" i="62"/>
  <c r="BS146" i="62"/>
  <c r="BK146" i="62"/>
  <c r="CC145" i="62"/>
  <c r="BU145" i="62"/>
  <c r="BM145" i="62"/>
  <c r="BE145" i="62"/>
  <c r="AW145" i="62"/>
  <c r="BW144" i="62"/>
  <c r="BO144" i="62"/>
  <c r="BG144" i="62"/>
  <c r="AY144" i="62"/>
  <c r="BY143" i="62"/>
  <c r="BI143" i="62"/>
  <c r="BA143" i="62"/>
  <c r="CA142" i="62"/>
  <c r="BS142" i="62"/>
  <c r="BK142" i="62"/>
  <c r="CC141" i="62"/>
  <c r="BU141" i="62"/>
  <c r="BM141" i="62"/>
  <c r="BE141" i="62"/>
  <c r="AW141" i="62"/>
  <c r="BW140" i="62"/>
  <c r="BO140" i="62"/>
  <c r="BG140" i="62"/>
  <c r="AY140" i="62"/>
  <c r="BY139" i="62"/>
  <c r="BI139" i="62"/>
  <c r="BA139" i="62"/>
  <c r="CA138" i="62"/>
  <c r="BS138" i="62"/>
  <c r="BK138" i="62"/>
  <c r="CC137" i="62"/>
  <c r="BU137" i="62"/>
  <c r="BM137" i="62"/>
  <c r="BE137" i="62"/>
  <c r="AW137" i="62"/>
  <c r="BW136" i="62"/>
  <c r="BO136" i="62"/>
  <c r="BG136" i="62"/>
  <c r="AY136" i="62"/>
  <c r="BY135" i="62"/>
  <c r="BI135" i="62"/>
  <c r="BA135" i="62"/>
  <c r="CA134" i="62"/>
  <c r="BS134" i="62"/>
  <c r="BK134" i="62"/>
  <c r="CC133" i="62"/>
  <c r="BU133" i="62"/>
  <c r="BY153" i="62"/>
  <c r="BP153" i="62"/>
  <c r="BG153" i="62"/>
  <c r="AX153" i="62"/>
  <c r="BV152" i="62"/>
  <c r="BM152" i="62"/>
  <c r="BD152" i="62"/>
  <c r="CC151" i="62"/>
  <c r="BT151" i="62"/>
  <c r="BK151" i="62"/>
  <c r="BB151" i="62"/>
  <c r="BZ150" i="62"/>
  <c r="BH150" i="62"/>
  <c r="AY150" i="62"/>
  <c r="BO149" i="62"/>
  <c r="BF149" i="62"/>
  <c r="CD148" i="62"/>
  <c r="BU148" i="62"/>
  <c r="BL148" i="62"/>
  <c r="CB147" i="62"/>
  <c r="BS147" i="62"/>
  <c r="AZ147" i="62"/>
  <c r="BY146" i="62"/>
  <c r="BP146" i="62"/>
  <c r="BG146" i="62"/>
  <c r="AX146" i="62"/>
  <c r="BW145" i="62"/>
  <c r="BN145" i="62"/>
  <c r="BD145" i="62"/>
  <c r="CC144" i="62"/>
  <c r="BT144" i="62"/>
  <c r="BK144" i="62"/>
  <c r="BB144" i="62"/>
  <c r="CA143" i="62"/>
  <c r="BR143" i="62"/>
  <c r="BH143" i="62"/>
  <c r="AY143" i="62"/>
  <c r="BO142" i="62"/>
  <c r="BF142" i="62"/>
  <c r="AW142" i="62"/>
  <c r="BV141" i="62"/>
  <c r="BL141" i="62"/>
  <c r="CB140" i="62"/>
  <c r="BS140" i="62"/>
  <c r="BA140" i="62"/>
  <c r="BZ139" i="62"/>
  <c r="BP139" i="62"/>
  <c r="BG139" i="62"/>
  <c r="AX139" i="62"/>
  <c r="BW138" i="62"/>
  <c r="BN138" i="62"/>
  <c r="BE138" i="62"/>
  <c r="CD137" i="62"/>
  <c r="BT137" i="62"/>
  <c r="BK137" i="62"/>
  <c r="BB137" i="62"/>
  <c r="CA136" i="62"/>
  <c r="BR136" i="62"/>
  <c r="BI136" i="62"/>
  <c r="AZ136" i="62"/>
  <c r="BO135" i="62"/>
  <c r="BF135" i="62"/>
  <c r="AW135" i="62"/>
  <c r="BV134" i="62"/>
  <c r="BM134" i="62"/>
  <c r="BD134" i="62"/>
  <c r="CB133" i="62"/>
  <c r="BS133" i="62"/>
  <c r="BK133" i="62"/>
  <c r="BW131" i="62"/>
  <c r="BO131" i="62"/>
  <c r="BG131" i="62"/>
  <c r="AY131" i="62"/>
  <c r="BY130" i="62"/>
  <c r="BI130" i="62"/>
  <c r="BA130" i="62"/>
  <c r="CA129" i="62"/>
  <c r="BS129" i="62"/>
  <c r="BK129" i="62"/>
  <c r="CC128" i="62"/>
  <c r="BU128" i="62"/>
  <c r="BM128" i="62"/>
  <c r="BE128" i="62"/>
  <c r="AW128" i="62"/>
  <c r="BW127" i="62"/>
  <c r="BO127" i="62"/>
  <c r="BG127" i="62"/>
  <c r="AY127" i="62"/>
  <c r="BY126" i="62"/>
  <c r="BI126" i="62"/>
  <c r="BA126" i="62"/>
  <c r="CA125" i="62"/>
  <c r="BS125" i="62"/>
  <c r="BK125" i="62"/>
  <c r="CC124" i="62"/>
  <c r="BU124" i="62"/>
  <c r="BM124" i="62"/>
  <c r="BE124" i="62"/>
  <c r="AW124" i="62"/>
  <c r="BW123" i="62"/>
  <c r="BO123" i="62"/>
  <c r="BG123" i="62"/>
  <c r="AY123" i="62"/>
  <c r="BY122" i="62"/>
  <c r="BI122" i="62"/>
  <c r="BA122" i="62"/>
  <c r="CA121" i="62"/>
  <c r="BS121" i="62"/>
  <c r="BK121" i="62"/>
  <c r="CC120" i="62"/>
  <c r="BU120" i="62"/>
  <c r="BM120" i="62"/>
  <c r="BE120" i="62"/>
  <c r="AW120" i="62"/>
  <c r="BW119" i="62"/>
  <c r="BO119" i="62"/>
  <c r="BG119" i="62"/>
  <c r="AY119" i="62"/>
  <c r="BY118" i="62"/>
  <c r="BI118" i="62"/>
  <c r="BA118" i="62"/>
  <c r="CA117" i="62"/>
  <c r="BS117" i="62"/>
  <c r="BK117" i="62"/>
  <c r="CC116" i="62"/>
  <c r="BU116" i="62"/>
  <c r="BM116" i="62"/>
  <c r="BE116" i="62"/>
  <c r="AW116" i="62"/>
  <c r="BW115" i="62"/>
  <c r="BO115" i="62"/>
  <c r="BG115" i="62"/>
  <c r="AY115" i="62"/>
  <c r="BY114" i="62"/>
  <c r="BI114" i="62"/>
  <c r="BA114" i="62"/>
  <c r="CA113" i="62"/>
  <c r="BS113" i="62"/>
  <c r="BK113" i="62"/>
  <c r="CC112" i="62"/>
  <c r="BU112" i="62"/>
  <c r="BM112" i="62"/>
  <c r="BE112" i="62"/>
  <c r="AW112" i="62"/>
  <c r="BW111" i="62"/>
  <c r="BO111" i="62"/>
  <c r="BG111" i="62"/>
  <c r="AY111" i="62"/>
  <c r="BO153" i="62"/>
  <c r="BF153" i="62"/>
  <c r="CD152" i="62"/>
  <c r="BU152" i="62"/>
  <c r="BL152" i="62"/>
  <c r="CB151" i="62"/>
  <c r="BS151" i="62"/>
  <c r="AZ151" i="62"/>
  <c r="BY150" i="62"/>
  <c r="BT153" i="62"/>
  <c r="BI153" i="62"/>
  <c r="CC152" i="62"/>
  <c r="BR152" i="62"/>
  <c r="BF152" i="62"/>
  <c r="CA151" i="62"/>
  <c r="BO151" i="62"/>
  <c r="BD151" i="62"/>
  <c r="BN150" i="62"/>
  <c r="BD150" i="62"/>
  <c r="CA149" i="62"/>
  <c r="BG149" i="62"/>
  <c r="CC148" i="62"/>
  <c r="BS148" i="62"/>
  <c r="BI148" i="62"/>
  <c r="AX148" i="62"/>
  <c r="BV147" i="62"/>
  <c r="BL147" i="62"/>
  <c r="BB147" i="62"/>
  <c r="BN146" i="62"/>
  <c r="BD146" i="62"/>
  <c r="CA145" i="62"/>
  <c r="BG145" i="62"/>
  <c r="CD144" i="62"/>
  <c r="BS144" i="62"/>
  <c r="BI144" i="62"/>
  <c r="AX144" i="62"/>
  <c r="BV143" i="62"/>
  <c r="BL143" i="62"/>
  <c r="BB143" i="62"/>
  <c r="BY142" i="62"/>
  <c r="BN142" i="62"/>
  <c r="BD142" i="62"/>
  <c r="CA141" i="62"/>
  <c r="BG141" i="62"/>
  <c r="CD140" i="62"/>
  <c r="BT140" i="62"/>
  <c r="BI140" i="62"/>
  <c r="AX140" i="62"/>
  <c r="BV139" i="62"/>
  <c r="BL139" i="62"/>
  <c r="BB139" i="62"/>
  <c r="BY138" i="62"/>
  <c r="BO138" i="62"/>
  <c r="BD138" i="62"/>
  <c r="CA137" i="62"/>
  <c r="BG137" i="62"/>
  <c r="CD136" i="62"/>
  <c r="BT136" i="62"/>
  <c r="AX136" i="62"/>
  <c r="BV135" i="62"/>
  <c r="BL135" i="62"/>
  <c r="BB135" i="62"/>
  <c r="BY134" i="62"/>
  <c r="BO134" i="62"/>
  <c r="BE134" i="62"/>
  <c r="CA133" i="62"/>
  <c r="BH133" i="62"/>
  <c r="AY133" i="62"/>
  <c r="CD131" i="62"/>
  <c r="BU131" i="62"/>
  <c r="BL131" i="62"/>
  <c r="CB130" i="62"/>
  <c r="BS130" i="62"/>
  <c r="AZ130" i="62"/>
  <c r="BY129" i="62"/>
  <c r="BP129" i="62"/>
  <c r="BG129" i="62"/>
  <c r="AX129" i="62"/>
  <c r="BW128" i="62"/>
  <c r="BN128" i="62"/>
  <c r="BD128" i="62"/>
  <c r="CC127" i="62"/>
  <c r="BT127" i="62"/>
  <c r="BK127" i="62"/>
  <c r="BB127" i="62"/>
  <c r="CA126" i="62"/>
  <c r="BR126" i="62"/>
  <c r="BH126" i="62"/>
  <c r="AY126" i="62"/>
  <c r="BO125" i="62"/>
  <c r="BF125" i="62"/>
  <c r="AW125" i="62"/>
  <c r="BV124" i="62"/>
  <c r="BL124" i="62"/>
  <c r="CB123" i="62"/>
  <c r="BS123" i="62"/>
  <c r="BA123" i="62"/>
  <c r="BZ122" i="62"/>
  <c r="BP122" i="62"/>
  <c r="BG122" i="62"/>
  <c r="AX122" i="62"/>
  <c r="BW121" i="62"/>
  <c r="BN121" i="62"/>
  <c r="BE121" i="62"/>
  <c r="CD120" i="62"/>
  <c r="BT120" i="62"/>
  <c r="BK120" i="62"/>
  <c r="BB120" i="62"/>
  <c r="CA119" i="62"/>
  <c r="BR119" i="62"/>
  <c r="BI119" i="62"/>
  <c r="AZ119" i="62"/>
  <c r="BO118" i="62"/>
  <c r="BF118" i="62"/>
  <c r="AW118" i="62"/>
  <c r="BV117" i="62"/>
  <c r="BM117" i="62"/>
  <c r="BD117" i="62"/>
  <c r="CB116" i="62"/>
  <c r="BS116" i="62"/>
  <c r="BA116" i="62"/>
  <c r="BZ115" i="62"/>
  <c r="BH115" i="62"/>
  <c r="AX115" i="62"/>
  <c r="BW114" i="62"/>
  <c r="BN114" i="62"/>
  <c r="BE114" i="62"/>
  <c r="CD113" i="62"/>
  <c r="BU113" i="62"/>
  <c r="BL113" i="62"/>
  <c r="BB113" i="62"/>
  <c r="CA112" i="62"/>
  <c r="BR112" i="62"/>
  <c r="BI112" i="62"/>
  <c r="AZ112" i="62"/>
  <c r="BY111" i="62"/>
  <c r="BP111" i="62"/>
  <c r="BF111" i="62"/>
  <c r="AW111" i="62"/>
  <c r="BS153" i="62"/>
  <c r="BH153" i="62"/>
  <c r="CB152" i="62"/>
  <c r="BE152" i="62"/>
  <c r="BZ151" i="62"/>
  <c r="BN151" i="62"/>
  <c r="BW150" i="62"/>
  <c r="BM150" i="62"/>
  <c r="BB150" i="62"/>
  <c r="BZ149" i="62"/>
  <c r="BP149" i="62"/>
  <c r="BD149" i="62"/>
  <c r="CB148" i="62"/>
  <c r="BR148" i="62"/>
  <c r="BH148" i="62"/>
  <c r="AW148" i="62"/>
  <c r="BU147" i="62"/>
  <c r="BK147" i="62"/>
  <c r="AY147" i="62"/>
  <c r="BW146" i="62"/>
  <c r="BM146" i="62"/>
  <c r="BB146" i="62"/>
  <c r="BZ145" i="62"/>
  <c r="BP145" i="62"/>
  <c r="BF145" i="62"/>
  <c r="CB144" i="62"/>
  <c r="BR144" i="62"/>
  <c r="BH144" i="62"/>
  <c r="AW144" i="62"/>
  <c r="BU143" i="62"/>
  <c r="BK143" i="62"/>
  <c r="AZ143" i="62"/>
  <c r="BW142" i="62"/>
  <c r="BM142" i="62"/>
  <c r="BB142" i="62"/>
  <c r="BZ141" i="62"/>
  <c r="BP141" i="62"/>
  <c r="BF141" i="62"/>
  <c r="CC140" i="62"/>
  <c r="BR140" i="62"/>
  <c r="BH140" i="62"/>
  <c r="AW140" i="62"/>
  <c r="BU139" i="62"/>
  <c r="BK139" i="62"/>
  <c r="AZ139" i="62"/>
  <c r="BM138" i="62"/>
  <c r="BB138" i="62"/>
  <c r="BZ137" i="62"/>
  <c r="BP137" i="62"/>
  <c r="BF137" i="62"/>
  <c r="CC136" i="62"/>
  <c r="BS136" i="62"/>
  <c r="BH136" i="62"/>
  <c r="AW136" i="62"/>
  <c r="BU135" i="62"/>
  <c r="BK135" i="62"/>
  <c r="AZ135" i="62"/>
  <c r="BN134" i="62"/>
  <c r="BB134" i="62"/>
  <c r="BZ133" i="62"/>
  <c r="BP133" i="62"/>
  <c r="BG133" i="62"/>
  <c r="AX133" i="62"/>
  <c r="CC131" i="62"/>
  <c r="BT131" i="62"/>
  <c r="BK131" i="62"/>
  <c r="BB131" i="62"/>
  <c r="CA130" i="62"/>
  <c r="BR130" i="62"/>
  <c r="BH130" i="62"/>
  <c r="AY130" i="62"/>
  <c r="BO129" i="62"/>
  <c r="BF129" i="62"/>
  <c r="AW129" i="62"/>
  <c r="BV128" i="62"/>
  <c r="BL128" i="62"/>
  <c r="CB127" i="62"/>
  <c r="BS127" i="62"/>
  <c r="BA127" i="62"/>
  <c r="BZ126" i="62"/>
  <c r="BP126" i="62"/>
  <c r="BG126" i="62"/>
  <c r="AX126" i="62"/>
  <c r="BW125" i="62"/>
  <c r="BN125" i="62"/>
  <c r="BE125" i="62"/>
  <c r="CD124" i="62"/>
  <c r="BT124" i="62"/>
  <c r="BK124" i="62"/>
  <c r="BB124" i="62"/>
  <c r="CA123" i="62"/>
  <c r="BR123" i="62"/>
  <c r="BI123" i="62"/>
  <c r="AZ123" i="62"/>
  <c r="BO122" i="62"/>
  <c r="BF122" i="62"/>
  <c r="AW122" i="62"/>
  <c r="BV121" i="62"/>
  <c r="BM121" i="62"/>
  <c r="BD121" i="62"/>
  <c r="CB120" i="62"/>
  <c r="BS120" i="62"/>
  <c r="BA120" i="62"/>
  <c r="BW153" i="62"/>
  <c r="BD153" i="62"/>
  <c r="BY152" i="62"/>
  <c r="BI152" i="62"/>
  <c r="BH151" i="62"/>
  <c r="CC150" i="62"/>
  <c r="BL150" i="62"/>
  <c r="AX150" i="62"/>
  <c r="BS149" i="62"/>
  <c r="BY148" i="62"/>
  <c r="BK148" i="62"/>
  <c r="CD147" i="62"/>
  <c r="BP147" i="62"/>
  <c r="BD147" i="62"/>
  <c r="BV146" i="62"/>
  <c r="BI146" i="62"/>
  <c r="CD145" i="62"/>
  <c r="BO145" i="62"/>
  <c r="BA145" i="62"/>
  <c r="BV144" i="62"/>
  <c r="BF144" i="62"/>
  <c r="CB143" i="62"/>
  <c r="BN143" i="62"/>
  <c r="AX143" i="62"/>
  <c r="BT142" i="62"/>
  <c r="BG142" i="62"/>
  <c r="BY141" i="62"/>
  <c r="BK141" i="62"/>
  <c r="AY141" i="62"/>
  <c r="BD140" i="62"/>
  <c r="CD138" i="62"/>
  <c r="BA138" i="62"/>
  <c r="BW137" i="62"/>
  <c r="BI137" i="62"/>
  <c r="CB136" i="62"/>
  <c r="BN136" i="62"/>
  <c r="BB136" i="62"/>
  <c r="BT135" i="62"/>
  <c r="BG135" i="62"/>
  <c r="CB134" i="62"/>
  <c r="BL134" i="62"/>
  <c r="AY134" i="62"/>
  <c r="BT133" i="62"/>
  <c r="BF133" i="62"/>
  <c r="BZ131" i="62"/>
  <c r="BN131" i="62"/>
  <c r="BA131" i="62"/>
  <c r="BW130" i="62"/>
  <c r="BL130" i="62"/>
  <c r="AX130" i="62"/>
  <c r="BU129" i="62"/>
  <c r="BI129" i="62"/>
  <c r="CD128" i="62"/>
  <c r="BR128" i="62"/>
  <c r="BG128" i="62"/>
  <c r="CA127" i="62"/>
  <c r="BP127" i="62"/>
  <c r="BD127" i="62"/>
  <c r="BM126" i="62"/>
  <c r="BB126" i="62"/>
  <c r="BV125" i="62"/>
  <c r="AY125" i="62"/>
  <c r="BS124" i="62"/>
  <c r="BH124" i="62"/>
  <c r="CD123" i="62"/>
  <c r="BE123" i="62"/>
  <c r="CB122" i="62"/>
  <c r="BN122" i="62"/>
  <c r="BY121" i="62"/>
  <c r="BL121" i="62"/>
  <c r="AZ121" i="62"/>
  <c r="BW120" i="62"/>
  <c r="BI120" i="62"/>
  <c r="AX120" i="62"/>
  <c r="BU119" i="62"/>
  <c r="BK119" i="62"/>
  <c r="BA119" i="62"/>
  <c r="BW118" i="62"/>
  <c r="BM118" i="62"/>
  <c r="BZ117" i="62"/>
  <c r="BP117" i="62"/>
  <c r="BF117" i="62"/>
  <c r="CD116" i="62"/>
  <c r="BR116" i="62"/>
  <c r="BH116" i="62"/>
  <c r="AX116" i="62"/>
  <c r="BU115" i="62"/>
  <c r="BK115" i="62"/>
  <c r="BA115" i="62"/>
  <c r="BM114" i="62"/>
  <c r="BZ113" i="62"/>
  <c r="BP113" i="62"/>
  <c r="BF113" i="62"/>
  <c r="CD112" i="62"/>
  <c r="BS112" i="62"/>
  <c r="BH112" i="62"/>
  <c r="AX112" i="62"/>
  <c r="BU111" i="62"/>
  <c r="BK111" i="62"/>
  <c r="BA111" i="62"/>
  <c r="BV153" i="62"/>
  <c r="BH152" i="62"/>
  <c r="BW151" i="62"/>
  <c r="BG151" i="62"/>
  <c r="CB150" i="62"/>
  <c r="AW150" i="62"/>
  <c r="BN153" i="62"/>
  <c r="CA152" i="62"/>
  <c r="BB152" i="62"/>
  <c r="BR151" i="62"/>
  <c r="AW151" i="62"/>
  <c r="BI150" i="62"/>
  <c r="BY149" i="62"/>
  <c r="CA148" i="62"/>
  <c r="BM148" i="62"/>
  <c r="CC147" i="62"/>
  <c r="BN147" i="62"/>
  <c r="AW147" i="62"/>
  <c r="AZ146" i="62"/>
  <c r="BS145" i="62"/>
  <c r="BB145" i="62"/>
  <c r="BU144" i="62"/>
  <c r="BD144" i="62"/>
  <c r="BW143" i="62"/>
  <c r="BF143" i="62"/>
  <c r="BZ142" i="62"/>
  <c r="BI142" i="62"/>
  <c r="CB141" i="62"/>
  <c r="CA140" i="62"/>
  <c r="BM140" i="62"/>
  <c r="CD139" i="62"/>
  <c r="BO139" i="62"/>
  <c r="AY139" i="62"/>
  <c r="BR138" i="62"/>
  <c r="AZ138" i="62"/>
  <c r="BS137" i="62"/>
  <c r="BV136" i="62"/>
  <c r="BE136" i="62"/>
  <c r="BZ135" i="62"/>
  <c r="BH135" i="62"/>
  <c r="BZ134" i="62"/>
  <c r="BI134" i="62"/>
  <c r="CD133" i="62"/>
  <c r="BM133" i="62"/>
  <c r="AZ133" i="62"/>
  <c r="BY131" i="62"/>
  <c r="AW131" i="62"/>
  <c r="BP130" i="62"/>
  <c r="BD130" i="62"/>
  <c r="BW129" i="62"/>
  <c r="CB128" i="62"/>
  <c r="BP128" i="62"/>
  <c r="BA128" i="62"/>
  <c r="BV127" i="62"/>
  <c r="BH127" i="62"/>
  <c r="CC126" i="62"/>
  <c r="BN126" i="62"/>
  <c r="AZ126" i="62"/>
  <c r="BT125" i="62"/>
  <c r="BG125" i="62"/>
  <c r="BZ124" i="62"/>
  <c r="BN124" i="62"/>
  <c r="AY124" i="62"/>
  <c r="BT123" i="62"/>
  <c r="BD123" i="62"/>
  <c r="BW122" i="62"/>
  <c r="BK122" i="62"/>
  <c r="CD121" i="62"/>
  <c r="BB121" i="62"/>
  <c r="BH120" i="62"/>
  <c r="CC119" i="62"/>
  <c r="BE119" i="62"/>
  <c r="CB118" i="62"/>
  <c r="BP118" i="62"/>
  <c r="BD118" i="62"/>
  <c r="BY117" i="62"/>
  <c r="BN117" i="62"/>
  <c r="BA117" i="62"/>
  <c r="BL116" i="62"/>
  <c r="AZ116" i="62"/>
  <c r="BV115" i="62"/>
  <c r="AW115" i="62"/>
  <c r="BT114" i="62"/>
  <c r="BH114" i="62"/>
  <c r="AW114" i="62"/>
  <c r="BR113" i="62"/>
  <c r="BG113" i="62"/>
  <c r="CB112" i="62"/>
  <c r="BP112" i="62"/>
  <c r="BD112" i="62"/>
  <c r="CA111" i="62"/>
  <c r="BN111" i="62"/>
  <c r="CA59" i="62"/>
  <c r="BS59" i="62"/>
  <c r="BK59" i="62"/>
  <c r="CD58" i="62"/>
  <c r="BV58" i="62"/>
  <c r="BN58" i="62"/>
  <c r="BF58" i="62"/>
  <c r="AX58" i="62"/>
  <c r="BY57" i="62"/>
  <c r="BI57" i="62"/>
  <c r="BA57" i="62"/>
  <c r="CB56" i="62"/>
  <c r="BT56" i="62"/>
  <c r="BL56" i="62"/>
  <c r="BL153" i="62"/>
  <c r="BZ152" i="62"/>
  <c r="BA152" i="62"/>
  <c r="BP151" i="62"/>
  <c r="CD150" i="62"/>
  <c r="BG150" i="62"/>
  <c r="BW149" i="62"/>
  <c r="BI149" i="62"/>
  <c r="BZ148" i="62"/>
  <c r="CA147" i="62"/>
  <c r="BM147" i="62"/>
  <c r="CD146" i="62"/>
  <c r="BO146" i="62"/>
  <c r="AY146" i="62"/>
  <c r="BR145" i="62"/>
  <c r="AZ145" i="62"/>
  <c r="BT143" i="62"/>
  <c r="BE143" i="62"/>
  <c r="BV142" i="62"/>
  <c r="BH142" i="62"/>
  <c r="BI141" i="62"/>
  <c r="BZ140" i="62"/>
  <c r="BL140" i="62"/>
  <c r="CC139" i="62"/>
  <c r="BN139" i="62"/>
  <c r="AW139" i="62"/>
  <c r="BP138" i="62"/>
  <c r="AY138" i="62"/>
  <c r="BR137" i="62"/>
  <c r="BA137" i="62"/>
  <c r="BU136" i="62"/>
  <c r="BD136" i="62"/>
  <c r="BW135" i="62"/>
  <c r="BE135" i="62"/>
  <c r="BW134" i="62"/>
  <c r="BH134" i="62"/>
  <c r="BY133" i="62"/>
  <c r="BL133" i="62"/>
  <c r="AW133" i="62"/>
  <c r="BI131" i="62"/>
  <c r="CD130" i="62"/>
  <c r="BO130" i="62"/>
  <c r="BV129" i="62"/>
  <c r="BH129" i="62"/>
  <c r="CA128" i="62"/>
  <c r="BO128" i="62"/>
  <c r="AZ128" i="62"/>
  <c r="BU127" i="62"/>
  <c r="BF127" i="62"/>
  <c r="CB126" i="62"/>
  <c r="BL126" i="62"/>
  <c r="AW126" i="62"/>
  <c r="BR125" i="62"/>
  <c r="BD125" i="62"/>
  <c r="BY124" i="62"/>
  <c r="AX124" i="62"/>
  <c r="BP123" i="62"/>
  <c r="BV122" i="62"/>
  <c r="CC121" i="62"/>
  <c r="BP121" i="62"/>
  <c r="BA121" i="62"/>
  <c r="BV120" i="62"/>
  <c r="BG120" i="62"/>
  <c r="CB119" i="62"/>
  <c r="BP119" i="62"/>
  <c r="BD119" i="62"/>
  <c r="CA118" i="62"/>
  <c r="BN118" i="62"/>
  <c r="BB118" i="62"/>
  <c r="BL117" i="62"/>
  <c r="AZ117" i="62"/>
  <c r="BW116" i="62"/>
  <c r="BK116" i="62"/>
  <c r="AY116" i="62"/>
  <c r="BT115" i="62"/>
  <c r="BI115" i="62"/>
  <c r="CD114" i="62"/>
  <c r="BS114" i="62"/>
  <c r="BG114" i="62"/>
  <c r="CC113" i="62"/>
  <c r="BE113" i="62"/>
  <c r="BZ112" i="62"/>
  <c r="BO112" i="62"/>
  <c r="BZ111" i="62"/>
  <c r="BM111" i="62"/>
  <c r="BB111" i="62"/>
  <c r="BZ59" i="62"/>
  <c r="BR59" i="62"/>
  <c r="BB59" i="62"/>
  <c r="CC58" i="62"/>
  <c r="BU58" i="62"/>
  <c r="BM58" i="62"/>
  <c r="BE58" i="62"/>
  <c r="AW58" i="62"/>
  <c r="BP57" i="62"/>
  <c r="BH57" i="62"/>
  <c r="AZ57" i="62"/>
  <c r="CA56" i="62"/>
  <c r="BS56" i="62"/>
  <c r="BK56" i="62"/>
  <c r="BR153" i="62"/>
  <c r="BT152" i="62"/>
  <c r="AW152" i="62"/>
  <c r="AY151" i="62"/>
  <c r="BF150" i="62"/>
  <c r="BR149" i="62"/>
  <c r="AY149" i="62"/>
  <c r="BF148" i="62"/>
  <c r="BW147" i="62"/>
  <c r="BL146" i="62"/>
  <c r="BY145" i="62"/>
  <c r="BH145" i="62"/>
  <c r="BP144" i="62"/>
  <c r="CD143" i="62"/>
  <c r="BU142" i="62"/>
  <c r="AZ142" i="62"/>
  <c r="BO141" i="62"/>
  <c r="BY140" i="62"/>
  <c r="BE140" i="62"/>
  <c r="BS139" i="62"/>
  <c r="CC138" i="62"/>
  <c r="BI138" i="62"/>
  <c r="AZ137" i="62"/>
  <c r="BM136" i="62"/>
  <c r="CB135" i="62"/>
  <c r="BD135" i="62"/>
  <c r="BR134" i="62"/>
  <c r="AX134" i="62"/>
  <c r="BV131" i="62"/>
  <c r="BE131" i="62"/>
  <c r="BU130" i="62"/>
  <c r="BB130" i="62"/>
  <c r="AZ129" i="62"/>
  <c r="BK128" i="62"/>
  <c r="CD127" i="62"/>
  <c r="BL127" i="62"/>
  <c r="BW126" i="62"/>
  <c r="BF126" i="62"/>
  <c r="BY125" i="62"/>
  <c r="BB125" i="62"/>
  <c r="BR124" i="62"/>
  <c r="BA124" i="62"/>
  <c r="BN123" i="62"/>
  <c r="AW123" i="62"/>
  <c r="BM122" i="62"/>
  <c r="CB121" i="62"/>
  <c r="BI121" i="62"/>
  <c r="BZ120" i="62"/>
  <c r="BF120" i="62"/>
  <c r="BH119" i="62"/>
  <c r="BZ118" i="62"/>
  <c r="CC117" i="62"/>
  <c r="AW117" i="62"/>
  <c r="BO116" i="62"/>
  <c r="CD115" i="62"/>
  <c r="BP115" i="62"/>
  <c r="BB115" i="62"/>
  <c r="BR114" i="62"/>
  <c r="BB114" i="62"/>
  <c r="BV113" i="62"/>
  <c r="BD113" i="62"/>
  <c r="BW112" i="62"/>
  <c r="BG112" i="62"/>
  <c r="BI111" i="62"/>
  <c r="BW59" i="62"/>
  <c r="BM59" i="62"/>
  <c r="BA59" i="62"/>
  <c r="BZ58" i="62"/>
  <c r="BP58" i="62"/>
  <c r="BD58" i="62"/>
  <c r="CC57" i="62"/>
  <c r="BS57" i="62"/>
  <c r="BG57" i="62"/>
  <c r="AW57" i="62"/>
  <c r="BV56" i="62"/>
  <c r="BB56" i="62"/>
  <c r="CC55" i="62"/>
  <c r="BU55" i="62"/>
  <c r="BM55" i="62"/>
  <c r="BE55" i="62"/>
  <c r="AW55" i="62"/>
  <c r="BP54" i="62"/>
  <c r="BH54" i="62"/>
  <c r="AZ54" i="62"/>
  <c r="CA53" i="62"/>
  <c r="BS53" i="62"/>
  <c r="BK53" i="62"/>
  <c r="CD52" i="62"/>
  <c r="BV52" i="62"/>
  <c r="BN52" i="62"/>
  <c r="BF52" i="62"/>
  <c r="AX52" i="62"/>
  <c r="BY51" i="62"/>
  <c r="BI51" i="62"/>
  <c r="BA51" i="62"/>
  <c r="BW49" i="62"/>
  <c r="BO49" i="62"/>
  <c r="BG49" i="62"/>
  <c r="AY49" i="62"/>
  <c r="BZ48" i="62"/>
  <c r="BR48" i="62"/>
  <c r="BB48" i="62"/>
  <c r="CC47" i="62"/>
  <c r="BU47" i="62"/>
  <c r="BM47" i="62"/>
  <c r="BE47" i="62"/>
  <c r="AW47" i="62"/>
  <c r="BP46" i="62"/>
  <c r="BH46" i="62"/>
  <c r="AZ46" i="62"/>
  <c r="CD44" i="62"/>
  <c r="BV44" i="62"/>
  <c r="BN44" i="62"/>
  <c r="BF44" i="62"/>
  <c r="AX44" i="62"/>
  <c r="BY43" i="62"/>
  <c r="BI43" i="62"/>
  <c r="BA43" i="62"/>
  <c r="CB42" i="62"/>
  <c r="BT42" i="62"/>
  <c r="BL42" i="62"/>
  <c r="BD42" i="62"/>
  <c r="BW41" i="62"/>
  <c r="BO41" i="62"/>
  <c r="BG41" i="62"/>
  <c r="AY41" i="62"/>
  <c r="BZ40" i="62"/>
  <c r="BR40" i="62"/>
  <c r="BB40" i="62"/>
  <c r="CC39" i="62"/>
  <c r="BU39" i="62"/>
  <c r="BM39" i="62"/>
  <c r="BE39" i="62"/>
  <c r="AW39" i="62"/>
  <c r="BP38" i="62"/>
  <c r="BH38" i="62"/>
  <c r="AZ38" i="62"/>
  <c r="CA37" i="62"/>
  <c r="BS37" i="62"/>
  <c r="BK37" i="62"/>
  <c r="CD36" i="62"/>
  <c r="BV36" i="62"/>
  <c r="BN36" i="62"/>
  <c r="BF36" i="62"/>
  <c r="AX36" i="62"/>
  <c r="BY35" i="62"/>
  <c r="BI35" i="62"/>
  <c r="BA35" i="62"/>
  <c r="BW33" i="62"/>
  <c r="BO33" i="62"/>
  <c r="BG33" i="62"/>
  <c r="AY33" i="62"/>
  <c r="BZ32" i="62"/>
  <c r="BR32" i="62"/>
  <c r="BB32" i="62"/>
  <c r="CA29" i="62"/>
  <c r="BS29" i="62"/>
  <c r="BK29" i="62"/>
  <c r="CD28" i="62"/>
  <c r="BV28" i="62"/>
  <c r="BN28" i="62"/>
  <c r="BF28" i="62"/>
  <c r="AX28" i="62"/>
  <c r="BY27" i="62"/>
  <c r="BI27" i="62"/>
  <c r="BA27" i="62"/>
  <c r="CB26" i="62"/>
  <c r="BT26" i="62"/>
  <c r="BL26" i="62"/>
  <c r="BD26" i="62"/>
  <c r="BZ24" i="62"/>
  <c r="BR24" i="62"/>
  <c r="BB24" i="62"/>
  <c r="CC23" i="62"/>
  <c r="BU23" i="62"/>
  <c r="BM23" i="62"/>
  <c r="BE23" i="62"/>
  <c r="AW23" i="62"/>
  <c r="CA21" i="62"/>
  <c r="BS21" i="62"/>
  <c r="BK21" i="62"/>
  <c r="CD20" i="62"/>
  <c r="BV20" i="62"/>
  <c r="BN20" i="62"/>
  <c r="BF20" i="62"/>
  <c r="AX20" i="62"/>
  <c r="BY19" i="62"/>
  <c r="BI19" i="62"/>
  <c r="BA19" i="62"/>
  <c r="BW17" i="62"/>
  <c r="BO17" i="62"/>
  <c r="BG17" i="62"/>
  <c r="AY17" i="62"/>
  <c r="BZ16" i="62"/>
  <c r="BR16" i="62"/>
  <c r="BB16" i="62"/>
  <c r="BP14" i="62"/>
  <c r="BH14" i="62"/>
  <c r="AZ14" i="62"/>
  <c r="CA13" i="62"/>
  <c r="BS13" i="62"/>
  <c r="BK13" i="62"/>
  <c r="BS152" i="62"/>
  <c r="CD151" i="62"/>
  <c r="AX151" i="62"/>
  <c r="BE150" i="62"/>
  <c r="BN149" i="62"/>
  <c r="AX149" i="62"/>
  <c r="BE148" i="62"/>
  <c r="BT147" i="62"/>
  <c r="AX147" i="62"/>
  <c r="BN144" i="62"/>
  <c r="CC143" i="62"/>
  <c r="BG143" i="62"/>
  <c r="BR142" i="62"/>
  <c r="AY142" i="62"/>
  <c r="BN141" i="62"/>
  <c r="BR139" i="62"/>
  <c r="CB138" i="62"/>
  <c r="BH138" i="62"/>
  <c r="BV137" i="62"/>
  <c r="AY137" i="62"/>
  <c r="BL136" i="62"/>
  <c r="CA135" i="62"/>
  <c r="AW134" i="62"/>
  <c r="BI133" i="62"/>
  <c r="BS131" i="62"/>
  <c r="BD131" i="62"/>
  <c r="BT130" i="62"/>
  <c r="AW130" i="62"/>
  <c r="BN129" i="62"/>
  <c r="AY129" i="62"/>
  <c r="BZ127" i="62"/>
  <c r="BI127" i="62"/>
  <c r="BV126" i="62"/>
  <c r="BE126" i="62"/>
  <c r="BU125" i="62"/>
  <c r="BA125" i="62"/>
  <c r="AZ124" i="62"/>
  <c r="BM123" i="62"/>
  <c r="CD122" i="62"/>
  <c r="BL122" i="62"/>
  <c r="BZ121" i="62"/>
  <c r="BH121" i="62"/>
  <c r="BY120" i="62"/>
  <c r="BD120" i="62"/>
  <c r="BV119" i="62"/>
  <c r="BF119" i="62"/>
  <c r="BV118" i="62"/>
  <c r="BH118" i="62"/>
  <c r="CB117" i="62"/>
  <c r="BI117" i="62"/>
  <c r="CA116" i="62"/>
  <c r="BN116" i="62"/>
  <c r="CC115" i="62"/>
  <c r="BN115" i="62"/>
  <c r="AZ115" i="62"/>
  <c r="BP114" i="62"/>
  <c r="AZ114" i="62"/>
  <c r="BT113" i="62"/>
  <c r="BA113" i="62"/>
  <c r="BV112" i="62"/>
  <c r="BF112" i="62"/>
  <c r="BV111" i="62"/>
  <c r="BH111" i="62"/>
  <c r="BV59" i="62"/>
  <c r="BL59" i="62"/>
  <c r="AZ59" i="62"/>
  <c r="BY58" i="62"/>
  <c r="BO58" i="62"/>
  <c r="CB57" i="62"/>
  <c r="BR57" i="62"/>
  <c r="BF57" i="62"/>
  <c r="BU56" i="62"/>
  <c r="BI56" i="62"/>
  <c r="BA56" i="62"/>
  <c r="CB55" i="62"/>
  <c r="BT55" i="62"/>
  <c r="BL55" i="62"/>
  <c r="BD55" i="62"/>
  <c r="BW54" i="62"/>
  <c r="BO54" i="62"/>
  <c r="BG54" i="62"/>
  <c r="AY54" i="62"/>
  <c r="BZ53" i="62"/>
  <c r="BR53" i="62"/>
  <c r="BB53" i="62"/>
  <c r="CC52" i="62"/>
  <c r="BU52" i="62"/>
  <c r="BM52" i="62"/>
  <c r="BE52" i="62"/>
  <c r="AW52" i="62"/>
  <c r="BP51" i="62"/>
  <c r="BH51" i="62"/>
  <c r="AZ51" i="62"/>
  <c r="CD49" i="62"/>
  <c r="BV49" i="62"/>
  <c r="BN49" i="62"/>
  <c r="BF49" i="62"/>
  <c r="AX49" i="62"/>
  <c r="BY48" i="62"/>
  <c r="BI48" i="62"/>
  <c r="BA48" i="62"/>
  <c r="CB47" i="62"/>
  <c r="BT47" i="62"/>
  <c r="BL47" i="62"/>
  <c r="BD47" i="62"/>
  <c r="BW46" i="62"/>
  <c r="BO46" i="62"/>
  <c r="BG46" i="62"/>
  <c r="AY46" i="62"/>
  <c r="CC44" i="62"/>
  <c r="BU44" i="62"/>
  <c r="BM44" i="62"/>
  <c r="BE44" i="62"/>
  <c r="AW44" i="62"/>
  <c r="BP43" i="62"/>
  <c r="BH43" i="62"/>
  <c r="AZ43" i="62"/>
  <c r="CA42" i="62"/>
  <c r="BS42" i="62"/>
  <c r="BK42" i="62"/>
  <c r="CD41" i="62"/>
  <c r="BV41" i="62"/>
  <c r="BN41" i="62"/>
  <c r="BF41" i="62"/>
  <c r="AX41" i="62"/>
  <c r="BY40" i="62"/>
  <c r="BI40" i="62"/>
  <c r="BA40" i="62"/>
  <c r="CB39" i="62"/>
  <c r="BT39" i="62"/>
  <c r="BL39" i="62"/>
  <c r="BD39" i="62"/>
  <c r="BW38" i="62"/>
  <c r="BO38" i="62"/>
  <c r="BG38" i="62"/>
  <c r="AY38" i="62"/>
  <c r="BZ37" i="62"/>
  <c r="BR37" i="62"/>
  <c r="BB37" i="62"/>
  <c r="CC36" i="62"/>
  <c r="BU36" i="62"/>
  <c r="BM36" i="62"/>
  <c r="BE36" i="62"/>
  <c r="AW36" i="62"/>
  <c r="BP35" i="62"/>
  <c r="BH35" i="62"/>
  <c r="AZ35" i="62"/>
  <c r="CD33" i="62"/>
  <c r="BV33" i="62"/>
  <c r="BN33" i="62"/>
  <c r="BF33" i="62"/>
  <c r="AX33" i="62"/>
  <c r="BY32" i="62"/>
  <c r="BI32" i="62"/>
  <c r="BA32" i="62"/>
  <c r="BZ29" i="62"/>
  <c r="BR29" i="62"/>
  <c r="BB29" i="62"/>
  <c r="CC28" i="62"/>
  <c r="BU28" i="62"/>
  <c r="BM28" i="62"/>
  <c r="BE28" i="62"/>
  <c r="AW28" i="62"/>
  <c r="BP27" i="62"/>
  <c r="BH27" i="62"/>
  <c r="AZ27" i="62"/>
  <c r="CA26" i="62"/>
  <c r="BS26" i="62"/>
  <c r="BK26" i="62"/>
  <c r="BY24" i="62"/>
  <c r="BI24" i="62"/>
  <c r="BA24" i="62"/>
  <c r="CB23" i="62"/>
  <c r="BT23" i="62"/>
  <c r="BL23" i="62"/>
  <c r="BD23" i="62"/>
  <c r="BZ21" i="62"/>
  <c r="BR21" i="62"/>
  <c r="BB21" i="62"/>
  <c r="CC20" i="62"/>
  <c r="BU20" i="62"/>
  <c r="BM20" i="62"/>
  <c r="BE20" i="62"/>
  <c r="AW20" i="62"/>
  <c r="BP19" i="62"/>
  <c r="BH19" i="62"/>
  <c r="AZ19" i="62"/>
  <c r="CD17" i="62"/>
  <c r="BV17" i="62"/>
  <c r="BN17" i="62"/>
  <c r="BF17" i="62"/>
  <c r="AX17" i="62"/>
  <c r="BY16" i="62"/>
  <c r="BI16" i="62"/>
  <c r="BA16" i="62"/>
  <c r="BW14" i="62"/>
  <c r="BO14" i="62"/>
  <c r="BG14" i="62"/>
  <c r="AY14" i="62"/>
  <c r="BZ13" i="62"/>
  <c r="BR13" i="62"/>
  <c r="BB13" i="62"/>
  <c r="CA153" i="62"/>
  <c r="BP152" i="62"/>
  <c r="BM151" i="62"/>
  <c r="BP150" i="62"/>
  <c r="BL149" i="62"/>
  <c r="BT148" i="62"/>
  <c r="BZ147" i="62"/>
  <c r="CC146" i="62"/>
  <c r="BE146" i="62"/>
  <c r="BM144" i="62"/>
  <c r="BS143" i="62"/>
  <c r="CC142" i="62"/>
  <c r="AX142" i="62"/>
  <c r="BB141" i="62"/>
  <c r="BK140" i="62"/>
  <c r="BM139" i="62"/>
  <c r="BU138" i="62"/>
  <c r="CB137" i="62"/>
  <c r="AX137" i="62"/>
  <c r="BM135" i="62"/>
  <c r="BP134" i="62"/>
  <c r="BV133" i="62"/>
  <c r="BP131" i="62"/>
  <c r="CD129" i="62"/>
  <c r="BE129" i="62"/>
  <c r="BS128" i="62"/>
  <c r="BY127" i="62"/>
  <c r="AZ127" i="62"/>
  <c r="BK126" i="62"/>
  <c r="CB124" i="62"/>
  <c r="BF124" i="62"/>
  <c r="BL123" i="62"/>
  <c r="BU122" i="62"/>
  <c r="AZ122" i="62"/>
  <c r="BG121" i="62"/>
  <c r="BP120" i="62"/>
  <c r="BZ119" i="62"/>
  <c r="BS118" i="62"/>
  <c r="AX118" i="62"/>
  <c r="BH117" i="62"/>
  <c r="BV116" i="62"/>
  <c r="BM115" i="62"/>
  <c r="CA114" i="62"/>
  <c r="BF114" i="62"/>
  <c r="BO113" i="62"/>
  <c r="AX113" i="62"/>
  <c r="BK112" i="62"/>
  <c r="BT111" i="62"/>
  <c r="AZ111" i="62"/>
  <c r="BU59" i="62"/>
  <c r="BG59" i="62"/>
  <c r="CB58" i="62"/>
  <c r="BL58" i="62"/>
  <c r="AZ58" i="62"/>
  <c r="BU57" i="62"/>
  <c r="BE57" i="62"/>
  <c r="BZ56" i="62"/>
  <c r="BN56" i="62"/>
  <c r="AZ56" i="62"/>
  <c r="BY55" i="62"/>
  <c r="BO55" i="62"/>
  <c r="CB54" i="62"/>
  <c r="BR54" i="62"/>
  <c r="BF54" i="62"/>
  <c r="BU53" i="62"/>
  <c r="BI53" i="62"/>
  <c r="AY53" i="62"/>
  <c r="BL52" i="62"/>
  <c r="BB52" i="62"/>
  <c r="CA51" i="62"/>
  <c r="BO51" i="62"/>
  <c r="BE51" i="62"/>
  <c r="BU49" i="62"/>
  <c r="BK49" i="62"/>
  <c r="BA49" i="62"/>
  <c r="BN48" i="62"/>
  <c r="BD48" i="62"/>
  <c r="CA47" i="62"/>
  <c r="BG47" i="62"/>
  <c r="CD46" i="62"/>
  <c r="BT46" i="62"/>
  <c r="AX46" i="62"/>
  <c r="BZ44" i="62"/>
  <c r="BP44" i="62"/>
  <c r="BD44" i="62"/>
  <c r="CC43" i="62"/>
  <c r="BS43" i="62"/>
  <c r="BG43" i="62"/>
  <c r="AW43" i="62"/>
  <c r="BV42" i="62"/>
  <c r="AZ42" i="62"/>
  <c r="BY41" i="62"/>
  <c r="BM41" i="62"/>
  <c r="CB40" i="62"/>
  <c r="BP40" i="62"/>
  <c r="BF40" i="62"/>
  <c r="BS39" i="62"/>
  <c r="BI39" i="62"/>
  <c r="AY39" i="62"/>
  <c r="BV38" i="62"/>
  <c r="BL38" i="62"/>
  <c r="BB38" i="62"/>
  <c r="BY37" i="62"/>
  <c r="BO37" i="62"/>
  <c r="BE37" i="62"/>
  <c r="CB36" i="62"/>
  <c r="BR36" i="62"/>
  <c r="BH36" i="62"/>
  <c r="BU35" i="62"/>
  <c r="BK35" i="62"/>
  <c r="AY35" i="62"/>
  <c r="CA33" i="62"/>
  <c r="BE33" i="62"/>
  <c r="CD32" i="62"/>
  <c r="BT32" i="62"/>
  <c r="BH32" i="62"/>
  <c r="AX32" i="62"/>
  <c r="CC29" i="62"/>
  <c r="BG29" i="62"/>
  <c r="AW29" i="62"/>
  <c r="BT28" i="62"/>
  <c r="AZ28" i="62"/>
  <c r="BW27" i="62"/>
  <c r="BM27" i="62"/>
  <c r="BZ26" i="62"/>
  <c r="BP26" i="62"/>
  <c r="BF26" i="62"/>
  <c r="BV24" i="62"/>
  <c r="BL24" i="62"/>
  <c r="AZ24" i="62"/>
  <c r="BY23" i="62"/>
  <c r="BO23" i="62"/>
  <c r="BU21" i="62"/>
  <c r="BI21" i="62"/>
  <c r="AY21" i="62"/>
  <c r="BL20" i="62"/>
  <c r="BB20" i="62"/>
  <c r="CA19" i="62"/>
  <c r="BO19" i="62"/>
  <c r="BE19" i="62"/>
  <c r="BU17" i="62"/>
  <c r="BK17" i="62"/>
  <c r="BA17" i="62"/>
  <c r="BN16" i="62"/>
  <c r="BD16" i="62"/>
  <c r="CD14" i="62"/>
  <c r="BT14" i="62"/>
  <c r="AX14" i="62"/>
  <c r="BW13" i="62"/>
  <c r="BM13" i="62"/>
  <c r="BA13" i="62"/>
  <c r="BZ153" i="62"/>
  <c r="BN152" i="62"/>
  <c r="BL151" i="62"/>
  <c r="BO150" i="62"/>
  <c r="BK149" i="62"/>
  <c r="CB146" i="62"/>
  <c r="BA146" i="62"/>
  <c r="BI145" i="62"/>
  <c r="BL144" i="62"/>
  <c r="BP143" i="62"/>
  <c r="CB142" i="62"/>
  <c r="CD141" i="62"/>
  <c r="BA141" i="62"/>
  <c r="BF140" i="62"/>
  <c r="BH139" i="62"/>
  <c r="BT138" i="62"/>
  <c r="BY137" i="62"/>
  <c r="BZ136" i="62"/>
  <c r="BA136" i="62"/>
  <c r="BR133" i="62"/>
  <c r="BM131" i="62"/>
  <c r="BV130" i="62"/>
  <c r="CC129" i="62"/>
  <c r="BD129" i="62"/>
  <c r="AX127" i="62"/>
  <c r="BP125" i="62"/>
  <c r="CA124" i="62"/>
  <c r="BD124" i="62"/>
  <c r="BK123" i="62"/>
  <c r="BT122" i="62"/>
  <c r="AY122" i="62"/>
  <c r="BF121" i="62"/>
  <c r="BO120" i="62"/>
  <c r="BY119" i="62"/>
  <c r="BB119" i="62"/>
  <c r="BR118" i="62"/>
  <c r="CD117" i="62"/>
  <c r="BG117" i="62"/>
  <c r="BT116" i="62"/>
  <c r="BB116" i="62"/>
  <c r="BL115" i="62"/>
  <c r="BZ114" i="62"/>
  <c r="BD114" i="62"/>
  <c r="BN113" i="62"/>
  <c r="AW113" i="62"/>
  <c r="BS111" i="62"/>
  <c r="AX111" i="62"/>
  <c r="BT59" i="62"/>
  <c r="BF59" i="62"/>
  <c r="CA58" i="62"/>
  <c r="BK58" i="62"/>
  <c r="AY58" i="62"/>
  <c r="BT57" i="62"/>
  <c r="BD57" i="62"/>
  <c r="BY56" i="62"/>
  <c r="BM56" i="62"/>
  <c r="AY56" i="62"/>
  <c r="BN55" i="62"/>
  <c r="BB55" i="62"/>
  <c r="CA54" i="62"/>
  <c r="BE54" i="62"/>
  <c r="CD53" i="62"/>
  <c r="BT53" i="62"/>
  <c r="BH53" i="62"/>
  <c r="AX53" i="62"/>
  <c r="BW52" i="62"/>
  <c r="BK52" i="62"/>
  <c r="BA52" i="62"/>
  <c r="BZ51" i="62"/>
  <c r="BN51" i="62"/>
  <c r="BD51" i="62"/>
  <c r="BT49" i="62"/>
  <c r="AZ49" i="62"/>
  <c r="BW48" i="62"/>
  <c r="BM48" i="62"/>
  <c r="BZ47" i="62"/>
  <c r="BP47" i="62"/>
  <c r="BF47" i="62"/>
  <c r="CC46" i="62"/>
  <c r="BS46" i="62"/>
  <c r="BI46" i="62"/>
  <c r="AW46" i="62"/>
  <c r="BY44" i="62"/>
  <c r="BO44" i="62"/>
  <c r="CB43" i="62"/>
  <c r="BR43" i="62"/>
  <c r="BF43" i="62"/>
  <c r="BU42" i="62"/>
  <c r="BI42" i="62"/>
  <c r="AY42" i="62"/>
  <c r="BL41" i="62"/>
  <c r="BB41" i="62"/>
  <c r="CA40" i="62"/>
  <c r="BO40" i="62"/>
  <c r="BE40" i="62"/>
  <c r="CD39" i="62"/>
  <c r="BR39" i="62"/>
  <c r="BH39" i="62"/>
  <c r="AX39" i="62"/>
  <c r="BU38" i="62"/>
  <c r="BK38" i="62"/>
  <c r="BA38" i="62"/>
  <c r="BN37" i="62"/>
  <c r="BD37" i="62"/>
  <c r="CA36" i="62"/>
  <c r="BG36" i="62"/>
  <c r="CD35" i="62"/>
  <c r="BT35" i="62"/>
  <c r="AX35" i="62"/>
  <c r="BZ33" i="62"/>
  <c r="BP33" i="62"/>
  <c r="BD33" i="62"/>
  <c r="CC32" i="62"/>
  <c r="BS32" i="62"/>
  <c r="BG32" i="62"/>
  <c r="AW32" i="62"/>
  <c r="CB29" i="62"/>
  <c r="BP29" i="62"/>
  <c r="BF29" i="62"/>
  <c r="BS28" i="62"/>
  <c r="BI28" i="62"/>
  <c r="AY28" i="62"/>
  <c r="BV27" i="62"/>
  <c r="BL27" i="62"/>
  <c r="BB27" i="62"/>
  <c r="BY26" i="62"/>
  <c r="BO26" i="62"/>
  <c r="BE26" i="62"/>
  <c r="BU24" i="62"/>
  <c r="BK24" i="62"/>
  <c r="AY24" i="62"/>
  <c r="BN23" i="62"/>
  <c r="BB23" i="62"/>
  <c r="CD21" i="62"/>
  <c r="BT21" i="62"/>
  <c r="BH21" i="62"/>
  <c r="AX21" i="62"/>
  <c r="BW20" i="62"/>
  <c r="BK20" i="62"/>
  <c r="BA20" i="62"/>
  <c r="BZ19" i="62"/>
  <c r="BN19" i="62"/>
  <c r="BD19" i="62"/>
  <c r="BT17" i="62"/>
  <c r="AZ17" i="62"/>
  <c r="BW16" i="62"/>
  <c r="BM16" i="62"/>
  <c r="CC14" i="62"/>
  <c r="BS14" i="62"/>
  <c r="BI14" i="62"/>
  <c r="AW14" i="62"/>
  <c r="BV13" i="62"/>
  <c r="BL13" i="62"/>
  <c r="AZ13" i="62"/>
  <c r="BB153" i="62"/>
  <c r="BV151" i="62"/>
  <c r="BA150" i="62"/>
  <c r="BA149" i="62"/>
  <c r="BA148" i="62"/>
  <c r="BZ146" i="62"/>
  <c r="BV145" i="62"/>
  <c r="BY144" i="62"/>
  <c r="BO143" i="62"/>
  <c r="BL142" i="62"/>
  <c r="BH141" i="62"/>
  <c r="BB140" i="62"/>
  <c r="BD139" i="62"/>
  <c r="AX138" i="62"/>
  <c r="BY136" i="62"/>
  <c r="BS135" i="62"/>
  <c r="BU134" i="62"/>
  <c r="BO133" i="62"/>
  <c r="BR131" i="62"/>
  <c r="BN130" i="62"/>
  <c r="BT129" i="62"/>
  <c r="BR127" i="62"/>
  <c r="BU126" i="62"/>
  <c r="CB125" i="62"/>
  <c r="BY123" i="62"/>
  <c r="CC122" i="62"/>
  <c r="AW121" i="62"/>
  <c r="AY120" i="62"/>
  <c r="AX119" i="62"/>
  <c r="BG118" i="62"/>
  <c r="BY115" i="62"/>
  <c r="CC114" i="62"/>
  <c r="AY114" i="62"/>
  <c r="BI113" i="62"/>
  <c r="BN112" i="62"/>
  <c r="BR111" i="62"/>
  <c r="BY59" i="62"/>
  <c r="BE59" i="62"/>
  <c r="BT58" i="62"/>
  <c r="BB58" i="62"/>
  <c r="BO57" i="62"/>
  <c r="AY57" i="62"/>
  <c r="BP56" i="62"/>
  <c r="AX56" i="62"/>
  <c r="BS55" i="62"/>
  <c r="BG55" i="62"/>
  <c r="BZ54" i="62"/>
  <c r="BL54" i="62"/>
  <c r="AX54" i="62"/>
  <c r="BE53" i="62"/>
  <c r="BZ52" i="62"/>
  <c r="BS51" i="62"/>
  <c r="CC49" i="62"/>
  <c r="BV48" i="62"/>
  <c r="BH48" i="62"/>
  <c r="BO47" i="62"/>
  <c r="BA47" i="62"/>
  <c r="BV46" i="62"/>
  <c r="BF46" i="62"/>
  <c r="BT44" i="62"/>
  <c r="BH44" i="62"/>
  <c r="CA43" i="62"/>
  <c r="BM43" i="62"/>
  <c r="AY43" i="62"/>
  <c r="BR42" i="62"/>
  <c r="BF42" i="62"/>
  <c r="CA41" i="62"/>
  <c r="BK41" i="62"/>
  <c r="AW41" i="62"/>
  <c r="BT40" i="62"/>
  <c r="BD40" i="62"/>
  <c r="BY39" i="62"/>
  <c r="BK39" i="62"/>
  <c r="CD38" i="62"/>
  <c r="BR38" i="62"/>
  <c r="BD38" i="62"/>
  <c r="BW37" i="62"/>
  <c r="BI37" i="62"/>
  <c r="AW37" i="62"/>
  <c r="BP36" i="62"/>
  <c r="BB36" i="62"/>
  <c r="BW35" i="62"/>
  <c r="BG35" i="62"/>
  <c r="BU33" i="62"/>
  <c r="BI33" i="62"/>
  <c r="CB32" i="62"/>
  <c r="BN32" i="62"/>
  <c r="AZ32" i="62"/>
  <c r="BU29" i="62"/>
  <c r="BE29" i="62"/>
  <c r="BZ28" i="62"/>
  <c r="BL28" i="62"/>
  <c r="BS27" i="62"/>
  <c r="BE27" i="62"/>
  <c r="AX26" i="62"/>
  <c r="BH24" i="62"/>
  <c r="BA23" i="62"/>
  <c r="CC21" i="62"/>
  <c r="BO21" i="62"/>
  <c r="BA21" i="62"/>
  <c r="BT20" i="62"/>
  <c r="BH20" i="62"/>
  <c r="CC19" i="62"/>
  <c r="BM19" i="62"/>
  <c r="AY19" i="62"/>
  <c r="CA17" i="62"/>
  <c r="BM17" i="62"/>
  <c r="AW17" i="62"/>
  <c r="BT16" i="62"/>
  <c r="BF16" i="62"/>
  <c r="BR14" i="62"/>
  <c r="BD14" i="62"/>
  <c r="BY13" i="62"/>
  <c r="BI13" i="62"/>
  <c r="AW13" i="62"/>
  <c r="BS33" i="62"/>
  <c r="BB14" i="62"/>
  <c r="BA153" i="62"/>
  <c r="BU151" i="62"/>
  <c r="AZ150" i="62"/>
  <c r="AZ149" i="62"/>
  <c r="AZ148" i="62"/>
  <c r="BU146" i="62"/>
  <c r="BT145" i="62"/>
  <c r="BM143" i="62"/>
  <c r="BD141" i="62"/>
  <c r="AZ140" i="62"/>
  <c r="AW138" i="62"/>
  <c r="BR135" i="62"/>
  <c r="BT134" i="62"/>
  <c r="BN133" i="62"/>
  <c r="BM130" i="62"/>
  <c r="BR129" i="62"/>
  <c r="BT128" i="62"/>
  <c r="BT126" i="62"/>
  <c r="BZ125" i="62"/>
  <c r="BW124" i="62"/>
  <c r="CA122" i="62"/>
  <c r="BU121" i="62"/>
  <c r="CA120" i="62"/>
  <c r="CD119" i="62"/>
  <c r="AW119" i="62"/>
  <c r="BE118" i="62"/>
  <c r="BO117" i="62"/>
  <c r="BP116" i="62"/>
  <c r="CB114" i="62"/>
  <c r="AX114" i="62"/>
  <c r="BH113" i="62"/>
  <c r="BL112" i="62"/>
  <c r="BD59" i="62"/>
  <c r="BS58" i="62"/>
  <c r="BA58" i="62"/>
  <c r="BN57" i="62"/>
  <c r="AX57" i="62"/>
  <c r="BO56" i="62"/>
  <c r="AW56" i="62"/>
  <c r="BR55" i="62"/>
  <c r="BF55" i="62"/>
  <c r="BY54" i="62"/>
  <c r="BK54" i="62"/>
  <c r="AW54" i="62"/>
  <c r="BP53" i="62"/>
  <c r="BD53" i="62"/>
  <c r="BY52" i="62"/>
  <c r="BI52" i="62"/>
  <c r="CD51" i="62"/>
  <c r="BR51" i="62"/>
  <c r="BB51" i="62"/>
  <c r="CB49" i="62"/>
  <c r="BP49" i="62"/>
  <c r="BB49" i="62"/>
  <c r="BU48" i="62"/>
  <c r="BG48" i="62"/>
  <c r="CD47" i="62"/>
  <c r="BN47" i="62"/>
  <c r="AZ47" i="62"/>
  <c r="BU46" i="62"/>
  <c r="BE46" i="62"/>
  <c r="BS44" i="62"/>
  <c r="BG44" i="62"/>
  <c r="BZ43" i="62"/>
  <c r="BL43" i="62"/>
  <c r="AX43" i="62"/>
  <c r="BE42" i="62"/>
  <c r="BZ41" i="62"/>
  <c r="BS40" i="62"/>
  <c r="CC38" i="62"/>
  <c r="BV37" i="62"/>
  <c r="BH37" i="62"/>
  <c r="BO36" i="62"/>
  <c r="BA36" i="62"/>
  <c r="BV35" i="62"/>
  <c r="BF35" i="62"/>
  <c r="BT33" i="62"/>
  <c r="BH33" i="62"/>
  <c r="CA32" i="62"/>
  <c r="BM32" i="62"/>
  <c r="AY32" i="62"/>
  <c r="BT29" i="62"/>
  <c r="BD29" i="62"/>
  <c r="BY28" i="62"/>
  <c r="BK28" i="62"/>
  <c r="CD27" i="62"/>
  <c r="BR27" i="62"/>
  <c r="BD27" i="62"/>
  <c r="BW26" i="62"/>
  <c r="BI26" i="62"/>
  <c r="AW26" i="62"/>
  <c r="BW24" i="62"/>
  <c r="BG24" i="62"/>
  <c r="CD23" i="62"/>
  <c r="BP23" i="62"/>
  <c r="AZ23" i="62"/>
  <c r="CB21" i="62"/>
  <c r="BN21" i="62"/>
  <c r="AZ21" i="62"/>
  <c r="BS20" i="62"/>
  <c r="BG20" i="62"/>
  <c r="CB19" i="62"/>
  <c r="BL19" i="62"/>
  <c r="AX19" i="62"/>
  <c r="BZ17" i="62"/>
  <c r="BL17" i="62"/>
  <c r="BS16" i="62"/>
  <c r="BE16" i="62"/>
  <c r="BH13" i="62"/>
  <c r="AZ153" i="62"/>
  <c r="BF151" i="62"/>
  <c r="CD149" i="62"/>
  <c r="BR147" i="62"/>
  <c r="BT146" i="62"/>
  <c r="BL145" i="62"/>
  <c r="BD143" i="62"/>
  <c r="BE142" i="62"/>
  <c r="AZ141" i="62"/>
  <c r="CB139" i="62"/>
  <c r="BZ138" i="62"/>
  <c r="BO137" i="62"/>
  <c r="BP135" i="62"/>
  <c r="BG134" i="62"/>
  <c r="BE133" i="62"/>
  <c r="BH131" i="62"/>
  <c r="BK130" i="62"/>
  <c r="BM129" i="62"/>
  <c r="BI128" i="62"/>
  <c r="BN127" i="62"/>
  <c r="BS126" i="62"/>
  <c r="BM125" i="62"/>
  <c r="BP124" i="62"/>
  <c r="BV123" i="62"/>
  <c r="BS122" i="62"/>
  <c r="BT121" i="62"/>
  <c r="BR120" i="62"/>
  <c r="BT119" i="62"/>
  <c r="CD118" i="62"/>
  <c r="AZ118" i="62"/>
  <c r="BE117" i="62"/>
  <c r="BI116" i="62"/>
  <c r="BS115" i="62"/>
  <c r="BV114" i="62"/>
  <c r="CB113" i="62"/>
  <c r="AZ113" i="62"/>
  <c r="BB112" i="62"/>
  <c r="BL111" i="62"/>
  <c r="AY59" i="62"/>
  <c r="BR58" i="62"/>
  <c r="BM57" i="62"/>
  <c r="CD56" i="62"/>
  <c r="BH56" i="62"/>
  <c r="BA55" i="62"/>
  <c r="BV54" i="62"/>
  <c r="CC53" i="62"/>
  <c r="BO53" i="62"/>
  <c r="BA53" i="62"/>
  <c r="BT52" i="62"/>
  <c r="BH52" i="62"/>
  <c r="CC51" i="62"/>
  <c r="BM51" i="62"/>
  <c r="AY51" i="62"/>
  <c r="CA49" i="62"/>
  <c r="BM49" i="62"/>
  <c r="AW49" i="62"/>
  <c r="BT48" i="62"/>
  <c r="BF48" i="62"/>
  <c r="BY47" i="62"/>
  <c r="BK47" i="62"/>
  <c r="AY47" i="62"/>
  <c r="BR46" i="62"/>
  <c r="BD46" i="62"/>
  <c r="BR44" i="62"/>
  <c r="BB44" i="62"/>
  <c r="BW43" i="62"/>
  <c r="BK43" i="62"/>
  <c r="CD42" i="62"/>
  <c r="BP42" i="62"/>
  <c r="BB42" i="62"/>
  <c r="BU41" i="62"/>
  <c r="BI41" i="62"/>
  <c r="CD40" i="62"/>
  <c r="BN40" i="62"/>
  <c r="AZ40" i="62"/>
  <c r="BW39" i="62"/>
  <c r="BG39" i="62"/>
  <c r="CB38" i="62"/>
  <c r="BN38" i="62"/>
  <c r="AX38" i="62"/>
  <c r="BU37" i="62"/>
  <c r="BG37" i="62"/>
  <c r="BZ36" i="62"/>
  <c r="BL36" i="62"/>
  <c r="AZ36" i="62"/>
  <c r="BS35" i="62"/>
  <c r="BE35" i="62"/>
  <c r="BL32" i="62"/>
  <c r="BO29" i="62"/>
  <c r="BA29" i="62"/>
  <c r="BH28" i="62"/>
  <c r="CC27" i="62"/>
  <c r="BO27" i="62"/>
  <c r="AY27" i="62"/>
  <c r="BV26" i="62"/>
  <c r="BH26" i="62"/>
  <c r="BT24" i="62"/>
  <c r="BF24" i="62"/>
  <c r="CA23" i="62"/>
  <c r="BK23" i="62"/>
  <c r="AY23" i="62"/>
  <c r="BY21" i="62"/>
  <c r="BM21" i="62"/>
  <c r="AW21" i="62"/>
  <c r="BR20" i="62"/>
  <c r="BD20" i="62"/>
  <c r="BW19" i="62"/>
  <c r="BK19" i="62"/>
  <c r="AW19" i="62"/>
  <c r="BY17" i="62"/>
  <c r="BI17" i="62"/>
  <c r="CD16" i="62"/>
  <c r="BP16" i="62"/>
  <c r="AZ16" i="62"/>
  <c r="CB14" i="62"/>
  <c r="BN14" i="62"/>
  <c r="BU13" i="62"/>
  <c r="BG13" i="62"/>
  <c r="BU150" i="62"/>
  <c r="BV148" i="62"/>
  <c r="BF147" i="62"/>
  <c r="AY145" i="62"/>
  <c r="BT141" i="62"/>
  <c r="CA139" i="62"/>
  <c r="BG138" i="62"/>
  <c r="BK136" i="62"/>
  <c r="CC134" i="62"/>
  <c r="BA133" i="62"/>
  <c r="BF131" i="62"/>
  <c r="CB129" i="62"/>
  <c r="BF128" i="62"/>
  <c r="CD126" i="62"/>
  <c r="BH125" i="62"/>
  <c r="BU123" i="62"/>
  <c r="BD122" i="62"/>
  <c r="BN120" i="62"/>
  <c r="BU117" i="62"/>
  <c r="BG116" i="62"/>
  <c r="BD115" i="62"/>
  <c r="BD111" i="62"/>
  <c r="BI59" i="62"/>
  <c r="BV57" i="62"/>
  <c r="BW56" i="62"/>
  <c r="CD55" i="62"/>
  <c r="BI55" i="62"/>
  <c r="BT54" i="62"/>
  <c r="BA54" i="62"/>
  <c r="BL53" i="62"/>
  <c r="BS52" i="62"/>
  <c r="AZ52" i="62"/>
  <c r="BK51" i="62"/>
  <c r="BL49" i="62"/>
  <c r="CB48" i="62"/>
  <c r="AZ48" i="62"/>
  <c r="BR47" i="62"/>
  <c r="CA46" i="62"/>
  <c r="CB44" i="62"/>
  <c r="BI44" i="62"/>
  <c r="BT43" i="62"/>
  <c r="CC42" i="62"/>
  <c r="BH42" i="62"/>
  <c r="BS41" i="62"/>
  <c r="AZ41" i="62"/>
  <c r="BK40" i="62"/>
  <c r="BV39" i="62"/>
  <c r="BA39" i="62"/>
  <c r="CB37" i="62"/>
  <c r="AZ37" i="62"/>
  <c r="BK36" i="62"/>
  <c r="CA35" i="62"/>
  <c r="CB33" i="62"/>
  <c r="BB33" i="62"/>
  <c r="BP32" i="62"/>
  <c r="CD29" i="62"/>
  <c r="BI29" i="62"/>
  <c r="BR28" i="62"/>
  <c r="BA28" i="62"/>
  <c r="BU26" i="62"/>
  <c r="AZ26" i="62"/>
  <c r="CA24" i="62"/>
  <c r="BP21" i="62"/>
  <c r="CA20" i="62"/>
  <c r="BS19" i="62"/>
  <c r="BR17" i="62"/>
  <c r="CC16" i="62"/>
  <c r="BH16" i="62"/>
  <c r="BK14" i="62"/>
  <c r="BT13" i="62"/>
  <c r="AY13" i="62"/>
  <c r="CB149" i="62"/>
  <c r="BD148" i="62"/>
  <c r="BH146" i="62"/>
  <c r="BZ144" i="62"/>
  <c r="CD142" i="62"/>
  <c r="AX141" i="62"/>
  <c r="BF139" i="62"/>
  <c r="BL137" i="62"/>
  <c r="CC135" i="62"/>
  <c r="AZ134" i="62"/>
  <c r="CC130" i="62"/>
  <c r="BB129" i="62"/>
  <c r="AX128" i="62"/>
  <c r="BO124" i="62"/>
  <c r="BB123" i="62"/>
  <c r="BO121" i="62"/>
  <c r="AZ120" i="62"/>
  <c r="BT118" i="62"/>
  <c r="BB117" i="62"/>
  <c r="CB115" i="62"/>
  <c r="BO114" i="62"/>
  <c r="CD111" i="62"/>
  <c r="AY153" i="62"/>
  <c r="BT150" i="62"/>
  <c r="BP148" i="62"/>
  <c r="BE147" i="62"/>
  <c r="AX145" i="62"/>
  <c r="BS141" i="62"/>
  <c r="BW139" i="62"/>
  <c r="BF138" i="62"/>
  <c r="BF136" i="62"/>
  <c r="BF134" i="62"/>
  <c r="AZ131" i="62"/>
  <c r="BZ129" i="62"/>
  <c r="BB128" i="62"/>
  <c r="BO126" i="62"/>
  <c r="AZ125" i="62"/>
  <c r="BH123" i="62"/>
  <c r="BB122" i="62"/>
  <c r="BL120" i="62"/>
  <c r="CC118" i="62"/>
  <c r="BT117" i="62"/>
  <c r="BF116" i="62"/>
  <c r="BW113" i="62"/>
  <c r="BA112" i="62"/>
  <c r="BH59" i="62"/>
  <c r="BI58" i="62"/>
  <c r="BL57" i="62"/>
  <c r="BR56" i="62"/>
  <c r="CA55" i="62"/>
  <c r="BH55" i="62"/>
  <c r="BS54" i="62"/>
  <c r="CB53" i="62"/>
  <c r="BG53" i="62"/>
  <c r="BR52" i="62"/>
  <c r="AY52" i="62"/>
  <c r="BI49" i="62"/>
  <c r="CA48" i="62"/>
  <c r="AY48" i="62"/>
  <c r="BZ46" i="62"/>
  <c r="BB46" i="62"/>
  <c r="CA44" i="62"/>
  <c r="BA44" i="62"/>
  <c r="BO43" i="62"/>
  <c r="BZ42" i="62"/>
  <c r="BG42" i="62"/>
  <c r="BR41" i="62"/>
  <c r="CC40" i="62"/>
  <c r="BH40" i="62"/>
  <c r="AZ39" i="62"/>
  <c r="BI38" i="62"/>
  <c r="BT37" i="62"/>
  <c r="AY37" i="62"/>
  <c r="BZ35" i="62"/>
  <c r="BB35" i="62"/>
  <c r="BY33" i="62"/>
  <c r="BA33" i="62"/>
  <c r="BO32" i="62"/>
  <c r="BY29" i="62"/>
  <c r="BH29" i="62"/>
  <c r="CB27" i="62"/>
  <c r="BG27" i="62"/>
  <c r="BR26" i="62"/>
  <c r="AY26" i="62"/>
  <c r="BS24" i="62"/>
  <c r="AX24" i="62"/>
  <c r="BI23" i="62"/>
  <c r="BL21" i="62"/>
  <c r="BZ20" i="62"/>
  <c r="AZ20" i="62"/>
  <c r="BR19" i="62"/>
  <c r="CB16" i="62"/>
  <c r="BG16" i="62"/>
  <c r="CA14" i="62"/>
  <c r="BF14" i="62"/>
  <c r="AX13" i="62"/>
  <c r="BK152" i="62"/>
  <c r="BR150" i="62"/>
  <c r="BN148" i="62"/>
  <c r="BR146" i="62"/>
  <c r="CA144" i="62"/>
  <c r="AW143" i="62"/>
  <c r="BR141" i="62"/>
  <c r="BT139" i="62"/>
  <c r="BN137" i="62"/>
  <c r="CD135" i="62"/>
  <c r="BA134" i="62"/>
  <c r="AX131" i="62"/>
  <c r="BL129" i="62"/>
  <c r="AY128" i="62"/>
  <c r="BD126" i="62"/>
  <c r="AX125" i="62"/>
  <c r="BF123" i="62"/>
  <c r="BR121" i="62"/>
  <c r="BU118" i="62"/>
  <c r="BR117" i="62"/>
  <c r="BD116" i="62"/>
  <c r="BU114" i="62"/>
  <c r="BM113" i="62"/>
  <c r="AY112" i="62"/>
  <c r="CD59" i="62"/>
  <c r="AX59" i="62"/>
  <c r="BH58" i="62"/>
  <c r="BK57" i="62"/>
  <c r="BZ55" i="62"/>
  <c r="AZ55" i="62"/>
  <c r="BN54" i="62"/>
  <c r="BY53" i="62"/>
  <c r="BF53" i="62"/>
  <c r="CB51" i="62"/>
  <c r="BG51" i="62"/>
  <c r="BH49" i="62"/>
  <c r="BS48" i="62"/>
  <c r="AX48" i="62"/>
  <c r="BI47" i="62"/>
  <c r="BY46" i="62"/>
  <c r="BA46" i="62"/>
  <c r="AZ44" i="62"/>
  <c r="BN43" i="62"/>
  <c r="BY42" i="62"/>
  <c r="BA42" i="62"/>
  <c r="BG40" i="62"/>
  <c r="BP39" i="62"/>
  <c r="CA38" i="62"/>
  <c r="BF38" i="62"/>
  <c r="AX37" i="62"/>
  <c r="BI36" i="62"/>
  <c r="BR35" i="62"/>
  <c r="AW35" i="62"/>
  <c r="AZ33" i="62"/>
  <c r="BK32" i="62"/>
  <c r="AZ29" i="62"/>
  <c r="BP28" i="62"/>
  <c r="CA27" i="62"/>
  <c r="BF27" i="62"/>
  <c r="BP24" i="62"/>
  <c r="AW24" i="62"/>
  <c r="BH23" i="62"/>
  <c r="BG21" i="62"/>
  <c r="BY20" i="62"/>
  <c r="AY20" i="62"/>
  <c r="BP17" i="62"/>
  <c r="CA16" i="62"/>
  <c r="AY16" i="62"/>
  <c r="BZ14" i="62"/>
  <c r="BE14" i="62"/>
  <c r="BP13" i="62"/>
  <c r="CB13" i="62"/>
  <c r="BV14" i="62"/>
  <c r="BV16" i="62"/>
  <c r="CB17" i="62"/>
  <c r="CD19" i="62"/>
  <c r="AX23" i="62"/>
  <c r="BD24" i="62"/>
  <c r="BB26" i="62"/>
  <c r="AX27" i="62"/>
  <c r="BD28" i="62"/>
  <c r="BL29" i="62"/>
  <c r="BF32" i="62"/>
  <c r="BL33" i="62"/>
  <c r="BN35" i="62"/>
  <c r="BT36" i="62"/>
  <c r="BP37" i="62"/>
  <c r="BT38" i="62"/>
  <c r="BZ39" i="62"/>
  <c r="BV40" i="62"/>
  <c r="CB41" i="62"/>
  <c r="CD43" i="62"/>
  <c r="AX47" i="62"/>
  <c r="AW48" i="62"/>
  <c r="AX51" i="62"/>
  <c r="BD52" i="62"/>
  <c r="AZ53" i="62"/>
  <c r="BD54" i="62"/>
  <c r="BF56" i="62"/>
  <c r="BZ57" i="62"/>
  <c r="AW59" i="62"/>
  <c r="AY113" i="62"/>
  <c r="CA115" i="62"/>
  <c r="BL118" i="62"/>
  <c r="BI124" i="62"/>
  <c r="BM127" i="62"/>
  <c r="BZ130" i="62"/>
  <c r="BV140" i="62"/>
  <c r="BE144" i="62"/>
  <c r="BB148" i="62"/>
  <c r="AZ152" i="62"/>
  <c r="C1" i="46"/>
  <c r="A1" i="46"/>
  <c r="C1" i="58"/>
  <c r="U28" i="58" s="1"/>
  <c r="A1" i="58"/>
  <c r="V98" i="39"/>
  <c r="V86" i="39"/>
  <c r="V70" i="39"/>
  <c r="V54" i="39"/>
  <c r="V38" i="39"/>
  <c r="V23" i="39"/>
  <c r="C1" i="39"/>
  <c r="AF63" i="39" s="1"/>
  <c r="A1" i="39"/>
  <c r="V7" i="39"/>
  <c r="C1" i="60"/>
  <c r="CE68" i="60" s="1"/>
  <c r="A1" i="60"/>
  <c r="Q7" i="76"/>
  <c r="P7" i="76"/>
  <c r="O7" i="76"/>
  <c r="N7" i="76"/>
  <c r="M7" i="76"/>
  <c r="L7" i="76"/>
  <c r="C1" i="76"/>
  <c r="Q110" i="76" s="1"/>
  <c r="A1" i="76"/>
  <c r="Z131" i="1"/>
  <c r="Y131" i="1"/>
  <c r="X131" i="1"/>
  <c r="W131" i="1"/>
  <c r="V131" i="1"/>
  <c r="U131" i="1"/>
  <c r="A1" i="1"/>
  <c r="C1" i="1"/>
  <c r="Z92" i="1" s="1"/>
  <c r="Z83" i="1"/>
  <c r="Y83" i="1"/>
  <c r="X83" i="1"/>
  <c r="W83" i="1"/>
  <c r="V83" i="1"/>
  <c r="U83" i="1"/>
  <c r="J8" i="1"/>
  <c r="I8" i="1"/>
  <c r="H8" i="1"/>
  <c r="G8" i="1"/>
  <c r="F8" i="1"/>
  <c r="E8" i="1"/>
  <c r="AG235" i="50"/>
  <c r="BS235" i="50" s="1"/>
  <c r="AG234" i="50"/>
  <c r="BS234" i="50" s="1"/>
  <c r="AG233" i="50"/>
  <c r="BS233" i="50" s="1"/>
  <c r="AG232" i="50"/>
  <c r="BS232" i="50" s="1"/>
  <c r="AG231" i="50"/>
  <c r="BS231" i="50" s="1"/>
  <c r="AG230" i="50"/>
  <c r="BS230" i="50" s="1"/>
  <c r="AG229" i="50"/>
  <c r="BS229" i="50" s="1"/>
  <c r="AG228" i="50"/>
  <c r="BS228" i="50" s="1"/>
  <c r="AG227" i="50"/>
  <c r="BS227" i="50" s="1"/>
  <c r="AG226" i="50"/>
  <c r="BS226" i="50" s="1"/>
  <c r="AG225" i="50"/>
  <c r="BS225" i="50" s="1"/>
  <c r="AG224" i="50"/>
  <c r="BS224" i="50" s="1"/>
  <c r="AG223" i="50"/>
  <c r="BS223" i="50" s="1"/>
  <c r="AG222" i="50"/>
  <c r="BS222" i="50" s="1"/>
  <c r="AG221" i="50"/>
  <c r="BS221" i="50" s="1"/>
  <c r="AG220" i="50"/>
  <c r="BS220" i="50" s="1"/>
  <c r="AG219" i="50"/>
  <c r="BS219" i="50" s="1"/>
  <c r="AG218" i="50"/>
  <c r="BS218" i="50" s="1"/>
  <c r="AG217" i="50"/>
  <c r="BS217" i="50" s="1"/>
  <c r="AG216" i="50"/>
  <c r="BS216" i="50" s="1"/>
  <c r="AG215" i="50"/>
  <c r="BS215" i="50" s="1"/>
  <c r="Z235" i="50"/>
  <c r="BL235" i="50" s="1"/>
  <c r="Z234" i="50"/>
  <c r="BL234" i="50" s="1"/>
  <c r="Z233" i="50"/>
  <c r="BL233" i="50" s="1"/>
  <c r="Z232" i="50"/>
  <c r="BL232" i="50" s="1"/>
  <c r="Z231" i="50"/>
  <c r="BL231" i="50" s="1"/>
  <c r="Z230" i="50"/>
  <c r="BL230" i="50" s="1"/>
  <c r="Z229" i="50"/>
  <c r="BL229" i="50" s="1"/>
  <c r="Z228" i="50"/>
  <c r="BL228" i="50" s="1"/>
  <c r="Z227" i="50"/>
  <c r="BL227" i="50" s="1"/>
  <c r="Z226" i="50"/>
  <c r="BL226" i="50" s="1"/>
  <c r="Z225" i="50"/>
  <c r="BL225" i="50" s="1"/>
  <c r="Z224" i="50"/>
  <c r="BL224" i="50" s="1"/>
  <c r="Z223" i="50"/>
  <c r="BL223" i="50" s="1"/>
  <c r="Z222" i="50"/>
  <c r="BL222" i="50" s="1"/>
  <c r="Z221" i="50"/>
  <c r="BL221" i="50" s="1"/>
  <c r="Z220" i="50"/>
  <c r="BL220" i="50" s="1"/>
  <c r="Z219" i="50"/>
  <c r="BL219" i="50" s="1"/>
  <c r="Z218" i="50"/>
  <c r="BL218" i="50" s="1"/>
  <c r="Z217" i="50"/>
  <c r="BL217" i="50" s="1"/>
  <c r="Z216" i="50"/>
  <c r="BL216" i="50" s="1"/>
  <c r="Z215" i="50"/>
  <c r="BL215" i="50" s="1"/>
  <c r="S235" i="50"/>
  <c r="BE235" i="50" s="1"/>
  <c r="S234" i="50"/>
  <c r="BE234" i="50" s="1"/>
  <c r="S233" i="50"/>
  <c r="BE233" i="50" s="1"/>
  <c r="S232" i="50"/>
  <c r="BE232" i="50" s="1"/>
  <c r="S231" i="50"/>
  <c r="BE231" i="50" s="1"/>
  <c r="S230" i="50"/>
  <c r="BE230" i="50" s="1"/>
  <c r="S229" i="50"/>
  <c r="BE229" i="50" s="1"/>
  <c r="S228" i="50"/>
  <c r="BE228" i="50" s="1"/>
  <c r="S227" i="50"/>
  <c r="BE227" i="50" s="1"/>
  <c r="S226" i="50"/>
  <c r="BE226" i="50" s="1"/>
  <c r="S225" i="50"/>
  <c r="BE225" i="50" s="1"/>
  <c r="S224" i="50"/>
  <c r="BE224" i="50" s="1"/>
  <c r="S223" i="50"/>
  <c r="BE223" i="50" s="1"/>
  <c r="S222" i="50"/>
  <c r="BE222" i="50" s="1"/>
  <c r="S221" i="50"/>
  <c r="BE221" i="50" s="1"/>
  <c r="S220" i="50"/>
  <c r="BE220" i="50" s="1"/>
  <c r="S219" i="50"/>
  <c r="BE219" i="50" s="1"/>
  <c r="S218" i="50"/>
  <c r="BE218" i="50" s="1"/>
  <c r="S217" i="50"/>
  <c r="BE217" i="50" s="1"/>
  <c r="S216" i="50"/>
  <c r="BE216" i="50" s="1"/>
  <c r="S215" i="50"/>
  <c r="BE215" i="50" s="1"/>
  <c r="L235" i="50"/>
  <c r="AX235" i="50" s="1"/>
  <c r="L234" i="50"/>
  <c r="AX234" i="50" s="1"/>
  <c r="L233" i="50"/>
  <c r="AX233" i="50" s="1"/>
  <c r="L232" i="50"/>
  <c r="AX232" i="50" s="1"/>
  <c r="L231" i="50"/>
  <c r="AX231" i="50" s="1"/>
  <c r="L230" i="50"/>
  <c r="AX230" i="50" s="1"/>
  <c r="L229" i="50"/>
  <c r="AX229" i="50" s="1"/>
  <c r="L228" i="50"/>
  <c r="AX228" i="50" s="1"/>
  <c r="L227" i="50"/>
  <c r="AX227" i="50" s="1"/>
  <c r="L226" i="50"/>
  <c r="AX226" i="50" s="1"/>
  <c r="L225" i="50"/>
  <c r="AX225" i="50" s="1"/>
  <c r="L224" i="50"/>
  <c r="AX224" i="50" s="1"/>
  <c r="L223" i="50"/>
  <c r="AX223" i="50" s="1"/>
  <c r="L222" i="50"/>
  <c r="AX222" i="50" s="1"/>
  <c r="L221" i="50"/>
  <c r="AX221" i="50" s="1"/>
  <c r="L220" i="50"/>
  <c r="AX220" i="50" s="1"/>
  <c r="L219" i="50"/>
  <c r="AX219" i="50" s="1"/>
  <c r="L218" i="50"/>
  <c r="AX218" i="50" s="1"/>
  <c r="L217" i="50"/>
  <c r="AX217" i="50" s="1"/>
  <c r="L216" i="50"/>
  <c r="AX216" i="50" s="1"/>
  <c r="L215" i="50"/>
  <c r="AX215" i="50" s="1"/>
  <c r="E235" i="50"/>
  <c r="AQ235" i="50" s="1"/>
  <c r="E234" i="50"/>
  <c r="AQ234" i="50" s="1"/>
  <c r="E233" i="50"/>
  <c r="AQ233" i="50" s="1"/>
  <c r="E232" i="50"/>
  <c r="AQ232" i="50" s="1"/>
  <c r="E231" i="50"/>
  <c r="AQ231" i="50" s="1"/>
  <c r="E230" i="50"/>
  <c r="AQ230" i="50" s="1"/>
  <c r="E229" i="50"/>
  <c r="AQ229" i="50" s="1"/>
  <c r="E228" i="50"/>
  <c r="AQ228" i="50" s="1"/>
  <c r="E227" i="50"/>
  <c r="AQ227" i="50" s="1"/>
  <c r="E226" i="50"/>
  <c r="AQ226" i="50" s="1"/>
  <c r="E225" i="50"/>
  <c r="AQ225" i="50" s="1"/>
  <c r="E224" i="50"/>
  <c r="AQ224" i="50" s="1"/>
  <c r="E223" i="50"/>
  <c r="AQ223" i="50" s="1"/>
  <c r="E222" i="50"/>
  <c r="AQ222" i="50" s="1"/>
  <c r="E221" i="50"/>
  <c r="AQ221" i="50" s="1"/>
  <c r="E220" i="50"/>
  <c r="AQ220" i="50" s="1"/>
  <c r="E219" i="50"/>
  <c r="AQ219" i="50" s="1"/>
  <c r="E218" i="50"/>
  <c r="AQ218" i="50" s="1"/>
  <c r="E217" i="50"/>
  <c r="AQ217" i="50" s="1"/>
  <c r="E216" i="50"/>
  <c r="AQ216" i="50" s="1"/>
  <c r="E215" i="50"/>
  <c r="AQ215" i="50" s="1"/>
  <c r="AG150" i="50"/>
  <c r="BS150" i="50" s="1"/>
  <c r="AG149" i="50"/>
  <c r="BS149" i="50" s="1"/>
  <c r="AG148" i="50"/>
  <c r="BS148" i="50" s="1"/>
  <c r="AG147" i="50"/>
  <c r="BS147" i="50" s="1"/>
  <c r="AG146" i="50"/>
  <c r="BS146" i="50" s="1"/>
  <c r="AG145" i="50"/>
  <c r="BS145" i="50" s="1"/>
  <c r="AG144" i="50"/>
  <c r="BS144" i="50" s="1"/>
  <c r="AG143" i="50"/>
  <c r="BS143" i="50" s="1"/>
  <c r="AG142" i="50"/>
  <c r="BS142" i="50" s="1"/>
  <c r="AG141" i="50"/>
  <c r="BS141" i="50" s="1"/>
  <c r="AG140" i="50"/>
  <c r="BS140" i="50" s="1"/>
  <c r="AG139" i="50"/>
  <c r="BS139" i="50" s="1"/>
  <c r="AG138" i="50"/>
  <c r="BS138" i="50" s="1"/>
  <c r="AG137" i="50"/>
  <c r="BS137" i="50" s="1"/>
  <c r="AG136" i="50"/>
  <c r="BS136" i="50" s="1"/>
  <c r="AG135" i="50"/>
  <c r="BS135" i="50" s="1"/>
  <c r="AG134" i="50"/>
  <c r="BS134" i="50" s="1"/>
  <c r="AG133" i="50"/>
  <c r="BS133" i="50" s="1"/>
  <c r="AG132" i="50"/>
  <c r="BS132" i="50" s="1"/>
  <c r="Z150" i="50"/>
  <c r="BL150" i="50" s="1"/>
  <c r="Z149" i="50"/>
  <c r="BL149" i="50" s="1"/>
  <c r="Z148" i="50"/>
  <c r="BL148" i="50" s="1"/>
  <c r="Z147" i="50"/>
  <c r="BL147" i="50" s="1"/>
  <c r="Z146" i="50"/>
  <c r="BL146" i="50" s="1"/>
  <c r="Z145" i="50"/>
  <c r="BL145" i="50" s="1"/>
  <c r="Z144" i="50"/>
  <c r="BL144" i="50" s="1"/>
  <c r="Z143" i="50"/>
  <c r="BL143" i="50" s="1"/>
  <c r="Z142" i="50"/>
  <c r="BL142" i="50" s="1"/>
  <c r="Z141" i="50"/>
  <c r="BL141" i="50" s="1"/>
  <c r="Z140" i="50"/>
  <c r="BL140" i="50" s="1"/>
  <c r="Z139" i="50"/>
  <c r="BL139" i="50" s="1"/>
  <c r="Z138" i="50"/>
  <c r="BL138" i="50" s="1"/>
  <c r="Z137" i="50"/>
  <c r="BL137" i="50" s="1"/>
  <c r="Z136" i="50"/>
  <c r="BL136" i="50" s="1"/>
  <c r="Z135" i="50"/>
  <c r="BL135" i="50" s="1"/>
  <c r="Z134" i="50"/>
  <c r="BL134" i="50" s="1"/>
  <c r="Z133" i="50"/>
  <c r="BL133" i="50" s="1"/>
  <c r="Z132" i="50"/>
  <c r="BL132" i="50" s="1"/>
  <c r="S33" i="62"/>
  <c r="S32" i="62"/>
  <c r="S150" i="50"/>
  <c r="BE150" i="50" s="1"/>
  <c r="S149" i="50"/>
  <c r="BE149" i="50" s="1"/>
  <c r="S148" i="50"/>
  <c r="BE148" i="50" s="1"/>
  <c r="S147" i="50"/>
  <c r="BE147" i="50" s="1"/>
  <c r="S146" i="50"/>
  <c r="BE146" i="50" s="1"/>
  <c r="S145" i="50"/>
  <c r="BE145" i="50" s="1"/>
  <c r="S144" i="50"/>
  <c r="BE144" i="50" s="1"/>
  <c r="S143" i="50"/>
  <c r="BE143" i="50" s="1"/>
  <c r="S142" i="50"/>
  <c r="BE142" i="50" s="1"/>
  <c r="S141" i="50"/>
  <c r="BE141" i="50" s="1"/>
  <c r="S140" i="50"/>
  <c r="BE140" i="50" s="1"/>
  <c r="S139" i="50"/>
  <c r="BE139" i="50" s="1"/>
  <c r="S138" i="50"/>
  <c r="BE138" i="50" s="1"/>
  <c r="S137" i="50"/>
  <c r="BE137" i="50" s="1"/>
  <c r="S136" i="50"/>
  <c r="BE136" i="50" s="1"/>
  <c r="S135" i="50"/>
  <c r="BE135" i="50" s="1"/>
  <c r="S134" i="50"/>
  <c r="BE134" i="50" s="1"/>
  <c r="S133" i="50"/>
  <c r="BE133" i="50" s="1"/>
  <c r="S132" i="50"/>
  <c r="BE132" i="50" s="1"/>
  <c r="L150" i="50"/>
  <c r="AX150" i="50" s="1"/>
  <c r="L149" i="50"/>
  <c r="AX149" i="50" s="1"/>
  <c r="L148" i="50"/>
  <c r="AX148" i="50" s="1"/>
  <c r="L147" i="50"/>
  <c r="AX147" i="50" s="1"/>
  <c r="L146" i="50"/>
  <c r="AX146" i="50" s="1"/>
  <c r="L145" i="50"/>
  <c r="AX145" i="50" s="1"/>
  <c r="L144" i="50"/>
  <c r="AX144" i="50" s="1"/>
  <c r="L143" i="50"/>
  <c r="AX143" i="50" s="1"/>
  <c r="L142" i="50"/>
  <c r="AX142" i="50" s="1"/>
  <c r="L141" i="50"/>
  <c r="AX141" i="50" s="1"/>
  <c r="L140" i="50"/>
  <c r="AX140" i="50" s="1"/>
  <c r="L139" i="50"/>
  <c r="AX139" i="50" s="1"/>
  <c r="L138" i="50"/>
  <c r="AX138" i="50" s="1"/>
  <c r="L137" i="50"/>
  <c r="AX137" i="50" s="1"/>
  <c r="L136" i="50"/>
  <c r="AX136" i="50" s="1"/>
  <c r="L135" i="50"/>
  <c r="AX135" i="50" s="1"/>
  <c r="L134" i="50"/>
  <c r="AX134" i="50" s="1"/>
  <c r="L133" i="50"/>
  <c r="AX133" i="50" s="1"/>
  <c r="L132" i="50"/>
  <c r="AX132" i="50" s="1"/>
  <c r="E150" i="50"/>
  <c r="AQ150" i="50" s="1"/>
  <c r="E149" i="50"/>
  <c r="AQ149" i="50" s="1"/>
  <c r="E148" i="50"/>
  <c r="AQ148" i="50" s="1"/>
  <c r="E147" i="50"/>
  <c r="AQ147" i="50" s="1"/>
  <c r="E146" i="50"/>
  <c r="AQ146" i="50" s="1"/>
  <c r="E145" i="50"/>
  <c r="AQ145" i="50" s="1"/>
  <c r="E144" i="50"/>
  <c r="AQ144" i="50" s="1"/>
  <c r="E143" i="50"/>
  <c r="AQ143" i="50" s="1"/>
  <c r="E142" i="50"/>
  <c r="AQ142" i="50" s="1"/>
  <c r="E141" i="50"/>
  <c r="AQ141" i="50" s="1"/>
  <c r="E140" i="50"/>
  <c r="AQ140" i="50" s="1"/>
  <c r="E139" i="50"/>
  <c r="AQ139" i="50" s="1"/>
  <c r="E138" i="50"/>
  <c r="AQ138" i="50" s="1"/>
  <c r="E137" i="50"/>
  <c r="AQ137" i="50" s="1"/>
  <c r="E136" i="50"/>
  <c r="AQ136" i="50" s="1"/>
  <c r="E135" i="50"/>
  <c r="AQ135" i="50" s="1"/>
  <c r="E134" i="50"/>
  <c r="AQ134" i="50" s="1"/>
  <c r="E133" i="50"/>
  <c r="AQ133" i="50" s="1"/>
  <c r="E132" i="50"/>
  <c r="AQ132" i="50" s="1"/>
  <c r="AG59" i="50"/>
  <c r="BS59" i="50" s="1"/>
  <c r="AG58" i="50"/>
  <c r="BS58" i="50" s="1"/>
  <c r="AG57" i="50"/>
  <c r="BS57" i="50" s="1"/>
  <c r="AG56" i="50"/>
  <c r="BS56" i="50" s="1"/>
  <c r="AG55" i="50"/>
  <c r="BS55" i="50" s="1"/>
  <c r="AG54" i="50"/>
  <c r="BS54" i="50" s="1"/>
  <c r="AG53" i="50"/>
  <c r="BS53" i="50" s="1"/>
  <c r="AG52" i="50"/>
  <c r="BS52" i="50" s="1"/>
  <c r="AG51" i="50"/>
  <c r="BS51" i="50" s="1"/>
  <c r="AG50" i="50"/>
  <c r="BS50" i="50" s="1"/>
  <c r="AG49" i="50"/>
  <c r="BS49" i="50" s="1"/>
  <c r="AG48" i="50"/>
  <c r="BS48" i="50" s="1"/>
  <c r="AG47" i="50"/>
  <c r="BS47" i="50" s="1"/>
  <c r="AG46" i="50"/>
  <c r="BS46" i="50" s="1"/>
  <c r="AG45" i="50"/>
  <c r="BS45" i="50" s="1"/>
  <c r="AG43" i="50"/>
  <c r="BS43" i="50" s="1"/>
  <c r="AG42" i="50"/>
  <c r="BS42" i="50" s="1"/>
  <c r="AG41" i="50"/>
  <c r="BS41" i="50" s="1"/>
  <c r="AG40" i="50"/>
  <c r="BS40" i="50" s="1"/>
  <c r="AG39" i="50"/>
  <c r="BS39" i="50" s="1"/>
  <c r="AG37" i="50"/>
  <c r="BS37" i="50" s="1"/>
  <c r="AG36" i="50"/>
  <c r="BS36" i="50" s="1"/>
  <c r="Z59" i="50"/>
  <c r="BL59" i="50" s="1"/>
  <c r="Z58" i="50"/>
  <c r="BL58" i="50" s="1"/>
  <c r="Z57" i="50"/>
  <c r="BL57" i="50" s="1"/>
  <c r="Z56" i="50"/>
  <c r="BL56" i="50" s="1"/>
  <c r="Z55" i="50"/>
  <c r="BL55" i="50" s="1"/>
  <c r="Z54" i="50"/>
  <c r="BL54" i="50" s="1"/>
  <c r="Z53" i="50"/>
  <c r="BL53" i="50" s="1"/>
  <c r="Z52" i="50"/>
  <c r="BL52" i="50" s="1"/>
  <c r="Z51" i="50"/>
  <c r="BL51" i="50" s="1"/>
  <c r="Z50" i="50"/>
  <c r="BL50" i="50" s="1"/>
  <c r="Z49" i="50"/>
  <c r="BL49" i="50" s="1"/>
  <c r="Z48" i="50"/>
  <c r="BL48" i="50" s="1"/>
  <c r="Z47" i="50"/>
  <c r="BL47" i="50" s="1"/>
  <c r="Z46" i="50"/>
  <c r="BL46" i="50" s="1"/>
  <c r="Z45" i="50"/>
  <c r="BL45" i="50" s="1"/>
  <c r="Z43" i="50"/>
  <c r="BL43" i="50" s="1"/>
  <c r="Z42" i="50"/>
  <c r="BL42" i="50" s="1"/>
  <c r="Z41" i="50"/>
  <c r="BL41" i="50" s="1"/>
  <c r="Z40" i="50"/>
  <c r="BL40" i="50" s="1"/>
  <c r="Z39" i="50"/>
  <c r="BL39" i="50" s="1"/>
  <c r="Z37" i="50"/>
  <c r="BL37" i="50" s="1"/>
  <c r="Z36" i="50"/>
  <c r="BL36" i="50" s="1"/>
  <c r="S59" i="50"/>
  <c r="BE59" i="50" s="1"/>
  <c r="S58" i="50"/>
  <c r="BE58" i="50" s="1"/>
  <c r="S57" i="50"/>
  <c r="BE57" i="50" s="1"/>
  <c r="S56" i="50"/>
  <c r="BE56" i="50" s="1"/>
  <c r="S55" i="50"/>
  <c r="BE55" i="50" s="1"/>
  <c r="S54" i="50"/>
  <c r="BE54" i="50" s="1"/>
  <c r="S53" i="50"/>
  <c r="BE53" i="50" s="1"/>
  <c r="S52" i="50"/>
  <c r="BE52" i="50" s="1"/>
  <c r="S51" i="50"/>
  <c r="BE51" i="50" s="1"/>
  <c r="S50" i="50"/>
  <c r="BE50" i="50" s="1"/>
  <c r="S49" i="50"/>
  <c r="BE49" i="50" s="1"/>
  <c r="S48" i="50"/>
  <c r="BE48" i="50" s="1"/>
  <c r="S47" i="50"/>
  <c r="BE47" i="50" s="1"/>
  <c r="S46" i="50"/>
  <c r="BE46" i="50" s="1"/>
  <c r="S45" i="50"/>
  <c r="BE45" i="50" s="1"/>
  <c r="S43" i="50"/>
  <c r="BE43" i="50" s="1"/>
  <c r="S42" i="50"/>
  <c r="BE42" i="50" s="1"/>
  <c r="S41" i="50"/>
  <c r="BE41" i="50" s="1"/>
  <c r="S40" i="50"/>
  <c r="BE40" i="50" s="1"/>
  <c r="S39" i="50"/>
  <c r="BE39" i="50" s="1"/>
  <c r="S37" i="50"/>
  <c r="BE37" i="50" s="1"/>
  <c r="S36" i="50"/>
  <c r="BE36" i="50" s="1"/>
  <c r="L59" i="50"/>
  <c r="AX59" i="50" s="1"/>
  <c r="L58" i="50"/>
  <c r="AX58" i="50" s="1"/>
  <c r="L57" i="50"/>
  <c r="AX57" i="50" s="1"/>
  <c r="L56" i="50"/>
  <c r="AX56" i="50" s="1"/>
  <c r="L55" i="50"/>
  <c r="AX55" i="50" s="1"/>
  <c r="L54" i="50"/>
  <c r="AX54" i="50" s="1"/>
  <c r="L53" i="50"/>
  <c r="AX53" i="50" s="1"/>
  <c r="L52" i="50"/>
  <c r="AX52" i="50" s="1"/>
  <c r="L51" i="50"/>
  <c r="AX51" i="50" s="1"/>
  <c r="L50" i="50"/>
  <c r="AX50" i="50" s="1"/>
  <c r="L49" i="50"/>
  <c r="AX49" i="50" s="1"/>
  <c r="L48" i="50"/>
  <c r="AX48" i="50" s="1"/>
  <c r="L47" i="50"/>
  <c r="AX47" i="50" s="1"/>
  <c r="L46" i="50"/>
  <c r="AX46" i="50" s="1"/>
  <c r="L45" i="50"/>
  <c r="AX45" i="50" s="1"/>
  <c r="L43" i="50"/>
  <c r="AX43" i="50" s="1"/>
  <c r="L42" i="50"/>
  <c r="AX42" i="50" s="1"/>
  <c r="L41" i="50"/>
  <c r="AX41" i="50" s="1"/>
  <c r="L40" i="50"/>
  <c r="AX40" i="50" s="1"/>
  <c r="L39" i="50"/>
  <c r="AX39" i="50" s="1"/>
  <c r="L37" i="50"/>
  <c r="AX37" i="50" s="1"/>
  <c r="L36" i="50"/>
  <c r="AX36" i="50" s="1"/>
  <c r="T127" i="85" l="1"/>
  <c r="O69" i="76"/>
  <c r="N28" i="58"/>
  <c r="Q79" i="76"/>
  <c r="O31" i="58"/>
  <c r="M83" i="76"/>
  <c r="S29" i="58"/>
  <c r="Q97" i="76"/>
  <c r="T28" i="58"/>
  <c r="Z114" i="85"/>
  <c r="N30" i="58"/>
  <c r="Q28" i="58"/>
  <c r="Z92" i="85"/>
  <c r="M76" i="76"/>
  <c r="R29" i="58"/>
  <c r="T125" i="85"/>
  <c r="AA92" i="85"/>
  <c r="X134" i="85"/>
  <c r="T134" i="85"/>
  <c r="T126" i="85"/>
  <c r="Y136" i="85"/>
  <c r="AA19" i="85"/>
  <c r="Z40" i="85"/>
  <c r="M90" i="76"/>
  <c r="U31" i="58"/>
  <c r="W134" i="85"/>
  <c r="U136" i="85"/>
  <c r="Z19" i="85"/>
  <c r="Y134" i="85"/>
  <c r="AA134" i="85" s="1"/>
  <c r="AA17" i="85"/>
  <c r="M100" i="76"/>
  <c r="T30" i="58"/>
  <c r="AA59" i="85"/>
  <c r="Z90" i="85"/>
  <c r="AA114" i="85"/>
  <c r="Z59" i="85"/>
  <c r="S30" i="58"/>
  <c r="X136" i="85"/>
  <c r="Z17" i="85"/>
  <c r="U134" i="85"/>
  <c r="Z134" i="85" s="1"/>
  <c r="T136" i="85"/>
  <c r="V136" i="85"/>
  <c r="W136" i="85"/>
  <c r="V134" i="85"/>
  <c r="AA38" i="85"/>
  <c r="AA90" i="85"/>
  <c r="Z61" i="85"/>
  <c r="BP33" i="60"/>
  <c r="BX31" i="60"/>
  <c r="BP44" i="60"/>
  <c r="BP68" i="60"/>
  <c r="Q72" i="76"/>
  <c r="BT38" i="60"/>
  <c r="CB36" i="60"/>
  <c r="AZ35" i="60"/>
  <c r="BH33" i="60"/>
  <c r="BP31" i="60"/>
  <c r="BD42" i="60"/>
  <c r="BX44" i="60"/>
  <c r="BH48" i="60"/>
  <c r="CF66" i="60"/>
  <c r="BX68" i="60"/>
  <c r="T31" i="58"/>
  <c r="R28" i="58"/>
  <c r="AZ37" i="60"/>
  <c r="AZ48" i="60"/>
  <c r="CF40" i="60"/>
  <c r="BL38" i="60"/>
  <c r="BT36" i="60"/>
  <c r="CB34" i="60"/>
  <c r="AZ33" i="60"/>
  <c r="BH31" i="60"/>
  <c r="BL42" i="60"/>
  <c r="CF44" i="60"/>
  <c r="BP48" i="60"/>
  <c r="BD67" i="60"/>
  <c r="CF68" i="60"/>
  <c r="CD39" i="60"/>
  <c r="BX33" i="60"/>
  <c r="BH44" i="60"/>
  <c r="BH68" i="60"/>
  <c r="BD38" i="60"/>
  <c r="BT42" i="60"/>
  <c r="X91" i="1"/>
  <c r="BP40" i="60"/>
  <c r="CF37" i="60"/>
  <c r="BD36" i="60"/>
  <c r="BL34" i="60"/>
  <c r="BT32" i="60"/>
  <c r="CI30" i="60"/>
  <c r="CB42" i="60"/>
  <c r="BL46" i="60"/>
  <c r="CF48" i="60"/>
  <c r="BT67" i="60"/>
  <c r="BH37" i="60"/>
  <c r="CF31" i="60"/>
  <c r="CD47" i="60"/>
  <c r="CB38" i="60"/>
  <c r="BH35" i="60"/>
  <c r="BC30" i="60"/>
  <c r="BX66" i="60"/>
  <c r="BT34" i="60"/>
  <c r="AZ31" i="60"/>
  <c r="BX48" i="60"/>
  <c r="P110" i="76"/>
  <c r="M93" i="76"/>
  <c r="N93" i="76"/>
  <c r="Q93" i="76"/>
  <c r="L93" i="76"/>
  <c r="O93" i="76"/>
  <c r="P93" i="76"/>
  <c r="U92" i="1"/>
  <c r="Q86" i="76"/>
  <c r="BH40" i="60"/>
  <c r="BX37" i="60"/>
  <c r="CF35" i="60"/>
  <c r="BD34" i="60"/>
  <c r="BL32" i="60"/>
  <c r="CA30" i="60"/>
  <c r="CD43" i="60"/>
  <c r="BT46" i="60"/>
  <c r="AZ66" i="60"/>
  <c r="CB67" i="60"/>
  <c r="U29" i="58"/>
  <c r="BP35" i="60"/>
  <c r="BK30" i="60"/>
  <c r="BP66" i="60"/>
  <c r="BX40" i="60"/>
  <c r="BL36" i="60"/>
  <c r="CB32" i="60"/>
  <c r="BD46" i="60"/>
  <c r="BL67" i="60"/>
  <c r="AZ40" i="60"/>
  <c r="BP37" i="60"/>
  <c r="BX35" i="60"/>
  <c r="CF33" i="60"/>
  <c r="BD32" i="60"/>
  <c r="BS30" i="60"/>
  <c r="AZ44" i="60"/>
  <c r="CB46" i="60"/>
  <c r="BH66" i="60"/>
  <c r="AZ68" i="60"/>
  <c r="Y91" i="1"/>
  <c r="N69" i="76"/>
  <c r="N76" i="76"/>
  <c r="N83" i="76"/>
  <c r="N90" i="76"/>
  <c r="N100" i="76"/>
  <c r="CE40" i="60"/>
  <c r="BW40" i="60"/>
  <c r="BO40" i="60"/>
  <c r="BG40" i="60"/>
  <c r="CL39" i="60"/>
  <c r="CI38" i="60"/>
  <c r="CA38" i="60"/>
  <c r="BS38" i="60"/>
  <c r="BK38" i="60"/>
  <c r="BC38" i="60"/>
  <c r="CE37" i="60"/>
  <c r="BW37" i="60"/>
  <c r="BO37" i="60"/>
  <c r="BG37" i="60"/>
  <c r="CI36" i="60"/>
  <c r="CA36" i="60"/>
  <c r="BS36" i="60"/>
  <c r="BK36" i="60"/>
  <c r="BC36" i="60"/>
  <c r="CE35" i="60"/>
  <c r="BW35" i="60"/>
  <c r="BO35" i="60"/>
  <c r="BG35" i="60"/>
  <c r="CI34" i="60"/>
  <c r="CA34" i="60"/>
  <c r="BS34" i="60"/>
  <c r="BK34" i="60"/>
  <c r="BC34" i="60"/>
  <c r="CE33" i="60"/>
  <c r="BW33" i="60"/>
  <c r="BO33" i="60"/>
  <c r="BG33" i="60"/>
  <c r="CI32" i="60"/>
  <c r="CA32" i="60"/>
  <c r="BS32" i="60"/>
  <c r="BK32" i="60"/>
  <c r="BC32" i="60"/>
  <c r="CE31" i="60"/>
  <c r="BW31" i="60"/>
  <c r="BO31" i="60"/>
  <c r="BG31" i="60"/>
  <c r="CH30" i="60"/>
  <c r="BZ30" i="60"/>
  <c r="BR30" i="60"/>
  <c r="BJ30" i="60"/>
  <c r="BB30" i="60"/>
  <c r="BE42" i="60"/>
  <c r="BM42" i="60"/>
  <c r="BU42" i="60"/>
  <c r="CC42" i="60"/>
  <c r="CK42" i="60"/>
  <c r="CE43" i="60"/>
  <c r="BA44" i="60"/>
  <c r="BI44" i="60"/>
  <c r="BQ44" i="60"/>
  <c r="BY44" i="60"/>
  <c r="CG44" i="60"/>
  <c r="BE46" i="60"/>
  <c r="BM46" i="60"/>
  <c r="BU46" i="60"/>
  <c r="CC46" i="60"/>
  <c r="CK46" i="60"/>
  <c r="CE47" i="60"/>
  <c r="BA48" i="60"/>
  <c r="BI48" i="60"/>
  <c r="BQ48" i="60"/>
  <c r="BY48" i="60"/>
  <c r="CG48" i="60"/>
  <c r="BA66" i="60"/>
  <c r="BI66" i="60"/>
  <c r="BQ66" i="60"/>
  <c r="BY66" i="60"/>
  <c r="CG66" i="60"/>
  <c r="BE67" i="60"/>
  <c r="BM67" i="60"/>
  <c r="BU67" i="60"/>
  <c r="CC67" i="60"/>
  <c r="CK67" i="60"/>
  <c r="BA68" i="60"/>
  <c r="BI68" i="60"/>
  <c r="BQ68" i="60"/>
  <c r="BY68" i="60"/>
  <c r="CG68" i="60"/>
  <c r="N29" i="58"/>
  <c r="U30" i="58"/>
  <c r="T29" i="58"/>
  <c r="S28" i="58"/>
  <c r="U84" i="1"/>
  <c r="Z91" i="1"/>
  <c r="M69" i="76"/>
  <c r="O76" i="76"/>
  <c r="O83" i="76"/>
  <c r="O90" i="76"/>
  <c r="O100" i="76"/>
  <c r="U132" i="1"/>
  <c r="CL40" i="60"/>
  <c r="CD40" i="60"/>
  <c r="BV40" i="60"/>
  <c r="BN40" i="60"/>
  <c r="BF40" i="60"/>
  <c r="CK39" i="60"/>
  <c r="CH38" i="60"/>
  <c r="BZ38" i="60"/>
  <c r="BR38" i="60"/>
  <c r="BJ38" i="60"/>
  <c r="BB38" i="60"/>
  <c r="CL37" i="60"/>
  <c r="CD37" i="60"/>
  <c r="BV37" i="60"/>
  <c r="BN37" i="60"/>
  <c r="BF37" i="60"/>
  <c r="CH36" i="60"/>
  <c r="BZ36" i="60"/>
  <c r="BR36" i="60"/>
  <c r="BJ36" i="60"/>
  <c r="BB36" i="60"/>
  <c r="CL35" i="60"/>
  <c r="CD35" i="60"/>
  <c r="BV35" i="60"/>
  <c r="BN35" i="60"/>
  <c r="BF35" i="60"/>
  <c r="CH34" i="60"/>
  <c r="BZ34" i="60"/>
  <c r="BR34" i="60"/>
  <c r="BJ34" i="60"/>
  <c r="BB34" i="60"/>
  <c r="CL33" i="60"/>
  <c r="CD33" i="60"/>
  <c r="BV33" i="60"/>
  <c r="BN33" i="60"/>
  <c r="BF33" i="60"/>
  <c r="CH32" i="60"/>
  <c r="BZ32" i="60"/>
  <c r="BR32" i="60"/>
  <c r="BJ32" i="60"/>
  <c r="BB32" i="60"/>
  <c r="CL31" i="60"/>
  <c r="CD31" i="60"/>
  <c r="BV31" i="60"/>
  <c r="BN31" i="60"/>
  <c r="BF31" i="60"/>
  <c r="CG30" i="60"/>
  <c r="BY30" i="60"/>
  <c r="BQ30" i="60"/>
  <c r="BI30" i="60"/>
  <c r="BA30" i="60"/>
  <c r="BF42" i="60"/>
  <c r="BN42" i="60"/>
  <c r="BV42" i="60"/>
  <c r="CD42" i="60"/>
  <c r="CL42" i="60"/>
  <c r="CF43" i="60"/>
  <c r="BB44" i="60"/>
  <c r="BJ44" i="60"/>
  <c r="BR44" i="60"/>
  <c r="BZ44" i="60"/>
  <c r="CH44" i="60"/>
  <c r="BF46" i="60"/>
  <c r="BN46" i="60"/>
  <c r="BV46" i="60"/>
  <c r="CD46" i="60"/>
  <c r="CL46" i="60"/>
  <c r="CF47" i="60"/>
  <c r="BB48" i="60"/>
  <c r="BJ48" i="60"/>
  <c r="BR48" i="60"/>
  <c r="BZ48" i="60"/>
  <c r="CH48" i="60"/>
  <c r="BB66" i="60"/>
  <c r="BJ66" i="60"/>
  <c r="BR66" i="60"/>
  <c r="BZ66" i="60"/>
  <c r="CH66" i="60"/>
  <c r="BF67" i="60"/>
  <c r="BN67" i="60"/>
  <c r="BV67" i="60"/>
  <c r="CD67" i="60"/>
  <c r="CL67" i="60"/>
  <c r="BB68" i="60"/>
  <c r="BJ68" i="60"/>
  <c r="BR68" i="60"/>
  <c r="BZ68" i="60"/>
  <c r="CH68" i="60"/>
  <c r="U86" i="1"/>
  <c r="V92" i="1"/>
  <c r="L72" i="76"/>
  <c r="P76" i="76"/>
  <c r="L79" i="76"/>
  <c r="P83" i="76"/>
  <c r="L86" i="76"/>
  <c r="P90" i="76"/>
  <c r="L97" i="76"/>
  <c r="P100" i="76"/>
  <c r="L110" i="76"/>
  <c r="CK40" i="60"/>
  <c r="CC40" i="60"/>
  <c r="BU40" i="60"/>
  <c r="BM40" i="60"/>
  <c r="BE40" i="60"/>
  <c r="CI39" i="60"/>
  <c r="CG38" i="60"/>
  <c r="BY38" i="60"/>
  <c r="BQ38" i="60"/>
  <c r="BI38" i="60"/>
  <c r="BA38" i="60"/>
  <c r="CK37" i="60"/>
  <c r="CC37" i="60"/>
  <c r="BU37" i="60"/>
  <c r="BM37" i="60"/>
  <c r="BE37" i="60"/>
  <c r="CG36" i="60"/>
  <c r="BY36" i="60"/>
  <c r="BQ36" i="60"/>
  <c r="BI36" i="60"/>
  <c r="BA36" i="60"/>
  <c r="CK35" i="60"/>
  <c r="CC35" i="60"/>
  <c r="BU35" i="60"/>
  <c r="BM35" i="60"/>
  <c r="BE35" i="60"/>
  <c r="CG34" i="60"/>
  <c r="BY34" i="60"/>
  <c r="BQ34" i="60"/>
  <c r="BI34" i="60"/>
  <c r="BA34" i="60"/>
  <c r="CK33" i="60"/>
  <c r="CC33" i="60"/>
  <c r="BU33" i="60"/>
  <c r="BM33" i="60"/>
  <c r="BE33" i="60"/>
  <c r="CG32" i="60"/>
  <c r="BY32" i="60"/>
  <c r="BQ32" i="60"/>
  <c r="BI32" i="60"/>
  <c r="BA32" i="60"/>
  <c r="CK31" i="60"/>
  <c r="CC31" i="60"/>
  <c r="BU31" i="60"/>
  <c r="BM31" i="60"/>
  <c r="BE31" i="60"/>
  <c r="CF30" i="60"/>
  <c r="BX30" i="60"/>
  <c r="BP30" i="60"/>
  <c r="BH30" i="60"/>
  <c r="AZ30" i="60"/>
  <c r="BG42" i="60"/>
  <c r="BO42" i="60"/>
  <c r="BW42" i="60"/>
  <c r="CE42" i="60"/>
  <c r="CG43" i="60"/>
  <c r="BC44" i="60"/>
  <c r="BK44" i="60"/>
  <c r="BS44" i="60"/>
  <c r="CA44" i="60"/>
  <c r="CI44" i="60"/>
  <c r="BG46" i="60"/>
  <c r="BO46" i="60"/>
  <c r="BW46" i="60"/>
  <c r="CE46" i="60"/>
  <c r="CG47" i="60"/>
  <c r="BC48" i="60"/>
  <c r="BK48" i="60"/>
  <c r="BS48" i="60"/>
  <c r="CA48" i="60"/>
  <c r="CI48" i="60"/>
  <c r="BC66" i="60"/>
  <c r="BK66" i="60"/>
  <c r="BS66" i="60"/>
  <c r="CA66" i="60"/>
  <c r="CI66" i="60"/>
  <c r="BG67" i="60"/>
  <c r="BO67" i="60"/>
  <c r="BW67" i="60"/>
  <c r="CE67" i="60"/>
  <c r="BC68" i="60"/>
  <c r="BK68" i="60"/>
  <c r="BS68" i="60"/>
  <c r="CA68" i="60"/>
  <c r="CI68" i="60"/>
  <c r="U88" i="1"/>
  <c r="W92" i="1"/>
  <c r="M72" i="76"/>
  <c r="Q76" i="76"/>
  <c r="M79" i="76"/>
  <c r="Q83" i="76"/>
  <c r="M86" i="76"/>
  <c r="Q90" i="76"/>
  <c r="M97" i="76"/>
  <c r="Q100" i="76"/>
  <c r="M110" i="76"/>
  <c r="CB40" i="60"/>
  <c r="BT40" i="60"/>
  <c r="BL40" i="60"/>
  <c r="BD40" i="60"/>
  <c r="CH39" i="60"/>
  <c r="CF38" i="60"/>
  <c r="BX38" i="60"/>
  <c r="BP38" i="60"/>
  <c r="BH38" i="60"/>
  <c r="AZ38" i="60"/>
  <c r="CB37" i="60"/>
  <c r="BT37" i="60"/>
  <c r="BL37" i="60"/>
  <c r="BD37" i="60"/>
  <c r="CF36" i="60"/>
  <c r="BX36" i="60"/>
  <c r="BP36" i="60"/>
  <c r="BH36" i="60"/>
  <c r="AZ36" i="60"/>
  <c r="CB35" i="60"/>
  <c r="BT35" i="60"/>
  <c r="BL35" i="60"/>
  <c r="BD35" i="60"/>
  <c r="CF34" i="60"/>
  <c r="BX34" i="60"/>
  <c r="BP34" i="60"/>
  <c r="BH34" i="60"/>
  <c r="AZ34" i="60"/>
  <c r="CB33" i="60"/>
  <c r="BT33" i="60"/>
  <c r="BL33" i="60"/>
  <c r="BD33" i="60"/>
  <c r="CF32" i="60"/>
  <c r="BX32" i="60"/>
  <c r="BP32" i="60"/>
  <c r="BH32" i="60"/>
  <c r="AZ32" i="60"/>
  <c r="CB31" i="60"/>
  <c r="BT31" i="60"/>
  <c r="BL31" i="60"/>
  <c r="BD31" i="60"/>
  <c r="CE30" i="60"/>
  <c r="BW30" i="60"/>
  <c r="BO30" i="60"/>
  <c r="BG30" i="60"/>
  <c r="AZ42" i="60"/>
  <c r="BH42" i="60"/>
  <c r="BP42" i="60"/>
  <c r="BX42" i="60"/>
  <c r="CF42" i="60"/>
  <c r="CH43" i="60"/>
  <c r="BD44" i="60"/>
  <c r="BL44" i="60"/>
  <c r="BT44" i="60"/>
  <c r="CB44" i="60"/>
  <c r="AZ46" i="60"/>
  <c r="BH46" i="60"/>
  <c r="BP46" i="60"/>
  <c r="BX46" i="60"/>
  <c r="CF46" i="60"/>
  <c r="CH47" i="60"/>
  <c r="BD48" i="60"/>
  <c r="BL48" i="60"/>
  <c r="BT48" i="60"/>
  <c r="CB48" i="60"/>
  <c r="BD66" i="60"/>
  <c r="BL66" i="60"/>
  <c r="BT66" i="60"/>
  <c r="CB66" i="60"/>
  <c r="AZ67" i="60"/>
  <c r="BH67" i="60"/>
  <c r="BP67" i="60"/>
  <c r="BX67" i="60"/>
  <c r="CF67" i="60"/>
  <c r="BD68" i="60"/>
  <c r="BL68" i="60"/>
  <c r="BT68" i="60"/>
  <c r="CB68" i="60"/>
  <c r="S31" i="58"/>
  <c r="R30" i="58"/>
  <c r="Q29" i="58"/>
  <c r="P28" i="58"/>
  <c r="U91" i="1"/>
  <c r="X92" i="1"/>
  <c r="N72" i="76"/>
  <c r="N79" i="76"/>
  <c r="N86" i="76"/>
  <c r="N97" i="76"/>
  <c r="N110" i="76"/>
  <c r="CI40" i="60"/>
  <c r="CA40" i="60"/>
  <c r="BS40" i="60"/>
  <c r="BK40" i="60"/>
  <c r="BC40" i="60"/>
  <c r="CG39" i="60"/>
  <c r="CE38" i="60"/>
  <c r="BW38" i="60"/>
  <c r="BO38" i="60"/>
  <c r="BG38" i="60"/>
  <c r="CI37" i="60"/>
  <c r="CA37" i="60"/>
  <c r="BS37" i="60"/>
  <c r="BK37" i="60"/>
  <c r="BC37" i="60"/>
  <c r="CE36" i="60"/>
  <c r="BW36" i="60"/>
  <c r="BO36" i="60"/>
  <c r="BG36" i="60"/>
  <c r="CI35" i="60"/>
  <c r="CA35" i="60"/>
  <c r="BS35" i="60"/>
  <c r="BK35" i="60"/>
  <c r="BC35" i="60"/>
  <c r="CE34" i="60"/>
  <c r="BW34" i="60"/>
  <c r="BO34" i="60"/>
  <c r="BG34" i="60"/>
  <c r="CI33" i="60"/>
  <c r="CA33" i="60"/>
  <c r="BS33" i="60"/>
  <c r="BK33" i="60"/>
  <c r="BC33" i="60"/>
  <c r="CE32" i="60"/>
  <c r="BW32" i="60"/>
  <c r="BO32" i="60"/>
  <c r="BG32" i="60"/>
  <c r="CI31" i="60"/>
  <c r="CA31" i="60"/>
  <c r="BS31" i="60"/>
  <c r="BK31" i="60"/>
  <c r="BC31" i="60"/>
  <c r="CD30" i="60"/>
  <c r="BV30" i="60"/>
  <c r="BN30" i="60"/>
  <c r="BF30" i="60"/>
  <c r="BA42" i="60"/>
  <c r="BI42" i="60"/>
  <c r="BQ42" i="60"/>
  <c r="BY42" i="60"/>
  <c r="CG42" i="60"/>
  <c r="CI43" i="60"/>
  <c r="BE44" i="60"/>
  <c r="BM44" i="60"/>
  <c r="BU44" i="60"/>
  <c r="CC44" i="60"/>
  <c r="CK44" i="60"/>
  <c r="BA46" i="60"/>
  <c r="BI46" i="60"/>
  <c r="BQ46" i="60"/>
  <c r="BY46" i="60"/>
  <c r="CG46" i="60"/>
  <c r="CI47" i="60"/>
  <c r="BE48" i="60"/>
  <c r="BM48" i="60"/>
  <c r="BU48" i="60"/>
  <c r="CC48" i="60"/>
  <c r="CK48" i="60"/>
  <c r="BE66" i="60"/>
  <c r="BM66" i="60"/>
  <c r="BU66" i="60"/>
  <c r="CC66" i="60"/>
  <c r="CK66" i="60"/>
  <c r="BA67" i="60"/>
  <c r="BI67" i="60"/>
  <c r="BQ67" i="60"/>
  <c r="BY67" i="60"/>
  <c r="CG67" i="60"/>
  <c r="BE68" i="60"/>
  <c r="BM68" i="60"/>
  <c r="BU68" i="60"/>
  <c r="CC68" i="60"/>
  <c r="CK68" i="60"/>
  <c r="R31" i="58"/>
  <c r="Q30" i="58"/>
  <c r="P29" i="58"/>
  <c r="O28" i="58"/>
  <c r="V91" i="1"/>
  <c r="Y92" i="1"/>
  <c r="Q69" i="76"/>
  <c r="O72" i="76"/>
  <c r="O79" i="76"/>
  <c r="O86" i="76"/>
  <c r="O97" i="76"/>
  <c r="O110" i="76"/>
  <c r="CH40" i="60"/>
  <c r="BZ40" i="60"/>
  <c r="BR40" i="60"/>
  <c r="BJ40" i="60"/>
  <c r="BB40" i="60"/>
  <c r="CF39" i="60"/>
  <c r="CL38" i="60"/>
  <c r="CD38" i="60"/>
  <c r="BV38" i="60"/>
  <c r="BN38" i="60"/>
  <c r="BF38" i="60"/>
  <c r="CH37" i="60"/>
  <c r="BZ37" i="60"/>
  <c r="BR37" i="60"/>
  <c r="BJ37" i="60"/>
  <c r="BB37" i="60"/>
  <c r="CL36" i="60"/>
  <c r="CD36" i="60"/>
  <c r="BV36" i="60"/>
  <c r="BN36" i="60"/>
  <c r="BF36" i="60"/>
  <c r="CH35" i="60"/>
  <c r="BZ35" i="60"/>
  <c r="BR35" i="60"/>
  <c r="BJ35" i="60"/>
  <c r="BB35" i="60"/>
  <c r="CL34" i="60"/>
  <c r="CD34" i="60"/>
  <c r="BV34" i="60"/>
  <c r="BN34" i="60"/>
  <c r="BF34" i="60"/>
  <c r="CH33" i="60"/>
  <c r="BZ33" i="60"/>
  <c r="BR33" i="60"/>
  <c r="BJ33" i="60"/>
  <c r="BB33" i="60"/>
  <c r="CL32" i="60"/>
  <c r="CD32" i="60"/>
  <c r="BV32" i="60"/>
  <c r="BN32" i="60"/>
  <c r="BF32" i="60"/>
  <c r="CH31" i="60"/>
  <c r="BZ31" i="60"/>
  <c r="BR31" i="60"/>
  <c r="BJ31" i="60"/>
  <c r="BB31" i="60"/>
  <c r="CL30" i="60"/>
  <c r="CC30" i="60"/>
  <c r="BU30" i="60"/>
  <c r="BM30" i="60"/>
  <c r="BE30" i="60"/>
  <c r="BB42" i="60"/>
  <c r="BJ42" i="60"/>
  <c r="BR42" i="60"/>
  <c r="BZ42" i="60"/>
  <c r="CH42" i="60"/>
  <c r="CK43" i="60"/>
  <c r="BF44" i="60"/>
  <c r="BN44" i="60"/>
  <c r="BV44" i="60"/>
  <c r="CD44" i="60"/>
  <c r="CL44" i="60"/>
  <c r="BB46" i="60"/>
  <c r="BJ46" i="60"/>
  <c r="BR46" i="60"/>
  <c r="BZ46" i="60"/>
  <c r="CH46" i="60"/>
  <c r="CK47" i="60"/>
  <c r="BF48" i="60"/>
  <c r="BN48" i="60"/>
  <c r="BV48" i="60"/>
  <c r="CD48" i="60"/>
  <c r="CL48" i="60"/>
  <c r="BF66" i="60"/>
  <c r="BN66" i="60"/>
  <c r="BV66" i="60"/>
  <c r="CD66" i="60"/>
  <c r="CL66" i="60"/>
  <c r="BB67" i="60"/>
  <c r="BJ67" i="60"/>
  <c r="BR67" i="60"/>
  <c r="BZ67" i="60"/>
  <c r="CH67" i="60"/>
  <c r="BF68" i="60"/>
  <c r="BN68" i="60"/>
  <c r="BV68" i="60"/>
  <c r="CD68" i="60"/>
  <c r="CL68" i="60"/>
  <c r="Q31" i="58"/>
  <c r="P30" i="58"/>
  <c r="O29" i="58"/>
  <c r="W91" i="1"/>
  <c r="L69" i="76"/>
  <c r="P69" i="76"/>
  <c r="P72" i="76"/>
  <c r="L76" i="76"/>
  <c r="P79" i="76"/>
  <c r="L83" i="76"/>
  <c r="P86" i="76"/>
  <c r="L90" i="76"/>
  <c r="P97" i="76"/>
  <c r="L100" i="76"/>
  <c r="CG40" i="60"/>
  <c r="BY40" i="60"/>
  <c r="BQ40" i="60"/>
  <c r="BI40" i="60"/>
  <c r="BA40" i="60"/>
  <c r="CE39" i="60"/>
  <c r="CK38" i="60"/>
  <c r="CC38" i="60"/>
  <c r="BU38" i="60"/>
  <c r="BM38" i="60"/>
  <c r="BE38" i="60"/>
  <c r="CG37" i="60"/>
  <c r="BY37" i="60"/>
  <c r="BQ37" i="60"/>
  <c r="BI37" i="60"/>
  <c r="BA37" i="60"/>
  <c r="CK36" i="60"/>
  <c r="CC36" i="60"/>
  <c r="BU36" i="60"/>
  <c r="BM36" i="60"/>
  <c r="BE36" i="60"/>
  <c r="CG35" i="60"/>
  <c r="BY35" i="60"/>
  <c r="BQ35" i="60"/>
  <c r="BI35" i="60"/>
  <c r="BA35" i="60"/>
  <c r="CK34" i="60"/>
  <c r="CC34" i="60"/>
  <c r="BU34" i="60"/>
  <c r="BM34" i="60"/>
  <c r="BE34" i="60"/>
  <c r="CG33" i="60"/>
  <c r="BY33" i="60"/>
  <c r="BQ33" i="60"/>
  <c r="BI33" i="60"/>
  <c r="BA33" i="60"/>
  <c r="CK32" i="60"/>
  <c r="CC32" i="60"/>
  <c r="BU32" i="60"/>
  <c r="BM32" i="60"/>
  <c r="BE32" i="60"/>
  <c r="CG31" i="60"/>
  <c r="BY31" i="60"/>
  <c r="BQ31" i="60"/>
  <c r="BI31" i="60"/>
  <c r="BA31" i="60"/>
  <c r="CK30" i="60"/>
  <c r="CB30" i="60"/>
  <c r="BT30" i="60"/>
  <c r="BL30" i="60"/>
  <c r="BD30" i="60"/>
  <c r="BC42" i="60"/>
  <c r="BK42" i="60"/>
  <c r="BS42" i="60"/>
  <c r="CA42" i="60"/>
  <c r="CI42" i="60"/>
  <c r="CL43" i="60"/>
  <c r="BG44" i="60"/>
  <c r="BO44" i="60"/>
  <c r="BW44" i="60"/>
  <c r="CE44" i="60"/>
  <c r="BC46" i="60"/>
  <c r="BK46" i="60"/>
  <c r="BS46" i="60"/>
  <c r="CA46" i="60"/>
  <c r="CI46" i="60"/>
  <c r="CL47" i="60"/>
  <c r="BG48" i="60"/>
  <c r="BO48" i="60"/>
  <c r="BW48" i="60"/>
  <c r="CE48" i="60"/>
  <c r="BG66" i="60"/>
  <c r="BO66" i="60"/>
  <c r="BW66" i="60"/>
  <c r="CE66" i="60"/>
  <c r="BC67" i="60"/>
  <c r="BK67" i="60"/>
  <c r="BS67" i="60"/>
  <c r="CA67" i="60"/>
  <c r="CI67" i="60"/>
  <c r="BG68" i="60"/>
  <c r="BO68" i="60"/>
  <c r="BW68" i="60"/>
  <c r="N31" i="58"/>
  <c r="P31" i="58"/>
  <c r="O30" i="58"/>
  <c r="S81" i="62"/>
  <c r="BJ81" i="62" s="1"/>
  <c r="BJ32" i="62"/>
  <c r="S82" i="62"/>
  <c r="BJ82" i="62" s="1"/>
  <c r="BJ33" i="62"/>
  <c r="AA152" i="46"/>
  <c r="Y150" i="46"/>
  <c r="AC146" i="46"/>
  <c r="AA144" i="46"/>
  <c r="AC139" i="46"/>
  <c r="AA138" i="46"/>
  <c r="Y137" i="46"/>
  <c r="AC135" i="46"/>
  <c r="AA134" i="46"/>
  <c r="Y133" i="46"/>
  <c r="AC131" i="46"/>
  <c r="AA130" i="46"/>
  <c r="Y129" i="46"/>
  <c r="AC127" i="46"/>
  <c r="Y121" i="46"/>
  <c r="AC117" i="46"/>
  <c r="AA115" i="46"/>
  <c r="Y113" i="46"/>
  <c r="AC109" i="46"/>
  <c r="Y108" i="46"/>
  <c r="AC107" i="46"/>
  <c r="Y106" i="46"/>
  <c r="AC105" i="46"/>
  <c r="Y104" i="46"/>
  <c r="AC103" i="46"/>
  <c r="Y102" i="46"/>
  <c r="AC101" i="46"/>
  <c r="Y100" i="46"/>
  <c r="AC99" i="46"/>
  <c r="Y98" i="46"/>
  <c r="AC97" i="46"/>
  <c r="Y96" i="46"/>
  <c r="AB90" i="46"/>
  <c r="Z88" i="46"/>
  <c r="X86" i="46"/>
  <c r="AB82" i="46"/>
  <c r="Y152" i="46"/>
  <c r="AC140" i="46"/>
  <c r="AC136" i="46"/>
  <c r="AC132" i="46"/>
  <c r="AC128" i="46"/>
  <c r="AC119" i="46"/>
  <c r="AA105" i="46"/>
  <c r="AA101" i="46"/>
  <c r="AA99" i="46"/>
  <c r="AA97" i="46"/>
  <c r="X144" i="46"/>
  <c r="AB136" i="46"/>
  <c r="AB132" i="46"/>
  <c r="Z152" i="46"/>
  <c r="X150" i="46"/>
  <c r="AB146" i="46"/>
  <c r="Z144" i="46"/>
  <c r="AB139" i="46"/>
  <c r="Z138" i="46"/>
  <c r="X137" i="46"/>
  <c r="AB135" i="46"/>
  <c r="Z134" i="46"/>
  <c r="X133" i="46"/>
  <c r="AB131" i="46"/>
  <c r="Z130" i="46"/>
  <c r="X129" i="46"/>
  <c r="AB127" i="46"/>
  <c r="X121" i="46"/>
  <c r="AB117" i="46"/>
  <c r="Z115" i="46"/>
  <c r="X113" i="46"/>
  <c r="AB109" i="46"/>
  <c r="X108" i="46"/>
  <c r="AB107" i="46"/>
  <c r="X106" i="46"/>
  <c r="AB105" i="46"/>
  <c r="X104" i="46"/>
  <c r="AB103" i="46"/>
  <c r="X102" i="46"/>
  <c r="AB101" i="46"/>
  <c r="X100" i="46"/>
  <c r="AB99" i="46"/>
  <c r="X98" i="46"/>
  <c r="AB97" i="46"/>
  <c r="X96" i="46"/>
  <c r="AA90" i="46"/>
  <c r="Y88" i="46"/>
  <c r="AC84" i="46"/>
  <c r="AA82" i="46"/>
  <c r="AC148" i="46"/>
  <c r="AA146" i="46"/>
  <c r="Y144" i="46"/>
  <c r="AA139" i="46"/>
  <c r="Y138" i="46"/>
  <c r="AA135" i="46"/>
  <c r="Y134" i="46"/>
  <c r="AA131" i="46"/>
  <c r="Y130" i="46"/>
  <c r="AA127" i="46"/>
  <c r="AA117" i="46"/>
  <c r="Y115" i="46"/>
  <c r="AA109" i="46"/>
  <c r="AA107" i="46"/>
  <c r="AA103" i="46"/>
  <c r="Z90" i="46"/>
  <c r="X88" i="46"/>
  <c r="AB84" i="46"/>
  <c r="Z82" i="46"/>
  <c r="X152" i="46"/>
  <c r="AB148" i="46"/>
  <c r="Z146" i="46"/>
  <c r="AB140" i="46"/>
  <c r="Z139" i="46"/>
  <c r="X138" i="46"/>
  <c r="Z135" i="46"/>
  <c r="X134" i="46"/>
  <c r="AA148" i="46"/>
  <c r="Y139" i="46"/>
  <c r="AA136" i="46"/>
  <c r="AC133" i="46"/>
  <c r="Z131" i="46"/>
  <c r="AA129" i="46"/>
  <c r="Y127" i="46"/>
  <c r="Z121" i="46"/>
  <c r="X117" i="46"/>
  <c r="AC102" i="46"/>
  <c r="AB100" i="46"/>
  <c r="Z99" i="46"/>
  <c r="AA98" i="46"/>
  <c r="Y97" i="46"/>
  <c r="Z96" i="46"/>
  <c r="AC88" i="46"/>
  <c r="AA84" i="46"/>
  <c r="Z148" i="46"/>
  <c r="X139" i="46"/>
  <c r="Z136" i="46"/>
  <c r="AB133" i="46"/>
  <c r="Y131" i="46"/>
  <c r="Z129" i="46"/>
  <c r="X127" i="46"/>
  <c r="AB119" i="46"/>
  <c r="AC115" i="46"/>
  <c r="AC104" i="46"/>
  <c r="AB102" i="46"/>
  <c r="Z101" i="46"/>
  <c r="AA100" i="46"/>
  <c r="Y99" i="46"/>
  <c r="Z98" i="46"/>
  <c r="X97" i="46"/>
  <c r="AB88" i="46"/>
  <c r="Z84" i="46"/>
  <c r="AC152" i="46"/>
  <c r="Y148" i="46"/>
  <c r="AC138" i="46"/>
  <c r="Y136" i="46"/>
  <c r="AA133" i="46"/>
  <c r="X131" i="46"/>
  <c r="AB128" i="46"/>
  <c r="AA119" i="46"/>
  <c r="AB115" i="46"/>
  <c r="AC106" i="46"/>
  <c r="AB104" i="46"/>
  <c r="Z103" i="46"/>
  <c r="AA102" i="46"/>
  <c r="Y101" i="46"/>
  <c r="Z100" i="46"/>
  <c r="X99" i="46"/>
  <c r="AA88" i="46"/>
  <c r="Y84" i="46"/>
  <c r="AB152" i="46"/>
  <c r="X148" i="46"/>
  <c r="AB138" i="46"/>
  <c r="AC150" i="46"/>
  <c r="AA140" i="46"/>
  <c r="X136" i="46"/>
  <c r="Y132" i="46"/>
  <c r="Z128" i="46"/>
  <c r="AA121" i="46"/>
  <c r="AB113" i="46"/>
  <c r="AC108" i="46"/>
  <c r="X107" i="46"/>
  <c r="Y105" i="46"/>
  <c r="AC98" i="46"/>
  <c r="X90" i="46"/>
  <c r="Y82" i="46"/>
  <c r="AB150" i="46"/>
  <c r="Z140" i="46"/>
  <c r="Y135" i="46"/>
  <c r="X132" i="46"/>
  <c r="Y128" i="46"/>
  <c r="Z119" i="46"/>
  <c r="AA113" i="46"/>
  <c r="AB108" i="46"/>
  <c r="X105" i="46"/>
  <c r="Y103" i="46"/>
  <c r="AB98" i="46"/>
  <c r="AC96" i="46"/>
  <c r="AC86" i="46"/>
  <c r="X82" i="46"/>
  <c r="AA150" i="46"/>
  <c r="Y140" i="46"/>
  <c r="X135" i="46"/>
  <c r="AC130" i="46"/>
  <c r="X128" i="46"/>
  <c r="Y119" i="46"/>
  <c r="Z113" i="46"/>
  <c r="AA108" i="46"/>
  <c r="AB106" i="46"/>
  <c r="X103" i="46"/>
  <c r="AB96" i="46"/>
  <c r="AB86" i="46"/>
  <c r="Z150" i="46"/>
  <c r="X140" i="46"/>
  <c r="AC134" i="46"/>
  <c r="AB130" i="46"/>
  <c r="Z127" i="46"/>
  <c r="X119" i="46"/>
  <c r="Z108" i="46"/>
  <c r="AA106" i="46"/>
  <c r="X101" i="46"/>
  <c r="AA96" i="46"/>
  <c r="AA86" i="46"/>
  <c r="AC137" i="46"/>
  <c r="AB134" i="46"/>
  <c r="X130" i="46"/>
  <c r="Z117" i="46"/>
  <c r="Z106" i="46"/>
  <c r="Z86" i="46"/>
  <c r="X146" i="46"/>
  <c r="Z133" i="46"/>
  <c r="AC129" i="46"/>
  <c r="Y117" i="46"/>
  <c r="Z109" i="46"/>
  <c r="Z104" i="46"/>
  <c r="AC144" i="46"/>
  <c r="AA132" i="46"/>
  <c r="AC121" i="46"/>
  <c r="Y109" i="46"/>
  <c r="Z102" i="46"/>
  <c r="AC90" i="46"/>
  <c r="Z137" i="46"/>
  <c r="Z132" i="46"/>
  <c r="AA128" i="46"/>
  <c r="AB121" i="46"/>
  <c r="X109" i="46"/>
  <c r="Z105" i="46"/>
  <c r="Y90" i="46"/>
  <c r="Y146" i="46"/>
  <c r="AA104" i="46"/>
  <c r="AB137" i="46"/>
  <c r="Y86" i="46"/>
  <c r="AA137" i="46"/>
  <c r="AB129" i="46"/>
  <c r="X115" i="46"/>
  <c r="Z107" i="46"/>
  <c r="Z97" i="46"/>
  <c r="X84" i="46"/>
  <c r="AB144" i="46"/>
  <c r="AC113" i="46"/>
  <c r="Y107" i="46"/>
  <c r="AC100" i="46"/>
  <c r="AC82" i="46"/>
  <c r="Y78" i="46"/>
  <c r="AC77" i="46"/>
  <c r="Y76" i="46"/>
  <c r="AC75" i="46"/>
  <c r="Y74" i="46"/>
  <c r="AC73" i="46"/>
  <c r="Y72" i="46"/>
  <c r="AC71" i="46"/>
  <c r="Y70" i="46"/>
  <c r="AC64" i="46"/>
  <c r="AA62" i="46"/>
  <c r="Y60" i="46"/>
  <c r="AC56" i="46"/>
  <c r="X78" i="46"/>
  <c r="AB77" i="46"/>
  <c r="X76" i="46"/>
  <c r="AB75" i="46"/>
  <c r="X74" i="46"/>
  <c r="AB73" i="46"/>
  <c r="X72" i="46"/>
  <c r="AB71" i="46"/>
  <c r="X70" i="46"/>
  <c r="AB64" i="46"/>
  <c r="Z62" i="46"/>
  <c r="X60" i="46"/>
  <c r="AB56" i="46"/>
  <c r="AA77" i="46"/>
  <c r="AA75" i="46"/>
  <c r="AA73" i="46"/>
  <c r="AA71" i="46"/>
  <c r="AA64" i="46"/>
  <c r="Y62" i="46"/>
  <c r="AC58" i="46"/>
  <c r="AA56" i="46"/>
  <c r="Z77" i="46"/>
  <c r="Z75" i="46"/>
  <c r="Z73" i="46"/>
  <c r="Z71" i="46"/>
  <c r="Z64" i="46"/>
  <c r="X62" i="46"/>
  <c r="AB58" i="46"/>
  <c r="Z56" i="46"/>
  <c r="AC78" i="46"/>
  <c r="Y77" i="46"/>
  <c r="AC76" i="46"/>
  <c r="Y75" i="46"/>
  <c r="AC74" i="46"/>
  <c r="Y73" i="46"/>
  <c r="AC72" i="46"/>
  <c r="Y71" i="46"/>
  <c r="AC70" i="46"/>
  <c r="AB78" i="46"/>
  <c r="X73" i="46"/>
  <c r="AB60" i="46"/>
  <c r="X56" i="46"/>
  <c r="AA78" i="46"/>
  <c r="AB76" i="46"/>
  <c r="X71" i="46"/>
  <c r="AA60" i="46"/>
  <c r="Z78" i="46"/>
  <c r="AA76" i="46"/>
  <c r="AB74" i="46"/>
  <c r="Z60" i="46"/>
  <c r="Z76" i="46"/>
  <c r="AA74" i="46"/>
  <c r="AB72" i="46"/>
  <c r="Y64" i="46"/>
  <c r="AA58" i="46"/>
  <c r="Z74" i="46"/>
  <c r="AA72" i="46"/>
  <c r="AB70" i="46"/>
  <c r="X64" i="46"/>
  <c r="Z58" i="46"/>
  <c r="Z72" i="46"/>
  <c r="AA70" i="46"/>
  <c r="AC62" i="46"/>
  <c r="Y58" i="46"/>
  <c r="X77" i="46"/>
  <c r="Z70" i="46"/>
  <c r="AB62" i="46"/>
  <c r="X58" i="46"/>
  <c r="X75" i="46"/>
  <c r="AC60" i="46"/>
  <c r="Y56" i="46"/>
  <c r="Y52" i="46"/>
  <c r="AC51" i="46"/>
  <c r="Y50" i="46"/>
  <c r="AC49" i="46"/>
  <c r="Y48" i="46"/>
  <c r="AC47" i="46"/>
  <c r="Y46" i="46"/>
  <c r="AC45" i="46"/>
  <c r="Y44" i="46"/>
  <c r="AC43" i="46"/>
  <c r="Y42" i="46"/>
  <c r="AC41" i="46"/>
  <c r="Y35" i="46"/>
  <c r="AC31" i="46"/>
  <c r="AA29" i="46"/>
  <c r="Y27" i="46"/>
  <c r="X11" i="46"/>
  <c r="Z12" i="46"/>
  <c r="AB13" i="46"/>
  <c r="X15" i="46"/>
  <c r="Z16" i="46"/>
  <c r="AB17" i="46"/>
  <c r="X19" i="46"/>
  <c r="Z20" i="46"/>
  <c r="AB21" i="46"/>
  <c r="X23" i="46"/>
  <c r="AC10" i="46"/>
  <c r="AA12" i="46"/>
  <c r="AC13" i="46"/>
  <c r="Y15" i="46"/>
  <c r="AC17" i="46"/>
  <c r="Y19" i="46"/>
  <c r="AA20" i="46"/>
  <c r="AC21" i="46"/>
  <c r="Y23" i="46"/>
  <c r="AA41" i="46"/>
  <c r="AC33" i="46"/>
  <c r="Y29" i="46"/>
  <c r="Z11" i="46"/>
  <c r="AB12" i="46"/>
  <c r="X14" i="46"/>
  <c r="AB16" i="46"/>
  <c r="X18" i="46"/>
  <c r="AB20" i="46"/>
  <c r="Z23" i="46"/>
  <c r="X10" i="46"/>
  <c r="Z49" i="46"/>
  <c r="Z47" i="46"/>
  <c r="Z45" i="46"/>
  <c r="Z41" i="46"/>
  <c r="AB33" i="46"/>
  <c r="Z31" i="46"/>
  <c r="X52" i="46"/>
  <c r="AB51" i="46"/>
  <c r="X50" i="46"/>
  <c r="AB49" i="46"/>
  <c r="X48" i="46"/>
  <c r="AB47" i="46"/>
  <c r="X46" i="46"/>
  <c r="AB45" i="46"/>
  <c r="X44" i="46"/>
  <c r="AB43" i="46"/>
  <c r="X42" i="46"/>
  <c r="AB41" i="46"/>
  <c r="X35" i="46"/>
  <c r="AB31" i="46"/>
  <c r="Z29" i="46"/>
  <c r="X27" i="46"/>
  <c r="Y11" i="46"/>
  <c r="AA16" i="46"/>
  <c r="AA51" i="46"/>
  <c r="AA49" i="46"/>
  <c r="AA47" i="46"/>
  <c r="AA45" i="46"/>
  <c r="AA43" i="46"/>
  <c r="AA31" i="46"/>
  <c r="Z15" i="46"/>
  <c r="Z19" i="46"/>
  <c r="X22" i="46"/>
  <c r="Z51" i="46"/>
  <c r="Z43" i="46"/>
  <c r="X29" i="46"/>
  <c r="AC52" i="46"/>
  <c r="Y51" i="46"/>
  <c r="AC48" i="46"/>
  <c r="Y47" i="46"/>
  <c r="AC44" i="46"/>
  <c r="Y43" i="46"/>
  <c r="AC35" i="46"/>
  <c r="Y31" i="46"/>
  <c r="X12" i="46"/>
  <c r="Z14" i="46"/>
  <c r="Y16" i="46"/>
  <c r="AA18" i="46"/>
  <c r="AC20" i="46"/>
  <c r="AB22" i="46"/>
  <c r="Y10" i="46"/>
  <c r="Y12" i="46"/>
  <c r="AA14" i="46"/>
  <c r="AC16" i="46"/>
  <c r="X21" i="46"/>
  <c r="AC22" i="46"/>
  <c r="Z10" i="46"/>
  <c r="AA52" i="46"/>
  <c r="AA44" i="46"/>
  <c r="AA35" i="46"/>
  <c r="AB14" i="46"/>
  <c r="AC18" i="46"/>
  <c r="Y21" i="46"/>
  <c r="AA10" i="46"/>
  <c r="Z44" i="46"/>
  <c r="AB29" i="46"/>
  <c r="AC14" i="46"/>
  <c r="AA19" i="46"/>
  <c r="AB23" i="46"/>
  <c r="Y45" i="46"/>
  <c r="AC42" i="46"/>
  <c r="AA33" i="46"/>
  <c r="AD10" i="46"/>
  <c r="Z17" i="46"/>
  <c r="AA21" i="46"/>
  <c r="AB50" i="46"/>
  <c r="X45" i="46"/>
  <c r="AB42" i="46"/>
  <c r="Z33" i="46"/>
  <c r="Z13" i="46"/>
  <c r="AA17" i="46"/>
  <c r="Y22" i="46"/>
  <c r="AA50" i="46"/>
  <c r="AA42" i="46"/>
  <c r="Y33" i="46"/>
  <c r="AA27" i="46"/>
  <c r="AA13" i="46"/>
  <c r="Y18" i="46"/>
  <c r="Z22" i="46"/>
  <c r="Z46" i="46"/>
  <c r="Z27" i="46"/>
  <c r="AC11" i="46"/>
  <c r="X16" i="46"/>
  <c r="Y20" i="46"/>
  <c r="AB52" i="46"/>
  <c r="X51" i="46"/>
  <c r="AB48" i="46"/>
  <c r="X47" i="46"/>
  <c r="AB44" i="46"/>
  <c r="X43" i="46"/>
  <c r="AB35" i="46"/>
  <c r="X31" i="46"/>
  <c r="AB18" i="46"/>
  <c r="AA48" i="46"/>
  <c r="AC29" i="46"/>
  <c r="AC12" i="46"/>
  <c r="X17" i="46"/>
  <c r="AA23" i="46"/>
  <c r="Z52" i="46"/>
  <c r="Z48" i="46"/>
  <c r="Z35" i="46"/>
  <c r="X13" i="46"/>
  <c r="Y17" i="46"/>
  <c r="Z21" i="46"/>
  <c r="AB10" i="46"/>
  <c r="AC50" i="46"/>
  <c r="Y49" i="46"/>
  <c r="AC46" i="46"/>
  <c r="Y41" i="46"/>
  <c r="AC27" i="46"/>
  <c r="Y13" i="46"/>
  <c r="AA15" i="46"/>
  <c r="AB19" i="46"/>
  <c r="AC23" i="46"/>
  <c r="X49" i="46"/>
  <c r="AB46" i="46"/>
  <c r="X41" i="46"/>
  <c r="AB27" i="46"/>
  <c r="AA11" i="46"/>
  <c r="AB15" i="46"/>
  <c r="AC19" i="46"/>
  <c r="AA46" i="46"/>
  <c r="AB11" i="46"/>
  <c r="AC15" i="46"/>
  <c r="X20" i="46"/>
  <c r="Z50" i="46"/>
  <c r="Z42" i="46"/>
  <c r="X33" i="46"/>
  <c r="Y14" i="46"/>
  <c r="Z18" i="46"/>
  <c r="AA22" i="46"/>
  <c r="AC26" i="39"/>
  <c r="Y17" i="39"/>
  <c r="AC15" i="39"/>
  <c r="AE32" i="39"/>
  <c r="AC12" i="39"/>
  <c r="W103" i="39"/>
  <c r="AF10" i="39"/>
  <c r="AB42" i="39"/>
  <c r="AA103" i="39"/>
  <c r="AB10" i="39"/>
  <c r="AG16" i="39"/>
  <c r="AG14" i="39"/>
  <c r="AG11" i="39"/>
  <c r="AG26" i="39"/>
  <c r="AA33" i="39"/>
  <c r="AF43" i="39"/>
  <c r="AF57" i="39"/>
  <c r="X103" i="39"/>
  <c r="AG17" i="39"/>
  <c r="AC16" i="39"/>
  <c r="AC14" i="39"/>
  <c r="AC11" i="39"/>
  <c r="AE28" i="39"/>
  <c r="AB46" i="39"/>
  <c r="Y103" i="39"/>
  <c r="AC17" i="39"/>
  <c r="AG15" i="39"/>
  <c r="AG12" i="39"/>
  <c r="AE30" i="39"/>
  <c r="AB41" i="39"/>
  <c r="AF47" i="39"/>
  <c r="AE80" i="39"/>
  <c r="V103" i="39"/>
  <c r="Z103" i="39"/>
  <c r="AE10" i="39"/>
  <c r="AF17" i="39"/>
  <c r="AB17" i="39"/>
  <c r="X17" i="39"/>
  <c r="AF16" i="39"/>
  <c r="AB16" i="39"/>
  <c r="AF15" i="39"/>
  <c r="AB15" i="39"/>
  <c r="AF14" i="39"/>
  <c r="AB14" i="39"/>
  <c r="AF12" i="39"/>
  <c r="AB12" i="39"/>
  <c r="AF11" i="39"/>
  <c r="AB11" i="39"/>
  <c r="AD26" i="39"/>
  <c r="AC27" i="39"/>
  <c r="AG28" i="39"/>
  <c r="AG30" i="39"/>
  <c r="AC31" i="39"/>
  <c r="AG32" i="39"/>
  <c r="AC33" i="39"/>
  <c r="AD41" i="39"/>
  <c r="AF42" i="39"/>
  <c r="AB45" i="39"/>
  <c r="AF46" i="39"/>
  <c r="X48" i="39"/>
  <c r="AB58" i="39"/>
  <c r="AG95" i="39"/>
  <c r="AC95" i="39"/>
  <c r="AG94" i="39"/>
  <c r="AC94" i="39"/>
  <c r="AD80" i="39"/>
  <c r="Z80" i="39"/>
  <c r="V80" i="39"/>
  <c r="AD79" i="39"/>
  <c r="AD78" i="39"/>
  <c r="AD77" i="39"/>
  <c r="AD75" i="39"/>
  <c r="AD74" i="39"/>
  <c r="AD73" i="39"/>
  <c r="AE64" i="39"/>
  <c r="AA64" i="39"/>
  <c r="W64" i="39"/>
  <c r="AE63" i="39"/>
  <c r="AE62" i="39"/>
  <c r="AE61" i="39"/>
  <c r="AE59" i="39"/>
  <c r="AE58" i="39"/>
  <c r="AE57" i="39"/>
  <c r="AF95" i="39"/>
  <c r="AB95" i="39"/>
  <c r="AF94" i="39"/>
  <c r="AB94" i="39"/>
  <c r="AG80" i="39"/>
  <c r="AC80" i="39"/>
  <c r="Y80" i="39"/>
  <c r="AG79" i="39"/>
  <c r="AC79" i="39"/>
  <c r="AG78" i="39"/>
  <c r="AC78" i="39"/>
  <c r="AG77" i="39"/>
  <c r="AC77" i="39"/>
  <c r="AG75" i="39"/>
  <c r="AC75" i="39"/>
  <c r="AG74" i="39"/>
  <c r="AC74" i="39"/>
  <c r="AG73" i="39"/>
  <c r="AC73" i="39"/>
  <c r="AE95" i="39"/>
  <c r="AE94" i="39"/>
  <c r="AF80" i="39"/>
  <c r="AB80" i="39"/>
  <c r="X80" i="39"/>
  <c r="AF79" i="39"/>
  <c r="AB79" i="39"/>
  <c r="AF78" i="39"/>
  <c r="AB78" i="39"/>
  <c r="AF77" i="39"/>
  <c r="AB77" i="39"/>
  <c r="AF75" i="39"/>
  <c r="AB75" i="39"/>
  <c r="AF74" i="39"/>
  <c r="AB74" i="39"/>
  <c r="AF73" i="39"/>
  <c r="AB73" i="39"/>
  <c r="AG64" i="39"/>
  <c r="AC64" i="39"/>
  <c r="Y64" i="39"/>
  <c r="AG63" i="39"/>
  <c r="AC63" i="39"/>
  <c r="AG62" i="39"/>
  <c r="AC62" i="39"/>
  <c r="AG61" i="39"/>
  <c r="AC61" i="39"/>
  <c r="AG59" i="39"/>
  <c r="AC59" i="39"/>
  <c r="AG58" i="39"/>
  <c r="AC58" i="39"/>
  <c r="AG57" i="39"/>
  <c r="AC57" i="39"/>
  <c r="AA80" i="39"/>
  <c r="AE77" i="39"/>
  <c r="AE73" i="39"/>
  <c r="Z64" i="39"/>
  <c r="AD63" i="39"/>
  <c r="AD61" i="39"/>
  <c r="AD59" i="39"/>
  <c r="AD57" i="39"/>
  <c r="AE48" i="39"/>
  <c r="AA48" i="39"/>
  <c r="W48" i="39"/>
  <c r="AE47" i="39"/>
  <c r="AE46" i="39"/>
  <c r="AE45" i="39"/>
  <c r="AE43" i="39"/>
  <c r="AE42" i="39"/>
  <c r="AE41" i="39"/>
  <c r="AF33" i="39"/>
  <c r="AB33" i="39"/>
  <c r="X33" i="39"/>
  <c r="AF32" i="39"/>
  <c r="AB32" i="39"/>
  <c r="AF31" i="39"/>
  <c r="AB31" i="39"/>
  <c r="AF30" i="39"/>
  <c r="AB30" i="39"/>
  <c r="AF28" i="39"/>
  <c r="AB28" i="39"/>
  <c r="AF27" i="39"/>
  <c r="AB27" i="39"/>
  <c r="W80" i="39"/>
  <c r="AE78" i="39"/>
  <c r="AE74" i="39"/>
  <c r="AF64" i="39"/>
  <c r="X64" i="39"/>
  <c r="AB63" i="39"/>
  <c r="AF62" i="39"/>
  <c r="AB61" i="39"/>
  <c r="AB59" i="39"/>
  <c r="AF58" i="39"/>
  <c r="AB57" i="39"/>
  <c r="AD48" i="39"/>
  <c r="Z48" i="39"/>
  <c r="V48" i="39"/>
  <c r="AD47" i="39"/>
  <c r="AD46" i="39"/>
  <c r="AD45" i="39"/>
  <c r="AD43" i="39"/>
  <c r="AD42" i="39"/>
  <c r="AD94" i="39"/>
  <c r="AE79" i="39"/>
  <c r="AE75" i="39"/>
  <c r="AD64" i="39"/>
  <c r="V64" i="39"/>
  <c r="AD62" i="39"/>
  <c r="AD58" i="39"/>
  <c r="AG48" i="39"/>
  <c r="AC48" i="39"/>
  <c r="Y48" i="39"/>
  <c r="AG47" i="39"/>
  <c r="AC47" i="39"/>
  <c r="AG46" i="39"/>
  <c r="AC46" i="39"/>
  <c r="AG45" i="39"/>
  <c r="AC45" i="39"/>
  <c r="AG43" i="39"/>
  <c r="AC43" i="39"/>
  <c r="AG42" i="39"/>
  <c r="AC42" i="39"/>
  <c r="AG41" i="39"/>
  <c r="AC41" i="39"/>
  <c r="AD33" i="39"/>
  <c r="Z33" i="39"/>
  <c r="V33" i="39"/>
  <c r="AD32" i="39"/>
  <c r="AD31" i="39"/>
  <c r="AD30" i="39"/>
  <c r="AD28" i="39"/>
  <c r="AD27" i="39"/>
  <c r="AD10" i="39"/>
  <c r="AE17" i="39"/>
  <c r="AA17" i="39"/>
  <c r="W17" i="39"/>
  <c r="AE16" i="39"/>
  <c r="AE15" i="39"/>
  <c r="AE14" i="39"/>
  <c r="AE12" i="39"/>
  <c r="AE11" i="39"/>
  <c r="AE26" i="39"/>
  <c r="AE27" i="39"/>
  <c r="AE31" i="39"/>
  <c r="W33" i="39"/>
  <c r="AE33" i="39"/>
  <c r="AF41" i="39"/>
  <c r="AF45" i="39"/>
  <c r="AB48" i="39"/>
  <c r="AF61" i="39"/>
  <c r="AB64" i="39"/>
  <c r="AG10" i="39"/>
  <c r="AC10" i="39"/>
  <c r="AD17" i="39"/>
  <c r="Z17" i="39"/>
  <c r="V17" i="39"/>
  <c r="AD16" i="39"/>
  <c r="AD15" i="39"/>
  <c r="AD14" i="39"/>
  <c r="AD12" i="39"/>
  <c r="AD11" i="39"/>
  <c r="AB26" i="39"/>
  <c r="AF26" i="39"/>
  <c r="AG27" i="39"/>
  <c r="AC28" i="39"/>
  <c r="AC30" i="39"/>
  <c r="AG31" i="39"/>
  <c r="AC32" i="39"/>
  <c r="Y33" i="39"/>
  <c r="AG33" i="39"/>
  <c r="AB43" i="39"/>
  <c r="AB47" i="39"/>
  <c r="AF48" i="39"/>
  <c r="AF59" i="39"/>
  <c r="AB62" i="39"/>
  <c r="AD95" i="39"/>
  <c r="E59" i="50"/>
  <c r="AQ59" i="50" s="1"/>
  <c r="E58" i="50"/>
  <c r="AQ58" i="50" s="1"/>
  <c r="E57" i="50"/>
  <c r="AQ57" i="50" s="1"/>
  <c r="E56" i="50"/>
  <c r="AQ56" i="50" s="1"/>
  <c r="E55" i="50"/>
  <c r="AQ55" i="50" s="1"/>
  <c r="E54" i="50"/>
  <c r="AQ54" i="50" s="1"/>
  <c r="E53" i="50"/>
  <c r="AQ53" i="50" s="1"/>
  <c r="E52" i="50"/>
  <c r="AQ52" i="50" s="1"/>
  <c r="E51" i="50"/>
  <c r="AQ51" i="50" s="1"/>
  <c r="E50" i="50"/>
  <c r="AQ50" i="50" s="1"/>
  <c r="E49" i="50"/>
  <c r="AQ49" i="50" s="1"/>
  <c r="E48" i="50"/>
  <c r="AQ48" i="50" s="1"/>
  <c r="E47" i="50"/>
  <c r="AQ47" i="50" s="1"/>
  <c r="E46" i="50"/>
  <c r="AQ46" i="50" s="1"/>
  <c r="E45" i="50"/>
  <c r="AQ45" i="50" s="1"/>
  <c r="E43" i="50"/>
  <c r="AQ43" i="50" s="1"/>
  <c r="E42" i="50"/>
  <c r="AQ42" i="50" s="1"/>
  <c r="E41" i="50"/>
  <c r="AQ41" i="50" s="1"/>
  <c r="E40" i="50"/>
  <c r="AQ40" i="50" s="1"/>
  <c r="E39" i="50"/>
  <c r="AQ39" i="50" s="1"/>
  <c r="E37" i="50"/>
  <c r="AQ37" i="50" s="1"/>
  <c r="E36" i="50"/>
  <c r="AQ36" i="50" s="1"/>
  <c r="AA136" i="85" l="1"/>
  <c r="Z136" i="85"/>
  <c r="I65" i="65"/>
  <c r="H65" i="65"/>
  <c r="G65" i="65"/>
  <c r="F65" i="65"/>
  <c r="E65" i="65"/>
  <c r="D65" i="65"/>
  <c r="D56" i="65" l="1"/>
  <c r="C58" i="83" s="1"/>
  <c r="D55" i="65"/>
  <c r="C57" i="83" s="1"/>
  <c r="D51" i="65"/>
  <c r="C53" i="83" s="1"/>
  <c r="D50" i="65"/>
  <c r="C52" i="83" s="1"/>
  <c r="D24" i="65"/>
  <c r="D23" i="65"/>
  <c r="D22" i="65"/>
  <c r="D14" i="16" l="1"/>
  <c r="M14" i="16" s="1"/>
  <c r="AN23" i="84" s="1"/>
  <c r="BC86" i="53"/>
  <c r="DE86" i="53" s="1"/>
  <c r="BH94" i="53"/>
  <c r="DJ94" i="53" s="1"/>
  <c r="BG94" i="53"/>
  <c r="DI94" i="53" s="1"/>
  <c r="BF94" i="53"/>
  <c r="DH94" i="53" s="1"/>
  <c r="BE94" i="53"/>
  <c r="DG94" i="53" s="1"/>
  <c r="BD94" i="53"/>
  <c r="DF94" i="53" s="1"/>
  <c r="BC94" i="53"/>
  <c r="DE94" i="53" s="1"/>
  <c r="BH92" i="53"/>
  <c r="DJ92" i="53" s="1"/>
  <c r="BG92" i="53"/>
  <c r="DI92" i="53" s="1"/>
  <c r="BF92" i="53"/>
  <c r="DH92" i="53" s="1"/>
  <c r="BE92" i="53"/>
  <c r="DG92" i="53" s="1"/>
  <c r="BD92" i="53"/>
  <c r="DF92" i="53" s="1"/>
  <c r="BC92" i="53"/>
  <c r="DE92" i="53" s="1"/>
  <c r="AW92" i="53"/>
  <c r="CY92" i="53" s="1"/>
  <c r="E14" i="16" l="1"/>
  <c r="N14" i="16" s="1"/>
  <c r="AO23" i="84" s="1"/>
  <c r="I11" i="39"/>
  <c r="V11" i="39" s="1"/>
  <c r="N8" i="22" l="1"/>
  <c r="M8" i="22"/>
  <c r="L8" i="22"/>
  <c r="K8" i="22"/>
  <c r="J8" i="22"/>
  <c r="AW66" i="60" l="1"/>
  <c r="AW68" i="60"/>
  <c r="AW67" i="60"/>
  <c r="AW65" i="60"/>
  <c r="AW48" i="60"/>
  <c r="AW46" i="60"/>
  <c r="AW44" i="60"/>
  <c r="AW42" i="60"/>
  <c r="AW40" i="60"/>
  <c r="AW38" i="60"/>
  <c r="AW37" i="60"/>
  <c r="AW36" i="60"/>
  <c r="AW35" i="60"/>
  <c r="AW34" i="60"/>
  <c r="AW33" i="60"/>
  <c r="AW32" i="60"/>
  <c r="AW31" i="60"/>
  <c r="AW30" i="60"/>
  <c r="AW26" i="60"/>
  <c r="AW24" i="60"/>
  <c r="AW23" i="60"/>
  <c r="AW22" i="60"/>
  <c r="AW21" i="60"/>
  <c r="AW20" i="60"/>
  <c r="AW19" i="60"/>
  <c r="AW18" i="60"/>
  <c r="AW17" i="60"/>
  <c r="AW16" i="60"/>
  <c r="AW15" i="60"/>
  <c r="AW13" i="60"/>
  <c r="AW12" i="60"/>
  <c r="AV68" i="60"/>
  <c r="AV67" i="60"/>
  <c r="AV66" i="60"/>
  <c r="AV65" i="60"/>
  <c r="AV48" i="60"/>
  <c r="AV46" i="60"/>
  <c r="AV44" i="60"/>
  <c r="AV42" i="60"/>
  <c r="AV40" i="60"/>
  <c r="AV38" i="60"/>
  <c r="AV37" i="60"/>
  <c r="AV36" i="60"/>
  <c r="AV35" i="60"/>
  <c r="AV34" i="60"/>
  <c r="AV33" i="60"/>
  <c r="AV32" i="60"/>
  <c r="AV31" i="60"/>
  <c r="AV30" i="60"/>
  <c r="AV20" i="60"/>
  <c r="AV26" i="60"/>
  <c r="AV23" i="60"/>
  <c r="AV22" i="60"/>
  <c r="AV21" i="60"/>
  <c r="AV19" i="60"/>
  <c r="AV18" i="60"/>
  <c r="AV17" i="60"/>
  <c r="AV16" i="60"/>
  <c r="AV15" i="60"/>
  <c r="AV13" i="60"/>
  <c r="AV12" i="60"/>
  <c r="AP94" i="53" l="1"/>
  <c r="AO94" i="53"/>
  <c r="CR94" i="53" s="1"/>
  <c r="AP92" i="53"/>
  <c r="AO92" i="53"/>
  <c r="CR92" i="53" s="1"/>
  <c r="AP87" i="53"/>
  <c r="AO87" i="53"/>
  <c r="CR87" i="53" s="1"/>
  <c r="AP86" i="53"/>
  <c r="AO86" i="53"/>
  <c r="CR86" i="53" s="1"/>
  <c r="AP85" i="53"/>
  <c r="AO85" i="53"/>
  <c r="CR85" i="53" s="1"/>
  <c r="AP84" i="53"/>
  <c r="AO84" i="53"/>
  <c r="CR84" i="53" s="1"/>
  <c r="AP82" i="53"/>
  <c r="AO82" i="53"/>
  <c r="CR82" i="53" s="1"/>
  <c r="AP81" i="53"/>
  <c r="AO81" i="53"/>
  <c r="CR81" i="53" s="1"/>
  <c r="AP80" i="53"/>
  <c r="AO80" i="53"/>
  <c r="CR80" i="53" s="1"/>
  <c r="AP79" i="53"/>
  <c r="AO79" i="53"/>
  <c r="CR79" i="53" s="1"/>
  <c r="AP78" i="53"/>
  <c r="AO78" i="53"/>
  <c r="CR78" i="53" s="1"/>
  <c r="AP77" i="53"/>
  <c r="AO77" i="53"/>
  <c r="CR77" i="53" s="1"/>
  <c r="AP75" i="53"/>
  <c r="AO75" i="53"/>
  <c r="CR75" i="53" s="1"/>
  <c r="AP73" i="53"/>
  <c r="AO73" i="53"/>
  <c r="CR73" i="53" s="1"/>
  <c r="AP71" i="53"/>
  <c r="AO71" i="53"/>
  <c r="CR71" i="53" s="1"/>
  <c r="AP54" i="53"/>
  <c r="AO54" i="53"/>
  <c r="CR54" i="53" s="1"/>
  <c r="AP53" i="53"/>
  <c r="AO53" i="53"/>
  <c r="CR53" i="53" s="1"/>
  <c r="AP52" i="53"/>
  <c r="AO52" i="53"/>
  <c r="CR52" i="53" s="1"/>
  <c r="AP47" i="53"/>
  <c r="AO47" i="53"/>
  <c r="CR47" i="53" s="1"/>
  <c r="AP46" i="53"/>
  <c r="AO46" i="53"/>
  <c r="CR46" i="53" s="1"/>
  <c r="AP45" i="53"/>
  <c r="AO45" i="53"/>
  <c r="CR45" i="53" s="1"/>
  <c r="AP44" i="53"/>
  <c r="AO44" i="53"/>
  <c r="CR44" i="53" s="1"/>
  <c r="AP43" i="53"/>
  <c r="AO43" i="53"/>
  <c r="CR43" i="53" s="1"/>
  <c r="AP42" i="53"/>
  <c r="AO42" i="53"/>
  <c r="CR42" i="53" s="1"/>
  <c r="AP41" i="53"/>
  <c r="AO41" i="53"/>
  <c r="CR41" i="53" s="1"/>
  <c r="AP40" i="53"/>
  <c r="AO40" i="53"/>
  <c r="CR40" i="53" s="1"/>
  <c r="AP39" i="53"/>
  <c r="AO39" i="53"/>
  <c r="CR39" i="53" s="1"/>
  <c r="AP37" i="53"/>
  <c r="AO37" i="53"/>
  <c r="CR37" i="53" s="1"/>
  <c r="AP36" i="53"/>
  <c r="AO36" i="53"/>
  <c r="CR36" i="53" s="1"/>
  <c r="AP35" i="53"/>
  <c r="AO35" i="53"/>
  <c r="CR35" i="53" s="1"/>
  <c r="AP34" i="53"/>
  <c r="AO34" i="53"/>
  <c r="CR34" i="53" s="1"/>
  <c r="AP33" i="53"/>
  <c r="AO33" i="53"/>
  <c r="CR33" i="53" s="1"/>
  <c r="AP32" i="53"/>
  <c r="AO32" i="53"/>
  <c r="CR32" i="53" s="1"/>
  <c r="AP31" i="53"/>
  <c r="AO31" i="53"/>
  <c r="CR31" i="53" s="1"/>
  <c r="AP30" i="53"/>
  <c r="AO30" i="53"/>
  <c r="CR30" i="53" s="1"/>
  <c r="AP28" i="53"/>
  <c r="AO28" i="53"/>
  <c r="CR28" i="53" s="1"/>
  <c r="AP27" i="53"/>
  <c r="AO27" i="53"/>
  <c r="CR27" i="53" s="1"/>
  <c r="AP26" i="53"/>
  <c r="AO26" i="53"/>
  <c r="CR26" i="53" s="1"/>
  <c r="AP23" i="53"/>
  <c r="AO23" i="53"/>
  <c r="CR23" i="53" s="1"/>
  <c r="AP22" i="53"/>
  <c r="AO22" i="53"/>
  <c r="CR22" i="53" s="1"/>
  <c r="AP20" i="53"/>
  <c r="AO20" i="53"/>
  <c r="CR20" i="53" s="1"/>
  <c r="AP19" i="53"/>
  <c r="AO19" i="53"/>
  <c r="CR19" i="53" s="1"/>
  <c r="AP16" i="53"/>
  <c r="AO16" i="53"/>
  <c r="CR16" i="53" s="1"/>
  <c r="AP15" i="53"/>
  <c r="AO15" i="53"/>
  <c r="CR15" i="53" s="1"/>
  <c r="AP14" i="53"/>
  <c r="AO14" i="53"/>
  <c r="CR14" i="53" s="1"/>
  <c r="AP13" i="53"/>
  <c r="AO13" i="53"/>
  <c r="CR13" i="53" s="1"/>
  <c r="AH94" i="53"/>
  <c r="AG94" i="53"/>
  <c r="CK94" i="53" s="1"/>
  <c r="AH92" i="53"/>
  <c r="AG92" i="53"/>
  <c r="CK92" i="53" s="1"/>
  <c r="AH87" i="53"/>
  <c r="AG87" i="53"/>
  <c r="CK87" i="53" s="1"/>
  <c r="AH86" i="53"/>
  <c r="AG86" i="53"/>
  <c r="CK86" i="53" s="1"/>
  <c r="AH85" i="53"/>
  <c r="AG85" i="53"/>
  <c r="CK85" i="53" s="1"/>
  <c r="AH84" i="53"/>
  <c r="AG84" i="53"/>
  <c r="CK84" i="53" s="1"/>
  <c r="AH82" i="53"/>
  <c r="AG82" i="53"/>
  <c r="CK82" i="53" s="1"/>
  <c r="AH81" i="53"/>
  <c r="AG81" i="53"/>
  <c r="CK81" i="53" s="1"/>
  <c r="AH80" i="53"/>
  <c r="AG80" i="53"/>
  <c r="CK80" i="53" s="1"/>
  <c r="AH79" i="53"/>
  <c r="AG79" i="53"/>
  <c r="CK79" i="53" s="1"/>
  <c r="AH78" i="53"/>
  <c r="AG78" i="53"/>
  <c r="CK78" i="53" s="1"/>
  <c r="AH77" i="53"/>
  <c r="AG77" i="53"/>
  <c r="CK77" i="53" s="1"/>
  <c r="AH75" i="53"/>
  <c r="AG75" i="53"/>
  <c r="CK75" i="53" s="1"/>
  <c r="AH73" i="53"/>
  <c r="AG73" i="53"/>
  <c r="CK73" i="53" s="1"/>
  <c r="AH71" i="53"/>
  <c r="AG71" i="53"/>
  <c r="CK71" i="53" s="1"/>
  <c r="AH54" i="53"/>
  <c r="AG54" i="53"/>
  <c r="CK54" i="53" s="1"/>
  <c r="AH53" i="53"/>
  <c r="AG53" i="53"/>
  <c r="CK53" i="53" s="1"/>
  <c r="AH52" i="53"/>
  <c r="AG52" i="53"/>
  <c r="CK52" i="53" s="1"/>
  <c r="AH47" i="53"/>
  <c r="AG47" i="53"/>
  <c r="CK47" i="53" s="1"/>
  <c r="AH46" i="53"/>
  <c r="AG46" i="53"/>
  <c r="CK46" i="53" s="1"/>
  <c r="AH45" i="53"/>
  <c r="AG45" i="53"/>
  <c r="CK45" i="53" s="1"/>
  <c r="AH44" i="53"/>
  <c r="AG44" i="53"/>
  <c r="CK44" i="53" s="1"/>
  <c r="AH43" i="53"/>
  <c r="AG43" i="53"/>
  <c r="CK43" i="53" s="1"/>
  <c r="AH42" i="53"/>
  <c r="AG42" i="53"/>
  <c r="CK42" i="53" s="1"/>
  <c r="AH41" i="53"/>
  <c r="AG41" i="53"/>
  <c r="CK41" i="53" s="1"/>
  <c r="AH40" i="53"/>
  <c r="AG40" i="53"/>
  <c r="CK40" i="53" s="1"/>
  <c r="AH39" i="53"/>
  <c r="AG39" i="53"/>
  <c r="CK39" i="53" s="1"/>
  <c r="AH37" i="53"/>
  <c r="AG37" i="53"/>
  <c r="CK37" i="53" s="1"/>
  <c r="AH36" i="53"/>
  <c r="AG36" i="53"/>
  <c r="CK36" i="53" s="1"/>
  <c r="AH35" i="53"/>
  <c r="AG35" i="53"/>
  <c r="CK35" i="53" s="1"/>
  <c r="AH34" i="53"/>
  <c r="AG34" i="53"/>
  <c r="CK34" i="53" s="1"/>
  <c r="AH33" i="53"/>
  <c r="AG33" i="53"/>
  <c r="CK33" i="53" s="1"/>
  <c r="AH32" i="53"/>
  <c r="AG32" i="53"/>
  <c r="CK32" i="53" s="1"/>
  <c r="AH31" i="53"/>
  <c r="AG31" i="53"/>
  <c r="CK31" i="53" s="1"/>
  <c r="AH30" i="53"/>
  <c r="AG30" i="53"/>
  <c r="CK30" i="53" s="1"/>
  <c r="AH28" i="53"/>
  <c r="AG28" i="53"/>
  <c r="CK28" i="53" s="1"/>
  <c r="AH27" i="53"/>
  <c r="AG27" i="53"/>
  <c r="CK27" i="53" s="1"/>
  <c r="AH26" i="53"/>
  <c r="AG26" i="53"/>
  <c r="CK26" i="53" s="1"/>
  <c r="AH23" i="53"/>
  <c r="AG23" i="53"/>
  <c r="CK23" i="53" s="1"/>
  <c r="AH22" i="53"/>
  <c r="AG22" i="53"/>
  <c r="CK22" i="53" s="1"/>
  <c r="AH20" i="53"/>
  <c r="AG20" i="53"/>
  <c r="CK20" i="53" s="1"/>
  <c r="AH19" i="53"/>
  <c r="AG19" i="53"/>
  <c r="CK19" i="53" s="1"/>
  <c r="AH16" i="53"/>
  <c r="AG16" i="53"/>
  <c r="CK16" i="53" s="1"/>
  <c r="AH15" i="53"/>
  <c r="AG15" i="53"/>
  <c r="CK15" i="53" s="1"/>
  <c r="AH14" i="53"/>
  <c r="AG14" i="53"/>
  <c r="CK14" i="53" s="1"/>
  <c r="AH13" i="53"/>
  <c r="AG13" i="53"/>
  <c r="CK13" i="53" s="1"/>
  <c r="Z94" i="53"/>
  <c r="Y94" i="53"/>
  <c r="CD94" i="53" s="1"/>
  <c r="Z92" i="53"/>
  <c r="Y92" i="53"/>
  <c r="CD92" i="53" s="1"/>
  <c r="Z87" i="53"/>
  <c r="Y87" i="53"/>
  <c r="CD87" i="53" s="1"/>
  <c r="Z86" i="53"/>
  <c r="Y86" i="53"/>
  <c r="CD86" i="53" s="1"/>
  <c r="Z85" i="53"/>
  <c r="Y85" i="53"/>
  <c r="CD85" i="53" s="1"/>
  <c r="Z84" i="53"/>
  <c r="Y84" i="53"/>
  <c r="CD84" i="53" s="1"/>
  <c r="Z82" i="53"/>
  <c r="Y82" i="53"/>
  <c r="CD82" i="53" s="1"/>
  <c r="Z81" i="53"/>
  <c r="Y81" i="53"/>
  <c r="CD81" i="53" s="1"/>
  <c r="Z80" i="53"/>
  <c r="Y80" i="53"/>
  <c r="CD80" i="53" s="1"/>
  <c r="Z79" i="53"/>
  <c r="Y79" i="53"/>
  <c r="CD79" i="53" s="1"/>
  <c r="Z78" i="53"/>
  <c r="Y78" i="53"/>
  <c r="CD78" i="53" s="1"/>
  <c r="Z77" i="53"/>
  <c r="Y77" i="53"/>
  <c r="CD77" i="53" s="1"/>
  <c r="Z75" i="53"/>
  <c r="Y75" i="53"/>
  <c r="CD75" i="53" s="1"/>
  <c r="Z74" i="53"/>
  <c r="Y74" i="53"/>
  <c r="CD74" i="53" s="1"/>
  <c r="Z72" i="53"/>
  <c r="Y72" i="53"/>
  <c r="CD72" i="53" s="1"/>
  <c r="Z71" i="53"/>
  <c r="Y71" i="53"/>
  <c r="CD71" i="53" s="1"/>
  <c r="Z54" i="53"/>
  <c r="Y54" i="53"/>
  <c r="CD54" i="53" s="1"/>
  <c r="Z53" i="53"/>
  <c r="Y53" i="53"/>
  <c r="CD53" i="53" s="1"/>
  <c r="Z52" i="53"/>
  <c r="Y52" i="53"/>
  <c r="CD52" i="53" s="1"/>
  <c r="Z47" i="53"/>
  <c r="Y47" i="53"/>
  <c r="CD47" i="53" s="1"/>
  <c r="Z46" i="53"/>
  <c r="Y46" i="53"/>
  <c r="CD46" i="53" s="1"/>
  <c r="Z45" i="53"/>
  <c r="Y45" i="53"/>
  <c r="CD45" i="53" s="1"/>
  <c r="Z44" i="53"/>
  <c r="Y44" i="53"/>
  <c r="CD44" i="53" s="1"/>
  <c r="Z43" i="53"/>
  <c r="Y43" i="53"/>
  <c r="CD43" i="53" s="1"/>
  <c r="Z42" i="53"/>
  <c r="Y42" i="53"/>
  <c r="CD42" i="53" s="1"/>
  <c r="Z41" i="53"/>
  <c r="Y41" i="53"/>
  <c r="CD41" i="53" s="1"/>
  <c r="Z40" i="53"/>
  <c r="Y40" i="53"/>
  <c r="CD40" i="53" s="1"/>
  <c r="Z39" i="53"/>
  <c r="Y39" i="53"/>
  <c r="CD39" i="53" s="1"/>
  <c r="Z37" i="53"/>
  <c r="Y37" i="53"/>
  <c r="CD37" i="53" s="1"/>
  <c r="Z36" i="53"/>
  <c r="Y36" i="53"/>
  <c r="CD36" i="53" s="1"/>
  <c r="Z35" i="53"/>
  <c r="Y35" i="53"/>
  <c r="CD35" i="53" s="1"/>
  <c r="Z34" i="53"/>
  <c r="Y34" i="53"/>
  <c r="CD34" i="53" s="1"/>
  <c r="Z33" i="53"/>
  <c r="Y33" i="53"/>
  <c r="CD33" i="53" s="1"/>
  <c r="Z32" i="53"/>
  <c r="Y32" i="53"/>
  <c r="CD32" i="53" s="1"/>
  <c r="Z30" i="53"/>
  <c r="Y30" i="53"/>
  <c r="CD30" i="53" s="1"/>
  <c r="Z28" i="53"/>
  <c r="Y28" i="53"/>
  <c r="CD28" i="53" s="1"/>
  <c r="Z27" i="53"/>
  <c r="Y27" i="53"/>
  <c r="CD27" i="53" s="1"/>
  <c r="Z26" i="53"/>
  <c r="Y26" i="53"/>
  <c r="CD26" i="53" s="1"/>
  <c r="Z23" i="53"/>
  <c r="Y23" i="53"/>
  <c r="CD23" i="53" s="1"/>
  <c r="Z22" i="53"/>
  <c r="Y22" i="53"/>
  <c r="CD22" i="53" s="1"/>
  <c r="Z20" i="53"/>
  <c r="Y20" i="53"/>
  <c r="CD20" i="53" s="1"/>
  <c r="Z19" i="53"/>
  <c r="Y19" i="53"/>
  <c r="CD19" i="53" s="1"/>
  <c r="Z16" i="53"/>
  <c r="Y16" i="53"/>
  <c r="CD16" i="53" s="1"/>
  <c r="Z15" i="53"/>
  <c r="Y15" i="53"/>
  <c r="CD15" i="53" s="1"/>
  <c r="Z14" i="53"/>
  <c r="Y14" i="53"/>
  <c r="CD14" i="53" s="1"/>
  <c r="Z13" i="53"/>
  <c r="Y13" i="53"/>
  <c r="CD13" i="53" s="1"/>
  <c r="R94" i="53"/>
  <c r="Q94" i="53"/>
  <c r="BW94" i="53" s="1"/>
  <c r="R92" i="53"/>
  <c r="Q92" i="53"/>
  <c r="BW92" i="53" s="1"/>
  <c r="R87" i="53"/>
  <c r="Q87" i="53"/>
  <c r="BW87" i="53" s="1"/>
  <c r="R86" i="53"/>
  <c r="Q86" i="53"/>
  <c r="BW86" i="53" s="1"/>
  <c r="R85" i="53"/>
  <c r="Q85" i="53"/>
  <c r="BW85" i="53" s="1"/>
  <c r="R84" i="53"/>
  <c r="Q84" i="53"/>
  <c r="BW84" i="53" s="1"/>
  <c r="R82" i="53"/>
  <c r="Q82" i="53"/>
  <c r="BW82" i="53" s="1"/>
  <c r="R81" i="53"/>
  <c r="Q81" i="53"/>
  <c r="BW81" i="53" s="1"/>
  <c r="R80" i="53"/>
  <c r="Q80" i="53"/>
  <c r="BW80" i="53" s="1"/>
  <c r="R79" i="53"/>
  <c r="Q79" i="53"/>
  <c r="BW79" i="53" s="1"/>
  <c r="R78" i="53"/>
  <c r="Q78" i="53"/>
  <c r="BW78" i="53" s="1"/>
  <c r="R77" i="53"/>
  <c r="Q77" i="53"/>
  <c r="BW77" i="53" s="1"/>
  <c r="R75" i="53"/>
  <c r="Q75" i="53"/>
  <c r="BW75" i="53" s="1"/>
  <c r="R74" i="53"/>
  <c r="Q74" i="53"/>
  <c r="BW74" i="53" s="1"/>
  <c r="R72" i="53"/>
  <c r="Q72" i="53"/>
  <c r="BW72" i="53" s="1"/>
  <c r="R71" i="53"/>
  <c r="Q71" i="53"/>
  <c r="BW71" i="53" s="1"/>
  <c r="R54" i="53"/>
  <c r="Q54" i="53"/>
  <c r="BW54" i="53" s="1"/>
  <c r="R53" i="53"/>
  <c r="Q53" i="53"/>
  <c r="BW53" i="53" s="1"/>
  <c r="R52" i="53"/>
  <c r="Q52" i="53"/>
  <c r="BW52" i="53" s="1"/>
  <c r="R47" i="53"/>
  <c r="Q47" i="53"/>
  <c r="BW47" i="53" s="1"/>
  <c r="R46" i="53"/>
  <c r="Q46" i="53"/>
  <c r="BW46" i="53" s="1"/>
  <c r="R45" i="53"/>
  <c r="Q45" i="53"/>
  <c r="BW45" i="53" s="1"/>
  <c r="R44" i="53"/>
  <c r="Q44" i="53"/>
  <c r="BW44" i="53" s="1"/>
  <c r="R43" i="53"/>
  <c r="Q43" i="53"/>
  <c r="BW43" i="53" s="1"/>
  <c r="R42" i="53"/>
  <c r="Q42" i="53"/>
  <c r="BW42" i="53" s="1"/>
  <c r="R41" i="53"/>
  <c r="Q41" i="53"/>
  <c r="BW41" i="53" s="1"/>
  <c r="R40" i="53"/>
  <c r="Q40" i="53"/>
  <c r="BW40" i="53" s="1"/>
  <c r="R39" i="53"/>
  <c r="Q39" i="53"/>
  <c r="BW39" i="53" s="1"/>
  <c r="R37" i="53"/>
  <c r="Q37" i="53"/>
  <c r="BW37" i="53" s="1"/>
  <c r="R36" i="53"/>
  <c r="Q36" i="53"/>
  <c r="BW36" i="53" s="1"/>
  <c r="R35" i="53"/>
  <c r="Q35" i="53"/>
  <c r="BW35" i="53" s="1"/>
  <c r="R34" i="53"/>
  <c r="Q34" i="53"/>
  <c r="BW34" i="53" s="1"/>
  <c r="R33" i="53"/>
  <c r="Q33" i="53"/>
  <c r="BW33" i="53" s="1"/>
  <c r="R32" i="53"/>
  <c r="Q32" i="53"/>
  <c r="BW32" i="53" s="1"/>
  <c r="R30" i="53"/>
  <c r="Q30" i="53"/>
  <c r="BW30" i="53" s="1"/>
  <c r="R28" i="53"/>
  <c r="Q28" i="53"/>
  <c r="BW28" i="53" s="1"/>
  <c r="R27" i="53"/>
  <c r="Q27" i="53"/>
  <c r="BW27" i="53" s="1"/>
  <c r="R26" i="53"/>
  <c r="Q26" i="53"/>
  <c r="BW26" i="53" s="1"/>
  <c r="R23" i="53"/>
  <c r="Q23" i="53"/>
  <c r="BW23" i="53" s="1"/>
  <c r="R22" i="53"/>
  <c r="Q22" i="53"/>
  <c r="BW22" i="53" s="1"/>
  <c r="R20" i="53"/>
  <c r="Q20" i="53"/>
  <c r="BW20" i="53" s="1"/>
  <c r="R19" i="53"/>
  <c r="Q19" i="53"/>
  <c r="BW19" i="53" s="1"/>
  <c r="R16" i="53"/>
  <c r="Q16" i="53"/>
  <c r="BW16" i="53" s="1"/>
  <c r="R15" i="53"/>
  <c r="Q15" i="53"/>
  <c r="BW15" i="53" s="1"/>
  <c r="R14" i="53"/>
  <c r="Q14" i="53"/>
  <c r="BW14" i="53" s="1"/>
  <c r="R13" i="53"/>
  <c r="Q13" i="53"/>
  <c r="BW13" i="53" s="1"/>
  <c r="J94" i="53"/>
  <c r="I94" i="53"/>
  <c r="BP94" i="53" s="1"/>
  <c r="J92" i="53"/>
  <c r="I92" i="53"/>
  <c r="BP92" i="53" s="1"/>
  <c r="J87" i="53"/>
  <c r="I87" i="53"/>
  <c r="BP87" i="53" s="1"/>
  <c r="J86" i="53"/>
  <c r="I86" i="53"/>
  <c r="BP86" i="53" s="1"/>
  <c r="J85" i="53"/>
  <c r="I85" i="53"/>
  <c r="BP85" i="53" s="1"/>
  <c r="J84" i="53"/>
  <c r="I84" i="53"/>
  <c r="BP84" i="53" s="1"/>
  <c r="J82" i="53"/>
  <c r="I82" i="53"/>
  <c r="BP82" i="53" s="1"/>
  <c r="J81" i="53"/>
  <c r="I81" i="53"/>
  <c r="BP81" i="53" s="1"/>
  <c r="J80" i="53"/>
  <c r="I80" i="53"/>
  <c r="BP80" i="53" s="1"/>
  <c r="J79" i="53"/>
  <c r="I79" i="53"/>
  <c r="BP79" i="53" s="1"/>
  <c r="J78" i="53"/>
  <c r="I78" i="53"/>
  <c r="BP78" i="53" s="1"/>
  <c r="J77" i="53"/>
  <c r="I77" i="53"/>
  <c r="BP77" i="53" s="1"/>
  <c r="J75" i="53"/>
  <c r="I75" i="53"/>
  <c r="BP75" i="53" s="1"/>
  <c r="J73" i="53"/>
  <c r="I73" i="53"/>
  <c r="BP73" i="53" s="1"/>
  <c r="J72" i="53"/>
  <c r="I72" i="53"/>
  <c r="BP72" i="53" s="1"/>
  <c r="J71" i="53"/>
  <c r="I71" i="53"/>
  <c r="BP71" i="53" s="1"/>
  <c r="J54" i="53"/>
  <c r="I54" i="53"/>
  <c r="BP54" i="53" s="1"/>
  <c r="J53" i="53"/>
  <c r="I53" i="53"/>
  <c r="BP53" i="53" s="1"/>
  <c r="J52" i="53"/>
  <c r="I52" i="53"/>
  <c r="BP52" i="53" s="1"/>
  <c r="J47" i="53"/>
  <c r="I47" i="53"/>
  <c r="BP47" i="53" s="1"/>
  <c r="J46" i="53"/>
  <c r="I46" i="53"/>
  <c r="BP46" i="53" s="1"/>
  <c r="J45" i="53"/>
  <c r="I45" i="53"/>
  <c r="BP45" i="53" s="1"/>
  <c r="J44" i="53"/>
  <c r="I44" i="53"/>
  <c r="BP44" i="53" s="1"/>
  <c r="J43" i="53"/>
  <c r="I43" i="53"/>
  <c r="BP43" i="53" s="1"/>
  <c r="J42" i="53"/>
  <c r="I42" i="53"/>
  <c r="BP42" i="53" s="1"/>
  <c r="J41" i="53"/>
  <c r="I41" i="53"/>
  <c r="BP41" i="53" s="1"/>
  <c r="J40" i="53"/>
  <c r="I40" i="53"/>
  <c r="BP40" i="53" s="1"/>
  <c r="J39" i="53"/>
  <c r="I39" i="53"/>
  <c r="BP39" i="53" s="1"/>
  <c r="J37" i="53"/>
  <c r="I37" i="53"/>
  <c r="BP37" i="53" s="1"/>
  <c r="J36" i="53"/>
  <c r="I36" i="53"/>
  <c r="BP36" i="53" s="1"/>
  <c r="J35" i="53"/>
  <c r="I35" i="53"/>
  <c r="BP35" i="53" s="1"/>
  <c r="J34" i="53"/>
  <c r="I34" i="53"/>
  <c r="BP34" i="53" s="1"/>
  <c r="J33" i="53"/>
  <c r="I33" i="53"/>
  <c r="BP33" i="53" s="1"/>
  <c r="J32" i="53"/>
  <c r="I32" i="53"/>
  <c r="BP32" i="53" s="1"/>
  <c r="J31" i="53"/>
  <c r="I31" i="53"/>
  <c r="BP31" i="53" s="1"/>
  <c r="J30" i="53"/>
  <c r="I30" i="53"/>
  <c r="BP30" i="53" s="1"/>
  <c r="J28" i="53"/>
  <c r="I28" i="53"/>
  <c r="BP28" i="53" s="1"/>
  <c r="J27" i="53"/>
  <c r="I27" i="53"/>
  <c r="BP27" i="53" s="1"/>
  <c r="J26" i="53"/>
  <c r="I26" i="53"/>
  <c r="BP26" i="53" s="1"/>
  <c r="J23" i="53"/>
  <c r="I23" i="53"/>
  <c r="BP23" i="53" s="1"/>
  <c r="J22" i="53"/>
  <c r="I22" i="53"/>
  <c r="BP22" i="53" s="1"/>
  <c r="J20" i="53"/>
  <c r="I20" i="53"/>
  <c r="BP20" i="53" s="1"/>
  <c r="J19" i="53"/>
  <c r="I19" i="53"/>
  <c r="BP19" i="53" s="1"/>
  <c r="J16" i="53"/>
  <c r="I16" i="53"/>
  <c r="BP16" i="53" s="1"/>
  <c r="J15" i="53"/>
  <c r="I15" i="53"/>
  <c r="BP15" i="53" s="1"/>
  <c r="J14" i="53"/>
  <c r="I14" i="53"/>
  <c r="BP14" i="53" s="1"/>
  <c r="J13" i="53"/>
  <c r="I13" i="53"/>
  <c r="BP13" i="53" s="1"/>
  <c r="P152" i="46"/>
  <c r="P150" i="46"/>
  <c r="P148" i="46"/>
  <c r="P146" i="46"/>
  <c r="P144" i="46"/>
  <c r="P140" i="46"/>
  <c r="P139" i="46"/>
  <c r="P138" i="46"/>
  <c r="P137" i="46"/>
  <c r="P136" i="46"/>
  <c r="P135" i="46"/>
  <c r="P134" i="46"/>
  <c r="P133" i="46"/>
  <c r="P132" i="46"/>
  <c r="P131" i="46"/>
  <c r="P130" i="46"/>
  <c r="P129" i="46"/>
  <c r="P128" i="46"/>
  <c r="P127" i="46"/>
  <c r="P121" i="46"/>
  <c r="P119" i="46"/>
  <c r="P117" i="46"/>
  <c r="P115" i="46"/>
  <c r="P113" i="46"/>
  <c r="P109" i="46"/>
  <c r="P108" i="46"/>
  <c r="P107" i="46"/>
  <c r="P106" i="46"/>
  <c r="P105" i="46"/>
  <c r="P104" i="46"/>
  <c r="P103" i="46"/>
  <c r="P102" i="46"/>
  <c r="P101" i="46"/>
  <c r="P100" i="46"/>
  <c r="P99" i="46"/>
  <c r="P98" i="46"/>
  <c r="P97" i="46"/>
  <c r="P96" i="46"/>
  <c r="P90" i="46"/>
  <c r="P88" i="46"/>
  <c r="P86" i="46"/>
  <c r="P84" i="46"/>
  <c r="P82" i="46"/>
  <c r="P78" i="46"/>
  <c r="P77" i="46"/>
  <c r="P76" i="46"/>
  <c r="P75" i="46"/>
  <c r="P74" i="46"/>
  <c r="P73" i="46"/>
  <c r="P72" i="46"/>
  <c r="P71" i="46"/>
  <c r="P70" i="46"/>
  <c r="P64" i="46"/>
  <c r="P62" i="46"/>
  <c r="P60" i="46"/>
  <c r="P58" i="46"/>
  <c r="P56" i="46"/>
  <c r="P52" i="46"/>
  <c r="P51" i="46"/>
  <c r="P50" i="46"/>
  <c r="P49" i="46"/>
  <c r="P48" i="46"/>
  <c r="P47" i="46"/>
  <c r="P46" i="46"/>
  <c r="P45" i="46"/>
  <c r="P44" i="46"/>
  <c r="P43" i="46"/>
  <c r="P42" i="46"/>
  <c r="P41" i="46"/>
  <c r="P35" i="46"/>
  <c r="P33" i="46"/>
  <c r="P31" i="46"/>
  <c r="P29" i="46"/>
  <c r="P27" i="46"/>
  <c r="P23" i="46"/>
  <c r="P22" i="46"/>
  <c r="P21" i="46"/>
  <c r="P20" i="46"/>
  <c r="P19" i="46"/>
  <c r="P18" i="46"/>
  <c r="P17" i="46"/>
  <c r="P16" i="46"/>
  <c r="P15" i="46"/>
  <c r="P14" i="46"/>
  <c r="P13" i="46"/>
  <c r="P12" i="46"/>
  <c r="P11" i="46"/>
  <c r="P10" i="46"/>
  <c r="CK69" i="60" l="1"/>
  <c r="CL69" i="60"/>
  <c r="AO61" i="60"/>
  <c r="CL61" i="60" s="1"/>
  <c r="AN61" i="60"/>
  <c r="CK61" i="60" s="1"/>
  <c r="AO60" i="60"/>
  <c r="CL60" i="60" s="1"/>
  <c r="AN60" i="60"/>
  <c r="CK60" i="60" s="1"/>
  <c r="AO59" i="60"/>
  <c r="CL59" i="60" s="1"/>
  <c r="AN59" i="60"/>
  <c r="CK59" i="60" s="1"/>
  <c r="AO58" i="60"/>
  <c r="CL58" i="60" s="1"/>
  <c r="AN58" i="60"/>
  <c r="CK58" i="60" s="1"/>
  <c r="AO57" i="60"/>
  <c r="CL57" i="60" s="1"/>
  <c r="AN57" i="60"/>
  <c r="CK57" i="60" s="1"/>
  <c r="AO56" i="60"/>
  <c r="CL56" i="60" s="1"/>
  <c r="AN56" i="60"/>
  <c r="CK56" i="60" s="1"/>
  <c r="AO55" i="60"/>
  <c r="CL55" i="60" s="1"/>
  <c r="AN55" i="60"/>
  <c r="CK55" i="60" s="1"/>
  <c r="AO54" i="60"/>
  <c r="CL54" i="60" s="1"/>
  <c r="AN54" i="60"/>
  <c r="CK54" i="60" s="1"/>
  <c r="AO53" i="60"/>
  <c r="CL53" i="60" s="1"/>
  <c r="AN53" i="60"/>
  <c r="CK53" i="60" s="1"/>
  <c r="AO29" i="60"/>
  <c r="AO62" i="60" s="1"/>
  <c r="AN29" i="60"/>
  <c r="AN62" i="60" s="1"/>
  <c r="AO14" i="60"/>
  <c r="AO25" i="60" s="1"/>
  <c r="AN14" i="60"/>
  <c r="AN25" i="60" s="1"/>
  <c r="AO11" i="60"/>
  <c r="AN11" i="60"/>
  <c r="AR13" i="60"/>
  <c r="CL29" i="60" l="1"/>
  <c r="CK29" i="60"/>
  <c r="AN63" i="60"/>
  <c r="AN50" i="60"/>
  <c r="CK50" i="60" s="1"/>
  <c r="AO63" i="60"/>
  <c r="AO50" i="60"/>
  <c r="CL50" i="60" s="1"/>
  <c r="AO51" i="60" l="1"/>
  <c r="F14" i="16" l="1"/>
  <c r="X58" i="53"/>
  <c r="CC58" i="53" s="1"/>
  <c r="Y52" i="85" s="1"/>
  <c r="G14" i="16" l="1"/>
  <c r="O14" i="16"/>
  <c r="AP23" i="84" s="1"/>
  <c r="AQ51" i="7"/>
  <c r="AQ50" i="7"/>
  <c r="AQ49" i="7"/>
  <c r="AQ48" i="7"/>
  <c r="AQ52" i="7" s="1"/>
  <c r="AQ40" i="7"/>
  <c r="CN40" i="7" s="1"/>
  <c r="AQ39" i="7"/>
  <c r="AQ38" i="7"/>
  <c r="CN38" i="7" s="1"/>
  <c r="AQ37" i="7"/>
  <c r="AI54" i="7"/>
  <c r="AI53" i="7"/>
  <c r="AI52" i="7"/>
  <c r="AI43" i="7"/>
  <c r="AI42" i="7"/>
  <c r="CF42" i="7" s="1"/>
  <c r="AI41" i="7"/>
  <c r="AA54" i="7"/>
  <c r="AA53" i="7"/>
  <c r="AA52" i="7"/>
  <c r="AA43" i="7"/>
  <c r="AA42" i="7"/>
  <c r="BX42" i="7" s="1"/>
  <c r="AA41" i="7"/>
  <c r="S54" i="7"/>
  <c r="T48" i="7" s="1"/>
  <c r="S53" i="7"/>
  <c r="S52" i="7"/>
  <c r="S43" i="7"/>
  <c r="S42" i="7"/>
  <c r="BP42" i="7" s="1"/>
  <c r="S41" i="7"/>
  <c r="K54" i="7"/>
  <c r="L48" i="7" s="1"/>
  <c r="K53" i="7"/>
  <c r="K52" i="7"/>
  <c r="K43" i="7"/>
  <c r="K42" i="7"/>
  <c r="BH42" i="7" s="1"/>
  <c r="K41" i="7"/>
  <c r="C54" i="7"/>
  <c r="D48" i="7" s="1"/>
  <c r="C53" i="7"/>
  <c r="C52" i="7"/>
  <c r="C43" i="7"/>
  <c r="C42" i="7"/>
  <c r="AZ42" i="7" s="1"/>
  <c r="C41" i="7"/>
  <c r="AQ53" i="7" l="1"/>
  <c r="BX43" i="7"/>
  <c r="AB37" i="7"/>
  <c r="BY37" i="7" s="1"/>
  <c r="CF43" i="7"/>
  <c r="AJ37" i="7"/>
  <c r="CG37" i="7" s="1"/>
  <c r="L37" i="7"/>
  <c r="BI37" i="7" s="1"/>
  <c r="BH43" i="7"/>
  <c r="AQ42" i="7"/>
  <c r="CN42" i="7" s="1"/>
  <c r="CN39" i="7"/>
  <c r="D37" i="7"/>
  <c r="BA37" i="7" s="1"/>
  <c r="AZ43" i="7"/>
  <c r="T37" i="7"/>
  <c r="BQ37" i="7" s="1"/>
  <c r="BP43" i="7"/>
  <c r="AQ41" i="7"/>
  <c r="CN37" i="7"/>
  <c r="H14" i="16"/>
  <c r="Q14" i="16" s="1"/>
  <c r="AR23" i="84" s="1"/>
  <c r="P14" i="16"/>
  <c r="AQ23" i="84" s="1"/>
  <c r="AQ43" i="7"/>
  <c r="CN43" i="7" s="1"/>
  <c r="AQ54" i="7"/>
  <c r="AP132" i="41"/>
  <c r="AP130" i="41"/>
  <c r="AE151" i="41"/>
  <c r="BY151" i="41" s="1"/>
  <c r="AE150" i="41"/>
  <c r="BY150" i="41" s="1"/>
  <c r="W151" i="41"/>
  <c r="BQ151" i="41" s="1"/>
  <c r="W150" i="41"/>
  <c r="BQ150" i="41" s="1"/>
  <c r="O151" i="41"/>
  <c r="BI151" i="41" s="1"/>
  <c r="O150" i="41"/>
  <c r="BI150" i="41" s="1"/>
  <c r="F123" i="41"/>
  <c r="AZ123" i="41" s="1"/>
  <c r="F122" i="41"/>
  <c r="AZ122" i="41" s="1"/>
  <c r="F121" i="41"/>
  <c r="AZ121" i="41" s="1"/>
  <c r="F120" i="41"/>
  <c r="AZ120" i="41" s="1"/>
  <c r="F119" i="41"/>
  <c r="AZ119" i="41" s="1"/>
  <c r="F118" i="41"/>
  <c r="AZ118" i="41" s="1"/>
  <c r="F117" i="41"/>
  <c r="AZ117" i="41" s="1"/>
  <c r="F116" i="41"/>
  <c r="AZ116" i="41" s="1"/>
  <c r="F115" i="41"/>
  <c r="AZ115" i="41" s="1"/>
  <c r="F114" i="41"/>
  <c r="AZ114" i="41" s="1"/>
  <c r="F113" i="41"/>
  <c r="AZ113" i="41" s="1"/>
  <c r="F112" i="41"/>
  <c r="AZ112" i="41" s="1"/>
  <c r="F111" i="41"/>
  <c r="AZ111" i="41" s="1"/>
  <c r="F110" i="41"/>
  <c r="AZ110" i="41" s="1"/>
  <c r="F109" i="41"/>
  <c r="AZ109" i="41" s="1"/>
  <c r="F108" i="41"/>
  <c r="AZ108" i="41" s="1"/>
  <c r="F107" i="41"/>
  <c r="AZ107" i="41" s="1"/>
  <c r="F106" i="41"/>
  <c r="AZ106" i="41" s="1"/>
  <c r="F105" i="41"/>
  <c r="AZ105" i="41" s="1"/>
  <c r="F104" i="41"/>
  <c r="AZ104" i="41" s="1"/>
  <c r="F103" i="41"/>
  <c r="AZ103" i="41" s="1"/>
  <c r="F102" i="41"/>
  <c r="AZ102" i="41" s="1"/>
  <c r="F101" i="41"/>
  <c r="AZ101" i="41" s="1"/>
  <c r="F100" i="41"/>
  <c r="AZ100" i="41" s="1"/>
  <c r="F97" i="41"/>
  <c r="AZ97" i="41" s="1"/>
  <c r="F96" i="41"/>
  <c r="AZ96" i="41" s="1"/>
  <c r="F95" i="41"/>
  <c r="AZ95" i="41" s="1"/>
  <c r="F94" i="41"/>
  <c r="AZ94" i="41" s="1"/>
  <c r="F93" i="41"/>
  <c r="AZ93" i="41" s="1"/>
  <c r="F92" i="41"/>
  <c r="AZ92" i="41" s="1"/>
  <c r="F91" i="41"/>
  <c r="AZ91" i="41" s="1"/>
  <c r="F90" i="41"/>
  <c r="AZ90" i="41" s="1"/>
  <c r="F89" i="41"/>
  <c r="AZ89" i="41" s="1"/>
  <c r="F88" i="41"/>
  <c r="AZ88" i="41" s="1"/>
  <c r="F87" i="41"/>
  <c r="AZ87" i="41" s="1"/>
  <c r="F86" i="41"/>
  <c r="AZ86" i="41" s="1"/>
  <c r="F85" i="41"/>
  <c r="AZ85" i="41" s="1"/>
  <c r="F84" i="41"/>
  <c r="AZ84" i="41" s="1"/>
  <c r="F83" i="41"/>
  <c r="AZ83" i="41" s="1"/>
  <c r="F82" i="41"/>
  <c r="AZ82" i="41" s="1"/>
  <c r="F81" i="41"/>
  <c r="AZ81" i="41" s="1"/>
  <c r="F80" i="41"/>
  <c r="AZ80" i="41" s="1"/>
  <c r="F79" i="41"/>
  <c r="AZ79" i="41" s="1"/>
  <c r="F78" i="41"/>
  <c r="AZ78" i="41" s="1"/>
  <c r="F77" i="41"/>
  <c r="AZ77" i="41" s="1"/>
  <c r="F76" i="41"/>
  <c r="AZ76" i="41" s="1"/>
  <c r="F75" i="41"/>
  <c r="AZ75" i="41" s="1"/>
  <c r="F74" i="41"/>
  <c r="AZ74" i="41" s="1"/>
  <c r="F71" i="41"/>
  <c r="AZ71" i="41" s="1"/>
  <c r="F70" i="41"/>
  <c r="AZ70" i="41" s="1"/>
  <c r="F69" i="41"/>
  <c r="AZ69" i="41" s="1"/>
  <c r="F68" i="41"/>
  <c r="AZ68" i="41" s="1"/>
  <c r="F67" i="41"/>
  <c r="AZ67" i="41" s="1"/>
  <c r="F66" i="41"/>
  <c r="AZ66" i="41" s="1"/>
  <c r="F65" i="41"/>
  <c r="AZ65" i="41" s="1"/>
  <c r="F64" i="41"/>
  <c r="AZ64" i="41" s="1"/>
  <c r="F63" i="41"/>
  <c r="AZ63" i="41" s="1"/>
  <c r="F62" i="41"/>
  <c r="AZ62" i="41" s="1"/>
  <c r="F61" i="41"/>
  <c r="AZ61" i="41" s="1"/>
  <c r="F59" i="41"/>
  <c r="AZ59" i="41" s="1"/>
  <c r="F58" i="41"/>
  <c r="AZ58" i="41" s="1"/>
  <c r="F56" i="41"/>
  <c r="AZ56" i="41" s="1"/>
  <c r="F55" i="41"/>
  <c r="AZ55" i="41" s="1"/>
  <c r="F54" i="41"/>
  <c r="AZ54" i="41" s="1"/>
  <c r="F53" i="41"/>
  <c r="AZ53" i="41" s="1"/>
  <c r="F52" i="41"/>
  <c r="AZ52" i="41" s="1"/>
  <c r="F51" i="41"/>
  <c r="AZ51" i="41" s="1"/>
  <c r="F50" i="41"/>
  <c r="AZ50" i="41" s="1"/>
  <c r="F49" i="41"/>
  <c r="AZ49" i="41" s="1"/>
  <c r="F47" i="41"/>
  <c r="AZ47" i="41" s="1"/>
  <c r="F46" i="41"/>
  <c r="AZ46" i="41" s="1"/>
  <c r="F45" i="41"/>
  <c r="AZ45" i="41" s="1"/>
  <c r="F44" i="41"/>
  <c r="AZ44" i="41" s="1"/>
  <c r="F43" i="41"/>
  <c r="AZ43" i="41" s="1"/>
  <c r="F42" i="41"/>
  <c r="AZ42" i="41" s="1"/>
  <c r="F41" i="41"/>
  <c r="AZ41" i="41" s="1"/>
  <c r="F40" i="41"/>
  <c r="AZ40" i="41" s="1"/>
  <c r="F39" i="41"/>
  <c r="AZ39" i="41" s="1"/>
  <c r="F38" i="41"/>
  <c r="AZ38" i="41" s="1"/>
  <c r="F37" i="41"/>
  <c r="AZ37" i="41" s="1"/>
  <c r="F35" i="41"/>
  <c r="AZ35" i="41" s="1"/>
  <c r="F34" i="41"/>
  <c r="AZ34" i="41" s="1"/>
  <c r="F33" i="41"/>
  <c r="AZ33" i="41" s="1"/>
  <c r="F32" i="41"/>
  <c r="AZ32" i="41" s="1"/>
  <c r="F31" i="41"/>
  <c r="AZ31" i="41" s="1"/>
  <c r="F30" i="41"/>
  <c r="AZ30" i="41" s="1"/>
  <c r="F29" i="41"/>
  <c r="AZ29" i="41" s="1"/>
  <c r="F28" i="41"/>
  <c r="AZ28" i="41" s="1"/>
  <c r="F27" i="41"/>
  <c r="AZ27" i="41" s="1"/>
  <c r="F26" i="41"/>
  <c r="AZ26" i="41" s="1"/>
  <c r="F25" i="41"/>
  <c r="AZ25" i="41" s="1"/>
  <c r="F24" i="41"/>
  <c r="AZ24" i="41" s="1"/>
  <c r="F23" i="41"/>
  <c r="AZ23" i="41" s="1"/>
  <c r="F22" i="41"/>
  <c r="AZ22" i="41" s="1"/>
  <c r="F21" i="41"/>
  <c r="AZ21" i="41" s="1"/>
  <c r="F20" i="41"/>
  <c r="AZ20" i="41" s="1"/>
  <c r="F19" i="41"/>
  <c r="AZ19" i="41" s="1"/>
  <c r="F18" i="41"/>
  <c r="AZ18" i="41" s="1"/>
  <c r="F17" i="41"/>
  <c r="AZ17" i="41" s="1"/>
  <c r="F16" i="41"/>
  <c r="AZ16" i="41" s="1"/>
  <c r="F15" i="41"/>
  <c r="AZ15" i="41" s="1"/>
  <c r="F14" i="41"/>
  <c r="AZ14" i="41" s="1"/>
  <c r="F13" i="41"/>
  <c r="AZ13" i="41" s="1"/>
  <c r="F12" i="41"/>
  <c r="AZ12" i="41" s="1"/>
  <c r="F9" i="41"/>
  <c r="AE99" i="41"/>
  <c r="AE73" i="41"/>
  <c r="AE60" i="41"/>
  <c r="BY60" i="41" s="1"/>
  <c r="AE57" i="41"/>
  <c r="BY57" i="41" s="1"/>
  <c r="AE48" i="41"/>
  <c r="BY48" i="41" s="1"/>
  <c r="AE36" i="41"/>
  <c r="BY36" i="41" s="1"/>
  <c r="AE11" i="41"/>
  <c r="BY11" i="41" s="1"/>
  <c r="W99" i="41"/>
  <c r="W73" i="41"/>
  <c r="W60" i="41"/>
  <c r="BQ60" i="41" s="1"/>
  <c r="W57" i="41"/>
  <c r="BQ57" i="41" s="1"/>
  <c r="W48" i="41"/>
  <c r="BQ48" i="41" s="1"/>
  <c r="W36" i="41"/>
  <c r="BQ36" i="41" s="1"/>
  <c r="W11" i="41"/>
  <c r="BQ11" i="41" s="1"/>
  <c r="O99" i="41"/>
  <c r="O73" i="41"/>
  <c r="O60" i="41"/>
  <c r="BI60" i="41" s="1"/>
  <c r="O57" i="41"/>
  <c r="BI57" i="41" s="1"/>
  <c r="O48" i="41"/>
  <c r="BI48" i="41" s="1"/>
  <c r="O36" i="41"/>
  <c r="BI36" i="41" s="1"/>
  <c r="O11" i="41"/>
  <c r="BI11" i="41" s="1"/>
  <c r="G13" i="41"/>
  <c r="BA13" i="41" s="1"/>
  <c r="E13" i="62"/>
  <c r="E14" i="62"/>
  <c r="E16" i="62"/>
  <c r="E17" i="62"/>
  <c r="E19" i="62"/>
  <c r="E20" i="62"/>
  <c r="E21" i="62"/>
  <c r="E23" i="62"/>
  <c r="E24" i="62"/>
  <c r="E26" i="62"/>
  <c r="E27" i="62"/>
  <c r="E28" i="62"/>
  <c r="E29" i="62"/>
  <c r="E32" i="62"/>
  <c r="E33" i="62"/>
  <c r="E35" i="62"/>
  <c r="E36" i="62"/>
  <c r="E37" i="62"/>
  <c r="E38" i="62"/>
  <c r="E39" i="62"/>
  <c r="E40" i="62"/>
  <c r="E41" i="62"/>
  <c r="E42" i="62"/>
  <c r="E43" i="62"/>
  <c r="E44" i="62"/>
  <c r="AE143" i="41" l="1"/>
  <c r="BY143" i="41" s="1"/>
  <c r="BY73" i="41"/>
  <c r="O143" i="41"/>
  <c r="BI143" i="41" s="1"/>
  <c r="BI73" i="41"/>
  <c r="W144" i="41"/>
  <c r="BQ144" i="41" s="1"/>
  <c r="BQ99" i="41"/>
  <c r="C8" i="7"/>
  <c r="AZ9" i="41"/>
  <c r="BI9" i="41" s="1"/>
  <c r="O144" i="41"/>
  <c r="BI99" i="41"/>
  <c r="AE144" i="41"/>
  <c r="BY144" i="41" s="1"/>
  <c r="BY99" i="41"/>
  <c r="W143" i="41"/>
  <c r="BQ143" i="41" s="1"/>
  <c r="BQ73" i="41"/>
  <c r="E91" i="62"/>
  <c r="AV91" i="62" s="1"/>
  <c r="AV42" i="62"/>
  <c r="E82" i="62"/>
  <c r="AV82" i="62" s="1"/>
  <c r="AV33" i="62"/>
  <c r="E90" i="62"/>
  <c r="AV90" i="62" s="1"/>
  <c r="AV41" i="62"/>
  <c r="E69" i="62"/>
  <c r="AV69" i="62" s="1"/>
  <c r="AV20" i="62"/>
  <c r="E89" i="62"/>
  <c r="AV89" i="62" s="1"/>
  <c r="AV40" i="62"/>
  <c r="E68" i="62"/>
  <c r="AV68" i="62" s="1"/>
  <c r="AV19" i="62"/>
  <c r="E88" i="62"/>
  <c r="AV88" i="62" s="1"/>
  <c r="AV39" i="62"/>
  <c r="E66" i="62"/>
  <c r="AV66" i="62" s="1"/>
  <c r="AV17" i="62"/>
  <c r="E87" i="62"/>
  <c r="AV87" i="62" s="1"/>
  <c r="AV38" i="62"/>
  <c r="E65" i="62"/>
  <c r="AV65" i="62" s="1"/>
  <c r="AV16" i="62"/>
  <c r="E86" i="62"/>
  <c r="AV86" i="62" s="1"/>
  <c r="AV37" i="62"/>
  <c r="E75" i="62"/>
  <c r="AV75" i="62" s="1"/>
  <c r="AV26" i="62"/>
  <c r="E63" i="62"/>
  <c r="AV63" i="62" s="1"/>
  <c r="AV14" i="62"/>
  <c r="E93" i="62"/>
  <c r="AV93" i="62" s="1"/>
  <c r="AV44" i="62"/>
  <c r="E85" i="62"/>
  <c r="AV85" i="62" s="1"/>
  <c r="AV36" i="62"/>
  <c r="E73" i="62"/>
  <c r="AV73" i="62" s="1"/>
  <c r="AV24" i="62"/>
  <c r="E62" i="62"/>
  <c r="AV62" i="62" s="1"/>
  <c r="AV13" i="62"/>
  <c r="E70" i="62"/>
  <c r="AV70" i="62" s="1"/>
  <c r="AV21" i="62"/>
  <c r="E81" i="62"/>
  <c r="AV81" i="62" s="1"/>
  <c r="AV32" i="62"/>
  <c r="E78" i="62"/>
  <c r="AV78" i="62" s="1"/>
  <c r="AV29" i="62"/>
  <c r="E77" i="62"/>
  <c r="AV77" i="62" s="1"/>
  <c r="AV28" i="62"/>
  <c r="E76" i="62"/>
  <c r="AV76" i="62" s="1"/>
  <c r="AV27" i="62"/>
  <c r="E92" i="62"/>
  <c r="AV92" i="62" s="1"/>
  <c r="AV43" i="62"/>
  <c r="E84" i="62"/>
  <c r="AV84" i="62" s="1"/>
  <c r="AV35" i="62"/>
  <c r="E72" i="62"/>
  <c r="AV72" i="62" s="1"/>
  <c r="AV23" i="62"/>
  <c r="AE157" i="41"/>
  <c r="BY157" i="41" s="1"/>
  <c r="W156" i="41"/>
  <c r="BQ156" i="41" s="1"/>
  <c r="W157" i="41"/>
  <c r="BQ157" i="41" s="1"/>
  <c r="F11" i="41"/>
  <c r="AZ11" i="41" s="1"/>
  <c r="F57" i="41"/>
  <c r="O134" i="41"/>
  <c r="BI134" i="41" s="1"/>
  <c r="O126" i="41"/>
  <c r="BI126" i="41" s="1"/>
  <c r="W134" i="41"/>
  <c r="BQ134" i="41" s="1"/>
  <c r="AE134" i="41"/>
  <c r="BY134" i="41" s="1"/>
  <c r="AP9" i="41"/>
  <c r="F48" i="41"/>
  <c r="AZ48" i="41" s="1"/>
  <c r="F99" i="41"/>
  <c r="O9" i="41"/>
  <c r="F36" i="41"/>
  <c r="AZ36" i="41" s="1"/>
  <c r="F73" i="41"/>
  <c r="F150" i="41"/>
  <c r="AZ150" i="41" s="1"/>
  <c r="F151" i="41"/>
  <c r="AZ151" i="41" s="1"/>
  <c r="W126" i="41"/>
  <c r="BQ126" i="41" s="1"/>
  <c r="F60" i="41"/>
  <c r="AE125" i="41"/>
  <c r="BY125" i="41" s="1"/>
  <c r="AE126" i="41"/>
  <c r="BY126" i="41" s="1"/>
  <c r="AE124" i="41"/>
  <c r="BY124" i="41" s="1"/>
  <c r="W125" i="41"/>
  <c r="BQ125" i="41" s="1"/>
  <c r="W124" i="41"/>
  <c r="BQ124" i="41" s="1"/>
  <c r="O125" i="41"/>
  <c r="BI125" i="41" s="1"/>
  <c r="O124" i="41"/>
  <c r="BI124" i="41" s="1"/>
  <c r="AG59" i="62"/>
  <c r="AG58" i="62"/>
  <c r="AG57" i="62"/>
  <c r="AG56" i="62"/>
  <c r="AG55" i="62"/>
  <c r="AG54" i="62"/>
  <c r="AG53" i="62"/>
  <c r="AG52" i="62"/>
  <c r="AG51" i="62"/>
  <c r="AG49" i="62"/>
  <c r="AG48" i="62"/>
  <c r="AG47" i="62"/>
  <c r="AG46" i="62"/>
  <c r="AG44" i="62"/>
  <c r="AG43" i="62"/>
  <c r="AG42" i="62"/>
  <c r="AG41" i="62"/>
  <c r="AG40" i="62"/>
  <c r="AG39" i="62"/>
  <c r="AG38" i="62"/>
  <c r="AG37" i="62"/>
  <c r="AG36" i="62"/>
  <c r="AG35" i="62"/>
  <c r="AG33" i="62"/>
  <c r="AG32" i="62"/>
  <c r="AG29" i="62"/>
  <c r="AG28" i="62"/>
  <c r="AG27" i="62"/>
  <c r="AG26" i="62"/>
  <c r="AG24" i="62"/>
  <c r="AG23" i="62"/>
  <c r="AG21" i="62"/>
  <c r="AG20" i="62"/>
  <c r="AG19" i="62"/>
  <c r="AG17" i="62"/>
  <c r="AG16" i="62"/>
  <c r="AG14" i="62"/>
  <c r="AG13" i="62"/>
  <c r="F66" i="62"/>
  <c r="AW66" i="62" s="1"/>
  <c r="Z59" i="62"/>
  <c r="Z58" i="62"/>
  <c r="Z57" i="62"/>
  <c r="Z56" i="62"/>
  <c r="Z55" i="62"/>
  <c r="Z54" i="62"/>
  <c r="Z53" i="62"/>
  <c r="Z52" i="62"/>
  <c r="Z51" i="62"/>
  <c r="Z49" i="62"/>
  <c r="Z48" i="62"/>
  <c r="Z47" i="62"/>
  <c r="Z46" i="62"/>
  <c r="Z44" i="62"/>
  <c r="Z43" i="62"/>
  <c r="Z42" i="62"/>
  <c r="Z41" i="62"/>
  <c r="Z40" i="62"/>
  <c r="Z39" i="62"/>
  <c r="Z38" i="62"/>
  <c r="Z37" i="62"/>
  <c r="Z36" i="62"/>
  <c r="Z35" i="62"/>
  <c r="Z33" i="62"/>
  <c r="Z32" i="62"/>
  <c r="Z29" i="62"/>
  <c r="Z28" i="62"/>
  <c r="Z27" i="62"/>
  <c r="Z26" i="62"/>
  <c r="Z24" i="62"/>
  <c r="Z23" i="62"/>
  <c r="Z21" i="62"/>
  <c r="Z20" i="62"/>
  <c r="Z19" i="62"/>
  <c r="Z17" i="62"/>
  <c r="Z16" i="62"/>
  <c r="Z14" i="62"/>
  <c r="Z13" i="62"/>
  <c r="BY9" i="41" l="1"/>
  <c r="BQ9" i="41"/>
  <c r="O157" i="41"/>
  <c r="BI157" i="41" s="1"/>
  <c r="BI144" i="41"/>
  <c r="AE156" i="41"/>
  <c r="BY156" i="41" s="1"/>
  <c r="K8" i="7"/>
  <c r="S8" i="7" s="1"/>
  <c r="AA8" i="7" s="1"/>
  <c r="AI8" i="7" s="1"/>
  <c r="AQ8" i="7" s="1"/>
  <c r="AZ8" i="7"/>
  <c r="BH8" i="7" s="1"/>
  <c r="BP8" i="7" s="1"/>
  <c r="BX8" i="7" s="1"/>
  <c r="CF8" i="7" s="1"/>
  <c r="CN8" i="7" s="1"/>
  <c r="F144" i="41"/>
  <c r="AZ144" i="41" s="1"/>
  <c r="AZ99" i="41"/>
  <c r="F126" i="41"/>
  <c r="AZ126" i="41" s="1"/>
  <c r="AZ57" i="41"/>
  <c r="F143" i="41"/>
  <c r="AZ143" i="41" s="1"/>
  <c r="AZ73" i="41"/>
  <c r="O156" i="41"/>
  <c r="BI156" i="41" s="1"/>
  <c r="Z106" i="62"/>
  <c r="BQ106" i="62" s="1"/>
  <c r="BQ57" i="62"/>
  <c r="AG98" i="62"/>
  <c r="BX98" i="62" s="1"/>
  <c r="BX49" i="62"/>
  <c r="Z107" i="62"/>
  <c r="BQ107" i="62" s="1"/>
  <c r="BQ58" i="62"/>
  <c r="AG100" i="62"/>
  <c r="BX100" i="62" s="1"/>
  <c r="BX51" i="62"/>
  <c r="Z100" i="62"/>
  <c r="BQ100" i="62" s="1"/>
  <c r="BQ51" i="62"/>
  <c r="AG101" i="62"/>
  <c r="BX52" i="62"/>
  <c r="Z91" i="62"/>
  <c r="BQ91" i="62" s="1"/>
  <c r="BQ42" i="62"/>
  <c r="AG92" i="62"/>
  <c r="BX92" i="62" s="1"/>
  <c r="BX43" i="62"/>
  <c r="Z102" i="62"/>
  <c r="BQ102" i="62" s="1"/>
  <c r="BQ53" i="62"/>
  <c r="AG85" i="62"/>
  <c r="BX85" i="62" s="1"/>
  <c r="BX36" i="62"/>
  <c r="Z73" i="62"/>
  <c r="BQ73" i="62" s="1"/>
  <c r="BQ24" i="62"/>
  <c r="Z85" i="62"/>
  <c r="BQ85" i="62" s="1"/>
  <c r="BQ36" i="62"/>
  <c r="AG63" i="62"/>
  <c r="BX63" i="62" s="1"/>
  <c r="BX14" i="62"/>
  <c r="AG75" i="62"/>
  <c r="BX75" i="62" s="1"/>
  <c r="BX26" i="62"/>
  <c r="AG86" i="62"/>
  <c r="BX86" i="62" s="1"/>
  <c r="BX37" i="62"/>
  <c r="AG95" i="62"/>
  <c r="BX95" i="62" s="1"/>
  <c r="BX46" i="62"/>
  <c r="AG104" i="62"/>
  <c r="BX104" i="62" s="1"/>
  <c r="BX55" i="62"/>
  <c r="Z66" i="62"/>
  <c r="BQ66" i="62" s="1"/>
  <c r="BQ17" i="62"/>
  <c r="Z88" i="62"/>
  <c r="BQ88" i="62" s="1"/>
  <c r="BQ39" i="62"/>
  <c r="AG68" i="62"/>
  <c r="BX68" i="62" s="1"/>
  <c r="BX19" i="62"/>
  <c r="AG89" i="62"/>
  <c r="BX89" i="62" s="1"/>
  <c r="BX40" i="62"/>
  <c r="Z68" i="62"/>
  <c r="BQ68" i="62" s="1"/>
  <c r="BQ19" i="62"/>
  <c r="Z89" i="62"/>
  <c r="BQ89" i="62" s="1"/>
  <c r="BQ40" i="62"/>
  <c r="AG69" i="62"/>
  <c r="BX69" i="62" s="1"/>
  <c r="BX20" i="62"/>
  <c r="AG90" i="62"/>
  <c r="BX90" i="62" s="1"/>
  <c r="BX41" i="62"/>
  <c r="Z69" i="62"/>
  <c r="BQ69" i="62" s="1"/>
  <c r="BQ20" i="62"/>
  <c r="Z90" i="62"/>
  <c r="BQ90" i="62" s="1"/>
  <c r="BQ41" i="62"/>
  <c r="AG70" i="62"/>
  <c r="BX70" i="62" s="1"/>
  <c r="BX21" i="62"/>
  <c r="AG91" i="62"/>
  <c r="BX91" i="62" s="1"/>
  <c r="BX42" i="62"/>
  <c r="Z82" i="62"/>
  <c r="BQ82" i="62" s="1"/>
  <c r="BQ33" i="62"/>
  <c r="AG72" i="62"/>
  <c r="BX72" i="62" s="1"/>
  <c r="BX23" i="62"/>
  <c r="AG102" i="62"/>
  <c r="BX102" i="62" s="1"/>
  <c r="BX53" i="62"/>
  <c r="Z84" i="62"/>
  <c r="BQ84" i="62" s="1"/>
  <c r="BQ35" i="62"/>
  <c r="AG62" i="62"/>
  <c r="BX13" i="62"/>
  <c r="AG93" i="62"/>
  <c r="BX93" i="62" s="1"/>
  <c r="BX44" i="62"/>
  <c r="Z62" i="62"/>
  <c r="BQ62" i="62" s="1"/>
  <c r="BQ13" i="62"/>
  <c r="Z93" i="62"/>
  <c r="BQ93" i="62" s="1"/>
  <c r="BQ44" i="62"/>
  <c r="Z103" i="62"/>
  <c r="BQ103" i="62" s="1"/>
  <c r="BQ54" i="62"/>
  <c r="Z63" i="62"/>
  <c r="BQ63" i="62" s="1"/>
  <c r="BQ14" i="62"/>
  <c r="Z75" i="62"/>
  <c r="BQ75" i="62" s="1"/>
  <c r="BQ26" i="62"/>
  <c r="Z86" i="62"/>
  <c r="BQ86" i="62" s="1"/>
  <c r="BQ37" i="62"/>
  <c r="Z95" i="62"/>
  <c r="BQ95" i="62" s="1"/>
  <c r="BQ46" i="62"/>
  <c r="Z104" i="62"/>
  <c r="BQ104" i="62" s="1"/>
  <c r="BQ55" i="62"/>
  <c r="AG65" i="62"/>
  <c r="BX16" i="62"/>
  <c r="AG76" i="62"/>
  <c r="BX76" i="62" s="1"/>
  <c r="BX27" i="62"/>
  <c r="AG87" i="62"/>
  <c r="BX87" i="62" s="1"/>
  <c r="BX38" i="62"/>
  <c r="AG96" i="62"/>
  <c r="BX96" i="62" s="1"/>
  <c r="BX47" i="62"/>
  <c r="AG105" i="62"/>
  <c r="BX105" i="62" s="1"/>
  <c r="BX56" i="62"/>
  <c r="Z77" i="62"/>
  <c r="BQ77" i="62" s="1"/>
  <c r="BQ28" i="62"/>
  <c r="Z97" i="62"/>
  <c r="BQ97" i="62" s="1"/>
  <c r="BQ48" i="62"/>
  <c r="AG78" i="62"/>
  <c r="BX78" i="62" s="1"/>
  <c r="BX29" i="62"/>
  <c r="AG107" i="62"/>
  <c r="BX107" i="62" s="1"/>
  <c r="BX58" i="62"/>
  <c r="Z78" i="62"/>
  <c r="BQ78" i="62" s="1"/>
  <c r="BQ29" i="62"/>
  <c r="Z98" i="62"/>
  <c r="BQ98" i="62" s="1"/>
  <c r="BQ49" i="62"/>
  <c r="AG81" i="62"/>
  <c r="BX81" i="62" s="1"/>
  <c r="BX32" i="62"/>
  <c r="AG108" i="62"/>
  <c r="BX108" i="62" s="1"/>
  <c r="BX59" i="62"/>
  <c r="Z81" i="62"/>
  <c r="BQ81" i="62" s="1"/>
  <c r="BQ32" i="62"/>
  <c r="Z108" i="62"/>
  <c r="BQ108" i="62" s="1"/>
  <c r="BQ59" i="62"/>
  <c r="AG82" i="62"/>
  <c r="BX82" i="62" s="1"/>
  <c r="BX33" i="62"/>
  <c r="Z70" i="62"/>
  <c r="BQ70" i="62" s="1"/>
  <c r="BQ21" i="62"/>
  <c r="Z101" i="62"/>
  <c r="BQ101" i="62" s="1"/>
  <c r="BQ52" i="62"/>
  <c r="AG84" i="62"/>
  <c r="BX84" i="62" s="1"/>
  <c r="BX35" i="62"/>
  <c r="Z72" i="62"/>
  <c r="BQ23" i="62"/>
  <c r="Z92" i="62"/>
  <c r="BQ92" i="62" s="1"/>
  <c r="BQ43" i="62"/>
  <c r="AG73" i="62"/>
  <c r="BX73" i="62" s="1"/>
  <c r="BX24" i="62"/>
  <c r="AG103" i="62"/>
  <c r="BX103" i="62" s="1"/>
  <c r="BX54" i="62"/>
  <c r="Z65" i="62"/>
  <c r="BQ65" i="62" s="1"/>
  <c r="BQ16" i="62"/>
  <c r="Z76" i="62"/>
  <c r="BQ76" i="62" s="1"/>
  <c r="BQ27" i="62"/>
  <c r="Z87" i="62"/>
  <c r="BQ87" i="62" s="1"/>
  <c r="BQ38" i="62"/>
  <c r="Z96" i="62"/>
  <c r="BQ96" i="62" s="1"/>
  <c r="BQ47" i="62"/>
  <c r="Z105" i="62"/>
  <c r="BQ105" i="62" s="1"/>
  <c r="BQ56" i="62"/>
  <c r="AG66" i="62"/>
  <c r="BX66" i="62" s="1"/>
  <c r="BX17" i="62"/>
  <c r="AG77" i="62"/>
  <c r="BX77" i="62" s="1"/>
  <c r="BX28" i="62"/>
  <c r="AG88" i="62"/>
  <c r="BX88" i="62" s="1"/>
  <c r="BX39" i="62"/>
  <c r="AG97" i="62"/>
  <c r="BX97" i="62" s="1"/>
  <c r="BX48" i="62"/>
  <c r="AG106" i="62"/>
  <c r="BX106" i="62" s="1"/>
  <c r="BX57" i="62"/>
  <c r="F125" i="41"/>
  <c r="AZ125" i="41" s="1"/>
  <c r="AZ60" i="41"/>
  <c r="Z94" i="62"/>
  <c r="BQ94" i="62" s="1"/>
  <c r="F134" i="41"/>
  <c r="AZ134" i="41" s="1"/>
  <c r="F124" i="41"/>
  <c r="AZ124" i="41" s="1"/>
  <c r="F156" i="41"/>
  <c r="AZ156" i="41" s="1"/>
  <c r="W9" i="41"/>
  <c r="AE9" i="41"/>
  <c r="C58" i="7"/>
  <c r="C36" i="7"/>
  <c r="S59" i="62"/>
  <c r="S58" i="62"/>
  <c r="S57" i="62"/>
  <c r="S56" i="62"/>
  <c r="S55" i="62"/>
  <c r="S54" i="62"/>
  <c r="S53" i="62"/>
  <c r="S52" i="62"/>
  <c r="S51" i="62"/>
  <c r="S49" i="62"/>
  <c r="S48" i="62"/>
  <c r="S47" i="62"/>
  <c r="S46" i="62"/>
  <c r="S44" i="62"/>
  <c r="S43" i="62"/>
  <c r="S42" i="62"/>
  <c r="S41" i="62"/>
  <c r="S40" i="62"/>
  <c r="S39" i="62"/>
  <c r="S38" i="62"/>
  <c r="S37" i="62"/>
  <c r="S36" i="62"/>
  <c r="S35" i="62"/>
  <c r="S29" i="62"/>
  <c r="S28" i="62"/>
  <c r="S27" i="62"/>
  <c r="S26" i="62"/>
  <c r="S24" i="62"/>
  <c r="S23" i="62"/>
  <c r="S21" i="62"/>
  <c r="S20" i="62"/>
  <c r="S19" i="62"/>
  <c r="S17" i="62"/>
  <c r="S16" i="62"/>
  <c r="S14" i="62"/>
  <c r="S13" i="62"/>
  <c r="L59" i="62"/>
  <c r="L58" i="62"/>
  <c r="L57" i="62"/>
  <c r="L56" i="62"/>
  <c r="L55" i="62"/>
  <c r="L54" i="62"/>
  <c r="L53" i="62"/>
  <c r="L52" i="62"/>
  <c r="L51" i="62"/>
  <c r="L49" i="62"/>
  <c r="L48" i="62"/>
  <c r="L47" i="62"/>
  <c r="L46" i="62"/>
  <c r="L44" i="62"/>
  <c r="L43" i="62"/>
  <c r="L42" i="62"/>
  <c r="L41" i="62"/>
  <c r="L40" i="62"/>
  <c r="L39" i="62"/>
  <c r="L38" i="62"/>
  <c r="L37" i="62"/>
  <c r="L36" i="62"/>
  <c r="L35" i="62"/>
  <c r="L33" i="62"/>
  <c r="L32" i="62"/>
  <c r="L29" i="62"/>
  <c r="L28" i="62"/>
  <c r="L27" i="62"/>
  <c r="L26" i="62"/>
  <c r="L24" i="62"/>
  <c r="L23" i="62"/>
  <c r="L21" i="62"/>
  <c r="L20" i="62"/>
  <c r="L19" i="62"/>
  <c r="L17" i="62"/>
  <c r="L16" i="62"/>
  <c r="L14" i="62"/>
  <c r="L13" i="62"/>
  <c r="E59" i="62"/>
  <c r="E58" i="62"/>
  <c r="E57" i="62"/>
  <c r="E56" i="62"/>
  <c r="E55" i="62"/>
  <c r="E54" i="62"/>
  <c r="E53" i="62"/>
  <c r="E52" i="62"/>
  <c r="E51" i="62"/>
  <c r="E49" i="62"/>
  <c r="E48" i="62"/>
  <c r="E47" i="62"/>
  <c r="E46" i="62"/>
  <c r="E8" i="82"/>
  <c r="Z8" i="82" s="1"/>
  <c r="AD8" i="82" s="1"/>
  <c r="AH8" i="82" s="1"/>
  <c r="AL8" i="82" s="1"/>
  <c r="AP8" i="82" s="1"/>
  <c r="U218" i="82"/>
  <c r="AP218" i="82" s="1"/>
  <c r="Q218" i="82"/>
  <c r="AL218" i="82" s="1"/>
  <c r="M218" i="82"/>
  <c r="AH218" i="82" s="1"/>
  <c r="I218" i="82"/>
  <c r="AD218" i="82" s="1"/>
  <c r="E218" i="82"/>
  <c r="Z218" i="82" s="1"/>
  <c r="U217" i="82"/>
  <c r="AP217" i="82" s="1"/>
  <c r="Q217" i="82"/>
  <c r="AL217" i="82" s="1"/>
  <c r="M217" i="82"/>
  <c r="AH217" i="82" s="1"/>
  <c r="I217" i="82"/>
  <c r="AD217" i="82" s="1"/>
  <c r="E217" i="82"/>
  <c r="Z217" i="82" s="1"/>
  <c r="U216" i="82"/>
  <c r="AP216" i="82" s="1"/>
  <c r="Q216" i="82"/>
  <c r="AL216" i="82" s="1"/>
  <c r="M216" i="82"/>
  <c r="AH216" i="82" s="1"/>
  <c r="I216" i="82"/>
  <c r="AD216" i="82" s="1"/>
  <c r="E216" i="82"/>
  <c r="Z216" i="82" s="1"/>
  <c r="U215" i="82"/>
  <c r="AP215" i="82" s="1"/>
  <c r="Q215" i="82"/>
  <c r="AL215" i="82" s="1"/>
  <c r="M215" i="82"/>
  <c r="AH215" i="82" s="1"/>
  <c r="I215" i="82"/>
  <c r="AD215" i="82" s="1"/>
  <c r="E215" i="82"/>
  <c r="Z215" i="82" s="1"/>
  <c r="U214" i="82"/>
  <c r="AP214" i="82" s="1"/>
  <c r="Q214" i="82"/>
  <c r="AL214" i="82" s="1"/>
  <c r="M214" i="82"/>
  <c r="AH214" i="82" s="1"/>
  <c r="I214" i="82"/>
  <c r="AD214" i="82" s="1"/>
  <c r="E214" i="82"/>
  <c r="Z214" i="82" s="1"/>
  <c r="U213" i="82"/>
  <c r="AP213" i="82" s="1"/>
  <c r="Q213" i="82"/>
  <c r="AL213" i="82" s="1"/>
  <c r="M213" i="82"/>
  <c r="AH213" i="82" s="1"/>
  <c r="I213" i="82"/>
  <c r="AD213" i="82" s="1"/>
  <c r="E213" i="82"/>
  <c r="Z213" i="82" s="1"/>
  <c r="U212" i="82"/>
  <c r="AP212" i="82" s="1"/>
  <c r="Q212" i="82"/>
  <c r="AL212" i="82" s="1"/>
  <c r="M212" i="82"/>
  <c r="AH212" i="82" s="1"/>
  <c r="I212" i="82"/>
  <c r="AD212" i="82" s="1"/>
  <c r="E212" i="82"/>
  <c r="Z212" i="82" s="1"/>
  <c r="U211" i="82"/>
  <c r="AP211" i="82" s="1"/>
  <c r="Q211" i="82"/>
  <c r="AL211" i="82" s="1"/>
  <c r="M211" i="82"/>
  <c r="AH211" i="82" s="1"/>
  <c r="I211" i="82"/>
  <c r="AD211" i="82" s="1"/>
  <c r="E211" i="82"/>
  <c r="Z211" i="82" s="1"/>
  <c r="U210" i="82"/>
  <c r="AP210" i="82" s="1"/>
  <c r="Q210" i="82"/>
  <c r="AL210" i="82" s="1"/>
  <c r="M210" i="82"/>
  <c r="AH210" i="82" s="1"/>
  <c r="I210" i="82"/>
  <c r="AD210" i="82" s="1"/>
  <c r="E210" i="82"/>
  <c r="Z210" i="82" s="1"/>
  <c r="U209" i="82"/>
  <c r="AP209" i="82" s="1"/>
  <c r="Q209" i="82"/>
  <c r="AL209" i="82" s="1"/>
  <c r="M209" i="82"/>
  <c r="AH209" i="82" s="1"/>
  <c r="I209" i="82"/>
  <c r="AD209" i="82" s="1"/>
  <c r="E209" i="82"/>
  <c r="Z209" i="82" s="1"/>
  <c r="U208" i="82"/>
  <c r="AP208" i="82" s="1"/>
  <c r="Q208" i="82"/>
  <c r="AL208" i="82" s="1"/>
  <c r="M208" i="82"/>
  <c r="AH208" i="82" s="1"/>
  <c r="I208" i="82"/>
  <c r="AD208" i="82" s="1"/>
  <c r="E208" i="82"/>
  <c r="Z208" i="82" s="1"/>
  <c r="U207" i="82"/>
  <c r="AP207" i="82" s="1"/>
  <c r="Q207" i="82"/>
  <c r="AL207" i="82" s="1"/>
  <c r="M207" i="82"/>
  <c r="AH207" i="82" s="1"/>
  <c r="I207" i="82"/>
  <c r="AD207" i="82" s="1"/>
  <c r="E207" i="82"/>
  <c r="Z207" i="82" s="1"/>
  <c r="U206" i="82"/>
  <c r="AP206" i="82" s="1"/>
  <c r="Q206" i="82"/>
  <c r="AL206" i="82" s="1"/>
  <c r="M206" i="82"/>
  <c r="AH206" i="82" s="1"/>
  <c r="I206" i="82"/>
  <c r="AD206" i="82" s="1"/>
  <c r="E206" i="82"/>
  <c r="Z206" i="82" s="1"/>
  <c r="U205" i="82"/>
  <c r="AP205" i="82" s="1"/>
  <c r="Q205" i="82"/>
  <c r="AL205" i="82" s="1"/>
  <c r="M205" i="82"/>
  <c r="AH205" i="82" s="1"/>
  <c r="I205" i="82"/>
  <c r="AD205" i="82" s="1"/>
  <c r="E205" i="82"/>
  <c r="Z205" i="82" s="1"/>
  <c r="U204" i="82"/>
  <c r="AP204" i="82" s="1"/>
  <c r="Q204" i="82"/>
  <c r="AL204" i="82" s="1"/>
  <c r="M204" i="82"/>
  <c r="AH204" i="82" s="1"/>
  <c r="I204" i="82"/>
  <c r="AD204" i="82" s="1"/>
  <c r="E204" i="82"/>
  <c r="Z204" i="82" s="1"/>
  <c r="U203" i="82"/>
  <c r="AP203" i="82" s="1"/>
  <c r="Q203" i="82"/>
  <c r="AL203" i="82" s="1"/>
  <c r="M203" i="82"/>
  <c r="AH203" i="82" s="1"/>
  <c r="I203" i="82"/>
  <c r="AD203" i="82" s="1"/>
  <c r="E203" i="82"/>
  <c r="Z203" i="82" s="1"/>
  <c r="U202" i="82"/>
  <c r="AP202" i="82" s="1"/>
  <c r="Q202" i="82"/>
  <c r="AL202" i="82" s="1"/>
  <c r="M202" i="82"/>
  <c r="AH202" i="82" s="1"/>
  <c r="I202" i="82"/>
  <c r="AD202" i="82" s="1"/>
  <c r="E202" i="82"/>
  <c r="Z202" i="82" s="1"/>
  <c r="U201" i="82"/>
  <c r="AP201" i="82" s="1"/>
  <c r="Q201" i="82"/>
  <c r="AL201" i="82" s="1"/>
  <c r="M201" i="82"/>
  <c r="AH201" i="82" s="1"/>
  <c r="I201" i="82"/>
  <c r="AD201" i="82" s="1"/>
  <c r="E201" i="82"/>
  <c r="Z201" i="82" s="1"/>
  <c r="U200" i="82"/>
  <c r="AP200" i="82" s="1"/>
  <c r="Q200" i="82"/>
  <c r="AL200" i="82" s="1"/>
  <c r="M200" i="82"/>
  <c r="AH200" i="82" s="1"/>
  <c r="I200" i="82"/>
  <c r="AD200" i="82" s="1"/>
  <c r="E200" i="82"/>
  <c r="Z200" i="82" s="1"/>
  <c r="U199" i="82"/>
  <c r="AP199" i="82" s="1"/>
  <c r="Q199" i="82"/>
  <c r="AL199" i="82" s="1"/>
  <c r="M199" i="82"/>
  <c r="AH199" i="82" s="1"/>
  <c r="I199" i="82"/>
  <c r="AD199" i="82" s="1"/>
  <c r="E199" i="82"/>
  <c r="Z199" i="82" s="1"/>
  <c r="U198" i="82"/>
  <c r="AP198" i="82" s="1"/>
  <c r="Q198" i="82"/>
  <c r="AL198" i="82" s="1"/>
  <c r="M198" i="82"/>
  <c r="AH198" i="82" s="1"/>
  <c r="I198" i="82"/>
  <c r="AD198" i="82" s="1"/>
  <c r="E198" i="82"/>
  <c r="Z198" i="82" s="1"/>
  <c r="X196" i="82"/>
  <c r="T196" i="82"/>
  <c r="P196" i="82"/>
  <c r="L196" i="82"/>
  <c r="H196" i="82"/>
  <c r="AC196" i="82" s="1"/>
  <c r="X195" i="82"/>
  <c r="T195" i="82"/>
  <c r="P195" i="82"/>
  <c r="L195" i="82"/>
  <c r="H195" i="82"/>
  <c r="X194" i="82"/>
  <c r="T194" i="82"/>
  <c r="P194" i="82"/>
  <c r="AK194" i="82" s="1"/>
  <c r="L194" i="82"/>
  <c r="H194" i="82"/>
  <c r="X193" i="82"/>
  <c r="T193" i="82"/>
  <c r="P193" i="82"/>
  <c r="L193" i="82"/>
  <c r="H193" i="82"/>
  <c r="X192" i="82"/>
  <c r="AS192" i="82" s="1"/>
  <c r="T192" i="82"/>
  <c r="P192" i="82"/>
  <c r="L192" i="82"/>
  <c r="H192" i="82"/>
  <c r="AC192" i="82" s="1"/>
  <c r="X191" i="82"/>
  <c r="T191" i="82"/>
  <c r="P191" i="82"/>
  <c r="L191" i="82"/>
  <c r="AG191" i="82" s="1"/>
  <c r="H191" i="82"/>
  <c r="X190" i="82"/>
  <c r="T190" i="82"/>
  <c r="P190" i="82"/>
  <c r="L190" i="82"/>
  <c r="H190" i="82"/>
  <c r="X189" i="82"/>
  <c r="T189" i="82"/>
  <c r="AO189" i="82" s="1"/>
  <c r="P189" i="82"/>
  <c r="L189" i="82"/>
  <c r="H189" i="82"/>
  <c r="X188" i="82"/>
  <c r="T188" i="82"/>
  <c r="P188" i="82"/>
  <c r="L188" i="82"/>
  <c r="H188" i="82"/>
  <c r="AC188" i="82" s="1"/>
  <c r="X187" i="82"/>
  <c r="T187" i="82"/>
  <c r="P187" i="82"/>
  <c r="L187" i="82"/>
  <c r="AG187" i="82" s="1"/>
  <c r="H187" i="82"/>
  <c r="X186" i="82"/>
  <c r="T186" i="82"/>
  <c r="P186" i="82"/>
  <c r="AK186" i="82" s="1"/>
  <c r="L186" i="82"/>
  <c r="H186" i="82"/>
  <c r="X185" i="82"/>
  <c r="T185" i="82"/>
  <c r="AO185" i="82" s="1"/>
  <c r="P185" i="82"/>
  <c r="L185" i="82"/>
  <c r="H185" i="82"/>
  <c r="X184" i="82"/>
  <c r="AS184" i="82" s="1"/>
  <c r="T184" i="82"/>
  <c r="P184" i="82"/>
  <c r="L184" i="82"/>
  <c r="H184" i="82"/>
  <c r="X183" i="82"/>
  <c r="T183" i="82"/>
  <c r="P183" i="82"/>
  <c r="L183" i="82"/>
  <c r="AG183" i="82" s="1"/>
  <c r="H183" i="82"/>
  <c r="X182" i="82"/>
  <c r="T182" i="82"/>
  <c r="P182" i="82"/>
  <c r="L182" i="82"/>
  <c r="H182" i="82"/>
  <c r="X181" i="82"/>
  <c r="T181" i="82"/>
  <c r="AO181" i="82" s="1"/>
  <c r="P181" i="82"/>
  <c r="L181" i="82"/>
  <c r="H181" i="82"/>
  <c r="X180" i="82"/>
  <c r="AS180" i="82" s="1"/>
  <c r="T180" i="82"/>
  <c r="P180" i="82"/>
  <c r="L180" i="82"/>
  <c r="H180" i="82"/>
  <c r="AC180" i="82" s="1"/>
  <c r="X179" i="82"/>
  <c r="T179" i="82"/>
  <c r="P179" i="82"/>
  <c r="L179" i="82"/>
  <c r="AG179" i="82" s="1"/>
  <c r="H179" i="82"/>
  <c r="X178" i="82"/>
  <c r="T178" i="82"/>
  <c r="P178" i="82"/>
  <c r="L178" i="82"/>
  <c r="H178" i="82"/>
  <c r="X177" i="82"/>
  <c r="T177" i="82"/>
  <c r="AO177" i="82" s="1"/>
  <c r="P177" i="82"/>
  <c r="L177" i="82"/>
  <c r="H177" i="82"/>
  <c r="X176" i="82"/>
  <c r="T176" i="82"/>
  <c r="P176" i="82"/>
  <c r="L176" i="82"/>
  <c r="H176" i="82"/>
  <c r="AC176" i="82" s="1"/>
  <c r="W175" i="82"/>
  <c r="AR175" i="82" s="1"/>
  <c r="V175" i="82"/>
  <c r="AQ175" i="82" s="1"/>
  <c r="U175" i="82"/>
  <c r="AP175" i="82" s="1"/>
  <c r="S175" i="82"/>
  <c r="AN175" i="82" s="1"/>
  <c r="R175" i="82"/>
  <c r="AM175" i="82" s="1"/>
  <c r="Q175" i="82"/>
  <c r="AL175" i="82" s="1"/>
  <c r="O175" i="82"/>
  <c r="AJ175" i="82" s="1"/>
  <c r="N175" i="82"/>
  <c r="AI175" i="82" s="1"/>
  <c r="M175" i="82"/>
  <c r="AH175" i="82" s="1"/>
  <c r="K175" i="82"/>
  <c r="AF175" i="82" s="1"/>
  <c r="J175" i="82"/>
  <c r="AE175" i="82" s="1"/>
  <c r="I175" i="82"/>
  <c r="AD175" i="82" s="1"/>
  <c r="G175" i="82"/>
  <c r="AB175" i="82" s="1"/>
  <c r="F175" i="82"/>
  <c r="AA175" i="82" s="1"/>
  <c r="E175" i="82"/>
  <c r="Z175" i="82" s="1"/>
  <c r="X174" i="82"/>
  <c r="T174" i="82"/>
  <c r="AO174" i="82" s="1"/>
  <c r="P174" i="82"/>
  <c r="L174" i="82"/>
  <c r="AG174" i="82" s="1"/>
  <c r="H174" i="82"/>
  <c r="X173" i="82"/>
  <c r="AS173" i="82" s="1"/>
  <c r="T173" i="82"/>
  <c r="P173" i="82"/>
  <c r="AK173" i="82" s="1"/>
  <c r="L173" i="82"/>
  <c r="H173" i="82"/>
  <c r="X172" i="82"/>
  <c r="T172" i="82"/>
  <c r="AO172" i="82" s="1"/>
  <c r="P172" i="82"/>
  <c r="L172" i="82"/>
  <c r="AG172" i="82" s="1"/>
  <c r="H172" i="82"/>
  <c r="X171" i="82"/>
  <c r="AS171" i="82" s="1"/>
  <c r="T171" i="82"/>
  <c r="P171" i="82"/>
  <c r="AK171" i="82" s="1"/>
  <c r="L171" i="82"/>
  <c r="H171" i="82"/>
  <c r="AC171" i="82" s="1"/>
  <c r="X170" i="82"/>
  <c r="T170" i="82"/>
  <c r="AO170" i="82" s="1"/>
  <c r="P170" i="82"/>
  <c r="L170" i="82"/>
  <c r="AG170" i="82" s="1"/>
  <c r="H170" i="82"/>
  <c r="X169" i="82"/>
  <c r="AS169" i="82" s="1"/>
  <c r="T169" i="82"/>
  <c r="P169" i="82"/>
  <c r="AK169" i="82" s="1"/>
  <c r="L169" i="82"/>
  <c r="H169" i="82"/>
  <c r="X168" i="82"/>
  <c r="T168" i="82"/>
  <c r="AO168" i="82" s="1"/>
  <c r="P168" i="82"/>
  <c r="L168" i="82"/>
  <c r="AG168" i="82" s="1"/>
  <c r="H168" i="82"/>
  <c r="X167" i="82"/>
  <c r="AS167" i="82" s="1"/>
  <c r="T167" i="82"/>
  <c r="P167" i="82"/>
  <c r="AK167" i="82" s="1"/>
  <c r="L167" i="82"/>
  <c r="H167" i="82"/>
  <c r="AC167" i="82" s="1"/>
  <c r="X166" i="82"/>
  <c r="T166" i="82"/>
  <c r="AO166" i="82" s="1"/>
  <c r="P166" i="82"/>
  <c r="L166" i="82"/>
  <c r="AG166" i="82" s="1"/>
  <c r="H166" i="82"/>
  <c r="X165" i="82"/>
  <c r="AS165" i="82" s="1"/>
  <c r="T165" i="82"/>
  <c r="P165" i="82"/>
  <c r="AK165" i="82" s="1"/>
  <c r="L165" i="82"/>
  <c r="H165" i="82"/>
  <c r="X164" i="82"/>
  <c r="T164" i="82"/>
  <c r="AO164" i="82" s="1"/>
  <c r="P164" i="82"/>
  <c r="L164" i="82"/>
  <c r="AG164" i="82" s="1"/>
  <c r="H164" i="82"/>
  <c r="X163" i="82"/>
  <c r="AS163" i="82" s="1"/>
  <c r="T163" i="82"/>
  <c r="P163" i="82"/>
  <c r="AK163" i="82" s="1"/>
  <c r="L163" i="82"/>
  <c r="H163" i="82"/>
  <c r="AC163" i="82" s="1"/>
  <c r="X162" i="82"/>
  <c r="T162" i="82"/>
  <c r="AO162" i="82" s="1"/>
  <c r="P162" i="82"/>
  <c r="L162" i="82"/>
  <c r="AG162" i="82" s="1"/>
  <c r="H162" i="82"/>
  <c r="X161" i="82"/>
  <c r="AS161" i="82" s="1"/>
  <c r="T161" i="82"/>
  <c r="P161" i="82"/>
  <c r="AK161" i="82" s="1"/>
  <c r="L161" i="82"/>
  <c r="H161" i="82"/>
  <c r="X160" i="82"/>
  <c r="T160" i="82"/>
  <c r="AO160" i="82" s="1"/>
  <c r="P160" i="82"/>
  <c r="L160" i="82"/>
  <c r="AG160" i="82" s="1"/>
  <c r="H160" i="82"/>
  <c r="X159" i="82"/>
  <c r="AS159" i="82" s="1"/>
  <c r="T159" i="82"/>
  <c r="P159" i="82"/>
  <c r="AK159" i="82" s="1"/>
  <c r="L159" i="82"/>
  <c r="H159" i="82"/>
  <c r="AC159" i="82" s="1"/>
  <c r="X158" i="82"/>
  <c r="T158" i="82"/>
  <c r="AO158" i="82" s="1"/>
  <c r="P158" i="82"/>
  <c r="L158" i="82"/>
  <c r="AG158" i="82" s="1"/>
  <c r="H158" i="82"/>
  <c r="X157" i="82"/>
  <c r="AS157" i="82" s="1"/>
  <c r="T157" i="82"/>
  <c r="P157" i="82"/>
  <c r="AK157" i="82" s="1"/>
  <c r="L157" i="82"/>
  <c r="H157" i="82"/>
  <c r="X156" i="82"/>
  <c r="T156" i="82"/>
  <c r="AO156" i="82" s="1"/>
  <c r="P156" i="82"/>
  <c r="L156" i="82"/>
  <c r="AG156" i="82" s="1"/>
  <c r="H156" i="82"/>
  <c r="X155" i="82"/>
  <c r="AS155" i="82" s="1"/>
  <c r="T155" i="82"/>
  <c r="AO155" i="82" s="1"/>
  <c r="P155" i="82"/>
  <c r="AK155" i="82" s="1"/>
  <c r="L155" i="82"/>
  <c r="H155" i="82"/>
  <c r="AC155" i="82" s="1"/>
  <c r="X154" i="82"/>
  <c r="AS154" i="82" s="1"/>
  <c r="T154" i="82"/>
  <c r="AO154" i="82" s="1"/>
  <c r="P154" i="82"/>
  <c r="L154" i="82"/>
  <c r="H154" i="82"/>
  <c r="AC154" i="82" s="1"/>
  <c r="W153" i="82"/>
  <c r="AR153" i="82" s="1"/>
  <c r="V153" i="82"/>
  <c r="AQ153" i="82" s="1"/>
  <c r="U153" i="82"/>
  <c r="AP153" i="82" s="1"/>
  <c r="S153" i="82"/>
  <c r="AN153" i="82" s="1"/>
  <c r="R153" i="82"/>
  <c r="AM153" i="82" s="1"/>
  <c r="Q153" i="82"/>
  <c r="AL153" i="82" s="1"/>
  <c r="O153" i="82"/>
  <c r="AJ153" i="82" s="1"/>
  <c r="N153" i="82"/>
  <c r="AI153" i="82" s="1"/>
  <c r="M153" i="82"/>
  <c r="AH153" i="82" s="1"/>
  <c r="K153" i="82"/>
  <c r="AF153" i="82" s="1"/>
  <c r="J153" i="82"/>
  <c r="AE153" i="82" s="1"/>
  <c r="I153" i="82"/>
  <c r="AD153" i="82" s="1"/>
  <c r="G153" i="82"/>
  <c r="AB153" i="82" s="1"/>
  <c r="F153" i="82"/>
  <c r="AA153" i="82" s="1"/>
  <c r="E153" i="82"/>
  <c r="Z153" i="82" s="1"/>
  <c r="V151" i="82"/>
  <c r="AQ151" i="82" s="1"/>
  <c r="R151" i="82"/>
  <c r="AM151" i="82" s="1"/>
  <c r="N151" i="82"/>
  <c r="AI151" i="82" s="1"/>
  <c r="J151" i="82"/>
  <c r="AE151" i="82" s="1"/>
  <c r="F151" i="82"/>
  <c r="AA151" i="82" s="1"/>
  <c r="U150" i="82"/>
  <c r="AP150" i="82" s="1"/>
  <c r="Q150" i="82"/>
  <c r="AL150" i="82" s="1"/>
  <c r="M150" i="82"/>
  <c r="AH150" i="82" s="1"/>
  <c r="I150" i="82"/>
  <c r="AD150" i="82" s="1"/>
  <c r="E150" i="82"/>
  <c r="Z150" i="82" s="1"/>
  <c r="U149" i="82"/>
  <c r="AP149" i="82" s="1"/>
  <c r="Q149" i="82"/>
  <c r="AL149" i="82" s="1"/>
  <c r="M149" i="82"/>
  <c r="AH149" i="82" s="1"/>
  <c r="I149" i="82"/>
  <c r="AD149" i="82" s="1"/>
  <c r="E149" i="82"/>
  <c r="Z149" i="82" s="1"/>
  <c r="U148" i="82"/>
  <c r="AP148" i="82" s="1"/>
  <c r="Q148" i="82"/>
  <c r="AL148" i="82" s="1"/>
  <c r="M148" i="82"/>
  <c r="AH148" i="82" s="1"/>
  <c r="I148" i="82"/>
  <c r="AD148" i="82" s="1"/>
  <c r="E148" i="82"/>
  <c r="Z148" i="82" s="1"/>
  <c r="U147" i="82"/>
  <c r="AP147" i="82" s="1"/>
  <c r="Q147" i="82"/>
  <c r="AL147" i="82" s="1"/>
  <c r="M147" i="82"/>
  <c r="AH147" i="82" s="1"/>
  <c r="I147" i="82"/>
  <c r="AD147" i="82" s="1"/>
  <c r="E147" i="82"/>
  <c r="Z147" i="82" s="1"/>
  <c r="U146" i="82"/>
  <c r="AP146" i="82" s="1"/>
  <c r="Q146" i="82"/>
  <c r="AL146" i="82" s="1"/>
  <c r="M146" i="82"/>
  <c r="AH146" i="82" s="1"/>
  <c r="I146" i="82"/>
  <c r="AD146" i="82" s="1"/>
  <c r="E146" i="82"/>
  <c r="Z146" i="82" s="1"/>
  <c r="U145" i="82"/>
  <c r="AP145" i="82" s="1"/>
  <c r="Q145" i="82"/>
  <c r="AL145" i="82" s="1"/>
  <c r="M145" i="82"/>
  <c r="AH145" i="82" s="1"/>
  <c r="I145" i="82"/>
  <c r="AD145" i="82" s="1"/>
  <c r="E145" i="82"/>
  <c r="Z145" i="82" s="1"/>
  <c r="U144" i="82"/>
  <c r="AP144" i="82" s="1"/>
  <c r="Q144" i="82"/>
  <c r="AL144" i="82" s="1"/>
  <c r="M144" i="82"/>
  <c r="AH144" i="82" s="1"/>
  <c r="I144" i="82"/>
  <c r="AD144" i="82" s="1"/>
  <c r="E144" i="82"/>
  <c r="Z144" i="82" s="1"/>
  <c r="U143" i="82"/>
  <c r="AP143" i="82" s="1"/>
  <c r="Q143" i="82"/>
  <c r="AL143" i="82" s="1"/>
  <c r="M143" i="82"/>
  <c r="AH143" i="82" s="1"/>
  <c r="I143" i="82"/>
  <c r="AD143" i="82" s="1"/>
  <c r="E143" i="82"/>
  <c r="Z143" i="82" s="1"/>
  <c r="U142" i="82"/>
  <c r="AP142" i="82" s="1"/>
  <c r="Q142" i="82"/>
  <c r="AL142" i="82" s="1"/>
  <c r="M142" i="82"/>
  <c r="AH142" i="82" s="1"/>
  <c r="I142" i="82"/>
  <c r="AD142" i="82" s="1"/>
  <c r="E142" i="82"/>
  <c r="Z142" i="82" s="1"/>
  <c r="U141" i="82"/>
  <c r="AP141" i="82" s="1"/>
  <c r="Q141" i="82"/>
  <c r="AL141" i="82" s="1"/>
  <c r="M141" i="82"/>
  <c r="AH141" i="82" s="1"/>
  <c r="I141" i="82"/>
  <c r="AD141" i="82" s="1"/>
  <c r="E141" i="82"/>
  <c r="Z141" i="82" s="1"/>
  <c r="U140" i="82"/>
  <c r="AP140" i="82" s="1"/>
  <c r="Q140" i="82"/>
  <c r="AL140" i="82" s="1"/>
  <c r="M140" i="82"/>
  <c r="AH140" i="82" s="1"/>
  <c r="I140" i="82"/>
  <c r="AD140" i="82" s="1"/>
  <c r="E140" i="82"/>
  <c r="Z140" i="82" s="1"/>
  <c r="U139" i="82"/>
  <c r="AP139" i="82" s="1"/>
  <c r="Q139" i="82"/>
  <c r="AL139" i="82" s="1"/>
  <c r="M139" i="82"/>
  <c r="AH139" i="82" s="1"/>
  <c r="I139" i="82"/>
  <c r="AD139" i="82" s="1"/>
  <c r="E139" i="82"/>
  <c r="Z139" i="82" s="1"/>
  <c r="U138" i="82"/>
  <c r="AP138" i="82" s="1"/>
  <c r="Q138" i="82"/>
  <c r="AL138" i="82" s="1"/>
  <c r="M138" i="82"/>
  <c r="AH138" i="82" s="1"/>
  <c r="I138" i="82"/>
  <c r="AD138" i="82" s="1"/>
  <c r="E138" i="82"/>
  <c r="Z138" i="82" s="1"/>
  <c r="U137" i="82"/>
  <c r="AP137" i="82" s="1"/>
  <c r="Q137" i="82"/>
  <c r="AL137" i="82" s="1"/>
  <c r="M137" i="82"/>
  <c r="AH137" i="82" s="1"/>
  <c r="I137" i="82"/>
  <c r="AD137" i="82" s="1"/>
  <c r="E137" i="82"/>
  <c r="Z137" i="82" s="1"/>
  <c r="U136" i="82"/>
  <c r="AP136" i="82" s="1"/>
  <c r="Q136" i="82"/>
  <c r="AL136" i="82" s="1"/>
  <c r="M136" i="82"/>
  <c r="AH136" i="82" s="1"/>
  <c r="I136" i="82"/>
  <c r="AD136" i="82" s="1"/>
  <c r="E136" i="82"/>
  <c r="Z136" i="82" s="1"/>
  <c r="U135" i="82"/>
  <c r="AP135" i="82" s="1"/>
  <c r="Q135" i="82"/>
  <c r="AL135" i="82" s="1"/>
  <c r="M135" i="82"/>
  <c r="AH135" i="82" s="1"/>
  <c r="I135" i="82"/>
  <c r="AD135" i="82" s="1"/>
  <c r="E135" i="82"/>
  <c r="Z135" i="82" s="1"/>
  <c r="U134" i="82"/>
  <c r="AP134" i="82" s="1"/>
  <c r="Q134" i="82"/>
  <c r="AL134" i="82" s="1"/>
  <c r="M134" i="82"/>
  <c r="AH134" i="82" s="1"/>
  <c r="I134" i="82"/>
  <c r="AD134" i="82" s="1"/>
  <c r="E134" i="82"/>
  <c r="Z134" i="82" s="1"/>
  <c r="U133" i="82"/>
  <c r="AP133" i="82" s="1"/>
  <c r="Q133" i="82"/>
  <c r="AL133" i="82" s="1"/>
  <c r="M133" i="82"/>
  <c r="AH133" i="82" s="1"/>
  <c r="I133" i="82"/>
  <c r="AD133" i="82" s="1"/>
  <c r="E133" i="82"/>
  <c r="Z133" i="82" s="1"/>
  <c r="U132" i="82"/>
  <c r="AP132" i="82" s="1"/>
  <c r="Q132" i="82"/>
  <c r="AL132" i="82" s="1"/>
  <c r="M132" i="82"/>
  <c r="AH132" i="82" s="1"/>
  <c r="I132" i="82"/>
  <c r="AD132" i="82" s="1"/>
  <c r="E132" i="82"/>
  <c r="Z132" i="82" s="1"/>
  <c r="W131" i="82"/>
  <c r="AR131" i="82" s="1"/>
  <c r="V131" i="82"/>
  <c r="AQ131" i="82" s="1"/>
  <c r="S131" i="82"/>
  <c r="AN131" i="82" s="1"/>
  <c r="R131" i="82"/>
  <c r="AM131" i="82" s="1"/>
  <c r="O131" i="82"/>
  <c r="AJ131" i="82" s="1"/>
  <c r="N131" i="82"/>
  <c r="AI131" i="82" s="1"/>
  <c r="K131" i="82"/>
  <c r="AF131" i="82" s="1"/>
  <c r="J131" i="82"/>
  <c r="AE131" i="82" s="1"/>
  <c r="G131" i="82"/>
  <c r="AB131" i="82" s="1"/>
  <c r="F131" i="82"/>
  <c r="AA131" i="82" s="1"/>
  <c r="X130" i="82"/>
  <c r="T130" i="82"/>
  <c r="P130" i="82"/>
  <c r="L130" i="82"/>
  <c r="H130" i="82"/>
  <c r="X129" i="82"/>
  <c r="T129" i="82"/>
  <c r="P129" i="82"/>
  <c r="L129" i="82"/>
  <c r="H129" i="82"/>
  <c r="X128" i="82"/>
  <c r="T128" i="82"/>
  <c r="P128" i="82"/>
  <c r="L128" i="82"/>
  <c r="H128" i="82"/>
  <c r="X127" i="82"/>
  <c r="T127" i="82"/>
  <c r="P127" i="82"/>
  <c r="L127" i="82"/>
  <c r="H127" i="82"/>
  <c r="X126" i="82"/>
  <c r="T126" i="82"/>
  <c r="P126" i="82"/>
  <c r="L126" i="82"/>
  <c r="H126" i="82"/>
  <c r="X125" i="82"/>
  <c r="T125" i="82"/>
  <c r="P125" i="82"/>
  <c r="L125" i="82"/>
  <c r="H125" i="82"/>
  <c r="X124" i="82"/>
  <c r="T124" i="82"/>
  <c r="P124" i="82"/>
  <c r="L124" i="82"/>
  <c r="H124" i="82"/>
  <c r="X123" i="82"/>
  <c r="T123" i="82"/>
  <c r="P123" i="82"/>
  <c r="L123" i="82"/>
  <c r="H123" i="82"/>
  <c r="X122" i="82"/>
  <c r="T122" i="82"/>
  <c r="P122" i="82"/>
  <c r="L122" i="82"/>
  <c r="H122" i="82"/>
  <c r="X121" i="82"/>
  <c r="T121" i="82"/>
  <c r="P121" i="82"/>
  <c r="L121" i="82"/>
  <c r="H121" i="82"/>
  <c r="X120" i="82"/>
  <c r="T120" i="82"/>
  <c r="P120" i="82"/>
  <c r="H120" i="82"/>
  <c r="X119" i="82"/>
  <c r="T119" i="82"/>
  <c r="P119" i="82"/>
  <c r="H119" i="82"/>
  <c r="X118" i="82"/>
  <c r="T118" i="82"/>
  <c r="P118" i="82"/>
  <c r="L118" i="82"/>
  <c r="H118" i="82"/>
  <c r="X117" i="82"/>
  <c r="T117" i="82"/>
  <c r="P117" i="82"/>
  <c r="L117" i="82"/>
  <c r="H117" i="82"/>
  <c r="X116" i="82"/>
  <c r="T116" i="82"/>
  <c r="P116" i="82"/>
  <c r="L116" i="82"/>
  <c r="H116" i="82"/>
  <c r="X115" i="82"/>
  <c r="T115" i="82"/>
  <c r="P115" i="82"/>
  <c r="L115" i="82"/>
  <c r="H115" i="82"/>
  <c r="X114" i="82"/>
  <c r="T114" i="82"/>
  <c r="L114" i="82"/>
  <c r="X113" i="82"/>
  <c r="T113" i="82"/>
  <c r="P113" i="82"/>
  <c r="L113" i="82"/>
  <c r="H113" i="82"/>
  <c r="X112" i="82"/>
  <c r="T112" i="82"/>
  <c r="P112" i="82"/>
  <c r="L112" i="82"/>
  <c r="H112" i="82"/>
  <c r="W111" i="82"/>
  <c r="AR111" i="82" s="1"/>
  <c r="V111" i="82"/>
  <c r="AQ111" i="82" s="1"/>
  <c r="U111" i="82"/>
  <c r="AP111" i="82" s="1"/>
  <c r="S111" i="82"/>
  <c r="AN111" i="82" s="1"/>
  <c r="R111" i="82"/>
  <c r="AM111" i="82" s="1"/>
  <c r="Q111" i="82"/>
  <c r="AL111" i="82" s="1"/>
  <c r="O111" i="82"/>
  <c r="AJ111" i="82" s="1"/>
  <c r="N111" i="82"/>
  <c r="AI111" i="82" s="1"/>
  <c r="M111" i="82"/>
  <c r="AH111" i="82" s="1"/>
  <c r="K111" i="82"/>
  <c r="AF111" i="82" s="1"/>
  <c r="J111" i="82"/>
  <c r="AE111" i="82" s="1"/>
  <c r="I111" i="82"/>
  <c r="AD111" i="82" s="1"/>
  <c r="G111" i="82"/>
  <c r="AB111" i="82" s="1"/>
  <c r="F111" i="82"/>
  <c r="AA111" i="82" s="1"/>
  <c r="E111" i="82"/>
  <c r="Z111" i="82" s="1"/>
  <c r="X110" i="82"/>
  <c r="AS110" i="82" s="1"/>
  <c r="T110" i="82"/>
  <c r="AO110" i="82" s="1"/>
  <c r="P110" i="82"/>
  <c r="AK110" i="82" s="1"/>
  <c r="L110" i="82"/>
  <c r="AG110" i="82" s="1"/>
  <c r="H110" i="82"/>
  <c r="AC110" i="82" s="1"/>
  <c r="X109" i="82"/>
  <c r="AS109" i="82" s="1"/>
  <c r="T109" i="82"/>
  <c r="AO109" i="82" s="1"/>
  <c r="P109" i="82"/>
  <c r="AK109" i="82" s="1"/>
  <c r="L109" i="82"/>
  <c r="AG109" i="82" s="1"/>
  <c r="H109" i="82"/>
  <c r="AC109" i="82" s="1"/>
  <c r="X108" i="82"/>
  <c r="AS108" i="82" s="1"/>
  <c r="T108" i="82"/>
  <c r="AO108" i="82" s="1"/>
  <c r="P108" i="82"/>
  <c r="AK108" i="82" s="1"/>
  <c r="L108" i="82"/>
  <c r="AG108" i="82" s="1"/>
  <c r="H108" i="82"/>
  <c r="AC108" i="82" s="1"/>
  <c r="X107" i="82"/>
  <c r="AS107" i="82" s="1"/>
  <c r="T107" i="82"/>
  <c r="AO107" i="82" s="1"/>
  <c r="P107" i="82"/>
  <c r="AK107" i="82" s="1"/>
  <c r="L107" i="82"/>
  <c r="AG107" i="82" s="1"/>
  <c r="H107" i="82"/>
  <c r="AC107" i="82" s="1"/>
  <c r="X106" i="82"/>
  <c r="AS106" i="82" s="1"/>
  <c r="T106" i="82"/>
  <c r="AO106" i="82" s="1"/>
  <c r="P106" i="82"/>
  <c r="AK106" i="82" s="1"/>
  <c r="L106" i="82"/>
  <c r="AG106" i="82" s="1"/>
  <c r="H106" i="82"/>
  <c r="AC106" i="82" s="1"/>
  <c r="X105" i="82"/>
  <c r="AS105" i="82" s="1"/>
  <c r="T105" i="82"/>
  <c r="AO105" i="82" s="1"/>
  <c r="P105" i="82"/>
  <c r="AK105" i="82" s="1"/>
  <c r="L105" i="82"/>
  <c r="AG105" i="82" s="1"/>
  <c r="H105" i="82"/>
  <c r="AC105" i="82" s="1"/>
  <c r="X104" i="82"/>
  <c r="AS104" i="82" s="1"/>
  <c r="T104" i="82"/>
  <c r="AO104" i="82" s="1"/>
  <c r="P104" i="82"/>
  <c r="AK104" i="82" s="1"/>
  <c r="L104" i="82"/>
  <c r="AG104" i="82" s="1"/>
  <c r="H104" i="82"/>
  <c r="AC104" i="82" s="1"/>
  <c r="X103" i="82"/>
  <c r="AS103" i="82" s="1"/>
  <c r="T103" i="82"/>
  <c r="AO103" i="82" s="1"/>
  <c r="P103" i="82"/>
  <c r="AK103" i="82" s="1"/>
  <c r="L103" i="82"/>
  <c r="AG103" i="82" s="1"/>
  <c r="H103" i="82"/>
  <c r="AC103" i="82" s="1"/>
  <c r="X102" i="82"/>
  <c r="AS102" i="82" s="1"/>
  <c r="T102" i="82"/>
  <c r="AO102" i="82" s="1"/>
  <c r="P102" i="82"/>
  <c r="AK102" i="82" s="1"/>
  <c r="L102" i="82"/>
  <c r="AG102" i="82" s="1"/>
  <c r="H102" i="82"/>
  <c r="AC102" i="82" s="1"/>
  <c r="X101" i="82"/>
  <c r="AS101" i="82" s="1"/>
  <c r="T101" i="82"/>
  <c r="AO101" i="82" s="1"/>
  <c r="P101" i="82"/>
  <c r="AK101" i="82" s="1"/>
  <c r="L101" i="82"/>
  <c r="AG101" i="82" s="1"/>
  <c r="H101" i="82"/>
  <c r="AC101" i="82" s="1"/>
  <c r="X100" i="82"/>
  <c r="AS100" i="82" s="1"/>
  <c r="T100" i="82"/>
  <c r="AO100" i="82" s="1"/>
  <c r="P100" i="82"/>
  <c r="AK100" i="82" s="1"/>
  <c r="L100" i="82"/>
  <c r="AG100" i="82" s="1"/>
  <c r="H100" i="82"/>
  <c r="AC100" i="82" s="1"/>
  <c r="X99" i="82"/>
  <c r="AS99" i="82" s="1"/>
  <c r="T99" i="82"/>
  <c r="AO99" i="82" s="1"/>
  <c r="P99" i="82"/>
  <c r="AK99" i="82" s="1"/>
  <c r="L99" i="82"/>
  <c r="AG99" i="82" s="1"/>
  <c r="H99" i="82"/>
  <c r="AC99" i="82" s="1"/>
  <c r="X98" i="82"/>
  <c r="AS98" i="82" s="1"/>
  <c r="T98" i="82"/>
  <c r="AO98" i="82" s="1"/>
  <c r="P98" i="82"/>
  <c r="AK98" i="82" s="1"/>
  <c r="L98" i="82"/>
  <c r="AG98" i="82" s="1"/>
  <c r="H98" i="82"/>
  <c r="AC98" i="82" s="1"/>
  <c r="X97" i="82"/>
  <c r="AS97" i="82" s="1"/>
  <c r="T97" i="82"/>
  <c r="AO97" i="82" s="1"/>
  <c r="P97" i="82"/>
  <c r="AK97" i="82" s="1"/>
  <c r="L97" i="82"/>
  <c r="AG97" i="82" s="1"/>
  <c r="H97" i="82"/>
  <c r="AC97" i="82" s="1"/>
  <c r="X96" i="82"/>
  <c r="AS96" i="82" s="1"/>
  <c r="T96" i="82"/>
  <c r="AO96" i="82" s="1"/>
  <c r="P96" i="82"/>
  <c r="AK96" i="82" s="1"/>
  <c r="L96" i="82"/>
  <c r="AG96" i="82" s="1"/>
  <c r="H96" i="82"/>
  <c r="AC96" i="82" s="1"/>
  <c r="X95" i="82"/>
  <c r="AS95" i="82" s="1"/>
  <c r="T95" i="82"/>
  <c r="AO95" i="82" s="1"/>
  <c r="P95" i="82"/>
  <c r="AK95" i="82" s="1"/>
  <c r="L95" i="82"/>
  <c r="AG95" i="82" s="1"/>
  <c r="H95" i="82"/>
  <c r="AC95" i="82" s="1"/>
  <c r="X94" i="82"/>
  <c r="AS94" i="82" s="1"/>
  <c r="T94" i="82"/>
  <c r="AO94" i="82" s="1"/>
  <c r="P94" i="82"/>
  <c r="AK94" i="82" s="1"/>
  <c r="L94" i="82"/>
  <c r="AG94" i="82" s="1"/>
  <c r="H94" i="82"/>
  <c r="AC94" i="82" s="1"/>
  <c r="X93" i="82"/>
  <c r="AS93" i="82" s="1"/>
  <c r="T93" i="82"/>
  <c r="AO93" i="82" s="1"/>
  <c r="P93" i="82"/>
  <c r="AK93" i="82" s="1"/>
  <c r="L93" i="82"/>
  <c r="AG93" i="82" s="1"/>
  <c r="H93" i="82"/>
  <c r="AC93" i="82" s="1"/>
  <c r="X92" i="82"/>
  <c r="AS92" i="82" s="1"/>
  <c r="T92" i="82"/>
  <c r="AO92" i="82" s="1"/>
  <c r="P92" i="82"/>
  <c r="AK92" i="82" s="1"/>
  <c r="L92" i="82"/>
  <c r="AG92" i="82" s="1"/>
  <c r="H92" i="82"/>
  <c r="AC92" i="82" s="1"/>
  <c r="W91" i="82"/>
  <c r="AR91" i="82" s="1"/>
  <c r="V91" i="82"/>
  <c r="AQ91" i="82" s="1"/>
  <c r="U91" i="82"/>
  <c r="AP91" i="82" s="1"/>
  <c r="S91" i="82"/>
  <c r="AN91" i="82" s="1"/>
  <c r="R91" i="82"/>
  <c r="AM91" i="82" s="1"/>
  <c r="Q91" i="82"/>
  <c r="AL91" i="82" s="1"/>
  <c r="O91" i="82"/>
  <c r="AJ91" i="82" s="1"/>
  <c r="N91" i="82"/>
  <c r="AI91" i="82" s="1"/>
  <c r="M91" i="82"/>
  <c r="AH91" i="82" s="1"/>
  <c r="K91" i="82"/>
  <c r="AF91" i="82" s="1"/>
  <c r="J91" i="82"/>
  <c r="AE91" i="82" s="1"/>
  <c r="I91" i="82"/>
  <c r="AD91" i="82" s="1"/>
  <c r="G91" i="82"/>
  <c r="AB91" i="82" s="1"/>
  <c r="F91" i="82"/>
  <c r="AA91" i="82" s="1"/>
  <c r="E91" i="82"/>
  <c r="Z91" i="82" s="1"/>
  <c r="U89" i="82"/>
  <c r="AP89" i="82" s="1"/>
  <c r="Q89" i="82"/>
  <c r="AL89" i="82" s="1"/>
  <c r="M89" i="82"/>
  <c r="AH89" i="82" s="1"/>
  <c r="I89" i="82"/>
  <c r="AD89" i="82" s="1"/>
  <c r="E89" i="82"/>
  <c r="Z89" i="82" s="1"/>
  <c r="U88" i="82"/>
  <c r="AP88" i="82" s="1"/>
  <c r="Q88" i="82"/>
  <c r="AL88" i="82" s="1"/>
  <c r="M88" i="82"/>
  <c r="AH88" i="82" s="1"/>
  <c r="I88" i="82"/>
  <c r="AD88" i="82" s="1"/>
  <c r="E88" i="82"/>
  <c r="Z88" i="82" s="1"/>
  <c r="U87" i="82"/>
  <c r="AP87" i="82" s="1"/>
  <c r="Q87" i="82"/>
  <c r="AL87" i="82" s="1"/>
  <c r="M87" i="82"/>
  <c r="AH87" i="82" s="1"/>
  <c r="I87" i="82"/>
  <c r="AD87" i="82" s="1"/>
  <c r="E87" i="82"/>
  <c r="Z87" i="82" s="1"/>
  <c r="U86" i="82"/>
  <c r="AP86" i="82" s="1"/>
  <c r="Q86" i="82"/>
  <c r="AL86" i="82" s="1"/>
  <c r="M86" i="82"/>
  <c r="AH86" i="82" s="1"/>
  <c r="I86" i="82"/>
  <c r="AD86" i="82" s="1"/>
  <c r="E86" i="82"/>
  <c r="Z86" i="82" s="1"/>
  <c r="U85" i="82"/>
  <c r="AP85" i="82" s="1"/>
  <c r="Q85" i="82"/>
  <c r="AL85" i="82" s="1"/>
  <c r="M85" i="82"/>
  <c r="AH85" i="82" s="1"/>
  <c r="I85" i="82"/>
  <c r="AD85" i="82" s="1"/>
  <c r="E85" i="82"/>
  <c r="Z85" i="82" s="1"/>
  <c r="U84" i="82"/>
  <c r="AP84" i="82" s="1"/>
  <c r="Q84" i="82"/>
  <c r="AL84" i="82" s="1"/>
  <c r="M84" i="82"/>
  <c r="AH84" i="82" s="1"/>
  <c r="I84" i="82"/>
  <c r="AD84" i="82" s="1"/>
  <c r="E84" i="82"/>
  <c r="Z84" i="82" s="1"/>
  <c r="U83" i="82"/>
  <c r="AP83" i="82" s="1"/>
  <c r="Q83" i="82"/>
  <c r="AL83" i="82" s="1"/>
  <c r="M83" i="82"/>
  <c r="AH83" i="82" s="1"/>
  <c r="I83" i="82"/>
  <c r="AD83" i="82" s="1"/>
  <c r="E83" i="82"/>
  <c r="Z83" i="82" s="1"/>
  <c r="U82" i="82"/>
  <c r="AP82" i="82" s="1"/>
  <c r="Q82" i="82"/>
  <c r="AL82" i="82" s="1"/>
  <c r="M82" i="82"/>
  <c r="AH82" i="82" s="1"/>
  <c r="I82" i="82"/>
  <c r="AD82" i="82" s="1"/>
  <c r="E82" i="82"/>
  <c r="Z82" i="82" s="1"/>
  <c r="U81" i="82"/>
  <c r="AP81" i="82" s="1"/>
  <c r="Q81" i="82"/>
  <c r="AL81" i="82" s="1"/>
  <c r="M81" i="82"/>
  <c r="AH81" i="82" s="1"/>
  <c r="I81" i="82"/>
  <c r="AD81" i="82" s="1"/>
  <c r="E81" i="82"/>
  <c r="Z81" i="82" s="1"/>
  <c r="U80" i="82"/>
  <c r="AP80" i="82" s="1"/>
  <c r="Q80" i="82"/>
  <c r="AL80" i="82" s="1"/>
  <c r="M80" i="82"/>
  <c r="AH80" i="82" s="1"/>
  <c r="I80" i="82"/>
  <c r="AD80" i="82" s="1"/>
  <c r="E80" i="82"/>
  <c r="Z80" i="82" s="1"/>
  <c r="U79" i="82"/>
  <c r="AP79" i="82" s="1"/>
  <c r="Q79" i="82"/>
  <c r="AL79" i="82" s="1"/>
  <c r="M79" i="82"/>
  <c r="AH79" i="82" s="1"/>
  <c r="I79" i="82"/>
  <c r="AD79" i="82" s="1"/>
  <c r="E79" i="82"/>
  <c r="Z79" i="82" s="1"/>
  <c r="U78" i="82"/>
  <c r="AP78" i="82" s="1"/>
  <c r="Q78" i="82"/>
  <c r="AL78" i="82" s="1"/>
  <c r="M78" i="82"/>
  <c r="AH78" i="82" s="1"/>
  <c r="I78" i="82"/>
  <c r="AD78" i="82" s="1"/>
  <c r="E78" i="82"/>
  <c r="Z78" i="82" s="1"/>
  <c r="U77" i="82"/>
  <c r="AP77" i="82" s="1"/>
  <c r="Q77" i="82"/>
  <c r="AL77" i="82" s="1"/>
  <c r="M77" i="82"/>
  <c r="AH77" i="82" s="1"/>
  <c r="I77" i="82"/>
  <c r="AD77" i="82" s="1"/>
  <c r="E77" i="82"/>
  <c r="Z77" i="82" s="1"/>
  <c r="U76" i="82"/>
  <c r="AP76" i="82" s="1"/>
  <c r="Q76" i="82"/>
  <c r="AL76" i="82" s="1"/>
  <c r="M76" i="82"/>
  <c r="AH76" i="82" s="1"/>
  <c r="I76" i="82"/>
  <c r="AD76" i="82" s="1"/>
  <c r="E76" i="82"/>
  <c r="Z76" i="82" s="1"/>
  <c r="U75" i="82"/>
  <c r="AP75" i="82" s="1"/>
  <c r="Q75" i="82"/>
  <c r="AL75" i="82" s="1"/>
  <c r="M75" i="82"/>
  <c r="AH75" i="82" s="1"/>
  <c r="I75" i="82"/>
  <c r="AD75" i="82" s="1"/>
  <c r="E75" i="82"/>
  <c r="Z75" i="82" s="1"/>
  <c r="U73" i="82"/>
  <c r="AP73" i="82" s="1"/>
  <c r="Q73" i="82"/>
  <c r="AL73" i="82" s="1"/>
  <c r="M73" i="82"/>
  <c r="AH73" i="82" s="1"/>
  <c r="I73" i="82"/>
  <c r="AD73" i="82" s="1"/>
  <c r="E73" i="82"/>
  <c r="Z73" i="82" s="1"/>
  <c r="U72" i="82"/>
  <c r="AP72" i="82" s="1"/>
  <c r="Q72" i="82"/>
  <c r="AL72" i="82" s="1"/>
  <c r="M72" i="82"/>
  <c r="AH72" i="82" s="1"/>
  <c r="I72" i="82"/>
  <c r="AD72" i="82" s="1"/>
  <c r="E72" i="82"/>
  <c r="Z72" i="82" s="1"/>
  <c r="U71" i="82"/>
  <c r="AP71" i="82" s="1"/>
  <c r="Q71" i="82"/>
  <c r="AL71" i="82" s="1"/>
  <c r="M71" i="82"/>
  <c r="AH71" i="82" s="1"/>
  <c r="I71" i="82"/>
  <c r="AD71" i="82" s="1"/>
  <c r="E71" i="82"/>
  <c r="Z71" i="82" s="1"/>
  <c r="U70" i="82"/>
  <c r="AP70" i="82" s="1"/>
  <c r="Q70" i="82"/>
  <c r="AL70" i="82" s="1"/>
  <c r="M70" i="82"/>
  <c r="AH70" i="82" s="1"/>
  <c r="I70" i="82"/>
  <c r="AD70" i="82" s="1"/>
  <c r="E70" i="82"/>
  <c r="Z70" i="82" s="1"/>
  <c r="U69" i="82"/>
  <c r="AP69" i="82" s="1"/>
  <c r="Q69" i="82"/>
  <c r="AL69" i="82" s="1"/>
  <c r="M69" i="82"/>
  <c r="AH69" i="82" s="1"/>
  <c r="I69" i="82"/>
  <c r="AD69" i="82" s="1"/>
  <c r="E69" i="82"/>
  <c r="Z69" i="82" s="1"/>
  <c r="U67" i="82"/>
  <c r="AP67" i="82" s="1"/>
  <c r="Q67" i="82"/>
  <c r="AL67" i="82" s="1"/>
  <c r="M67" i="82"/>
  <c r="AH67" i="82" s="1"/>
  <c r="I67" i="82"/>
  <c r="AD67" i="82" s="1"/>
  <c r="E67" i="82"/>
  <c r="Z67" i="82" s="1"/>
  <c r="U66" i="82"/>
  <c r="AP66" i="82" s="1"/>
  <c r="Q66" i="82"/>
  <c r="AL66" i="82" s="1"/>
  <c r="M66" i="82"/>
  <c r="AH66" i="82" s="1"/>
  <c r="I66" i="82"/>
  <c r="AD66" i="82" s="1"/>
  <c r="E66" i="82"/>
  <c r="Z66" i="82" s="1"/>
  <c r="W65" i="82"/>
  <c r="AR65" i="82" s="1"/>
  <c r="V65" i="82"/>
  <c r="AQ65" i="82" s="1"/>
  <c r="S65" i="82"/>
  <c r="AN65" i="82" s="1"/>
  <c r="R65" i="82"/>
  <c r="AM65" i="82" s="1"/>
  <c r="O65" i="82"/>
  <c r="AJ65" i="82" s="1"/>
  <c r="N65" i="82"/>
  <c r="AI65" i="82" s="1"/>
  <c r="K65" i="82"/>
  <c r="AF65" i="82" s="1"/>
  <c r="J65" i="82"/>
  <c r="AE65" i="82" s="1"/>
  <c r="G65" i="82"/>
  <c r="AB65" i="82" s="1"/>
  <c r="F65" i="82"/>
  <c r="AA65" i="82" s="1"/>
  <c r="X64" i="82"/>
  <c r="T64" i="82"/>
  <c r="P64" i="82"/>
  <c r="L64" i="82"/>
  <c r="H64" i="82"/>
  <c r="X63" i="82"/>
  <c r="T63" i="82"/>
  <c r="P63" i="82"/>
  <c r="L63" i="82"/>
  <c r="H63" i="82"/>
  <c r="X62" i="82"/>
  <c r="T62" i="82"/>
  <c r="P62" i="82"/>
  <c r="L62" i="82"/>
  <c r="H62" i="82"/>
  <c r="X61" i="82"/>
  <c r="T61" i="82"/>
  <c r="P61" i="82"/>
  <c r="L61" i="82"/>
  <c r="H61" i="82"/>
  <c r="X60" i="82"/>
  <c r="T60" i="82"/>
  <c r="P60" i="82"/>
  <c r="L60" i="82"/>
  <c r="H60" i="82"/>
  <c r="X59" i="82"/>
  <c r="T59" i="82"/>
  <c r="P59" i="82"/>
  <c r="L59" i="82"/>
  <c r="H59" i="82"/>
  <c r="X58" i="82"/>
  <c r="T58" i="82"/>
  <c r="P58" i="82"/>
  <c r="L58" i="82"/>
  <c r="AG58" i="82" s="1"/>
  <c r="H58" i="82"/>
  <c r="X57" i="82"/>
  <c r="T57" i="82"/>
  <c r="P57" i="82"/>
  <c r="AK57" i="82" s="1"/>
  <c r="L57" i="82"/>
  <c r="H57" i="82"/>
  <c r="X56" i="82"/>
  <c r="T56" i="82"/>
  <c r="AO56" i="82" s="1"/>
  <c r="P56" i="82"/>
  <c r="L56" i="82"/>
  <c r="H56" i="82"/>
  <c r="X55" i="82"/>
  <c r="AS55" i="82" s="1"/>
  <c r="T55" i="82"/>
  <c r="P55" i="82"/>
  <c r="L55" i="82"/>
  <c r="H55" i="82"/>
  <c r="AC55" i="82" s="1"/>
  <c r="X54" i="82"/>
  <c r="T54" i="82"/>
  <c r="P54" i="82"/>
  <c r="L54" i="82"/>
  <c r="AG54" i="82" s="1"/>
  <c r="H54" i="82"/>
  <c r="X53" i="82"/>
  <c r="T53" i="82"/>
  <c r="P53" i="82"/>
  <c r="AK53" i="82" s="1"/>
  <c r="L53" i="82"/>
  <c r="H53" i="82"/>
  <c r="X52" i="82"/>
  <c r="T52" i="82"/>
  <c r="AO52" i="82" s="1"/>
  <c r="P52" i="82"/>
  <c r="L52" i="82"/>
  <c r="H52" i="82"/>
  <c r="X51" i="82"/>
  <c r="AS51" i="82" s="1"/>
  <c r="T51" i="82"/>
  <c r="P51" i="82"/>
  <c r="L51" i="82"/>
  <c r="H51" i="82"/>
  <c r="AC51" i="82" s="1"/>
  <c r="X50" i="82"/>
  <c r="T50" i="82"/>
  <c r="P50" i="82"/>
  <c r="L50" i="82"/>
  <c r="AG50" i="82" s="1"/>
  <c r="H50" i="82"/>
  <c r="W49" i="82"/>
  <c r="AR49" i="82" s="1"/>
  <c r="V49" i="82"/>
  <c r="AQ49" i="82" s="1"/>
  <c r="U49" i="82"/>
  <c r="AP49" i="82" s="1"/>
  <c r="S49" i="82"/>
  <c r="AN49" i="82" s="1"/>
  <c r="R49" i="82"/>
  <c r="AM49" i="82" s="1"/>
  <c r="Q49" i="82"/>
  <c r="AL49" i="82" s="1"/>
  <c r="O49" i="82"/>
  <c r="AJ49" i="82" s="1"/>
  <c r="N49" i="82"/>
  <c r="AI49" i="82" s="1"/>
  <c r="M49" i="82"/>
  <c r="AH49" i="82" s="1"/>
  <c r="K49" i="82"/>
  <c r="AF49" i="82" s="1"/>
  <c r="J49" i="82"/>
  <c r="AE49" i="82" s="1"/>
  <c r="I49" i="82"/>
  <c r="AD49" i="82" s="1"/>
  <c r="G49" i="82"/>
  <c r="AB49" i="82" s="1"/>
  <c r="F49" i="82"/>
  <c r="AA49" i="82" s="1"/>
  <c r="E49" i="82"/>
  <c r="Z49" i="82" s="1"/>
  <c r="X48" i="82"/>
  <c r="T48" i="82"/>
  <c r="P48" i="82"/>
  <c r="L48" i="82"/>
  <c r="AG48" i="82" s="1"/>
  <c r="H48" i="82"/>
  <c r="X47" i="82"/>
  <c r="T47" i="82"/>
  <c r="P47" i="82"/>
  <c r="L47" i="82"/>
  <c r="H47" i="82"/>
  <c r="X46" i="82"/>
  <c r="T46" i="82"/>
  <c r="AO46" i="82" s="1"/>
  <c r="P46" i="82"/>
  <c r="L46" i="82"/>
  <c r="H46" i="82"/>
  <c r="X45" i="82"/>
  <c r="AS45" i="82" s="1"/>
  <c r="T45" i="82"/>
  <c r="P45" i="82"/>
  <c r="L45" i="82"/>
  <c r="H45" i="82"/>
  <c r="AC45" i="82" s="1"/>
  <c r="X44" i="82"/>
  <c r="T44" i="82"/>
  <c r="P44" i="82"/>
  <c r="L44" i="82"/>
  <c r="AG44" i="82" s="1"/>
  <c r="H44" i="82"/>
  <c r="W43" i="82"/>
  <c r="V43" i="82"/>
  <c r="U43" i="82"/>
  <c r="S43" i="82"/>
  <c r="R43" i="82"/>
  <c r="Q43" i="82"/>
  <c r="O43" i="82"/>
  <c r="N43" i="82"/>
  <c r="M43" i="82"/>
  <c r="K43" i="82"/>
  <c r="J43" i="82"/>
  <c r="I43" i="82"/>
  <c r="G43" i="82"/>
  <c r="F43" i="82"/>
  <c r="E43" i="82"/>
  <c r="Z43" i="82" s="1"/>
  <c r="X42" i="82"/>
  <c r="T42" i="82"/>
  <c r="AO42" i="82" s="1"/>
  <c r="P42" i="82"/>
  <c r="L42" i="82"/>
  <c r="H42" i="82"/>
  <c r="X41" i="82"/>
  <c r="AS41" i="82" s="1"/>
  <c r="T41" i="82"/>
  <c r="P41" i="82"/>
  <c r="L41" i="82"/>
  <c r="H41" i="82"/>
  <c r="AC41" i="82" s="1"/>
  <c r="X39" i="82"/>
  <c r="AS39" i="82" s="1"/>
  <c r="T39" i="82"/>
  <c r="P39" i="82"/>
  <c r="AK39" i="82" s="1"/>
  <c r="L39" i="82"/>
  <c r="AG39" i="82" s="1"/>
  <c r="H39" i="82"/>
  <c r="AC39" i="82" s="1"/>
  <c r="W36" i="82"/>
  <c r="AR36" i="82" s="1"/>
  <c r="V36" i="82"/>
  <c r="AQ36" i="82" s="1"/>
  <c r="S36" i="82"/>
  <c r="AN36" i="82" s="1"/>
  <c r="R36" i="82"/>
  <c r="AM36" i="82" s="1"/>
  <c r="O36" i="82"/>
  <c r="AJ36" i="82" s="1"/>
  <c r="N36" i="82"/>
  <c r="AI36" i="82" s="1"/>
  <c r="K36" i="82"/>
  <c r="AF36" i="82" s="1"/>
  <c r="J36" i="82"/>
  <c r="AE36" i="82" s="1"/>
  <c r="G36" i="82"/>
  <c r="AB36" i="82" s="1"/>
  <c r="F36" i="82"/>
  <c r="AA36" i="82" s="1"/>
  <c r="X35" i="82"/>
  <c r="AS35" i="82" s="1"/>
  <c r="T35" i="82"/>
  <c r="AO35" i="82" s="1"/>
  <c r="P35" i="82"/>
  <c r="AK35" i="82" s="1"/>
  <c r="L35" i="82"/>
  <c r="AG35" i="82" s="1"/>
  <c r="H35" i="82"/>
  <c r="AC35" i="82" s="1"/>
  <c r="X34" i="82"/>
  <c r="AS34" i="82" s="1"/>
  <c r="T34" i="82"/>
  <c r="AO34" i="82" s="1"/>
  <c r="P34" i="82"/>
  <c r="AK34" i="82" s="1"/>
  <c r="L34" i="82"/>
  <c r="AG34" i="82" s="1"/>
  <c r="H34" i="82"/>
  <c r="AC34" i="82" s="1"/>
  <c r="X33" i="82"/>
  <c r="AS33" i="82" s="1"/>
  <c r="T33" i="82"/>
  <c r="AO33" i="82" s="1"/>
  <c r="P33" i="82"/>
  <c r="AK33" i="82" s="1"/>
  <c r="L33" i="82"/>
  <c r="H33" i="82"/>
  <c r="AC33" i="82" s="1"/>
  <c r="W30" i="82"/>
  <c r="AR30" i="82" s="1"/>
  <c r="V30" i="82"/>
  <c r="AQ30" i="82" s="1"/>
  <c r="S30" i="82"/>
  <c r="AN30" i="82" s="1"/>
  <c r="R30" i="82"/>
  <c r="AM30" i="82" s="1"/>
  <c r="O30" i="82"/>
  <c r="AJ30" i="82" s="1"/>
  <c r="N30" i="82"/>
  <c r="AI30" i="82" s="1"/>
  <c r="K30" i="82"/>
  <c r="AF30" i="82" s="1"/>
  <c r="J30" i="82"/>
  <c r="AE30" i="82" s="1"/>
  <c r="G30" i="82"/>
  <c r="AB30" i="82" s="1"/>
  <c r="F30" i="82"/>
  <c r="AA30" i="82" s="1"/>
  <c r="X29" i="82"/>
  <c r="AS29" i="82" s="1"/>
  <c r="T29" i="82"/>
  <c r="AO29" i="82" s="1"/>
  <c r="P29" i="82"/>
  <c r="AK29" i="82" s="1"/>
  <c r="L29" i="82"/>
  <c r="H29" i="82"/>
  <c r="AC29" i="82" s="1"/>
  <c r="X28" i="82"/>
  <c r="AS28" i="82" s="1"/>
  <c r="T28" i="82"/>
  <c r="AO28" i="82" s="1"/>
  <c r="P28" i="82"/>
  <c r="L28" i="82"/>
  <c r="AG28" i="82" s="1"/>
  <c r="H28" i="82"/>
  <c r="AC28" i="82" s="1"/>
  <c r="X27" i="82"/>
  <c r="AS27" i="82" s="1"/>
  <c r="T27" i="82"/>
  <c r="P27" i="82"/>
  <c r="AK27" i="82" s="1"/>
  <c r="L27" i="82"/>
  <c r="AG27" i="82" s="1"/>
  <c r="H27" i="82"/>
  <c r="AC27" i="82" s="1"/>
  <c r="X26" i="82"/>
  <c r="T26" i="82"/>
  <c r="AO26" i="82" s="1"/>
  <c r="P26" i="82"/>
  <c r="AK26" i="82" s="1"/>
  <c r="L26" i="82"/>
  <c r="AG26" i="82" s="1"/>
  <c r="H26" i="82"/>
  <c r="X25" i="82"/>
  <c r="AS25" i="82" s="1"/>
  <c r="T25" i="82"/>
  <c r="AO25" i="82" s="1"/>
  <c r="P25" i="82"/>
  <c r="AK25" i="82" s="1"/>
  <c r="L25" i="82"/>
  <c r="H25" i="82"/>
  <c r="AC25" i="82" s="1"/>
  <c r="X24" i="82"/>
  <c r="AS24" i="82" s="1"/>
  <c r="T24" i="82"/>
  <c r="AO24" i="82" s="1"/>
  <c r="P24" i="82"/>
  <c r="L24" i="82"/>
  <c r="AG24" i="82" s="1"/>
  <c r="H24" i="82"/>
  <c r="AC24" i="82" s="1"/>
  <c r="X23" i="82"/>
  <c r="AS23" i="82" s="1"/>
  <c r="T23" i="82"/>
  <c r="P23" i="82"/>
  <c r="AK23" i="82" s="1"/>
  <c r="L23" i="82"/>
  <c r="AG23" i="82" s="1"/>
  <c r="H23" i="82"/>
  <c r="AC23" i="82" s="1"/>
  <c r="X22" i="82"/>
  <c r="T22" i="82"/>
  <c r="AO22" i="82" s="1"/>
  <c r="P22" i="82"/>
  <c r="AK22" i="82" s="1"/>
  <c r="L22" i="82"/>
  <c r="AG22" i="82" s="1"/>
  <c r="H22" i="82"/>
  <c r="X21" i="82"/>
  <c r="AS21" i="82" s="1"/>
  <c r="T21" i="82"/>
  <c r="AO21" i="82" s="1"/>
  <c r="P21" i="82"/>
  <c r="AK21" i="82" s="1"/>
  <c r="L21" i="82"/>
  <c r="H21" i="82"/>
  <c r="AC21" i="82" s="1"/>
  <c r="W20" i="82"/>
  <c r="AR20" i="82" s="1"/>
  <c r="V20" i="82"/>
  <c r="AQ20" i="82" s="1"/>
  <c r="U20" i="82"/>
  <c r="AP20" i="82" s="1"/>
  <c r="S20" i="82"/>
  <c r="AN20" i="82" s="1"/>
  <c r="R20" i="82"/>
  <c r="AM20" i="82" s="1"/>
  <c r="Q20" i="82"/>
  <c r="AL20" i="82" s="1"/>
  <c r="O20" i="82"/>
  <c r="AJ20" i="82" s="1"/>
  <c r="N20" i="82"/>
  <c r="AI20" i="82" s="1"/>
  <c r="M20" i="82"/>
  <c r="AH20" i="82" s="1"/>
  <c r="K20" i="82"/>
  <c r="AF20" i="82" s="1"/>
  <c r="J20" i="82"/>
  <c r="AE20" i="82" s="1"/>
  <c r="I20" i="82"/>
  <c r="AD20" i="82" s="1"/>
  <c r="G20" i="82"/>
  <c r="AB20" i="82" s="1"/>
  <c r="F20" i="82"/>
  <c r="AA20" i="82" s="1"/>
  <c r="E20" i="82"/>
  <c r="Z20" i="82" s="1"/>
  <c r="X19" i="82"/>
  <c r="AS19" i="82" s="1"/>
  <c r="T19" i="82"/>
  <c r="AO19" i="82" s="1"/>
  <c r="P19" i="82"/>
  <c r="AK19" i="82" s="1"/>
  <c r="L19" i="82"/>
  <c r="H19" i="82"/>
  <c r="AC19" i="82" s="1"/>
  <c r="X18" i="82"/>
  <c r="AS18" i="82" s="1"/>
  <c r="T18" i="82"/>
  <c r="AO18" i="82" s="1"/>
  <c r="P18" i="82"/>
  <c r="AK18" i="82" s="1"/>
  <c r="L18" i="82"/>
  <c r="AG18" i="82" s="1"/>
  <c r="H18" i="82"/>
  <c r="AC18" i="82" s="1"/>
  <c r="X17" i="82"/>
  <c r="AS17" i="82" s="1"/>
  <c r="T17" i="82"/>
  <c r="P17" i="82"/>
  <c r="AK17" i="82" s="1"/>
  <c r="L17" i="82"/>
  <c r="AG17" i="82" s="1"/>
  <c r="H17" i="82"/>
  <c r="AC17" i="82" s="1"/>
  <c r="X16" i="82"/>
  <c r="AS16" i="82" s="1"/>
  <c r="T16" i="82"/>
  <c r="AO16" i="82" s="1"/>
  <c r="P16" i="82"/>
  <c r="AK16" i="82" s="1"/>
  <c r="L16" i="82"/>
  <c r="AG16" i="82" s="1"/>
  <c r="H16" i="82"/>
  <c r="X15" i="82"/>
  <c r="AS15" i="82" s="1"/>
  <c r="T15" i="82"/>
  <c r="AO15" i="82" s="1"/>
  <c r="P15" i="82"/>
  <c r="AK15" i="82" s="1"/>
  <c r="L15" i="82"/>
  <c r="AG15" i="82" s="1"/>
  <c r="H15" i="82"/>
  <c r="AC15" i="82" s="1"/>
  <c r="W14" i="82"/>
  <c r="AR14" i="82" s="1"/>
  <c r="V14" i="82"/>
  <c r="AQ14" i="82" s="1"/>
  <c r="U14" i="82"/>
  <c r="AP14" i="82" s="1"/>
  <c r="S14" i="82"/>
  <c r="AN14" i="82" s="1"/>
  <c r="R14" i="82"/>
  <c r="AM14" i="82" s="1"/>
  <c r="Q14" i="82"/>
  <c r="AL14" i="82" s="1"/>
  <c r="O14" i="82"/>
  <c r="AJ14" i="82" s="1"/>
  <c r="N14" i="82"/>
  <c r="AI14" i="82" s="1"/>
  <c r="M14" i="82"/>
  <c r="AH14" i="82" s="1"/>
  <c r="K14" i="82"/>
  <c r="AF14" i="82" s="1"/>
  <c r="J14" i="82"/>
  <c r="AE14" i="82" s="1"/>
  <c r="I14" i="82"/>
  <c r="AD14" i="82" s="1"/>
  <c r="G14" i="82"/>
  <c r="AB14" i="82" s="1"/>
  <c r="F14" i="82"/>
  <c r="AA14" i="82" s="1"/>
  <c r="E14" i="82"/>
  <c r="Z14" i="82" s="1"/>
  <c r="X13" i="82"/>
  <c r="AS13" i="82" s="1"/>
  <c r="T13" i="82"/>
  <c r="P13" i="82"/>
  <c r="AK13" i="82" s="1"/>
  <c r="L13" i="82"/>
  <c r="AG13" i="82" s="1"/>
  <c r="H13" i="82"/>
  <c r="AC13" i="82" s="1"/>
  <c r="X12" i="82"/>
  <c r="T12" i="82"/>
  <c r="AO12" i="82" s="1"/>
  <c r="P12" i="82"/>
  <c r="L12" i="82"/>
  <c r="AG12" i="82" s="1"/>
  <c r="H12" i="82"/>
  <c r="L9" i="82"/>
  <c r="P9" i="82" s="1"/>
  <c r="T9" i="82" s="1"/>
  <c r="X9" i="82" s="1"/>
  <c r="K9" i="82"/>
  <c r="O9" i="82" s="1"/>
  <c r="S9" i="82" s="1"/>
  <c r="W9" i="82" s="1"/>
  <c r="J9" i="82"/>
  <c r="N9" i="82" s="1"/>
  <c r="R9" i="82" s="1"/>
  <c r="V9" i="82" s="1"/>
  <c r="I9" i="82"/>
  <c r="M9" i="82" s="1"/>
  <c r="Q9" i="82" s="1"/>
  <c r="U9" i="82" s="1"/>
  <c r="Z99" i="62" l="1"/>
  <c r="BQ99" i="62" s="1"/>
  <c r="S76" i="50"/>
  <c r="BE76" i="50" s="1"/>
  <c r="AK56" i="82"/>
  <c r="E11" i="50"/>
  <c r="AQ11" i="50" s="1"/>
  <c r="AC12" i="82"/>
  <c r="O40" i="82"/>
  <c r="AJ40" i="82" s="1"/>
  <c r="AJ43" i="82"/>
  <c r="E157" i="50"/>
  <c r="AQ157" i="50" s="1"/>
  <c r="AC117" i="82"/>
  <c r="E165" i="50"/>
  <c r="AQ165" i="50" s="1"/>
  <c r="AC125" i="82"/>
  <c r="E238" i="50"/>
  <c r="AQ238" i="50" s="1"/>
  <c r="AC177" i="82"/>
  <c r="Z247" i="50"/>
  <c r="BL247" i="50" s="1"/>
  <c r="AO186" i="82"/>
  <c r="L30" i="50"/>
  <c r="AX30" i="50" s="1"/>
  <c r="AG33" i="82"/>
  <c r="Z61" i="50"/>
  <c r="BL61" i="50" s="1"/>
  <c r="AO41" i="82"/>
  <c r="F40" i="82"/>
  <c r="AA40" i="82" s="1"/>
  <c r="AA43" i="82"/>
  <c r="Q40" i="82"/>
  <c r="AL40" i="82" s="1"/>
  <c r="AL43" i="82"/>
  <c r="S64" i="50"/>
  <c r="BE64" i="50" s="1"/>
  <c r="AK44" i="82"/>
  <c r="E66" i="50"/>
  <c r="AQ66" i="50" s="1"/>
  <c r="AC46" i="82"/>
  <c r="Z67" i="50"/>
  <c r="BL67" i="50" s="1"/>
  <c r="AO47" i="82"/>
  <c r="S70" i="50"/>
  <c r="BE70" i="50" s="1"/>
  <c r="AK50" i="82"/>
  <c r="E72" i="50"/>
  <c r="AQ72" i="50" s="1"/>
  <c r="AC52" i="82"/>
  <c r="Z73" i="50"/>
  <c r="BL73" i="50" s="1"/>
  <c r="AO53" i="82"/>
  <c r="L75" i="50"/>
  <c r="AX75" i="50" s="1"/>
  <c r="AG55" i="82"/>
  <c r="AG76" i="50"/>
  <c r="BS76" i="50" s="1"/>
  <c r="AS56" i="82"/>
  <c r="S78" i="50"/>
  <c r="BE78" i="50" s="1"/>
  <c r="AK58" i="82"/>
  <c r="E80" i="50"/>
  <c r="AQ80" i="50" s="1"/>
  <c r="AC60" i="82"/>
  <c r="Z81" i="50"/>
  <c r="BL81" i="50" s="1"/>
  <c r="AO61" i="82"/>
  <c r="L83" i="50"/>
  <c r="AX83" i="50" s="1"/>
  <c r="AG63" i="82"/>
  <c r="AG84" i="50"/>
  <c r="BS84" i="50" s="1"/>
  <c r="AS64" i="82"/>
  <c r="S152" i="50"/>
  <c r="BE152" i="50" s="1"/>
  <c r="AK112" i="82"/>
  <c r="E154" i="50"/>
  <c r="AQ154" i="50" s="1"/>
  <c r="AC114" i="82"/>
  <c r="Z155" i="50"/>
  <c r="BL155" i="50" s="1"/>
  <c r="AO115" i="82"/>
  <c r="L157" i="50"/>
  <c r="AX157" i="50" s="1"/>
  <c r="AG117" i="82"/>
  <c r="AG158" i="50"/>
  <c r="BS158" i="50" s="1"/>
  <c r="AS118" i="82"/>
  <c r="S160" i="50"/>
  <c r="BE160" i="50" s="1"/>
  <c r="AK120" i="82"/>
  <c r="E162" i="50"/>
  <c r="AQ162" i="50" s="1"/>
  <c r="AC122" i="82"/>
  <c r="Z163" i="50"/>
  <c r="BL163" i="50" s="1"/>
  <c r="AO123" i="82"/>
  <c r="L165" i="50"/>
  <c r="AX165" i="50" s="1"/>
  <c r="AG125" i="82"/>
  <c r="AG166" i="50"/>
  <c r="BS166" i="50" s="1"/>
  <c r="AS126" i="82"/>
  <c r="S168" i="50"/>
  <c r="BE168" i="50" s="1"/>
  <c r="AK128" i="82"/>
  <c r="E170" i="50"/>
  <c r="AQ170" i="50" s="1"/>
  <c r="AC130" i="82"/>
  <c r="L194" i="50"/>
  <c r="AG155" i="82"/>
  <c r="AG195" i="50"/>
  <c r="AS156" i="82"/>
  <c r="S197" i="50"/>
  <c r="BE197" i="50" s="1"/>
  <c r="AK158" i="82"/>
  <c r="E199" i="50"/>
  <c r="AC160" i="82"/>
  <c r="Z200" i="50"/>
  <c r="BL200" i="50" s="1"/>
  <c r="AO161" i="82"/>
  <c r="L202" i="50"/>
  <c r="AG163" i="82"/>
  <c r="AG203" i="50"/>
  <c r="BS203" i="50" s="1"/>
  <c r="AS164" i="82"/>
  <c r="S205" i="50"/>
  <c r="S271" i="50" s="1"/>
  <c r="BE271" i="50" s="1"/>
  <c r="AK166" i="82"/>
  <c r="E207" i="50"/>
  <c r="AC168" i="82"/>
  <c r="Z208" i="50"/>
  <c r="BL208" i="50" s="1"/>
  <c r="AO169" i="82"/>
  <c r="L210" i="50"/>
  <c r="AX210" i="50" s="1"/>
  <c r="AG171" i="82"/>
  <c r="AG211" i="50"/>
  <c r="AG277" i="50" s="1"/>
  <c r="BS277" i="50" s="1"/>
  <c r="AS172" i="82"/>
  <c r="S213" i="50"/>
  <c r="AK174" i="82"/>
  <c r="L238" i="50"/>
  <c r="AX238" i="50" s="1"/>
  <c r="AG177" i="82"/>
  <c r="AG239" i="50"/>
  <c r="BS239" i="50" s="1"/>
  <c r="AS178" i="82"/>
  <c r="S241" i="50"/>
  <c r="BE241" i="50" s="1"/>
  <c r="AK180" i="82"/>
  <c r="E243" i="50"/>
  <c r="AQ243" i="50" s="1"/>
  <c r="AC182" i="82"/>
  <c r="Z244" i="50"/>
  <c r="BL244" i="50" s="1"/>
  <c r="AO183" i="82"/>
  <c r="L246" i="50"/>
  <c r="AX246" i="50" s="1"/>
  <c r="AG185" i="82"/>
  <c r="AG247" i="50"/>
  <c r="BS247" i="50" s="1"/>
  <c r="AS186" i="82"/>
  <c r="S249" i="50"/>
  <c r="BE249" i="50" s="1"/>
  <c r="AK188" i="82"/>
  <c r="E251" i="50"/>
  <c r="AQ251" i="50" s="1"/>
  <c r="AC190" i="82"/>
  <c r="Z252" i="50"/>
  <c r="BL252" i="50" s="1"/>
  <c r="AO191" i="82"/>
  <c r="L254" i="50"/>
  <c r="AX254" i="50" s="1"/>
  <c r="AG193" i="82"/>
  <c r="AG255" i="50"/>
  <c r="BS255" i="50" s="1"/>
  <c r="AS194" i="82"/>
  <c r="S257" i="50"/>
  <c r="BE257" i="50" s="1"/>
  <c r="AK196" i="82"/>
  <c r="L61" i="50"/>
  <c r="AX61" i="50" s="1"/>
  <c r="AG41" i="82"/>
  <c r="Z65" i="50"/>
  <c r="BL65" i="50" s="1"/>
  <c r="AO45" i="82"/>
  <c r="L73" i="50"/>
  <c r="AX73" i="50" s="1"/>
  <c r="AG53" i="82"/>
  <c r="S81" i="50"/>
  <c r="BE81" i="50" s="1"/>
  <c r="AK61" i="82"/>
  <c r="S155" i="50"/>
  <c r="BE155" i="50" s="1"/>
  <c r="AK115" i="82"/>
  <c r="S163" i="50"/>
  <c r="BE163" i="50" s="1"/>
  <c r="AK123" i="82"/>
  <c r="AG169" i="50"/>
  <c r="BS169" i="50" s="1"/>
  <c r="AS129" i="82"/>
  <c r="S244" i="50"/>
  <c r="BE244" i="50" s="1"/>
  <c r="AK183" i="82"/>
  <c r="E254" i="50"/>
  <c r="AQ254" i="50" s="1"/>
  <c r="AC193" i="82"/>
  <c r="S11" i="50"/>
  <c r="BE11" i="50" s="1"/>
  <c r="AK12" i="82"/>
  <c r="L20" i="50"/>
  <c r="AX20" i="50" s="1"/>
  <c r="AG21" i="82"/>
  <c r="AG21" i="50"/>
  <c r="BS21" i="50" s="1"/>
  <c r="AS22" i="82"/>
  <c r="S23" i="50"/>
  <c r="BE23" i="50" s="1"/>
  <c r="AK24" i="82"/>
  <c r="E25" i="50"/>
  <c r="AQ25" i="50" s="1"/>
  <c r="AC26" i="82"/>
  <c r="Z26" i="50"/>
  <c r="BL26" i="50" s="1"/>
  <c r="AO27" i="82"/>
  <c r="L28" i="50"/>
  <c r="AX28" i="50" s="1"/>
  <c r="AG29" i="82"/>
  <c r="G40" i="82"/>
  <c r="AB40" i="82" s="1"/>
  <c r="AB43" i="82"/>
  <c r="R40" i="82"/>
  <c r="AM40" i="82" s="1"/>
  <c r="AM43" i="82"/>
  <c r="Z64" i="50"/>
  <c r="BL64" i="50" s="1"/>
  <c r="AO44" i="82"/>
  <c r="L66" i="50"/>
  <c r="AX66" i="50" s="1"/>
  <c r="AG46" i="82"/>
  <c r="AG67" i="50"/>
  <c r="BS67" i="50" s="1"/>
  <c r="AS47" i="82"/>
  <c r="Z70" i="50"/>
  <c r="BL70" i="50" s="1"/>
  <c r="AO50" i="82"/>
  <c r="L72" i="50"/>
  <c r="AX72" i="50" s="1"/>
  <c r="AG52" i="82"/>
  <c r="AG73" i="50"/>
  <c r="BS73" i="50" s="1"/>
  <c r="AS53" i="82"/>
  <c r="S75" i="50"/>
  <c r="BE75" i="50" s="1"/>
  <c r="AK55" i="82"/>
  <c r="E77" i="50"/>
  <c r="AQ77" i="50" s="1"/>
  <c r="AC57" i="82"/>
  <c r="Z78" i="50"/>
  <c r="BL78" i="50" s="1"/>
  <c r="AO58" i="82"/>
  <c r="L80" i="50"/>
  <c r="AX80" i="50" s="1"/>
  <c r="AG60" i="82"/>
  <c r="AG81" i="50"/>
  <c r="BS81" i="50" s="1"/>
  <c r="AS61" i="82"/>
  <c r="S83" i="50"/>
  <c r="BE83" i="50" s="1"/>
  <c r="AK63" i="82"/>
  <c r="Z152" i="50"/>
  <c r="BL152" i="50" s="1"/>
  <c r="AO112" i="82"/>
  <c r="L154" i="50"/>
  <c r="AX154" i="50" s="1"/>
  <c r="AG114" i="82"/>
  <c r="AG155" i="50"/>
  <c r="BS155" i="50" s="1"/>
  <c r="AS115" i="82"/>
  <c r="S157" i="50"/>
  <c r="BE157" i="50" s="1"/>
  <c r="AK117" i="82"/>
  <c r="E159" i="50"/>
  <c r="AQ159" i="50" s="1"/>
  <c r="AC119" i="82"/>
  <c r="Z160" i="50"/>
  <c r="BL160" i="50" s="1"/>
  <c r="AO120" i="82"/>
  <c r="L162" i="50"/>
  <c r="AX162" i="50" s="1"/>
  <c r="AG122" i="82"/>
  <c r="AG163" i="50"/>
  <c r="BS163" i="50" s="1"/>
  <c r="AS123" i="82"/>
  <c r="S165" i="50"/>
  <c r="BE165" i="50" s="1"/>
  <c r="AK125" i="82"/>
  <c r="E167" i="50"/>
  <c r="AQ167" i="50" s="1"/>
  <c r="AC127" i="82"/>
  <c r="Z168" i="50"/>
  <c r="BL168" i="50" s="1"/>
  <c r="AO128" i="82"/>
  <c r="L170" i="50"/>
  <c r="AX170" i="50" s="1"/>
  <c r="AG130" i="82"/>
  <c r="H201" i="82"/>
  <c r="AC201" i="82" s="1"/>
  <c r="AC157" i="82"/>
  <c r="H209" i="82"/>
  <c r="AC209" i="82" s="1"/>
  <c r="AC165" i="82"/>
  <c r="H217" i="82"/>
  <c r="AC217" i="82" s="1"/>
  <c r="AC173" i="82"/>
  <c r="S238" i="50"/>
  <c r="BE238" i="50" s="1"/>
  <c r="AK177" i="82"/>
  <c r="E240" i="50"/>
  <c r="AQ240" i="50" s="1"/>
  <c r="AC179" i="82"/>
  <c r="Z241" i="50"/>
  <c r="BL241" i="50" s="1"/>
  <c r="AO180" i="82"/>
  <c r="L243" i="50"/>
  <c r="AX243" i="50" s="1"/>
  <c r="AG182" i="82"/>
  <c r="AG244" i="50"/>
  <c r="BS244" i="50" s="1"/>
  <c r="AS183" i="82"/>
  <c r="S246" i="50"/>
  <c r="BE246" i="50" s="1"/>
  <c r="AK185" i="82"/>
  <c r="E248" i="50"/>
  <c r="AQ248" i="50" s="1"/>
  <c r="AC187" i="82"/>
  <c r="Z249" i="50"/>
  <c r="BL249" i="50" s="1"/>
  <c r="AO188" i="82"/>
  <c r="L251" i="50"/>
  <c r="AX251" i="50" s="1"/>
  <c r="AG190" i="82"/>
  <c r="AG252" i="50"/>
  <c r="BS252" i="50" s="1"/>
  <c r="AS191" i="82"/>
  <c r="S254" i="50"/>
  <c r="BE254" i="50" s="1"/>
  <c r="AK193" i="82"/>
  <c r="E256" i="50"/>
  <c r="AQ256" i="50" s="1"/>
  <c r="AC195" i="82"/>
  <c r="Z257" i="50"/>
  <c r="BL257" i="50" s="1"/>
  <c r="AO196" i="82"/>
  <c r="AG62" i="50"/>
  <c r="BS62" i="50" s="1"/>
  <c r="AS42" i="82"/>
  <c r="L67" i="50"/>
  <c r="AX67" i="50" s="1"/>
  <c r="AG47" i="82"/>
  <c r="AG74" i="50"/>
  <c r="BS74" i="50" s="1"/>
  <c r="AS54" i="82"/>
  <c r="Z12" i="50"/>
  <c r="BL12" i="50" s="1"/>
  <c r="AO13" i="82"/>
  <c r="S61" i="50"/>
  <c r="BE61" i="50" s="1"/>
  <c r="AK41" i="82"/>
  <c r="S67" i="50"/>
  <c r="BE67" i="50" s="1"/>
  <c r="AK47" i="82"/>
  <c r="E83" i="50"/>
  <c r="AQ83" i="50" s="1"/>
  <c r="AC63" i="82"/>
  <c r="L160" i="50"/>
  <c r="AX160" i="50" s="1"/>
  <c r="AG120" i="82"/>
  <c r="AG242" i="50"/>
  <c r="BS242" i="50" s="1"/>
  <c r="AS181" i="82"/>
  <c r="S252" i="50"/>
  <c r="BE252" i="50" s="1"/>
  <c r="AK191" i="82"/>
  <c r="E62" i="50"/>
  <c r="AQ62" i="50" s="1"/>
  <c r="AC42" i="82"/>
  <c r="I40" i="82"/>
  <c r="AD40" i="82" s="1"/>
  <c r="AD43" i="82"/>
  <c r="S40" i="82"/>
  <c r="AN40" i="82" s="1"/>
  <c r="AN43" i="82"/>
  <c r="AG64" i="50"/>
  <c r="BS64" i="50" s="1"/>
  <c r="AS44" i="82"/>
  <c r="S66" i="50"/>
  <c r="BE66" i="50" s="1"/>
  <c r="AK46" i="82"/>
  <c r="E68" i="50"/>
  <c r="AQ68" i="50" s="1"/>
  <c r="AC48" i="82"/>
  <c r="AG70" i="50"/>
  <c r="BS70" i="50" s="1"/>
  <c r="AS50" i="82"/>
  <c r="S72" i="50"/>
  <c r="BE72" i="50" s="1"/>
  <c r="AK52" i="82"/>
  <c r="E74" i="50"/>
  <c r="AQ74" i="50" s="1"/>
  <c r="AC54" i="82"/>
  <c r="Z75" i="50"/>
  <c r="BL75" i="50" s="1"/>
  <c r="AO55" i="82"/>
  <c r="L77" i="50"/>
  <c r="AX77" i="50" s="1"/>
  <c r="AG57" i="82"/>
  <c r="AG78" i="50"/>
  <c r="BS78" i="50" s="1"/>
  <c r="AS58" i="82"/>
  <c r="S80" i="50"/>
  <c r="BE80" i="50" s="1"/>
  <c r="AK60" i="82"/>
  <c r="E82" i="50"/>
  <c r="AQ82" i="50" s="1"/>
  <c r="AC62" i="82"/>
  <c r="Z83" i="50"/>
  <c r="BL83" i="50" s="1"/>
  <c r="AO63" i="82"/>
  <c r="AG152" i="50"/>
  <c r="BS152" i="50" s="1"/>
  <c r="AS112" i="82"/>
  <c r="S154" i="50"/>
  <c r="BE154" i="50" s="1"/>
  <c r="AK114" i="82"/>
  <c r="E156" i="50"/>
  <c r="AQ156" i="50" s="1"/>
  <c r="AC116" i="82"/>
  <c r="Z157" i="50"/>
  <c r="BL157" i="50" s="1"/>
  <c r="AO117" i="82"/>
  <c r="L159" i="50"/>
  <c r="AX159" i="50" s="1"/>
  <c r="AG119" i="82"/>
  <c r="AG160" i="50"/>
  <c r="BS160" i="50" s="1"/>
  <c r="AS120" i="82"/>
  <c r="S162" i="50"/>
  <c r="BE162" i="50" s="1"/>
  <c r="AK122" i="82"/>
  <c r="E164" i="50"/>
  <c r="AQ164" i="50" s="1"/>
  <c r="AC124" i="82"/>
  <c r="Z165" i="50"/>
  <c r="BL165" i="50" s="1"/>
  <c r="AO125" i="82"/>
  <c r="L167" i="50"/>
  <c r="AX167" i="50" s="1"/>
  <c r="AG127" i="82"/>
  <c r="AG168" i="50"/>
  <c r="BS168" i="50" s="1"/>
  <c r="AS128" i="82"/>
  <c r="S170" i="50"/>
  <c r="BE170" i="50" s="1"/>
  <c r="AK130" i="82"/>
  <c r="L196" i="50"/>
  <c r="AX196" i="50" s="1"/>
  <c r="AG157" i="82"/>
  <c r="AG197" i="50"/>
  <c r="BS197" i="50" s="1"/>
  <c r="AS158" i="82"/>
  <c r="S199" i="50"/>
  <c r="S265" i="50" s="1"/>
  <c r="BE265" i="50" s="1"/>
  <c r="AK160" i="82"/>
  <c r="E201" i="50"/>
  <c r="AC162" i="82"/>
  <c r="Z202" i="50"/>
  <c r="BL202" i="50" s="1"/>
  <c r="AO163" i="82"/>
  <c r="L204" i="50"/>
  <c r="AX204" i="50" s="1"/>
  <c r="AG165" i="82"/>
  <c r="AG205" i="50"/>
  <c r="AG271" i="50" s="1"/>
  <c r="BS271" i="50" s="1"/>
  <c r="AS166" i="82"/>
  <c r="S207" i="50"/>
  <c r="BE207" i="50" s="1"/>
  <c r="AK168" i="82"/>
  <c r="E209" i="50"/>
  <c r="AQ209" i="50" s="1"/>
  <c r="AC170" i="82"/>
  <c r="Z210" i="50"/>
  <c r="Z276" i="50" s="1"/>
  <c r="BL276" i="50" s="1"/>
  <c r="AO171" i="82"/>
  <c r="L212" i="50"/>
  <c r="AX212" i="50" s="1"/>
  <c r="AG173" i="82"/>
  <c r="AG213" i="50"/>
  <c r="AS174" i="82"/>
  <c r="S243" i="50"/>
  <c r="BE243" i="50" s="1"/>
  <c r="AK182" i="82"/>
  <c r="E245" i="50"/>
  <c r="AQ245" i="50" s="1"/>
  <c r="AC184" i="82"/>
  <c r="AG249" i="50"/>
  <c r="BS249" i="50" s="1"/>
  <c r="AS188" i="82"/>
  <c r="S251" i="50"/>
  <c r="BE251" i="50" s="1"/>
  <c r="AK190" i="82"/>
  <c r="Z254" i="50"/>
  <c r="BL254" i="50" s="1"/>
  <c r="AO193" i="82"/>
  <c r="L256" i="50"/>
  <c r="AX256" i="50" s="1"/>
  <c r="AG195" i="82"/>
  <c r="AG257" i="50"/>
  <c r="BS257" i="50" s="1"/>
  <c r="AS196" i="82"/>
  <c r="E64" i="50"/>
  <c r="AQ64" i="50" s="1"/>
  <c r="AC44" i="82"/>
  <c r="Z71" i="50"/>
  <c r="BL71" i="50" s="1"/>
  <c r="AO51" i="82"/>
  <c r="AG79" i="50"/>
  <c r="BS79" i="50" s="1"/>
  <c r="AS59" i="82"/>
  <c r="Z158" i="50"/>
  <c r="BL158" i="50" s="1"/>
  <c r="AO118" i="82"/>
  <c r="L168" i="50"/>
  <c r="AX168" i="50" s="1"/>
  <c r="AG128" i="82"/>
  <c r="L241" i="50"/>
  <c r="AX241" i="50" s="1"/>
  <c r="AG180" i="82"/>
  <c r="AG250" i="50"/>
  <c r="BS250" i="50" s="1"/>
  <c r="AS189" i="82"/>
  <c r="L257" i="50"/>
  <c r="AX257" i="50" s="1"/>
  <c r="AG196" i="82"/>
  <c r="AG11" i="50"/>
  <c r="BS11" i="50" s="1"/>
  <c r="AS12" i="82"/>
  <c r="Z34" i="50"/>
  <c r="BL34" i="50" s="1"/>
  <c r="AO39" i="82"/>
  <c r="L62" i="50"/>
  <c r="AX62" i="50" s="1"/>
  <c r="AG42" i="82"/>
  <c r="J40" i="82"/>
  <c r="AE40" i="82" s="1"/>
  <c r="AE43" i="82"/>
  <c r="U40" i="82"/>
  <c r="AP40" i="82" s="1"/>
  <c r="AP43" i="82"/>
  <c r="E79" i="50"/>
  <c r="AQ79" i="50" s="1"/>
  <c r="AC59" i="82"/>
  <c r="Z80" i="50"/>
  <c r="BL80" i="50" s="1"/>
  <c r="AO60" i="82"/>
  <c r="L82" i="50"/>
  <c r="AX82" i="50" s="1"/>
  <c r="AG62" i="82"/>
  <c r="AG83" i="50"/>
  <c r="BS83" i="50" s="1"/>
  <c r="AS63" i="82"/>
  <c r="E153" i="50"/>
  <c r="AQ153" i="50" s="1"/>
  <c r="AC113" i="82"/>
  <c r="Z154" i="50"/>
  <c r="BL154" i="50" s="1"/>
  <c r="AO114" i="82"/>
  <c r="L156" i="50"/>
  <c r="AX156" i="50" s="1"/>
  <c r="AG116" i="82"/>
  <c r="AG157" i="50"/>
  <c r="BS157" i="50" s="1"/>
  <c r="AS117" i="82"/>
  <c r="S159" i="50"/>
  <c r="BE159" i="50" s="1"/>
  <c r="AK119" i="82"/>
  <c r="E161" i="50"/>
  <c r="AQ161" i="50" s="1"/>
  <c r="AC121" i="82"/>
  <c r="Z162" i="50"/>
  <c r="BL162" i="50" s="1"/>
  <c r="AO122" i="82"/>
  <c r="L164" i="50"/>
  <c r="AX164" i="50" s="1"/>
  <c r="AG124" i="82"/>
  <c r="AG165" i="50"/>
  <c r="BS165" i="50" s="1"/>
  <c r="AS125" i="82"/>
  <c r="S167" i="50"/>
  <c r="BE167" i="50" s="1"/>
  <c r="AK127" i="82"/>
  <c r="E169" i="50"/>
  <c r="AQ169" i="50" s="1"/>
  <c r="AC129" i="82"/>
  <c r="Z170" i="50"/>
  <c r="BL170" i="50" s="1"/>
  <c r="AO130" i="82"/>
  <c r="L193" i="50"/>
  <c r="AG154" i="82"/>
  <c r="L237" i="50"/>
  <c r="AX237" i="50" s="1"/>
  <c r="AG176" i="82"/>
  <c r="AG238" i="50"/>
  <c r="BS238" i="50" s="1"/>
  <c r="AS177" i="82"/>
  <c r="S240" i="50"/>
  <c r="BE240" i="50" s="1"/>
  <c r="AK179" i="82"/>
  <c r="E242" i="50"/>
  <c r="AQ242" i="50" s="1"/>
  <c r="AC181" i="82"/>
  <c r="Z243" i="50"/>
  <c r="BL243" i="50" s="1"/>
  <c r="AO182" i="82"/>
  <c r="L245" i="50"/>
  <c r="AX245" i="50" s="1"/>
  <c r="AG184" i="82"/>
  <c r="AG246" i="50"/>
  <c r="BS246" i="50" s="1"/>
  <c r="AS185" i="82"/>
  <c r="S248" i="50"/>
  <c r="BE248" i="50" s="1"/>
  <c r="AK187" i="82"/>
  <c r="E250" i="50"/>
  <c r="AQ250" i="50" s="1"/>
  <c r="AC189" i="82"/>
  <c r="Z251" i="50"/>
  <c r="BL251" i="50" s="1"/>
  <c r="AO190" i="82"/>
  <c r="L253" i="50"/>
  <c r="AX253" i="50" s="1"/>
  <c r="AG192" i="82"/>
  <c r="AG254" i="50"/>
  <c r="BS254" i="50" s="1"/>
  <c r="AS193" i="82"/>
  <c r="S256" i="50"/>
  <c r="BE256" i="50" s="1"/>
  <c r="AK195" i="82"/>
  <c r="E70" i="50"/>
  <c r="AQ70" i="50" s="1"/>
  <c r="AC50" i="82"/>
  <c r="Z84" i="50"/>
  <c r="BL84" i="50" s="1"/>
  <c r="AO64" i="82"/>
  <c r="AG153" i="50"/>
  <c r="BS153" i="50" s="1"/>
  <c r="AS113" i="82"/>
  <c r="Z166" i="50"/>
  <c r="BL166" i="50" s="1"/>
  <c r="AO126" i="82"/>
  <c r="L249" i="50"/>
  <c r="AX249" i="50" s="1"/>
  <c r="AG188" i="82"/>
  <c r="S62" i="50"/>
  <c r="BE62" i="50" s="1"/>
  <c r="AK42" i="82"/>
  <c r="K40" i="82"/>
  <c r="AF40" i="82" s="1"/>
  <c r="AF43" i="82"/>
  <c r="V40" i="82"/>
  <c r="AQ40" i="82" s="1"/>
  <c r="AQ43" i="82"/>
  <c r="L65" i="50"/>
  <c r="AX65" i="50" s="1"/>
  <c r="AG45" i="82"/>
  <c r="AG66" i="50"/>
  <c r="BS66" i="50" s="1"/>
  <c r="AS46" i="82"/>
  <c r="S68" i="50"/>
  <c r="BE68" i="50" s="1"/>
  <c r="AK48" i="82"/>
  <c r="L71" i="50"/>
  <c r="AX71" i="50" s="1"/>
  <c r="AG51" i="82"/>
  <c r="AG72" i="50"/>
  <c r="BS72" i="50" s="1"/>
  <c r="AS52" i="82"/>
  <c r="S74" i="50"/>
  <c r="BE74" i="50" s="1"/>
  <c r="AK54" i="82"/>
  <c r="E76" i="50"/>
  <c r="AQ76" i="50" s="1"/>
  <c r="AC56" i="82"/>
  <c r="Z77" i="50"/>
  <c r="BL77" i="50" s="1"/>
  <c r="AO57" i="82"/>
  <c r="L79" i="50"/>
  <c r="AX79" i="50" s="1"/>
  <c r="AG59" i="82"/>
  <c r="AG80" i="50"/>
  <c r="BS80" i="50" s="1"/>
  <c r="AS60" i="82"/>
  <c r="S82" i="50"/>
  <c r="BE82" i="50" s="1"/>
  <c r="AK62" i="82"/>
  <c r="E84" i="50"/>
  <c r="AQ84" i="50" s="1"/>
  <c r="AC64" i="82"/>
  <c r="L153" i="50"/>
  <c r="AX153" i="50" s="1"/>
  <c r="AG113" i="82"/>
  <c r="AG154" i="50"/>
  <c r="BS154" i="50" s="1"/>
  <c r="AS114" i="82"/>
  <c r="S156" i="50"/>
  <c r="BE156" i="50" s="1"/>
  <c r="AK116" i="82"/>
  <c r="E158" i="50"/>
  <c r="AQ158" i="50" s="1"/>
  <c r="AC118" i="82"/>
  <c r="Z159" i="50"/>
  <c r="BL159" i="50" s="1"/>
  <c r="AO119" i="82"/>
  <c r="L161" i="50"/>
  <c r="AX161" i="50" s="1"/>
  <c r="AG121" i="82"/>
  <c r="AG162" i="50"/>
  <c r="BS162" i="50" s="1"/>
  <c r="AS122" i="82"/>
  <c r="S164" i="50"/>
  <c r="BE164" i="50" s="1"/>
  <c r="AK124" i="82"/>
  <c r="E166" i="50"/>
  <c r="AQ166" i="50" s="1"/>
  <c r="AC126" i="82"/>
  <c r="Z167" i="50"/>
  <c r="BL167" i="50" s="1"/>
  <c r="AO127" i="82"/>
  <c r="L169" i="50"/>
  <c r="AX169" i="50" s="1"/>
  <c r="AG129" i="82"/>
  <c r="AG170" i="50"/>
  <c r="BS170" i="50" s="1"/>
  <c r="AS130" i="82"/>
  <c r="S193" i="50"/>
  <c r="AK154" i="82"/>
  <c r="H200" i="82"/>
  <c r="AC200" i="82" s="1"/>
  <c r="AC156" i="82"/>
  <c r="Z196" i="50"/>
  <c r="BL196" i="50" s="1"/>
  <c r="AO157" i="82"/>
  <c r="L198" i="50"/>
  <c r="AX198" i="50" s="1"/>
  <c r="AG159" i="82"/>
  <c r="AG199" i="50"/>
  <c r="BS199" i="50" s="1"/>
  <c r="AS160" i="82"/>
  <c r="S201" i="50"/>
  <c r="AK162" i="82"/>
  <c r="H208" i="82"/>
  <c r="AC208" i="82" s="1"/>
  <c r="AC164" i="82"/>
  <c r="Z204" i="50"/>
  <c r="BL204" i="50" s="1"/>
  <c r="AO165" i="82"/>
  <c r="L206" i="50"/>
  <c r="AX206" i="50" s="1"/>
  <c r="AG167" i="82"/>
  <c r="AG207" i="50"/>
  <c r="AS168" i="82"/>
  <c r="S209" i="50"/>
  <c r="BE209" i="50" s="1"/>
  <c r="AK170" i="82"/>
  <c r="E211" i="50"/>
  <c r="AQ211" i="50" s="1"/>
  <c r="AC172" i="82"/>
  <c r="Z212" i="50"/>
  <c r="BL212" i="50" s="1"/>
  <c r="AO173" i="82"/>
  <c r="S237" i="50"/>
  <c r="BE237" i="50" s="1"/>
  <c r="AK176" i="82"/>
  <c r="E239" i="50"/>
  <c r="AQ239" i="50" s="1"/>
  <c r="AC178" i="82"/>
  <c r="Z240" i="50"/>
  <c r="BL240" i="50" s="1"/>
  <c r="AO179" i="82"/>
  <c r="L242" i="50"/>
  <c r="AX242" i="50" s="1"/>
  <c r="AG181" i="82"/>
  <c r="AG243" i="50"/>
  <c r="BS243" i="50" s="1"/>
  <c r="AS182" i="82"/>
  <c r="S245" i="50"/>
  <c r="BE245" i="50" s="1"/>
  <c r="AK184" i="82"/>
  <c r="E247" i="50"/>
  <c r="AQ247" i="50" s="1"/>
  <c r="AC186" i="82"/>
  <c r="Z248" i="50"/>
  <c r="BL248" i="50" s="1"/>
  <c r="AO187" i="82"/>
  <c r="L250" i="50"/>
  <c r="AX250" i="50" s="1"/>
  <c r="AG189" i="82"/>
  <c r="AG251" i="50"/>
  <c r="BS251" i="50" s="1"/>
  <c r="AS190" i="82"/>
  <c r="S253" i="50"/>
  <c r="BE253" i="50" s="1"/>
  <c r="AK192" i="82"/>
  <c r="E255" i="50"/>
  <c r="AQ255" i="50" s="1"/>
  <c r="AC194" i="82"/>
  <c r="Z256" i="50"/>
  <c r="BL256" i="50" s="1"/>
  <c r="AO195" i="82"/>
  <c r="N40" i="82"/>
  <c r="AI40" i="82" s="1"/>
  <c r="AI43" i="82"/>
  <c r="AG68" i="50"/>
  <c r="BS68" i="50" s="1"/>
  <c r="AS48" i="82"/>
  <c r="E78" i="50"/>
  <c r="AQ78" i="50" s="1"/>
  <c r="AC58" i="82"/>
  <c r="L152" i="50"/>
  <c r="AX152" i="50" s="1"/>
  <c r="AG112" i="82"/>
  <c r="AG161" i="50"/>
  <c r="BS161" i="50" s="1"/>
  <c r="AS121" i="82"/>
  <c r="Z239" i="50"/>
  <c r="BL239" i="50" s="1"/>
  <c r="AO178" i="82"/>
  <c r="E246" i="50"/>
  <c r="AQ246" i="50" s="1"/>
  <c r="AC185" i="82"/>
  <c r="Z255" i="50"/>
  <c r="BL255" i="50" s="1"/>
  <c r="AO194" i="82"/>
  <c r="E15" i="50"/>
  <c r="AQ15" i="50" s="1"/>
  <c r="AC16" i="82"/>
  <c r="Z16" i="50"/>
  <c r="BL16" i="50" s="1"/>
  <c r="AO17" i="82"/>
  <c r="L18" i="50"/>
  <c r="AX18" i="50" s="1"/>
  <c r="AG19" i="82"/>
  <c r="E21" i="50"/>
  <c r="AQ21" i="50" s="1"/>
  <c r="AC22" i="82"/>
  <c r="Z22" i="50"/>
  <c r="BL22" i="50" s="1"/>
  <c r="AO23" i="82"/>
  <c r="L24" i="50"/>
  <c r="AX24" i="50" s="1"/>
  <c r="AG25" i="82"/>
  <c r="AG25" i="50"/>
  <c r="BS25" i="50" s="1"/>
  <c r="AS26" i="82"/>
  <c r="S27" i="50"/>
  <c r="BE27" i="50" s="1"/>
  <c r="AK28" i="82"/>
  <c r="M40" i="82"/>
  <c r="AH40" i="82" s="1"/>
  <c r="AH43" i="82"/>
  <c r="W40" i="82"/>
  <c r="AR40" i="82" s="1"/>
  <c r="AR43" i="82"/>
  <c r="S65" i="50"/>
  <c r="BE65" i="50" s="1"/>
  <c r="AK45" i="82"/>
  <c r="E67" i="50"/>
  <c r="AQ67" i="50" s="1"/>
  <c r="AC47" i="82"/>
  <c r="Z68" i="50"/>
  <c r="BL68" i="50" s="1"/>
  <c r="AO48" i="82"/>
  <c r="S71" i="50"/>
  <c r="BE71" i="50" s="1"/>
  <c r="AK51" i="82"/>
  <c r="E73" i="50"/>
  <c r="AQ73" i="50" s="1"/>
  <c r="AC53" i="82"/>
  <c r="Z74" i="50"/>
  <c r="BL74" i="50" s="1"/>
  <c r="AO54" i="82"/>
  <c r="L76" i="50"/>
  <c r="AX76" i="50" s="1"/>
  <c r="AG56" i="82"/>
  <c r="AG77" i="50"/>
  <c r="BS77" i="50" s="1"/>
  <c r="AS57" i="82"/>
  <c r="S79" i="50"/>
  <c r="BE79" i="50" s="1"/>
  <c r="AK59" i="82"/>
  <c r="E81" i="50"/>
  <c r="AQ81" i="50" s="1"/>
  <c r="AC61" i="82"/>
  <c r="Z82" i="50"/>
  <c r="BL82" i="50" s="1"/>
  <c r="AO62" i="82"/>
  <c r="L84" i="50"/>
  <c r="AX84" i="50" s="1"/>
  <c r="AG64" i="82"/>
  <c r="S153" i="50"/>
  <c r="BE153" i="50" s="1"/>
  <c r="AK113" i="82"/>
  <c r="E155" i="50"/>
  <c r="AQ155" i="50" s="1"/>
  <c r="AC115" i="82"/>
  <c r="Z156" i="50"/>
  <c r="BL156" i="50" s="1"/>
  <c r="AO116" i="82"/>
  <c r="L158" i="50"/>
  <c r="AX158" i="50" s="1"/>
  <c r="AG118" i="82"/>
  <c r="AG159" i="50"/>
  <c r="BS159" i="50" s="1"/>
  <c r="AS119" i="82"/>
  <c r="S161" i="50"/>
  <c r="BE161" i="50" s="1"/>
  <c r="AK121" i="82"/>
  <c r="E163" i="50"/>
  <c r="AQ163" i="50" s="1"/>
  <c r="AC123" i="82"/>
  <c r="Z164" i="50"/>
  <c r="BL164" i="50" s="1"/>
  <c r="AO124" i="82"/>
  <c r="L166" i="50"/>
  <c r="AX166" i="50" s="1"/>
  <c r="AG126" i="82"/>
  <c r="AG167" i="50"/>
  <c r="BS167" i="50" s="1"/>
  <c r="AS127" i="82"/>
  <c r="S169" i="50"/>
  <c r="BE169" i="50" s="1"/>
  <c r="AK129" i="82"/>
  <c r="H205" i="82"/>
  <c r="AC205" i="82" s="1"/>
  <c r="AC161" i="82"/>
  <c r="H213" i="82"/>
  <c r="AC213" i="82" s="1"/>
  <c r="AC169" i="82"/>
  <c r="Z237" i="50"/>
  <c r="BL237" i="50" s="1"/>
  <c r="AO176" i="82"/>
  <c r="L239" i="50"/>
  <c r="AX239" i="50" s="1"/>
  <c r="AG178" i="82"/>
  <c r="AG240" i="50"/>
  <c r="BS240" i="50" s="1"/>
  <c r="AS179" i="82"/>
  <c r="S242" i="50"/>
  <c r="BE242" i="50" s="1"/>
  <c r="AK181" i="82"/>
  <c r="E244" i="50"/>
  <c r="AQ244" i="50" s="1"/>
  <c r="AC183" i="82"/>
  <c r="Z245" i="50"/>
  <c r="BL245" i="50" s="1"/>
  <c r="AO184" i="82"/>
  <c r="L247" i="50"/>
  <c r="AX247" i="50" s="1"/>
  <c r="AG186" i="82"/>
  <c r="AG248" i="50"/>
  <c r="BS248" i="50" s="1"/>
  <c r="AS187" i="82"/>
  <c r="S250" i="50"/>
  <c r="BE250" i="50" s="1"/>
  <c r="AK189" i="82"/>
  <c r="E252" i="50"/>
  <c r="AQ252" i="50" s="1"/>
  <c r="AC191" i="82"/>
  <c r="Z253" i="50"/>
  <c r="BL253" i="50" s="1"/>
  <c r="AO192" i="82"/>
  <c r="L255" i="50"/>
  <c r="AX255" i="50" s="1"/>
  <c r="AG194" i="82"/>
  <c r="AG256" i="50"/>
  <c r="BS256" i="50" s="1"/>
  <c r="AS195" i="82"/>
  <c r="Z79" i="50"/>
  <c r="BL79" i="50" s="1"/>
  <c r="AO59" i="82"/>
  <c r="L81" i="50"/>
  <c r="AX81" i="50" s="1"/>
  <c r="AG61" i="82"/>
  <c r="AG82" i="50"/>
  <c r="BS82" i="50" s="1"/>
  <c r="AS62" i="82"/>
  <c r="S84" i="50"/>
  <c r="BE84" i="50" s="1"/>
  <c r="AK64" i="82"/>
  <c r="E152" i="50"/>
  <c r="AQ152" i="50" s="1"/>
  <c r="AC112" i="82"/>
  <c r="Z153" i="50"/>
  <c r="BL153" i="50" s="1"/>
  <c r="AO113" i="82"/>
  <c r="L155" i="50"/>
  <c r="AX155" i="50" s="1"/>
  <c r="AG115" i="82"/>
  <c r="AG156" i="50"/>
  <c r="BS156" i="50" s="1"/>
  <c r="AS116" i="82"/>
  <c r="S158" i="50"/>
  <c r="BE158" i="50" s="1"/>
  <c r="AK118" i="82"/>
  <c r="E160" i="50"/>
  <c r="AQ160" i="50" s="1"/>
  <c r="AC120" i="82"/>
  <c r="Z161" i="50"/>
  <c r="BL161" i="50" s="1"/>
  <c r="AO121" i="82"/>
  <c r="L163" i="50"/>
  <c r="AX163" i="50" s="1"/>
  <c r="AG123" i="82"/>
  <c r="AG164" i="50"/>
  <c r="BS164" i="50" s="1"/>
  <c r="AS124" i="82"/>
  <c r="S166" i="50"/>
  <c r="BE166" i="50" s="1"/>
  <c r="AK126" i="82"/>
  <c r="E168" i="50"/>
  <c r="AQ168" i="50" s="1"/>
  <c r="AC128" i="82"/>
  <c r="Z169" i="50"/>
  <c r="BL169" i="50" s="1"/>
  <c r="AO129" i="82"/>
  <c r="S195" i="50"/>
  <c r="BE195" i="50" s="1"/>
  <c r="AK156" i="82"/>
  <c r="E197" i="50"/>
  <c r="AQ197" i="50" s="1"/>
  <c r="AC158" i="82"/>
  <c r="Z198" i="50"/>
  <c r="BL198" i="50" s="1"/>
  <c r="AO159" i="82"/>
  <c r="L200" i="50"/>
  <c r="AX200" i="50" s="1"/>
  <c r="AG161" i="82"/>
  <c r="AG201" i="50"/>
  <c r="BS201" i="50" s="1"/>
  <c r="AS162" i="82"/>
  <c r="S203" i="50"/>
  <c r="BE203" i="50" s="1"/>
  <c r="AK164" i="82"/>
  <c r="E205" i="50"/>
  <c r="AQ205" i="50" s="1"/>
  <c r="AC166" i="82"/>
  <c r="Z206" i="50"/>
  <c r="BL206" i="50" s="1"/>
  <c r="AO167" i="82"/>
  <c r="L208" i="50"/>
  <c r="AX208" i="50" s="1"/>
  <c r="AG169" i="82"/>
  <c r="AG209" i="50"/>
  <c r="BS209" i="50" s="1"/>
  <c r="AS170" i="82"/>
  <c r="S211" i="50"/>
  <c r="BE211" i="50" s="1"/>
  <c r="AK172" i="82"/>
  <c r="E213" i="50"/>
  <c r="AQ213" i="50" s="1"/>
  <c r="AC174" i="82"/>
  <c r="AG237" i="50"/>
  <c r="BS237" i="50" s="1"/>
  <c r="AS176" i="82"/>
  <c r="S239" i="50"/>
  <c r="BE239" i="50" s="1"/>
  <c r="AK178" i="82"/>
  <c r="F157" i="41"/>
  <c r="AZ157" i="41" s="1"/>
  <c r="AG74" i="62"/>
  <c r="BX74" i="62" s="1"/>
  <c r="AG71" i="62"/>
  <c r="AG67" i="62" s="1"/>
  <c r="BX67" i="62" s="1"/>
  <c r="Z64" i="62"/>
  <c r="BQ64" i="62" s="1"/>
  <c r="AG94" i="62"/>
  <c r="BX94" i="62" s="1"/>
  <c r="E100" i="62"/>
  <c r="AV100" i="62" s="1"/>
  <c r="AV51" i="62"/>
  <c r="E108" i="62"/>
  <c r="AV108" i="62" s="1"/>
  <c r="AV59" i="62"/>
  <c r="L72" i="62"/>
  <c r="BC72" i="62" s="1"/>
  <c r="BC23" i="62"/>
  <c r="L84" i="62"/>
  <c r="BC84" i="62" s="1"/>
  <c r="BC35" i="62"/>
  <c r="L92" i="62"/>
  <c r="BC92" i="62" s="1"/>
  <c r="BC43" i="62"/>
  <c r="L102" i="62"/>
  <c r="BC102" i="62" s="1"/>
  <c r="BC53" i="62"/>
  <c r="S63" i="62"/>
  <c r="BJ63" i="62" s="1"/>
  <c r="BJ14" i="62"/>
  <c r="S75" i="62"/>
  <c r="BJ75" i="62" s="1"/>
  <c r="BJ26" i="62"/>
  <c r="S88" i="62"/>
  <c r="BJ88" i="62" s="1"/>
  <c r="BJ39" i="62"/>
  <c r="S97" i="62"/>
  <c r="BJ97" i="62" s="1"/>
  <c r="BJ48" i="62"/>
  <c r="S106" i="62"/>
  <c r="BJ106" i="62" s="1"/>
  <c r="BJ57" i="62"/>
  <c r="BL210" i="50"/>
  <c r="BS213" i="50"/>
  <c r="L62" i="62"/>
  <c r="BC62" i="62" s="1"/>
  <c r="BC13" i="62"/>
  <c r="L93" i="62"/>
  <c r="BC93" i="62" s="1"/>
  <c r="BC44" i="62"/>
  <c r="S65" i="62"/>
  <c r="BJ65" i="62" s="1"/>
  <c r="BJ16" i="62"/>
  <c r="S89" i="62"/>
  <c r="BJ89" i="62" s="1"/>
  <c r="BJ40" i="62"/>
  <c r="S107" i="62"/>
  <c r="BJ107" i="62" s="1"/>
  <c r="BJ58" i="62"/>
  <c r="AG64" i="62"/>
  <c r="BX64" i="62" s="1"/>
  <c r="BX65" i="62"/>
  <c r="AX193" i="50"/>
  <c r="L63" i="62"/>
  <c r="BC63" i="62" s="1"/>
  <c r="BC14" i="62"/>
  <c r="L86" i="62"/>
  <c r="BC86" i="62" s="1"/>
  <c r="BC37" i="62"/>
  <c r="L104" i="62"/>
  <c r="BC104" i="62" s="1"/>
  <c r="BC55" i="62"/>
  <c r="S77" i="62"/>
  <c r="BJ77" i="62" s="1"/>
  <c r="BJ28" i="62"/>
  <c r="S100" i="62"/>
  <c r="BJ100" i="62" s="1"/>
  <c r="BJ51" i="62"/>
  <c r="BX71" i="62"/>
  <c r="BE193" i="50"/>
  <c r="L65" i="62"/>
  <c r="BC65" i="62" s="1"/>
  <c r="BC16" i="62"/>
  <c r="L87" i="62"/>
  <c r="BC87" i="62" s="1"/>
  <c r="BC38" i="62"/>
  <c r="L105" i="62"/>
  <c r="BC105" i="62" s="1"/>
  <c r="BC56" i="62"/>
  <c r="S78" i="62"/>
  <c r="BJ78" i="62" s="1"/>
  <c r="BJ29" i="62"/>
  <c r="S101" i="62"/>
  <c r="BJ101" i="62" s="1"/>
  <c r="BJ52" i="62"/>
  <c r="E104" i="62"/>
  <c r="AV104" i="62" s="1"/>
  <c r="AV55" i="62"/>
  <c r="L77" i="62"/>
  <c r="BC77" i="62" s="1"/>
  <c r="BC28" i="62"/>
  <c r="L97" i="62"/>
  <c r="BC97" i="62" s="1"/>
  <c r="BC48" i="62"/>
  <c r="S69" i="62"/>
  <c r="BJ69" i="62" s="1"/>
  <c r="BJ20" i="62"/>
  <c r="S102" i="62"/>
  <c r="BJ102" i="62" s="1"/>
  <c r="BJ53" i="62"/>
  <c r="Z83" i="62"/>
  <c r="BQ83" i="62" s="1"/>
  <c r="E96" i="62"/>
  <c r="AV96" i="62" s="1"/>
  <c r="AV47" i="62"/>
  <c r="L68" i="62"/>
  <c r="BC68" i="62" s="1"/>
  <c r="BC19" i="62"/>
  <c r="L89" i="62"/>
  <c r="BC89" i="62" s="1"/>
  <c r="BC40" i="62"/>
  <c r="L107" i="62"/>
  <c r="BC107" i="62" s="1"/>
  <c r="BC58" i="62"/>
  <c r="S85" i="62"/>
  <c r="BJ85" i="62" s="1"/>
  <c r="BJ36" i="62"/>
  <c r="S103" i="62"/>
  <c r="BJ103" i="62" s="1"/>
  <c r="BJ54" i="62"/>
  <c r="Z74" i="62"/>
  <c r="BQ74" i="62" s="1"/>
  <c r="AG61" i="62"/>
  <c r="BX61" i="62" s="1"/>
  <c r="BX62" i="62"/>
  <c r="E97" i="62"/>
  <c r="AV97" i="62" s="1"/>
  <c r="AV48" i="62"/>
  <c r="E106" i="62"/>
  <c r="AV106" i="62" s="1"/>
  <c r="AV57" i="62"/>
  <c r="L69" i="62"/>
  <c r="BC69" i="62" s="1"/>
  <c r="BC20" i="62"/>
  <c r="L81" i="62"/>
  <c r="BC81" i="62" s="1"/>
  <c r="BC32" i="62"/>
  <c r="L90" i="62"/>
  <c r="BC90" i="62" s="1"/>
  <c r="BC41" i="62"/>
  <c r="L100" i="62"/>
  <c r="BC100" i="62" s="1"/>
  <c r="BC51" i="62"/>
  <c r="L108" i="62"/>
  <c r="BC108" i="62" s="1"/>
  <c r="BC59" i="62"/>
  <c r="S72" i="62"/>
  <c r="BJ72" i="62" s="1"/>
  <c r="BJ23" i="62"/>
  <c r="S86" i="62"/>
  <c r="BJ86" i="62" s="1"/>
  <c r="BJ37" i="62"/>
  <c r="S95" i="62"/>
  <c r="BJ95" i="62" s="1"/>
  <c r="BJ46" i="62"/>
  <c r="S104" i="62"/>
  <c r="BJ104" i="62" s="1"/>
  <c r="BJ55" i="62"/>
  <c r="E101" i="62"/>
  <c r="AV101" i="62" s="1"/>
  <c r="AV52" i="62"/>
  <c r="L73" i="62"/>
  <c r="BC73" i="62" s="1"/>
  <c r="BC24" i="62"/>
  <c r="L85" i="62"/>
  <c r="BC85" i="62" s="1"/>
  <c r="BC36" i="62"/>
  <c r="L103" i="62"/>
  <c r="BC103" i="62" s="1"/>
  <c r="BC54" i="62"/>
  <c r="S76" i="62"/>
  <c r="BJ76" i="62" s="1"/>
  <c r="BJ27" i="62"/>
  <c r="S98" i="62"/>
  <c r="BJ98" i="62" s="1"/>
  <c r="BJ49" i="62"/>
  <c r="E102" i="62"/>
  <c r="AV102" i="62" s="1"/>
  <c r="AV53" i="62"/>
  <c r="L75" i="62"/>
  <c r="BC75" i="62" s="1"/>
  <c r="BC26" i="62"/>
  <c r="L95" i="62"/>
  <c r="BC95" i="62" s="1"/>
  <c r="BC46" i="62"/>
  <c r="S66" i="62"/>
  <c r="BJ66" i="62" s="1"/>
  <c r="BJ17" i="62"/>
  <c r="S90" i="62"/>
  <c r="BJ90" i="62" s="1"/>
  <c r="BJ41" i="62"/>
  <c r="S108" i="62"/>
  <c r="BJ108" i="62" s="1"/>
  <c r="BJ59" i="62"/>
  <c r="BE201" i="50"/>
  <c r="E103" i="62"/>
  <c r="AV103" i="62" s="1"/>
  <c r="AV54" i="62"/>
  <c r="L76" i="62"/>
  <c r="BC76" i="62" s="1"/>
  <c r="BC27" i="62"/>
  <c r="L96" i="62"/>
  <c r="BC96" i="62" s="1"/>
  <c r="BC47" i="62"/>
  <c r="S68" i="62"/>
  <c r="BJ68" i="62" s="1"/>
  <c r="BJ19" i="62"/>
  <c r="S91" i="62"/>
  <c r="BJ91" i="62" s="1"/>
  <c r="BJ42" i="62"/>
  <c r="Z71" i="62"/>
  <c r="BQ72" i="62"/>
  <c r="E95" i="62"/>
  <c r="AV95" i="62" s="1"/>
  <c r="AV46" i="62"/>
  <c r="L66" i="62"/>
  <c r="BC66" i="62" s="1"/>
  <c r="BC17" i="62"/>
  <c r="L88" i="62"/>
  <c r="BC88" i="62" s="1"/>
  <c r="BC39" i="62"/>
  <c r="L106" i="62"/>
  <c r="BC106" i="62" s="1"/>
  <c r="BC57" i="62"/>
  <c r="S84" i="62"/>
  <c r="BJ84" i="62" s="1"/>
  <c r="BJ35" i="62"/>
  <c r="S92" i="62"/>
  <c r="BJ92" i="62" s="1"/>
  <c r="BJ43" i="62"/>
  <c r="Z61" i="62"/>
  <c r="BQ61" i="62" s="1"/>
  <c r="E105" i="62"/>
  <c r="AV105" i="62" s="1"/>
  <c r="AV56" i="62"/>
  <c r="L78" i="62"/>
  <c r="BC78" i="62" s="1"/>
  <c r="BC29" i="62"/>
  <c r="L98" i="62"/>
  <c r="BC98" i="62" s="1"/>
  <c r="BC49" i="62"/>
  <c r="S70" i="62"/>
  <c r="BJ70" i="62" s="1"/>
  <c r="BJ21" i="62"/>
  <c r="S93" i="62"/>
  <c r="BJ93" i="62" s="1"/>
  <c r="BJ44" i="62"/>
  <c r="AG99" i="62"/>
  <c r="BX99" i="62" s="1"/>
  <c r="BX101" i="62"/>
  <c r="L260" i="50"/>
  <c r="AX260" i="50" s="1"/>
  <c r="AX194" i="50"/>
  <c r="BS195" i="50"/>
  <c r="S263" i="50"/>
  <c r="BE263" i="50" s="1"/>
  <c r="AX202" i="50"/>
  <c r="S279" i="50"/>
  <c r="BE279" i="50" s="1"/>
  <c r="BE213" i="50"/>
  <c r="E98" i="62"/>
  <c r="AV98" i="62" s="1"/>
  <c r="AV49" i="62"/>
  <c r="E107" i="62"/>
  <c r="AV107" i="62" s="1"/>
  <c r="AV58" i="62"/>
  <c r="L70" i="62"/>
  <c r="BC70" i="62" s="1"/>
  <c r="BC21" i="62"/>
  <c r="L82" i="62"/>
  <c r="BC82" i="62" s="1"/>
  <c r="BC33" i="62"/>
  <c r="L91" i="62"/>
  <c r="BC91" i="62" s="1"/>
  <c r="BC42" i="62"/>
  <c r="L101" i="62"/>
  <c r="BC101" i="62" s="1"/>
  <c r="BC52" i="62"/>
  <c r="S62" i="62"/>
  <c r="BJ62" i="62" s="1"/>
  <c r="BJ13" i="62"/>
  <c r="S73" i="62"/>
  <c r="BJ73" i="62" s="1"/>
  <c r="BJ24" i="62"/>
  <c r="S87" i="62"/>
  <c r="BJ87" i="62" s="1"/>
  <c r="BJ38" i="62"/>
  <c r="S96" i="62"/>
  <c r="BJ96" i="62" s="1"/>
  <c r="BJ47" i="62"/>
  <c r="S105" i="62"/>
  <c r="BJ105" i="62" s="1"/>
  <c r="BJ56" i="62"/>
  <c r="AG83" i="62"/>
  <c r="BX83" i="62" s="1"/>
  <c r="X89" i="82"/>
  <c r="AS89" i="82" s="1"/>
  <c r="AG34" i="50"/>
  <c r="BS34" i="50" s="1"/>
  <c r="X30" i="82"/>
  <c r="E44" i="50"/>
  <c r="AQ44" i="50" s="1"/>
  <c r="T111" i="82"/>
  <c r="AO111" i="82" s="1"/>
  <c r="M131" i="82"/>
  <c r="AH131" i="82" s="1"/>
  <c r="L38" i="50"/>
  <c r="AX38" i="50" s="1"/>
  <c r="S38" i="50"/>
  <c r="BE38" i="50" s="1"/>
  <c r="Z131" i="50"/>
  <c r="BL131" i="50" s="1"/>
  <c r="B66" i="85" s="1"/>
  <c r="H36" i="82"/>
  <c r="N11" i="82"/>
  <c r="L36" i="82"/>
  <c r="P111" i="82"/>
  <c r="AK111" i="82" s="1"/>
  <c r="X111" i="82"/>
  <c r="AS111" i="82" s="1"/>
  <c r="E38" i="50"/>
  <c r="AQ38" i="50" s="1"/>
  <c r="S44" i="50"/>
  <c r="BE44" i="50" s="1"/>
  <c r="J11" i="82"/>
  <c r="K11" i="82"/>
  <c r="S220" i="82"/>
  <c r="AN220" i="82" s="1"/>
  <c r="R11" i="82"/>
  <c r="L30" i="82"/>
  <c r="U197" i="82"/>
  <c r="AP197" i="82" s="1"/>
  <c r="V11" i="82"/>
  <c r="T82" i="82"/>
  <c r="AO82" i="82" s="1"/>
  <c r="N220" i="82"/>
  <c r="AI220" i="82" s="1"/>
  <c r="M197" i="82"/>
  <c r="AH197" i="82" s="1"/>
  <c r="P14" i="82"/>
  <c r="AK14" i="82" s="1"/>
  <c r="O11" i="82"/>
  <c r="L214" i="50"/>
  <c r="AX214" i="50" s="1"/>
  <c r="B35" i="85" s="1"/>
  <c r="L111" i="82"/>
  <c r="AG111" i="82" s="1"/>
  <c r="I74" i="82"/>
  <c r="AD74" i="82" s="1"/>
  <c r="L14" i="82"/>
  <c r="AG14" i="82" s="1"/>
  <c r="H111" i="82"/>
  <c r="AC111" i="82" s="1"/>
  <c r="G11" i="82"/>
  <c r="F11" i="82"/>
  <c r="H14" i="82"/>
  <c r="AC14" i="82" s="1"/>
  <c r="X14" i="82"/>
  <c r="AS14" i="82" s="1"/>
  <c r="T14" i="82"/>
  <c r="AO14" i="82" s="1"/>
  <c r="S11" i="82"/>
  <c r="K220" i="82"/>
  <c r="AF220" i="82" s="1"/>
  <c r="I197" i="82"/>
  <c r="AD197" i="82" s="1"/>
  <c r="E197" i="82"/>
  <c r="Z197" i="82" s="1"/>
  <c r="W11" i="82"/>
  <c r="Z109" i="50"/>
  <c r="BL109" i="50" s="1"/>
  <c r="Q74" i="82"/>
  <c r="AL74" i="82" s="1"/>
  <c r="I68" i="82"/>
  <c r="AD68" i="82" s="1"/>
  <c r="E131" i="50"/>
  <c r="AQ131" i="50" s="1"/>
  <c r="B12" i="85" s="1"/>
  <c r="E214" i="50"/>
  <c r="AQ214" i="50" s="1"/>
  <c r="B17" i="85" s="1"/>
  <c r="S131" i="50"/>
  <c r="BE131" i="50" s="1"/>
  <c r="B48" i="85" s="1"/>
  <c r="S214" i="50"/>
  <c r="BE214" i="50" s="1"/>
  <c r="B53" i="85" s="1"/>
  <c r="L66" i="82"/>
  <c r="AG66" i="82" s="1"/>
  <c r="L11" i="50"/>
  <c r="H67" i="82"/>
  <c r="AC67" i="82" s="1"/>
  <c r="E12" i="50"/>
  <c r="X67" i="82"/>
  <c r="AS67" i="82" s="1"/>
  <c r="AG12" i="50"/>
  <c r="T69" i="82"/>
  <c r="AO69" i="82" s="1"/>
  <c r="Z14" i="50"/>
  <c r="P70" i="82"/>
  <c r="AK70" i="82" s="1"/>
  <c r="S15" i="50"/>
  <c r="L71" i="82"/>
  <c r="AG71" i="82" s="1"/>
  <c r="L16" i="50"/>
  <c r="H72" i="82"/>
  <c r="AC72" i="82" s="1"/>
  <c r="E17" i="50"/>
  <c r="X72" i="82"/>
  <c r="AS72" i="82" s="1"/>
  <c r="AG17" i="50"/>
  <c r="T73" i="82"/>
  <c r="AO73" i="82" s="1"/>
  <c r="Z18" i="50"/>
  <c r="T75" i="82"/>
  <c r="AO75" i="82" s="1"/>
  <c r="Z20" i="50"/>
  <c r="P76" i="82"/>
  <c r="AK76" i="82" s="1"/>
  <c r="S21" i="50"/>
  <c r="L77" i="82"/>
  <c r="AG77" i="82" s="1"/>
  <c r="L22" i="50"/>
  <c r="H78" i="82"/>
  <c r="AC78" i="82" s="1"/>
  <c r="E23" i="50"/>
  <c r="X78" i="82"/>
  <c r="AS78" i="82" s="1"/>
  <c r="AG23" i="50"/>
  <c r="T79" i="82"/>
  <c r="AO79" i="82" s="1"/>
  <c r="Z24" i="50"/>
  <c r="P80" i="82"/>
  <c r="AK80" i="82" s="1"/>
  <c r="S25" i="50"/>
  <c r="L81" i="82"/>
  <c r="AG81" i="82" s="1"/>
  <c r="L26" i="50"/>
  <c r="H82" i="82"/>
  <c r="AC82" i="82" s="1"/>
  <c r="E27" i="50"/>
  <c r="X82" i="82"/>
  <c r="AS82" i="82" s="1"/>
  <c r="AG27" i="50"/>
  <c r="T83" i="82"/>
  <c r="AO83" i="82" s="1"/>
  <c r="Z28" i="50"/>
  <c r="P85" i="82"/>
  <c r="AK85" i="82" s="1"/>
  <c r="S30" i="50"/>
  <c r="L86" i="82"/>
  <c r="AG86" i="82" s="1"/>
  <c r="L31" i="50"/>
  <c r="H87" i="82"/>
  <c r="AC87" i="82" s="1"/>
  <c r="E32" i="50"/>
  <c r="AG32" i="50"/>
  <c r="X87" i="82"/>
  <c r="AS87" i="82" s="1"/>
  <c r="T36" i="82"/>
  <c r="AO36" i="82" s="1"/>
  <c r="H89" i="82"/>
  <c r="AC89" i="82" s="1"/>
  <c r="E34" i="50"/>
  <c r="P132" i="82"/>
  <c r="AK132" i="82" s="1"/>
  <c r="S112" i="50"/>
  <c r="L133" i="82"/>
  <c r="AG133" i="82" s="1"/>
  <c r="L113" i="50"/>
  <c r="H134" i="82"/>
  <c r="AC134" i="82" s="1"/>
  <c r="E114" i="50"/>
  <c r="X134" i="82"/>
  <c r="AS134" i="82" s="1"/>
  <c r="AG114" i="50"/>
  <c r="T135" i="82"/>
  <c r="AO135" i="82" s="1"/>
  <c r="Z115" i="50"/>
  <c r="P136" i="82"/>
  <c r="AK136" i="82" s="1"/>
  <c r="S116" i="50"/>
  <c r="L137" i="82"/>
  <c r="AG137" i="82" s="1"/>
  <c r="L117" i="50"/>
  <c r="H138" i="82"/>
  <c r="AC138" i="82" s="1"/>
  <c r="E118" i="50"/>
  <c r="X138" i="82"/>
  <c r="AS138" i="82" s="1"/>
  <c r="AG118" i="50"/>
  <c r="T139" i="82"/>
  <c r="AO139" i="82" s="1"/>
  <c r="Z119" i="50"/>
  <c r="P140" i="82"/>
  <c r="AK140" i="82" s="1"/>
  <c r="S120" i="50"/>
  <c r="L141" i="82"/>
  <c r="AG141" i="82" s="1"/>
  <c r="L121" i="50"/>
  <c r="H142" i="82"/>
  <c r="AC142" i="82" s="1"/>
  <c r="E122" i="50"/>
  <c r="X142" i="82"/>
  <c r="AS142" i="82" s="1"/>
  <c r="AG122" i="50"/>
  <c r="T143" i="82"/>
  <c r="AO143" i="82" s="1"/>
  <c r="Z123" i="50"/>
  <c r="P144" i="82"/>
  <c r="AK144" i="82" s="1"/>
  <c r="S124" i="50"/>
  <c r="L145" i="82"/>
  <c r="AG145" i="82" s="1"/>
  <c r="L125" i="50"/>
  <c r="H146" i="82"/>
  <c r="AC146" i="82" s="1"/>
  <c r="E126" i="50"/>
  <c r="X146" i="82"/>
  <c r="AS146" i="82" s="1"/>
  <c r="AG126" i="50"/>
  <c r="BS126" i="50" s="1"/>
  <c r="T147" i="82"/>
  <c r="AO147" i="82" s="1"/>
  <c r="Z127" i="50"/>
  <c r="P148" i="82"/>
  <c r="AK148" i="82" s="1"/>
  <c r="S128" i="50"/>
  <c r="L149" i="82"/>
  <c r="AG149" i="82" s="1"/>
  <c r="L129" i="50"/>
  <c r="H150" i="82"/>
  <c r="AC150" i="82" s="1"/>
  <c r="E130" i="50"/>
  <c r="X150" i="82"/>
  <c r="AS150" i="82" s="1"/>
  <c r="AG130" i="50"/>
  <c r="L67" i="82"/>
  <c r="AG67" i="82" s="1"/>
  <c r="L12" i="50"/>
  <c r="H69" i="82"/>
  <c r="AC69" i="82" s="1"/>
  <c r="E14" i="50"/>
  <c r="X69" i="82"/>
  <c r="AS69" i="82" s="1"/>
  <c r="AG14" i="50"/>
  <c r="T70" i="82"/>
  <c r="AO70" i="82" s="1"/>
  <c r="Z15" i="50"/>
  <c r="P71" i="82"/>
  <c r="AK71" i="82" s="1"/>
  <c r="S16" i="50"/>
  <c r="L72" i="82"/>
  <c r="AG72" i="82" s="1"/>
  <c r="L17" i="50"/>
  <c r="H73" i="82"/>
  <c r="AC73" i="82" s="1"/>
  <c r="E18" i="50"/>
  <c r="X73" i="82"/>
  <c r="AS73" i="82" s="1"/>
  <c r="AG18" i="50"/>
  <c r="H75" i="82"/>
  <c r="AC75" i="82" s="1"/>
  <c r="E20" i="50"/>
  <c r="X75" i="82"/>
  <c r="AS75" i="82" s="1"/>
  <c r="AG20" i="50"/>
  <c r="T76" i="82"/>
  <c r="AO76" i="82" s="1"/>
  <c r="Z21" i="50"/>
  <c r="P77" i="82"/>
  <c r="AK77" i="82" s="1"/>
  <c r="S22" i="50"/>
  <c r="L78" i="82"/>
  <c r="AG78" i="82" s="1"/>
  <c r="L23" i="50"/>
  <c r="H79" i="82"/>
  <c r="AC79" i="82" s="1"/>
  <c r="E24" i="50"/>
  <c r="X79" i="82"/>
  <c r="AS79" i="82" s="1"/>
  <c r="AG24" i="50"/>
  <c r="T80" i="82"/>
  <c r="AO80" i="82" s="1"/>
  <c r="Z25" i="50"/>
  <c r="P81" i="82"/>
  <c r="AK81" i="82" s="1"/>
  <c r="S26" i="50"/>
  <c r="L82" i="82"/>
  <c r="AG82" i="82" s="1"/>
  <c r="L27" i="50"/>
  <c r="H83" i="82"/>
  <c r="AC83" i="82" s="1"/>
  <c r="E28" i="50"/>
  <c r="X83" i="82"/>
  <c r="AS83" i="82" s="1"/>
  <c r="AG28" i="50"/>
  <c r="T85" i="82"/>
  <c r="AO85" i="82" s="1"/>
  <c r="Z30" i="50"/>
  <c r="P86" i="82"/>
  <c r="AK86" i="82" s="1"/>
  <c r="S31" i="50"/>
  <c r="L87" i="82"/>
  <c r="AG87" i="82" s="1"/>
  <c r="L32" i="50"/>
  <c r="L89" i="82"/>
  <c r="AG89" i="82" s="1"/>
  <c r="L34" i="50"/>
  <c r="H66" i="82"/>
  <c r="AC66" i="82" s="1"/>
  <c r="E61" i="50"/>
  <c r="X66" i="82"/>
  <c r="AS66" i="82" s="1"/>
  <c r="AG61" i="50"/>
  <c r="BS61" i="50" s="1"/>
  <c r="T67" i="82"/>
  <c r="AO67" i="82" s="1"/>
  <c r="Z62" i="50"/>
  <c r="H91" i="82"/>
  <c r="AC91" i="82" s="1"/>
  <c r="L91" i="82"/>
  <c r="AG91" i="82" s="1"/>
  <c r="P91" i="82"/>
  <c r="AK91" i="82" s="1"/>
  <c r="T91" i="82"/>
  <c r="AO91" i="82" s="1"/>
  <c r="X91" i="82"/>
  <c r="AS91" i="82" s="1"/>
  <c r="T132" i="82"/>
  <c r="AO132" i="82" s="1"/>
  <c r="Z112" i="50"/>
  <c r="P133" i="82"/>
  <c r="AK133" i="82" s="1"/>
  <c r="S113" i="50"/>
  <c r="L134" i="82"/>
  <c r="AG134" i="82" s="1"/>
  <c r="L114" i="50"/>
  <c r="H135" i="82"/>
  <c r="AC135" i="82" s="1"/>
  <c r="E115" i="50"/>
  <c r="X135" i="82"/>
  <c r="AS135" i="82" s="1"/>
  <c r="AG115" i="50"/>
  <c r="T136" i="82"/>
  <c r="AO136" i="82" s="1"/>
  <c r="Z116" i="50"/>
  <c r="P137" i="82"/>
  <c r="AK137" i="82" s="1"/>
  <c r="S117" i="50"/>
  <c r="L138" i="82"/>
  <c r="AG138" i="82" s="1"/>
  <c r="L118" i="50"/>
  <c r="H139" i="82"/>
  <c r="AC139" i="82" s="1"/>
  <c r="E119" i="50"/>
  <c r="X139" i="82"/>
  <c r="AS139" i="82" s="1"/>
  <c r="AG119" i="50"/>
  <c r="T140" i="82"/>
  <c r="AO140" i="82" s="1"/>
  <c r="Z120" i="50"/>
  <c r="P141" i="82"/>
  <c r="AK141" i="82" s="1"/>
  <c r="S121" i="50"/>
  <c r="L142" i="82"/>
  <c r="AG142" i="82" s="1"/>
  <c r="L122" i="50"/>
  <c r="H143" i="82"/>
  <c r="AC143" i="82" s="1"/>
  <c r="E123" i="50"/>
  <c r="X143" i="82"/>
  <c r="AS143" i="82" s="1"/>
  <c r="AG123" i="50"/>
  <c r="T144" i="82"/>
  <c r="AO144" i="82" s="1"/>
  <c r="Z124" i="50"/>
  <c r="P145" i="82"/>
  <c r="AK145" i="82" s="1"/>
  <c r="S125" i="50"/>
  <c r="L146" i="82"/>
  <c r="AG146" i="82" s="1"/>
  <c r="L126" i="50"/>
  <c r="H147" i="82"/>
  <c r="AC147" i="82" s="1"/>
  <c r="E127" i="50"/>
  <c r="X147" i="82"/>
  <c r="AS147" i="82" s="1"/>
  <c r="AG127" i="50"/>
  <c r="T148" i="82"/>
  <c r="AO148" i="82" s="1"/>
  <c r="Z128" i="50"/>
  <c r="P149" i="82"/>
  <c r="AK149" i="82" s="1"/>
  <c r="S129" i="50"/>
  <c r="L150" i="82"/>
  <c r="AG150" i="82" s="1"/>
  <c r="L130" i="50"/>
  <c r="L69" i="82"/>
  <c r="AG69" i="82" s="1"/>
  <c r="L14" i="50"/>
  <c r="AX14" i="50" s="1"/>
  <c r="X70" i="82"/>
  <c r="AS70" i="82" s="1"/>
  <c r="AG15" i="50"/>
  <c r="BS15" i="50" s="1"/>
  <c r="P72" i="82"/>
  <c r="AK72" i="82" s="1"/>
  <c r="S17" i="50"/>
  <c r="T30" i="82"/>
  <c r="AO30" i="82" s="1"/>
  <c r="H85" i="82"/>
  <c r="AC85" i="82" s="1"/>
  <c r="E30" i="50"/>
  <c r="X85" i="82"/>
  <c r="AS85" i="82" s="1"/>
  <c r="AG30" i="50"/>
  <c r="T86" i="82"/>
  <c r="AO86" i="82" s="1"/>
  <c r="Z31" i="50"/>
  <c r="P87" i="82"/>
  <c r="AK87" i="82" s="1"/>
  <c r="S32" i="50"/>
  <c r="P89" i="82"/>
  <c r="AK89" i="82" s="1"/>
  <c r="S34" i="50"/>
  <c r="P66" i="82"/>
  <c r="AK66" i="82" s="1"/>
  <c r="E74" i="82"/>
  <c r="Z74" i="82" s="1"/>
  <c r="U74" i="82"/>
  <c r="AP74" i="82" s="1"/>
  <c r="L85" i="82"/>
  <c r="AG85" i="82" s="1"/>
  <c r="T66" i="82"/>
  <c r="AO66" i="82" s="1"/>
  <c r="Z11" i="50"/>
  <c r="P67" i="82"/>
  <c r="AK67" i="82" s="1"/>
  <c r="S12" i="50"/>
  <c r="AG86" i="50"/>
  <c r="BS86" i="50" s="1"/>
  <c r="P69" i="82"/>
  <c r="AK69" i="82" s="1"/>
  <c r="S14" i="50"/>
  <c r="L70" i="82"/>
  <c r="AG70" i="82" s="1"/>
  <c r="L15" i="50"/>
  <c r="H71" i="82"/>
  <c r="AC71" i="82" s="1"/>
  <c r="E16" i="50"/>
  <c r="X71" i="82"/>
  <c r="AS71" i="82" s="1"/>
  <c r="AG16" i="50"/>
  <c r="T72" i="82"/>
  <c r="AO72" i="82" s="1"/>
  <c r="Z17" i="50"/>
  <c r="P73" i="82"/>
  <c r="AK73" i="82" s="1"/>
  <c r="S18" i="50"/>
  <c r="P75" i="82"/>
  <c r="AK75" i="82" s="1"/>
  <c r="S20" i="50"/>
  <c r="L76" i="82"/>
  <c r="AG76" i="82" s="1"/>
  <c r="L21" i="50"/>
  <c r="H77" i="82"/>
  <c r="AC77" i="82" s="1"/>
  <c r="E22" i="50"/>
  <c r="X77" i="82"/>
  <c r="AS77" i="82" s="1"/>
  <c r="AG22" i="50"/>
  <c r="T78" i="82"/>
  <c r="AO78" i="82" s="1"/>
  <c r="Z23" i="50"/>
  <c r="P79" i="82"/>
  <c r="AK79" i="82" s="1"/>
  <c r="S24" i="50"/>
  <c r="L80" i="82"/>
  <c r="AG80" i="82" s="1"/>
  <c r="L25" i="50"/>
  <c r="H81" i="82"/>
  <c r="AC81" i="82" s="1"/>
  <c r="E26" i="50"/>
  <c r="X81" i="82"/>
  <c r="AS81" i="82" s="1"/>
  <c r="AG26" i="50"/>
  <c r="P83" i="82"/>
  <c r="AK83" i="82" s="1"/>
  <c r="S28" i="50"/>
  <c r="H30" i="82"/>
  <c r="AC30" i="82" s="1"/>
  <c r="H86" i="82"/>
  <c r="AC86" i="82" s="1"/>
  <c r="E31" i="50"/>
  <c r="X86" i="82"/>
  <c r="AS86" i="82" s="1"/>
  <c r="AG31" i="50"/>
  <c r="T87" i="82"/>
  <c r="AO87" i="82" s="1"/>
  <c r="Z32" i="50"/>
  <c r="P36" i="82"/>
  <c r="AK36" i="82" s="1"/>
  <c r="L43" i="82"/>
  <c r="AG43" i="82" s="1"/>
  <c r="L64" i="50"/>
  <c r="H43" i="82"/>
  <c r="AC43" i="82" s="1"/>
  <c r="E65" i="50"/>
  <c r="X43" i="82"/>
  <c r="AS43" i="82" s="1"/>
  <c r="AG65" i="50"/>
  <c r="T43" i="82"/>
  <c r="AO43" i="82" s="1"/>
  <c r="Z66" i="50"/>
  <c r="L73" i="82"/>
  <c r="AG73" i="82" s="1"/>
  <c r="L68" i="50"/>
  <c r="E40" i="82"/>
  <c r="L49" i="82"/>
  <c r="AG49" i="82" s="1"/>
  <c r="L70" i="50"/>
  <c r="H76" i="82"/>
  <c r="AC76" i="82" s="1"/>
  <c r="E71" i="50"/>
  <c r="X76" i="82"/>
  <c r="AS76" i="82" s="1"/>
  <c r="AG71" i="50"/>
  <c r="T77" i="82"/>
  <c r="AO77" i="82" s="1"/>
  <c r="Z72" i="50"/>
  <c r="P78" i="82"/>
  <c r="AK78" i="82" s="1"/>
  <c r="S73" i="50"/>
  <c r="L79" i="82"/>
  <c r="AG79" i="82" s="1"/>
  <c r="L74" i="50"/>
  <c r="H80" i="82"/>
  <c r="AC80" i="82" s="1"/>
  <c r="E75" i="50"/>
  <c r="X80" i="82"/>
  <c r="AS80" i="82" s="1"/>
  <c r="AG75" i="50"/>
  <c r="T81" i="82"/>
  <c r="AO81" i="82" s="1"/>
  <c r="Z76" i="50"/>
  <c r="P82" i="82"/>
  <c r="AK82" i="82" s="1"/>
  <c r="S77" i="50"/>
  <c r="L83" i="82"/>
  <c r="AG83" i="82" s="1"/>
  <c r="L78" i="50"/>
  <c r="E68" i="82"/>
  <c r="Z68" i="82" s="1"/>
  <c r="U68" i="82"/>
  <c r="AP68" i="82" s="1"/>
  <c r="Q68" i="82"/>
  <c r="AL68" i="82" s="1"/>
  <c r="H132" i="82"/>
  <c r="AC132" i="82" s="1"/>
  <c r="X132" i="82"/>
  <c r="AS132" i="82" s="1"/>
  <c r="AG112" i="50"/>
  <c r="BS112" i="50" s="1"/>
  <c r="T133" i="82"/>
  <c r="AO133" i="82" s="1"/>
  <c r="Z113" i="50"/>
  <c r="P134" i="82"/>
  <c r="AK134" i="82" s="1"/>
  <c r="S114" i="50"/>
  <c r="L135" i="82"/>
  <c r="AG135" i="82" s="1"/>
  <c r="L115" i="50"/>
  <c r="H136" i="82"/>
  <c r="AC136" i="82" s="1"/>
  <c r="X136" i="82"/>
  <c r="AS136" i="82" s="1"/>
  <c r="AG116" i="50"/>
  <c r="T137" i="82"/>
  <c r="AO137" i="82" s="1"/>
  <c r="Z117" i="50"/>
  <c r="P138" i="82"/>
  <c r="AK138" i="82" s="1"/>
  <c r="S118" i="50"/>
  <c r="L139" i="82"/>
  <c r="AG139" i="82" s="1"/>
  <c r="L119" i="50"/>
  <c r="H140" i="82"/>
  <c r="AC140" i="82" s="1"/>
  <c r="X140" i="82"/>
  <c r="AS140" i="82" s="1"/>
  <c r="AG120" i="50"/>
  <c r="T141" i="82"/>
  <c r="AO141" i="82" s="1"/>
  <c r="Z121" i="50"/>
  <c r="P142" i="82"/>
  <c r="AK142" i="82" s="1"/>
  <c r="S122" i="50"/>
  <c r="L143" i="82"/>
  <c r="AG143" i="82" s="1"/>
  <c r="L123" i="50"/>
  <c r="H144" i="82"/>
  <c r="AC144" i="82" s="1"/>
  <c r="X144" i="82"/>
  <c r="AS144" i="82" s="1"/>
  <c r="AG124" i="50"/>
  <c r="T145" i="82"/>
  <c r="AO145" i="82" s="1"/>
  <c r="Z125" i="50"/>
  <c r="P146" i="82"/>
  <c r="AK146" i="82" s="1"/>
  <c r="S126" i="50"/>
  <c r="L147" i="82"/>
  <c r="AG147" i="82" s="1"/>
  <c r="L127" i="50"/>
  <c r="H148" i="82"/>
  <c r="AC148" i="82" s="1"/>
  <c r="X148" i="82"/>
  <c r="AS148" i="82" s="1"/>
  <c r="AG128" i="50"/>
  <c r="T149" i="82"/>
  <c r="AO149" i="82" s="1"/>
  <c r="Z129" i="50"/>
  <c r="P150" i="82"/>
  <c r="AK150" i="82" s="1"/>
  <c r="S130" i="50"/>
  <c r="H153" i="82"/>
  <c r="AC153" i="82" s="1"/>
  <c r="E193" i="50"/>
  <c r="AQ193" i="50" s="1"/>
  <c r="X153" i="82"/>
  <c r="AS153" i="82" s="1"/>
  <c r="AG193" i="50"/>
  <c r="T153" i="82"/>
  <c r="AO153" i="82" s="1"/>
  <c r="Z194" i="50"/>
  <c r="BL194" i="50" s="1"/>
  <c r="H175" i="82"/>
  <c r="AC175" i="82" s="1"/>
  <c r="E237" i="50"/>
  <c r="AQ237" i="50" s="1"/>
  <c r="T175" i="82"/>
  <c r="AO175" i="82" s="1"/>
  <c r="Z238" i="50"/>
  <c r="BL238" i="50" s="1"/>
  <c r="L201" i="82"/>
  <c r="AG201" i="82" s="1"/>
  <c r="L240" i="50"/>
  <c r="H202" i="82"/>
  <c r="AC202" i="82" s="1"/>
  <c r="E241" i="50"/>
  <c r="X202" i="82"/>
  <c r="AS202" i="82" s="1"/>
  <c r="AG241" i="50"/>
  <c r="T203" i="82"/>
  <c r="AO203" i="82" s="1"/>
  <c r="Z242" i="50"/>
  <c r="L205" i="82"/>
  <c r="AG205" i="82" s="1"/>
  <c r="L244" i="50"/>
  <c r="X206" i="82"/>
  <c r="AS206" i="82" s="1"/>
  <c r="AG245" i="50"/>
  <c r="T207" i="82"/>
  <c r="AO207" i="82" s="1"/>
  <c r="Z246" i="50"/>
  <c r="P208" i="82"/>
  <c r="AK208" i="82" s="1"/>
  <c r="S247" i="50"/>
  <c r="L209" i="82"/>
  <c r="AG209" i="82" s="1"/>
  <c r="L248" i="50"/>
  <c r="H210" i="82"/>
  <c r="AC210" i="82" s="1"/>
  <c r="E249" i="50"/>
  <c r="T211" i="82"/>
  <c r="AO211" i="82" s="1"/>
  <c r="Z250" i="50"/>
  <c r="S273" i="50"/>
  <c r="BE273" i="50" s="1"/>
  <c r="L213" i="82"/>
  <c r="AG213" i="82" s="1"/>
  <c r="L252" i="50"/>
  <c r="H214" i="82"/>
  <c r="AC214" i="82" s="1"/>
  <c r="E253" i="50"/>
  <c r="X214" i="82"/>
  <c r="AS214" i="82" s="1"/>
  <c r="AG253" i="50"/>
  <c r="P216" i="82"/>
  <c r="AK216" i="82" s="1"/>
  <c r="S255" i="50"/>
  <c r="H218" i="82"/>
  <c r="AC218" i="82" s="1"/>
  <c r="E257" i="50"/>
  <c r="P198" i="82"/>
  <c r="AK198" i="82" s="1"/>
  <c r="T199" i="82"/>
  <c r="AO199" i="82" s="1"/>
  <c r="X200" i="82"/>
  <c r="AS200" i="82" s="1"/>
  <c r="H204" i="82"/>
  <c r="AC204" i="82" s="1"/>
  <c r="X208" i="82"/>
  <c r="AS208" i="82" s="1"/>
  <c r="L211" i="82"/>
  <c r="AG211" i="82" s="1"/>
  <c r="P212" i="82"/>
  <c r="AK212" i="82" s="1"/>
  <c r="T213" i="82"/>
  <c r="AO213" i="82" s="1"/>
  <c r="H216" i="82"/>
  <c r="AC216" i="82" s="1"/>
  <c r="L217" i="82"/>
  <c r="AG217" i="82" s="1"/>
  <c r="P218" i="82"/>
  <c r="AK218" i="82" s="1"/>
  <c r="E200" i="50"/>
  <c r="E212" i="50"/>
  <c r="L132" i="82"/>
  <c r="AG132" i="82" s="1"/>
  <c r="L112" i="50"/>
  <c r="H133" i="82"/>
  <c r="AC133" i="82" s="1"/>
  <c r="E113" i="50"/>
  <c r="X133" i="82"/>
  <c r="AS133" i="82" s="1"/>
  <c r="AG113" i="50"/>
  <c r="T134" i="82"/>
  <c r="AO134" i="82" s="1"/>
  <c r="Z114" i="50"/>
  <c r="P135" i="82"/>
  <c r="AK135" i="82" s="1"/>
  <c r="S115" i="50"/>
  <c r="L136" i="82"/>
  <c r="AG136" i="82" s="1"/>
  <c r="L116" i="50"/>
  <c r="H137" i="82"/>
  <c r="AC137" i="82" s="1"/>
  <c r="E117" i="50"/>
  <c r="X137" i="82"/>
  <c r="AS137" i="82" s="1"/>
  <c r="AG117" i="50"/>
  <c r="T138" i="82"/>
  <c r="AO138" i="82" s="1"/>
  <c r="Z118" i="50"/>
  <c r="P139" i="82"/>
  <c r="AK139" i="82" s="1"/>
  <c r="S119" i="50"/>
  <c r="L140" i="82"/>
  <c r="AG140" i="82" s="1"/>
  <c r="L120" i="50"/>
  <c r="H141" i="82"/>
  <c r="AC141" i="82" s="1"/>
  <c r="E121" i="50"/>
  <c r="X141" i="82"/>
  <c r="AS141" i="82" s="1"/>
  <c r="AG121" i="50"/>
  <c r="T142" i="82"/>
  <c r="AO142" i="82" s="1"/>
  <c r="Z122" i="50"/>
  <c r="P143" i="82"/>
  <c r="AK143" i="82" s="1"/>
  <c r="S123" i="50"/>
  <c r="L144" i="82"/>
  <c r="AG144" i="82" s="1"/>
  <c r="L124" i="50"/>
  <c r="H145" i="82"/>
  <c r="AC145" i="82" s="1"/>
  <c r="E125" i="50"/>
  <c r="X145" i="82"/>
  <c r="AS145" i="82" s="1"/>
  <c r="AG125" i="50"/>
  <c r="T146" i="82"/>
  <c r="AO146" i="82" s="1"/>
  <c r="Z126" i="50"/>
  <c r="P147" i="82"/>
  <c r="AK147" i="82" s="1"/>
  <c r="S127" i="50"/>
  <c r="L148" i="82"/>
  <c r="AG148" i="82" s="1"/>
  <c r="L128" i="50"/>
  <c r="H149" i="82"/>
  <c r="AC149" i="82" s="1"/>
  <c r="E129" i="50"/>
  <c r="X149" i="82"/>
  <c r="AS149" i="82" s="1"/>
  <c r="AG129" i="50"/>
  <c r="T150" i="82"/>
  <c r="AO150" i="82" s="1"/>
  <c r="Z130" i="50"/>
  <c r="E131" i="82"/>
  <c r="Z131" i="82" s="1"/>
  <c r="U131" i="82"/>
  <c r="AP131" i="82" s="1"/>
  <c r="H199" i="82"/>
  <c r="AC199" i="82" s="1"/>
  <c r="E194" i="50"/>
  <c r="X199" i="82"/>
  <c r="AS199" i="82" s="1"/>
  <c r="AG194" i="50"/>
  <c r="T200" i="82"/>
  <c r="AO200" i="82" s="1"/>
  <c r="Z195" i="50"/>
  <c r="P201" i="82"/>
  <c r="AK201" i="82" s="1"/>
  <c r="S196" i="50"/>
  <c r="L202" i="82"/>
  <c r="AG202" i="82" s="1"/>
  <c r="L197" i="50"/>
  <c r="H203" i="82"/>
  <c r="AC203" i="82" s="1"/>
  <c r="E198" i="50"/>
  <c r="X203" i="82"/>
  <c r="AS203" i="82" s="1"/>
  <c r="AG198" i="50"/>
  <c r="T204" i="82"/>
  <c r="AO204" i="82" s="1"/>
  <c r="Z199" i="50"/>
  <c r="P205" i="82"/>
  <c r="AK205" i="82" s="1"/>
  <c r="S200" i="50"/>
  <c r="L206" i="82"/>
  <c r="AG206" i="82" s="1"/>
  <c r="L201" i="50"/>
  <c r="H207" i="82"/>
  <c r="AC207" i="82" s="1"/>
  <c r="E202" i="50"/>
  <c r="X207" i="82"/>
  <c r="AS207" i="82" s="1"/>
  <c r="AG202" i="50"/>
  <c r="T208" i="82"/>
  <c r="AO208" i="82" s="1"/>
  <c r="Z203" i="50"/>
  <c r="P209" i="82"/>
  <c r="AK209" i="82" s="1"/>
  <c r="S204" i="50"/>
  <c r="L210" i="82"/>
  <c r="AG210" i="82" s="1"/>
  <c r="L205" i="50"/>
  <c r="H211" i="82"/>
  <c r="AC211" i="82" s="1"/>
  <c r="E206" i="50"/>
  <c r="X211" i="82"/>
  <c r="AS211" i="82" s="1"/>
  <c r="AG206" i="50"/>
  <c r="T212" i="82"/>
  <c r="AO212" i="82" s="1"/>
  <c r="Z207" i="50"/>
  <c r="P213" i="82"/>
  <c r="AK213" i="82" s="1"/>
  <c r="S208" i="50"/>
  <c r="L214" i="82"/>
  <c r="AG214" i="82" s="1"/>
  <c r="L209" i="50"/>
  <c r="H215" i="82"/>
  <c r="AC215" i="82" s="1"/>
  <c r="E210" i="50"/>
  <c r="X215" i="82"/>
  <c r="AS215" i="82" s="1"/>
  <c r="AG210" i="50"/>
  <c r="T216" i="82"/>
  <c r="AO216" i="82" s="1"/>
  <c r="Z211" i="50"/>
  <c r="P217" i="82"/>
  <c r="AK217" i="82" s="1"/>
  <c r="S212" i="50"/>
  <c r="L218" i="82"/>
  <c r="AG218" i="82" s="1"/>
  <c r="L213" i="50"/>
  <c r="H198" i="82"/>
  <c r="AC198" i="82" s="1"/>
  <c r="Q197" i="82"/>
  <c r="AL197" i="82" s="1"/>
  <c r="L199" i="82"/>
  <c r="AG199" i="82" s="1"/>
  <c r="T201" i="82"/>
  <c r="AO201" i="82" s="1"/>
  <c r="P206" i="82"/>
  <c r="AK206" i="82" s="1"/>
  <c r="T209" i="82"/>
  <c r="AO209" i="82" s="1"/>
  <c r="X210" i="82"/>
  <c r="AS210" i="82" s="1"/>
  <c r="H212" i="82"/>
  <c r="AC212" i="82" s="1"/>
  <c r="P214" i="82"/>
  <c r="AK214" i="82" s="1"/>
  <c r="T215" i="82"/>
  <c r="AO215" i="82" s="1"/>
  <c r="X216" i="82"/>
  <c r="AS216" i="82" s="1"/>
  <c r="E116" i="50"/>
  <c r="E124" i="50"/>
  <c r="E195" i="50"/>
  <c r="E203" i="50"/>
  <c r="Z266" i="50"/>
  <c r="BL266" i="50" s="1"/>
  <c r="P202" i="82"/>
  <c r="AK202" i="82" s="1"/>
  <c r="X204" i="82"/>
  <c r="AS204" i="82" s="1"/>
  <c r="H206" i="82"/>
  <c r="AC206" i="82" s="1"/>
  <c r="L207" i="82"/>
  <c r="AG207" i="82" s="1"/>
  <c r="P210" i="82"/>
  <c r="AK210" i="82" s="1"/>
  <c r="L215" i="82"/>
  <c r="AG215" i="82" s="1"/>
  <c r="E196" i="50"/>
  <c r="E204" i="50"/>
  <c r="I131" i="82"/>
  <c r="AD131" i="82" s="1"/>
  <c r="Q131" i="82"/>
  <c r="AL131" i="82" s="1"/>
  <c r="T198" i="82"/>
  <c r="AO198" i="82" s="1"/>
  <c r="Z193" i="50"/>
  <c r="BL193" i="50" s="1"/>
  <c r="P199" i="82"/>
  <c r="AK199" i="82" s="1"/>
  <c r="S194" i="50"/>
  <c r="L200" i="82"/>
  <c r="AG200" i="82" s="1"/>
  <c r="L195" i="50"/>
  <c r="X201" i="82"/>
  <c r="AS201" i="82" s="1"/>
  <c r="AG196" i="50"/>
  <c r="T202" i="82"/>
  <c r="AO202" i="82" s="1"/>
  <c r="Z197" i="50"/>
  <c r="P203" i="82"/>
  <c r="AK203" i="82" s="1"/>
  <c r="S198" i="50"/>
  <c r="L204" i="82"/>
  <c r="AG204" i="82" s="1"/>
  <c r="L199" i="50"/>
  <c r="X205" i="82"/>
  <c r="AS205" i="82" s="1"/>
  <c r="AG200" i="50"/>
  <c r="T206" i="82"/>
  <c r="AO206" i="82" s="1"/>
  <c r="Z201" i="50"/>
  <c r="P207" i="82"/>
  <c r="AK207" i="82" s="1"/>
  <c r="S202" i="50"/>
  <c r="L208" i="82"/>
  <c r="AG208" i="82" s="1"/>
  <c r="L203" i="50"/>
  <c r="X209" i="82"/>
  <c r="AS209" i="82" s="1"/>
  <c r="AG204" i="50"/>
  <c r="T210" i="82"/>
  <c r="AO210" i="82" s="1"/>
  <c r="Z205" i="50"/>
  <c r="P211" i="82"/>
  <c r="AK211" i="82" s="1"/>
  <c r="S206" i="50"/>
  <c r="L212" i="82"/>
  <c r="AG212" i="82" s="1"/>
  <c r="L207" i="50"/>
  <c r="X213" i="82"/>
  <c r="AS213" i="82" s="1"/>
  <c r="AG208" i="50"/>
  <c r="T214" i="82"/>
  <c r="AO214" i="82" s="1"/>
  <c r="Z209" i="50"/>
  <c r="P215" i="82"/>
  <c r="AK215" i="82" s="1"/>
  <c r="S210" i="50"/>
  <c r="L216" i="82"/>
  <c r="AG216" i="82" s="1"/>
  <c r="L211" i="50"/>
  <c r="X217" i="82"/>
  <c r="AS217" i="82" s="1"/>
  <c r="AG212" i="50"/>
  <c r="T218" i="82"/>
  <c r="AO218" i="82" s="1"/>
  <c r="Z213" i="50"/>
  <c r="L203" i="82"/>
  <c r="AG203" i="82" s="1"/>
  <c r="P204" i="82"/>
  <c r="AK204" i="82" s="1"/>
  <c r="T205" i="82"/>
  <c r="AO205" i="82" s="1"/>
  <c r="X212" i="82"/>
  <c r="AS212" i="82" s="1"/>
  <c r="T217" i="82"/>
  <c r="AO217" i="82" s="1"/>
  <c r="X218" i="82"/>
  <c r="AS218" i="82" s="1"/>
  <c r="E112" i="50"/>
  <c r="E120" i="50"/>
  <c r="E128" i="50"/>
  <c r="E208" i="50"/>
  <c r="K36" i="7"/>
  <c r="K58" i="7"/>
  <c r="Z38" i="50"/>
  <c r="BL38" i="50" s="1"/>
  <c r="Z44" i="50"/>
  <c r="BL44" i="50" s="1"/>
  <c r="Z214" i="50"/>
  <c r="BL214" i="50" s="1"/>
  <c r="B71" i="85" s="1"/>
  <c r="AG38" i="50"/>
  <c r="BS38" i="50" s="1"/>
  <c r="AG44" i="50"/>
  <c r="BS44" i="50" s="1"/>
  <c r="AG131" i="50"/>
  <c r="BS131" i="50" s="1"/>
  <c r="B90" i="85" s="1"/>
  <c r="AG214" i="50"/>
  <c r="BS214" i="50" s="1"/>
  <c r="B95" i="85" s="1"/>
  <c r="C69" i="7"/>
  <c r="C47" i="7"/>
  <c r="Z27" i="50"/>
  <c r="L44" i="50"/>
  <c r="AX44" i="50" s="1"/>
  <c r="L131" i="50"/>
  <c r="AX131" i="50" s="1"/>
  <c r="B30" i="85" s="1"/>
  <c r="L75" i="82"/>
  <c r="AG75" i="82" s="1"/>
  <c r="E11" i="82"/>
  <c r="I11" i="82"/>
  <c r="M11" i="82"/>
  <c r="Q11" i="82"/>
  <c r="U11" i="82"/>
  <c r="H20" i="82"/>
  <c r="AC20" i="82" s="1"/>
  <c r="L20" i="82"/>
  <c r="AG20" i="82" s="1"/>
  <c r="P20" i="82"/>
  <c r="AK20" i="82" s="1"/>
  <c r="T20" i="82"/>
  <c r="AO20" i="82" s="1"/>
  <c r="X20" i="82"/>
  <c r="AS20" i="82" s="1"/>
  <c r="P30" i="82"/>
  <c r="AK30" i="82" s="1"/>
  <c r="P43" i="82"/>
  <c r="AK43" i="82" s="1"/>
  <c r="P49" i="82"/>
  <c r="AK49" i="82" s="1"/>
  <c r="M74" i="82"/>
  <c r="AH74" i="82" s="1"/>
  <c r="T71" i="82"/>
  <c r="AO71" i="82" s="1"/>
  <c r="H70" i="82"/>
  <c r="AC70" i="82" s="1"/>
  <c r="X36" i="82"/>
  <c r="AS36" i="82" s="1"/>
  <c r="H49" i="82"/>
  <c r="AC49" i="82" s="1"/>
  <c r="X49" i="82"/>
  <c r="AS49" i="82" s="1"/>
  <c r="T49" i="82"/>
  <c r="AO49" i="82" s="1"/>
  <c r="M68" i="82"/>
  <c r="AH68" i="82" s="1"/>
  <c r="X175" i="82"/>
  <c r="AS175" i="82" s="1"/>
  <c r="X198" i="82"/>
  <c r="AS198" i="82" s="1"/>
  <c r="P175" i="82"/>
  <c r="AK175" i="82" s="1"/>
  <c r="P200" i="82"/>
  <c r="AK200" i="82" s="1"/>
  <c r="L198" i="82"/>
  <c r="AG198" i="82" s="1"/>
  <c r="L153" i="82"/>
  <c r="AG153" i="82" s="1"/>
  <c r="L175" i="82"/>
  <c r="AG175" i="82" s="1"/>
  <c r="A232" i="82"/>
  <c r="A231" i="82"/>
  <c r="A230" i="82"/>
  <c r="I8" i="82"/>
  <c r="M8" i="82" s="1"/>
  <c r="Q8" i="82" s="1"/>
  <c r="U8" i="82" s="1"/>
  <c r="T89" i="82"/>
  <c r="AO89" i="82" s="1"/>
  <c r="P153" i="82"/>
  <c r="AK153" i="82" s="1"/>
  <c r="F220" i="82" l="1"/>
  <c r="AA220" i="82" s="1"/>
  <c r="M220" i="82"/>
  <c r="AH220" i="82" s="1"/>
  <c r="L151" i="50"/>
  <c r="AX151" i="50" s="1"/>
  <c r="B31" i="85" s="1"/>
  <c r="L272" i="50"/>
  <c r="AX272" i="50" s="1"/>
  <c r="AG279" i="50"/>
  <c r="BS279" i="50" s="1"/>
  <c r="AG186" i="50"/>
  <c r="BS186" i="50" s="1"/>
  <c r="BS211" i="50"/>
  <c r="I220" i="82"/>
  <c r="AD220" i="82" s="1"/>
  <c r="L105" i="50"/>
  <c r="AX105" i="50" s="1"/>
  <c r="J220" i="82"/>
  <c r="AE220" i="82" s="1"/>
  <c r="BS205" i="50"/>
  <c r="BE199" i="50"/>
  <c r="Z278" i="50"/>
  <c r="BL278" i="50" s="1"/>
  <c r="BE205" i="50"/>
  <c r="R220" i="82"/>
  <c r="AM220" i="82" s="1"/>
  <c r="S86" i="50"/>
  <c r="BE86" i="50" s="1"/>
  <c r="AG265" i="50"/>
  <c r="BS265" i="50" s="1"/>
  <c r="S151" i="50"/>
  <c r="BE151" i="50" s="1"/>
  <c r="B49" i="85" s="1"/>
  <c r="V220" i="82"/>
  <c r="AQ220" i="82" s="1"/>
  <c r="W220" i="82"/>
  <c r="AR220" i="82" s="1"/>
  <c r="Z262" i="50"/>
  <c r="BL262" i="50" s="1"/>
  <c r="Z270" i="50"/>
  <c r="BL270" i="50" s="1"/>
  <c r="L268" i="50"/>
  <c r="AX268" i="50" s="1"/>
  <c r="L264" i="50"/>
  <c r="AX264" i="50" s="1"/>
  <c r="E151" i="50"/>
  <c r="AQ151" i="50" s="1"/>
  <c r="B13" i="85" s="1"/>
  <c r="Z151" i="50"/>
  <c r="BL151" i="50" s="1"/>
  <c r="B67" i="85" s="1"/>
  <c r="AG269" i="50"/>
  <c r="BS269" i="50" s="1"/>
  <c r="G220" i="82"/>
  <c r="AB220" i="82" s="1"/>
  <c r="B113" i="85"/>
  <c r="O220" i="82"/>
  <c r="AJ220" i="82" s="1"/>
  <c r="L259" i="50"/>
  <c r="AX259" i="50" s="1"/>
  <c r="B108" i="85"/>
  <c r="Q220" i="82"/>
  <c r="AL220" i="82" s="1"/>
  <c r="L276" i="50"/>
  <c r="AX276" i="50" s="1"/>
  <c r="AG261" i="50"/>
  <c r="BS261" i="50" s="1"/>
  <c r="AG151" i="50"/>
  <c r="BS151" i="50" s="1"/>
  <c r="B91" i="85" s="1"/>
  <c r="S63" i="50"/>
  <c r="BE63" i="50" s="1"/>
  <c r="E277" i="50"/>
  <c r="AQ277" i="50" s="1"/>
  <c r="Z274" i="50"/>
  <c r="BL274" i="50" s="1"/>
  <c r="L278" i="50"/>
  <c r="AX278" i="50" s="1"/>
  <c r="S261" i="50"/>
  <c r="BE261" i="50" s="1"/>
  <c r="S275" i="50"/>
  <c r="BE275" i="50" s="1"/>
  <c r="S259" i="50"/>
  <c r="BE259" i="50" s="1"/>
  <c r="AG273" i="50"/>
  <c r="BS273" i="50" s="1"/>
  <c r="S267" i="50"/>
  <c r="BE267" i="50" s="1"/>
  <c r="AG185" i="50"/>
  <c r="BS185" i="50" s="1"/>
  <c r="BS125" i="50"/>
  <c r="S178" i="50"/>
  <c r="BE178" i="50" s="1"/>
  <c r="BE118" i="50"/>
  <c r="S93" i="50"/>
  <c r="BE93" i="50" s="1"/>
  <c r="BE18" i="50"/>
  <c r="S97" i="50"/>
  <c r="BE97" i="50" s="1"/>
  <c r="BE22" i="50"/>
  <c r="L181" i="50"/>
  <c r="AX181" i="50" s="1"/>
  <c r="AX121" i="50"/>
  <c r="E102" i="50"/>
  <c r="AQ102" i="50" s="1"/>
  <c r="AQ27" i="50"/>
  <c r="U219" i="82"/>
  <c r="AP219" i="82" s="1"/>
  <c r="AP11" i="82"/>
  <c r="E262" i="50"/>
  <c r="AQ262" i="50" s="1"/>
  <c r="AQ196" i="50"/>
  <c r="E184" i="50"/>
  <c r="AQ184" i="50" s="1"/>
  <c r="AQ124" i="50"/>
  <c r="L188" i="50"/>
  <c r="AX188" i="50" s="1"/>
  <c r="AX128" i="50"/>
  <c r="E185" i="50"/>
  <c r="AQ185" i="50" s="1"/>
  <c r="AQ125" i="50"/>
  <c r="AG181" i="50"/>
  <c r="BS181" i="50" s="1"/>
  <c r="BS121" i="50"/>
  <c r="Z178" i="50"/>
  <c r="BL178" i="50" s="1"/>
  <c r="BL118" i="50"/>
  <c r="S175" i="50"/>
  <c r="BE175" i="50" s="1"/>
  <c r="BE115" i="50"/>
  <c r="L172" i="50"/>
  <c r="AX172" i="50" s="1"/>
  <c r="AX112" i="50"/>
  <c r="L274" i="50"/>
  <c r="AX274" i="50" s="1"/>
  <c r="AX252" i="50"/>
  <c r="AG188" i="50"/>
  <c r="BS188" i="50" s="1"/>
  <c r="BS128" i="50"/>
  <c r="Z181" i="50"/>
  <c r="BL181" i="50" s="1"/>
  <c r="BL121" i="50"/>
  <c r="S174" i="50"/>
  <c r="BE174" i="50" s="1"/>
  <c r="BE114" i="50"/>
  <c r="AG100" i="50"/>
  <c r="BS100" i="50" s="1"/>
  <c r="BS75" i="50"/>
  <c r="Z97" i="50"/>
  <c r="BL97" i="50" s="1"/>
  <c r="BL72" i="50"/>
  <c r="E220" i="82"/>
  <c r="Z220" i="82" s="1"/>
  <c r="Z40" i="82"/>
  <c r="E106" i="50"/>
  <c r="AQ106" i="50" s="1"/>
  <c r="AQ31" i="50"/>
  <c r="Z106" i="50"/>
  <c r="BL106" i="50" s="1"/>
  <c r="BL31" i="50"/>
  <c r="S189" i="50"/>
  <c r="BE189" i="50" s="1"/>
  <c r="BE129" i="50"/>
  <c r="L186" i="50"/>
  <c r="AX186" i="50" s="1"/>
  <c r="AX126" i="50"/>
  <c r="E183" i="50"/>
  <c r="AQ183" i="50" s="1"/>
  <c r="AQ123" i="50"/>
  <c r="AG179" i="50"/>
  <c r="BS179" i="50" s="1"/>
  <c r="BS119" i="50"/>
  <c r="Z176" i="50"/>
  <c r="BL176" i="50" s="1"/>
  <c r="BL116" i="50"/>
  <c r="S173" i="50"/>
  <c r="BE173" i="50" s="1"/>
  <c r="BE113" i="50"/>
  <c r="E109" i="50"/>
  <c r="AQ109" i="50" s="1"/>
  <c r="AQ34" i="50"/>
  <c r="L84" i="82"/>
  <c r="AG84" i="82" s="1"/>
  <c r="AG30" i="82"/>
  <c r="X84" i="82"/>
  <c r="AS84" i="82" s="1"/>
  <c r="AS30" i="82"/>
  <c r="E265" i="50"/>
  <c r="AQ265" i="50" s="1"/>
  <c r="AQ199" i="50"/>
  <c r="E269" i="50"/>
  <c r="AQ269" i="50" s="1"/>
  <c r="AQ203" i="50"/>
  <c r="S179" i="50"/>
  <c r="BE179" i="50" s="1"/>
  <c r="BE119" i="50"/>
  <c r="S182" i="50"/>
  <c r="BE182" i="50" s="1"/>
  <c r="BE122" i="50"/>
  <c r="S69" i="50"/>
  <c r="BE69" i="50" s="1"/>
  <c r="BE73" i="50"/>
  <c r="S107" i="50"/>
  <c r="BE107" i="50" s="1"/>
  <c r="BE32" i="50"/>
  <c r="E87" i="50"/>
  <c r="AQ87" i="50" s="1"/>
  <c r="AQ12" i="50"/>
  <c r="E176" i="50"/>
  <c r="AQ176" i="50" s="1"/>
  <c r="AQ116" i="50"/>
  <c r="E268" i="50"/>
  <c r="AQ268" i="50" s="1"/>
  <c r="AQ202" i="50"/>
  <c r="S269" i="50"/>
  <c r="BE269" i="50" s="1"/>
  <c r="BE247" i="50"/>
  <c r="Z264" i="50"/>
  <c r="BL264" i="50" s="1"/>
  <c r="BL242" i="50"/>
  <c r="AG184" i="50"/>
  <c r="BS184" i="50" s="1"/>
  <c r="BS124" i="50"/>
  <c r="Z177" i="50"/>
  <c r="BL177" i="50" s="1"/>
  <c r="BL117" i="50"/>
  <c r="L93" i="50"/>
  <c r="AX93" i="50" s="1"/>
  <c r="AX68" i="50"/>
  <c r="L63" i="50"/>
  <c r="AX63" i="50" s="1"/>
  <c r="AX64" i="50"/>
  <c r="L100" i="50"/>
  <c r="AX100" i="50" s="1"/>
  <c r="AX25" i="50"/>
  <c r="E97" i="50"/>
  <c r="AQ97" i="50" s="1"/>
  <c r="AQ22" i="50"/>
  <c r="Z92" i="50"/>
  <c r="BL92" i="50" s="1"/>
  <c r="BL17" i="50"/>
  <c r="S89" i="50"/>
  <c r="BE89" i="50" s="1"/>
  <c r="BE14" i="50"/>
  <c r="Z87" i="50"/>
  <c r="BL87" i="50" s="1"/>
  <c r="BL62" i="50"/>
  <c r="L107" i="50"/>
  <c r="AX107" i="50" s="1"/>
  <c r="AX32" i="50"/>
  <c r="E103" i="50"/>
  <c r="AQ103" i="50" s="1"/>
  <c r="AQ28" i="50"/>
  <c r="AG99" i="50"/>
  <c r="BS99" i="50" s="1"/>
  <c r="BS24" i="50"/>
  <c r="Z96" i="50"/>
  <c r="BL96" i="50" s="1"/>
  <c r="BL21" i="50"/>
  <c r="E93" i="50"/>
  <c r="AQ93" i="50" s="1"/>
  <c r="AQ18" i="50"/>
  <c r="AG89" i="50"/>
  <c r="BS89" i="50" s="1"/>
  <c r="BS14" i="50"/>
  <c r="E190" i="50"/>
  <c r="AQ190" i="50" s="1"/>
  <c r="AQ130" i="50"/>
  <c r="Z183" i="50"/>
  <c r="BL183" i="50" s="1"/>
  <c r="BL123" i="50"/>
  <c r="S180" i="50"/>
  <c r="BE180" i="50" s="1"/>
  <c r="BE120" i="50"/>
  <c r="L177" i="50"/>
  <c r="AX177" i="50" s="1"/>
  <c r="AX117" i="50"/>
  <c r="E174" i="50"/>
  <c r="AQ174" i="50" s="1"/>
  <c r="AQ114" i="50"/>
  <c r="S105" i="50"/>
  <c r="BE105" i="50" s="1"/>
  <c r="BE30" i="50"/>
  <c r="L101" i="50"/>
  <c r="AX101" i="50" s="1"/>
  <c r="AX26" i="50"/>
  <c r="E98" i="50"/>
  <c r="AQ98" i="50" s="1"/>
  <c r="AQ23" i="50"/>
  <c r="Z93" i="50"/>
  <c r="BL93" i="50" s="1"/>
  <c r="BL18" i="50"/>
  <c r="S90" i="50"/>
  <c r="BE90" i="50" s="1"/>
  <c r="BE15" i="50"/>
  <c r="L86" i="50"/>
  <c r="AX86" i="50" s="1"/>
  <c r="AX11" i="50"/>
  <c r="R219" i="82"/>
  <c r="AM219" i="82" s="1"/>
  <c r="AM11" i="82"/>
  <c r="Z182" i="50"/>
  <c r="BL182" i="50" s="1"/>
  <c r="BL122" i="50"/>
  <c r="E275" i="50"/>
  <c r="AQ275" i="50" s="1"/>
  <c r="AQ253" i="50"/>
  <c r="L95" i="50"/>
  <c r="AX95" i="50" s="1"/>
  <c r="AX70" i="50"/>
  <c r="Z86" i="50"/>
  <c r="BL86" i="50" s="1"/>
  <c r="BL11" i="50"/>
  <c r="E187" i="50"/>
  <c r="AQ187" i="50" s="1"/>
  <c r="AQ127" i="50"/>
  <c r="L174" i="50"/>
  <c r="AX174" i="50" s="1"/>
  <c r="AX114" i="50"/>
  <c r="L262" i="50"/>
  <c r="AX262" i="50" s="1"/>
  <c r="AX240" i="50"/>
  <c r="AG97" i="50"/>
  <c r="BS97" i="50" s="1"/>
  <c r="BS22" i="50"/>
  <c r="AG93" i="50"/>
  <c r="BS93" i="50" s="1"/>
  <c r="BS18" i="50"/>
  <c r="L91" i="50"/>
  <c r="AX91" i="50" s="1"/>
  <c r="AX16" i="50"/>
  <c r="E274" i="50"/>
  <c r="AQ274" i="50" s="1"/>
  <c r="AQ208" i="50"/>
  <c r="Z190" i="50"/>
  <c r="BL190" i="50" s="1"/>
  <c r="BL130" i="50"/>
  <c r="S187" i="50"/>
  <c r="BE187" i="50" s="1"/>
  <c r="BE127" i="50"/>
  <c r="L184" i="50"/>
  <c r="AX184" i="50" s="1"/>
  <c r="AX124" i="50"/>
  <c r="E181" i="50"/>
  <c r="AQ181" i="50" s="1"/>
  <c r="AQ121" i="50"/>
  <c r="AG177" i="50"/>
  <c r="BS177" i="50" s="1"/>
  <c r="BS117" i="50"/>
  <c r="Z174" i="50"/>
  <c r="BL174" i="50" s="1"/>
  <c r="BL114" i="50"/>
  <c r="E278" i="50"/>
  <c r="AQ278" i="50" s="1"/>
  <c r="AQ212" i="50"/>
  <c r="S277" i="50"/>
  <c r="BE277" i="50" s="1"/>
  <c r="BE255" i="50"/>
  <c r="AG180" i="50"/>
  <c r="BS180" i="50" s="1"/>
  <c r="BS120" i="50"/>
  <c r="Z173" i="50"/>
  <c r="BL173" i="50" s="1"/>
  <c r="BL113" i="50"/>
  <c r="L103" i="50"/>
  <c r="AX103" i="50" s="1"/>
  <c r="AX78" i="50"/>
  <c r="E100" i="50"/>
  <c r="AQ100" i="50" s="1"/>
  <c r="AQ75" i="50"/>
  <c r="AG96" i="50"/>
  <c r="BS96" i="50" s="1"/>
  <c r="BS71" i="50"/>
  <c r="AG105" i="50"/>
  <c r="BS105" i="50" s="1"/>
  <c r="BS30" i="50"/>
  <c r="Z188" i="50"/>
  <c r="BL188" i="50" s="1"/>
  <c r="BL128" i="50"/>
  <c r="S185" i="50"/>
  <c r="BE185" i="50" s="1"/>
  <c r="BE125" i="50"/>
  <c r="L182" i="50"/>
  <c r="AX182" i="50" s="1"/>
  <c r="AX122" i="50"/>
  <c r="E179" i="50"/>
  <c r="AQ179" i="50" s="1"/>
  <c r="AQ119" i="50"/>
  <c r="AG175" i="50"/>
  <c r="BS175" i="50" s="1"/>
  <c r="BS115" i="50"/>
  <c r="Z172" i="50"/>
  <c r="BL172" i="50" s="1"/>
  <c r="BL112" i="50"/>
  <c r="W219" i="82"/>
  <c r="AR219" i="82" s="1"/>
  <c r="AR11" i="82"/>
  <c r="S219" i="82"/>
  <c r="AN219" i="82" s="1"/>
  <c r="AN11" i="82"/>
  <c r="BS207" i="50"/>
  <c r="L176" i="50"/>
  <c r="AX176" i="50" s="1"/>
  <c r="AX116" i="50"/>
  <c r="Z189" i="50"/>
  <c r="BL189" i="50" s="1"/>
  <c r="BL129" i="50"/>
  <c r="Z101" i="50"/>
  <c r="BL101" i="50" s="1"/>
  <c r="BL76" i="50"/>
  <c r="AG183" i="50"/>
  <c r="BS183" i="50" s="1"/>
  <c r="BS123" i="50"/>
  <c r="E279" i="50"/>
  <c r="AQ279" i="50" s="1"/>
  <c r="AQ257" i="50"/>
  <c r="E90" i="50"/>
  <c r="AQ90" i="50" s="1"/>
  <c r="AQ65" i="50"/>
  <c r="L109" i="50"/>
  <c r="AX109" i="50" s="1"/>
  <c r="AX34" i="50"/>
  <c r="Z90" i="50"/>
  <c r="BL90" i="50" s="1"/>
  <c r="BL15" i="50"/>
  <c r="S184" i="50"/>
  <c r="BE184" i="50" s="1"/>
  <c r="BE124" i="50"/>
  <c r="E178" i="50"/>
  <c r="AQ178" i="50" s="1"/>
  <c r="AQ118" i="50"/>
  <c r="AG98" i="50"/>
  <c r="BS98" i="50" s="1"/>
  <c r="BS23" i="50"/>
  <c r="G219" i="82"/>
  <c r="AB219" i="82" s="1"/>
  <c r="AB11" i="82"/>
  <c r="I219" i="82"/>
  <c r="AD219" i="82" s="1"/>
  <c r="AD11" i="82"/>
  <c r="E180" i="50"/>
  <c r="AQ180" i="50" s="1"/>
  <c r="AQ120" i="50"/>
  <c r="E264" i="50"/>
  <c r="AQ264" i="50" s="1"/>
  <c r="AQ198" i="50"/>
  <c r="E266" i="50"/>
  <c r="AQ266" i="50" s="1"/>
  <c r="AQ200" i="50"/>
  <c r="Z272" i="50"/>
  <c r="BL272" i="50" s="1"/>
  <c r="BL250" i="50"/>
  <c r="Z268" i="50"/>
  <c r="BL268" i="50" s="1"/>
  <c r="BL246" i="50"/>
  <c r="AG263" i="50"/>
  <c r="BS263" i="50" s="1"/>
  <c r="BS241" i="50"/>
  <c r="L187" i="50"/>
  <c r="AX187" i="50" s="1"/>
  <c r="AX127" i="50"/>
  <c r="AG176" i="50"/>
  <c r="BS176" i="50" s="1"/>
  <c r="BS116" i="50"/>
  <c r="Z63" i="50"/>
  <c r="BL63" i="50" s="1"/>
  <c r="BL66" i="50"/>
  <c r="S103" i="50"/>
  <c r="BE103" i="50" s="1"/>
  <c r="BE28" i="50"/>
  <c r="S99" i="50"/>
  <c r="BE99" i="50" s="1"/>
  <c r="BE24" i="50"/>
  <c r="L96" i="50"/>
  <c r="AX96" i="50" s="1"/>
  <c r="AX21" i="50"/>
  <c r="AG91" i="50"/>
  <c r="BS91" i="50" s="1"/>
  <c r="BS16" i="50"/>
  <c r="S106" i="50"/>
  <c r="BE106" i="50" s="1"/>
  <c r="BE31" i="50"/>
  <c r="L102" i="50"/>
  <c r="AX102" i="50" s="1"/>
  <c r="AX27" i="50"/>
  <c r="E99" i="50"/>
  <c r="AQ99" i="50" s="1"/>
  <c r="AQ24" i="50"/>
  <c r="AG95" i="50"/>
  <c r="BS95" i="50" s="1"/>
  <c r="BS20" i="50"/>
  <c r="L92" i="50"/>
  <c r="AX92" i="50" s="1"/>
  <c r="AX17" i="50"/>
  <c r="E89" i="50"/>
  <c r="AQ89" i="50" s="1"/>
  <c r="AQ14" i="50"/>
  <c r="L189" i="50"/>
  <c r="AX189" i="50" s="1"/>
  <c r="AX129" i="50"/>
  <c r="E186" i="50"/>
  <c r="AQ186" i="50" s="1"/>
  <c r="AQ126" i="50"/>
  <c r="AG182" i="50"/>
  <c r="BS182" i="50" s="1"/>
  <c r="BS122" i="50"/>
  <c r="Z179" i="50"/>
  <c r="BL179" i="50" s="1"/>
  <c r="BL119" i="50"/>
  <c r="S176" i="50"/>
  <c r="BE176" i="50" s="1"/>
  <c r="BE116" i="50"/>
  <c r="L173" i="50"/>
  <c r="AX173" i="50" s="1"/>
  <c r="AX113" i="50"/>
  <c r="Z103" i="50"/>
  <c r="BL103" i="50" s="1"/>
  <c r="BL28" i="50"/>
  <c r="S100" i="50"/>
  <c r="BE100" i="50" s="1"/>
  <c r="BE25" i="50"/>
  <c r="L97" i="50"/>
  <c r="AX97" i="50" s="1"/>
  <c r="AX22" i="50"/>
  <c r="AG92" i="50"/>
  <c r="BS92" i="50" s="1"/>
  <c r="BS17" i="50"/>
  <c r="Z89" i="50"/>
  <c r="BL89" i="50" s="1"/>
  <c r="BL14" i="50"/>
  <c r="L88" i="82"/>
  <c r="AG88" i="82" s="1"/>
  <c r="AG36" i="82"/>
  <c r="L175" i="50"/>
  <c r="AX175" i="50" s="1"/>
  <c r="AX115" i="50"/>
  <c r="AG106" i="50"/>
  <c r="BS106" i="50" s="1"/>
  <c r="BS31" i="50"/>
  <c r="S177" i="50"/>
  <c r="BE177" i="50" s="1"/>
  <c r="BE117" i="50"/>
  <c r="E270" i="50"/>
  <c r="AQ270" i="50" s="1"/>
  <c r="AQ204" i="50"/>
  <c r="E272" i="50"/>
  <c r="AQ272" i="50" s="1"/>
  <c r="AQ206" i="50"/>
  <c r="L266" i="50"/>
  <c r="AX266" i="50" s="1"/>
  <c r="AX244" i="50"/>
  <c r="L90" i="50"/>
  <c r="AX90" i="50" s="1"/>
  <c r="AX15" i="50"/>
  <c r="S92" i="50"/>
  <c r="BE92" i="50" s="1"/>
  <c r="BE17" i="50"/>
  <c r="Z100" i="50"/>
  <c r="BL100" i="50" s="1"/>
  <c r="BL25" i="50"/>
  <c r="Z187" i="50"/>
  <c r="BL187" i="50" s="1"/>
  <c r="BL127" i="50"/>
  <c r="L106" i="50"/>
  <c r="AX106" i="50" s="1"/>
  <c r="AX31" i="50"/>
  <c r="M219" i="82"/>
  <c r="AH219" i="82" s="1"/>
  <c r="AH11" i="82"/>
  <c r="E188" i="50"/>
  <c r="AQ188" i="50" s="1"/>
  <c r="AQ128" i="50"/>
  <c r="E172" i="50"/>
  <c r="AQ172" i="50" s="1"/>
  <c r="AQ112" i="50"/>
  <c r="AG189" i="50"/>
  <c r="BS189" i="50" s="1"/>
  <c r="BS129" i="50"/>
  <c r="Z186" i="50"/>
  <c r="BL186" i="50" s="1"/>
  <c r="BL126" i="50"/>
  <c r="S183" i="50"/>
  <c r="BE183" i="50" s="1"/>
  <c r="BE123" i="50"/>
  <c r="L180" i="50"/>
  <c r="AX180" i="50" s="1"/>
  <c r="AX120" i="50"/>
  <c r="E177" i="50"/>
  <c r="AQ177" i="50" s="1"/>
  <c r="AQ117" i="50"/>
  <c r="AG173" i="50"/>
  <c r="BS173" i="50" s="1"/>
  <c r="BS113" i="50"/>
  <c r="AG275" i="50"/>
  <c r="BS275" i="50" s="1"/>
  <c r="BS253" i="50"/>
  <c r="S190" i="50"/>
  <c r="BE190" i="50" s="1"/>
  <c r="BE130" i="50"/>
  <c r="L183" i="50"/>
  <c r="AX183" i="50" s="1"/>
  <c r="AX123" i="50"/>
  <c r="S102" i="50"/>
  <c r="BE102" i="50" s="1"/>
  <c r="BE77" i="50"/>
  <c r="L99" i="50"/>
  <c r="AX99" i="50" s="1"/>
  <c r="AX74" i="50"/>
  <c r="E69" i="50"/>
  <c r="AQ69" i="50" s="1"/>
  <c r="AQ71" i="50"/>
  <c r="Z107" i="50"/>
  <c r="BL107" i="50" s="1"/>
  <c r="BL32" i="50"/>
  <c r="S87" i="50"/>
  <c r="BE87" i="50" s="1"/>
  <c r="BE12" i="50"/>
  <c r="S109" i="50"/>
  <c r="BE109" i="50" s="1"/>
  <c r="BE34" i="50"/>
  <c r="E105" i="50"/>
  <c r="AQ105" i="50" s="1"/>
  <c r="AQ30" i="50"/>
  <c r="AG187" i="50"/>
  <c r="BS187" i="50" s="1"/>
  <c r="BS127" i="50"/>
  <c r="Z184" i="50"/>
  <c r="BL184" i="50" s="1"/>
  <c r="BL124" i="50"/>
  <c r="S181" i="50"/>
  <c r="BE181" i="50" s="1"/>
  <c r="BE121" i="50"/>
  <c r="L178" i="50"/>
  <c r="AX178" i="50" s="1"/>
  <c r="AX118" i="50"/>
  <c r="E175" i="50"/>
  <c r="AQ175" i="50" s="1"/>
  <c r="AQ115" i="50"/>
  <c r="AG107" i="50"/>
  <c r="BS107" i="50" s="1"/>
  <c r="BS32" i="50"/>
  <c r="V219" i="82"/>
  <c r="AQ219" i="82" s="1"/>
  <c r="AQ11" i="82"/>
  <c r="K219" i="82"/>
  <c r="AF219" i="82" s="1"/>
  <c r="AF11" i="82"/>
  <c r="E189" i="50"/>
  <c r="AQ189" i="50" s="1"/>
  <c r="AQ129" i="50"/>
  <c r="E173" i="50"/>
  <c r="AQ173" i="50" s="1"/>
  <c r="AQ113" i="50"/>
  <c r="L190" i="50"/>
  <c r="AX190" i="50" s="1"/>
  <c r="AX130" i="50"/>
  <c r="Z180" i="50"/>
  <c r="BL180" i="50" s="1"/>
  <c r="BL120" i="50"/>
  <c r="E261" i="50"/>
  <c r="AQ261" i="50" s="1"/>
  <c r="AQ195" i="50"/>
  <c r="L270" i="50"/>
  <c r="AX270" i="50" s="1"/>
  <c r="AX248" i="50"/>
  <c r="Z185" i="50"/>
  <c r="BL185" i="50" s="1"/>
  <c r="BL125" i="50"/>
  <c r="E101" i="50"/>
  <c r="AQ101" i="50" s="1"/>
  <c r="AQ26" i="50"/>
  <c r="AG103" i="50"/>
  <c r="BS103" i="50" s="1"/>
  <c r="BS28" i="50"/>
  <c r="AG190" i="50"/>
  <c r="BS190" i="50" s="1"/>
  <c r="BS130" i="50"/>
  <c r="AG174" i="50"/>
  <c r="BS174" i="50" s="1"/>
  <c r="BS114" i="50"/>
  <c r="Z95" i="50"/>
  <c r="BL95" i="50" s="1"/>
  <c r="BL20" i="50"/>
  <c r="Q219" i="82"/>
  <c r="AL219" i="82" s="1"/>
  <c r="AL11" i="82"/>
  <c r="E219" i="82"/>
  <c r="Z219" i="82" s="1"/>
  <c r="Z11" i="82"/>
  <c r="Z102" i="50"/>
  <c r="BL102" i="50" s="1"/>
  <c r="BL27" i="50"/>
  <c r="E276" i="50"/>
  <c r="AQ276" i="50" s="1"/>
  <c r="AQ210" i="50"/>
  <c r="E260" i="50"/>
  <c r="AQ260" i="50" s="1"/>
  <c r="AQ194" i="50"/>
  <c r="E271" i="50"/>
  <c r="AQ271" i="50" s="1"/>
  <c r="AQ249" i="50"/>
  <c r="AG267" i="50"/>
  <c r="BS267" i="50" s="1"/>
  <c r="BS245" i="50"/>
  <c r="E263" i="50"/>
  <c r="AQ263" i="50" s="1"/>
  <c r="AQ241" i="50"/>
  <c r="S186" i="50"/>
  <c r="BE186" i="50" s="1"/>
  <c r="BE126" i="50"/>
  <c r="L179" i="50"/>
  <c r="AX179" i="50" s="1"/>
  <c r="AX119" i="50"/>
  <c r="AG63" i="50"/>
  <c r="BS63" i="50" s="1"/>
  <c r="BS65" i="50"/>
  <c r="AG101" i="50"/>
  <c r="BS101" i="50" s="1"/>
  <c r="BS26" i="50"/>
  <c r="Z98" i="50"/>
  <c r="BL98" i="50" s="1"/>
  <c r="BL23" i="50"/>
  <c r="S95" i="50"/>
  <c r="BE95" i="50" s="1"/>
  <c r="BE20" i="50"/>
  <c r="E91" i="50"/>
  <c r="AQ91" i="50" s="1"/>
  <c r="AQ16" i="50"/>
  <c r="E86" i="50"/>
  <c r="AQ86" i="50" s="1"/>
  <c r="AQ61" i="50"/>
  <c r="Z105" i="50"/>
  <c r="BL105" i="50" s="1"/>
  <c r="BL30" i="50"/>
  <c r="S101" i="50"/>
  <c r="BE101" i="50" s="1"/>
  <c r="BE26" i="50"/>
  <c r="L98" i="50"/>
  <c r="AX98" i="50" s="1"/>
  <c r="AX23" i="50"/>
  <c r="E95" i="50"/>
  <c r="AQ95" i="50" s="1"/>
  <c r="AQ20" i="50"/>
  <c r="S91" i="50"/>
  <c r="BE91" i="50" s="1"/>
  <c r="BE16" i="50"/>
  <c r="L87" i="50"/>
  <c r="AX87" i="50" s="1"/>
  <c r="AX12" i="50"/>
  <c r="S188" i="50"/>
  <c r="BE188" i="50" s="1"/>
  <c r="BE128" i="50"/>
  <c r="L185" i="50"/>
  <c r="AX185" i="50" s="1"/>
  <c r="AX125" i="50"/>
  <c r="E182" i="50"/>
  <c r="AQ182" i="50" s="1"/>
  <c r="AQ122" i="50"/>
  <c r="AG178" i="50"/>
  <c r="BS178" i="50" s="1"/>
  <c r="BS118" i="50"/>
  <c r="Z175" i="50"/>
  <c r="BL175" i="50" s="1"/>
  <c r="BL115" i="50"/>
  <c r="S172" i="50"/>
  <c r="BE172" i="50" s="1"/>
  <c r="BE112" i="50"/>
  <c r="E107" i="50"/>
  <c r="AQ107" i="50" s="1"/>
  <c r="AQ32" i="50"/>
  <c r="AG102" i="50"/>
  <c r="BS102" i="50" s="1"/>
  <c r="BS27" i="50"/>
  <c r="Z99" i="50"/>
  <c r="BL99" i="50" s="1"/>
  <c r="BL24" i="50"/>
  <c r="S96" i="50"/>
  <c r="BE96" i="50" s="1"/>
  <c r="BE21" i="50"/>
  <c r="E92" i="50"/>
  <c r="AQ92" i="50" s="1"/>
  <c r="AQ17" i="50"/>
  <c r="AG87" i="50"/>
  <c r="BS87" i="50" s="1"/>
  <c r="BS12" i="50"/>
  <c r="AG109" i="50"/>
  <c r="BS109" i="50" s="1"/>
  <c r="O219" i="82"/>
  <c r="AJ219" i="82" s="1"/>
  <c r="AJ11" i="82"/>
  <c r="U220" i="82"/>
  <c r="AP220" i="82" s="1"/>
  <c r="N219" i="82"/>
  <c r="AI219" i="82" s="1"/>
  <c r="AI11" i="82"/>
  <c r="F219" i="82"/>
  <c r="AA219" i="82" s="1"/>
  <c r="AA11" i="82"/>
  <c r="J219" i="82"/>
  <c r="AE219" i="82" s="1"/>
  <c r="AE11" i="82"/>
  <c r="H88" i="82"/>
  <c r="AC88" i="82" s="1"/>
  <c r="AC36" i="82"/>
  <c r="E267" i="50"/>
  <c r="AQ267" i="50" s="1"/>
  <c r="AQ201" i="50"/>
  <c r="E273" i="50"/>
  <c r="AQ273" i="50" s="1"/>
  <c r="AQ207" i="50"/>
  <c r="S99" i="62"/>
  <c r="BJ99" i="62" s="1"/>
  <c r="S94" i="62"/>
  <c r="BJ94" i="62" s="1"/>
  <c r="L99" i="62"/>
  <c r="BC99" i="62" s="1"/>
  <c r="Z279" i="50"/>
  <c r="BL279" i="50" s="1"/>
  <c r="BL213" i="50"/>
  <c r="Z263" i="50"/>
  <c r="BL263" i="50" s="1"/>
  <c r="BL197" i="50"/>
  <c r="S270" i="50"/>
  <c r="BE270" i="50" s="1"/>
  <c r="BE204" i="50"/>
  <c r="AG260" i="50"/>
  <c r="BS260" i="50" s="1"/>
  <c r="BS194" i="50"/>
  <c r="BQ71" i="62"/>
  <c r="Z67" i="62"/>
  <c r="BQ67" i="62" s="1"/>
  <c r="S71" i="62"/>
  <c r="BJ71" i="62" s="1"/>
  <c r="AG274" i="50"/>
  <c r="BS274" i="50" s="1"/>
  <c r="BS208" i="50"/>
  <c r="AG262" i="50"/>
  <c r="BS262" i="50" s="1"/>
  <c r="BS196" i="50"/>
  <c r="S266" i="50"/>
  <c r="BE266" i="50" s="1"/>
  <c r="BE200" i="50"/>
  <c r="S83" i="62"/>
  <c r="BJ83" i="62" s="1"/>
  <c r="L74" i="62"/>
  <c r="BC74" i="62" s="1"/>
  <c r="L61" i="62"/>
  <c r="BC61" i="62" s="1"/>
  <c r="Z275" i="50"/>
  <c r="BL275" i="50" s="1"/>
  <c r="BL209" i="50"/>
  <c r="Z267" i="50"/>
  <c r="BL267" i="50" s="1"/>
  <c r="BL201" i="50"/>
  <c r="AG276" i="50"/>
  <c r="BS276" i="50" s="1"/>
  <c r="BS210" i="50"/>
  <c r="L267" i="50"/>
  <c r="AX267" i="50" s="1"/>
  <c r="AX201" i="50"/>
  <c r="AG278" i="50"/>
  <c r="BS278" i="50" s="1"/>
  <c r="BS212" i="50"/>
  <c r="AG266" i="50"/>
  <c r="BS266" i="50" s="1"/>
  <c r="BS200" i="50"/>
  <c r="L279" i="50"/>
  <c r="AX279" i="50" s="1"/>
  <c r="AX213" i="50"/>
  <c r="AG272" i="50"/>
  <c r="BS272" i="50" s="1"/>
  <c r="BS206" i="50"/>
  <c r="Z269" i="50"/>
  <c r="BL269" i="50" s="1"/>
  <c r="BL203" i="50"/>
  <c r="L263" i="50"/>
  <c r="AX263" i="50" s="1"/>
  <c r="AX197" i="50"/>
  <c r="L94" i="62"/>
  <c r="BC94" i="62" s="1"/>
  <c r="L277" i="50"/>
  <c r="AX277" i="50" s="1"/>
  <c r="AX211" i="50"/>
  <c r="L273" i="50"/>
  <c r="AX273" i="50" s="1"/>
  <c r="AX207" i="50"/>
  <c r="L269" i="50"/>
  <c r="AX269" i="50" s="1"/>
  <c r="AX203" i="50"/>
  <c r="L261" i="50"/>
  <c r="AX261" i="50" s="1"/>
  <c r="AX195" i="50"/>
  <c r="S278" i="50"/>
  <c r="BE278" i="50" s="1"/>
  <c r="BE212" i="50"/>
  <c r="L275" i="50"/>
  <c r="AX275" i="50" s="1"/>
  <c r="AX209" i="50"/>
  <c r="AG268" i="50"/>
  <c r="BS268" i="50" s="1"/>
  <c r="BS202" i="50"/>
  <c r="S262" i="50"/>
  <c r="BE262" i="50" s="1"/>
  <c r="BE196" i="50"/>
  <c r="S61" i="62"/>
  <c r="BJ61" i="62" s="1"/>
  <c r="AG259" i="50"/>
  <c r="BS259" i="50" s="1"/>
  <c r="BS193" i="50"/>
  <c r="L83" i="62"/>
  <c r="BC83" i="62" s="1"/>
  <c r="S64" i="62"/>
  <c r="BJ64" i="62" s="1"/>
  <c r="Z271" i="50"/>
  <c r="BL271" i="50" s="1"/>
  <c r="BL205" i="50"/>
  <c r="Z273" i="50"/>
  <c r="BL273" i="50" s="1"/>
  <c r="BL207" i="50"/>
  <c r="AG270" i="50"/>
  <c r="BS270" i="50" s="1"/>
  <c r="BS204" i="50"/>
  <c r="S74" i="62"/>
  <c r="BJ74" i="62" s="1"/>
  <c r="L265" i="50"/>
  <c r="AX265" i="50" s="1"/>
  <c r="AX199" i="50"/>
  <c r="Z265" i="50"/>
  <c r="BL265" i="50" s="1"/>
  <c r="BL199" i="50"/>
  <c r="S276" i="50"/>
  <c r="BE276" i="50" s="1"/>
  <c r="BE210" i="50"/>
  <c r="S272" i="50"/>
  <c r="BE272" i="50" s="1"/>
  <c r="BE206" i="50"/>
  <c r="S268" i="50"/>
  <c r="BE268" i="50" s="1"/>
  <c r="BE202" i="50"/>
  <c r="S264" i="50"/>
  <c r="BE264" i="50" s="1"/>
  <c r="BE198" i="50"/>
  <c r="S260" i="50"/>
  <c r="BE260" i="50" s="1"/>
  <c r="BE194" i="50"/>
  <c r="Z277" i="50"/>
  <c r="BL277" i="50" s="1"/>
  <c r="BL211" i="50"/>
  <c r="S274" i="50"/>
  <c r="BE274" i="50" s="1"/>
  <c r="BE208" i="50"/>
  <c r="L271" i="50"/>
  <c r="AX271" i="50" s="1"/>
  <c r="AX205" i="50"/>
  <c r="AG264" i="50"/>
  <c r="BS264" i="50" s="1"/>
  <c r="BS198" i="50"/>
  <c r="Z261" i="50"/>
  <c r="BL261" i="50" s="1"/>
  <c r="BL195" i="50"/>
  <c r="L71" i="62"/>
  <c r="BC71" i="62" s="1"/>
  <c r="L64" i="62"/>
  <c r="BC64" i="62" s="1"/>
  <c r="L29" i="50"/>
  <c r="E33" i="50"/>
  <c r="L35" i="50"/>
  <c r="L33" i="50"/>
  <c r="AG29" i="50"/>
  <c r="AG19" i="50"/>
  <c r="BS19" i="50" s="1"/>
  <c r="E35" i="50"/>
  <c r="T74" i="82"/>
  <c r="AO74" i="82" s="1"/>
  <c r="L13" i="50"/>
  <c r="AX13" i="50" s="1"/>
  <c r="S35" i="50"/>
  <c r="X40" i="82"/>
  <c r="T68" i="82"/>
  <c r="AO68" i="82" s="1"/>
  <c r="E19" i="50"/>
  <c r="AQ19" i="50" s="1"/>
  <c r="S13" i="50"/>
  <c r="BE13" i="50" s="1"/>
  <c r="Z19" i="50"/>
  <c r="BL19" i="50" s="1"/>
  <c r="L11" i="82"/>
  <c r="AG13" i="50"/>
  <c r="BS13" i="50" s="1"/>
  <c r="E65" i="82"/>
  <c r="T11" i="82"/>
  <c r="AG69" i="50"/>
  <c r="BS69" i="50" s="1"/>
  <c r="U65" i="82"/>
  <c r="T197" i="82"/>
  <c r="AO197" i="82" s="1"/>
  <c r="X74" i="82"/>
  <c r="AS74" i="82" s="1"/>
  <c r="S19" i="50"/>
  <c r="BE19" i="50" s="1"/>
  <c r="E13" i="50"/>
  <c r="AQ13" i="50" s="1"/>
  <c r="L131" i="82"/>
  <c r="AG131" i="82" s="1"/>
  <c r="L68" i="82"/>
  <c r="AG68" i="82" s="1"/>
  <c r="H74" i="82"/>
  <c r="AC74" i="82" s="1"/>
  <c r="H68" i="82"/>
  <c r="AC68" i="82" s="1"/>
  <c r="S111" i="50"/>
  <c r="BE111" i="50" s="1"/>
  <c r="B47" i="85" s="1"/>
  <c r="P131" i="82"/>
  <c r="AK131" i="82" s="1"/>
  <c r="P68" i="82"/>
  <c r="AK68" i="82" s="1"/>
  <c r="Z111" i="50"/>
  <c r="BL111" i="50" s="1"/>
  <c r="B65" i="85" s="1"/>
  <c r="T40" i="82"/>
  <c r="H40" i="82"/>
  <c r="L236" i="50"/>
  <c r="AX236" i="50" s="1"/>
  <c r="B36" i="85" s="1"/>
  <c r="Z236" i="50"/>
  <c r="BL236" i="50" s="1"/>
  <c r="B72" i="85" s="1"/>
  <c r="AG35" i="50"/>
  <c r="Z35" i="50"/>
  <c r="L192" i="50"/>
  <c r="AX192" i="50" s="1"/>
  <c r="B34" i="85" s="1"/>
  <c r="B121" i="85" s="1"/>
  <c r="X68" i="82"/>
  <c r="AS68" i="82" s="1"/>
  <c r="T131" i="82"/>
  <c r="AO131" i="82" s="1"/>
  <c r="Z13" i="50"/>
  <c r="BL13" i="50" s="1"/>
  <c r="S192" i="50"/>
  <c r="BE192" i="50" s="1"/>
  <c r="B52" i="85" s="1"/>
  <c r="B123" i="85" s="1"/>
  <c r="P197" i="82"/>
  <c r="AK197" i="82" s="1"/>
  <c r="L111" i="50"/>
  <c r="AX111" i="50" s="1"/>
  <c r="B29" i="85" s="1"/>
  <c r="L74" i="82"/>
  <c r="I65" i="82"/>
  <c r="L19" i="50"/>
  <c r="AX19" i="50" s="1"/>
  <c r="H197" i="82"/>
  <c r="AC197" i="82" s="1"/>
  <c r="H11" i="82"/>
  <c r="E236" i="50"/>
  <c r="AQ236" i="50" s="1"/>
  <c r="B18" i="85" s="1"/>
  <c r="L197" i="82"/>
  <c r="AG197" i="82" s="1"/>
  <c r="X197" i="82"/>
  <c r="AS197" i="82" s="1"/>
  <c r="X11" i="82"/>
  <c r="AG192" i="50"/>
  <c r="BS192" i="50" s="1"/>
  <c r="B94" i="85" s="1"/>
  <c r="B127" i="85" s="1"/>
  <c r="Q65" i="82"/>
  <c r="Z69" i="50"/>
  <c r="P40" i="82"/>
  <c r="P11" i="82"/>
  <c r="E192" i="50"/>
  <c r="AQ192" i="50" s="1"/>
  <c r="B16" i="85" s="1"/>
  <c r="S236" i="50"/>
  <c r="BE236" i="50" s="1"/>
  <c r="B54" i="85" s="1"/>
  <c r="Z192" i="50"/>
  <c r="BL192" i="50" s="1"/>
  <c r="B70" i="85" s="1"/>
  <c r="B125" i="85" s="1"/>
  <c r="AG236" i="50"/>
  <c r="BS236" i="50" s="1"/>
  <c r="B96" i="85" s="1"/>
  <c r="P84" i="82"/>
  <c r="AK84" i="82" s="1"/>
  <c r="S29" i="50"/>
  <c r="E111" i="50"/>
  <c r="AQ111" i="50" s="1"/>
  <c r="B11" i="85" s="1"/>
  <c r="K69" i="7"/>
  <c r="K47" i="7"/>
  <c r="Z259" i="50"/>
  <c r="BL259" i="50" s="1"/>
  <c r="L40" i="82"/>
  <c r="H84" i="82"/>
  <c r="AC84" i="82" s="1"/>
  <c r="E29" i="50"/>
  <c r="P74" i="82"/>
  <c r="AK74" i="82" s="1"/>
  <c r="E63" i="50"/>
  <c r="L69" i="50"/>
  <c r="T88" i="82"/>
  <c r="AO88" i="82" s="1"/>
  <c r="Z33" i="50"/>
  <c r="S58" i="7"/>
  <c r="S36" i="7"/>
  <c r="AG172" i="50"/>
  <c r="AG111" i="50"/>
  <c r="BS111" i="50" s="1"/>
  <c r="B89" i="85" s="1"/>
  <c r="P88" i="82"/>
  <c r="AK88" i="82" s="1"/>
  <c r="S33" i="50"/>
  <c r="E96" i="50"/>
  <c r="X131" i="82"/>
  <c r="AS131" i="82" s="1"/>
  <c r="S98" i="50"/>
  <c r="Z91" i="50"/>
  <c r="L89" i="50"/>
  <c r="X88" i="82"/>
  <c r="AS88" i="82" s="1"/>
  <c r="AG33" i="50"/>
  <c r="Z260" i="50"/>
  <c r="BL260" i="50" s="1"/>
  <c r="E259" i="50"/>
  <c r="H131" i="82"/>
  <c r="AC131" i="82" s="1"/>
  <c r="T84" i="82"/>
  <c r="AO84" i="82" s="1"/>
  <c r="Z29" i="50"/>
  <c r="AG90" i="50"/>
  <c r="M65" i="82"/>
  <c r="S60" i="50" l="1"/>
  <c r="BE60" i="50" s="1"/>
  <c r="B44" i="85" s="1"/>
  <c r="B109" i="85"/>
  <c r="AG94" i="50"/>
  <c r="BS94" i="50" s="1"/>
  <c r="Z94" i="50"/>
  <c r="BL94" i="50" s="1"/>
  <c r="B112" i="85"/>
  <c r="B119" i="85"/>
  <c r="B129" i="85" s="1"/>
  <c r="B114" i="85"/>
  <c r="L94" i="50"/>
  <c r="AX94" i="50" s="1"/>
  <c r="B107" i="85"/>
  <c r="S171" i="50"/>
  <c r="BE171" i="50" s="1"/>
  <c r="B50" i="85" s="1"/>
  <c r="AG60" i="50"/>
  <c r="E94" i="50"/>
  <c r="AQ94" i="50" s="1"/>
  <c r="AQ96" i="50"/>
  <c r="Z171" i="50"/>
  <c r="BL171" i="50" s="1"/>
  <c r="B68" i="85" s="1"/>
  <c r="H220" i="82"/>
  <c r="AC220" i="82" s="1"/>
  <c r="AC40" i="82"/>
  <c r="T219" i="82"/>
  <c r="AO219" i="82" s="1"/>
  <c r="AO11" i="82"/>
  <c r="L108" i="50"/>
  <c r="AX108" i="50" s="1"/>
  <c r="AX33" i="50"/>
  <c r="L171" i="50"/>
  <c r="AX171" i="50" s="1"/>
  <c r="B32" i="85" s="1"/>
  <c r="AG108" i="50"/>
  <c r="BS108" i="50" s="1"/>
  <c r="BS33" i="50"/>
  <c r="S108" i="50"/>
  <c r="BE108" i="50" s="1"/>
  <c r="BE33" i="50"/>
  <c r="L60" i="50"/>
  <c r="AX60" i="50" s="1"/>
  <c r="B26" i="85" s="1"/>
  <c r="AX69" i="50"/>
  <c r="E171" i="50"/>
  <c r="AQ171" i="50" s="1"/>
  <c r="B14" i="85" s="1"/>
  <c r="T220" i="82"/>
  <c r="AO220" i="82" s="1"/>
  <c r="AO40" i="82"/>
  <c r="E221" i="82"/>
  <c r="Z65" i="82"/>
  <c r="X220" i="82"/>
  <c r="AS220" i="82" s="1"/>
  <c r="AS40" i="82"/>
  <c r="E258" i="50"/>
  <c r="AQ258" i="50" s="1"/>
  <c r="B19" i="85" s="1"/>
  <c r="AQ259" i="50"/>
  <c r="U221" i="82"/>
  <c r="AP65" i="82"/>
  <c r="AG104" i="50"/>
  <c r="BS104" i="50" s="1"/>
  <c r="BS29" i="50"/>
  <c r="L220" i="82"/>
  <c r="AG220" i="82" s="1"/>
  <c r="AG40" i="82"/>
  <c r="M221" i="82"/>
  <c r="AH65" i="82"/>
  <c r="Q221" i="82"/>
  <c r="AL65" i="82"/>
  <c r="I221" i="82"/>
  <c r="AD65" i="82"/>
  <c r="S104" i="50"/>
  <c r="BE104" i="50" s="1"/>
  <c r="BE29" i="50"/>
  <c r="X219" i="82"/>
  <c r="AS219" i="82" s="1"/>
  <c r="AS11" i="82"/>
  <c r="L219" i="82"/>
  <c r="AG219" i="82" s="1"/>
  <c r="AG11" i="82"/>
  <c r="L104" i="50"/>
  <c r="AX104" i="50" s="1"/>
  <c r="AX29" i="50"/>
  <c r="H219" i="82"/>
  <c r="AC219" i="82" s="1"/>
  <c r="AC11" i="82"/>
  <c r="P219" i="82"/>
  <c r="AK219" i="82" s="1"/>
  <c r="AK11" i="82"/>
  <c r="Z104" i="50"/>
  <c r="BL104" i="50" s="1"/>
  <c r="BL29" i="50"/>
  <c r="L88" i="50"/>
  <c r="AX88" i="50" s="1"/>
  <c r="AX89" i="50"/>
  <c r="P220" i="82"/>
  <c r="AK220" i="82" s="1"/>
  <c r="AK40" i="82"/>
  <c r="L65" i="82"/>
  <c r="AG65" i="82" s="1"/>
  <c r="AG74" i="82"/>
  <c r="Z88" i="50"/>
  <c r="BL88" i="50" s="1"/>
  <c r="BL91" i="50"/>
  <c r="AG171" i="50"/>
  <c r="BS171" i="50" s="1"/>
  <c r="B92" i="85" s="1"/>
  <c r="BS172" i="50"/>
  <c r="E104" i="50"/>
  <c r="AQ104" i="50" s="1"/>
  <c r="AQ29" i="50"/>
  <c r="Z60" i="50"/>
  <c r="BL60" i="50" s="1"/>
  <c r="B62" i="85" s="1"/>
  <c r="BL69" i="50"/>
  <c r="S88" i="50"/>
  <c r="BE88" i="50" s="1"/>
  <c r="Z108" i="50"/>
  <c r="BL108" i="50" s="1"/>
  <c r="BL33" i="50"/>
  <c r="AG88" i="50"/>
  <c r="BS88" i="50" s="1"/>
  <c r="BS90" i="50"/>
  <c r="E60" i="50"/>
  <c r="AQ60" i="50" s="1"/>
  <c r="B8" i="85" s="1"/>
  <c r="AQ63" i="50"/>
  <c r="E108" i="50"/>
  <c r="AQ108" i="50" s="1"/>
  <c r="AQ33" i="50"/>
  <c r="S94" i="50"/>
  <c r="BE94" i="50" s="1"/>
  <c r="BE98" i="50"/>
  <c r="E88" i="50"/>
  <c r="AQ88" i="50" s="1"/>
  <c r="E281" i="50"/>
  <c r="AQ281" i="50" s="1"/>
  <c r="AQ35" i="50"/>
  <c r="B7" i="85" s="1"/>
  <c r="S258" i="50"/>
  <c r="BE258" i="50" s="1"/>
  <c r="B55" i="85" s="1"/>
  <c r="L281" i="50"/>
  <c r="AX281" i="50" s="1"/>
  <c r="AX35" i="50"/>
  <c r="B25" i="85" s="1"/>
  <c r="AG258" i="50"/>
  <c r="BS258" i="50" s="1"/>
  <c r="B97" i="85" s="1"/>
  <c r="S281" i="50"/>
  <c r="BE281" i="50" s="1"/>
  <c r="BE35" i="50"/>
  <c r="B43" i="85" s="1"/>
  <c r="Z281" i="50"/>
  <c r="BL281" i="50" s="1"/>
  <c r="BL35" i="50"/>
  <c r="B61" i="85" s="1"/>
  <c r="S67" i="62"/>
  <c r="BJ67" i="62" s="1"/>
  <c r="L258" i="50"/>
  <c r="AX258" i="50" s="1"/>
  <c r="B37" i="85" s="1"/>
  <c r="AG281" i="50"/>
  <c r="BS281" i="50" s="1"/>
  <c r="BS35" i="50"/>
  <c r="B85" i="85" s="1"/>
  <c r="L67" i="62"/>
  <c r="BC67" i="62" s="1"/>
  <c r="L10" i="50"/>
  <c r="E10" i="50"/>
  <c r="Z282" i="50"/>
  <c r="BL282" i="50" s="1"/>
  <c r="X65" i="82"/>
  <c r="H65" i="82"/>
  <c r="T65" i="82"/>
  <c r="S10" i="50"/>
  <c r="AG10" i="50"/>
  <c r="P65" i="82"/>
  <c r="Z10" i="50"/>
  <c r="S69" i="7"/>
  <c r="S47" i="7"/>
  <c r="Z258" i="50"/>
  <c r="BL258" i="50" s="1"/>
  <c r="B73" i="85" s="1"/>
  <c r="AA58" i="7"/>
  <c r="AA36" i="7"/>
  <c r="E36" i="58"/>
  <c r="E27" i="58"/>
  <c r="O27" i="58" s="1"/>
  <c r="E19" i="58"/>
  <c r="E39" i="58" s="1"/>
  <c r="E42" i="58" s="1"/>
  <c r="O42" i="58" s="1"/>
  <c r="E14" i="58"/>
  <c r="E38" i="58" s="1"/>
  <c r="S282" i="50" l="1"/>
  <c r="BE282" i="50" s="1"/>
  <c r="L282" i="50"/>
  <c r="AX282" i="50" s="1"/>
  <c r="L221" i="82"/>
  <c r="AG221" i="82" s="1"/>
  <c r="B103" i="85"/>
  <c r="S85" i="50"/>
  <c r="BE85" i="50" s="1"/>
  <c r="B45" i="85" s="1"/>
  <c r="L85" i="50"/>
  <c r="AX85" i="50" s="1"/>
  <c r="B27" i="85" s="1"/>
  <c r="B110" i="85"/>
  <c r="B115" i="85"/>
  <c r="Z280" i="50"/>
  <c r="BL280" i="50" s="1"/>
  <c r="BL10" i="50"/>
  <c r="B60" i="85" s="1"/>
  <c r="P221" i="82"/>
  <c r="AK65" i="82"/>
  <c r="Z85" i="50"/>
  <c r="BL85" i="50" s="1"/>
  <c r="B63" i="85" s="1"/>
  <c r="AG85" i="50"/>
  <c r="L280" i="50"/>
  <c r="AX280" i="50" s="1"/>
  <c r="AX10" i="50"/>
  <c r="B24" i="85" s="1"/>
  <c r="H221" i="82"/>
  <c r="AC65" i="82"/>
  <c r="I223" i="82"/>
  <c r="AD223" i="82" s="1"/>
  <c r="AD221" i="82"/>
  <c r="E223" i="82"/>
  <c r="Z223" i="82" s="1"/>
  <c r="Z221" i="82"/>
  <c r="E85" i="50"/>
  <c r="X221" i="82"/>
  <c r="AS65" i="82"/>
  <c r="Q223" i="82"/>
  <c r="AL223" i="82" s="1"/>
  <c r="AL221" i="82"/>
  <c r="U223" i="82"/>
  <c r="AP223" i="82" s="1"/>
  <c r="AP221" i="82"/>
  <c r="E282" i="50"/>
  <c r="AQ282" i="50" s="1"/>
  <c r="T221" i="82"/>
  <c r="AO65" i="82"/>
  <c r="S280" i="50"/>
  <c r="BE280" i="50" s="1"/>
  <c r="BE10" i="50"/>
  <c r="B42" i="85" s="1"/>
  <c r="L223" i="82"/>
  <c r="AG223" i="82" s="1"/>
  <c r="M223" i="82"/>
  <c r="AH223" i="82" s="1"/>
  <c r="AH221" i="82"/>
  <c r="AG282" i="50"/>
  <c r="BS282" i="50" s="1"/>
  <c r="BS60" i="50"/>
  <c r="B86" i="85" s="1"/>
  <c r="B104" i="85" s="1"/>
  <c r="AG280" i="50"/>
  <c r="BS280" i="50" s="1"/>
  <c r="BS10" i="50"/>
  <c r="B84" i="85" s="1"/>
  <c r="E280" i="50"/>
  <c r="AQ280" i="50" s="1"/>
  <c r="AQ10" i="50"/>
  <c r="B6" i="85" s="1"/>
  <c r="Z283" i="50"/>
  <c r="BL283" i="50" s="1"/>
  <c r="AI36" i="7"/>
  <c r="AI58" i="7"/>
  <c r="E32" i="58"/>
  <c r="O32" i="58" s="1"/>
  <c r="AA69" i="7"/>
  <c r="AA47" i="7"/>
  <c r="E37" i="58"/>
  <c r="E41" i="58"/>
  <c r="S283" i="50" l="1"/>
  <c r="BE283" i="50" s="1"/>
  <c r="L283" i="50"/>
  <c r="AX283" i="50" s="1"/>
  <c r="B102" i="85"/>
  <c r="AG283" i="50"/>
  <c r="BS283" i="50" s="1"/>
  <c r="BS85" i="50"/>
  <c r="B87" i="85" s="1"/>
  <c r="E283" i="50"/>
  <c r="AQ283" i="50" s="1"/>
  <c r="AQ85" i="50"/>
  <c r="B9" i="85" s="1"/>
  <c r="B105" i="85" s="1"/>
  <c r="X223" i="82"/>
  <c r="AS223" i="82" s="1"/>
  <c r="AS221" i="82"/>
  <c r="T223" i="82"/>
  <c r="AO223" i="82" s="1"/>
  <c r="AO221" i="82"/>
  <c r="E40" i="58"/>
  <c r="O40" i="58" s="1"/>
  <c r="O41" i="58"/>
  <c r="P223" i="82"/>
  <c r="AK223" i="82" s="1"/>
  <c r="AK221" i="82"/>
  <c r="H223" i="82"/>
  <c r="AC223" i="82" s="1"/>
  <c r="AC221" i="82"/>
  <c r="AQ58" i="7"/>
  <c r="AQ36" i="7"/>
  <c r="AI69" i="7"/>
  <c r="AI47" i="7"/>
  <c r="S150" i="67"/>
  <c r="AQ69" i="7" l="1"/>
  <c r="AQ47" i="7"/>
  <c r="C13" i="39"/>
  <c r="H76" i="39"/>
  <c r="G76" i="39"/>
  <c r="F76" i="39"/>
  <c r="E76" i="39"/>
  <c r="D76" i="39"/>
  <c r="C76" i="39"/>
  <c r="H60" i="39"/>
  <c r="G60" i="39"/>
  <c r="F60" i="39"/>
  <c r="E60" i="39"/>
  <c r="D60" i="39"/>
  <c r="C60" i="39"/>
  <c r="H44" i="39"/>
  <c r="G44" i="39"/>
  <c r="F44" i="39"/>
  <c r="E44" i="39"/>
  <c r="D44" i="39"/>
  <c r="C44" i="39"/>
  <c r="H29" i="39"/>
  <c r="G29" i="39"/>
  <c r="F29" i="39"/>
  <c r="E29" i="39"/>
  <c r="D29" i="39"/>
  <c r="C29" i="39"/>
  <c r="D13" i="39"/>
  <c r="E13" i="39"/>
  <c r="F13" i="39"/>
  <c r="G13" i="39"/>
  <c r="H13" i="39"/>
  <c r="AA133" i="77" l="1"/>
  <c r="Z133" i="77"/>
  <c r="Y133" i="77"/>
  <c r="X133" i="77"/>
  <c r="W133" i="77"/>
  <c r="V133" i="77"/>
  <c r="U133" i="77"/>
  <c r="T133" i="77"/>
  <c r="S133" i="77"/>
  <c r="R133" i="77"/>
  <c r="Q133" i="77"/>
  <c r="P133" i="77"/>
  <c r="O133" i="77"/>
  <c r="N133" i="77"/>
  <c r="M133" i="77"/>
  <c r="L133" i="77"/>
  <c r="K133" i="77"/>
  <c r="J133" i="77"/>
  <c r="I133" i="77"/>
  <c r="H133" i="77"/>
  <c r="G133" i="77"/>
  <c r="F133" i="77"/>
  <c r="E133" i="77"/>
  <c r="D133" i="77"/>
  <c r="C133" i="77"/>
  <c r="AA110" i="77"/>
  <c r="Z110" i="77"/>
  <c r="Y110" i="77"/>
  <c r="X110" i="77"/>
  <c r="W110" i="77"/>
  <c r="V110" i="77"/>
  <c r="U110" i="77"/>
  <c r="T110" i="77"/>
  <c r="S110" i="77"/>
  <c r="R110" i="77"/>
  <c r="Q110" i="77"/>
  <c r="P110" i="77"/>
  <c r="O110" i="77"/>
  <c r="N110" i="77"/>
  <c r="M110" i="77"/>
  <c r="L110" i="77"/>
  <c r="K110" i="77"/>
  <c r="J110" i="77"/>
  <c r="I110" i="77"/>
  <c r="H110" i="77"/>
  <c r="G110" i="77"/>
  <c r="F110" i="77"/>
  <c r="E110" i="77"/>
  <c r="D110" i="77"/>
  <c r="C110" i="77"/>
  <c r="AA86" i="77"/>
  <c r="Z86" i="77"/>
  <c r="Y86" i="77"/>
  <c r="X86" i="77"/>
  <c r="W86" i="77"/>
  <c r="V86" i="77"/>
  <c r="U86" i="77"/>
  <c r="T86" i="77"/>
  <c r="S86" i="77"/>
  <c r="R86" i="77"/>
  <c r="Q86" i="77"/>
  <c r="P86" i="77"/>
  <c r="O86" i="77"/>
  <c r="N86" i="77"/>
  <c r="M86" i="77"/>
  <c r="L86" i="77"/>
  <c r="K86" i="77"/>
  <c r="J86" i="77"/>
  <c r="I86" i="77"/>
  <c r="H86" i="77"/>
  <c r="G86" i="77"/>
  <c r="F86" i="77"/>
  <c r="E86" i="77"/>
  <c r="D86" i="77"/>
  <c r="C86" i="77"/>
  <c r="AA63" i="77"/>
  <c r="Z63" i="77"/>
  <c r="Y63" i="77"/>
  <c r="X63" i="77"/>
  <c r="W63" i="77"/>
  <c r="V63" i="77"/>
  <c r="U63" i="77"/>
  <c r="T63" i="77"/>
  <c r="S63" i="77"/>
  <c r="R63" i="77"/>
  <c r="Q63" i="77"/>
  <c r="P63" i="77"/>
  <c r="O63" i="77"/>
  <c r="N63" i="77"/>
  <c r="M63" i="77"/>
  <c r="L63" i="77"/>
  <c r="K63" i="77"/>
  <c r="J63" i="77"/>
  <c r="I63" i="77"/>
  <c r="H63" i="77"/>
  <c r="G63" i="77"/>
  <c r="F63" i="77"/>
  <c r="E63" i="77"/>
  <c r="D63" i="77"/>
  <c r="C63"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AA16" i="77"/>
  <c r="Z16" i="77"/>
  <c r="Y16" i="77"/>
  <c r="X16" i="77"/>
  <c r="W16" i="77"/>
  <c r="V16" i="77"/>
  <c r="U16" i="77"/>
  <c r="T16" i="77"/>
  <c r="S16" i="77"/>
  <c r="R16" i="77"/>
  <c r="Q16" i="77"/>
  <c r="P16" i="77"/>
  <c r="O16" i="77"/>
  <c r="N16" i="77"/>
  <c r="M16" i="77"/>
  <c r="L16" i="77"/>
  <c r="K16" i="77"/>
  <c r="J16" i="77"/>
  <c r="I16" i="77"/>
  <c r="H16" i="77"/>
  <c r="G16" i="77"/>
  <c r="F16" i="77"/>
  <c r="E16" i="77"/>
  <c r="D16" i="77"/>
  <c r="C16" i="77"/>
  <c r="U114" i="67"/>
  <c r="V114" i="67"/>
  <c r="W114" i="67"/>
  <c r="X114" i="67"/>
  <c r="Y114" i="67"/>
  <c r="U116" i="67"/>
  <c r="V116" i="67"/>
  <c r="W116" i="67"/>
  <c r="X116" i="67"/>
  <c r="Y116" i="67"/>
  <c r="T116" i="67"/>
  <c r="T114" i="67"/>
  <c r="U92" i="67"/>
  <c r="V92" i="67"/>
  <c r="W92" i="67"/>
  <c r="X92" i="67"/>
  <c r="Y92" i="67"/>
  <c r="T92" i="67"/>
  <c r="U90" i="67"/>
  <c r="V90" i="67"/>
  <c r="W90" i="67"/>
  <c r="X90" i="67"/>
  <c r="Y90" i="67"/>
  <c r="T90" i="67"/>
  <c r="Z92" i="67" l="1"/>
  <c r="AA92" i="67"/>
  <c r="Z116" i="67"/>
  <c r="Z114" i="67"/>
  <c r="AA114" i="67"/>
  <c r="AA116" i="67"/>
  <c r="AA90" i="67"/>
  <c r="Z90" i="67"/>
  <c r="S48" i="79" l="1"/>
  <c r="S49" i="79"/>
  <c r="S50" i="79"/>
  <c r="S51" i="79"/>
  <c r="S52" i="79"/>
  <c r="S53" i="79"/>
  <c r="S54" i="79"/>
  <c r="S47" i="79"/>
  <c r="S35" i="79"/>
  <c r="S36" i="79"/>
  <c r="S37" i="79"/>
  <c r="S38" i="79"/>
  <c r="S39" i="79"/>
  <c r="S40" i="79"/>
  <c r="S41" i="79"/>
  <c r="S42" i="79"/>
  <c r="S43" i="79"/>
  <c r="S44" i="79"/>
  <c r="S45" i="79"/>
  <c r="S34" i="79"/>
  <c r="E8" i="22" l="1"/>
  <c r="I8" i="46" l="1"/>
  <c r="H8" i="46"/>
  <c r="G8" i="46"/>
  <c r="F8" i="46"/>
  <c r="E8" i="46"/>
  <c r="A165" i="46" s="1"/>
  <c r="D8" i="46"/>
  <c r="N95" i="39"/>
  <c r="AA95" i="39" s="1"/>
  <c r="W21" i="83" s="1"/>
  <c r="M95" i="39"/>
  <c r="Z95" i="39" s="1"/>
  <c r="V21" i="83" s="1"/>
  <c r="L95" i="39"/>
  <c r="Y95" i="39" s="1"/>
  <c r="U21" i="83" s="1"/>
  <c r="K95" i="39"/>
  <c r="X95" i="39" s="1"/>
  <c r="T21" i="83" s="1"/>
  <c r="J95" i="39"/>
  <c r="W95" i="39" s="1"/>
  <c r="S21" i="83" s="1"/>
  <c r="I95" i="39"/>
  <c r="V95" i="39" s="1"/>
  <c r="R21" i="83" s="1"/>
  <c r="N94" i="39"/>
  <c r="AA94" i="39" s="1"/>
  <c r="W17" i="83" s="1"/>
  <c r="M94" i="39"/>
  <c r="Z94" i="39" s="1"/>
  <c r="V17" i="83" s="1"/>
  <c r="L94" i="39"/>
  <c r="Y94" i="39" s="1"/>
  <c r="U17" i="83" s="1"/>
  <c r="K94" i="39"/>
  <c r="X94" i="39" s="1"/>
  <c r="T17" i="83" s="1"/>
  <c r="J94" i="39"/>
  <c r="W94" i="39" s="1"/>
  <c r="S17" i="83" s="1"/>
  <c r="I94" i="39"/>
  <c r="V94" i="39" s="1"/>
  <c r="R17" i="83" s="1"/>
  <c r="N79" i="39"/>
  <c r="AA79" i="39" s="1"/>
  <c r="M79" i="39"/>
  <c r="Z79" i="39" s="1"/>
  <c r="L79" i="39"/>
  <c r="Y79" i="39" s="1"/>
  <c r="K79" i="39"/>
  <c r="X79" i="39" s="1"/>
  <c r="J79" i="39"/>
  <c r="W79" i="39" s="1"/>
  <c r="I79" i="39"/>
  <c r="V79" i="39" s="1"/>
  <c r="N78" i="39"/>
  <c r="AA78" i="39" s="1"/>
  <c r="M78" i="39"/>
  <c r="Z78" i="39" s="1"/>
  <c r="L78" i="39"/>
  <c r="Y78" i="39" s="1"/>
  <c r="K78" i="39"/>
  <c r="X78" i="39" s="1"/>
  <c r="J78" i="39"/>
  <c r="W78" i="39" s="1"/>
  <c r="I78" i="39"/>
  <c r="V78" i="39" s="1"/>
  <c r="N77" i="39"/>
  <c r="AA77" i="39" s="1"/>
  <c r="M77" i="39"/>
  <c r="L77" i="39"/>
  <c r="Y77" i="39" s="1"/>
  <c r="K77" i="39"/>
  <c r="X77" i="39" s="1"/>
  <c r="J77" i="39"/>
  <c r="W77" i="39" s="1"/>
  <c r="I77" i="39"/>
  <c r="V77" i="39" s="1"/>
  <c r="N75" i="39"/>
  <c r="AA75" i="39" s="1"/>
  <c r="M75" i="39"/>
  <c r="Z75" i="39" s="1"/>
  <c r="L75" i="39"/>
  <c r="Y75" i="39" s="1"/>
  <c r="K75" i="39"/>
  <c r="X75" i="39" s="1"/>
  <c r="J75" i="39"/>
  <c r="W75" i="39" s="1"/>
  <c r="I75" i="39"/>
  <c r="V75" i="39" s="1"/>
  <c r="N74" i="39"/>
  <c r="AA74" i="39" s="1"/>
  <c r="M74" i="39"/>
  <c r="Z74" i="39" s="1"/>
  <c r="L74" i="39"/>
  <c r="Y74" i="39" s="1"/>
  <c r="K74" i="39"/>
  <c r="X74" i="39" s="1"/>
  <c r="J74" i="39"/>
  <c r="W74" i="39" s="1"/>
  <c r="I74" i="39"/>
  <c r="V74" i="39" s="1"/>
  <c r="N73" i="39"/>
  <c r="AA73" i="39" s="1"/>
  <c r="M73" i="39"/>
  <c r="Z73" i="39" s="1"/>
  <c r="L73" i="39"/>
  <c r="Y73" i="39" s="1"/>
  <c r="K73" i="39"/>
  <c r="X73" i="39" s="1"/>
  <c r="J73" i="39"/>
  <c r="W73" i="39" s="1"/>
  <c r="I73" i="39"/>
  <c r="V73" i="39" s="1"/>
  <c r="N63" i="39"/>
  <c r="AA63" i="39" s="1"/>
  <c r="M63" i="39"/>
  <c r="Z63" i="39" s="1"/>
  <c r="L63" i="39"/>
  <c r="Y63" i="39" s="1"/>
  <c r="K63" i="39"/>
  <c r="X63" i="39" s="1"/>
  <c r="J63" i="39"/>
  <c r="W63" i="39" s="1"/>
  <c r="I63" i="39"/>
  <c r="V63" i="39" s="1"/>
  <c r="N62" i="39"/>
  <c r="AA62" i="39" s="1"/>
  <c r="M62" i="39"/>
  <c r="Z62" i="39" s="1"/>
  <c r="L62" i="39"/>
  <c r="Y62" i="39" s="1"/>
  <c r="K62" i="39"/>
  <c r="X62" i="39" s="1"/>
  <c r="J62" i="39"/>
  <c r="W62" i="39" s="1"/>
  <c r="I62" i="39"/>
  <c r="V62" i="39" s="1"/>
  <c r="N61" i="39"/>
  <c r="AA61" i="39" s="1"/>
  <c r="M61" i="39"/>
  <c r="Z61" i="39" s="1"/>
  <c r="L61" i="39"/>
  <c r="Y61" i="39" s="1"/>
  <c r="K61" i="39"/>
  <c r="X61" i="39" s="1"/>
  <c r="J61" i="39"/>
  <c r="W61" i="39" s="1"/>
  <c r="I61" i="39"/>
  <c r="V61" i="39" s="1"/>
  <c r="N59" i="39"/>
  <c r="AA59" i="39" s="1"/>
  <c r="M59" i="39"/>
  <c r="Z59" i="39" s="1"/>
  <c r="L59" i="39"/>
  <c r="Y59" i="39" s="1"/>
  <c r="K59" i="39"/>
  <c r="X59" i="39" s="1"/>
  <c r="J59" i="39"/>
  <c r="W59" i="39" s="1"/>
  <c r="I59" i="39"/>
  <c r="V59" i="39" s="1"/>
  <c r="N58" i="39"/>
  <c r="AA58" i="39" s="1"/>
  <c r="M58" i="39"/>
  <c r="Z58" i="39" s="1"/>
  <c r="L58" i="39"/>
  <c r="Y58" i="39" s="1"/>
  <c r="K58" i="39"/>
  <c r="X58" i="39" s="1"/>
  <c r="J58" i="39"/>
  <c r="W58" i="39" s="1"/>
  <c r="I58" i="39"/>
  <c r="V58" i="39" s="1"/>
  <c r="N57" i="39"/>
  <c r="AA57" i="39" s="1"/>
  <c r="M57" i="39"/>
  <c r="Z57" i="39" s="1"/>
  <c r="L57" i="39"/>
  <c r="Y57" i="39" s="1"/>
  <c r="K57" i="39"/>
  <c r="X57" i="39" s="1"/>
  <c r="J57" i="39"/>
  <c r="W57" i="39" s="1"/>
  <c r="I57" i="39"/>
  <c r="V57" i="39" s="1"/>
  <c r="N47" i="39"/>
  <c r="AA47" i="39" s="1"/>
  <c r="M47" i="39"/>
  <c r="Z47" i="39" s="1"/>
  <c r="L47" i="39"/>
  <c r="Y47" i="39" s="1"/>
  <c r="K47" i="39"/>
  <c r="X47" i="39" s="1"/>
  <c r="J47" i="39"/>
  <c r="W47" i="39" s="1"/>
  <c r="I47" i="39"/>
  <c r="V47" i="39" s="1"/>
  <c r="N46" i="39"/>
  <c r="AA46" i="39" s="1"/>
  <c r="M46" i="39"/>
  <c r="Z46" i="39" s="1"/>
  <c r="L46" i="39"/>
  <c r="Y46" i="39" s="1"/>
  <c r="K46" i="39"/>
  <c r="X46" i="39" s="1"/>
  <c r="J46" i="39"/>
  <c r="W46" i="39" s="1"/>
  <c r="I46" i="39"/>
  <c r="V46" i="39" s="1"/>
  <c r="N45" i="39"/>
  <c r="AA45" i="39" s="1"/>
  <c r="M45" i="39"/>
  <c r="Z45" i="39" s="1"/>
  <c r="L45" i="39"/>
  <c r="Y45" i="39" s="1"/>
  <c r="K45" i="39"/>
  <c r="X45" i="39" s="1"/>
  <c r="J45" i="39"/>
  <c r="W45" i="39" s="1"/>
  <c r="I45" i="39"/>
  <c r="V45" i="39" s="1"/>
  <c r="C49" i="39"/>
  <c r="L10" i="83" s="1"/>
  <c r="N43" i="39"/>
  <c r="AA43" i="39" s="1"/>
  <c r="M43" i="39"/>
  <c r="Z43" i="39" s="1"/>
  <c r="L43" i="39"/>
  <c r="Y43" i="39" s="1"/>
  <c r="K43" i="39"/>
  <c r="X43" i="39" s="1"/>
  <c r="J43" i="39"/>
  <c r="W43" i="39" s="1"/>
  <c r="I43" i="39"/>
  <c r="V43" i="39" s="1"/>
  <c r="N42" i="39"/>
  <c r="AA42" i="39" s="1"/>
  <c r="M42" i="39"/>
  <c r="Z42" i="39" s="1"/>
  <c r="L42" i="39"/>
  <c r="Y42" i="39" s="1"/>
  <c r="K42" i="39"/>
  <c r="X42" i="39" s="1"/>
  <c r="J42" i="39"/>
  <c r="W42" i="39" s="1"/>
  <c r="I42" i="39"/>
  <c r="V42" i="39" s="1"/>
  <c r="N41" i="39"/>
  <c r="AA41" i="39" s="1"/>
  <c r="M41" i="39"/>
  <c r="Z41" i="39" s="1"/>
  <c r="L41" i="39"/>
  <c r="Y41" i="39" s="1"/>
  <c r="K41" i="39"/>
  <c r="X41" i="39" s="1"/>
  <c r="J41" i="39"/>
  <c r="W41" i="39" s="1"/>
  <c r="I41" i="39"/>
  <c r="V41" i="39" s="1"/>
  <c r="N32" i="39"/>
  <c r="AA32" i="39" s="1"/>
  <c r="M32" i="39"/>
  <c r="Z32" i="39" s="1"/>
  <c r="L32" i="39"/>
  <c r="Y32" i="39" s="1"/>
  <c r="K32" i="39"/>
  <c r="X32" i="39" s="1"/>
  <c r="J32" i="39"/>
  <c r="W32" i="39" s="1"/>
  <c r="I32" i="39"/>
  <c r="V32" i="39" s="1"/>
  <c r="N31" i="39"/>
  <c r="AA31" i="39" s="1"/>
  <c r="M31" i="39"/>
  <c r="Z31" i="39" s="1"/>
  <c r="L31" i="39"/>
  <c r="Y31" i="39" s="1"/>
  <c r="K31" i="39"/>
  <c r="X31" i="39" s="1"/>
  <c r="J31" i="39"/>
  <c r="W31" i="39" s="1"/>
  <c r="I31" i="39"/>
  <c r="V31" i="39" s="1"/>
  <c r="N30" i="39"/>
  <c r="AA30" i="39" s="1"/>
  <c r="M30" i="39"/>
  <c r="Z30" i="39" s="1"/>
  <c r="L30" i="39"/>
  <c r="Y30" i="39" s="1"/>
  <c r="K30" i="39"/>
  <c r="X30" i="39" s="1"/>
  <c r="J30" i="39"/>
  <c r="W30" i="39" s="1"/>
  <c r="I30" i="39"/>
  <c r="V30" i="39" s="1"/>
  <c r="N28" i="39"/>
  <c r="AA28" i="39" s="1"/>
  <c r="M28" i="39"/>
  <c r="Z28" i="39" s="1"/>
  <c r="L28" i="39"/>
  <c r="Y28" i="39" s="1"/>
  <c r="K28" i="39"/>
  <c r="X28" i="39" s="1"/>
  <c r="J28" i="39"/>
  <c r="W28" i="39" s="1"/>
  <c r="I28" i="39"/>
  <c r="V28" i="39" s="1"/>
  <c r="N27" i="39"/>
  <c r="AA27" i="39" s="1"/>
  <c r="M27" i="39"/>
  <c r="Z27" i="39" s="1"/>
  <c r="L27" i="39"/>
  <c r="Y27" i="39" s="1"/>
  <c r="K27" i="39"/>
  <c r="X27" i="39" s="1"/>
  <c r="J27" i="39"/>
  <c r="W27" i="39" s="1"/>
  <c r="I27" i="39"/>
  <c r="V27" i="39" s="1"/>
  <c r="N26" i="39"/>
  <c r="AA26" i="39" s="1"/>
  <c r="M26" i="39"/>
  <c r="Z26" i="39" s="1"/>
  <c r="L26" i="39"/>
  <c r="Y26" i="39" s="1"/>
  <c r="K26" i="39"/>
  <c r="X26" i="39" s="1"/>
  <c r="J26" i="39"/>
  <c r="W26" i="39" s="1"/>
  <c r="I26" i="39"/>
  <c r="V26" i="39" s="1"/>
  <c r="N16" i="39"/>
  <c r="AA16" i="39" s="1"/>
  <c r="M16" i="39"/>
  <c r="Z16" i="39" s="1"/>
  <c r="L16" i="39"/>
  <c r="Y16" i="39" s="1"/>
  <c r="K16" i="39"/>
  <c r="X16" i="39" s="1"/>
  <c r="J16" i="39"/>
  <c r="W16" i="39" s="1"/>
  <c r="I16" i="39"/>
  <c r="V16" i="39" s="1"/>
  <c r="N15" i="39"/>
  <c r="AA15" i="39" s="1"/>
  <c r="M15" i="39"/>
  <c r="Z15" i="39" s="1"/>
  <c r="L15" i="39"/>
  <c r="Y15" i="39" s="1"/>
  <c r="K15" i="39"/>
  <c r="X15" i="39" s="1"/>
  <c r="J15" i="39"/>
  <c r="W15" i="39" s="1"/>
  <c r="I15" i="39"/>
  <c r="V15" i="39" s="1"/>
  <c r="N14" i="39"/>
  <c r="AA14" i="39" s="1"/>
  <c r="M14" i="39"/>
  <c r="Z14" i="39" s="1"/>
  <c r="L14" i="39"/>
  <c r="Y14" i="39" s="1"/>
  <c r="K14" i="39"/>
  <c r="X14" i="39" s="1"/>
  <c r="J14" i="39"/>
  <c r="W14" i="39" s="1"/>
  <c r="I14" i="39"/>
  <c r="V14" i="39" s="1"/>
  <c r="C18" i="39"/>
  <c r="L5" i="83" s="1"/>
  <c r="N12" i="39"/>
  <c r="AA12" i="39" s="1"/>
  <c r="M12" i="39"/>
  <c r="Z12" i="39" s="1"/>
  <c r="L12" i="39"/>
  <c r="Y12" i="39" s="1"/>
  <c r="K12" i="39"/>
  <c r="X12" i="39" s="1"/>
  <c r="J12" i="39"/>
  <c r="W12" i="39" s="1"/>
  <c r="I12" i="39"/>
  <c r="V12" i="39" s="1"/>
  <c r="N11" i="39"/>
  <c r="AA11" i="39" s="1"/>
  <c r="M11" i="39"/>
  <c r="Z11" i="39" s="1"/>
  <c r="L11" i="39"/>
  <c r="Y11" i="39" s="1"/>
  <c r="K11" i="39"/>
  <c r="X11" i="39" s="1"/>
  <c r="J11" i="39"/>
  <c r="W11" i="39" s="1"/>
  <c r="N10" i="39"/>
  <c r="AA10" i="39" s="1"/>
  <c r="M10" i="39"/>
  <c r="Z10" i="39" s="1"/>
  <c r="L10" i="39"/>
  <c r="Y10" i="39" s="1"/>
  <c r="K10" i="39"/>
  <c r="X10" i="39" s="1"/>
  <c r="J10" i="39"/>
  <c r="W10" i="39" s="1"/>
  <c r="I10" i="39"/>
  <c r="V10" i="39" s="1"/>
  <c r="I111" i="76"/>
  <c r="Q111" i="76" s="1"/>
  <c r="H111" i="76"/>
  <c r="P111" i="76" s="1"/>
  <c r="G111" i="76"/>
  <c r="O111" i="76" s="1"/>
  <c r="F111" i="76"/>
  <c r="N111" i="76" s="1"/>
  <c r="E111" i="76"/>
  <c r="M111" i="76" s="1"/>
  <c r="D111" i="76"/>
  <c r="L111" i="76" s="1"/>
  <c r="M76" i="39" l="1"/>
  <c r="Z76" i="39" s="1"/>
  <c r="Z77" i="39"/>
  <c r="I60" i="39"/>
  <c r="J60" i="39"/>
  <c r="W60" i="39" s="1"/>
  <c r="N76" i="39"/>
  <c r="AA76" i="39" s="1"/>
  <c r="M60" i="39"/>
  <c r="I76" i="39"/>
  <c r="J76" i="39"/>
  <c r="N29" i="39"/>
  <c r="I44" i="39"/>
  <c r="M44" i="39"/>
  <c r="J44" i="39"/>
  <c r="N44" i="39"/>
  <c r="N60" i="39"/>
  <c r="K44" i="39"/>
  <c r="K60" i="39"/>
  <c r="K76" i="39"/>
  <c r="X76" i="39" s="1"/>
  <c r="I13" i="39"/>
  <c r="M13" i="39"/>
  <c r="L44" i="39"/>
  <c r="L60" i="39"/>
  <c r="L76" i="39"/>
  <c r="J29" i="39"/>
  <c r="L13" i="39"/>
  <c r="K29" i="39"/>
  <c r="N13" i="39"/>
  <c r="L29" i="39"/>
  <c r="J13" i="39"/>
  <c r="K13" i="39"/>
  <c r="I29" i="39"/>
  <c r="M29" i="39"/>
  <c r="T76" i="39" l="1"/>
  <c r="AG76" i="39" s="1"/>
  <c r="P60" i="39"/>
  <c r="AC60" i="39" s="1"/>
  <c r="S76" i="39"/>
  <c r="AF76" i="39" s="1"/>
  <c r="Q76" i="39"/>
  <c r="AD76" i="39" s="1"/>
  <c r="P29" i="39"/>
  <c r="AC29" i="39" s="1"/>
  <c r="W29" i="39"/>
  <c r="S13" i="39"/>
  <c r="AF13" i="39" s="1"/>
  <c r="Z13" i="39"/>
  <c r="Q44" i="39"/>
  <c r="AD44" i="39" s="1"/>
  <c r="X44" i="39"/>
  <c r="S44" i="39"/>
  <c r="AF44" i="39" s="1"/>
  <c r="Z44" i="39"/>
  <c r="O76" i="39"/>
  <c r="AB76" i="39" s="1"/>
  <c r="V76" i="39"/>
  <c r="O60" i="39"/>
  <c r="AB60" i="39" s="1"/>
  <c r="V60" i="39"/>
  <c r="P13" i="39"/>
  <c r="AC13" i="39" s="1"/>
  <c r="W13" i="39"/>
  <c r="R13" i="39"/>
  <c r="AE13" i="39" s="1"/>
  <c r="Y13" i="39"/>
  <c r="Q60" i="39"/>
  <c r="AD60" i="39" s="1"/>
  <c r="X60" i="39"/>
  <c r="R29" i="39"/>
  <c r="AE29" i="39" s="1"/>
  <c r="Y29" i="39"/>
  <c r="O29" i="39"/>
  <c r="AB29" i="39" s="1"/>
  <c r="V29" i="39"/>
  <c r="T13" i="39"/>
  <c r="AG13" i="39" s="1"/>
  <c r="AA13" i="39"/>
  <c r="R76" i="39"/>
  <c r="AE76" i="39" s="1"/>
  <c r="Y76" i="39"/>
  <c r="O13" i="39"/>
  <c r="AB13" i="39" s="1"/>
  <c r="V13" i="39"/>
  <c r="T60" i="39"/>
  <c r="AG60" i="39" s="1"/>
  <c r="AA60" i="39"/>
  <c r="I49" i="39"/>
  <c r="V49" i="39" s="1"/>
  <c r="R10" i="83" s="1"/>
  <c r="V44" i="39"/>
  <c r="S60" i="39"/>
  <c r="AF60" i="39" s="1"/>
  <c r="Z60" i="39"/>
  <c r="R44" i="39"/>
  <c r="AE44" i="39" s="1"/>
  <c r="Y44" i="39"/>
  <c r="P44" i="39"/>
  <c r="AC44" i="39" s="1"/>
  <c r="W44" i="39"/>
  <c r="P76" i="39"/>
  <c r="AC76" i="39" s="1"/>
  <c r="W76" i="39"/>
  <c r="S29" i="39"/>
  <c r="AF29" i="39" s="1"/>
  <c r="Z29" i="39"/>
  <c r="Q13" i="39"/>
  <c r="AD13" i="39" s="1"/>
  <c r="X13" i="39"/>
  <c r="Q29" i="39"/>
  <c r="AD29" i="39" s="1"/>
  <c r="X29" i="39"/>
  <c r="R60" i="39"/>
  <c r="AE60" i="39" s="1"/>
  <c r="Y60" i="39"/>
  <c r="T44" i="39"/>
  <c r="AG44" i="39" s="1"/>
  <c r="AA44" i="39"/>
  <c r="T29" i="39"/>
  <c r="AG29" i="39" s="1"/>
  <c r="AA29" i="39"/>
  <c r="O44" i="39"/>
  <c r="AB44" i="39" s="1"/>
  <c r="I25" i="65"/>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12" i="1" s="1"/>
  <c r="E6" i="83"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L151" i="41" l="1"/>
  <c r="CF151" i="41" s="1"/>
  <c r="AK151" i="41"/>
  <c r="CE151" i="41" s="1"/>
  <c r="AJ151" i="41"/>
  <c r="CD151" i="41" s="1"/>
  <c r="AI151" i="41"/>
  <c r="CC151" i="41" s="1"/>
  <c r="AH151" i="41"/>
  <c r="CB151" i="41" s="1"/>
  <c r="AG151" i="41"/>
  <c r="CA151" i="41" s="1"/>
  <c r="AF151" i="41"/>
  <c r="BZ151" i="41" s="1"/>
  <c r="AD151" i="41"/>
  <c r="BX151" i="41" s="1"/>
  <c r="AC151" i="41"/>
  <c r="BW151" i="41" s="1"/>
  <c r="AB151" i="41"/>
  <c r="BV151" i="41" s="1"/>
  <c r="AA151" i="41"/>
  <c r="BU151" i="41" s="1"/>
  <c r="Z151" i="41"/>
  <c r="BT151" i="41" s="1"/>
  <c r="Y151" i="41"/>
  <c r="BS151" i="41" s="1"/>
  <c r="X151" i="41"/>
  <c r="BR151" i="41" s="1"/>
  <c r="V151" i="41"/>
  <c r="BP151" i="41" s="1"/>
  <c r="U151" i="41"/>
  <c r="BO151" i="41" s="1"/>
  <c r="T151" i="41"/>
  <c r="BN151" i="41" s="1"/>
  <c r="S151" i="41"/>
  <c r="BM151" i="41" s="1"/>
  <c r="R151" i="41"/>
  <c r="BL151" i="41" s="1"/>
  <c r="Q151" i="41"/>
  <c r="BK151" i="41" s="1"/>
  <c r="P151" i="41"/>
  <c r="BJ151" i="41" s="1"/>
  <c r="AL150" i="41"/>
  <c r="CF150" i="41" s="1"/>
  <c r="AK150" i="41"/>
  <c r="CE150" i="41" s="1"/>
  <c r="AJ150" i="41"/>
  <c r="CD150" i="41" s="1"/>
  <c r="AI150" i="41"/>
  <c r="CC150" i="41" s="1"/>
  <c r="AH150" i="41"/>
  <c r="CB150" i="41" s="1"/>
  <c r="AG150" i="41"/>
  <c r="CA150" i="41" s="1"/>
  <c r="AF150" i="41"/>
  <c r="BZ150" i="41" s="1"/>
  <c r="AD150" i="41"/>
  <c r="BX150" i="41" s="1"/>
  <c r="AC150" i="41"/>
  <c r="BW150" i="41" s="1"/>
  <c r="AB150" i="41"/>
  <c r="BV150" i="41" s="1"/>
  <c r="AA150" i="41"/>
  <c r="BU150" i="41" s="1"/>
  <c r="Z150" i="41"/>
  <c r="BT150" i="41" s="1"/>
  <c r="Y150" i="41"/>
  <c r="BS150" i="41" s="1"/>
  <c r="X150" i="41"/>
  <c r="BR150" i="41" s="1"/>
  <c r="V150" i="41"/>
  <c r="BP150" i="41" s="1"/>
  <c r="U150" i="41"/>
  <c r="BO150" i="41" s="1"/>
  <c r="T150" i="41"/>
  <c r="BN150" i="41" s="1"/>
  <c r="S150" i="41"/>
  <c r="BM150" i="41" s="1"/>
  <c r="R150" i="41"/>
  <c r="BL150" i="41" s="1"/>
  <c r="Q150" i="41"/>
  <c r="BK150" i="41" s="1"/>
  <c r="P150" i="41"/>
  <c r="BJ150" i="41" s="1"/>
  <c r="F60" i="1" l="1"/>
  <c r="G60" i="1"/>
  <c r="H60" i="1"/>
  <c r="I60" i="1"/>
  <c r="J60" i="1"/>
  <c r="F61" i="1"/>
  <c r="G61" i="1"/>
  <c r="H61" i="1"/>
  <c r="I61" i="1"/>
  <c r="J61" i="1"/>
  <c r="E61" i="1"/>
  <c r="E60" i="1"/>
  <c r="AF43" i="60" l="1"/>
  <c r="CC43" i="60" s="1"/>
  <c r="AF39" i="60"/>
  <c r="CC39" i="60" s="1"/>
  <c r="AE43" i="60"/>
  <c r="CB43" i="60" s="1"/>
  <c r="AD43" i="60"/>
  <c r="CA43" i="60" s="1"/>
  <c r="AC43" i="60"/>
  <c r="BZ43" i="60" s="1"/>
  <c r="AB43" i="60"/>
  <c r="BY43" i="60" s="1"/>
  <c r="AE39" i="60"/>
  <c r="CB39" i="60" s="1"/>
  <c r="AD39" i="60"/>
  <c r="CA39" i="60" s="1"/>
  <c r="AC39" i="60"/>
  <c r="BZ39" i="60" s="1"/>
  <c r="AB39" i="60"/>
  <c r="BY39" i="60" s="1"/>
  <c r="AA43" i="60"/>
  <c r="BX43" i="60" s="1"/>
  <c r="AA39" i="60"/>
  <c r="BX39" i="60" s="1"/>
  <c r="Z39" i="60"/>
  <c r="BW39" i="60" s="1"/>
  <c r="W43" i="60"/>
  <c r="BT43" i="60" s="1"/>
  <c r="Z43" i="60"/>
  <c r="BW43" i="60" s="1"/>
  <c r="Y43" i="60"/>
  <c r="BV43" i="60" s="1"/>
  <c r="X43" i="60"/>
  <c r="BU43" i="60" s="1"/>
  <c r="V43" i="60"/>
  <c r="BS43" i="60" s="1"/>
  <c r="Y39" i="60"/>
  <c r="BV39" i="60" s="1"/>
  <c r="X39" i="60"/>
  <c r="BU39" i="60" s="1"/>
  <c r="W39" i="60"/>
  <c r="BT39" i="60" s="1"/>
  <c r="V39" i="60"/>
  <c r="BS39" i="60" s="1"/>
  <c r="U43" i="60"/>
  <c r="BR43" i="60" s="1"/>
  <c r="U39" i="60"/>
  <c r="BR39" i="60" s="1"/>
  <c r="T43" i="60"/>
  <c r="BQ43" i="60" s="1"/>
  <c r="S43" i="60"/>
  <c r="BP43" i="60" s="1"/>
  <c r="R43" i="60"/>
  <c r="BO43" i="60" s="1"/>
  <c r="Q43" i="60"/>
  <c r="BN43" i="60" s="1"/>
  <c r="P43" i="60"/>
  <c r="BM43" i="60" s="1"/>
  <c r="T39" i="60"/>
  <c r="BQ39" i="60" s="1"/>
  <c r="S39" i="60"/>
  <c r="BP39" i="60" s="1"/>
  <c r="R39" i="60"/>
  <c r="BO39" i="60" s="1"/>
  <c r="Q39" i="60"/>
  <c r="BN39" i="60" s="1"/>
  <c r="P39" i="60"/>
  <c r="BM39" i="60" s="1"/>
  <c r="O43" i="60"/>
  <c r="BL43" i="60" s="1"/>
  <c r="O39" i="60"/>
  <c r="BL39" i="60" s="1"/>
  <c r="N43" i="60"/>
  <c r="BK43" i="60" s="1"/>
  <c r="M43" i="60"/>
  <c r="BJ43" i="60" s="1"/>
  <c r="L43" i="60"/>
  <c r="BI43" i="60" s="1"/>
  <c r="K43" i="60"/>
  <c r="BH43" i="60" s="1"/>
  <c r="J43" i="60"/>
  <c r="BG43" i="60" s="1"/>
  <c r="N39" i="60"/>
  <c r="BK39" i="60" s="1"/>
  <c r="M39" i="60"/>
  <c r="BJ39" i="60" s="1"/>
  <c r="L39" i="60"/>
  <c r="BI39" i="60" s="1"/>
  <c r="K39" i="60"/>
  <c r="BH39" i="60" s="1"/>
  <c r="J39" i="60"/>
  <c r="BG39" i="60" s="1"/>
  <c r="I43" i="60"/>
  <c r="BF43" i="60" s="1"/>
  <c r="I39" i="60"/>
  <c r="BF39" i="60" s="1"/>
  <c r="H39" i="60"/>
  <c r="BE39" i="60" s="1"/>
  <c r="G39" i="60"/>
  <c r="BD39" i="60" s="1"/>
  <c r="F39" i="60"/>
  <c r="BC39" i="60" s="1"/>
  <c r="E39" i="60"/>
  <c r="BB39" i="60" s="1"/>
  <c r="D39" i="60"/>
  <c r="BA39" i="60" s="1"/>
  <c r="H43" i="60"/>
  <c r="BE43" i="60" s="1"/>
  <c r="G43" i="60"/>
  <c r="BD43" i="60" s="1"/>
  <c r="F43" i="60"/>
  <c r="BC43" i="60" s="1"/>
  <c r="E43" i="60"/>
  <c r="BB43" i="60" s="1"/>
  <c r="D43" i="60"/>
  <c r="BA43" i="60" s="1"/>
  <c r="C43" i="60"/>
  <c r="AZ43" i="60" s="1"/>
  <c r="C39" i="60"/>
  <c r="AZ39" i="60" s="1"/>
  <c r="AJ94" i="73"/>
  <c r="BY94" i="73" s="1"/>
  <c r="AK94" i="73"/>
  <c r="BZ94" i="73" s="1"/>
  <c r="AL94" i="73"/>
  <c r="AM94" i="73"/>
  <c r="CA94" i="73" s="1"/>
  <c r="AN94" i="73"/>
  <c r="AO94" i="73"/>
  <c r="CB94" i="73" s="1"/>
  <c r="AP94" i="73"/>
  <c r="AQ94" i="73"/>
  <c r="CC94" i="73" s="1"/>
  <c r="AR94" i="73"/>
  <c r="AS94" i="73"/>
  <c r="CD94" i="73" s="1"/>
  <c r="AT94" i="73"/>
  <c r="AU94" i="73"/>
  <c r="CE94" i="73" s="1"/>
  <c r="AV94" i="73"/>
  <c r="CF94" i="73" s="1"/>
  <c r="AW94" i="73"/>
  <c r="AX94" i="73"/>
  <c r="CG94" i="73" s="1"/>
  <c r="AY94" i="73"/>
  <c r="AZ94" i="73"/>
  <c r="CH94" i="73" s="1"/>
  <c r="BA94" i="73"/>
  <c r="BB94" i="73"/>
  <c r="CI94" i="73" s="1"/>
  <c r="BC94" i="73"/>
  <c r="BD94" i="73"/>
  <c r="CJ94" i="73" s="1"/>
  <c r="BE94" i="73"/>
  <c r="AR69" i="53"/>
  <c r="CT69" i="53" s="1"/>
  <c r="AS69" i="53"/>
  <c r="CU69" i="53" s="1"/>
  <c r="AT69" i="53"/>
  <c r="CV69" i="53" s="1"/>
  <c r="AU69" i="53"/>
  <c r="CW69" i="53" s="1"/>
  <c r="AV69" i="53"/>
  <c r="CX69" i="53" s="1"/>
  <c r="AV66" i="53"/>
  <c r="CX66" i="53" s="1"/>
  <c r="AU66" i="53"/>
  <c r="CW66" i="53" s="1"/>
  <c r="AT66" i="53"/>
  <c r="CV66" i="53" s="1"/>
  <c r="AS66" i="53"/>
  <c r="CU66" i="53" s="1"/>
  <c r="AR66" i="53"/>
  <c r="CT66" i="53" s="1"/>
  <c r="AQ69" i="53"/>
  <c r="CS69" i="53" s="1"/>
  <c r="AQ66" i="53"/>
  <c r="CS66" i="53" s="1"/>
  <c r="AQ62" i="53"/>
  <c r="CS62" i="53" s="1"/>
  <c r="AN69" i="53"/>
  <c r="CQ69" i="53" s="1"/>
  <c r="AM69" i="53"/>
  <c r="CP69" i="53" s="1"/>
  <c r="AL69" i="53"/>
  <c r="CO69" i="53" s="1"/>
  <c r="AK69" i="53"/>
  <c r="CN69" i="53" s="1"/>
  <c r="AJ69" i="53"/>
  <c r="CM69" i="53" s="1"/>
  <c r="AN66" i="53"/>
  <c r="CQ66" i="53" s="1"/>
  <c r="AM66" i="53"/>
  <c r="CP66" i="53" s="1"/>
  <c r="AL66" i="53"/>
  <c r="CO66" i="53" s="1"/>
  <c r="AK66" i="53"/>
  <c r="CN66" i="53" s="1"/>
  <c r="AJ66" i="53"/>
  <c r="CM66" i="53" s="1"/>
  <c r="AI69" i="53"/>
  <c r="AI66" i="53"/>
  <c r="AF69" i="53"/>
  <c r="CJ69" i="53" s="1"/>
  <c r="AE69" i="53"/>
  <c r="CI69" i="53" s="1"/>
  <c r="AD69" i="53"/>
  <c r="CH69" i="53" s="1"/>
  <c r="AC69" i="53"/>
  <c r="CG69" i="53" s="1"/>
  <c r="AB69" i="53"/>
  <c r="CF69" i="53" s="1"/>
  <c r="AF66" i="53"/>
  <c r="CJ66" i="53" s="1"/>
  <c r="AE66" i="53"/>
  <c r="CI66" i="53" s="1"/>
  <c r="AD66" i="53"/>
  <c r="CH66" i="53" s="1"/>
  <c r="AC66" i="53"/>
  <c r="CG66" i="53" s="1"/>
  <c r="AB66" i="53"/>
  <c r="CF66" i="53" s="1"/>
  <c r="AA69" i="53"/>
  <c r="AA66" i="53"/>
  <c r="X69" i="53"/>
  <c r="CC69" i="53" s="1"/>
  <c r="W69" i="53"/>
  <c r="CB69" i="53" s="1"/>
  <c r="V69" i="53"/>
  <c r="CA69" i="53" s="1"/>
  <c r="U69" i="53"/>
  <c r="BZ69" i="53" s="1"/>
  <c r="T69" i="53"/>
  <c r="BY69" i="53" s="1"/>
  <c r="X66" i="53"/>
  <c r="CC66" i="53" s="1"/>
  <c r="W66" i="53"/>
  <c r="CB66" i="53" s="1"/>
  <c r="V66" i="53"/>
  <c r="CA66" i="53" s="1"/>
  <c r="U66" i="53"/>
  <c r="BZ66" i="53" s="1"/>
  <c r="T66" i="53"/>
  <c r="BY66" i="53" s="1"/>
  <c r="S69" i="53"/>
  <c r="S66" i="53"/>
  <c r="P69" i="53"/>
  <c r="BV69" i="53" s="1"/>
  <c r="O69" i="53"/>
  <c r="BU69" i="53" s="1"/>
  <c r="N69" i="53"/>
  <c r="BT69" i="53" s="1"/>
  <c r="M69" i="53"/>
  <c r="BS69" i="53" s="1"/>
  <c r="L69" i="53"/>
  <c r="BR69" i="53" s="1"/>
  <c r="P66" i="53"/>
  <c r="BV66" i="53" s="1"/>
  <c r="O66" i="53"/>
  <c r="BU66" i="53" s="1"/>
  <c r="N66" i="53"/>
  <c r="BT66" i="53" s="1"/>
  <c r="M66" i="53"/>
  <c r="BS66" i="53" s="1"/>
  <c r="L66" i="53"/>
  <c r="BR66" i="53" s="1"/>
  <c r="K69" i="53"/>
  <c r="K66" i="53"/>
  <c r="BQ66" i="53" s="1"/>
  <c r="H66" i="53"/>
  <c r="BO66" i="53" s="1"/>
  <c r="G66" i="53"/>
  <c r="BN66" i="53" s="1"/>
  <c r="F66" i="53"/>
  <c r="BM66" i="53" s="1"/>
  <c r="E66" i="53"/>
  <c r="BL66" i="53" s="1"/>
  <c r="D66" i="53"/>
  <c r="BK66" i="53" s="1"/>
  <c r="C66" i="53"/>
  <c r="BJ66" i="53" s="1"/>
  <c r="H69" i="53"/>
  <c r="BO69" i="53" s="1"/>
  <c r="G69" i="53"/>
  <c r="BN69" i="53" s="1"/>
  <c r="F69" i="53"/>
  <c r="BM69" i="53" s="1"/>
  <c r="E69" i="53"/>
  <c r="BL69" i="53" s="1"/>
  <c r="D69" i="53"/>
  <c r="BK69" i="53" s="1"/>
  <c r="C69" i="53"/>
  <c r="AJ66" i="73" l="1"/>
  <c r="BY66" i="73" s="1"/>
  <c r="CE66" i="53"/>
  <c r="N69" i="73"/>
  <c r="BM69" i="73" s="1"/>
  <c r="BQ69" i="53"/>
  <c r="AJ69" i="73"/>
  <c r="BY69" i="73" s="1"/>
  <c r="CE69" i="53"/>
  <c r="C69" i="73"/>
  <c r="BG69" i="73" s="1"/>
  <c r="BJ69" i="53"/>
  <c r="Y66" i="73"/>
  <c r="BS66" i="73" s="1"/>
  <c r="BX66" i="53"/>
  <c r="AU66" i="73"/>
  <c r="CE66" i="73" s="1"/>
  <c r="CL66" i="53"/>
  <c r="Y69" i="73"/>
  <c r="BS69" i="73" s="1"/>
  <c r="BX69" i="53"/>
  <c r="AU69" i="73"/>
  <c r="CE69" i="73" s="1"/>
  <c r="CL69" i="53"/>
  <c r="AW39" i="60"/>
  <c r="Q69" i="53"/>
  <c r="BW69" i="53" s="1"/>
  <c r="R69" i="53"/>
  <c r="AH69" i="53"/>
  <c r="AG69" i="53"/>
  <c r="CK69" i="53" s="1"/>
  <c r="AV39" i="60"/>
  <c r="J66" i="53"/>
  <c r="I66" i="53"/>
  <c r="BP66" i="53" s="1"/>
  <c r="Y69" i="53"/>
  <c r="CD69" i="53" s="1"/>
  <c r="Z69" i="53"/>
  <c r="AP69" i="53"/>
  <c r="AO69" i="53"/>
  <c r="CR69" i="53" s="1"/>
  <c r="AG66" i="53"/>
  <c r="CK66" i="53" s="1"/>
  <c r="AH66" i="53"/>
  <c r="J69" i="53"/>
  <c r="I69" i="53"/>
  <c r="BP69" i="53" s="1"/>
  <c r="AV43" i="60"/>
  <c r="R66" i="53"/>
  <c r="Q66" i="53"/>
  <c r="BW66" i="53" s="1"/>
  <c r="Z66" i="53"/>
  <c r="Y66" i="53"/>
  <c r="CD66" i="53" s="1"/>
  <c r="AP66" i="53"/>
  <c r="AO66" i="53"/>
  <c r="CR66" i="53" s="1"/>
  <c r="AW43" i="60"/>
  <c r="BB69" i="73"/>
  <c r="CI69" i="73" s="1"/>
  <c r="V69" i="73"/>
  <c r="O66" i="73"/>
  <c r="BN66" i="73" s="1"/>
  <c r="R69" i="73"/>
  <c r="AB69" i="73"/>
  <c r="BU69" i="73" s="1"/>
  <c r="AM69" i="73"/>
  <c r="CA69" i="73" s="1"/>
  <c r="AY69" i="73"/>
  <c r="AE69" i="73"/>
  <c r="AP69" i="73"/>
  <c r="AZ69" i="73"/>
  <c r="CH69" i="73" s="1"/>
  <c r="BE66" i="53"/>
  <c r="DG66" i="53" s="1"/>
  <c r="K69" i="73"/>
  <c r="D69" i="73"/>
  <c r="BH69" i="73" s="1"/>
  <c r="U66" i="73"/>
  <c r="BQ66" i="73" s="1"/>
  <c r="S69" i="73"/>
  <c r="BP69" i="73" s="1"/>
  <c r="AZ69" i="53"/>
  <c r="DB69" i="53" s="1"/>
  <c r="AX69" i="73"/>
  <c r="CG69" i="73" s="1"/>
  <c r="G69" i="73"/>
  <c r="AW66" i="53"/>
  <c r="CY66" i="53" s="1"/>
  <c r="BA66" i="53"/>
  <c r="DC66" i="53" s="1"/>
  <c r="U69" i="73"/>
  <c r="BQ69" i="73" s="1"/>
  <c r="Z66" i="73"/>
  <c r="BT66" i="73" s="1"/>
  <c r="AH66" i="73"/>
  <c r="BX66" i="73" s="1"/>
  <c r="AF69" i="73"/>
  <c r="BW69" i="73" s="1"/>
  <c r="AK66" i="73"/>
  <c r="BZ66" i="73" s="1"/>
  <c r="AS66" i="73"/>
  <c r="CD66" i="73" s="1"/>
  <c r="AQ69" i="73"/>
  <c r="CC69" i="73" s="1"/>
  <c r="AV66" i="73"/>
  <c r="CF66" i="73" s="1"/>
  <c r="BC69" i="73"/>
  <c r="J69" i="73"/>
  <c r="BK69" i="73" s="1"/>
  <c r="AO69" i="73"/>
  <c r="CB69" i="73" s="1"/>
  <c r="H69" i="73"/>
  <c r="BJ69" i="73" s="1"/>
  <c r="Q66" i="73"/>
  <c r="BO66" i="73" s="1"/>
  <c r="O69" i="73"/>
  <c r="BN69" i="73" s="1"/>
  <c r="W69" i="73"/>
  <c r="BR69" i="73" s="1"/>
  <c r="AA69" i="73"/>
  <c r="AI69" i="73"/>
  <c r="AK69" i="73"/>
  <c r="BZ69" i="73" s="1"/>
  <c r="AV69" i="73"/>
  <c r="CF69" i="73" s="1"/>
  <c r="BD69" i="73"/>
  <c r="CJ69" i="73" s="1"/>
  <c r="AD69" i="73"/>
  <c r="BV69" i="73" s="1"/>
  <c r="F69" i="73"/>
  <c r="BI69" i="73" s="1"/>
  <c r="AD66" i="73"/>
  <c r="BV66" i="73" s="1"/>
  <c r="AO66" i="73"/>
  <c r="CB66" i="73" s="1"/>
  <c r="AZ66" i="73"/>
  <c r="CH66" i="73" s="1"/>
  <c r="BC66" i="53"/>
  <c r="DE66" i="53" s="1"/>
  <c r="AA66" i="73"/>
  <c r="D66" i="73"/>
  <c r="BH66" i="73" s="1"/>
  <c r="P66" i="73"/>
  <c r="AF66" i="73"/>
  <c r="BW66" i="73" s="1"/>
  <c r="AR66" i="73"/>
  <c r="BB66" i="73"/>
  <c r="CI66" i="73" s="1"/>
  <c r="AQ66" i="73"/>
  <c r="CC66" i="73" s="1"/>
  <c r="K66" i="73"/>
  <c r="L66" i="73"/>
  <c r="BL66" i="73" s="1"/>
  <c r="BD66" i="73"/>
  <c r="CJ66" i="73" s="1"/>
  <c r="AI66" i="73"/>
  <c r="G66" i="73"/>
  <c r="H66" i="73"/>
  <c r="BJ66" i="73" s="1"/>
  <c r="T66" i="73"/>
  <c r="AB66" i="73"/>
  <c r="BU66" i="73" s="1"/>
  <c r="AN66" i="73"/>
  <c r="AY66" i="73"/>
  <c r="BG66" i="53"/>
  <c r="DI66" i="53" s="1"/>
  <c r="BC66" i="73"/>
  <c r="AE66" i="73"/>
  <c r="C66" i="73"/>
  <c r="BG66" i="73" s="1"/>
  <c r="BH69" i="53"/>
  <c r="DJ69" i="53" s="1"/>
  <c r="AY66" i="53"/>
  <c r="DA66" i="53" s="1"/>
  <c r="W66" i="73"/>
  <c r="BR66" i="73" s="1"/>
  <c r="AT69" i="73"/>
  <c r="AL69" i="73"/>
  <c r="BG69" i="53"/>
  <c r="DI69" i="53" s="1"/>
  <c r="BC69" i="53"/>
  <c r="DE69" i="53" s="1"/>
  <c r="AX69" i="53"/>
  <c r="CZ69" i="53" s="1"/>
  <c r="BF66" i="53"/>
  <c r="DH66" i="53" s="1"/>
  <c r="BB66" i="53"/>
  <c r="DD66" i="53" s="1"/>
  <c r="AX66" i="53"/>
  <c r="CZ66" i="53" s="1"/>
  <c r="AX66" i="73"/>
  <c r="CG66" i="73" s="1"/>
  <c r="AT66" i="73"/>
  <c r="AP66" i="73"/>
  <c r="AL66" i="73"/>
  <c r="V66" i="73"/>
  <c r="R66" i="73"/>
  <c r="N66" i="73"/>
  <c r="BM66" i="73" s="1"/>
  <c r="J66" i="73"/>
  <c r="BK66" i="73" s="1"/>
  <c r="F66" i="73"/>
  <c r="BI66" i="73" s="1"/>
  <c r="BE69" i="73"/>
  <c r="BA69" i="73"/>
  <c r="AW69" i="73"/>
  <c r="AS69" i="73"/>
  <c r="CD69" i="73" s="1"/>
  <c r="AG69" i="73"/>
  <c r="AC69" i="73"/>
  <c r="Q69" i="73"/>
  <c r="BO69" i="73" s="1"/>
  <c r="M69" i="73"/>
  <c r="I69" i="73"/>
  <c r="E69" i="73"/>
  <c r="BD69" i="53"/>
  <c r="DF69" i="53" s="1"/>
  <c r="BF69" i="53"/>
  <c r="DH69" i="53" s="1"/>
  <c r="BB69" i="53"/>
  <c r="DD69" i="53" s="1"/>
  <c r="AW69" i="53"/>
  <c r="CY69" i="53" s="1"/>
  <c r="BE66" i="73"/>
  <c r="BA66" i="73"/>
  <c r="AW66" i="73"/>
  <c r="AG66" i="73"/>
  <c r="AC66" i="73"/>
  <c r="M66" i="73"/>
  <c r="I66" i="73"/>
  <c r="E66" i="73"/>
  <c r="AR69" i="73"/>
  <c r="AN69" i="73"/>
  <c r="X69" i="73"/>
  <c r="T69" i="73"/>
  <c r="P69" i="73"/>
  <c r="L69" i="73"/>
  <c r="BL69" i="73" s="1"/>
  <c r="AM66" i="73"/>
  <c r="CA66" i="73" s="1"/>
  <c r="S66" i="73"/>
  <c r="BP66" i="73" s="1"/>
  <c r="AH69" i="73"/>
  <c r="BX69" i="73" s="1"/>
  <c r="Z69" i="73"/>
  <c r="BT69" i="73" s="1"/>
  <c r="BE69" i="53"/>
  <c r="DG69" i="53" s="1"/>
  <c r="BA69" i="53"/>
  <c r="DC69" i="53" s="1"/>
  <c r="BH66" i="53"/>
  <c r="DJ66" i="53" s="1"/>
  <c r="BD66" i="53"/>
  <c r="DF66" i="53" s="1"/>
  <c r="AZ66" i="53"/>
  <c r="DB66" i="53" s="1"/>
  <c r="AY69" i="53"/>
  <c r="DA69" i="53" s="1"/>
  <c r="X66" i="73"/>
  <c r="J42" i="2" l="1"/>
  <c r="AG39" i="83" s="1"/>
  <c r="I42" i="2"/>
  <c r="AF39" i="83" s="1"/>
  <c r="H42" i="2"/>
  <c r="AE39" i="83" s="1"/>
  <c r="G42" i="2"/>
  <c r="AD39" i="83" s="1"/>
  <c r="F42" i="2"/>
  <c r="AC39" i="83" s="1"/>
  <c r="E42" i="2"/>
  <c r="AB39" i="83" s="1"/>
  <c r="S42" i="2" l="1"/>
  <c r="U42" i="2"/>
  <c r="T42" i="2"/>
  <c r="R42" i="2"/>
  <c r="Q42" i="2"/>
  <c r="C92" i="39" l="1"/>
  <c r="C90" i="39"/>
  <c r="C89" i="39"/>
  <c r="AP48" i="60" l="1"/>
  <c r="CM48" i="60" s="1"/>
  <c r="AJ10" i="73" l="1"/>
  <c r="AU10" i="73" s="1"/>
  <c r="Y10" i="73"/>
  <c r="N10" i="73"/>
  <c r="C11" i="5" l="1"/>
  <c r="AO24" i="79" l="1"/>
  <c r="AP24" i="79"/>
  <c r="AN24" i="79"/>
  <c r="AM23" i="79"/>
  <c r="AN21" i="79"/>
  <c r="AO21" i="79"/>
  <c r="AP21" i="79"/>
  <c r="AQ21" i="79"/>
  <c r="AR21" i="79"/>
  <c r="AS21" i="79"/>
  <c r="AM21" i="79"/>
  <c r="D110" i="46" l="1"/>
  <c r="S7" i="84" s="1"/>
  <c r="D79" i="46"/>
  <c r="S6" i="84" s="1"/>
  <c r="D53" i="46"/>
  <c r="S5" i="84" s="1"/>
  <c r="V18" i="46"/>
  <c r="AI18" i="46" s="1"/>
  <c r="AW74" i="53" l="1"/>
  <c r="CY74" i="53" s="1"/>
  <c r="AW73" i="53"/>
  <c r="CY73" i="53" s="1"/>
  <c r="AW72" i="53"/>
  <c r="CY72" i="53" s="1"/>
  <c r="BC49" i="53"/>
  <c r="DE49" i="53" s="1"/>
  <c r="BD49" i="53"/>
  <c r="DF49" i="53" s="1"/>
  <c r="BE49" i="53"/>
  <c r="DG49" i="53" s="1"/>
  <c r="BF49" i="53"/>
  <c r="DH49" i="53" s="1"/>
  <c r="BG49" i="53"/>
  <c r="DI49" i="53" s="1"/>
  <c r="BH49" i="53"/>
  <c r="DJ49" i="53" s="1"/>
  <c r="BC50" i="53"/>
  <c r="DE50" i="53" s="1"/>
  <c r="BD50" i="53"/>
  <c r="DF50" i="53" s="1"/>
  <c r="BE50" i="53"/>
  <c r="DG50" i="53" s="1"/>
  <c r="BF50" i="53"/>
  <c r="DH50" i="53" s="1"/>
  <c r="BG50" i="53"/>
  <c r="DI50" i="53" s="1"/>
  <c r="BH50" i="53"/>
  <c r="DJ50" i="53" s="1"/>
  <c r="BD72" i="53"/>
  <c r="DF72" i="53" s="1"/>
  <c r="BD74" i="53"/>
  <c r="DF74" i="53" s="1"/>
  <c r="BH74" i="53"/>
  <c r="DJ74" i="53" s="1"/>
  <c r="BG74" i="53"/>
  <c r="DI74" i="53" s="1"/>
  <c r="BF74" i="53"/>
  <c r="DH74" i="53" s="1"/>
  <c r="BE74" i="53"/>
  <c r="DG74" i="53" s="1"/>
  <c r="BH72" i="53"/>
  <c r="DJ72" i="53" s="1"/>
  <c r="BG72" i="53"/>
  <c r="DI72" i="53" s="1"/>
  <c r="BF72" i="53"/>
  <c r="DH72" i="53" s="1"/>
  <c r="BE72" i="53"/>
  <c r="DG72" i="53" s="1"/>
  <c r="BC74" i="53"/>
  <c r="DE74" i="53" s="1"/>
  <c r="BB74" i="53"/>
  <c r="DD74" i="53" s="1"/>
  <c r="BA74" i="53"/>
  <c r="DC74" i="53" s="1"/>
  <c r="AZ74" i="53"/>
  <c r="DB74" i="53" s="1"/>
  <c r="AY74" i="53"/>
  <c r="DA74" i="53" s="1"/>
  <c r="AX74" i="53"/>
  <c r="CZ74" i="53" s="1"/>
  <c r="BC72" i="53"/>
  <c r="DE72" i="53" s="1"/>
  <c r="BB72" i="53"/>
  <c r="DD72" i="53" s="1"/>
  <c r="BA72" i="53"/>
  <c r="DC72" i="53" s="1"/>
  <c r="AZ72" i="53"/>
  <c r="DB72" i="53" s="1"/>
  <c r="AY72" i="53"/>
  <c r="DA72" i="53" s="1"/>
  <c r="AX72" i="53"/>
  <c r="CZ72" i="53" s="1"/>
  <c r="E142" i="46" l="1"/>
  <c r="I142" i="46"/>
  <c r="H142" i="46"/>
  <c r="G142" i="46"/>
  <c r="F142" i="46"/>
  <c r="AJ65" i="53"/>
  <c r="CM65" i="53" s="1"/>
  <c r="AK65" i="53"/>
  <c r="CN65" i="53" s="1"/>
  <c r="AL65" i="53"/>
  <c r="CO65" i="53" s="1"/>
  <c r="AM65" i="53"/>
  <c r="CP65" i="53" s="1"/>
  <c r="AN65" i="53"/>
  <c r="CQ65" i="53" s="1"/>
  <c r="AI65" i="53"/>
  <c r="CL65" i="53" s="1"/>
  <c r="AJ61" i="53"/>
  <c r="CM61" i="53" s="1"/>
  <c r="AK61" i="53"/>
  <c r="CN61" i="53" s="1"/>
  <c r="AL61" i="53"/>
  <c r="CO61" i="53" s="1"/>
  <c r="AM61" i="53"/>
  <c r="CP61" i="53" s="1"/>
  <c r="AN61" i="53"/>
  <c r="CQ61" i="53" s="1"/>
  <c r="AI61" i="53"/>
  <c r="CL61" i="53" s="1"/>
  <c r="AJ48" i="53"/>
  <c r="CM48" i="53" s="1"/>
  <c r="AK48" i="53"/>
  <c r="CN48" i="53" s="1"/>
  <c r="AL48" i="53"/>
  <c r="CO48" i="53" s="1"/>
  <c r="AM48" i="53"/>
  <c r="CP48" i="53" s="1"/>
  <c r="AN48" i="53"/>
  <c r="CQ48" i="53" s="1"/>
  <c r="AI48" i="53"/>
  <c r="CL48" i="53" s="1"/>
  <c r="AJ24" i="53"/>
  <c r="CM24" i="53" s="1"/>
  <c r="AK24" i="53"/>
  <c r="CN24" i="53" s="1"/>
  <c r="AL24" i="53"/>
  <c r="CO24" i="53" s="1"/>
  <c r="AM24" i="53"/>
  <c r="CP24" i="53" s="1"/>
  <c r="AN24" i="53"/>
  <c r="CQ24" i="53" s="1"/>
  <c r="AI24" i="53"/>
  <c r="CL24" i="53" s="1"/>
  <c r="AJ21" i="53"/>
  <c r="CM21" i="53" s="1"/>
  <c r="AK21" i="53"/>
  <c r="CN21" i="53" s="1"/>
  <c r="AL21" i="53"/>
  <c r="CO21" i="53" s="1"/>
  <c r="AM21" i="53"/>
  <c r="CP21" i="53" s="1"/>
  <c r="AN21" i="53"/>
  <c r="CQ21" i="53" s="1"/>
  <c r="AI21" i="53"/>
  <c r="CL21" i="53" s="1"/>
  <c r="AB65" i="53"/>
  <c r="CF65" i="53" s="1"/>
  <c r="AC65" i="53"/>
  <c r="CG65" i="53" s="1"/>
  <c r="AD65" i="53"/>
  <c r="CH65" i="53" s="1"/>
  <c r="AE65" i="53"/>
  <c r="CI65" i="53" s="1"/>
  <c r="AF65" i="53"/>
  <c r="CJ65" i="53" s="1"/>
  <c r="AA65" i="53"/>
  <c r="CE65" i="53" s="1"/>
  <c r="AB61" i="53"/>
  <c r="CF61" i="53" s="1"/>
  <c r="AC61" i="53"/>
  <c r="CG61" i="53" s="1"/>
  <c r="AD61" i="53"/>
  <c r="CH61" i="53" s="1"/>
  <c r="AE61" i="53"/>
  <c r="CI61" i="53" s="1"/>
  <c r="AF61" i="53"/>
  <c r="CJ61" i="53" s="1"/>
  <c r="AA61" i="53"/>
  <c r="CE61" i="53" s="1"/>
  <c r="AB48" i="53"/>
  <c r="CF48" i="53" s="1"/>
  <c r="AC48" i="53"/>
  <c r="CG48" i="53" s="1"/>
  <c r="AD48" i="53"/>
  <c r="CH48" i="53" s="1"/>
  <c r="AE48" i="53"/>
  <c r="CI48" i="53" s="1"/>
  <c r="AF48" i="53"/>
  <c r="CJ48" i="53" s="1"/>
  <c r="AA48" i="53"/>
  <c r="CE48" i="53" s="1"/>
  <c r="AB24" i="53"/>
  <c r="CF24" i="53" s="1"/>
  <c r="AC24" i="53"/>
  <c r="CG24" i="53" s="1"/>
  <c r="AD24" i="53"/>
  <c r="CH24" i="53" s="1"/>
  <c r="AE24" i="53"/>
  <c r="CI24" i="53" s="1"/>
  <c r="AF24" i="53"/>
  <c r="CJ24" i="53" s="1"/>
  <c r="AA24" i="53"/>
  <c r="CE24" i="53" s="1"/>
  <c r="AB21" i="53"/>
  <c r="CF21" i="53" s="1"/>
  <c r="AC21" i="53"/>
  <c r="CG21" i="53" s="1"/>
  <c r="AD21" i="53"/>
  <c r="CH21" i="53" s="1"/>
  <c r="AE21" i="53"/>
  <c r="CI21" i="53" s="1"/>
  <c r="AF21" i="53"/>
  <c r="CJ21" i="53" s="1"/>
  <c r="AA21" i="53"/>
  <c r="CE21" i="53" s="1"/>
  <c r="T65" i="53"/>
  <c r="BY65" i="53" s="1"/>
  <c r="U65" i="53"/>
  <c r="BZ65" i="53" s="1"/>
  <c r="V65" i="53"/>
  <c r="CA65" i="53" s="1"/>
  <c r="W65" i="53"/>
  <c r="CB65" i="53" s="1"/>
  <c r="X65" i="53"/>
  <c r="CC65" i="53" s="1"/>
  <c r="S65" i="53"/>
  <c r="BX65" i="53" s="1"/>
  <c r="T61" i="53"/>
  <c r="BY61" i="53" s="1"/>
  <c r="U61" i="53"/>
  <c r="BZ61" i="53" s="1"/>
  <c r="V61" i="53"/>
  <c r="CA61" i="53" s="1"/>
  <c r="W61" i="53"/>
  <c r="CB61" i="53" s="1"/>
  <c r="X61" i="53"/>
  <c r="CC61" i="53" s="1"/>
  <c r="S61" i="53"/>
  <c r="BX61" i="53" s="1"/>
  <c r="T48" i="53"/>
  <c r="BY48" i="53" s="1"/>
  <c r="U48" i="53"/>
  <c r="BZ48" i="53" s="1"/>
  <c r="V48" i="53"/>
  <c r="CA48" i="53" s="1"/>
  <c r="W48" i="53"/>
  <c r="CB48" i="53" s="1"/>
  <c r="X48" i="53"/>
  <c r="CC48" i="53" s="1"/>
  <c r="S48" i="53"/>
  <c r="BX48" i="53" s="1"/>
  <c r="T24" i="53"/>
  <c r="BY24" i="53" s="1"/>
  <c r="U24" i="53"/>
  <c r="BZ24" i="53" s="1"/>
  <c r="V24" i="53"/>
  <c r="CA24" i="53" s="1"/>
  <c r="W24" i="53"/>
  <c r="CB24" i="53" s="1"/>
  <c r="X24" i="53"/>
  <c r="CC24" i="53" s="1"/>
  <c r="S24" i="53"/>
  <c r="BX24" i="53" s="1"/>
  <c r="T21" i="53"/>
  <c r="BY21" i="53" s="1"/>
  <c r="U21" i="53"/>
  <c r="BZ21" i="53" s="1"/>
  <c r="V21" i="53"/>
  <c r="CA21" i="53" s="1"/>
  <c r="W21" i="53"/>
  <c r="CB21" i="53" s="1"/>
  <c r="X21" i="53"/>
  <c r="CC21" i="53" s="1"/>
  <c r="S21" i="53"/>
  <c r="BX21" i="53" s="1"/>
  <c r="L65" i="53"/>
  <c r="BR65" i="53" s="1"/>
  <c r="M65" i="53"/>
  <c r="BS65" i="53" s="1"/>
  <c r="N65" i="53"/>
  <c r="BT65" i="53" s="1"/>
  <c r="O65" i="53"/>
  <c r="BU65" i="53" s="1"/>
  <c r="P65" i="53"/>
  <c r="BV65" i="53" s="1"/>
  <c r="K65" i="53"/>
  <c r="BQ65" i="53" s="1"/>
  <c r="L61" i="53"/>
  <c r="BR61" i="53" s="1"/>
  <c r="M61" i="53"/>
  <c r="BS61" i="53" s="1"/>
  <c r="N61" i="53"/>
  <c r="BT61" i="53" s="1"/>
  <c r="O61" i="53"/>
  <c r="BU61" i="53" s="1"/>
  <c r="P61" i="53"/>
  <c r="BV61" i="53" s="1"/>
  <c r="K61" i="53"/>
  <c r="BQ61" i="53" s="1"/>
  <c r="L48" i="53"/>
  <c r="BR48" i="53" s="1"/>
  <c r="M48" i="53"/>
  <c r="BS48" i="53" s="1"/>
  <c r="N48" i="53"/>
  <c r="BT48" i="53" s="1"/>
  <c r="O48" i="53"/>
  <c r="BU48" i="53" s="1"/>
  <c r="P48" i="53"/>
  <c r="BV48" i="53" s="1"/>
  <c r="K48" i="53"/>
  <c r="BQ48" i="53" s="1"/>
  <c r="L24" i="53"/>
  <c r="BR24" i="53" s="1"/>
  <c r="M24" i="53"/>
  <c r="BS24" i="53" s="1"/>
  <c r="N24" i="53"/>
  <c r="BT24" i="53" s="1"/>
  <c r="O24" i="53"/>
  <c r="BU24" i="53" s="1"/>
  <c r="P24" i="53"/>
  <c r="BV24" i="53" s="1"/>
  <c r="K24" i="53"/>
  <c r="BQ24" i="53" s="1"/>
  <c r="L21" i="53"/>
  <c r="BR21" i="53" s="1"/>
  <c r="M21" i="53"/>
  <c r="BS21" i="53" s="1"/>
  <c r="N21" i="53"/>
  <c r="BT21" i="53" s="1"/>
  <c r="O21" i="53"/>
  <c r="BU21" i="53" s="1"/>
  <c r="P21" i="53"/>
  <c r="BV21" i="53" s="1"/>
  <c r="K21" i="53"/>
  <c r="BQ21" i="53" s="1"/>
  <c r="D65" i="53"/>
  <c r="BK65" i="53" s="1"/>
  <c r="E65" i="53"/>
  <c r="BL65" i="53" s="1"/>
  <c r="F65" i="53"/>
  <c r="BM65" i="53" s="1"/>
  <c r="G65" i="53"/>
  <c r="BN65" i="53" s="1"/>
  <c r="H65" i="53"/>
  <c r="BO65" i="53" s="1"/>
  <c r="C65" i="53"/>
  <c r="BJ65" i="53" s="1"/>
  <c r="D61" i="53"/>
  <c r="BK61" i="53" s="1"/>
  <c r="E61" i="53"/>
  <c r="BL61" i="53" s="1"/>
  <c r="F61" i="53"/>
  <c r="BM61" i="53" s="1"/>
  <c r="G61" i="53"/>
  <c r="BN61" i="53" s="1"/>
  <c r="H61" i="53"/>
  <c r="BO61" i="53" s="1"/>
  <c r="C61" i="53"/>
  <c r="BJ61" i="53" s="1"/>
  <c r="D24" i="53"/>
  <c r="BK24" i="53" s="1"/>
  <c r="E24" i="53"/>
  <c r="BL24" i="53" s="1"/>
  <c r="F24" i="53"/>
  <c r="BM24" i="53" s="1"/>
  <c r="G24" i="53"/>
  <c r="BN24" i="53" s="1"/>
  <c r="H24" i="53"/>
  <c r="BO24" i="53" s="1"/>
  <c r="C24" i="53"/>
  <c r="BJ24" i="53" s="1"/>
  <c r="D48" i="53"/>
  <c r="BK48" i="53" s="1"/>
  <c r="E48" i="53"/>
  <c r="BL48" i="53" s="1"/>
  <c r="F48" i="53"/>
  <c r="BM48" i="53" s="1"/>
  <c r="G48" i="53"/>
  <c r="BN48" i="53" s="1"/>
  <c r="H48" i="53"/>
  <c r="BO48" i="53" s="1"/>
  <c r="C48" i="53"/>
  <c r="BJ48" i="53" s="1"/>
  <c r="E21" i="53"/>
  <c r="BL21" i="53" s="1"/>
  <c r="F21" i="53"/>
  <c r="BM21" i="53" s="1"/>
  <c r="G21" i="53"/>
  <c r="BN21" i="53" s="1"/>
  <c r="H21" i="53"/>
  <c r="BO21" i="53" s="1"/>
  <c r="D21" i="53"/>
  <c r="BK21" i="53" s="1"/>
  <c r="C21" i="53"/>
  <c r="BJ21" i="53" s="1"/>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AC141" i="46" s="1"/>
  <c r="X14" i="84" s="1"/>
  <c r="Z14" i="84" s="1"/>
  <c r="N141" i="46"/>
  <c r="M141" i="46"/>
  <c r="AA141" i="46" s="1"/>
  <c r="V14" i="84" s="1"/>
  <c r="L141" i="46"/>
  <c r="K141" i="46"/>
  <c r="Y141" i="46" s="1"/>
  <c r="T14" i="84" s="1"/>
  <c r="J141" i="46"/>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AC110" i="46" s="1"/>
  <c r="X13" i="84" s="1"/>
  <c r="N110" i="46"/>
  <c r="M110" i="46"/>
  <c r="L110" i="46"/>
  <c r="K110" i="46"/>
  <c r="J110" i="46"/>
  <c r="I110" i="46"/>
  <c r="H110" i="46"/>
  <c r="G110" i="46"/>
  <c r="F110" i="46"/>
  <c r="E110" i="46"/>
  <c r="T7" i="84" s="1"/>
  <c r="Y7" i="84" s="1"/>
  <c r="S7" i="79"/>
  <c r="V108" i="46"/>
  <c r="AI108" i="46" s="1"/>
  <c r="U108" i="46"/>
  <c r="AH108" i="46" s="1"/>
  <c r="T108" i="46"/>
  <c r="AG108" i="46" s="1"/>
  <c r="S108" i="46"/>
  <c r="AF108" i="46" s="1"/>
  <c r="R108" i="46"/>
  <c r="AE108" i="46" s="1"/>
  <c r="Q108" i="46"/>
  <c r="AD108" i="46" s="1"/>
  <c r="V107" i="46"/>
  <c r="AI107" i="46" s="1"/>
  <c r="U107" i="46"/>
  <c r="AH107" i="46" s="1"/>
  <c r="T107" i="46"/>
  <c r="AG107" i="46" s="1"/>
  <c r="S107" i="46"/>
  <c r="AF107" i="46" s="1"/>
  <c r="R107" i="46"/>
  <c r="AE107" i="46" s="1"/>
  <c r="Q107" i="46"/>
  <c r="AD107" i="46" s="1"/>
  <c r="V106" i="46"/>
  <c r="AI106" i="46" s="1"/>
  <c r="U106" i="46"/>
  <c r="AH106" i="46" s="1"/>
  <c r="T106" i="46"/>
  <c r="AG106" i="46" s="1"/>
  <c r="S106" i="46"/>
  <c r="AF106" i="46" s="1"/>
  <c r="R106" i="46"/>
  <c r="AE106" i="46" s="1"/>
  <c r="Q106" i="46"/>
  <c r="AD106" i="46" s="1"/>
  <c r="V105" i="46"/>
  <c r="AI105" i="46" s="1"/>
  <c r="U105" i="46"/>
  <c r="AH105" i="46" s="1"/>
  <c r="T105" i="46"/>
  <c r="AG105" i="46" s="1"/>
  <c r="S105" i="46"/>
  <c r="AF105" i="46" s="1"/>
  <c r="R105" i="46"/>
  <c r="AE105" i="46" s="1"/>
  <c r="Q105" i="46"/>
  <c r="AD105" i="46" s="1"/>
  <c r="V104" i="46"/>
  <c r="AI104" i="46" s="1"/>
  <c r="U104" i="46"/>
  <c r="AH104" i="46" s="1"/>
  <c r="T104" i="46"/>
  <c r="AG104" i="46" s="1"/>
  <c r="S104" i="46"/>
  <c r="AF104" i="46" s="1"/>
  <c r="R104" i="46"/>
  <c r="AE104" i="46" s="1"/>
  <c r="Q104" i="46"/>
  <c r="AD104" i="46" s="1"/>
  <c r="V103" i="46"/>
  <c r="AI103" i="46" s="1"/>
  <c r="U103" i="46"/>
  <c r="AH103" i="46" s="1"/>
  <c r="T103" i="46"/>
  <c r="AG103" i="46" s="1"/>
  <c r="S103" i="46"/>
  <c r="AF103" i="46" s="1"/>
  <c r="R103" i="46"/>
  <c r="AE103" i="46" s="1"/>
  <c r="Q103" i="46"/>
  <c r="AD103" i="46" s="1"/>
  <c r="V102" i="46"/>
  <c r="AI102" i="46" s="1"/>
  <c r="U102" i="46"/>
  <c r="AH102" i="46" s="1"/>
  <c r="T102" i="46"/>
  <c r="AG102" i="46" s="1"/>
  <c r="S102" i="46"/>
  <c r="AF102" i="46" s="1"/>
  <c r="R102" i="46"/>
  <c r="AE102" i="46" s="1"/>
  <c r="Q102" i="46"/>
  <c r="AD102" i="46" s="1"/>
  <c r="V101" i="46"/>
  <c r="AI101" i="46" s="1"/>
  <c r="U101" i="46"/>
  <c r="AH101" i="46" s="1"/>
  <c r="T101" i="46"/>
  <c r="AG101" i="46" s="1"/>
  <c r="S101" i="46"/>
  <c r="AF101" i="46" s="1"/>
  <c r="R101" i="46"/>
  <c r="AE101" i="46" s="1"/>
  <c r="Q101" i="46"/>
  <c r="AD101" i="46" s="1"/>
  <c r="V100" i="46"/>
  <c r="AI100" i="46" s="1"/>
  <c r="U100" i="46"/>
  <c r="AH100" i="46" s="1"/>
  <c r="T100" i="46"/>
  <c r="AG100" i="46" s="1"/>
  <c r="S100" i="46"/>
  <c r="AF100" i="46" s="1"/>
  <c r="R100" i="46"/>
  <c r="AE100" i="46" s="1"/>
  <c r="Q100" i="46"/>
  <c r="AD100" i="46" s="1"/>
  <c r="V99" i="46"/>
  <c r="AI99" i="46" s="1"/>
  <c r="U99" i="46"/>
  <c r="AH99" i="46" s="1"/>
  <c r="T99" i="46"/>
  <c r="AG99" i="46" s="1"/>
  <c r="S99" i="46"/>
  <c r="AF99" i="46" s="1"/>
  <c r="R99" i="46"/>
  <c r="AE99" i="46" s="1"/>
  <c r="Q99" i="46"/>
  <c r="AD99" i="46" s="1"/>
  <c r="V98" i="46"/>
  <c r="AI98" i="46" s="1"/>
  <c r="U98" i="46"/>
  <c r="AH98" i="46" s="1"/>
  <c r="T98" i="46"/>
  <c r="AG98" i="46" s="1"/>
  <c r="S98" i="46"/>
  <c r="AF98" i="46" s="1"/>
  <c r="R98" i="46"/>
  <c r="AE98" i="46" s="1"/>
  <c r="Q98" i="46"/>
  <c r="AD98" i="46" s="1"/>
  <c r="V97" i="46"/>
  <c r="AI97" i="46" s="1"/>
  <c r="U97" i="46"/>
  <c r="AH97" i="46" s="1"/>
  <c r="T97" i="46"/>
  <c r="AG97" i="46" s="1"/>
  <c r="S97" i="46"/>
  <c r="AF97" i="46" s="1"/>
  <c r="R97" i="46"/>
  <c r="AE97" i="46" s="1"/>
  <c r="Q97" i="46"/>
  <c r="AD97" i="46" s="1"/>
  <c r="V96" i="46"/>
  <c r="AI96" i="46" s="1"/>
  <c r="U96" i="46"/>
  <c r="AH96" i="46" s="1"/>
  <c r="T96" i="46"/>
  <c r="AG96" i="46" s="1"/>
  <c r="S96" i="46"/>
  <c r="AF96" i="46" s="1"/>
  <c r="R96" i="46"/>
  <c r="AE96" i="46" s="1"/>
  <c r="Q96" i="46"/>
  <c r="AD96" i="46" s="1"/>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N79" i="46"/>
  <c r="M79" i="46"/>
  <c r="L79" i="46"/>
  <c r="K79" i="46"/>
  <c r="J79" i="46"/>
  <c r="I79" i="46"/>
  <c r="H79" i="46"/>
  <c r="W6" i="84" s="1"/>
  <c r="G79" i="46"/>
  <c r="F79" i="46"/>
  <c r="E79" i="46"/>
  <c r="T6" i="84" s="1"/>
  <c r="Y6" i="84" s="1"/>
  <c r="S6" i="79"/>
  <c r="V77" i="46"/>
  <c r="AI77" i="46" s="1"/>
  <c r="U77" i="46"/>
  <c r="AH77" i="46" s="1"/>
  <c r="T77" i="46"/>
  <c r="AG77" i="46" s="1"/>
  <c r="S77" i="46"/>
  <c r="AF77" i="46" s="1"/>
  <c r="R77" i="46"/>
  <c r="AE77" i="46" s="1"/>
  <c r="Q77" i="46"/>
  <c r="AD77" i="46" s="1"/>
  <c r="V76" i="46"/>
  <c r="AI76" i="46" s="1"/>
  <c r="U76" i="46"/>
  <c r="AH76" i="46" s="1"/>
  <c r="T76" i="46"/>
  <c r="AG76" i="46" s="1"/>
  <c r="S76" i="46"/>
  <c r="AF76" i="46" s="1"/>
  <c r="R76" i="46"/>
  <c r="AE76" i="46" s="1"/>
  <c r="Q76" i="46"/>
  <c r="AD76" i="46" s="1"/>
  <c r="V75" i="46"/>
  <c r="AI75" i="46" s="1"/>
  <c r="U75" i="46"/>
  <c r="AH75" i="46" s="1"/>
  <c r="T75" i="46"/>
  <c r="AG75" i="46" s="1"/>
  <c r="S75" i="46"/>
  <c r="AF75" i="46" s="1"/>
  <c r="R75" i="46"/>
  <c r="AE75" i="46" s="1"/>
  <c r="Q75" i="46"/>
  <c r="AD75" i="46" s="1"/>
  <c r="V74" i="46"/>
  <c r="AI74" i="46" s="1"/>
  <c r="U74" i="46"/>
  <c r="AH74" i="46" s="1"/>
  <c r="T74" i="46"/>
  <c r="AG74" i="46" s="1"/>
  <c r="S74" i="46"/>
  <c r="AF74" i="46" s="1"/>
  <c r="R74" i="46"/>
  <c r="AE74" i="46" s="1"/>
  <c r="Q74" i="46"/>
  <c r="AD74" i="46" s="1"/>
  <c r="V73" i="46"/>
  <c r="AI73" i="46" s="1"/>
  <c r="U73" i="46"/>
  <c r="AH73" i="46" s="1"/>
  <c r="T73" i="46"/>
  <c r="AG73" i="46" s="1"/>
  <c r="S73" i="46"/>
  <c r="AF73" i="46" s="1"/>
  <c r="R73" i="46"/>
  <c r="AE73" i="46" s="1"/>
  <c r="Q73" i="46"/>
  <c r="AD73" i="46" s="1"/>
  <c r="V72" i="46"/>
  <c r="AI72" i="46" s="1"/>
  <c r="U72" i="46"/>
  <c r="AH72" i="46" s="1"/>
  <c r="T72" i="46"/>
  <c r="AG72" i="46" s="1"/>
  <c r="S72" i="46"/>
  <c r="AF72" i="46" s="1"/>
  <c r="R72" i="46"/>
  <c r="AE72" i="46" s="1"/>
  <c r="Q72" i="46"/>
  <c r="AD72" i="46" s="1"/>
  <c r="V71" i="46"/>
  <c r="AI71" i="46" s="1"/>
  <c r="U71" i="46"/>
  <c r="AH71" i="46" s="1"/>
  <c r="T71" i="46"/>
  <c r="AG71" i="46" s="1"/>
  <c r="S71" i="46"/>
  <c r="AF71" i="46" s="1"/>
  <c r="R71" i="46"/>
  <c r="AE71" i="46" s="1"/>
  <c r="Q71" i="46"/>
  <c r="AD71" i="46" s="1"/>
  <c r="V70" i="46"/>
  <c r="AI70" i="46" s="1"/>
  <c r="U70" i="46"/>
  <c r="AH70" i="46" s="1"/>
  <c r="T70" i="46"/>
  <c r="AG70" i="46" s="1"/>
  <c r="S70" i="46"/>
  <c r="AF70" i="46" s="1"/>
  <c r="R70" i="46"/>
  <c r="AE70" i="46" s="1"/>
  <c r="Q70" i="46"/>
  <c r="AD70" i="46" s="1"/>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AC53" i="46" s="1"/>
  <c r="X11" i="84" s="1"/>
  <c r="N53" i="46"/>
  <c r="M53" i="46"/>
  <c r="L53" i="46"/>
  <c r="K53" i="46"/>
  <c r="Y53" i="46" s="1"/>
  <c r="T11" i="84" s="1"/>
  <c r="J53" i="46"/>
  <c r="I53" i="46"/>
  <c r="X5" i="84" s="1"/>
  <c r="H53" i="46"/>
  <c r="G53" i="46"/>
  <c r="F53" i="46"/>
  <c r="U5" i="84" s="1"/>
  <c r="E53" i="46"/>
  <c r="S5" i="79"/>
  <c r="V51" i="46"/>
  <c r="AI51" i="46" s="1"/>
  <c r="U51" i="46"/>
  <c r="AH51" i="46" s="1"/>
  <c r="T51" i="46"/>
  <c r="AG51" i="46" s="1"/>
  <c r="S51" i="46"/>
  <c r="AF51" i="46" s="1"/>
  <c r="R51" i="46"/>
  <c r="AE51" i="46" s="1"/>
  <c r="Q51" i="46"/>
  <c r="AD51" i="46" s="1"/>
  <c r="V50" i="46"/>
  <c r="AI50" i="46" s="1"/>
  <c r="U50" i="46"/>
  <c r="AH50" i="46" s="1"/>
  <c r="T50" i="46"/>
  <c r="AG50" i="46" s="1"/>
  <c r="S50" i="46"/>
  <c r="AF50" i="46" s="1"/>
  <c r="R50" i="46"/>
  <c r="AE50" i="46" s="1"/>
  <c r="Q50" i="46"/>
  <c r="AD50" i="46" s="1"/>
  <c r="V49" i="46"/>
  <c r="AI49" i="46" s="1"/>
  <c r="U49" i="46"/>
  <c r="AH49" i="46" s="1"/>
  <c r="T49" i="46"/>
  <c r="AG49" i="46" s="1"/>
  <c r="S49" i="46"/>
  <c r="AF49" i="46" s="1"/>
  <c r="R49" i="46"/>
  <c r="AE49" i="46" s="1"/>
  <c r="Q49" i="46"/>
  <c r="AD49" i="46" s="1"/>
  <c r="V48" i="46"/>
  <c r="AI48" i="46" s="1"/>
  <c r="U48" i="46"/>
  <c r="AH48" i="46" s="1"/>
  <c r="T48" i="46"/>
  <c r="AG48" i="46" s="1"/>
  <c r="S48" i="46"/>
  <c r="AF48" i="46" s="1"/>
  <c r="R48" i="46"/>
  <c r="AE48" i="46" s="1"/>
  <c r="Q48" i="46"/>
  <c r="AD48" i="46" s="1"/>
  <c r="V47" i="46"/>
  <c r="AI47" i="46" s="1"/>
  <c r="U47" i="46"/>
  <c r="AH47" i="46" s="1"/>
  <c r="T47" i="46"/>
  <c r="AG47" i="46" s="1"/>
  <c r="S47" i="46"/>
  <c r="AF47" i="46" s="1"/>
  <c r="R47" i="46"/>
  <c r="AE47" i="46" s="1"/>
  <c r="Q47" i="46"/>
  <c r="AD47" i="46" s="1"/>
  <c r="V46" i="46"/>
  <c r="AI46" i="46" s="1"/>
  <c r="U46" i="46"/>
  <c r="AH46" i="46" s="1"/>
  <c r="T46" i="46"/>
  <c r="AG46" i="46" s="1"/>
  <c r="S46" i="46"/>
  <c r="AF46" i="46" s="1"/>
  <c r="R46" i="46"/>
  <c r="AE46" i="46" s="1"/>
  <c r="Q46" i="46"/>
  <c r="AD46" i="46" s="1"/>
  <c r="V45" i="46"/>
  <c r="AI45" i="46" s="1"/>
  <c r="U45" i="46"/>
  <c r="AH45" i="46" s="1"/>
  <c r="T45" i="46"/>
  <c r="AG45" i="46" s="1"/>
  <c r="S45" i="46"/>
  <c r="AF45" i="46" s="1"/>
  <c r="R45" i="46"/>
  <c r="AE45" i="46" s="1"/>
  <c r="Q45" i="46"/>
  <c r="AD45" i="46" s="1"/>
  <c r="V44" i="46"/>
  <c r="AI44" i="46" s="1"/>
  <c r="U44" i="46"/>
  <c r="AH44" i="46" s="1"/>
  <c r="T44" i="46"/>
  <c r="AG44" i="46" s="1"/>
  <c r="S44" i="46"/>
  <c r="AF44" i="46" s="1"/>
  <c r="R44" i="46"/>
  <c r="AE44" i="46" s="1"/>
  <c r="Q44" i="46"/>
  <c r="AD44" i="46" s="1"/>
  <c r="V43" i="46"/>
  <c r="AI43" i="46" s="1"/>
  <c r="U43" i="46"/>
  <c r="AH43" i="46" s="1"/>
  <c r="T43" i="46"/>
  <c r="AG43" i="46" s="1"/>
  <c r="S43" i="46"/>
  <c r="AF43" i="46" s="1"/>
  <c r="R43" i="46"/>
  <c r="AE43" i="46" s="1"/>
  <c r="Q43" i="46"/>
  <c r="AD43" i="46" s="1"/>
  <c r="V42" i="46"/>
  <c r="AI42" i="46" s="1"/>
  <c r="U42" i="46"/>
  <c r="AH42" i="46" s="1"/>
  <c r="T42" i="46"/>
  <c r="AG42" i="46" s="1"/>
  <c r="S42" i="46"/>
  <c r="AF42" i="46" s="1"/>
  <c r="R42" i="46"/>
  <c r="AE42" i="46" s="1"/>
  <c r="Q42" i="46"/>
  <c r="AD42" i="46" s="1"/>
  <c r="V41" i="46"/>
  <c r="AI41" i="46" s="1"/>
  <c r="U41" i="46"/>
  <c r="AH41" i="46" s="1"/>
  <c r="T41" i="46"/>
  <c r="AG41" i="46" s="1"/>
  <c r="S41" i="46"/>
  <c r="AF41" i="46" s="1"/>
  <c r="R41" i="46"/>
  <c r="AE41" i="46" s="1"/>
  <c r="Q41" i="46"/>
  <c r="AD41" i="46" s="1"/>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N24" i="46"/>
  <c r="M24" i="46"/>
  <c r="L24" i="46"/>
  <c r="K24" i="46"/>
  <c r="J24" i="46"/>
  <c r="I24" i="46"/>
  <c r="X4" i="84" s="1"/>
  <c r="H24" i="46"/>
  <c r="W4" i="84" s="1"/>
  <c r="G24" i="46"/>
  <c r="V4" i="84" s="1"/>
  <c r="F24" i="46"/>
  <c r="U4" i="84" s="1"/>
  <c r="E24" i="46"/>
  <c r="T4" i="84" s="1"/>
  <c r="D24" i="46"/>
  <c r="S4" i="84" s="1"/>
  <c r="V22" i="46"/>
  <c r="AI22" i="46" s="1"/>
  <c r="U22" i="46"/>
  <c r="AH22" i="46" s="1"/>
  <c r="T22" i="46"/>
  <c r="AG22" i="46" s="1"/>
  <c r="S22" i="46"/>
  <c r="AF22" i="46" s="1"/>
  <c r="R22" i="46"/>
  <c r="AE22" i="46" s="1"/>
  <c r="Q22" i="46"/>
  <c r="AD22" i="46" s="1"/>
  <c r="V21" i="46"/>
  <c r="AI21" i="46" s="1"/>
  <c r="U21" i="46"/>
  <c r="AH21" i="46" s="1"/>
  <c r="T21" i="46"/>
  <c r="AG21" i="46" s="1"/>
  <c r="S21" i="46"/>
  <c r="AF21" i="46" s="1"/>
  <c r="R21" i="46"/>
  <c r="AE21" i="46" s="1"/>
  <c r="Q21" i="46"/>
  <c r="AD21" i="46" s="1"/>
  <c r="V20" i="46"/>
  <c r="AI20" i="46" s="1"/>
  <c r="U20" i="46"/>
  <c r="AH20" i="46" s="1"/>
  <c r="T20" i="46"/>
  <c r="AG20" i="46" s="1"/>
  <c r="S20" i="46"/>
  <c r="AF20" i="46" s="1"/>
  <c r="R20" i="46"/>
  <c r="AE20" i="46" s="1"/>
  <c r="Q20" i="46"/>
  <c r="AD20" i="46" s="1"/>
  <c r="V19" i="46"/>
  <c r="AI19" i="46" s="1"/>
  <c r="U19" i="46"/>
  <c r="AH19" i="46" s="1"/>
  <c r="T19" i="46"/>
  <c r="AG19" i="46" s="1"/>
  <c r="S19" i="46"/>
  <c r="AF19" i="46" s="1"/>
  <c r="R19" i="46"/>
  <c r="AE19" i="46" s="1"/>
  <c r="Q19" i="46"/>
  <c r="AD19" i="46" s="1"/>
  <c r="U18" i="46"/>
  <c r="AH18" i="46" s="1"/>
  <c r="T18" i="46"/>
  <c r="AG18" i="46" s="1"/>
  <c r="S18" i="46"/>
  <c r="AF18" i="46" s="1"/>
  <c r="R18" i="46"/>
  <c r="AE18" i="46" s="1"/>
  <c r="Q18" i="46"/>
  <c r="AD18" i="46" s="1"/>
  <c r="V17" i="46"/>
  <c r="AI17" i="46" s="1"/>
  <c r="U17" i="46"/>
  <c r="AH17" i="46" s="1"/>
  <c r="T17" i="46"/>
  <c r="AG17" i="46" s="1"/>
  <c r="S17" i="46"/>
  <c r="AF17" i="46" s="1"/>
  <c r="R17" i="46"/>
  <c r="AE17" i="46" s="1"/>
  <c r="Q17" i="46"/>
  <c r="AD17" i="46" s="1"/>
  <c r="V16" i="46"/>
  <c r="AI16" i="46" s="1"/>
  <c r="U16" i="46"/>
  <c r="AH16" i="46" s="1"/>
  <c r="T16" i="46"/>
  <c r="AG16" i="46" s="1"/>
  <c r="S16" i="46"/>
  <c r="AF16" i="46" s="1"/>
  <c r="R16" i="46"/>
  <c r="AE16" i="46" s="1"/>
  <c r="Q16" i="46"/>
  <c r="AD16" i="46" s="1"/>
  <c r="V15" i="46"/>
  <c r="AI15" i="46" s="1"/>
  <c r="U15" i="46"/>
  <c r="AH15" i="46" s="1"/>
  <c r="T15" i="46"/>
  <c r="AG15" i="46" s="1"/>
  <c r="S15" i="46"/>
  <c r="AF15" i="46" s="1"/>
  <c r="R15" i="46"/>
  <c r="AE15" i="46" s="1"/>
  <c r="Q15" i="46"/>
  <c r="AD15" i="46" s="1"/>
  <c r="V14" i="46"/>
  <c r="AI14" i="46" s="1"/>
  <c r="U14" i="46"/>
  <c r="AH14" i="46" s="1"/>
  <c r="T14" i="46"/>
  <c r="AG14" i="46" s="1"/>
  <c r="S14" i="46"/>
  <c r="AF14" i="46" s="1"/>
  <c r="R14" i="46"/>
  <c r="AE14" i="46" s="1"/>
  <c r="Q14" i="46"/>
  <c r="AD14" i="46" s="1"/>
  <c r="V13" i="46"/>
  <c r="AI13" i="46" s="1"/>
  <c r="U13" i="46"/>
  <c r="AH13" i="46" s="1"/>
  <c r="T13" i="46"/>
  <c r="AG13" i="46" s="1"/>
  <c r="S13" i="46"/>
  <c r="AF13" i="46" s="1"/>
  <c r="R13" i="46"/>
  <c r="AE13" i="46" s="1"/>
  <c r="Q13" i="46"/>
  <c r="AD13" i="46" s="1"/>
  <c r="V12" i="46"/>
  <c r="AI12" i="46" s="1"/>
  <c r="U12" i="46"/>
  <c r="AH12" i="46" s="1"/>
  <c r="T12" i="46"/>
  <c r="AG12" i="46" s="1"/>
  <c r="S12" i="46"/>
  <c r="AF12" i="46" s="1"/>
  <c r="R12" i="46"/>
  <c r="AE12" i="46" s="1"/>
  <c r="Q12" i="46"/>
  <c r="AD12" i="46" s="1"/>
  <c r="V11" i="46"/>
  <c r="AI11" i="46" s="1"/>
  <c r="U11" i="46"/>
  <c r="AH11" i="46" s="1"/>
  <c r="T11" i="46"/>
  <c r="AG11" i="46" s="1"/>
  <c r="S11" i="46"/>
  <c r="AF11" i="46" s="1"/>
  <c r="R11" i="46"/>
  <c r="AE11" i="46" s="1"/>
  <c r="Q11" i="46"/>
  <c r="AD11" i="46" s="1"/>
  <c r="V10" i="46"/>
  <c r="AI10" i="46" s="1"/>
  <c r="U10" i="46"/>
  <c r="AH10" i="46" s="1"/>
  <c r="T10" i="46"/>
  <c r="AG10" i="46" s="1"/>
  <c r="S10" i="46"/>
  <c r="AF10" i="46" s="1"/>
  <c r="R10" i="46"/>
  <c r="AE10" i="46" s="1"/>
  <c r="O8" i="46"/>
  <c r="AC8" i="46" s="1"/>
  <c r="AI8" i="46" s="1"/>
  <c r="N8" i="46"/>
  <c r="M8" i="46"/>
  <c r="L8" i="46"/>
  <c r="K8" i="46"/>
  <c r="Y8" i="46" s="1"/>
  <c r="AE8" i="46" s="1"/>
  <c r="J8" i="46"/>
  <c r="Z11" i="84" l="1"/>
  <c r="Z4" i="84"/>
  <c r="S29" i="84"/>
  <c r="S21" i="84"/>
  <c r="S26" i="84"/>
  <c r="S20" i="84"/>
  <c r="S30" i="84"/>
  <c r="S27" i="84"/>
  <c r="S17" i="84"/>
  <c r="S25" i="84"/>
  <c r="S24" i="84"/>
  <c r="S18" i="84"/>
  <c r="S23" i="84"/>
  <c r="S22" i="84"/>
  <c r="S19" i="84"/>
  <c r="S28" i="84"/>
  <c r="U6" i="79"/>
  <c r="U6" i="84"/>
  <c r="AB79" i="46"/>
  <c r="W12" i="84" s="1"/>
  <c r="T5" i="79"/>
  <c r="T5" i="84"/>
  <c r="Y5" i="84" s="1"/>
  <c r="Y24" i="46"/>
  <c r="T10" i="84" s="1"/>
  <c r="T26" i="84"/>
  <c r="T20" i="84"/>
  <c r="Y20" i="84" s="1"/>
  <c r="T30" i="84"/>
  <c r="T27" i="84"/>
  <c r="T17" i="84"/>
  <c r="T25" i="84"/>
  <c r="T24" i="84"/>
  <c r="Y24" i="84" s="1"/>
  <c r="T28" i="84"/>
  <c r="T22" i="84"/>
  <c r="Y22" i="84" s="1"/>
  <c r="T21" i="84"/>
  <c r="Y21" i="84" s="1"/>
  <c r="T29" i="84"/>
  <c r="T23" i="84"/>
  <c r="T19" i="84"/>
  <c r="T18" i="84"/>
  <c r="Y18" i="84" s="1"/>
  <c r="V6" i="79"/>
  <c r="V6" i="84"/>
  <c r="AC79" i="46"/>
  <c r="X12" i="84" s="1"/>
  <c r="Y4" i="84"/>
  <c r="AA24" i="46"/>
  <c r="V10" i="84" s="1"/>
  <c r="V30" i="84"/>
  <c r="V27" i="84"/>
  <c r="V17" i="84"/>
  <c r="V25" i="84"/>
  <c r="V24" i="84"/>
  <c r="V28" i="84"/>
  <c r="V22" i="84"/>
  <c r="V23" i="84"/>
  <c r="V19" i="84"/>
  <c r="V18" i="84"/>
  <c r="V26" i="84"/>
  <c r="V21" i="84"/>
  <c r="V29" i="84"/>
  <c r="V20" i="84"/>
  <c r="X6" i="79"/>
  <c r="X6" i="84"/>
  <c r="Z6" i="84" s="1"/>
  <c r="U7" i="79"/>
  <c r="U7" i="84"/>
  <c r="AB24" i="46"/>
  <c r="W10" i="84" s="1"/>
  <c r="W25" i="84"/>
  <c r="W24" i="84"/>
  <c r="W28" i="84"/>
  <c r="W22" i="84"/>
  <c r="W23" i="84"/>
  <c r="W19" i="84"/>
  <c r="W18" i="84"/>
  <c r="W29" i="84"/>
  <c r="W21" i="84"/>
  <c r="W17" i="84"/>
  <c r="W30" i="84"/>
  <c r="W27" i="84"/>
  <c r="W26" i="84"/>
  <c r="W20" i="84"/>
  <c r="V5" i="79"/>
  <c r="V5" i="84"/>
  <c r="X79" i="46"/>
  <c r="S12" i="84" s="1"/>
  <c r="S55" i="84"/>
  <c r="V7" i="79"/>
  <c r="V7" i="84"/>
  <c r="AC24" i="46"/>
  <c r="X10" i="84" s="1"/>
  <c r="X28" i="84"/>
  <c r="X22" i="84"/>
  <c r="X23" i="84"/>
  <c r="X19" i="84"/>
  <c r="Z19" i="84" s="1"/>
  <c r="X18" i="84"/>
  <c r="X29" i="84"/>
  <c r="X21" i="84"/>
  <c r="X27" i="84"/>
  <c r="X26" i="84"/>
  <c r="X25" i="84"/>
  <c r="X30" i="84"/>
  <c r="X20" i="84"/>
  <c r="X17" i="84"/>
  <c r="X24" i="84"/>
  <c r="Z24" i="84" s="1"/>
  <c r="W5" i="79"/>
  <c r="W5" i="84"/>
  <c r="Y79" i="46"/>
  <c r="T12" i="84" s="1"/>
  <c r="W7" i="79"/>
  <c r="W7" i="84"/>
  <c r="Z24" i="46"/>
  <c r="U10" i="84" s="1"/>
  <c r="U26" i="84"/>
  <c r="U20" i="84"/>
  <c r="U30" i="84"/>
  <c r="U27" i="84"/>
  <c r="U17" i="84"/>
  <c r="U25" i="84"/>
  <c r="U24" i="84"/>
  <c r="U28" i="84"/>
  <c r="U22" i="84"/>
  <c r="U29" i="84"/>
  <c r="U23" i="84"/>
  <c r="U21" i="84"/>
  <c r="U19" i="84"/>
  <c r="U18" i="84"/>
  <c r="Z79" i="46"/>
  <c r="U12" i="84" s="1"/>
  <c r="X7" i="79"/>
  <c r="X7" i="84"/>
  <c r="Z7" i="84" s="1"/>
  <c r="AA79" i="46"/>
  <c r="V12" i="84" s="1"/>
  <c r="W14" i="79"/>
  <c r="AB141" i="46"/>
  <c r="W14" i="84" s="1"/>
  <c r="P110" i="46"/>
  <c r="Y110" i="46"/>
  <c r="T13" i="84" s="1"/>
  <c r="U14" i="79"/>
  <c r="Z141" i="46"/>
  <c r="U14" i="84" s="1"/>
  <c r="U13" i="79"/>
  <c r="Z110" i="46"/>
  <c r="U13" i="84" s="1"/>
  <c r="V13" i="79"/>
  <c r="AA110" i="46"/>
  <c r="V13" i="84" s="1"/>
  <c r="W13" i="79"/>
  <c r="AB110" i="46"/>
  <c r="W13" i="84" s="1"/>
  <c r="S14" i="79"/>
  <c r="X141" i="46"/>
  <c r="S14" i="84" s="1"/>
  <c r="Y14" i="84" s="1"/>
  <c r="S13" i="79"/>
  <c r="X110" i="46"/>
  <c r="S13" i="84" s="1"/>
  <c r="W11" i="79"/>
  <c r="AB53" i="46"/>
  <c r="W11" i="84" s="1"/>
  <c r="U11" i="79"/>
  <c r="Z53" i="46"/>
  <c r="U11" i="84" s="1"/>
  <c r="J37" i="46"/>
  <c r="X37" i="46" s="1"/>
  <c r="X24" i="46"/>
  <c r="S10" i="84" s="1"/>
  <c r="V11" i="79"/>
  <c r="AA53" i="46"/>
  <c r="V11" i="84" s="1"/>
  <c r="S11" i="79"/>
  <c r="X53" i="46"/>
  <c r="S11" i="84" s="1"/>
  <c r="Y11" i="84" s="1"/>
  <c r="S8" i="46"/>
  <c r="Z8" i="46"/>
  <c r="AF8" i="46" s="1"/>
  <c r="T8" i="46"/>
  <c r="AA8" i="46"/>
  <c r="AG8" i="46" s="1"/>
  <c r="Q8" i="46"/>
  <c r="X8" i="46"/>
  <c r="AD8" i="46" s="1"/>
  <c r="U8" i="46"/>
  <c r="AB8" i="46"/>
  <c r="AH8" i="46" s="1"/>
  <c r="P79" i="46"/>
  <c r="P141" i="46"/>
  <c r="T11" i="79"/>
  <c r="P53" i="46"/>
  <c r="J48" i="53"/>
  <c r="I48" i="53"/>
  <c r="BP48" i="53" s="1"/>
  <c r="R21" i="53"/>
  <c r="Q21" i="53"/>
  <c r="BW21" i="53" s="1"/>
  <c r="Q65" i="53"/>
  <c r="BW65" i="53" s="1"/>
  <c r="R65" i="53"/>
  <c r="Y61" i="53"/>
  <c r="CD61" i="53" s="1"/>
  <c r="Z61" i="53"/>
  <c r="AG48" i="53"/>
  <c r="CK48" i="53" s="1"/>
  <c r="AH48" i="53"/>
  <c r="AP24" i="53"/>
  <c r="AO24" i="53"/>
  <c r="CR24" i="53" s="1"/>
  <c r="P24" i="46"/>
  <c r="Q61" i="53"/>
  <c r="BW61" i="53" s="1"/>
  <c r="R61" i="53"/>
  <c r="AG24" i="53"/>
  <c r="CK24" i="53" s="1"/>
  <c r="AH24" i="53"/>
  <c r="AP21" i="53"/>
  <c r="AO21" i="53"/>
  <c r="CR21" i="53" s="1"/>
  <c r="R8" i="46"/>
  <c r="P7" i="46"/>
  <c r="J61" i="53"/>
  <c r="I61" i="53"/>
  <c r="BP61" i="53" s="1"/>
  <c r="R48" i="53"/>
  <c r="Q48" i="53"/>
  <c r="BW48" i="53" s="1"/>
  <c r="Y24" i="53"/>
  <c r="CD24" i="53" s="1"/>
  <c r="Z24" i="53"/>
  <c r="AH21" i="53"/>
  <c r="AG21" i="53"/>
  <c r="CK21" i="53" s="1"/>
  <c r="AH65" i="53"/>
  <c r="AG65" i="53"/>
  <c r="CK65" i="53" s="1"/>
  <c r="AP61" i="53"/>
  <c r="AO61" i="53"/>
  <c r="CR61" i="53" s="1"/>
  <c r="J65" i="53"/>
  <c r="I65" i="53"/>
  <c r="BP65" i="53" s="1"/>
  <c r="Z48" i="53"/>
  <c r="Y48" i="53"/>
  <c r="CD48" i="53" s="1"/>
  <c r="AP65" i="53"/>
  <c r="AO65" i="53"/>
  <c r="CR65" i="53" s="1"/>
  <c r="I21" i="53"/>
  <c r="BP21" i="53" s="1"/>
  <c r="J21" i="53"/>
  <c r="J24" i="53"/>
  <c r="I24" i="53"/>
  <c r="BP24" i="53" s="1"/>
  <c r="R24" i="53"/>
  <c r="Q24" i="53"/>
  <c r="BW24" i="53" s="1"/>
  <c r="Z21" i="53"/>
  <c r="Y21" i="53"/>
  <c r="CD21" i="53" s="1"/>
  <c r="Y65" i="53"/>
  <c r="CD65" i="53" s="1"/>
  <c r="Z65" i="53"/>
  <c r="AH61" i="53"/>
  <c r="AG61" i="53"/>
  <c r="CK61" i="53" s="1"/>
  <c r="AP48" i="53"/>
  <c r="AO48" i="53"/>
  <c r="CR48" i="53" s="1"/>
  <c r="T13" i="79"/>
  <c r="K123" i="46"/>
  <c r="Y123" i="46" s="1"/>
  <c r="V10" i="79"/>
  <c r="V18" i="79"/>
  <c r="V20" i="79"/>
  <c r="V22" i="79"/>
  <c r="V24" i="79"/>
  <c r="V17" i="79"/>
  <c r="V21" i="79"/>
  <c r="V30" i="79"/>
  <c r="V25" i="79"/>
  <c r="V19" i="79"/>
  <c r="V26" i="79"/>
  <c r="V28" i="79"/>
  <c r="V23" i="79"/>
  <c r="V27" i="79"/>
  <c r="V29" i="79"/>
  <c r="V12" i="79"/>
  <c r="V8" i="46"/>
  <c r="S18" i="79"/>
  <c r="S20" i="79"/>
  <c r="S22" i="79"/>
  <c r="S24" i="79"/>
  <c r="S26" i="79"/>
  <c r="S28" i="79"/>
  <c r="S30" i="79"/>
  <c r="S27" i="79"/>
  <c r="S19" i="79"/>
  <c r="S23" i="79"/>
  <c r="S29" i="79"/>
  <c r="S17" i="79"/>
  <c r="S25" i="79"/>
  <c r="S21" i="79"/>
  <c r="W10" i="79"/>
  <c r="W18" i="79"/>
  <c r="W20" i="79"/>
  <c r="W22" i="79"/>
  <c r="W24" i="79"/>
  <c r="W26" i="79"/>
  <c r="W28" i="79"/>
  <c r="W30" i="79"/>
  <c r="W29" i="79"/>
  <c r="W17" i="79"/>
  <c r="W21" i="79"/>
  <c r="W19" i="79"/>
  <c r="W25" i="79"/>
  <c r="W23" i="79"/>
  <c r="W27" i="79"/>
  <c r="S12" i="79"/>
  <c r="S55" i="79"/>
  <c r="T10" i="79"/>
  <c r="T19" i="79"/>
  <c r="T21" i="79"/>
  <c r="T23" i="79"/>
  <c r="T20" i="79"/>
  <c r="T24" i="79"/>
  <c r="T25" i="79"/>
  <c r="T26" i="79"/>
  <c r="T27" i="79"/>
  <c r="T28" i="79"/>
  <c r="T22" i="79"/>
  <c r="T30" i="79"/>
  <c r="T18" i="79"/>
  <c r="T29" i="79"/>
  <c r="T17" i="79"/>
  <c r="X19" i="79"/>
  <c r="X21" i="79"/>
  <c r="X23" i="79"/>
  <c r="X18" i="79"/>
  <c r="X22" i="79"/>
  <c r="X27" i="79"/>
  <c r="X28" i="79"/>
  <c r="X29" i="79"/>
  <c r="X30" i="79"/>
  <c r="X17" i="79"/>
  <c r="X24" i="79"/>
  <c r="X26" i="79"/>
  <c r="X20" i="79"/>
  <c r="X25" i="79"/>
  <c r="T12" i="79"/>
  <c r="U10" i="79"/>
  <c r="U19" i="79"/>
  <c r="U21" i="79"/>
  <c r="U23" i="79"/>
  <c r="U25" i="79"/>
  <c r="U27" i="79"/>
  <c r="U29" i="79"/>
  <c r="U20" i="79"/>
  <c r="U24" i="79"/>
  <c r="U26" i="79"/>
  <c r="U28" i="79"/>
  <c r="U22" i="79"/>
  <c r="U30" i="79"/>
  <c r="U17" i="79"/>
  <c r="U18" i="79"/>
  <c r="U12" i="79"/>
  <c r="X10" i="79"/>
  <c r="X12" i="79"/>
  <c r="X11" i="79"/>
  <c r="X13" i="79"/>
  <c r="X14" i="79"/>
  <c r="AX65" i="53"/>
  <c r="CZ65" i="53" s="1"/>
  <c r="AW65" i="53"/>
  <c r="CY65" i="53" s="1"/>
  <c r="G111" i="46"/>
  <c r="S10" i="79"/>
  <c r="N142" i="46"/>
  <c r="V14" i="79"/>
  <c r="K154" i="46"/>
  <c r="Y154" i="46" s="1"/>
  <c r="T14" i="79"/>
  <c r="L111" i="46"/>
  <c r="F111" i="46"/>
  <c r="T7" i="79"/>
  <c r="Z7" i="79" s="1"/>
  <c r="O80" i="46"/>
  <c r="W12" i="79"/>
  <c r="F80" i="46"/>
  <c r="T6" i="79"/>
  <c r="H80" i="46"/>
  <c r="I80" i="46"/>
  <c r="W6" i="79"/>
  <c r="G80" i="46"/>
  <c r="I54" i="46"/>
  <c r="X5" i="79"/>
  <c r="H54" i="46"/>
  <c r="G54" i="46"/>
  <c r="U5" i="79"/>
  <c r="F25" i="46"/>
  <c r="O154" i="46"/>
  <c r="AC154" i="46" s="1"/>
  <c r="O142" i="46"/>
  <c r="N154" i="46"/>
  <c r="AB154" i="46" s="1"/>
  <c r="M142" i="46"/>
  <c r="M154" i="46"/>
  <c r="AA154" i="46" s="1"/>
  <c r="L154" i="46"/>
  <c r="Z154" i="46" s="1"/>
  <c r="O123" i="46"/>
  <c r="AC123" i="46" s="1"/>
  <c r="N123" i="46"/>
  <c r="AB123" i="46" s="1"/>
  <c r="O111" i="46"/>
  <c r="M123" i="46"/>
  <c r="AA123" i="46" s="1"/>
  <c r="N111" i="46"/>
  <c r="M111" i="46"/>
  <c r="L123" i="46"/>
  <c r="Z123" i="46" s="1"/>
  <c r="I111" i="46"/>
  <c r="H111" i="46"/>
  <c r="E111" i="46"/>
  <c r="O92" i="46"/>
  <c r="AC92" i="46" s="1"/>
  <c r="N80" i="46"/>
  <c r="N92" i="46"/>
  <c r="M92" i="46"/>
  <c r="L92" i="46"/>
  <c r="M80" i="46"/>
  <c r="V55" i="84" s="1"/>
  <c r="K92" i="46"/>
  <c r="Y92" i="46" s="1"/>
  <c r="L80" i="46"/>
  <c r="U55" i="84" s="1"/>
  <c r="E80" i="46"/>
  <c r="F54" i="46"/>
  <c r="E54" i="46"/>
  <c r="O37" i="46"/>
  <c r="AC37" i="46" s="1"/>
  <c r="N37" i="46"/>
  <c r="AB37" i="46" s="1"/>
  <c r="M37" i="46"/>
  <c r="AA37" i="46" s="1"/>
  <c r="L37" i="46"/>
  <c r="Z37" i="46" s="1"/>
  <c r="I25" i="46"/>
  <c r="J154" i="46"/>
  <c r="X154" i="46" s="1"/>
  <c r="J123" i="46"/>
  <c r="X123" i="46" s="1"/>
  <c r="J92" i="46"/>
  <c r="X92" i="46" s="1"/>
  <c r="J66" i="46"/>
  <c r="X66" i="46" s="1"/>
  <c r="K142" i="46"/>
  <c r="L142" i="46"/>
  <c r="K111" i="46"/>
  <c r="M66" i="46"/>
  <c r="AA66" i="46" s="1"/>
  <c r="N66" i="46"/>
  <c r="AB66" i="46" s="1"/>
  <c r="K66" i="46"/>
  <c r="Y66" i="46" s="1"/>
  <c r="O66" i="46"/>
  <c r="AC66" i="46" s="1"/>
  <c r="L66" i="46"/>
  <c r="K37" i="46"/>
  <c r="K80" i="46"/>
  <c r="T55" i="84" s="1"/>
  <c r="O54" i="46"/>
  <c r="N54" i="46"/>
  <c r="M54" i="46"/>
  <c r="L54" i="46"/>
  <c r="K54" i="46"/>
  <c r="K25" i="46"/>
  <c r="L25" i="46"/>
  <c r="O25" i="46"/>
  <c r="G25" i="46"/>
  <c r="H25" i="46"/>
  <c r="M25" i="46"/>
  <c r="E25" i="46"/>
  <c r="N25" i="46"/>
  <c r="Z27" i="84" l="1"/>
  <c r="Z18" i="84"/>
  <c r="Z25" i="84"/>
  <c r="Z5" i="79"/>
  <c r="Z21" i="84"/>
  <c r="Z29" i="84"/>
  <c r="Y26" i="84"/>
  <c r="Y25" i="84"/>
  <c r="Y17" i="84"/>
  <c r="Z26" i="84"/>
  <c r="Y29" i="84"/>
  <c r="Z17" i="84"/>
  <c r="Z10" i="84"/>
  <c r="Z20" i="84"/>
  <c r="Z5" i="84"/>
  <c r="Z6" i="79"/>
  <c r="Z22" i="84"/>
  <c r="Y19" i="84"/>
  <c r="T44" i="84"/>
  <c r="Y44" i="84" s="1"/>
  <c r="T42" i="84"/>
  <c r="Y42" i="84" s="1"/>
  <c r="T38" i="84"/>
  <c r="Y38" i="84" s="1"/>
  <c r="T34" i="84"/>
  <c r="Y34" i="84" s="1"/>
  <c r="T43" i="84"/>
  <c r="Y43" i="84" s="1"/>
  <c r="T39" i="84"/>
  <c r="Y39" i="84" s="1"/>
  <c r="T40" i="84"/>
  <c r="Y40" i="84" s="1"/>
  <c r="T41" i="84"/>
  <c r="Y41" i="84" s="1"/>
  <c r="T36" i="84"/>
  <c r="Y36" i="84" s="1"/>
  <c r="T35" i="84"/>
  <c r="Y35" i="84" s="1"/>
  <c r="T37" i="84"/>
  <c r="Y37" i="84" s="1"/>
  <c r="T45" i="84"/>
  <c r="Y45" i="84" s="1"/>
  <c r="X48" i="84"/>
  <c r="X53" i="84"/>
  <c r="X49" i="84"/>
  <c r="X54" i="84"/>
  <c r="X50" i="84"/>
  <c r="X51" i="84"/>
  <c r="X52" i="84"/>
  <c r="X47" i="84"/>
  <c r="Z13" i="84"/>
  <c r="Y13" i="84"/>
  <c r="X55" i="84"/>
  <c r="Z55" i="84" s="1"/>
  <c r="Y55" i="84"/>
  <c r="Z12" i="84"/>
  <c r="W52" i="84"/>
  <c r="W48" i="84"/>
  <c r="W53" i="84"/>
  <c r="W49" i="84"/>
  <c r="W54" i="84"/>
  <c r="W47" i="84"/>
  <c r="W51" i="84"/>
  <c r="W50" i="84"/>
  <c r="W40" i="84"/>
  <c r="W35" i="84"/>
  <c r="W45" i="84"/>
  <c r="W41" i="84"/>
  <c r="W36" i="84"/>
  <c r="W37" i="84"/>
  <c r="W34" i="84"/>
  <c r="W38" i="84"/>
  <c r="W44" i="84"/>
  <c r="W43" i="84"/>
  <c r="W39" i="84"/>
  <c r="W42" i="84"/>
  <c r="U55" i="79"/>
  <c r="U51" i="84"/>
  <c r="U47" i="84"/>
  <c r="U52" i="84"/>
  <c r="U48" i="84"/>
  <c r="U53" i="84"/>
  <c r="U49" i="84"/>
  <c r="U50" i="84"/>
  <c r="U54" i="84"/>
  <c r="X40" i="84"/>
  <c r="X35" i="84"/>
  <c r="X45" i="84"/>
  <c r="X41" i="84"/>
  <c r="X36" i="84"/>
  <c r="X37" i="84"/>
  <c r="X44" i="84"/>
  <c r="X42" i="84"/>
  <c r="X38" i="84"/>
  <c r="X34" i="84"/>
  <c r="X43" i="84"/>
  <c r="X39" i="84"/>
  <c r="V43" i="84"/>
  <c r="V39" i="84"/>
  <c r="V40" i="84"/>
  <c r="V35" i="84"/>
  <c r="V45" i="84"/>
  <c r="V41" i="84"/>
  <c r="V36" i="84"/>
  <c r="V38" i="84"/>
  <c r="V44" i="84"/>
  <c r="V34" i="84"/>
  <c r="V37" i="84"/>
  <c r="V42" i="84"/>
  <c r="T50" i="84"/>
  <c r="Y50" i="84" s="1"/>
  <c r="T51" i="84"/>
  <c r="Y51" i="84" s="1"/>
  <c r="T47" i="84"/>
  <c r="Y47" i="84" s="1"/>
  <c r="T52" i="84"/>
  <c r="Y52" i="84" s="1"/>
  <c r="T48" i="84"/>
  <c r="Y48" i="84" s="1"/>
  <c r="T49" i="84"/>
  <c r="Y49" i="84" s="1"/>
  <c r="T54" i="84"/>
  <c r="Y54" i="84" s="1"/>
  <c r="T53" i="84"/>
  <c r="Y53" i="84" s="1"/>
  <c r="V47" i="84"/>
  <c r="V52" i="84"/>
  <c r="V48" i="84"/>
  <c r="V53" i="84"/>
  <c r="V49" i="84"/>
  <c r="V50" i="84"/>
  <c r="V54" i="84"/>
  <c r="V51" i="84"/>
  <c r="Y12" i="84"/>
  <c r="Z28" i="84"/>
  <c r="W55" i="84"/>
  <c r="U43" i="84"/>
  <c r="U39" i="84"/>
  <c r="U40" i="84"/>
  <c r="U35" i="84"/>
  <c r="U42" i="84"/>
  <c r="U38" i="84"/>
  <c r="U36" i="84"/>
  <c r="U41" i="84"/>
  <c r="U45" i="84"/>
  <c r="U44" i="84"/>
  <c r="U34" i="84"/>
  <c r="U37" i="84"/>
  <c r="Y28" i="84"/>
  <c r="Y10" i="84"/>
  <c r="Z23" i="84"/>
  <c r="Y23" i="84"/>
  <c r="Y27" i="84"/>
  <c r="Z30" i="84"/>
  <c r="Y30" i="84"/>
  <c r="U68" i="53"/>
  <c r="BZ68" i="53" s="1"/>
  <c r="Z92" i="46"/>
  <c r="R47" i="60"/>
  <c r="BO47" i="60" s="1"/>
  <c r="AA92" i="46"/>
  <c r="S47" i="60"/>
  <c r="BP47" i="60" s="1"/>
  <c r="AB92" i="46"/>
  <c r="M68" i="53"/>
  <c r="BS68" i="53" s="1"/>
  <c r="Z66" i="46"/>
  <c r="Z27" i="79"/>
  <c r="P37" i="46"/>
  <c r="Y37" i="46"/>
  <c r="Z24" i="79"/>
  <c r="Z12" i="79"/>
  <c r="Z29" i="79"/>
  <c r="P92" i="46"/>
  <c r="Z26" i="79"/>
  <c r="Z13" i="79"/>
  <c r="Z14" i="79"/>
  <c r="Z11" i="79"/>
  <c r="Z25" i="79"/>
  <c r="Z17" i="79"/>
  <c r="Z20" i="79"/>
  <c r="Z22" i="79"/>
  <c r="P154" i="46"/>
  <c r="Z23" i="79"/>
  <c r="Z21" i="79"/>
  <c r="Z30" i="79"/>
  <c r="Z19" i="79"/>
  <c r="P123" i="46"/>
  <c r="Z18" i="79"/>
  <c r="Z10" i="79"/>
  <c r="P66" i="46"/>
  <c r="Z28" i="79"/>
  <c r="Y17" i="79"/>
  <c r="U34" i="79"/>
  <c r="U36" i="79"/>
  <c r="U38" i="79"/>
  <c r="U40" i="79"/>
  <c r="U42" i="79"/>
  <c r="U44" i="79"/>
  <c r="U37" i="79"/>
  <c r="U45" i="79"/>
  <c r="U35" i="79"/>
  <c r="U43" i="79"/>
  <c r="U39" i="79"/>
  <c r="U41" i="79"/>
  <c r="T49" i="79"/>
  <c r="T51" i="79"/>
  <c r="T53" i="79"/>
  <c r="T47" i="79"/>
  <c r="T48" i="79"/>
  <c r="T54" i="79"/>
  <c r="T50" i="79"/>
  <c r="T52" i="79"/>
  <c r="V48" i="79"/>
  <c r="V50" i="79"/>
  <c r="V52" i="79"/>
  <c r="V54" i="79"/>
  <c r="V49" i="79"/>
  <c r="V47" i="79"/>
  <c r="V51" i="79"/>
  <c r="V53" i="79"/>
  <c r="W47" i="79"/>
  <c r="W48" i="79"/>
  <c r="W50" i="79"/>
  <c r="W52" i="79"/>
  <c r="W54" i="79"/>
  <c r="W51" i="79"/>
  <c r="W49" i="79"/>
  <c r="W53" i="79"/>
  <c r="X49" i="79"/>
  <c r="X51" i="79"/>
  <c r="X53" i="79"/>
  <c r="Z53" i="79" s="1"/>
  <c r="X47" i="79"/>
  <c r="Z47" i="79" s="1"/>
  <c r="X52" i="79"/>
  <c r="X50" i="79"/>
  <c r="X48" i="79"/>
  <c r="X54" i="79"/>
  <c r="X55" i="79"/>
  <c r="W55" i="79"/>
  <c r="T36" i="79"/>
  <c r="T38" i="79"/>
  <c r="T40" i="79"/>
  <c r="T42" i="79"/>
  <c r="T44" i="79"/>
  <c r="T35" i="79"/>
  <c r="T43" i="79"/>
  <c r="T41" i="79"/>
  <c r="T37" i="79"/>
  <c r="T39" i="79"/>
  <c r="T45" i="79"/>
  <c r="T34" i="79"/>
  <c r="V35" i="79"/>
  <c r="V37" i="79"/>
  <c r="V39" i="79"/>
  <c r="V41" i="79"/>
  <c r="V43" i="79"/>
  <c r="V45" i="79"/>
  <c r="V34" i="79"/>
  <c r="V36" i="79"/>
  <c r="V44" i="79"/>
  <c r="V42" i="79"/>
  <c r="V38" i="79"/>
  <c r="V40" i="79"/>
  <c r="T55" i="79"/>
  <c r="P54" i="46"/>
  <c r="X36" i="79"/>
  <c r="X38" i="79"/>
  <c r="X40" i="79"/>
  <c r="X42" i="79"/>
  <c r="X44" i="79"/>
  <c r="X39" i="79"/>
  <c r="X34" i="79"/>
  <c r="X37" i="79"/>
  <c r="X45" i="79"/>
  <c r="Z45" i="79" s="1"/>
  <c r="X35" i="79"/>
  <c r="X43" i="79"/>
  <c r="X41" i="79"/>
  <c r="W35" i="79"/>
  <c r="W37" i="79"/>
  <c r="W39" i="79"/>
  <c r="W41" i="79"/>
  <c r="W43" i="79"/>
  <c r="W45" i="79"/>
  <c r="W38" i="79"/>
  <c r="W36" i="79"/>
  <c r="W44" i="79"/>
  <c r="W40" i="79"/>
  <c r="W34" i="79"/>
  <c r="W42" i="79"/>
  <c r="U49" i="79"/>
  <c r="U51" i="79"/>
  <c r="U53" i="79"/>
  <c r="U50" i="79"/>
  <c r="U48" i="79"/>
  <c r="U52" i="79"/>
  <c r="U47" i="79"/>
  <c r="U54" i="79"/>
  <c r="V55" i="79"/>
  <c r="AN68" i="53"/>
  <c r="CQ68" i="53" s="1"/>
  <c r="AF47" i="60"/>
  <c r="CC47" i="60" s="1"/>
  <c r="AA47" i="60"/>
  <c r="BX47" i="60" s="1"/>
  <c r="AE47" i="60"/>
  <c r="CB47" i="60" s="1"/>
  <c r="AC47" i="60"/>
  <c r="BZ47" i="60" s="1"/>
  <c r="AD47" i="60"/>
  <c r="CA47" i="60" s="1"/>
  <c r="AB47" i="60"/>
  <c r="BY47" i="60" s="1"/>
  <c r="V47" i="60"/>
  <c r="BS47" i="60" s="1"/>
  <c r="W47" i="60"/>
  <c r="BT47" i="60" s="1"/>
  <c r="Z47" i="60"/>
  <c r="BW47" i="60" s="1"/>
  <c r="X47" i="60"/>
  <c r="BU47" i="60" s="1"/>
  <c r="AA68" i="53"/>
  <c r="U47" i="60"/>
  <c r="BR47" i="60" s="1"/>
  <c r="AE68" i="53"/>
  <c r="CI68" i="53" s="1"/>
  <c r="Y47" i="60"/>
  <c r="BV47" i="60" s="1"/>
  <c r="O47" i="60"/>
  <c r="BL47" i="60" s="1"/>
  <c r="P47" i="60"/>
  <c r="BM47" i="60" s="1"/>
  <c r="X68" i="53"/>
  <c r="CC68" i="53" s="1"/>
  <c r="T47" i="60"/>
  <c r="BQ47" i="60" s="1"/>
  <c r="Q47" i="60"/>
  <c r="BN47" i="60" s="1"/>
  <c r="K47" i="60"/>
  <c r="BH47" i="60" s="1"/>
  <c r="O68" i="53"/>
  <c r="BU68" i="53" s="1"/>
  <c r="M47" i="60"/>
  <c r="BJ47" i="60" s="1"/>
  <c r="N47" i="60"/>
  <c r="BK47" i="60" s="1"/>
  <c r="L47" i="60"/>
  <c r="BI47" i="60" s="1"/>
  <c r="I47" i="60"/>
  <c r="BF47" i="60" s="1"/>
  <c r="J47" i="60"/>
  <c r="BG47" i="60" s="1"/>
  <c r="H47" i="60"/>
  <c r="BE47" i="60" s="1"/>
  <c r="F47" i="60"/>
  <c r="BC47" i="60" s="1"/>
  <c r="G47" i="60"/>
  <c r="BD47" i="60" s="1"/>
  <c r="E47" i="60"/>
  <c r="BB47" i="60" s="1"/>
  <c r="D47" i="60"/>
  <c r="BA47" i="60" s="1"/>
  <c r="C68" i="53"/>
  <c r="BJ68" i="53" s="1"/>
  <c r="C47" i="60"/>
  <c r="AZ47" i="60" s="1"/>
  <c r="AM68" i="53"/>
  <c r="CP68" i="53" s="1"/>
  <c r="F68" i="53"/>
  <c r="BM68" i="53" s="1"/>
  <c r="AK68" i="53"/>
  <c r="CN68" i="53" s="1"/>
  <c r="K68" i="53"/>
  <c r="AD68" i="53"/>
  <c r="CH68" i="53" s="1"/>
  <c r="H68" i="53"/>
  <c r="BO68" i="53" s="1"/>
  <c r="G68" i="53"/>
  <c r="BN68" i="53" s="1"/>
  <c r="AI68" i="53"/>
  <c r="S68" i="53"/>
  <c r="N124" i="46"/>
  <c r="L155" i="46"/>
  <c r="AL68" i="53"/>
  <c r="CO68" i="53" s="1"/>
  <c r="K155" i="46"/>
  <c r="AJ68" i="53"/>
  <c r="CM68" i="53" s="1"/>
  <c r="AF68" i="53"/>
  <c r="CJ68" i="53" s="1"/>
  <c r="O124" i="46"/>
  <c r="L124" i="46"/>
  <c r="AC68" i="53"/>
  <c r="CG68" i="53" s="1"/>
  <c r="K124" i="46"/>
  <c r="AB68" i="53"/>
  <c r="CF68" i="53" s="1"/>
  <c r="K93" i="46"/>
  <c r="T68" i="53"/>
  <c r="BY68" i="53" s="1"/>
  <c r="V68" i="53"/>
  <c r="CA68" i="53" s="1"/>
  <c r="W68" i="53"/>
  <c r="CB68" i="53" s="1"/>
  <c r="P68" i="53"/>
  <c r="BV68" i="53" s="1"/>
  <c r="N68" i="53"/>
  <c r="BT68" i="53" s="1"/>
  <c r="K67" i="46"/>
  <c r="L68" i="53"/>
  <c r="BR68" i="53" s="1"/>
  <c r="O38" i="46"/>
  <c r="N38" i="46"/>
  <c r="M38" i="46"/>
  <c r="E68" i="53"/>
  <c r="BL68" i="53" s="1"/>
  <c r="K38" i="46"/>
  <c r="D68" i="53"/>
  <c r="BK68" i="53" s="1"/>
  <c r="L38" i="46"/>
  <c r="N155" i="46"/>
  <c r="M155" i="46"/>
  <c r="O93" i="46"/>
  <c r="L93" i="46"/>
  <c r="N93" i="46"/>
  <c r="N67" i="46"/>
  <c r="M67" i="46"/>
  <c r="L67" i="46"/>
  <c r="M93" i="46"/>
  <c r="O155" i="46"/>
  <c r="O67" i="46"/>
  <c r="M124" i="46"/>
  <c r="Z39" i="84" l="1"/>
  <c r="Z40" i="84"/>
  <c r="Z51" i="79"/>
  <c r="Z36" i="84"/>
  <c r="Z37" i="84"/>
  <c r="Z35" i="84"/>
  <c r="Z38" i="84"/>
  <c r="Z34" i="84"/>
  <c r="Z42" i="84"/>
  <c r="Z45" i="84"/>
  <c r="Z44" i="84"/>
  <c r="Z43" i="84"/>
  <c r="Z54" i="84"/>
  <c r="Z49" i="84"/>
  <c r="Z53" i="84"/>
  <c r="Z48" i="84"/>
  <c r="Z47" i="84"/>
  <c r="Z52" i="84"/>
  <c r="Z41" i="84"/>
  <c r="Z51" i="84"/>
  <c r="Z50" i="84"/>
  <c r="AJ68" i="73"/>
  <c r="BY68" i="73" s="1"/>
  <c r="CE68" i="53"/>
  <c r="Y68" i="73"/>
  <c r="BS68" i="73" s="1"/>
  <c r="BX68" i="53"/>
  <c r="AU68" i="73"/>
  <c r="CE68" i="73" s="1"/>
  <c r="CL68" i="53"/>
  <c r="N68" i="73"/>
  <c r="BM68" i="73" s="1"/>
  <c r="BQ68" i="53"/>
  <c r="Z49" i="79"/>
  <c r="AW47" i="60"/>
  <c r="Z40" i="79"/>
  <c r="Z43" i="79"/>
  <c r="Z48" i="79"/>
  <c r="AV47" i="60"/>
  <c r="Z35" i="79"/>
  <c r="Z38" i="79"/>
  <c r="Z36" i="79"/>
  <c r="Z52" i="79"/>
  <c r="Z50" i="79"/>
  <c r="J68" i="53"/>
  <c r="I68" i="53"/>
  <c r="BP68" i="53" s="1"/>
  <c r="Z37" i="79"/>
  <c r="Z34" i="79"/>
  <c r="Z39" i="79"/>
  <c r="Z44" i="79"/>
  <c r="Z55" i="79"/>
  <c r="Z68" i="53"/>
  <c r="Y68" i="53"/>
  <c r="CD68" i="53" s="1"/>
  <c r="AO68" i="53"/>
  <c r="CR68" i="53" s="1"/>
  <c r="AP68" i="53"/>
  <c r="R68" i="53"/>
  <c r="Q68" i="53"/>
  <c r="BW68" i="53" s="1"/>
  <c r="AH68" i="53"/>
  <c r="AG68" i="53"/>
  <c r="CK68" i="53" s="1"/>
  <c r="Z41" i="79"/>
  <c r="Z42" i="79"/>
  <c r="Z54" i="79"/>
  <c r="AX68" i="73"/>
  <c r="CG68" i="73" s="1"/>
  <c r="AY68" i="73"/>
  <c r="AW68" i="73"/>
  <c r="AV68" i="73"/>
  <c r="CF68" i="73" s="1"/>
  <c r="BC68" i="73"/>
  <c r="BB68" i="73"/>
  <c r="CI68" i="73" s="1"/>
  <c r="BA68" i="73"/>
  <c r="AZ68" i="73"/>
  <c r="CH68" i="73" s="1"/>
  <c r="BE68" i="73"/>
  <c r="BD68" i="73"/>
  <c r="CJ68" i="73" s="1"/>
  <c r="AR68" i="73"/>
  <c r="AQ68" i="73"/>
  <c r="CC68" i="73" s="1"/>
  <c r="AT68" i="73"/>
  <c r="AS68" i="73"/>
  <c r="CD68" i="73" s="1"/>
  <c r="AN68" i="73"/>
  <c r="AM68" i="73"/>
  <c r="CA68" i="73" s="1"/>
  <c r="AO68" i="73"/>
  <c r="CB68" i="73" s="1"/>
  <c r="AP68" i="73"/>
  <c r="AL68" i="73"/>
  <c r="AK68" i="73"/>
  <c r="BZ68" i="73" s="1"/>
  <c r="AF68" i="73"/>
  <c r="BW68" i="73" s="1"/>
  <c r="AG68" i="73"/>
  <c r="AE68" i="73"/>
  <c r="AD68" i="73"/>
  <c r="BV68" i="73" s="1"/>
  <c r="AI68" i="73"/>
  <c r="AH68" i="73"/>
  <c r="BX68" i="73" s="1"/>
  <c r="AB68" i="73"/>
  <c r="BU68" i="73" s="1"/>
  <c r="AA68" i="73"/>
  <c r="Z68" i="73"/>
  <c r="BT68" i="73" s="1"/>
  <c r="AC68" i="73"/>
  <c r="O68" i="73"/>
  <c r="BN68" i="73" s="1"/>
  <c r="P68" i="73"/>
  <c r="Q68" i="73"/>
  <c r="BO68" i="73" s="1"/>
  <c r="V68" i="73"/>
  <c r="U68" i="73"/>
  <c r="BQ68" i="73" s="1"/>
  <c r="R68" i="73"/>
  <c r="S68" i="73"/>
  <c r="BP68" i="73" s="1"/>
  <c r="T68" i="73"/>
  <c r="W68" i="73"/>
  <c r="BR68" i="73" s="1"/>
  <c r="X68" i="73"/>
  <c r="BB68" i="53"/>
  <c r="DD68" i="53" s="1"/>
  <c r="BH68" i="53"/>
  <c r="DJ68" i="53" s="1"/>
  <c r="AY68" i="53"/>
  <c r="DA68" i="53" s="1"/>
  <c r="BE68" i="53"/>
  <c r="DG68" i="53" s="1"/>
  <c r="BD68" i="53"/>
  <c r="DF68" i="53" s="1"/>
  <c r="AX68" i="53"/>
  <c r="CZ68" i="53" s="1"/>
  <c r="BF68" i="53"/>
  <c r="DH68" i="53" s="1"/>
  <c r="AZ68" i="53"/>
  <c r="DB68" i="53" s="1"/>
  <c r="BA68" i="53"/>
  <c r="DC68" i="53" s="1"/>
  <c r="BG68" i="53"/>
  <c r="DI68" i="53" s="1"/>
  <c r="E68" i="73"/>
  <c r="F68" i="73"/>
  <c r="BI68" i="73" s="1"/>
  <c r="J68" i="73"/>
  <c r="BK68" i="73" s="1"/>
  <c r="G68" i="73"/>
  <c r="K68" i="73"/>
  <c r="AW68" i="53"/>
  <c r="CY68" i="53" s="1"/>
  <c r="C68" i="73"/>
  <c r="BG68" i="73" s="1"/>
  <c r="D68" i="73"/>
  <c r="BH68" i="73" s="1"/>
  <c r="H68" i="73"/>
  <c r="BJ68" i="73" s="1"/>
  <c r="L68" i="73"/>
  <c r="BL68" i="73" s="1"/>
  <c r="I68" i="73"/>
  <c r="M68" i="73"/>
  <c r="BC68" i="53"/>
  <c r="DE68" i="53" s="1"/>
  <c r="AH33" i="50"/>
  <c r="AH32" i="50"/>
  <c r="AH29" i="50"/>
  <c r="AA33" i="50"/>
  <c r="AA32" i="50"/>
  <c r="AA29" i="50"/>
  <c r="AI29" i="50" l="1"/>
  <c r="BT29" i="50"/>
  <c r="AI32" i="50"/>
  <c r="BT32" i="50"/>
  <c r="AB33" i="50"/>
  <c r="BM33" i="50"/>
  <c r="AI33" i="50"/>
  <c r="BT33" i="50"/>
  <c r="AB29" i="50"/>
  <c r="BM29" i="50"/>
  <c r="AB32" i="50"/>
  <c r="BM32" i="50"/>
  <c r="AE33" i="79"/>
  <c r="AF33" i="79"/>
  <c r="AG33" i="79"/>
  <c r="AE34" i="79"/>
  <c r="AF34" i="79"/>
  <c r="AG34" i="79"/>
  <c r="AE35" i="79"/>
  <c r="AF35" i="79"/>
  <c r="AG35" i="79"/>
  <c r="AD34" i="79"/>
  <c r="AD35" i="79"/>
  <c r="AD33" i="79"/>
  <c r="AC29" i="50" l="1"/>
  <c r="BN29" i="50"/>
  <c r="AJ33" i="50"/>
  <c r="BU33" i="50"/>
  <c r="AJ29" i="50"/>
  <c r="BU29" i="50"/>
  <c r="AC33" i="50"/>
  <c r="BN33" i="50"/>
  <c r="AJ32" i="50"/>
  <c r="BU32" i="50"/>
  <c r="AC32" i="50"/>
  <c r="BN32" i="50"/>
  <c r="AD36" i="79"/>
  <c r="AE36" i="79"/>
  <c r="AF36" i="79"/>
  <c r="AD33" i="50" l="1"/>
  <c r="BO33" i="50"/>
  <c r="AK32" i="50"/>
  <c r="BV32" i="50"/>
  <c r="AK29" i="50"/>
  <c r="BV29" i="50"/>
  <c r="AK33" i="50"/>
  <c r="BV33" i="50"/>
  <c r="AD32" i="50"/>
  <c r="BO32" i="50"/>
  <c r="AD29" i="50"/>
  <c r="BO29" i="50"/>
  <c r="E67" i="17"/>
  <c r="G50" i="17" s="1"/>
  <c r="AF28" i="84" s="1"/>
  <c r="E68" i="17"/>
  <c r="H51" i="17" s="1"/>
  <c r="AG29" i="84" s="1"/>
  <c r="E66" i="17"/>
  <c r="F49" i="17" s="1"/>
  <c r="AE27" i="84" s="1"/>
  <c r="AL33" i="50" l="1"/>
  <c r="BW33" i="50"/>
  <c r="AL29" i="50"/>
  <c r="BW29" i="50"/>
  <c r="AL32" i="50"/>
  <c r="BW32" i="50"/>
  <c r="AE32" i="50"/>
  <c r="BP32" i="50"/>
  <c r="AE29" i="50"/>
  <c r="BP29" i="50"/>
  <c r="AE33" i="50"/>
  <c r="BP33" i="50"/>
  <c r="E50" i="17"/>
  <c r="AD28" i="84" s="1"/>
  <c r="D50" i="17"/>
  <c r="AC28" i="84" s="1"/>
  <c r="E51" i="17"/>
  <c r="AD29" i="84" s="1"/>
  <c r="D49" i="17"/>
  <c r="AC27" i="84" s="1"/>
  <c r="F51" i="17"/>
  <c r="AE29" i="84" s="1"/>
  <c r="H49" i="17"/>
  <c r="AG27" i="84" s="1"/>
  <c r="E49" i="17"/>
  <c r="AD27" i="84" s="1"/>
  <c r="F50" i="17"/>
  <c r="AE28" i="84" s="1"/>
  <c r="G51" i="17"/>
  <c r="AF29" i="84" s="1"/>
  <c r="G49" i="17"/>
  <c r="AF27" i="84" s="1"/>
  <c r="H50" i="17"/>
  <c r="AG28" i="84" s="1"/>
  <c r="D51" i="17"/>
  <c r="AC29" i="84" s="1"/>
  <c r="AC35" i="79"/>
  <c r="AC34" i="79"/>
  <c r="AC33" i="79"/>
  <c r="AG36" i="79"/>
  <c r="AF32" i="50" l="1"/>
  <c r="BR32" i="50" s="1"/>
  <c r="BQ32" i="50"/>
  <c r="AM32" i="50"/>
  <c r="BY32" i="50" s="1"/>
  <c r="BX32" i="50"/>
  <c r="AF29" i="50"/>
  <c r="BR29" i="50" s="1"/>
  <c r="BQ29" i="50"/>
  <c r="AM29" i="50"/>
  <c r="BY29" i="50" s="1"/>
  <c r="BX29" i="50"/>
  <c r="AF33" i="50"/>
  <c r="BR33" i="50" s="1"/>
  <c r="BQ33" i="50"/>
  <c r="AM33" i="50"/>
  <c r="BY33" i="50" s="1"/>
  <c r="BX33" i="50"/>
  <c r="AC36" i="79"/>
  <c r="AD27" i="79" l="1"/>
  <c r="AE27" i="79"/>
  <c r="AF27" i="79"/>
  <c r="AG27" i="79"/>
  <c r="AD28" i="79"/>
  <c r="AE28" i="79"/>
  <c r="AF28" i="79"/>
  <c r="AG28" i="79"/>
  <c r="AD29" i="79"/>
  <c r="AE29" i="79"/>
  <c r="AF29" i="79"/>
  <c r="AG29" i="79"/>
  <c r="AC28" i="79"/>
  <c r="AC29" i="79"/>
  <c r="AC27" i="79"/>
  <c r="AD20" i="79"/>
  <c r="AE20" i="79"/>
  <c r="AF20" i="79"/>
  <c r="AG20" i="79"/>
  <c r="AC20" i="79"/>
  <c r="AD15" i="79"/>
  <c r="AE15" i="79"/>
  <c r="AF15" i="79"/>
  <c r="AG15" i="79"/>
  <c r="AD16" i="79"/>
  <c r="AE16" i="79"/>
  <c r="AF16" i="79"/>
  <c r="AG16" i="79"/>
  <c r="AD17" i="79"/>
  <c r="AE17" i="79"/>
  <c r="AF17" i="79"/>
  <c r="AG17" i="79"/>
  <c r="AC17" i="79"/>
  <c r="AC16" i="79"/>
  <c r="AC15" i="79"/>
  <c r="AC21" i="79"/>
  <c r="AC18" i="79"/>
  <c r="AK14" i="79" s="1"/>
  <c r="AN47" i="67"/>
  <c r="AO47" i="67"/>
  <c r="AP47" i="67"/>
  <c r="AQ47" i="67"/>
  <c r="AM51" i="67"/>
  <c r="AM50" i="67"/>
  <c r="AM47" i="67"/>
  <c r="T100" i="67"/>
  <c r="AL35" i="67" s="1"/>
  <c r="AS27" i="67" s="1"/>
  <c r="AL27" i="67"/>
  <c r="AS21" i="67" s="1"/>
  <c r="AL19" i="67"/>
  <c r="AL11" i="67"/>
  <c r="AL3" i="67"/>
  <c r="AE17" i="67"/>
  <c r="AD17" i="67"/>
  <c r="S165" i="67"/>
  <c r="S164" i="67"/>
  <c r="S163" i="67"/>
  <c r="S162" i="67"/>
  <c r="S161" i="67"/>
  <c r="S160" i="67"/>
  <c r="S159" i="67"/>
  <c r="S158" i="67"/>
  <c r="S157" i="67"/>
  <c r="S156" i="67"/>
  <c r="S178" i="67"/>
  <c r="S177" i="67"/>
  <c r="S176" i="67"/>
  <c r="S175" i="67"/>
  <c r="S174" i="67"/>
  <c r="S173" i="67"/>
  <c r="S172" i="67"/>
  <c r="S171" i="67"/>
  <c r="S170" i="67"/>
  <c r="S169" i="67"/>
  <c r="S152" i="67"/>
  <c r="S151" i="67"/>
  <c r="S149" i="67"/>
  <c r="S148" i="67"/>
  <c r="S147" i="67"/>
  <c r="S146" i="67"/>
  <c r="S145" i="67"/>
  <c r="S144" i="67"/>
  <c r="S143"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AA19" i="67" l="1"/>
  <c r="AA59" i="67"/>
  <c r="AA40" i="67"/>
  <c r="AA17" i="67"/>
  <c r="AA61" i="67"/>
  <c r="AA38" i="67"/>
  <c r="T134" i="67"/>
  <c r="X136" i="67"/>
  <c r="Y136" i="67"/>
  <c r="V136" i="67"/>
  <c r="T136" i="67"/>
  <c r="W134" i="67"/>
  <c r="U136" i="67"/>
  <c r="V134" i="67"/>
  <c r="Y134" i="67"/>
  <c r="U134" i="67"/>
  <c r="W136" i="67"/>
  <c r="X134" i="67"/>
  <c r="AK16" i="79"/>
  <c r="AE14" i="79"/>
  <c r="AD14" i="79"/>
  <c r="AG14" i="79"/>
  <c r="AF14" i="79"/>
  <c r="AC14" i="79"/>
  <c r="Z38" i="67"/>
  <c r="Z61" i="67"/>
  <c r="Z59" i="67"/>
  <c r="Z40" i="67"/>
  <c r="Z19" i="67"/>
  <c r="Z17" i="67"/>
  <c r="AA134" i="67" l="1"/>
  <c r="AA136" i="67"/>
  <c r="Z134" i="67"/>
  <c r="Z136"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Y50" i="79"/>
  <c r="Y51" i="79"/>
  <c r="Y54" i="79"/>
  <c r="V4" i="79"/>
  <c r="W4" i="79"/>
  <c r="X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Y49" i="79" l="1"/>
  <c r="Y55" i="79"/>
  <c r="Y34" i="79"/>
  <c r="Y47" i="79"/>
  <c r="Y44" i="79"/>
  <c r="Y38" i="79"/>
  <c r="Y40" i="79"/>
  <c r="Y36" i="79"/>
  <c r="Y45" i="79"/>
  <c r="Y41" i="79"/>
  <c r="Y37" i="79"/>
  <c r="Y43" i="79"/>
  <c r="Y39" i="79"/>
  <c r="Y35" i="79"/>
  <c r="Y42" i="79"/>
  <c r="Y53" i="79"/>
  <c r="Y48" i="79"/>
  <c r="Y52" i="79"/>
  <c r="Y14" i="79"/>
  <c r="Y7" i="79"/>
  <c r="Y6" i="79"/>
  <c r="Y12" i="79"/>
  <c r="Y11" i="79"/>
  <c r="Y5" i="79"/>
  <c r="Y13" i="79"/>
  <c r="AW94" i="53" l="1"/>
  <c r="CY94" i="53" s="1"/>
  <c r="BB94" i="53"/>
  <c r="DD94" i="53" s="1"/>
  <c r="BA94" i="53"/>
  <c r="DC94" i="53" s="1"/>
  <c r="AZ94" i="53"/>
  <c r="DB94" i="53" s="1"/>
  <c r="AY94" i="53"/>
  <c r="DA94" i="53" s="1"/>
  <c r="AX94" i="53"/>
  <c r="CZ94" i="53" s="1"/>
  <c r="Y94" i="73"/>
  <c r="BS94" i="73" s="1"/>
  <c r="Z94" i="73"/>
  <c r="BT94" i="73" s="1"/>
  <c r="AA94" i="73"/>
  <c r="AB94" i="73"/>
  <c r="BU94" i="73" s="1"/>
  <c r="AC94" i="73"/>
  <c r="AD94" i="73"/>
  <c r="BV94" i="73" s="1"/>
  <c r="AE94" i="73"/>
  <c r="AF94" i="73"/>
  <c r="BW94" i="73" s="1"/>
  <c r="AG94" i="73"/>
  <c r="AH94" i="73"/>
  <c r="BX94" i="73" s="1"/>
  <c r="AI94" i="73"/>
  <c r="N94" i="73"/>
  <c r="BM94" i="73" s="1"/>
  <c r="O94" i="73"/>
  <c r="BN94" i="73" s="1"/>
  <c r="P94" i="73"/>
  <c r="Q94" i="73"/>
  <c r="BO94" i="73" s="1"/>
  <c r="R94" i="73"/>
  <c r="S94" i="73"/>
  <c r="BP94" i="73" s="1"/>
  <c r="T94" i="73"/>
  <c r="U94" i="73"/>
  <c r="BQ94" i="73" s="1"/>
  <c r="V94" i="73"/>
  <c r="W94" i="73"/>
  <c r="BR94" i="73" s="1"/>
  <c r="X94" i="73"/>
  <c r="C94" i="73"/>
  <c r="BG94" i="73" s="1"/>
  <c r="D94" i="73"/>
  <c r="BH94" i="73" s="1"/>
  <c r="E94" i="73"/>
  <c r="F94" i="73"/>
  <c r="BI94" i="73" s="1"/>
  <c r="G94" i="73"/>
  <c r="H94" i="73"/>
  <c r="BJ94" i="73" s="1"/>
  <c r="I94" i="73"/>
  <c r="J94" i="73"/>
  <c r="BK94" i="73" s="1"/>
  <c r="K94" i="73"/>
  <c r="L94" i="73"/>
  <c r="BL94" i="73" s="1"/>
  <c r="M94" i="73"/>
  <c r="C27" i="60"/>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BY58" i="50" s="1"/>
  <c r="AL58" i="50"/>
  <c r="BX58" i="50" s="1"/>
  <c r="AK58" i="50"/>
  <c r="BW58" i="50" s="1"/>
  <c r="AJ58" i="50"/>
  <c r="BV58" i="50" s="1"/>
  <c r="AI58" i="50"/>
  <c r="BU58" i="50" s="1"/>
  <c r="AH58" i="50"/>
  <c r="BT58" i="50" s="1"/>
  <c r="AM57" i="50"/>
  <c r="BY57" i="50" s="1"/>
  <c r="AL57" i="50"/>
  <c r="BX57" i="50" s="1"/>
  <c r="AK57" i="50"/>
  <c r="BW57" i="50" s="1"/>
  <c r="AJ57" i="50"/>
  <c r="BV57" i="50" s="1"/>
  <c r="AI57" i="50"/>
  <c r="BU57" i="50" s="1"/>
  <c r="AH57" i="50"/>
  <c r="BT57" i="50" s="1"/>
  <c r="AM54" i="50"/>
  <c r="BY54" i="50" s="1"/>
  <c r="AL54" i="50"/>
  <c r="BX54" i="50" s="1"/>
  <c r="AK54" i="50"/>
  <c r="BW54" i="50" s="1"/>
  <c r="AJ54" i="50"/>
  <c r="BV54" i="50" s="1"/>
  <c r="AI54" i="50"/>
  <c r="BU54" i="50" s="1"/>
  <c r="AH54" i="50"/>
  <c r="BT54" i="50" s="1"/>
  <c r="E25" i="2" l="1"/>
  <c r="H82" i="1"/>
  <c r="G82" i="1"/>
  <c r="G83" i="1"/>
  <c r="H83" i="1"/>
  <c r="K79" i="74"/>
  <c r="J79" i="74"/>
  <c r="I79" i="74"/>
  <c r="H79" i="74"/>
  <c r="K46" i="74"/>
  <c r="J46" i="74"/>
  <c r="I46" i="74"/>
  <c r="H46" i="74"/>
  <c r="K10" i="74"/>
  <c r="J10" i="74"/>
  <c r="I10" i="74"/>
  <c r="H10" i="74"/>
  <c r="AB20" i="78" l="1"/>
  <c r="AB20" i="83"/>
  <c r="H25" i="2"/>
  <c r="G25" i="2"/>
  <c r="AD20" i="83" s="1"/>
  <c r="AR12" i="60"/>
  <c r="AS12" i="60"/>
  <c r="AT12" i="60"/>
  <c r="AQ12" i="60"/>
  <c r="AP12" i="60"/>
  <c r="AM12" i="60"/>
  <c r="AM13" i="60"/>
  <c r="AT26" i="60"/>
  <c r="AS26" i="60"/>
  <c r="AR26" i="60"/>
  <c r="AQ26" i="60"/>
  <c r="AP26" i="60"/>
  <c r="AM26" i="60"/>
  <c r="AE20" i="78" l="1"/>
  <c r="AE20" i="83"/>
  <c r="AU12" i="60"/>
  <c r="AU26" i="60"/>
  <c r="S25" i="2"/>
  <c r="AD20" i="78"/>
  <c r="E90" i="1" l="1"/>
  <c r="U90" i="1" s="1"/>
  <c r="F93" i="1"/>
  <c r="F98" i="1"/>
  <c r="F103" i="1"/>
  <c r="E93" i="1"/>
  <c r="E98" i="1"/>
  <c r="E103" i="1"/>
  <c r="J43" i="2" l="1"/>
  <c r="AG40" i="83" s="1"/>
  <c r="I43" i="2"/>
  <c r="AF40" i="83" s="1"/>
  <c r="H43" i="2"/>
  <c r="AE40" i="83" s="1"/>
  <c r="G43" i="2"/>
  <c r="AD40" i="83" s="1"/>
  <c r="F43" i="2"/>
  <c r="AC40" i="83" s="1"/>
  <c r="E43" i="2"/>
  <c r="AG39" i="78"/>
  <c r="AF39" i="78"/>
  <c r="AE39" i="78"/>
  <c r="AD39" i="78"/>
  <c r="AC39" i="78"/>
  <c r="AB39" i="78"/>
  <c r="J36" i="2"/>
  <c r="AG31" i="83" s="1"/>
  <c r="I36" i="2"/>
  <c r="AF31" i="83" s="1"/>
  <c r="H36" i="2"/>
  <c r="AE31" i="83" s="1"/>
  <c r="G36" i="2"/>
  <c r="AD31" i="83" s="1"/>
  <c r="F36" i="2"/>
  <c r="AC31" i="83" s="1"/>
  <c r="E36" i="2"/>
  <c r="J35" i="2"/>
  <c r="I35" i="2"/>
  <c r="H35" i="2"/>
  <c r="G35" i="2"/>
  <c r="F35" i="2"/>
  <c r="E35" i="2"/>
  <c r="J33" i="2"/>
  <c r="I33" i="2"/>
  <c r="H33" i="2"/>
  <c r="G33" i="2"/>
  <c r="F33" i="2"/>
  <c r="E33" i="2"/>
  <c r="J32" i="2"/>
  <c r="I32" i="2"/>
  <c r="H32" i="2"/>
  <c r="G32" i="2"/>
  <c r="F32" i="2"/>
  <c r="E32" i="2"/>
  <c r="E31" i="2"/>
  <c r="J27" i="2"/>
  <c r="AG22" i="83" s="1"/>
  <c r="I27" i="2"/>
  <c r="AF22" i="83" s="1"/>
  <c r="H27" i="2"/>
  <c r="AE22" i="83" s="1"/>
  <c r="G27" i="2"/>
  <c r="AD22" i="83" s="1"/>
  <c r="F27" i="2"/>
  <c r="AC22" i="83" s="1"/>
  <c r="E27" i="2"/>
  <c r="J26" i="2"/>
  <c r="AG21" i="83" s="1"/>
  <c r="I26" i="2"/>
  <c r="AF21" i="83" s="1"/>
  <c r="H26" i="2"/>
  <c r="AE21" i="83" s="1"/>
  <c r="G26" i="2"/>
  <c r="AD21" i="83" s="1"/>
  <c r="F26" i="2"/>
  <c r="AC21" i="83" s="1"/>
  <c r="E26" i="2"/>
  <c r="J20" i="2"/>
  <c r="AG15" i="83" s="1"/>
  <c r="I20" i="2"/>
  <c r="AF15" i="83" s="1"/>
  <c r="H20" i="2"/>
  <c r="AE15" i="83" s="1"/>
  <c r="G20" i="2"/>
  <c r="AD15" i="83" s="1"/>
  <c r="F20" i="2"/>
  <c r="AC15" i="83" s="1"/>
  <c r="E20" i="2"/>
  <c r="J17" i="2"/>
  <c r="I17" i="2"/>
  <c r="H17" i="2"/>
  <c r="G17" i="2"/>
  <c r="F17" i="2"/>
  <c r="E17" i="2"/>
  <c r="J16" i="2"/>
  <c r="I16" i="2"/>
  <c r="H16" i="2"/>
  <c r="G16" i="2"/>
  <c r="F16" i="2"/>
  <c r="E16" i="2"/>
  <c r="J12" i="2"/>
  <c r="I12" i="2"/>
  <c r="H12" i="2"/>
  <c r="G12" i="2"/>
  <c r="F12" i="2"/>
  <c r="E12" i="2"/>
  <c r="D33" i="65"/>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G12" i="78" l="1"/>
  <c r="AG12" i="83"/>
  <c r="AB30" i="78"/>
  <c r="AB30" i="83"/>
  <c r="AD7" i="78"/>
  <c r="AD7" i="83"/>
  <c r="AF11" i="78"/>
  <c r="AF11" i="83"/>
  <c r="AB15" i="78"/>
  <c r="AB15" i="83"/>
  <c r="AG27" i="78"/>
  <c r="AG27" i="83"/>
  <c r="AC30" i="78"/>
  <c r="AC30" i="83"/>
  <c r="AE11" i="78"/>
  <c r="AE11" i="83"/>
  <c r="AF7" i="78"/>
  <c r="AF7" i="83"/>
  <c r="AB12" i="78"/>
  <c r="AB12" i="83"/>
  <c r="AB26" i="78"/>
  <c r="AB26" i="83"/>
  <c r="AC28" i="78"/>
  <c r="AC28" i="83"/>
  <c r="AE30" i="78"/>
  <c r="AE30" i="83"/>
  <c r="AF27" i="78"/>
  <c r="AF27" i="83"/>
  <c r="AE7" i="78"/>
  <c r="AE7" i="83"/>
  <c r="AB40" i="78"/>
  <c r="AB40" i="83"/>
  <c r="AG7" i="78"/>
  <c r="AG7" i="83"/>
  <c r="AC12" i="78"/>
  <c r="AC12" i="83"/>
  <c r="AB27" i="78"/>
  <c r="AB27" i="83"/>
  <c r="AD28" i="78"/>
  <c r="AD28" i="83"/>
  <c r="AF30" i="78"/>
  <c r="AF30" i="83"/>
  <c r="AC7" i="78"/>
  <c r="AC7" i="83"/>
  <c r="AD30" i="78"/>
  <c r="AD30" i="83"/>
  <c r="AB11" i="78"/>
  <c r="AB11" i="83"/>
  <c r="AD12" i="78"/>
  <c r="AD12" i="83"/>
  <c r="AB22" i="78"/>
  <c r="AB22" i="83"/>
  <c r="AC27" i="78"/>
  <c r="AC27" i="83"/>
  <c r="AE28" i="78"/>
  <c r="AE28" i="83"/>
  <c r="AG30" i="78"/>
  <c r="AG30" i="83"/>
  <c r="AG11" i="78"/>
  <c r="AG11" i="83"/>
  <c r="AB28" i="78"/>
  <c r="AB28" i="83"/>
  <c r="C42" i="78"/>
  <c r="C42" i="83"/>
  <c r="AC11" i="78"/>
  <c r="AC11" i="83"/>
  <c r="AE12" i="78"/>
  <c r="AE12" i="83"/>
  <c r="AD27" i="78"/>
  <c r="AD27" i="83"/>
  <c r="AF28" i="78"/>
  <c r="AF28" i="83"/>
  <c r="AB31" i="78"/>
  <c r="AB31" i="83"/>
  <c r="AB7" i="78"/>
  <c r="AB7" i="83"/>
  <c r="AD11" i="78"/>
  <c r="AD11" i="83"/>
  <c r="AF12" i="78"/>
  <c r="AF12" i="83"/>
  <c r="AB21" i="78"/>
  <c r="AB21" i="83"/>
  <c r="AE27" i="78"/>
  <c r="AE27" i="83"/>
  <c r="AG28" i="78"/>
  <c r="AG28" i="83"/>
  <c r="AD40" i="78"/>
  <c r="R43" i="2"/>
  <c r="AE40" i="78"/>
  <c r="S43" i="2"/>
  <c r="AF40" i="78"/>
  <c r="T43" i="2"/>
  <c r="AC40" i="78"/>
  <c r="Q43" i="2"/>
  <c r="AG40" i="78"/>
  <c r="U43" i="2"/>
  <c r="AF15" i="78"/>
  <c r="T20" i="2"/>
  <c r="AD21" i="78"/>
  <c r="R26" i="2"/>
  <c r="AF22" i="78"/>
  <c r="T27" i="2"/>
  <c r="AE31" i="78"/>
  <c r="S36" i="2"/>
  <c r="J21" i="2"/>
  <c r="F21" i="2"/>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G21" i="2"/>
  <c r="I21" i="2"/>
  <c r="H21" i="2"/>
  <c r="AE16" i="83" s="1"/>
  <c r="V1" i="2"/>
  <c r="AB16" i="78" l="1"/>
  <c r="AB16" i="83"/>
  <c r="AC16" i="78"/>
  <c r="AC16" i="83"/>
  <c r="AD16" i="78"/>
  <c r="AD16" i="83"/>
  <c r="AF16" i="78"/>
  <c r="AF16" i="83"/>
  <c r="V21" i="2"/>
  <c r="AG16" i="83"/>
  <c r="AG16" i="78"/>
  <c r="U21" i="2"/>
  <c r="Q21" i="2"/>
  <c r="R21" i="2"/>
  <c r="AE16" i="78"/>
  <c r="S21" i="2"/>
  <c r="T21" i="2"/>
  <c r="I100" i="65"/>
  <c r="H100" i="65"/>
  <c r="G100" i="65"/>
  <c r="F100" i="65"/>
  <c r="E100" i="65"/>
  <c r="D100" i="65"/>
  <c r="C58" i="78"/>
  <c r="C57" i="78"/>
  <c r="C53" i="78"/>
  <c r="C52" i="78"/>
  <c r="F74" i="74"/>
  <c r="E74" i="74"/>
  <c r="D74" i="74"/>
  <c r="C71" i="78" l="1"/>
  <c r="C71" i="83"/>
  <c r="AC23" i="84"/>
  <c r="D71" i="83"/>
  <c r="AF23" i="84"/>
  <c r="G71" i="83"/>
  <c r="AD23" i="84"/>
  <c r="E71" i="83"/>
  <c r="H71" i="83"/>
  <c r="AG23" i="84"/>
  <c r="F71" i="83"/>
  <c r="AE23" i="84"/>
  <c r="AE23" i="79"/>
  <c r="F71" i="78"/>
  <c r="AF23" i="79"/>
  <c r="G71" i="78"/>
  <c r="AG23" i="79"/>
  <c r="H71" i="78"/>
  <c r="AC23" i="79"/>
  <c r="D71" i="78"/>
  <c r="AD23" i="79"/>
  <c r="E71" i="78"/>
  <c r="E14" i="21"/>
  <c r="AN50" i="85" s="1"/>
  <c r="E15" i="21"/>
  <c r="D12" i="21"/>
  <c r="AM48" i="85" s="1"/>
  <c r="G7" i="47"/>
  <c r="F7" i="47"/>
  <c r="E7" i="47"/>
  <c r="D7" i="47"/>
  <c r="C7" i="47"/>
  <c r="B7" i="47"/>
  <c r="G16" i="47"/>
  <c r="F16" i="47"/>
  <c r="E16" i="47"/>
  <c r="D16" i="47"/>
  <c r="C16" i="47"/>
  <c r="B16" i="47"/>
  <c r="B9" i="47"/>
  <c r="I9" i="47" s="1"/>
  <c r="AD4" i="85" s="1"/>
  <c r="H9" i="60"/>
  <c r="BE9" i="60" s="1"/>
  <c r="BK9" i="60" s="1"/>
  <c r="BQ9" i="60" s="1"/>
  <c r="CI9" i="60" s="1"/>
  <c r="BW9" i="60" s="1"/>
  <c r="CC9" i="60" s="1"/>
  <c r="G9" i="60"/>
  <c r="BD9" i="60" s="1"/>
  <c r="BJ9" i="60" s="1"/>
  <c r="BP9" i="60" s="1"/>
  <c r="CH9" i="60" s="1"/>
  <c r="BV9" i="60" s="1"/>
  <c r="CB9" i="60" s="1"/>
  <c r="F9" i="60"/>
  <c r="BC9" i="60" s="1"/>
  <c r="BI9" i="60" s="1"/>
  <c r="BO9" i="60" s="1"/>
  <c r="CG9" i="60" s="1"/>
  <c r="BU9" i="60" s="1"/>
  <c r="CA9" i="60" s="1"/>
  <c r="E9" i="60"/>
  <c r="BB9" i="60" s="1"/>
  <c r="BH9" i="60" s="1"/>
  <c r="BN9" i="60" s="1"/>
  <c r="CF9" i="60" s="1"/>
  <c r="BT9" i="60" s="1"/>
  <c r="BZ9" i="60" s="1"/>
  <c r="D9" i="60"/>
  <c r="BA9" i="60" s="1"/>
  <c r="BG9" i="60" s="1"/>
  <c r="BM9" i="60" s="1"/>
  <c r="CE9" i="60" s="1"/>
  <c r="BS9" i="60" s="1"/>
  <c r="BY9" i="60" s="1"/>
  <c r="C9" i="60"/>
  <c r="K7" i="74"/>
  <c r="J7" i="74"/>
  <c r="I7" i="74"/>
  <c r="F7" i="74" s="1"/>
  <c r="H7" i="74"/>
  <c r="E7" i="74" s="1"/>
  <c r="G7" i="74"/>
  <c r="D7" i="74" s="1"/>
  <c r="H72" i="39"/>
  <c r="G72" i="39"/>
  <c r="F72" i="39"/>
  <c r="E72" i="39"/>
  <c r="D72" i="39"/>
  <c r="C72" i="39"/>
  <c r="H56" i="39"/>
  <c r="G56" i="39"/>
  <c r="F56" i="39"/>
  <c r="E56" i="39"/>
  <c r="D56" i="39"/>
  <c r="C56" i="39"/>
  <c r="H25" i="39"/>
  <c r="G25" i="39"/>
  <c r="F25" i="39"/>
  <c r="E25" i="39"/>
  <c r="D25" i="39"/>
  <c r="C25" i="39"/>
  <c r="H9" i="39"/>
  <c r="G9" i="39"/>
  <c r="F9" i="39"/>
  <c r="E9" i="39"/>
  <c r="D9" i="39"/>
  <c r="C9" i="39"/>
  <c r="AW132" i="41"/>
  <c r="AV132" i="41"/>
  <c r="AU132" i="41"/>
  <c r="AT132" i="41"/>
  <c r="AS132" i="41"/>
  <c r="AW131" i="41"/>
  <c r="AV131" i="41"/>
  <c r="AU131" i="41"/>
  <c r="AT131" i="41"/>
  <c r="AW130" i="41"/>
  <c r="AV130" i="41"/>
  <c r="AU130" i="41"/>
  <c r="AT130" i="41"/>
  <c r="AS130" i="41"/>
  <c r="M9" i="41"/>
  <c r="L9" i="41"/>
  <c r="K9" i="41"/>
  <c r="J9" i="41"/>
  <c r="I9" i="41"/>
  <c r="AO20" i="84" s="1"/>
  <c r="H9" i="41"/>
  <c r="AR48" i="7"/>
  <c r="AR52" i="7" s="1"/>
  <c r="AR37" i="7"/>
  <c r="AR38" i="7"/>
  <c r="CO38" i="7" s="1"/>
  <c r="AX75" i="7"/>
  <c r="CU75" i="7" s="1"/>
  <c r="AW75" i="7"/>
  <c r="CT75" i="7" s="1"/>
  <c r="AV75" i="7"/>
  <c r="CS75" i="7" s="1"/>
  <c r="AU75" i="7"/>
  <c r="CR75" i="7" s="1"/>
  <c r="AT75" i="7"/>
  <c r="CQ75" i="7" s="1"/>
  <c r="AS75" i="7"/>
  <c r="CP75" i="7" s="1"/>
  <c r="AS70" i="7"/>
  <c r="CP70" i="7" s="1"/>
  <c r="AK70" i="7"/>
  <c r="CH70" i="7" s="1"/>
  <c r="AC70" i="7"/>
  <c r="BZ70" i="7" s="1"/>
  <c r="U70" i="7"/>
  <c r="BR70" i="7" s="1"/>
  <c r="M70" i="7"/>
  <c r="BJ70" i="7" s="1"/>
  <c r="E70" i="7"/>
  <c r="BB70" i="7" s="1"/>
  <c r="AX64" i="7"/>
  <c r="CU64" i="7" s="1"/>
  <c r="AW64" i="7"/>
  <c r="CT64" i="7" s="1"/>
  <c r="AV64" i="7"/>
  <c r="CS64" i="7" s="1"/>
  <c r="AU64" i="7"/>
  <c r="CR64" i="7" s="1"/>
  <c r="AT64" i="7"/>
  <c r="CQ64" i="7" s="1"/>
  <c r="AS64" i="7"/>
  <c r="CP64" i="7" s="1"/>
  <c r="AS59" i="7"/>
  <c r="CP59" i="7" s="1"/>
  <c r="AK59" i="7"/>
  <c r="CH59" i="7" s="1"/>
  <c r="AC59" i="7"/>
  <c r="BZ59" i="7" s="1"/>
  <c r="U59" i="7"/>
  <c r="BR59" i="7" s="1"/>
  <c r="M59" i="7"/>
  <c r="BJ59" i="7" s="1"/>
  <c r="E59" i="7"/>
  <c r="BB59" i="7" s="1"/>
  <c r="AJ54" i="7"/>
  <c r="AK48" i="7" s="1"/>
  <c r="AB54" i="7"/>
  <c r="AC48" i="7" s="1"/>
  <c r="AC54" i="7" s="1"/>
  <c r="AD48" i="7" s="1"/>
  <c r="AD54" i="7" s="1"/>
  <c r="AE48" i="7" s="1"/>
  <c r="AE54" i="7" s="1"/>
  <c r="AF48" i="7" s="1"/>
  <c r="T54" i="7"/>
  <c r="U48" i="7" s="1"/>
  <c r="L54" i="7"/>
  <c r="M48" i="7" s="1"/>
  <c r="M54" i="7" s="1"/>
  <c r="N48" i="7" s="1"/>
  <c r="D54" i="7"/>
  <c r="E48" i="7" s="1"/>
  <c r="AP53" i="7"/>
  <c r="AO53" i="7"/>
  <c r="AN53" i="7"/>
  <c r="AM53" i="7"/>
  <c r="AL53" i="7"/>
  <c r="AK53" i="7"/>
  <c r="AJ53" i="7"/>
  <c r="AH53" i="7"/>
  <c r="AG53" i="7"/>
  <c r="AF53" i="7"/>
  <c r="AE53" i="7"/>
  <c r="AD53" i="7"/>
  <c r="AC53" i="7"/>
  <c r="AB53" i="7"/>
  <c r="Z53" i="7"/>
  <c r="Y53" i="7"/>
  <c r="X53" i="7"/>
  <c r="W53" i="7"/>
  <c r="V53" i="7"/>
  <c r="U53" i="7"/>
  <c r="T53" i="7"/>
  <c r="R53" i="7"/>
  <c r="Q53" i="7"/>
  <c r="P53" i="7"/>
  <c r="O53" i="7"/>
  <c r="N53" i="7"/>
  <c r="M53" i="7"/>
  <c r="L53" i="7"/>
  <c r="J53" i="7"/>
  <c r="I53" i="7"/>
  <c r="H53" i="7"/>
  <c r="G53" i="7"/>
  <c r="F53" i="7"/>
  <c r="E53" i="7"/>
  <c r="D53" i="7"/>
  <c r="AJ52" i="7"/>
  <c r="AB52" i="7"/>
  <c r="T52" i="7"/>
  <c r="L52" i="7"/>
  <c r="D52" i="7"/>
  <c r="AX51" i="7"/>
  <c r="AW51" i="7"/>
  <c r="AV51" i="7"/>
  <c r="AU51" i="7"/>
  <c r="AT51" i="7"/>
  <c r="AS51" i="7"/>
  <c r="AR51" i="7"/>
  <c r="AX50" i="7"/>
  <c r="AW50" i="7"/>
  <c r="AV50" i="7"/>
  <c r="AU50" i="7"/>
  <c r="AT50" i="7"/>
  <c r="AS50" i="7"/>
  <c r="AR50" i="7"/>
  <c r="AX49" i="7"/>
  <c r="AW49" i="7"/>
  <c r="AV49" i="7"/>
  <c r="AU49" i="7"/>
  <c r="AT49" i="7"/>
  <c r="AS49" i="7"/>
  <c r="AR49" i="7"/>
  <c r="AJ43" i="7"/>
  <c r="AB43" i="7"/>
  <c r="T43" i="7"/>
  <c r="L43" i="7"/>
  <c r="D43" i="7"/>
  <c r="D41" i="7" s="1"/>
  <c r="AP42" i="7"/>
  <c r="CM42" i="7" s="1"/>
  <c r="AO42" i="7"/>
  <c r="CL42" i="7" s="1"/>
  <c r="AN42" i="7"/>
  <c r="CK42" i="7" s="1"/>
  <c r="AM42" i="7"/>
  <c r="CJ42" i="7" s="1"/>
  <c r="AL42" i="7"/>
  <c r="CI42" i="7" s="1"/>
  <c r="AK42" i="7"/>
  <c r="CH42" i="7" s="1"/>
  <c r="AJ42" i="7"/>
  <c r="CG42" i="7" s="1"/>
  <c r="AH42" i="7"/>
  <c r="CE42" i="7" s="1"/>
  <c r="AG42" i="7"/>
  <c r="CD42" i="7" s="1"/>
  <c r="AF42" i="7"/>
  <c r="CC42" i="7" s="1"/>
  <c r="AE42" i="7"/>
  <c r="CB42" i="7" s="1"/>
  <c r="AD42" i="7"/>
  <c r="CA42" i="7" s="1"/>
  <c r="AC42" i="7"/>
  <c r="BZ42" i="7" s="1"/>
  <c r="AB42" i="7"/>
  <c r="BY42" i="7" s="1"/>
  <c r="Z42" i="7"/>
  <c r="BW42" i="7" s="1"/>
  <c r="Y42" i="7"/>
  <c r="BV42" i="7" s="1"/>
  <c r="X42" i="7"/>
  <c r="BU42" i="7" s="1"/>
  <c r="W42" i="7"/>
  <c r="BT42" i="7" s="1"/>
  <c r="V42" i="7"/>
  <c r="BS42" i="7" s="1"/>
  <c r="U42" i="7"/>
  <c r="BR42" i="7" s="1"/>
  <c r="T42" i="7"/>
  <c r="BQ42" i="7" s="1"/>
  <c r="R42" i="7"/>
  <c r="BO42" i="7" s="1"/>
  <c r="Q42" i="7"/>
  <c r="BN42" i="7" s="1"/>
  <c r="P42" i="7"/>
  <c r="BM42" i="7" s="1"/>
  <c r="O42" i="7"/>
  <c r="BL42" i="7" s="1"/>
  <c r="N42" i="7"/>
  <c r="BK42" i="7" s="1"/>
  <c r="M42" i="7"/>
  <c r="BJ42" i="7" s="1"/>
  <c r="L42" i="7"/>
  <c r="BI42" i="7" s="1"/>
  <c r="J42" i="7"/>
  <c r="BG42" i="7" s="1"/>
  <c r="I42" i="7"/>
  <c r="BF42" i="7" s="1"/>
  <c r="H42" i="7"/>
  <c r="BE42" i="7" s="1"/>
  <c r="G42" i="7"/>
  <c r="BD42" i="7" s="1"/>
  <c r="F42" i="7"/>
  <c r="BC42" i="7" s="1"/>
  <c r="E42" i="7"/>
  <c r="BB42" i="7" s="1"/>
  <c r="D42" i="7"/>
  <c r="BA42" i="7" s="1"/>
  <c r="AJ41" i="7"/>
  <c r="AB41" i="7"/>
  <c r="T41" i="7"/>
  <c r="L41" i="7"/>
  <c r="AX40" i="7"/>
  <c r="CU40" i="7" s="1"/>
  <c r="AW40" i="7"/>
  <c r="CT40" i="7" s="1"/>
  <c r="AV40" i="7"/>
  <c r="CS40" i="7" s="1"/>
  <c r="AU40" i="7"/>
  <c r="CR40" i="7" s="1"/>
  <c r="AT40" i="7"/>
  <c r="CQ40" i="7" s="1"/>
  <c r="AS40" i="7"/>
  <c r="CP40" i="7" s="1"/>
  <c r="AR40" i="7"/>
  <c r="CO40" i="7" s="1"/>
  <c r="AX39" i="7"/>
  <c r="CU39" i="7" s="1"/>
  <c r="AW39" i="7"/>
  <c r="CT39" i="7" s="1"/>
  <c r="AV39" i="7"/>
  <c r="CS39" i="7" s="1"/>
  <c r="AU39" i="7"/>
  <c r="CR39" i="7" s="1"/>
  <c r="AT39" i="7"/>
  <c r="CQ39" i="7" s="1"/>
  <c r="AS39" i="7"/>
  <c r="CP39" i="7" s="1"/>
  <c r="AR39" i="7"/>
  <c r="CO39" i="7" s="1"/>
  <c r="AX38" i="7"/>
  <c r="CU38" i="7" s="1"/>
  <c r="AW38" i="7"/>
  <c r="CT38" i="7" s="1"/>
  <c r="AV38" i="7"/>
  <c r="CS38" i="7" s="1"/>
  <c r="AU38" i="7"/>
  <c r="CR38" i="7" s="1"/>
  <c r="AT38" i="7"/>
  <c r="CQ38" i="7" s="1"/>
  <c r="AS38" i="7"/>
  <c r="CP38" i="7" s="1"/>
  <c r="BG9" i="41" l="1"/>
  <c r="BP9" i="41" s="1"/>
  <c r="BX9" i="41" s="1"/>
  <c r="CF9" i="41" s="1"/>
  <c r="AS20" i="84"/>
  <c r="BB9" i="41"/>
  <c r="BK9" i="41" s="1"/>
  <c r="CA9" i="41" s="1"/>
  <c r="AN20" i="84"/>
  <c r="AN51" i="67"/>
  <c r="AN51" i="85"/>
  <c r="BD9" i="41"/>
  <c r="BM9" i="41" s="1"/>
  <c r="BU9" i="41" s="1"/>
  <c r="AP20" i="84"/>
  <c r="BE9" i="41"/>
  <c r="BN9" i="41" s="1"/>
  <c r="BV9" i="41" s="1"/>
  <c r="AQ20" i="84"/>
  <c r="BF9" i="41"/>
  <c r="BO9" i="41" s="1"/>
  <c r="BW9" i="41" s="1"/>
  <c r="AR20" i="84"/>
  <c r="AF5" i="67"/>
  <c r="K16" i="47"/>
  <c r="AF5" i="85" s="1"/>
  <c r="AG5" i="67"/>
  <c r="L16" i="47"/>
  <c r="AG5" i="85" s="1"/>
  <c r="AH5" i="67"/>
  <c r="M16" i="47"/>
  <c r="AH5" i="85" s="1"/>
  <c r="AE5" i="67"/>
  <c r="J16" i="47"/>
  <c r="AE5" i="85" s="1"/>
  <c r="AI5" i="67"/>
  <c r="N16" i="47"/>
  <c r="AI5" i="85" s="1"/>
  <c r="F8" i="7"/>
  <c r="F58" i="7" s="1"/>
  <c r="BC9" i="41"/>
  <c r="AK37" i="7"/>
  <c r="CG43" i="7"/>
  <c r="E37" i="7"/>
  <c r="BA43" i="7"/>
  <c r="AR41" i="7"/>
  <c r="CO37" i="7"/>
  <c r="M37" i="7"/>
  <c r="BJ37" i="7" s="1"/>
  <c r="BI43" i="7"/>
  <c r="AC37" i="7"/>
  <c r="BZ37" i="7" s="1"/>
  <c r="BY43" i="7"/>
  <c r="U37" i="7"/>
  <c r="BQ43" i="7"/>
  <c r="AD5" i="67"/>
  <c r="I16" i="47"/>
  <c r="AD5" i="85" s="1"/>
  <c r="AD6" i="85" s="1"/>
  <c r="B52" i="60"/>
  <c r="AZ9" i="60"/>
  <c r="BF9" i="60" s="1"/>
  <c r="BL9" i="60" s="1"/>
  <c r="CD9" i="60" s="1"/>
  <c r="BR9" i="60" s="1"/>
  <c r="BX9" i="60" s="1"/>
  <c r="AO9" i="60"/>
  <c r="CL9" i="60" s="1"/>
  <c r="E8" i="7"/>
  <c r="AP20" i="79"/>
  <c r="G8" i="7"/>
  <c r="AQ20" i="79"/>
  <c r="H8" i="7"/>
  <c r="AN20" i="79"/>
  <c r="AR20" i="79"/>
  <c r="I8" i="7"/>
  <c r="I58" i="7" s="1"/>
  <c r="AS20" i="79"/>
  <c r="J8" i="7"/>
  <c r="L7" i="74"/>
  <c r="AO20" i="79"/>
  <c r="N8" i="41"/>
  <c r="E8" i="20"/>
  <c r="D9" i="20"/>
  <c r="AR43" i="7"/>
  <c r="F35" i="47"/>
  <c r="F14" i="21"/>
  <c r="AO50" i="85" s="1"/>
  <c r="AN50" i="67"/>
  <c r="B8" i="47"/>
  <c r="I8" i="47" s="1"/>
  <c r="AD4" i="67"/>
  <c r="AD6" i="67" s="1"/>
  <c r="AU53" i="7"/>
  <c r="D35" i="47"/>
  <c r="F15" i="21"/>
  <c r="AO51" i="85" s="1"/>
  <c r="E12" i="21"/>
  <c r="AN48" i="85" s="1"/>
  <c r="AM48" i="67"/>
  <c r="AS42" i="7"/>
  <c r="CP42" i="7" s="1"/>
  <c r="AW42" i="7"/>
  <c r="CT42" i="7" s="1"/>
  <c r="AT42" i="7"/>
  <c r="CQ42" i="7" s="1"/>
  <c r="AX42" i="7"/>
  <c r="CU42" i="7" s="1"/>
  <c r="AR53" i="7"/>
  <c r="AV53" i="7"/>
  <c r="AS53" i="7"/>
  <c r="AW53" i="7"/>
  <c r="AR42" i="7"/>
  <c r="CO42" i="7" s="1"/>
  <c r="AV42" i="7"/>
  <c r="CS42" i="7" s="1"/>
  <c r="AT53" i="7"/>
  <c r="AX53" i="7"/>
  <c r="AR54" i="7"/>
  <c r="AS48" i="7" s="1"/>
  <c r="AS52" i="7" s="1"/>
  <c r="B35" i="47"/>
  <c r="U41" i="7"/>
  <c r="C35" i="47"/>
  <c r="G35" i="47"/>
  <c r="AC52" i="7"/>
  <c r="M52" i="7"/>
  <c r="E35" i="47"/>
  <c r="D13" i="21"/>
  <c r="AM49" i="85" s="1"/>
  <c r="AU42" i="7"/>
  <c r="CR42" i="7" s="1"/>
  <c r="AK41" i="7"/>
  <c r="M43" i="7"/>
  <c r="M41" i="7"/>
  <c r="I36" i="7"/>
  <c r="AC43" i="7"/>
  <c r="AC41" i="7"/>
  <c r="AF54" i="7"/>
  <c r="AG48" i="7" s="1"/>
  <c r="AF52" i="7"/>
  <c r="N54" i="7"/>
  <c r="O48" i="7" s="1"/>
  <c r="N52" i="7"/>
  <c r="AK54" i="7"/>
  <c r="AL48" i="7" s="1"/>
  <c r="AK52" i="7"/>
  <c r="E54" i="7"/>
  <c r="F48" i="7" s="1"/>
  <c r="E52" i="7"/>
  <c r="U54" i="7"/>
  <c r="V48" i="7" s="1"/>
  <c r="U52" i="7"/>
  <c r="AE52" i="7"/>
  <c r="AD52" i="7"/>
  <c r="N8" i="7" l="1"/>
  <c r="N36" i="7" s="1"/>
  <c r="CE9" i="41"/>
  <c r="CD9" i="41"/>
  <c r="CC9" i="41"/>
  <c r="BS9" i="41"/>
  <c r="G34" i="47"/>
  <c r="N35" i="47"/>
  <c r="C34" i="47"/>
  <c r="J35" i="47"/>
  <c r="J36" i="7"/>
  <c r="BG8" i="7"/>
  <c r="BO8" i="7" s="1"/>
  <c r="BW8" i="7" s="1"/>
  <c r="CE8" i="7" s="1"/>
  <c r="CM8" i="7" s="1"/>
  <c r="CU8" i="7" s="1"/>
  <c r="F36" i="7"/>
  <c r="BC8" i="7"/>
  <c r="BK8" i="7" s="1"/>
  <c r="BS8" i="7" s="1"/>
  <c r="CA8" i="7" s="1"/>
  <c r="CI8" i="7" s="1"/>
  <c r="CQ8" i="7" s="1"/>
  <c r="BL9" i="41"/>
  <c r="BH8" i="41"/>
  <c r="F34" i="47"/>
  <c r="M35" i="47"/>
  <c r="M8" i="7"/>
  <c r="U8" i="7" s="1"/>
  <c r="AC8" i="7" s="1"/>
  <c r="AK8" i="7" s="1"/>
  <c r="BB8" i="7"/>
  <c r="BJ8" i="7" s="1"/>
  <c r="BR8" i="7" s="1"/>
  <c r="BZ8" i="7" s="1"/>
  <c r="CH8" i="7" s="1"/>
  <c r="CP8" i="7" s="1"/>
  <c r="AD37" i="7"/>
  <c r="AD41" i="7" s="1"/>
  <c r="BZ43" i="7"/>
  <c r="B34" i="47"/>
  <c r="I35" i="47"/>
  <c r="AS37" i="7"/>
  <c r="CO43" i="7"/>
  <c r="Q8" i="7"/>
  <c r="Q58" i="7" s="1"/>
  <c r="BF8" i="7"/>
  <c r="BN8" i="7" s="1"/>
  <c r="BV8" i="7" s="1"/>
  <c r="CD8" i="7" s="1"/>
  <c r="CL8" i="7" s="1"/>
  <c r="CT8" i="7" s="1"/>
  <c r="U43" i="7"/>
  <c r="BR37" i="7"/>
  <c r="E43" i="7"/>
  <c r="E41" i="7" s="1"/>
  <c r="BB37" i="7"/>
  <c r="D34" i="47"/>
  <c r="K35" i="47"/>
  <c r="N37" i="7"/>
  <c r="N41" i="7" s="1"/>
  <c r="BJ43" i="7"/>
  <c r="E34" i="47"/>
  <c r="L35" i="47"/>
  <c r="G36" i="7"/>
  <c r="G47" i="7" s="1"/>
  <c r="BD8" i="7"/>
  <c r="BL8" i="7" s="1"/>
  <c r="BT8" i="7" s="1"/>
  <c r="CB8" i="7" s="1"/>
  <c r="CJ8" i="7" s="1"/>
  <c r="CR8" i="7" s="1"/>
  <c r="H36" i="7"/>
  <c r="H69" i="7" s="1"/>
  <c r="BE8" i="7"/>
  <c r="BM8" i="7" s="1"/>
  <c r="BU8" i="7" s="1"/>
  <c r="CC8" i="7" s="1"/>
  <c r="CK8" i="7" s="1"/>
  <c r="CS8" i="7" s="1"/>
  <c r="AK43" i="7"/>
  <c r="CH37" i="7"/>
  <c r="E36" i="7"/>
  <c r="E58" i="7"/>
  <c r="J58" i="7"/>
  <c r="R8" i="7"/>
  <c r="Z8" i="7" s="1"/>
  <c r="Z36" i="7" s="1"/>
  <c r="O8" i="7"/>
  <c r="W8" i="7" s="1"/>
  <c r="G58" i="7"/>
  <c r="H58" i="7"/>
  <c r="P8" i="7"/>
  <c r="F8" i="20"/>
  <c r="E9" i="20"/>
  <c r="N58" i="7"/>
  <c r="G15" i="21"/>
  <c r="AP51" i="85" s="1"/>
  <c r="AO51" i="67"/>
  <c r="G14" i="21"/>
  <c r="AP50" i="85" s="1"/>
  <c r="AO50" i="67"/>
  <c r="D16" i="21"/>
  <c r="AM49" i="67"/>
  <c r="F12" i="21"/>
  <c r="AO48" i="85" s="1"/>
  <c r="AN48" i="67"/>
  <c r="AS54" i="7"/>
  <c r="AT48" i="7" s="1"/>
  <c r="AT54" i="7" s="1"/>
  <c r="AU48" i="7" s="1"/>
  <c r="E13" i="21"/>
  <c r="AN49" i="85" s="1"/>
  <c r="V8" i="7"/>
  <c r="AD8" i="7" s="1"/>
  <c r="V54" i="7"/>
  <c r="W48" i="7" s="1"/>
  <c r="V52" i="7"/>
  <c r="N69" i="7"/>
  <c r="N47" i="7"/>
  <c r="AL54" i="7"/>
  <c r="AM48" i="7" s="1"/>
  <c r="AL52" i="7"/>
  <c r="AG54" i="7"/>
  <c r="AH48" i="7" s="1"/>
  <c r="AG52" i="7"/>
  <c r="M58" i="7"/>
  <c r="F54" i="7"/>
  <c r="G48" i="7" s="1"/>
  <c r="F52" i="7"/>
  <c r="E69" i="7"/>
  <c r="E47" i="7"/>
  <c r="G69" i="7"/>
  <c r="H47" i="7"/>
  <c r="O54" i="7"/>
  <c r="P48" i="7" s="1"/>
  <c r="O52" i="7"/>
  <c r="AD43" i="7"/>
  <c r="CA43" i="7" s="1"/>
  <c r="I69" i="7"/>
  <c r="I47" i="7"/>
  <c r="Y8" i="7" l="1"/>
  <c r="Q36" i="7"/>
  <c r="R58" i="7"/>
  <c r="N43" i="7"/>
  <c r="BK43" i="7" s="1"/>
  <c r="M36" i="7"/>
  <c r="M69" i="7" s="1"/>
  <c r="AM52" i="67"/>
  <c r="AM52" i="85"/>
  <c r="C59" i="49"/>
  <c r="I59" i="49" s="1"/>
  <c r="CA37" i="7"/>
  <c r="AL37" i="7"/>
  <c r="CH43" i="7"/>
  <c r="C31" i="49"/>
  <c r="I31" i="49" s="1"/>
  <c r="BK37" i="7"/>
  <c r="J47" i="7"/>
  <c r="J69" i="7"/>
  <c r="AG8" i="67"/>
  <c r="L34" i="47"/>
  <c r="AG8" i="85" s="1"/>
  <c r="V37" i="7"/>
  <c r="BR43" i="7"/>
  <c r="AF8" i="67"/>
  <c r="K34" i="47"/>
  <c r="AF8" i="85" s="1"/>
  <c r="CP37" i="7"/>
  <c r="AS43" i="7"/>
  <c r="AS41" i="7" s="1"/>
  <c r="AH8" i="67"/>
  <c r="M34" i="47"/>
  <c r="AH8" i="85" s="1"/>
  <c r="AE8" i="67"/>
  <c r="J34" i="47"/>
  <c r="AE8" i="85" s="1"/>
  <c r="F47" i="7"/>
  <c r="F69" i="7"/>
  <c r="F37" i="7"/>
  <c r="BB43" i="7"/>
  <c r="AD8" i="67"/>
  <c r="I34" i="47"/>
  <c r="AD8" i="85" s="1"/>
  <c r="CB9" i="41"/>
  <c r="BT9" i="41"/>
  <c r="AI8" i="67"/>
  <c r="N34" i="47"/>
  <c r="AI8" i="85" s="1"/>
  <c r="AH8" i="7"/>
  <c r="AP8" i="7" s="1"/>
  <c r="Z58" i="7"/>
  <c r="O36" i="7"/>
  <c r="O69" i="7" s="1"/>
  <c r="O58" i="7"/>
  <c r="R36" i="7"/>
  <c r="R69" i="7" s="1"/>
  <c r="P36" i="7"/>
  <c r="P58" i="7"/>
  <c r="X8" i="7"/>
  <c r="AT52" i="7"/>
  <c r="G8" i="20"/>
  <c r="F9" i="20"/>
  <c r="AE37" i="7"/>
  <c r="C60" i="49"/>
  <c r="I60" i="49" s="1"/>
  <c r="H15" i="21"/>
  <c r="AP51" i="67"/>
  <c r="C32" i="49"/>
  <c r="H14" i="21"/>
  <c r="AP50" i="67"/>
  <c r="F13" i="21"/>
  <c r="AN49" i="67"/>
  <c r="G12" i="21"/>
  <c r="AP48" i="85" s="1"/>
  <c r="AO48" i="67"/>
  <c r="E16" i="21"/>
  <c r="V36" i="7"/>
  <c r="V69" i="7" s="1"/>
  <c r="V58" i="7"/>
  <c r="W58" i="7"/>
  <c r="W36" i="7"/>
  <c r="AE8" i="7"/>
  <c r="Q69" i="7"/>
  <c r="Q47" i="7"/>
  <c r="G54" i="7"/>
  <c r="H48" i="7" s="1"/>
  <c r="G52" i="7"/>
  <c r="AH54" i="7"/>
  <c r="AH52" i="7"/>
  <c r="Z69" i="7"/>
  <c r="Z47" i="7"/>
  <c r="P54" i="7"/>
  <c r="Q48" i="7" s="1"/>
  <c r="P52" i="7"/>
  <c r="AD36" i="7"/>
  <c r="AD58" i="7"/>
  <c r="AL8" i="7"/>
  <c r="Y36" i="7"/>
  <c r="Y58" i="7"/>
  <c r="AG8" i="7"/>
  <c r="AU54" i="7"/>
  <c r="AV48" i="7" s="1"/>
  <c r="AU52" i="7"/>
  <c r="U36" i="7"/>
  <c r="U58" i="7"/>
  <c r="AM54" i="7"/>
  <c r="AN48" i="7" s="1"/>
  <c r="AM52" i="7"/>
  <c r="W54" i="7"/>
  <c r="X48" i="7" s="1"/>
  <c r="W52" i="7"/>
  <c r="M47" i="7" l="1"/>
  <c r="O37" i="7"/>
  <c r="O43" i="7" s="1"/>
  <c r="BL43" i="7" s="1"/>
  <c r="AQ50" i="67"/>
  <c r="AQ50" i="85"/>
  <c r="AN52" i="67"/>
  <c r="AN52" i="85"/>
  <c r="O47" i="7"/>
  <c r="AQ51" i="67"/>
  <c r="AQ51" i="85"/>
  <c r="AO49" i="67"/>
  <c r="AO49" i="85"/>
  <c r="AH58" i="7"/>
  <c r="AH36" i="7"/>
  <c r="AH69" i="7" s="1"/>
  <c r="AT37" i="7"/>
  <c r="CP43" i="7"/>
  <c r="C30" i="49"/>
  <c r="I30" i="49" s="1"/>
  <c r="AL15" i="85" s="1"/>
  <c r="I32" i="49"/>
  <c r="D31" i="49"/>
  <c r="J31" i="49" s="1"/>
  <c r="BL37" i="7"/>
  <c r="D59" i="49"/>
  <c r="J59" i="49" s="1"/>
  <c r="CB37" i="7"/>
  <c r="C45" i="49"/>
  <c r="I45" i="49" s="1"/>
  <c r="BS37" i="7"/>
  <c r="V43" i="7"/>
  <c r="V41" i="7"/>
  <c r="C73" i="49"/>
  <c r="I73" i="49" s="1"/>
  <c r="CI37" i="7"/>
  <c r="AL41" i="7"/>
  <c r="AL43" i="7"/>
  <c r="C17" i="49"/>
  <c r="I17" i="49" s="1"/>
  <c r="BC37" i="7"/>
  <c r="F43" i="7"/>
  <c r="F41" i="7" s="1"/>
  <c r="R47" i="7"/>
  <c r="AF8" i="7"/>
  <c r="X58" i="7"/>
  <c r="X36" i="7"/>
  <c r="P47" i="7"/>
  <c r="P69" i="7"/>
  <c r="AE41" i="7"/>
  <c r="AE43" i="7"/>
  <c r="H8" i="20"/>
  <c r="H9" i="20" s="1"/>
  <c r="G9" i="20"/>
  <c r="O41" i="7"/>
  <c r="V47" i="7"/>
  <c r="P37" i="7"/>
  <c r="D32" i="49"/>
  <c r="F16" i="21"/>
  <c r="G13" i="21"/>
  <c r="H12" i="21"/>
  <c r="AP48" i="67"/>
  <c r="U69" i="7"/>
  <c r="U47" i="7"/>
  <c r="AD69" i="7"/>
  <c r="AD47" i="7"/>
  <c r="AP58" i="7"/>
  <c r="AX8" i="7"/>
  <c r="AP36" i="7"/>
  <c r="AV54" i="7"/>
  <c r="AW48" i="7" s="1"/>
  <c r="AV52" i="7"/>
  <c r="X54" i="7"/>
  <c r="Y48" i="7" s="1"/>
  <c r="X52" i="7"/>
  <c r="H54" i="7"/>
  <c r="I48" i="7" s="1"/>
  <c r="H52" i="7"/>
  <c r="AE58" i="7"/>
  <c r="AE36" i="7"/>
  <c r="AM8" i="7"/>
  <c r="Y69" i="7"/>
  <c r="Y47" i="7"/>
  <c r="AC36" i="7"/>
  <c r="AC58" i="7"/>
  <c r="AG58" i="7"/>
  <c r="AG36" i="7"/>
  <c r="AO8" i="7"/>
  <c r="AN54" i="7"/>
  <c r="AO48" i="7" s="1"/>
  <c r="AN52" i="7"/>
  <c r="AL58" i="7"/>
  <c r="AL36" i="7"/>
  <c r="AT8" i="7"/>
  <c r="Q54" i="7"/>
  <c r="R48" i="7" s="1"/>
  <c r="Q52" i="7"/>
  <c r="W69" i="7"/>
  <c r="W47" i="7"/>
  <c r="AH47" i="7" l="1"/>
  <c r="AO52" i="67"/>
  <c r="AO52" i="85"/>
  <c r="AQ48" i="67"/>
  <c r="AQ48" i="85"/>
  <c r="AP49" i="67"/>
  <c r="AP49" i="85"/>
  <c r="CI43" i="7"/>
  <c r="AM37" i="7"/>
  <c r="C74" i="49"/>
  <c r="I74" i="49" s="1"/>
  <c r="BC43" i="7"/>
  <c r="C18" i="49"/>
  <c r="G37" i="7"/>
  <c r="BS43" i="7"/>
  <c r="W37" i="7"/>
  <c r="C46" i="49"/>
  <c r="I46" i="49" s="1"/>
  <c r="D30" i="49"/>
  <c r="J30" i="49" s="1"/>
  <c r="AM15" i="85" s="1"/>
  <c r="J32" i="49"/>
  <c r="D60" i="49"/>
  <c r="J60" i="49" s="1"/>
  <c r="CB43" i="7"/>
  <c r="E31" i="49"/>
  <c r="K31" i="49" s="1"/>
  <c r="BM37" i="7"/>
  <c r="CQ37" i="7"/>
  <c r="AT43" i="7"/>
  <c r="AT41" i="7" s="1"/>
  <c r="X69" i="7"/>
  <c r="X47" i="7"/>
  <c r="AF58" i="7"/>
  <c r="AN8" i="7"/>
  <c r="AF36" i="7"/>
  <c r="AF37" i="7"/>
  <c r="P43" i="7"/>
  <c r="P41" i="7"/>
  <c r="G16" i="21"/>
  <c r="H13" i="21"/>
  <c r="AO58" i="7"/>
  <c r="AO36" i="7"/>
  <c r="AW8" i="7"/>
  <c r="AC47" i="7"/>
  <c r="AC69" i="7"/>
  <c r="AM36" i="7"/>
  <c r="AM58" i="7"/>
  <c r="AU8" i="7"/>
  <c r="AP69" i="7"/>
  <c r="AP47" i="7"/>
  <c r="AO54" i="7"/>
  <c r="AP48" i="7" s="1"/>
  <c r="AO52" i="7"/>
  <c r="AG69" i="7"/>
  <c r="AG47" i="7"/>
  <c r="AE69" i="7"/>
  <c r="AE47" i="7"/>
  <c r="Y54" i="7"/>
  <c r="Z48" i="7" s="1"/>
  <c r="Y52" i="7"/>
  <c r="AX58" i="7"/>
  <c r="AX36" i="7"/>
  <c r="R54" i="7"/>
  <c r="R52" i="7"/>
  <c r="AK58" i="7"/>
  <c r="AK36" i="7"/>
  <c r="AS8" i="7"/>
  <c r="I54" i="7"/>
  <c r="J48" i="7" s="1"/>
  <c r="I52" i="7"/>
  <c r="AL69" i="7"/>
  <c r="AL47" i="7"/>
  <c r="AT36" i="7"/>
  <c r="AT58" i="7"/>
  <c r="AW54" i="7"/>
  <c r="AX48" i="7" s="1"/>
  <c r="AW52" i="7"/>
  <c r="AQ49" i="67" l="1"/>
  <c r="AQ49" i="85"/>
  <c r="AP52" i="67"/>
  <c r="AP52" i="85"/>
  <c r="D45" i="49"/>
  <c r="J45" i="49" s="1"/>
  <c r="BT37" i="7"/>
  <c r="W43" i="7"/>
  <c r="W41" i="7"/>
  <c r="Q37" i="7"/>
  <c r="BM43" i="7"/>
  <c r="D17" i="49"/>
  <c r="J17" i="49" s="1"/>
  <c r="BD37" i="7"/>
  <c r="G43" i="7"/>
  <c r="G41" i="7" s="1"/>
  <c r="C16" i="49"/>
  <c r="I16" i="49" s="1"/>
  <c r="AL7" i="85" s="1"/>
  <c r="I18" i="49"/>
  <c r="E59" i="49"/>
  <c r="K59" i="49" s="1"/>
  <c r="CC37" i="7"/>
  <c r="D73" i="49"/>
  <c r="J73" i="49" s="1"/>
  <c r="CJ37" i="7"/>
  <c r="AM43" i="7"/>
  <c r="AM41" i="7"/>
  <c r="AU37" i="7"/>
  <c r="CQ43" i="7"/>
  <c r="AF43" i="7"/>
  <c r="AF69" i="7"/>
  <c r="AF47" i="7"/>
  <c r="AV8" i="7"/>
  <c r="AN58" i="7"/>
  <c r="AN36" i="7"/>
  <c r="AF41" i="7"/>
  <c r="E32" i="49"/>
  <c r="K32" i="49" s="1"/>
  <c r="Q41" i="7"/>
  <c r="Q43" i="7"/>
  <c r="E60" i="49"/>
  <c r="K60" i="49" s="1"/>
  <c r="H16" i="21"/>
  <c r="AT69" i="7"/>
  <c r="AT47" i="7"/>
  <c r="AW58" i="7"/>
  <c r="AW36" i="7"/>
  <c r="AK69" i="7"/>
  <c r="AK47" i="7"/>
  <c r="AX69" i="7"/>
  <c r="AX47" i="7"/>
  <c r="AM69" i="7"/>
  <c r="AM47" i="7"/>
  <c r="AO69" i="7"/>
  <c r="AO47" i="7"/>
  <c r="AS58" i="7"/>
  <c r="AS36" i="7"/>
  <c r="AX54" i="7"/>
  <c r="AX52" i="7"/>
  <c r="J54" i="7"/>
  <c r="J52" i="7"/>
  <c r="Z54" i="7"/>
  <c r="Z52" i="7"/>
  <c r="AP54" i="7"/>
  <c r="AP52" i="7"/>
  <c r="AU58" i="7"/>
  <c r="AU36" i="7"/>
  <c r="AQ52" i="67" l="1"/>
  <c r="AQ52" i="85"/>
  <c r="AG37" i="7"/>
  <c r="CD37" i="7" s="1"/>
  <c r="CC43" i="7"/>
  <c r="F31" i="49"/>
  <c r="L31" i="49" s="1"/>
  <c r="BN37" i="7"/>
  <c r="F32" i="49"/>
  <c r="L32" i="49" s="1"/>
  <c r="BN43" i="7"/>
  <c r="CR37" i="7"/>
  <c r="AU43" i="7"/>
  <c r="AU41" i="7" s="1"/>
  <c r="D46" i="49"/>
  <c r="J46" i="49" s="1"/>
  <c r="BT43" i="7"/>
  <c r="X37" i="7"/>
  <c r="H37" i="7"/>
  <c r="BD43" i="7"/>
  <c r="D18" i="49"/>
  <c r="J18" i="49" s="1"/>
  <c r="AN37" i="7"/>
  <c r="CJ43" i="7"/>
  <c r="D74" i="49"/>
  <c r="J74" i="49" s="1"/>
  <c r="AN47" i="7"/>
  <c r="AN69" i="7"/>
  <c r="AV36" i="7"/>
  <c r="AV58" i="7"/>
  <c r="R37" i="7"/>
  <c r="F59" i="49"/>
  <c r="L59" i="49" s="1"/>
  <c r="AG43" i="7"/>
  <c r="CD43" i="7" s="1"/>
  <c r="AG41" i="7"/>
  <c r="AW69" i="7"/>
  <c r="AW47" i="7"/>
  <c r="AS69" i="7"/>
  <c r="AS47" i="7"/>
  <c r="AU47" i="7"/>
  <c r="AU69" i="7"/>
  <c r="BE37" i="7" l="1"/>
  <c r="E17" i="49"/>
  <c r="K17" i="49" s="1"/>
  <c r="H43" i="7"/>
  <c r="H41" i="7" s="1"/>
  <c r="AV37" i="7"/>
  <c r="CR43" i="7"/>
  <c r="E45" i="49"/>
  <c r="K45" i="49" s="1"/>
  <c r="BU37" i="7"/>
  <c r="X41" i="7"/>
  <c r="X43" i="7"/>
  <c r="E73" i="49"/>
  <c r="K73" i="49" s="1"/>
  <c r="CK37" i="7"/>
  <c r="AN43" i="7"/>
  <c r="AN41" i="7"/>
  <c r="G31" i="49"/>
  <c r="M31" i="49" s="1"/>
  <c r="BO37" i="7"/>
  <c r="AV47" i="7"/>
  <c r="AV69" i="7"/>
  <c r="R41" i="7"/>
  <c r="R43" i="7"/>
  <c r="AH37" i="7"/>
  <c r="CE37" i="7" s="1"/>
  <c r="F60" i="49"/>
  <c r="L60" i="49" s="1"/>
  <c r="H114" i="41"/>
  <c r="BB114" i="41" s="1"/>
  <c r="AP15" i="7"/>
  <c r="CM15" i="7" s="1"/>
  <c r="AO15" i="7"/>
  <c r="CL15" i="7" s="1"/>
  <c r="AN15" i="7"/>
  <c r="CK15" i="7" s="1"/>
  <c r="AM15" i="7"/>
  <c r="CJ15" i="7" s="1"/>
  <c r="AL15" i="7"/>
  <c r="CI15" i="7" s="1"/>
  <c r="AH15" i="7"/>
  <c r="CE15" i="7" s="1"/>
  <c r="AG15" i="7"/>
  <c r="CD15" i="7" s="1"/>
  <c r="AF15" i="7"/>
  <c r="CC15" i="7" s="1"/>
  <c r="AE15" i="7"/>
  <c r="CB15" i="7" s="1"/>
  <c r="AD15" i="7"/>
  <c r="CA15" i="7" s="1"/>
  <c r="E144" i="41"/>
  <c r="E143" i="41"/>
  <c r="E142" i="41"/>
  <c r="E141" i="41"/>
  <c r="E140" i="41"/>
  <c r="M123" i="41"/>
  <c r="BG123" i="41" s="1"/>
  <c r="L123" i="41"/>
  <c r="BF123" i="41" s="1"/>
  <c r="K123" i="41"/>
  <c r="BE123" i="41" s="1"/>
  <c r="J123" i="41"/>
  <c r="BD123" i="41" s="1"/>
  <c r="I123" i="41"/>
  <c r="BC123" i="41" s="1"/>
  <c r="H123" i="41"/>
  <c r="BB123" i="41" s="1"/>
  <c r="G123" i="41"/>
  <c r="BA123" i="41" s="1"/>
  <c r="M122" i="41"/>
  <c r="BG122" i="41" s="1"/>
  <c r="L122" i="41"/>
  <c r="BF122" i="41" s="1"/>
  <c r="K122" i="41"/>
  <c r="BE122" i="41" s="1"/>
  <c r="J122" i="41"/>
  <c r="BD122" i="41" s="1"/>
  <c r="I122" i="41"/>
  <c r="BC122" i="41" s="1"/>
  <c r="H122" i="41"/>
  <c r="BB122" i="41" s="1"/>
  <c r="G122" i="41"/>
  <c r="BA122" i="41" s="1"/>
  <c r="M121" i="41"/>
  <c r="BG121" i="41" s="1"/>
  <c r="L121" i="41"/>
  <c r="BF121" i="41" s="1"/>
  <c r="K121" i="41"/>
  <c r="BE121" i="41" s="1"/>
  <c r="J121" i="41"/>
  <c r="BD121" i="41" s="1"/>
  <c r="I121" i="41"/>
  <c r="BC121" i="41" s="1"/>
  <c r="H121" i="41"/>
  <c r="BB121" i="41" s="1"/>
  <c r="G121" i="41"/>
  <c r="BA121" i="41" s="1"/>
  <c r="M120" i="41"/>
  <c r="BG120" i="41" s="1"/>
  <c r="L120" i="41"/>
  <c r="BF120" i="41" s="1"/>
  <c r="K120" i="41"/>
  <c r="BE120" i="41" s="1"/>
  <c r="J120" i="41"/>
  <c r="BD120" i="41" s="1"/>
  <c r="I120" i="41"/>
  <c r="BC120" i="41" s="1"/>
  <c r="H120" i="41"/>
  <c r="BB120" i="41" s="1"/>
  <c r="G120" i="41"/>
  <c r="BA120" i="41" s="1"/>
  <c r="M119" i="41"/>
  <c r="BG119" i="41" s="1"/>
  <c r="L119" i="41"/>
  <c r="BF119" i="41" s="1"/>
  <c r="K119" i="41"/>
  <c r="BE119" i="41" s="1"/>
  <c r="J119" i="41"/>
  <c r="BD119" i="41" s="1"/>
  <c r="I119" i="41"/>
  <c r="BC119" i="41" s="1"/>
  <c r="H119" i="41"/>
  <c r="BB119" i="41" s="1"/>
  <c r="G119" i="41"/>
  <c r="BA119" i="41" s="1"/>
  <c r="M118" i="41"/>
  <c r="BG118" i="41" s="1"/>
  <c r="N84" i="85" s="1"/>
  <c r="L118" i="41"/>
  <c r="BF118" i="41" s="1"/>
  <c r="K118" i="41"/>
  <c r="BE118" i="41" s="1"/>
  <c r="J118" i="41"/>
  <c r="BD118" i="41" s="1"/>
  <c r="I118" i="41"/>
  <c r="BC118" i="41" s="1"/>
  <c r="H118" i="41"/>
  <c r="BB118" i="41" s="1"/>
  <c r="G118" i="41"/>
  <c r="BA118" i="41" s="1"/>
  <c r="M117" i="41"/>
  <c r="BG117" i="41" s="1"/>
  <c r="L117" i="41"/>
  <c r="BF117" i="41" s="1"/>
  <c r="K117" i="41"/>
  <c r="BE117" i="41" s="1"/>
  <c r="J117" i="41"/>
  <c r="BD117" i="41" s="1"/>
  <c r="I117" i="41"/>
  <c r="BC117" i="41" s="1"/>
  <c r="H117" i="41"/>
  <c r="BB117" i="41" s="1"/>
  <c r="G117" i="41"/>
  <c r="BA117" i="41" s="1"/>
  <c r="M116" i="41"/>
  <c r="BG116" i="41" s="1"/>
  <c r="L116" i="41"/>
  <c r="BF116" i="41" s="1"/>
  <c r="K116" i="41"/>
  <c r="BE116" i="41" s="1"/>
  <c r="J116" i="41"/>
  <c r="BD116" i="41" s="1"/>
  <c r="I116" i="41"/>
  <c r="BC116" i="41" s="1"/>
  <c r="H116" i="41"/>
  <c r="BB116" i="41" s="1"/>
  <c r="G116" i="41"/>
  <c r="BA116" i="41" s="1"/>
  <c r="M115" i="41"/>
  <c r="BG115" i="41" s="1"/>
  <c r="L115" i="41"/>
  <c r="BF115" i="41" s="1"/>
  <c r="K115" i="41"/>
  <c r="BE115" i="41" s="1"/>
  <c r="J115" i="41"/>
  <c r="BD115" i="41" s="1"/>
  <c r="I115" i="41"/>
  <c r="BC115" i="41" s="1"/>
  <c r="H115" i="41"/>
  <c r="BB115" i="41" s="1"/>
  <c r="G115" i="41"/>
  <c r="BA115" i="41" s="1"/>
  <c r="M114" i="41"/>
  <c r="BG114" i="41" s="1"/>
  <c r="L114" i="41"/>
  <c r="BF114" i="41" s="1"/>
  <c r="K114" i="41"/>
  <c r="BE114" i="41" s="1"/>
  <c r="J114" i="41"/>
  <c r="BD114" i="41" s="1"/>
  <c r="I114" i="41"/>
  <c r="BC114" i="41" s="1"/>
  <c r="G114" i="41"/>
  <c r="BA114" i="41" s="1"/>
  <c r="M113" i="41"/>
  <c r="BG113" i="41" s="1"/>
  <c r="L113" i="41"/>
  <c r="BF113" i="41" s="1"/>
  <c r="K113" i="41"/>
  <c r="BE113" i="41" s="1"/>
  <c r="J113" i="41"/>
  <c r="BD113" i="41" s="1"/>
  <c r="I113" i="41"/>
  <c r="BC113" i="41" s="1"/>
  <c r="H113" i="41"/>
  <c r="BB113" i="41" s="1"/>
  <c r="G113" i="41"/>
  <c r="BA113" i="41" s="1"/>
  <c r="M112" i="41"/>
  <c r="BG112" i="41" s="1"/>
  <c r="L112" i="41"/>
  <c r="BF112" i="41" s="1"/>
  <c r="K112" i="41"/>
  <c r="BE112" i="41" s="1"/>
  <c r="J112" i="41"/>
  <c r="BD112" i="41" s="1"/>
  <c r="I112" i="41"/>
  <c r="BC112" i="41" s="1"/>
  <c r="H112" i="41"/>
  <c r="BB112" i="41" s="1"/>
  <c r="G112" i="41"/>
  <c r="BA112" i="41" s="1"/>
  <c r="M111" i="41"/>
  <c r="BG111" i="41" s="1"/>
  <c r="L111" i="41"/>
  <c r="BF111" i="41" s="1"/>
  <c r="K111" i="41"/>
  <c r="BE111" i="41" s="1"/>
  <c r="J111" i="41"/>
  <c r="BD111" i="41" s="1"/>
  <c r="I111" i="41"/>
  <c r="BC111" i="41" s="1"/>
  <c r="H111" i="41"/>
  <c r="BB111" i="41" s="1"/>
  <c r="G111" i="41"/>
  <c r="BA111" i="41" s="1"/>
  <c r="M110" i="41"/>
  <c r="BG110" i="41" s="1"/>
  <c r="L110" i="41"/>
  <c r="BF110" i="41" s="1"/>
  <c r="K110" i="41"/>
  <c r="BE110" i="41" s="1"/>
  <c r="J110" i="41"/>
  <c r="BD110" i="41" s="1"/>
  <c r="I110" i="41"/>
  <c r="BC110" i="41" s="1"/>
  <c r="H110" i="41"/>
  <c r="BB110" i="41" s="1"/>
  <c r="G110" i="41"/>
  <c r="BA110" i="41" s="1"/>
  <c r="M109" i="41"/>
  <c r="BG109" i="41" s="1"/>
  <c r="L109" i="41"/>
  <c r="BF109" i="41" s="1"/>
  <c r="K109" i="41"/>
  <c r="BE109" i="41" s="1"/>
  <c r="J109" i="41"/>
  <c r="BD109" i="41" s="1"/>
  <c r="I109" i="41"/>
  <c r="BC109" i="41" s="1"/>
  <c r="H109" i="41"/>
  <c r="BB109" i="41" s="1"/>
  <c r="G109" i="41"/>
  <c r="BA109" i="41" s="1"/>
  <c r="M108" i="41"/>
  <c r="BG108" i="41" s="1"/>
  <c r="L108" i="41"/>
  <c r="BF108" i="41" s="1"/>
  <c r="K108" i="41"/>
  <c r="BE108" i="41" s="1"/>
  <c r="J108" i="41"/>
  <c r="BD108" i="41" s="1"/>
  <c r="I108" i="41"/>
  <c r="BC108" i="41" s="1"/>
  <c r="H108" i="41"/>
  <c r="BB108" i="41" s="1"/>
  <c r="G108" i="41"/>
  <c r="BA108" i="41" s="1"/>
  <c r="M107" i="41"/>
  <c r="BG107" i="41" s="1"/>
  <c r="L107" i="41"/>
  <c r="BF107" i="41" s="1"/>
  <c r="K107" i="41"/>
  <c r="BE107" i="41" s="1"/>
  <c r="J107" i="41"/>
  <c r="BD107" i="41" s="1"/>
  <c r="I107" i="41"/>
  <c r="BC107" i="41" s="1"/>
  <c r="H107" i="41"/>
  <c r="BB107" i="41" s="1"/>
  <c r="G107" i="41"/>
  <c r="BA107" i="41" s="1"/>
  <c r="M106" i="41"/>
  <c r="BG106" i="41" s="1"/>
  <c r="L106" i="41"/>
  <c r="BF106" i="41" s="1"/>
  <c r="K106" i="41"/>
  <c r="BE106" i="41" s="1"/>
  <c r="J106" i="41"/>
  <c r="BD106" i="41" s="1"/>
  <c r="I106" i="41"/>
  <c r="BC106" i="41" s="1"/>
  <c r="H106" i="41"/>
  <c r="BB106" i="41" s="1"/>
  <c r="G106" i="41"/>
  <c r="BA106" i="41" s="1"/>
  <c r="M105" i="41"/>
  <c r="BG105" i="41" s="1"/>
  <c r="L105" i="41"/>
  <c r="BF105" i="41" s="1"/>
  <c r="K105" i="41"/>
  <c r="BE105" i="41" s="1"/>
  <c r="J105" i="41"/>
  <c r="BD105" i="41" s="1"/>
  <c r="I105" i="41"/>
  <c r="BC105" i="41" s="1"/>
  <c r="H105" i="41"/>
  <c r="BB105" i="41" s="1"/>
  <c r="G105" i="41"/>
  <c r="BA105" i="41" s="1"/>
  <c r="M104" i="41"/>
  <c r="BG104" i="41" s="1"/>
  <c r="L104" i="41"/>
  <c r="BF104" i="41" s="1"/>
  <c r="K104" i="41"/>
  <c r="BE104" i="41" s="1"/>
  <c r="J104" i="41"/>
  <c r="BD104" i="41" s="1"/>
  <c r="I104" i="41"/>
  <c r="BC104" i="41" s="1"/>
  <c r="H104" i="41"/>
  <c r="BB104" i="41" s="1"/>
  <c r="G104" i="41"/>
  <c r="BA104" i="41" s="1"/>
  <c r="M103" i="41"/>
  <c r="BG103" i="41" s="1"/>
  <c r="L103" i="41"/>
  <c r="BF103" i="41" s="1"/>
  <c r="K103" i="41"/>
  <c r="BE103" i="41" s="1"/>
  <c r="J103" i="41"/>
  <c r="BD103" i="41" s="1"/>
  <c r="I103" i="41"/>
  <c r="BC103" i="41" s="1"/>
  <c r="H103" i="41"/>
  <c r="BB103" i="41" s="1"/>
  <c r="G103" i="41"/>
  <c r="BA103" i="41" s="1"/>
  <c r="M102" i="41"/>
  <c r="BG102" i="41" s="1"/>
  <c r="L102" i="41"/>
  <c r="BF102" i="41" s="1"/>
  <c r="K102" i="41"/>
  <c r="BE102" i="41" s="1"/>
  <c r="J102" i="41"/>
  <c r="BD102" i="41" s="1"/>
  <c r="I102" i="41"/>
  <c r="BC102" i="41" s="1"/>
  <c r="H102" i="41"/>
  <c r="BB102" i="41" s="1"/>
  <c r="G102" i="41"/>
  <c r="BA102" i="41" s="1"/>
  <c r="M101" i="41"/>
  <c r="BG101" i="41" s="1"/>
  <c r="L101" i="41"/>
  <c r="BF101" i="41" s="1"/>
  <c r="K101" i="41"/>
  <c r="BE101" i="41" s="1"/>
  <c r="J101" i="41"/>
  <c r="BD101" i="41" s="1"/>
  <c r="I101" i="41"/>
  <c r="BC101" i="41" s="1"/>
  <c r="H101" i="41"/>
  <c r="BB101" i="41" s="1"/>
  <c r="G101" i="41"/>
  <c r="BA101" i="41" s="1"/>
  <c r="M100" i="41"/>
  <c r="BG100" i="41" s="1"/>
  <c r="L100" i="41"/>
  <c r="BF100" i="41" s="1"/>
  <c r="M83" i="85" s="1"/>
  <c r="K100" i="41"/>
  <c r="BE100" i="41" s="1"/>
  <c r="J100" i="41"/>
  <c r="BD100" i="41" s="1"/>
  <c r="I100" i="41"/>
  <c r="BC100" i="41" s="1"/>
  <c r="H100" i="41"/>
  <c r="BB100" i="41" s="1"/>
  <c r="G100" i="41"/>
  <c r="BA100" i="41" s="1"/>
  <c r="AL99" i="41"/>
  <c r="AK99" i="41"/>
  <c r="AJ99" i="41"/>
  <c r="AI99" i="41"/>
  <c r="AH99" i="41"/>
  <c r="AG99" i="41"/>
  <c r="AF99" i="41"/>
  <c r="AD99" i="41"/>
  <c r="AC99" i="41"/>
  <c r="AB99" i="41"/>
  <c r="AA99" i="41"/>
  <c r="Z99" i="41"/>
  <c r="Y99" i="41"/>
  <c r="X99" i="41"/>
  <c r="V99" i="41"/>
  <c r="U99" i="41"/>
  <c r="T99" i="41"/>
  <c r="S99" i="41"/>
  <c r="R99" i="41"/>
  <c r="Q99" i="41"/>
  <c r="P99" i="41"/>
  <c r="M97" i="41"/>
  <c r="BG97" i="41" s="1"/>
  <c r="L97" i="41"/>
  <c r="BF97" i="41" s="1"/>
  <c r="K97" i="41"/>
  <c r="BE97" i="41" s="1"/>
  <c r="J97" i="41"/>
  <c r="BD97" i="41" s="1"/>
  <c r="I97" i="41"/>
  <c r="BC97" i="41" s="1"/>
  <c r="H97" i="41"/>
  <c r="BB97" i="41" s="1"/>
  <c r="G97" i="41"/>
  <c r="BA97" i="41" s="1"/>
  <c r="M96" i="41"/>
  <c r="BG96" i="41" s="1"/>
  <c r="L96" i="41"/>
  <c r="BF96" i="41" s="1"/>
  <c r="K96" i="41"/>
  <c r="BE96" i="41" s="1"/>
  <c r="J96" i="41"/>
  <c r="BD96" i="41" s="1"/>
  <c r="I96" i="41"/>
  <c r="BC96" i="41" s="1"/>
  <c r="H96" i="41"/>
  <c r="BB96" i="41" s="1"/>
  <c r="G96" i="41"/>
  <c r="BA96" i="41" s="1"/>
  <c r="M95" i="41"/>
  <c r="BG95" i="41" s="1"/>
  <c r="L95" i="41"/>
  <c r="BF95" i="41" s="1"/>
  <c r="K95" i="41"/>
  <c r="BE95" i="41" s="1"/>
  <c r="J95" i="41"/>
  <c r="BD95" i="41" s="1"/>
  <c r="I95" i="41"/>
  <c r="BC95" i="41" s="1"/>
  <c r="H95" i="41"/>
  <c r="BB95" i="41" s="1"/>
  <c r="G95" i="41"/>
  <c r="BA95" i="41" s="1"/>
  <c r="M94" i="41"/>
  <c r="BG94" i="41" s="1"/>
  <c r="L94" i="41"/>
  <c r="BF94" i="41" s="1"/>
  <c r="K94" i="41"/>
  <c r="BE94" i="41" s="1"/>
  <c r="J94" i="41"/>
  <c r="BD94" i="41" s="1"/>
  <c r="I94" i="41"/>
  <c r="BC94" i="41" s="1"/>
  <c r="H94" i="41"/>
  <c r="BB94" i="41" s="1"/>
  <c r="G94" i="41"/>
  <c r="BA94" i="41" s="1"/>
  <c r="M93" i="41"/>
  <c r="BG93" i="41" s="1"/>
  <c r="L93" i="41"/>
  <c r="BF93" i="41" s="1"/>
  <c r="K93" i="41"/>
  <c r="BE93" i="41" s="1"/>
  <c r="J93" i="41"/>
  <c r="BD93" i="41" s="1"/>
  <c r="I93" i="41"/>
  <c r="BC93" i="41" s="1"/>
  <c r="H93" i="41"/>
  <c r="BB93" i="41" s="1"/>
  <c r="G93" i="41"/>
  <c r="BA93" i="41" s="1"/>
  <c r="M92" i="41"/>
  <c r="BG92" i="41" s="1"/>
  <c r="L92" i="41"/>
  <c r="BF92" i="41" s="1"/>
  <c r="K92" i="41"/>
  <c r="BE92" i="41" s="1"/>
  <c r="L81" i="85" s="1"/>
  <c r="J92" i="41"/>
  <c r="BD92" i="41" s="1"/>
  <c r="I92" i="41"/>
  <c r="BC92" i="41" s="1"/>
  <c r="J81" i="85" s="1"/>
  <c r="H92" i="41"/>
  <c r="BB92" i="41" s="1"/>
  <c r="G92" i="41"/>
  <c r="BA92" i="41" s="1"/>
  <c r="M91" i="41"/>
  <c r="BG91" i="41" s="1"/>
  <c r="L91" i="41"/>
  <c r="BF91" i="41" s="1"/>
  <c r="K91" i="41"/>
  <c r="BE91" i="41" s="1"/>
  <c r="J91" i="41"/>
  <c r="BD91" i="41" s="1"/>
  <c r="I91" i="41"/>
  <c r="BC91" i="41" s="1"/>
  <c r="H91" i="41"/>
  <c r="BB91" i="41" s="1"/>
  <c r="G91" i="41"/>
  <c r="BA91" i="41" s="1"/>
  <c r="M90" i="41"/>
  <c r="BG90" i="41" s="1"/>
  <c r="L90" i="41"/>
  <c r="BF90" i="41" s="1"/>
  <c r="K90" i="41"/>
  <c r="BE90" i="41" s="1"/>
  <c r="J90" i="41"/>
  <c r="BD90" i="41" s="1"/>
  <c r="I90" i="41"/>
  <c r="BC90" i="41" s="1"/>
  <c r="H90" i="41"/>
  <c r="BB90" i="41" s="1"/>
  <c r="G90" i="41"/>
  <c r="BA90" i="41" s="1"/>
  <c r="M89" i="41"/>
  <c r="BG89" i="41" s="1"/>
  <c r="L89" i="41"/>
  <c r="BF89" i="41" s="1"/>
  <c r="K89" i="41"/>
  <c r="BE89" i="41" s="1"/>
  <c r="J89" i="41"/>
  <c r="BD89" i="41" s="1"/>
  <c r="I89" i="41"/>
  <c r="BC89" i="41" s="1"/>
  <c r="H89" i="41"/>
  <c r="BB89" i="41" s="1"/>
  <c r="G89" i="41"/>
  <c r="BA89" i="41" s="1"/>
  <c r="M88" i="41"/>
  <c r="BG88" i="41" s="1"/>
  <c r="L88" i="41"/>
  <c r="BF88" i="41" s="1"/>
  <c r="K88" i="41"/>
  <c r="BE88" i="41" s="1"/>
  <c r="J88" i="41"/>
  <c r="BD88" i="41" s="1"/>
  <c r="I88" i="41"/>
  <c r="BC88" i="41" s="1"/>
  <c r="H88" i="41"/>
  <c r="BB88" i="41" s="1"/>
  <c r="G88" i="41"/>
  <c r="BA88" i="41" s="1"/>
  <c r="M87" i="41"/>
  <c r="BG87" i="41" s="1"/>
  <c r="L87" i="41"/>
  <c r="BF87" i="41" s="1"/>
  <c r="K87" i="41"/>
  <c r="BE87" i="41" s="1"/>
  <c r="J87" i="41"/>
  <c r="BD87" i="41" s="1"/>
  <c r="I87" i="41"/>
  <c r="BC87" i="41" s="1"/>
  <c r="H87" i="41"/>
  <c r="BB87" i="41" s="1"/>
  <c r="G87" i="41"/>
  <c r="BA87" i="41" s="1"/>
  <c r="M86" i="41"/>
  <c r="BG86" i="41" s="1"/>
  <c r="L86" i="41"/>
  <c r="BF86" i="41" s="1"/>
  <c r="K86" i="41"/>
  <c r="BE86" i="41" s="1"/>
  <c r="J86" i="41"/>
  <c r="BD86" i="41" s="1"/>
  <c r="I86" i="41"/>
  <c r="BC86" i="41" s="1"/>
  <c r="H86" i="41"/>
  <c r="BB86" i="41" s="1"/>
  <c r="G86" i="41"/>
  <c r="BA86" i="41" s="1"/>
  <c r="M85" i="41"/>
  <c r="BG85" i="41" s="1"/>
  <c r="L85" i="41"/>
  <c r="BF85" i="41" s="1"/>
  <c r="K85" i="41"/>
  <c r="BE85" i="41" s="1"/>
  <c r="J85" i="41"/>
  <c r="BD85" i="41" s="1"/>
  <c r="I85" i="41"/>
  <c r="BC85" i="41" s="1"/>
  <c r="H85" i="41"/>
  <c r="BB85" i="41" s="1"/>
  <c r="G85" i="41"/>
  <c r="BA85" i="41" s="1"/>
  <c r="M84" i="41"/>
  <c r="BG84" i="41" s="1"/>
  <c r="L84" i="41"/>
  <c r="BF84" i="41" s="1"/>
  <c r="K84" i="41"/>
  <c r="BE84" i="41" s="1"/>
  <c r="J84" i="41"/>
  <c r="BD84" i="41" s="1"/>
  <c r="I84" i="41"/>
  <c r="BC84" i="41" s="1"/>
  <c r="H84" i="41"/>
  <c r="BB84" i="41" s="1"/>
  <c r="G84" i="41"/>
  <c r="BA84" i="41" s="1"/>
  <c r="M83" i="41"/>
  <c r="BG83" i="41" s="1"/>
  <c r="L83" i="41"/>
  <c r="BF83" i="41" s="1"/>
  <c r="K83" i="41"/>
  <c r="BE83" i="41" s="1"/>
  <c r="J83" i="41"/>
  <c r="BD83" i="41" s="1"/>
  <c r="I83" i="41"/>
  <c r="BC83" i="41" s="1"/>
  <c r="H83" i="41"/>
  <c r="BB83" i="41" s="1"/>
  <c r="G83" i="41"/>
  <c r="BA83" i="41" s="1"/>
  <c r="M82" i="41"/>
  <c r="BG82" i="41" s="1"/>
  <c r="L82" i="41"/>
  <c r="BF82" i="41" s="1"/>
  <c r="K82" i="41"/>
  <c r="BE82" i="41" s="1"/>
  <c r="J82" i="41"/>
  <c r="BD82" i="41" s="1"/>
  <c r="I82" i="41"/>
  <c r="BC82" i="41" s="1"/>
  <c r="H82" i="41"/>
  <c r="BB82" i="41" s="1"/>
  <c r="G82" i="41"/>
  <c r="BA82" i="41" s="1"/>
  <c r="M81" i="41"/>
  <c r="BG81" i="41" s="1"/>
  <c r="L81" i="41"/>
  <c r="BF81" i="41" s="1"/>
  <c r="K81" i="41"/>
  <c r="BE81" i="41" s="1"/>
  <c r="J81" i="41"/>
  <c r="BD81" i="41" s="1"/>
  <c r="I81" i="41"/>
  <c r="BC81" i="41" s="1"/>
  <c r="H81" i="41"/>
  <c r="BB81" i="41" s="1"/>
  <c r="G81" i="41"/>
  <c r="BA81" i="41" s="1"/>
  <c r="M80" i="41"/>
  <c r="BG80" i="41" s="1"/>
  <c r="L80" i="41"/>
  <c r="BF80" i="41" s="1"/>
  <c r="K80" i="41"/>
  <c r="BE80" i="41" s="1"/>
  <c r="J80" i="41"/>
  <c r="BD80" i="41" s="1"/>
  <c r="I80" i="41"/>
  <c r="BC80" i="41" s="1"/>
  <c r="H80" i="41"/>
  <c r="BB80" i="41" s="1"/>
  <c r="G80" i="41"/>
  <c r="BA80" i="41" s="1"/>
  <c r="M79" i="41"/>
  <c r="BG79" i="41" s="1"/>
  <c r="L79" i="41"/>
  <c r="BF79" i="41" s="1"/>
  <c r="K79" i="41"/>
  <c r="BE79" i="41" s="1"/>
  <c r="J79" i="41"/>
  <c r="BD79" i="41" s="1"/>
  <c r="I79" i="41"/>
  <c r="BC79" i="41" s="1"/>
  <c r="H79" i="41"/>
  <c r="BB79" i="41" s="1"/>
  <c r="G79" i="41"/>
  <c r="BA79" i="41" s="1"/>
  <c r="M78" i="41"/>
  <c r="BG78" i="41" s="1"/>
  <c r="L78" i="41"/>
  <c r="BF78" i="41" s="1"/>
  <c r="K78" i="41"/>
  <c r="BE78" i="41" s="1"/>
  <c r="J78" i="41"/>
  <c r="BD78" i="41" s="1"/>
  <c r="I78" i="41"/>
  <c r="BC78" i="41" s="1"/>
  <c r="H78" i="41"/>
  <c r="BB78" i="41" s="1"/>
  <c r="G78" i="41"/>
  <c r="BA78" i="41" s="1"/>
  <c r="M77" i="41"/>
  <c r="BG77" i="41" s="1"/>
  <c r="L77" i="41"/>
  <c r="BF77" i="41" s="1"/>
  <c r="K77" i="41"/>
  <c r="BE77" i="41" s="1"/>
  <c r="J77" i="41"/>
  <c r="BD77" i="41" s="1"/>
  <c r="I77" i="41"/>
  <c r="BC77" i="41" s="1"/>
  <c r="H77" i="41"/>
  <c r="BB77" i="41" s="1"/>
  <c r="G77" i="41"/>
  <c r="BA77" i="41" s="1"/>
  <c r="M76" i="41"/>
  <c r="BG76" i="41" s="1"/>
  <c r="L76" i="41"/>
  <c r="BF76" i="41" s="1"/>
  <c r="K76" i="41"/>
  <c r="BE76" i="41" s="1"/>
  <c r="J76" i="41"/>
  <c r="BD76" i="41" s="1"/>
  <c r="I76" i="41"/>
  <c r="BC76" i="41" s="1"/>
  <c r="H76" i="41"/>
  <c r="BB76" i="41" s="1"/>
  <c r="G76" i="41"/>
  <c r="BA76" i="41" s="1"/>
  <c r="M75" i="41"/>
  <c r="BG75" i="41" s="1"/>
  <c r="L75" i="41"/>
  <c r="BF75" i="41" s="1"/>
  <c r="K75" i="41"/>
  <c r="BE75" i="41" s="1"/>
  <c r="J75" i="41"/>
  <c r="BD75" i="41" s="1"/>
  <c r="I75" i="41"/>
  <c r="BC75" i="41" s="1"/>
  <c r="H75" i="41"/>
  <c r="BB75" i="41" s="1"/>
  <c r="G75" i="41"/>
  <c r="BA75" i="41" s="1"/>
  <c r="M74" i="41"/>
  <c r="BG74" i="41" s="1"/>
  <c r="L74" i="41"/>
  <c r="BF74" i="41" s="1"/>
  <c r="K74" i="41"/>
  <c r="BE74" i="41" s="1"/>
  <c r="J74" i="41"/>
  <c r="BD74" i="41" s="1"/>
  <c r="I74" i="41"/>
  <c r="BC74" i="41" s="1"/>
  <c r="J80" i="85" s="1"/>
  <c r="H74" i="41"/>
  <c r="BB74" i="41" s="1"/>
  <c r="G74" i="41"/>
  <c r="BA74" i="41" s="1"/>
  <c r="AL73" i="41"/>
  <c r="AK73" i="41"/>
  <c r="AJ73" i="41"/>
  <c r="AI73" i="41"/>
  <c r="AH73" i="41"/>
  <c r="AG73" i="41"/>
  <c r="AF73" i="41"/>
  <c r="AD73" i="41"/>
  <c r="AC73" i="41"/>
  <c r="AB73" i="41"/>
  <c r="AA73" i="41"/>
  <c r="Z73" i="41"/>
  <c r="Y73" i="41"/>
  <c r="X73" i="41"/>
  <c r="V73" i="41"/>
  <c r="U73" i="41"/>
  <c r="T73" i="41"/>
  <c r="S73" i="41"/>
  <c r="R73" i="41"/>
  <c r="Q73" i="41"/>
  <c r="P73" i="41"/>
  <c r="M71" i="41"/>
  <c r="BG71" i="41" s="1"/>
  <c r="L71" i="41"/>
  <c r="BF71" i="41" s="1"/>
  <c r="K71" i="41"/>
  <c r="BE71" i="41" s="1"/>
  <c r="J71" i="41"/>
  <c r="BD71" i="41" s="1"/>
  <c r="I71" i="41"/>
  <c r="BC71" i="41" s="1"/>
  <c r="H71" i="41"/>
  <c r="BB71" i="41" s="1"/>
  <c r="G71" i="41"/>
  <c r="BA71" i="41" s="1"/>
  <c r="M70" i="41"/>
  <c r="L70" i="41"/>
  <c r="K70" i="41"/>
  <c r="J70" i="41"/>
  <c r="I70" i="41"/>
  <c r="H70" i="41"/>
  <c r="BB70" i="41" s="1"/>
  <c r="G70" i="41"/>
  <c r="BA70" i="41" s="1"/>
  <c r="M69" i="41"/>
  <c r="L69" i="41"/>
  <c r="K69" i="41"/>
  <c r="J69" i="41"/>
  <c r="I69" i="41"/>
  <c r="H69" i="41"/>
  <c r="BB69" i="41" s="1"/>
  <c r="G69" i="41"/>
  <c r="BA69" i="41" s="1"/>
  <c r="M68" i="41"/>
  <c r="BG68" i="41" s="1"/>
  <c r="L68" i="41"/>
  <c r="BF68" i="41" s="1"/>
  <c r="K68" i="41"/>
  <c r="BE68" i="41" s="1"/>
  <c r="J68" i="41"/>
  <c r="BD68" i="41" s="1"/>
  <c r="K77" i="85" s="1"/>
  <c r="I68" i="41"/>
  <c r="BC68" i="41" s="1"/>
  <c r="J77" i="85" s="1"/>
  <c r="H68" i="41"/>
  <c r="BB68" i="41" s="1"/>
  <c r="G68" i="41"/>
  <c r="BA68" i="41" s="1"/>
  <c r="M67" i="41"/>
  <c r="BG67" i="41" s="1"/>
  <c r="L67" i="41"/>
  <c r="BF67" i="41" s="1"/>
  <c r="K67" i="41"/>
  <c r="BE67" i="41" s="1"/>
  <c r="J67" i="41"/>
  <c r="BD67" i="41" s="1"/>
  <c r="I67" i="41"/>
  <c r="BC67" i="41" s="1"/>
  <c r="H67" i="41"/>
  <c r="BB67" i="41" s="1"/>
  <c r="G67" i="41"/>
  <c r="BA67" i="41" s="1"/>
  <c r="M66" i="41"/>
  <c r="BG66" i="41" s="1"/>
  <c r="L66" i="41"/>
  <c r="BF66" i="41" s="1"/>
  <c r="K66" i="41"/>
  <c r="BE66" i="41" s="1"/>
  <c r="J66" i="41"/>
  <c r="BD66" i="41" s="1"/>
  <c r="I66" i="41"/>
  <c r="BC66" i="41" s="1"/>
  <c r="H66" i="41"/>
  <c r="BB66" i="41" s="1"/>
  <c r="G66" i="41"/>
  <c r="BA66" i="41" s="1"/>
  <c r="M65" i="41"/>
  <c r="BG65" i="41" s="1"/>
  <c r="L65" i="41"/>
  <c r="BF65" i="41" s="1"/>
  <c r="K65" i="41"/>
  <c r="BE65" i="41" s="1"/>
  <c r="J65" i="41"/>
  <c r="BD65" i="41" s="1"/>
  <c r="I65" i="41"/>
  <c r="BC65" i="41" s="1"/>
  <c r="H65" i="41"/>
  <c r="BB65" i="41" s="1"/>
  <c r="G65" i="41"/>
  <c r="BA65" i="41" s="1"/>
  <c r="M64" i="41"/>
  <c r="BG64" i="41" s="1"/>
  <c r="L64" i="41"/>
  <c r="BF64" i="41" s="1"/>
  <c r="K64" i="41"/>
  <c r="BE64" i="41" s="1"/>
  <c r="J64" i="41"/>
  <c r="BD64" i="41" s="1"/>
  <c r="I64" i="41"/>
  <c r="BC64" i="41" s="1"/>
  <c r="H64" i="41"/>
  <c r="BB64" i="41" s="1"/>
  <c r="G64" i="41"/>
  <c r="BA64" i="41" s="1"/>
  <c r="M63" i="41"/>
  <c r="BG63" i="41" s="1"/>
  <c r="L63" i="41"/>
  <c r="BF63" i="41" s="1"/>
  <c r="K63" i="41"/>
  <c r="BE63" i="41" s="1"/>
  <c r="J63" i="41"/>
  <c r="BD63" i="41" s="1"/>
  <c r="I63" i="41"/>
  <c r="BC63" i="41" s="1"/>
  <c r="H63" i="41"/>
  <c r="BB63" i="41" s="1"/>
  <c r="G63" i="41"/>
  <c r="BA63" i="41" s="1"/>
  <c r="M62" i="41"/>
  <c r="BG62" i="41" s="1"/>
  <c r="L62" i="41"/>
  <c r="BF62" i="41" s="1"/>
  <c r="K62" i="41"/>
  <c r="BE62" i="41" s="1"/>
  <c r="J62" i="41"/>
  <c r="BD62" i="41" s="1"/>
  <c r="I62" i="41"/>
  <c r="BC62" i="41" s="1"/>
  <c r="H62" i="41"/>
  <c r="BB62" i="41" s="1"/>
  <c r="G62" i="41"/>
  <c r="BA62" i="41" s="1"/>
  <c r="M61" i="41"/>
  <c r="BG61" i="41" s="1"/>
  <c r="L61" i="41"/>
  <c r="BF61" i="41" s="1"/>
  <c r="K61" i="41"/>
  <c r="BE61" i="41" s="1"/>
  <c r="J61" i="41"/>
  <c r="BD61" i="41" s="1"/>
  <c r="I61" i="41"/>
  <c r="BC61" i="41" s="1"/>
  <c r="H61" i="41"/>
  <c r="BB61" i="41" s="1"/>
  <c r="G61" i="41"/>
  <c r="BA61" i="41" s="1"/>
  <c r="AL60" i="41"/>
  <c r="CF60" i="41" s="1"/>
  <c r="AK60" i="41"/>
  <c r="CE60" i="41" s="1"/>
  <c r="AJ60" i="41"/>
  <c r="CD60" i="41" s="1"/>
  <c r="AI60" i="41"/>
  <c r="CC60" i="41" s="1"/>
  <c r="AH60" i="41"/>
  <c r="CB60" i="41" s="1"/>
  <c r="AG60" i="41"/>
  <c r="CA60" i="41" s="1"/>
  <c r="AF60" i="41"/>
  <c r="BZ60" i="41" s="1"/>
  <c r="AD60" i="41"/>
  <c r="BX60" i="41" s="1"/>
  <c r="AC60" i="41"/>
  <c r="BW60" i="41" s="1"/>
  <c r="AB60" i="41"/>
  <c r="BV60" i="41" s="1"/>
  <c r="AA60" i="41"/>
  <c r="BU60" i="41" s="1"/>
  <c r="Z60" i="41"/>
  <c r="BT60" i="41" s="1"/>
  <c r="Y60" i="41"/>
  <c r="BS60" i="41" s="1"/>
  <c r="X60" i="41"/>
  <c r="BR60" i="41" s="1"/>
  <c r="V60" i="41"/>
  <c r="BP60" i="41" s="1"/>
  <c r="U60" i="41"/>
  <c r="BO60" i="41" s="1"/>
  <c r="T60" i="41"/>
  <c r="BN60" i="41" s="1"/>
  <c r="S60" i="41"/>
  <c r="BM60" i="41" s="1"/>
  <c r="R60" i="41"/>
  <c r="BL60" i="41" s="1"/>
  <c r="Q60" i="41"/>
  <c r="BK60" i="41" s="1"/>
  <c r="P60" i="41"/>
  <c r="BJ60" i="41" s="1"/>
  <c r="M59" i="41"/>
  <c r="BG59" i="41" s="1"/>
  <c r="L59" i="41"/>
  <c r="BF59" i="41" s="1"/>
  <c r="K59" i="41"/>
  <c r="BE59" i="41" s="1"/>
  <c r="J59" i="41"/>
  <c r="BD59" i="41" s="1"/>
  <c r="I59" i="41"/>
  <c r="BC59" i="41" s="1"/>
  <c r="H59" i="41"/>
  <c r="BB59" i="41" s="1"/>
  <c r="G59" i="41"/>
  <c r="BA59" i="41" s="1"/>
  <c r="M58" i="41"/>
  <c r="BG58" i="41" s="1"/>
  <c r="L58" i="41"/>
  <c r="BF58" i="41" s="1"/>
  <c r="K58" i="41"/>
  <c r="BE58" i="41" s="1"/>
  <c r="J58" i="41"/>
  <c r="BD58" i="41" s="1"/>
  <c r="I58" i="41"/>
  <c r="BC58" i="41" s="1"/>
  <c r="H58" i="41"/>
  <c r="BB58" i="41" s="1"/>
  <c r="G58" i="41"/>
  <c r="BA58" i="41" s="1"/>
  <c r="AL57" i="41"/>
  <c r="CF57" i="41" s="1"/>
  <c r="AK57" i="41"/>
  <c r="CE57" i="41" s="1"/>
  <c r="AJ57" i="41"/>
  <c r="CD57" i="41" s="1"/>
  <c r="AI57" i="41"/>
  <c r="CC57" i="41" s="1"/>
  <c r="AH57" i="41"/>
  <c r="CB57" i="41" s="1"/>
  <c r="AG57" i="41"/>
  <c r="CA57" i="41" s="1"/>
  <c r="AF57" i="41"/>
  <c r="BZ57" i="41" s="1"/>
  <c r="AD57" i="41"/>
  <c r="BX57" i="41" s="1"/>
  <c r="AC57" i="41"/>
  <c r="BW57" i="41" s="1"/>
  <c r="AB57" i="41"/>
  <c r="BV57" i="41" s="1"/>
  <c r="AA57" i="41"/>
  <c r="BU57" i="41" s="1"/>
  <c r="Z57" i="41"/>
  <c r="BT57" i="41" s="1"/>
  <c r="Y57" i="41"/>
  <c r="BS57" i="41" s="1"/>
  <c r="X57" i="41"/>
  <c r="BR57" i="41" s="1"/>
  <c r="V57" i="41"/>
  <c r="BP57" i="41" s="1"/>
  <c r="U57" i="41"/>
  <c r="BO57" i="41" s="1"/>
  <c r="T57" i="41"/>
  <c r="BN57" i="41" s="1"/>
  <c r="S57" i="41"/>
  <c r="BM57" i="41" s="1"/>
  <c r="R57" i="41"/>
  <c r="BL57" i="41" s="1"/>
  <c r="Q57" i="41"/>
  <c r="BK57" i="41" s="1"/>
  <c r="P57" i="41"/>
  <c r="BJ57" i="41" s="1"/>
  <c r="M56" i="41"/>
  <c r="BG56" i="41" s="1"/>
  <c r="L56" i="41"/>
  <c r="BF56" i="41" s="1"/>
  <c r="K56" i="41"/>
  <c r="BE56" i="41" s="1"/>
  <c r="J56" i="41"/>
  <c r="BD56" i="41" s="1"/>
  <c r="I56" i="41"/>
  <c r="BC56" i="41" s="1"/>
  <c r="H56" i="41"/>
  <c r="BB56" i="41" s="1"/>
  <c r="G56" i="41"/>
  <c r="BA56" i="41" s="1"/>
  <c r="M55" i="41"/>
  <c r="BG55" i="41" s="1"/>
  <c r="L55" i="41"/>
  <c r="BF55" i="41" s="1"/>
  <c r="K55" i="41"/>
  <c r="BE55" i="41" s="1"/>
  <c r="J55" i="41"/>
  <c r="BD55" i="41" s="1"/>
  <c r="I55" i="41"/>
  <c r="BC55" i="41" s="1"/>
  <c r="H55" i="41"/>
  <c r="BB55" i="41" s="1"/>
  <c r="G55" i="41"/>
  <c r="BA55" i="41" s="1"/>
  <c r="M54" i="41"/>
  <c r="BG54" i="41" s="1"/>
  <c r="L54" i="41"/>
  <c r="BF54" i="41" s="1"/>
  <c r="K54" i="41"/>
  <c r="BE54" i="41" s="1"/>
  <c r="J54" i="41"/>
  <c r="BD54" i="41" s="1"/>
  <c r="I54" i="41"/>
  <c r="BC54" i="41" s="1"/>
  <c r="H54" i="41"/>
  <c r="BB54" i="41" s="1"/>
  <c r="G54" i="41"/>
  <c r="BA54" i="41" s="1"/>
  <c r="M53" i="41"/>
  <c r="BG53" i="41" s="1"/>
  <c r="L53" i="41"/>
  <c r="BF53" i="41" s="1"/>
  <c r="K53" i="41"/>
  <c r="BE53" i="41" s="1"/>
  <c r="J53" i="41"/>
  <c r="BD53" i="41" s="1"/>
  <c r="I53" i="41"/>
  <c r="BC53" i="41" s="1"/>
  <c r="H53" i="41"/>
  <c r="BB53" i="41" s="1"/>
  <c r="G53" i="41"/>
  <c r="BA53" i="41" s="1"/>
  <c r="M52" i="41"/>
  <c r="BG52" i="41" s="1"/>
  <c r="L52" i="41"/>
  <c r="BF52" i="41" s="1"/>
  <c r="K52" i="41"/>
  <c r="BE52" i="41" s="1"/>
  <c r="J52" i="41"/>
  <c r="BD52" i="41" s="1"/>
  <c r="I52" i="41"/>
  <c r="BC52" i="41" s="1"/>
  <c r="H52" i="41"/>
  <c r="BB52" i="41" s="1"/>
  <c r="G52" i="41"/>
  <c r="BA52" i="41" s="1"/>
  <c r="M51" i="41"/>
  <c r="L51" i="41"/>
  <c r="K51" i="41"/>
  <c r="J51" i="41"/>
  <c r="BD51" i="41" s="1"/>
  <c r="K70" i="85" s="1"/>
  <c r="I51" i="41"/>
  <c r="H51" i="41"/>
  <c r="BB51" i="41" s="1"/>
  <c r="G51" i="41"/>
  <c r="BA51" i="41" s="1"/>
  <c r="M50" i="41"/>
  <c r="BG50" i="41" s="1"/>
  <c r="L50" i="41"/>
  <c r="BF50" i="41" s="1"/>
  <c r="K50" i="41"/>
  <c r="BE50" i="41" s="1"/>
  <c r="J50" i="41"/>
  <c r="BD50" i="41" s="1"/>
  <c r="I50" i="41"/>
  <c r="BC50" i="41" s="1"/>
  <c r="H50" i="41"/>
  <c r="BB50" i="41" s="1"/>
  <c r="G50" i="41"/>
  <c r="BA50" i="41" s="1"/>
  <c r="M49" i="41"/>
  <c r="L49" i="41"/>
  <c r="K49" i="41"/>
  <c r="J49" i="41"/>
  <c r="I49" i="41"/>
  <c r="H49" i="41"/>
  <c r="BB49" i="41" s="1"/>
  <c r="G49" i="41"/>
  <c r="BA49" i="41" s="1"/>
  <c r="AL48" i="41"/>
  <c r="CF48" i="41" s="1"/>
  <c r="AK48" i="41"/>
  <c r="CE48" i="41" s="1"/>
  <c r="AJ48" i="41"/>
  <c r="CD48" i="41" s="1"/>
  <c r="AI48" i="41"/>
  <c r="CC48" i="41" s="1"/>
  <c r="AH48" i="41"/>
  <c r="CB48" i="41" s="1"/>
  <c r="AG48" i="41"/>
  <c r="CA48" i="41" s="1"/>
  <c r="AF48" i="41"/>
  <c r="BZ48" i="41" s="1"/>
  <c r="AD48" i="41"/>
  <c r="BX48" i="41" s="1"/>
  <c r="AC48" i="41"/>
  <c r="BW48" i="41" s="1"/>
  <c r="AB48" i="41"/>
  <c r="BV48" i="41" s="1"/>
  <c r="AA48" i="41"/>
  <c r="BU48" i="41" s="1"/>
  <c r="Z48" i="41"/>
  <c r="BT48" i="41" s="1"/>
  <c r="Y48" i="41"/>
  <c r="BS48" i="41" s="1"/>
  <c r="X48" i="41"/>
  <c r="BR48" i="41" s="1"/>
  <c r="V48" i="41"/>
  <c r="BP48" i="41" s="1"/>
  <c r="U48" i="41"/>
  <c r="BO48" i="41" s="1"/>
  <c r="T48" i="41"/>
  <c r="BN48" i="41" s="1"/>
  <c r="S48" i="41"/>
  <c r="BM48" i="41" s="1"/>
  <c r="R48" i="41"/>
  <c r="BL48" i="41" s="1"/>
  <c r="Q48" i="41"/>
  <c r="BK48" i="41" s="1"/>
  <c r="P48" i="41"/>
  <c r="BJ48" i="41" s="1"/>
  <c r="M47" i="41"/>
  <c r="BG47" i="41" s="1"/>
  <c r="L47" i="41"/>
  <c r="BF47" i="41" s="1"/>
  <c r="K47" i="41"/>
  <c r="BE47" i="41" s="1"/>
  <c r="J47" i="41"/>
  <c r="BD47" i="41" s="1"/>
  <c r="I47" i="41"/>
  <c r="BC47" i="41" s="1"/>
  <c r="H47" i="41"/>
  <c r="BB47" i="41" s="1"/>
  <c r="G47" i="41"/>
  <c r="BA47" i="41" s="1"/>
  <c r="M46" i="41"/>
  <c r="BG46" i="41" s="1"/>
  <c r="L46" i="41"/>
  <c r="BF46" i="41" s="1"/>
  <c r="K46" i="41"/>
  <c r="BE46" i="41" s="1"/>
  <c r="J46" i="41"/>
  <c r="BD46" i="41" s="1"/>
  <c r="I46" i="41"/>
  <c r="BC46" i="41" s="1"/>
  <c r="H46" i="41"/>
  <c r="BB46" i="41" s="1"/>
  <c r="G46" i="41"/>
  <c r="BA46" i="41" s="1"/>
  <c r="M45" i="41"/>
  <c r="BG45" i="41" s="1"/>
  <c r="L45" i="41"/>
  <c r="BF45" i="41" s="1"/>
  <c r="K45" i="41"/>
  <c r="BE45" i="41" s="1"/>
  <c r="J45" i="41"/>
  <c r="BD45" i="41" s="1"/>
  <c r="I45" i="41"/>
  <c r="BC45" i="41" s="1"/>
  <c r="H45" i="41"/>
  <c r="BB45" i="41" s="1"/>
  <c r="G45" i="41"/>
  <c r="BA45" i="41" s="1"/>
  <c r="M44" i="41"/>
  <c r="BG44" i="41" s="1"/>
  <c r="L44" i="41"/>
  <c r="BF44" i="41" s="1"/>
  <c r="K44" i="41"/>
  <c r="BE44" i="41" s="1"/>
  <c r="J44" i="41"/>
  <c r="BD44" i="41" s="1"/>
  <c r="I44" i="41"/>
  <c r="BC44" i="41" s="1"/>
  <c r="H44" i="41"/>
  <c r="BB44" i="41" s="1"/>
  <c r="G44" i="41"/>
  <c r="BA44" i="41" s="1"/>
  <c r="M43" i="41"/>
  <c r="BG43" i="41" s="1"/>
  <c r="L43" i="41"/>
  <c r="BF43" i="41" s="1"/>
  <c r="K43" i="41"/>
  <c r="BE43" i="41" s="1"/>
  <c r="L67" i="85" s="1"/>
  <c r="J43" i="41"/>
  <c r="BD43" i="41" s="1"/>
  <c r="I43" i="41"/>
  <c r="BC43" i="41" s="1"/>
  <c r="H43" i="41"/>
  <c r="BB43" i="41" s="1"/>
  <c r="G43" i="41"/>
  <c r="BA43" i="41" s="1"/>
  <c r="M42" i="41"/>
  <c r="L42" i="41"/>
  <c r="K42" i="41"/>
  <c r="J42" i="41"/>
  <c r="I42" i="41"/>
  <c r="H42" i="41"/>
  <c r="BB42" i="41" s="1"/>
  <c r="G42" i="41"/>
  <c r="BA42" i="41" s="1"/>
  <c r="M41" i="41"/>
  <c r="L41" i="41"/>
  <c r="K41" i="41"/>
  <c r="J41" i="41"/>
  <c r="I41" i="41"/>
  <c r="H41" i="41"/>
  <c r="BB41" i="41" s="1"/>
  <c r="G41" i="41"/>
  <c r="BA41" i="41" s="1"/>
  <c r="M40" i="41"/>
  <c r="L40" i="41"/>
  <c r="K40" i="41"/>
  <c r="J40" i="41"/>
  <c r="BD40" i="41" s="1"/>
  <c r="K63" i="85" s="1"/>
  <c r="I40" i="41"/>
  <c r="H40" i="41"/>
  <c r="BB40" i="41" s="1"/>
  <c r="G40" i="41"/>
  <c r="BA40" i="41" s="1"/>
  <c r="M39" i="41"/>
  <c r="BG39" i="41" s="1"/>
  <c r="N62" i="85" s="1"/>
  <c r="L39" i="41"/>
  <c r="K39" i="41"/>
  <c r="J39" i="41"/>
  <c r="I39" i="41"/>
  <c r="BC39" i="41" s="1"/>
  <c r="J62" i="85" s="1"/>
  <c r="H39" i="41"/>
  <c r="BB39" i="41" s="1"/>
  <c r="G39" i="41"/>
  <c r="BA39" i="41" s="1"/>
  <c r="M38" i="41"/>
  <c r="L38" i="41"/>
  <c r="BF38" i="41" s="1"/>
  <c r="M61" i="85" s="1"/>
  <c r="K38" i="41"/>
  <c r="J38" i="41"/>
  <c r="I38" i="41"/>
  <c r="H38" i="41"/>
  <c r="BB38" i="41" s="1"/>
  <c r="G38" i="41"/>
  <c r="BA38" i="41" s="1"/>
  <c r="M37" i="41"/>
  <c r="L37" i="41"/>
  <c r="K37" i="41"/>
  <c r="BE37" i="41" s="1"/>
  <c r="L60" i="85" s="1"/>
  <c r="J37" i="41"/>
  <c r="I37" i="41"/>
  <c r="H37" i="41"/>
  <c r="BB37" i="41" s="1"/>
  <c r="G37" i="41"/>
  <c r="BA37" i="41" s="1"/>
  <c r="AL36" i="41"/>
  <c r="CF36" i="41" s="1"/>
  <c r="AK36" i="41"/>
  <c r="CE36" i="41" s="1"/>
  <c r="AJ36" i="41"/>
  <c r="CD36" i="41" s="1"/>
  <c r="AI36" i="41"/>
  <c r="CC36" i="41" s="1"/>
  <c r="AH36" i="41"/>
  <c r="CB36" i="41" s="1"/>
  <c r="AG36" i="41"/>
  <c r="CA36" i="41" s="1"/>
  <c r="AF36" i="41"/>
  <c r="BZ36" i="41" s="1"/>
  <c r="AD36" i="41"/>
  <c r="BX36" i="41" s="1"/>
  <c r="AC36" i="41"/>
  <c r="BW36" i="41" s="1"/>
  <c r="AB36" i="41"/>
  <c r="BV36" i="41" s="1"/>
  <c r="AA36" i="41"/>
  <c r="BU36" i="41" s="1"/>
  <c r="Z36" i="41"/>
  <c r="BT36" i="41" s="1"/>
  <c r="Y36" i="41"/>
  <c r="BS36" i="41" s="1"/>
  <c r="X36" i="41"/>
  <c r="BR36" i="41" s="1"/>
  <c r="V36" i="41"/>
  <c r="BP36" i="41" s="1"/>
  <c r="U36" i="41"/>
  <c r="BO36" i="41" s="1"/>
  <c r="T36" i="41"/>
  <c r="BN36" i="41" s="1"/>
  <c r="S36" i="41"/>
  <c r="BM36" i="41" s="1"/>
  <c r="R36" i="41"/>
  <c r="BL36" i="41" s="1"/>
  <c r="Q36" i="41"/>
  <c r="BK36" i="41" s="1"/>
  <c r="P36" i="41"/>
  <c r="BJ36" i="41" s="1"/>
  <c r="M35" i="41"/>
  <c r="BG35" i="41" s="1"/>
  <c r="L35" i="41"/>
  <c r="BF35" i="41" s="1"/>
  <c r="K35" i="41"/>
  <c r="BE35" i="41" s="1"/>
  <c r="J35" i="41"/>
  <c r="BD35" i="41" s="1"/>
  <c r="I35" i="41"/>
  <c r="BC35" i="41" s="1"/>
  <c r="H35" i="41"/>
  <c r="BB35" i="41" s="1"/>
  <c r="G35" i="41"/>
  <c r="BA35" i="41" s="1"/>
  <c r="M34" i="41"/>
  <c r="BG34" i="41" s="1"/>
  <c r="L34" i="41"/>
  <c r="BF34" i="41" s="1"/>
  <c r="K34" i="41"/>
  <c r="BE34" i="41" s="1"/>
  <c r="J34" i="41"/>
  <c r="BD34" i="41" s="1"/>
  <c r="I34" i="41"/>
  <c r="BC34" i="41" s="1"/>
  <c r="H34" i="41"/>
  <c r="BB34" i="41" s="1"/>
  <c r="G34" i="41"/>
  <c r="BA34" i="41" s="1"/>
  <c r="M33" i="41"/>
  <c r="BG33" i="41" s="1"/>
  <c r="L33" i="41"/>
  <c r="BF33" i="41" s="1"/>
  <c r="K33" i="41"/>
  <c r="BE33" i="41" s="1"/>
  <c r="J33" i="41"/>
  <c r="BD33" i="41" s="1"/>
  <c r="I33" i="41"/>
  <c r="BC33" i="41" s="1"/>
  <c r="H33" i="41"/>
  <c r="BB33" i="41" s="1"/>
  <c r="G33" i="41"/>
  <c r="BA33" i="41" s="1"/>
  <c r="M32" i="41"/>
  <c r="BG32" i="41" s="1"/>
  <c r="L32" i="41"/>
  <c r="BF32" i="41" s="1"/>
  <c r="K32" i="41"/>
  <c r="BE32" i="41" s="1"/>
  <c r="J32" i="41"/>
  <c r="BD32" i="41" s="1"/>
  <c r="I32" i="41"/>
  <c r="BC32" i="41" s="1"/>
  <c r="H32" i="41"/>
  <c r="BB32" i="41" s="1"/>
  <c r="G32" i="41"/>
  <c r="BA32" i="41" s="1"/>
  <c r="M31" i="41"/>
  <c r="BG31" i="41" s="1"/>
  <c r="L31" i="41"/>
  <c r="BF31" i="41" s="1"/>
  <c r="K31" i="41"/>
  <c r="BE31" i="41" s="1"/>
  <c r="J31" i="41"/>
  <c r="BD31" i="41" s="1"/>
  <c r="I31" i="41"/>
  <c r="BC31" i="41" s="1"/>
  <c r="H31" i="41"/>
  <c r="BB31" i="41" s="1"/>
  <c r="G31" i="41"/>
  <c r="BA31" i="41" s="1"/>
  <c r="M30" i="41"/>
  <c r="BG30" i="41" s="1"/>
  <c r="L30" i="41"/>
  <c r="BF30" i="41" s="1"/>
  <c r="M58" i="85" s="1"/>
  <c r="K30" i="41"/>
  <c r="BE30" i="41" s="1"/>
  <c r="J30" i="41"/>
  <c r="BD30" i="41" s="1"/>
  <c r="I30" i="41"/>
  <c r="BC30" i="41" s="1"/>
  <c r="H30" i="41"/>
  <c r="BB30" i="41" s="1"/>
  <c r="G30" i="41"/>
  <c r="BA30" i="41" s="1"/>
  <c r="M29" i="41"/>
  <c r="L29" i="41"/>
  <c r="K29" i="41"/>
  <c r="J29" i="41"/>
  <c r="I29" i="41"/>
  <c r="H29" i="41"/>
  <c r="BB29" i="41" s="1"/>
  <c r="G29" i="41"/>
  <c r="BA29" i="41" s="1"/>
  <c r="M28" i="41"/>
  <c r="BG28" i="41" s="1"/>
  <c r="L28" i="41"/>
  <c r="BF28" i="41" s="1"/>
  <c r="K28" i="41"/>
  <c r="BE28" i="41" s="1"/>
  <c r="J28" i="41"/>
  <c r="BD28" i="41" s="1"/>
  <c r="I28" i="41"/>
  <c r="BC28" i="41" s="1"/>
  <c r="H28" i="41"/>
  <c r="BB28" i="41" s="1"/>
  <c r="G28" i="41"/>
  <c r="BA28" i="41" s="1"/>
  <c r="M27" i="41"/>
  <c r="BG27" i="41" s="1"/>
  <c r="L27" i="41"/>
  <c r="BF27" i="41" s="1"/>
  <c r="K27" i="41"/>
  <c r="BE27" i="41" s="1"/>
  <c r="J27" i="41"/>
  <c r="BD27" i="41" s="1"/>
  <c r="I27" i="41"/>
  <c r="BC27" i="41" s="1"/>
  <c r="H27" i="41"/>
  <c r="BB27" i="41" s="1"/>
  <c r="G27" i="41"/>
  <c r="BA27" i="41" s="1"/>
  <c r="M26" i="41"/>
  <c r="BG26" i="41" s="1"/>
  <c r="L26" i="41"/>
  <c r="BF26" i="41" s="1"/>
  <c r="K26" i="41"/>
  <c r="BE26" i="41" s="1"/>
  <c r="J26" i="41"/>
  <c r="BD26" i="41" s="1"/>
  <c r="I26" i="41"/>
  <c r="BC26" i="41" s="1"/>
  <c r="H26" i="41"/>
  <c r="BB26" i="41" s="1"/>
  <c r="G26" i="41"/>
  <c r="BA26" i="41" s="1"/>
  <c r="M25" i="41"/>
  <c r="BG25" i="41" s="1"/>
  <c r="L25" i="41"/>
  <c r="BF25" i="41" s="1"/>
  <c r="K25" i="41"/>
  <c r="BE25" i="41" s="1"/>
  <c r="J25" i="41"/>
  <c r="BD25" i="41" s="1"/>
  <c r="I25" i="41"/>
  <c r="BC25" i="41" s="1"/>
  <c r="H25" i="41"/>
  <c r="BB25" i="41" s="1"/>
  <c r="G25" i="41"/>
  <c r="BA25" i="41" s="1"/>
  <c r="M24" i="41"/>
  <c r="BG24" i="41" s="1"/>
  <c r="L24" i="41"/>
  <c r="BF24" i="41" s="1"/>
  <c r="K24" i="41"/>
  <c r="BE24" i="41" s="1"/>
  <c r="J24" i="41"/>
  <c r="BD24" i="41" s="1"/>
  <c r="I24" i="41"/>
  <c r="BC24" i="41" s="1"/>
  <c r="H24" i="41"/>
  <c r="BB24" i="41" s="1"/>
  <c r="G24" i="41"/>
  <c r="BA24" i="41" s="1"/>
  <c r="M23" i="41"/>
  <c r="BG23" i="41" s="1"/>
  <c r="L23" i="41"/>
  <c r="BF23" i="41" s="1"/>
  <c r="K23" i="41"/>
  <c r="BE23" i="41" s="1"/>
  <c r="J23" i="41"/>
  <c r="BD23" i="41" s="1"/>
  <c r="I23" i="41"/>
  <c r="BC23" i="41" s="1"/>
  <c r="H23" i="41"/>
  <c r="BB23" i="41" s="1"/>
  <c r="G23" i="41"/>
  <c r="BA23" i="41" s="1"/>
  <c r="M22" i="41"/>
  <c r="L22" i="41"/>
  <c r="K22" i="41"/>
  <c r="J22" i="41"/>
  <c r="I22" i="41"/>
  <c r="H22" i="41"/>
  <c r="BB22" i="41" s="1"/>
  <c r="G22" i="41"/>
  <c r="BA22" i="41" s="1"/>
  <c r="M21" i="41"/>
  <c r="BG21" i="41" s="1"/>
  <c r="L21" i="41"/>
  <c r="BF21" i="41" s="1"/>
  <c r="K21" i="41"/>
  <c r="BE21" i="41" s="1"/>
  <c r="J21" i="41"/>
  <c r="BD21" i="41" s="1"/>
  <c r="I21" i="41"/>
  <c r="BC21" i="41" s="1"/>
  <c r="H21" i="41"/>
  <c r="BB21" i="41" s="1"/>
  <c r="G21" i="41"/>
  <c r="BA21" i="41" s="1"/>
  <c r="M20" i="41"/>
  <c r="BG20" i="41" s="1"/>
  <c r="L20" i="41"/>
  <c r="BF20" i="41" s="1"/>
  <c r="K20" i="41"/>
  <c r="BE20" i="41" s="1"/>
  <c r="J20" i="41"/>
  <c r="BD20" i="41" s="1"/>
  <c r="I20" i="41"/>
  <c r="BC20" i="41" s="1"/>
  <c r="H20" i="41"/>
  <c r="BB20" i="41" s="1"/>
  <c r="G20" i="41"/>
  <c r="BA20" i="41" s="1"/>
  <c r="M19" i="41"/>
  <c r="BG19" i="41" s="1"/>
  <c r="L19" i="41"/>
  <c r="BF19" i="41" s="1"/>
  <c r="K19" i="41"/>
  <c r="BE19" i="41" s="1"/>
  <c r="J19" i="41"/>
  <c r="BD19" i="41" s="1"/>
  <c r="I19" i="41"/>
  <c r="BC19" i="41" s="1"/>
  <c r="H19" i="41"/>
  <c r="BB19" i="41" s="1"/>
  <c r="G19" i="41"/>
  <c r="BA19" i="41" s="1"/>
  <c r="M18" i="41"/>
  <c r="BG18" i="41" s="1"/>
  <c r="L18" i="41"/>
  <c r="BF18" i="41" s="1"/>
  <c r="K18" i="41"/>
  <c r="BE18" i="41" s="1"/>
  <c r="J18" i="41"/>
  <c r="BD18" i="41" s="1"/>
  <c r="I18" i="41"/>
  <c r="BC18" i="41" s="1"/>
  <c r="H18" i="41"/>
  <c r="BB18" i="41" s="1"/>
  <c r="G18" i="41"/>
  <c r="BA18" i="41" s="1"/>
  <c r="M17" i="41"/>
  <c r="L17" i="41"/>
  <c r="K17" i="41"/>
  <c r="J17" i="41"/>
  <c r="I17" i="41"/>
  <c r="H17" i="41"/>
  <c r="BB17" i="41" s="1"/>
  <c r="G17" i="41"/>
  <c r="BA17" i="41" s="1"/>
  <c r="M16" i="41"/>
  <c r="L16" i="41"/>
  <c r="K16" i="41"/>
  <c r="J16" i="41"/>
  <c r="I16" i="41"/>
  <c r="H16" i="41"/>
  <c r="BB16" i="41" s="1"/>
  <c r="G16" i="41"/>
  <c r="BA16" i="41" s="1"/>
  <c r="M15" i="41"/>
  <c r="BG15" i="41" s="1"/>
  <c r="L15" i="41"/>
  <c r="BF15" i="41" s="1"/>
  <c r="K15" i="41"/>
  <c r="BE15" i="41" s="1"/>
  <c r="J15" i="41"/>
  <c r="BD15" i="41" s="1"/>
  <c r="I15" i="41"/>
  <c r="BC15" i="41" s="1"/>
  <c r="H15" i="41"/>
  <c r="BB15" i="41" s="1"/>
  <c r="G15" i="41"/>
  <c r="BA15" i="41" s="1"/>
  <c r="M14" i="41"/>
  <c r="BG14" i="41" s="1"/>
  <c r="L14" i="41"/>
  <c r="BF14" i="41" s="1"/>
  <c r="K14" i="41"/>
  <c r="BE14" i="41" s="1"/>
  <c r="J14" i="41"/>
  <c r="BD14" i="41" s="1"/>
  <c r="I14" i="41"/>
  <c r="BC14" i="41" s="1"/>
  <c r="H14" i="41"/>
  <c r="BB14" i="41" s="1"/>
  <c r="G14" i="41"/>
  <c r="BA14" i="41" s="1"/>
  <c r="M13" i="41"/>
  <c r="BG13" i="41" s="1"/>
  <c r="L13" i="41"/>
  <c r="BF13" i="41" s="1"/>
  <c r="K13" i="41"/>
  <c r="BE13" i="41" s="1"/>
  <c r="J13" i="41"/>
  <c r="BD13" i="41" s="1"/>
  <c r="I13" i="41"/>
  <c r="BC13" i="41" s="1"/>
  <c r="H13" i="41"/>
  <c r="BB13" i="41" s="1"/>
  <c r="M12" i="41"/>
  <c r="BG12" i="41" s="1"/>
  <c r="L12" i="41"/>
  <c r="BF12" i="41" s="1"/>
  <c r="K12" i="41"/>
  <c r="BE12" i="41" s="1"/>
  <c r="J12" i="41"/>
  <c r="BD12" i="41" s="1"/>
  <c r="I12" i="41"/>
  <c r="BC12" i="41" s="1"/>
  <c r="J48" i="85" s="1"/>
  <c r="H12" i="41"/>
  <c r="BB12" i="41" s="1"/>
  <c r="G12" i="41"/>
  <c r="BA12" i="41" s="1"/>
  <c r="AL11" i="41"/>
  <c r="CF11" i="41" s="1"/>
  <c r="AK11" i="41"/>
  <c r="CE11" i="41" s="1"/>
  <c r="AJ11" i="41"/>
  <c r="CD11" i="41" s="1"/>
  <c r="AI11" i="41"/>
  <c r="CC11" i="41" s="1"/>
  <c r="AH11" i="41"/>
  <c r="CB11" i="41" s="1"/>
  <c r="AG11" i="41"/>
  <c r="CA11" i="41" s="1"/>
  <c r="AF11" i="41"/>
  <c r="BZ11" i="41" s="1"/>
  <c r="AD11" i="41"/>
  <c r="BX11" i="41" s="1"/>
  <c r="AC11" i="41"/>
  <c r="BW11" i="41" s="1"/>
  <c r="AB11" i="41"/>
  <c r="BV11" i="41" s="1"/>
  <c r="AA11" i="41"/>
  <c r="BU11" i="41" s="1"/>
  <c r="Z11" i="41"/>
  <c r="BT11" i="41" s="1"/>
  <c r="Y11" i="41"/>
  <c r="BS11" i="41" s="1"/>
  <c r="X11" i="41"/>
  <c r="BR11" i="41" s="1"/>
  <c r="V11" i="41"/>
  <c r="BP11" i="41" s="1"/>
  <c r="U11" i="41"/>
  <c r="BO11" i="41" s="1"/>
  <c r="T11" i="41"/>
  <c r="BN11" i="41" s="1"/>
  <c r="S11" i="41"/>
  <c r="BM11" i="41" s="1"/>
  <c r="R11" i="41"/>
  <c r="BL11" i="41" s="1"/>
  <c r="Q11" i="41"/>
  <c r="BK11" i="41" s="1"/>
  <c r="P11" i="41"/>
  <c r="BJ11" i="41" s="1"/>
  <c r="AW9" i="41"/>
  <c r="AV9" i="41"/>
  <c r="AU9" i="41"/>
  <c r="AT9" i="41"/>
  <c r="AS9" i="41"/>
  <c r="AR9" i="41"/>
  <c r="M77" i="85" l="1"/>
  <c r="L78" i="85"/>
  <c r="L55" i="85"/>
  <c r="N54" i="85"/>
  <c r="N53" i="85"/>
  <c r="L53" i="85"/>
  <c r="J67" i="85"/>
  <c r="J55" i="85"/>
  <c r="J54" i="85"/>
  <c r="J53" i="85"/>
  <c r="L54" i="85"/>
  <c r="N55" i="85"/>
  <c r="K53" i="85"/>
  <c r="M54" i="85"/>
  <c r="K58" i="85"/>
  <c r="K48" i="85"/>
  <c r="J51" i="85"/>
  <c r="K55" i="85"/>
  <c r="N58" i="85"/>
  <c r="M67" i="85"/>
  <c r="M78" i="85"/>
  <c r="L77" i="85"/>
  <c r="K80" i="85"/>
  <c r="M81" i="85"/>
  <c r="N83" i="85"/>
  <c r="N85" i="85" s="1"/>
  <c r="N67" i="85"/>
  <c r="N78" i="85"/>
  <c r="L80" i="85"/>
  <c r="L82" i="85" s="1"/>
  <c r="N81" i="85"/>
  <c r="J84" i="85"/>
  <c r="I27" i="67"/>
  <c r="I4" i="67" s="1"/>
  <c r="I27" i="85"/>
  <c r="I4" i="85" s="1"/>
  <c r="M48" i="85"/>
  <c r="L51" i="85"/>
  <c r="K54" i="85"/>
  <c r="M55" i="85"/>
  <c r="J72" i="85"/>
  <c r="N77" i="85"/>
  <c r="M80" i="85"/>
  <c r="M82" i="85" s="1"/>
  <c r="K84" i="85"/>
  <c r="I30" i="67"/>
  <c r="I5" i="67" s="1"/>
  <c r="I30" i="85"/>
  <c r="I5" i="85" s="1"/>
  <c r="J82" i="85"/>
  <c r="N48" i="85"/>
  <c r="M51" i="85"/>
  <c r="K72" i="85"/>
  <c r="N80" i="85"/>
  <c r="N82" i="85" s="1"/>
  <c r="L84" i="85"/>
  <c r="I33" i="67"/>
  <c r="I6" i="67" s="1"/>
  <c r="I33" i="85"/>
  <c r="I6" i="85" s="1"/>
  <c r="L48" i="85"/>
  <c r="K51" i="85"/>
  <c r="N51" i="85"/>
  <c r="J58" i="85"/>
  <c r="L72" i="85"/>
  <c r="J83" i="85"/>
  <c r="M84" i="85"/>
  <c r="M85" i="85" s="1"/>
  <c r="I36" i="67"/>
  <c r="I36" i="85"/>
  <c r="K83" i="85"/>
  <c r="I39" i="67"/>
  <c r="I39" i="85"/>
  <c r="M72" i="85"/>
  <c r="J78" i="85"/>
  <c r="O78" i="85" s="1"/>
  <c r="M53" i="85"/>
  <c r="L58" i="85"/>
  <c r="K67" i="85"/>
  <c r="N72" i="85"/>
  <c r="K78" i="85"/>
  <c r="K81" i="85"/>
  <c r="O81" i="85" s="1"/>
  <c r="L83" i="85"/>
  <c r="L85" i="85" s="1"/>
  <c r="N60" i="67"/>
  <c r="BG37" i="41"/>
  <c r="N60" i="85" s="1"/>
  <c r="K64" i="67"/>
  <c r="BD42" i="41"/>
  <c r="K64" i="85" s="1"/>
  <c r="L76" i="67"/>
  <c r="BE69" i="41"/>
  <c r="L76" i="85" s="1"/>
  <c r="R144" i="41"/>
  <c r="BL144" i="41" s="1"/>
  <c r="BL99" i="41"/>
  <c r="J63" i="67"/>
  <c r="BC40" i="41"/>
  <c r="J63" i="85" s="1"/>
  <c r="Y143" i="41"/>
  <c r="BS143" i="41" s="1"/>
  <c r="BS73" i="41"/>
  <c r="J50" i="67"/>
  <c r="BC17" i="41"/>
  <c r="J50" i="85" s="1"/>
  <c r="N56" i="67"/>
  <c r="BG29" i="41"/>
  <c r="N56" i="85" s="1"/>
  <c r="L65" i="67"/>
  <c r="BE41" i="41"/>
  <c r="L65" i="85" s="1"/>
  <c r="M64" i="67"/>
  <c r="BF42" i="41"/>
  <c r="M64" i="85" s="1"/>
  <c r="N69" i="67"/>
  <c r="BG49" i="41"/>
  <c r="N69" i="85" s="1"/>
  <c r="N76" i="67"/>
  <c r="BG69" i="41"/>
  <c r="N76" i="85" s="1"/>
  <c r="Q143" i="41"/>
  <c r="BK143" i="41" s="1"/>
  <c r="BK73" i="41"/>
  <c r="Z143" i="41"/>
  <c r="BT143" i="41" s="1"/>
  <c r="BT73" i="41"/>
  <c r="AI143" i="41"/>
  <c r="CC143" i="41" s="1"/>
  <c r="CC73" i="41"/>
  <c r="T144" i="41"/>
  <c r="BN144" i="41" s="1"/>
  <c r="BN99" i="41"/>
  <c r="AC144" i="41"/>
  <c r="BW144" i="41" s="1"/>
  <c r="BW99" i="41"/>
  <c r="AL144" i="41"/>
  <c r="CF144" i="41" s="1"/>
  <c r="CF99" i="41"/>
  <c r="M60" i="67"/>
  <c r="BF37" i="41"/>
  <c r="M60" i="85" s="1"/>
  <c r="J64" i="67"/>
  <c r="BC42" i="41"/>
  <c r="J64" i="85" s="1"/>
  <c r="J65" i="67"/>
  <c r="BC41" i="41"/>
  <c r="J65" i="85" s="1"/>
  <c r="L69" i="67"/>
  <c r="BE49" i="41"/>
  <c r="L69" i="85" s="1"/>
  <c r="AG143" i="41"/>
  <c r="CA143" i="41" s="1"/>
  <c r="CA73" i="41"/>
  <c r="K65" i="67"/>
  <c r="O65" i="67" s="1"/>
  <c r="BD41" i="41"/>
  <c r="K65" i="85" s="1"/>
  <c r="P143" i="41"/>
  <c r="BJ73" i="41"/>
  <c r="AK144" i="41"/>
  <c r="CE144" i="41" s="1"/>
  <c r="CE99" i="41"/>
  <c r="J49" i="67"/>
  <c r="BC16" i="41"/>
  <c r="J49" i="85" s="1"/>
  <c r="K50" i="67"/>
  <c r="BD17" i="41"/>
  <c r="K50" i="85" s="1"/>
  <c r="J61" i="67"/>
  <c r="BC38" i="41"/>
  <c r="J61" i="85" s="1"/>
  <c r="K62" i="67"/>
  <c r="BD39" i="41"/>
  <c r="K62" i="85" s="1"/>
  <c r="L63" i="67"/>
  <c r="BE40" i="41"/>
  <c r="L63" i="85" s="1"/>
  <c r="M65" i="67"/>
  <c r="BF41" i="41"/>
  <c r="M65" i="85" s="1"/>
  <c r="N64" i="67"/>
  <c r="BG42" i="41"/>
  <c r="N64" i="85" s="1"/>
  <c r="R143" i="41"/>
  <c r="BL143" i="41" s="1"/>
  <c r="BL73" i="41"/>
  <c r="AA143" i="41"/>
  <c r="BU73" i="41"/>
  <c r="AJ143" i="41"/>
  <c r="CD73" i="41"/>
  <c r="U144" i="41"/>
  <c r="BO99" i="41"/>
  <c r="AD144" i="41"/>
  <c r="BX144" i="41" s="1"/>
  <c r="BX99" i="41"/>
  <c r="E74" i="49"/>
  <c r="K74" i="49" s="1"/>
  <c r="CK43" i="7"/>
  <c r="AO37" i="7"/>
  <c r="CS37" i="7"/>
  <c r="AV43" i="7"/>
  <c r="AV41" i="7" s="1"/>
  <c r="N49" i="67"/>
  <c r="BG16" i="41"/>
  <c r="N49" i="85" s="1"/>
  <c r="M52" i="67"/>
  <c r="BF22" i="41"/>
  <c r="M52" i="85" s="1"/>
  <c r="N70" i="67"/>
  <c r="N71" i="67" s="1"/>
  <c r="BG51" i="41"/>
  <c r="N70" i="85" s="1"/>
  <c r="AA144" i="41"/>
  <c r="BU144" i="41" s="1"/>
  <c r="BU99" i="41"/>
  <c r="M56" i="67"/>
  <c r="BF29" i="41"/>
  <c r="M56" i="85" s="1"/>
  <c r="M76" i="67"/>
  <c r="BF69" i="41"/>
  <c r="M76" i="85" s="1"/>
  <c r="S144" i="41"/>
  <c r="BM144" i="41" s="1"/>
  <c r="BM99" i="41"/>
  <c r="K49" i="67"/>
  <c r="BD16" i="41"/>
  <c r="K49" i="85" s="1"/>
  <c r="L50" i="67"/>
  <c r="BE17" i="41"/>
  <c r="L50" i="85" s="1"/>
  <c r="J60" i="67"/>
  <c r="BC37" i="41"/>
  <c r="J60" i="85" s="1"/>
  <c r="K61" i="67"/>
  <c r="BD38" i="41"/>
  <c r="K61" i="85" s="1"/>
  <c r="L62" i="67"/>
  <c r="BE39" i="41"/>
  <c r="L62" i="85" s="1"/>
  <c r="M63" i="67"/>
  <c r="BF40" i="41"/>
  <c r="M63" i="85" s="1"/>
  <c r="N65" i="67"/>
  <c r="BG41" i="41"/>
  <c r="N65" i="85" s="1"/>
  <c r="J70" i="67"/>
  <c r="BC51" i="41"/>
  <c r="J70" i="85" s="1"/>
  <c r="S143" i="41"/>
  <c r="BM73" i="41"/>
  <c r="AB143" i="41"/>
  <c r="BV143" i="41" s="1"/>
  <c r="BV73" i="41"/>
  <c r="AK143" i="41"/>
  <c r="CE143" i="41" s="1"/>
  <c r="CE73" i="41"/>
  <c r="V144" i="41"/>
  <c r="BP144" i="41" s="1"/>
  <c r="BP99" i="41"/>
  <c r="AF144" i="41"/>
  <c r="BZ144" i="41" s="1"/>
  <c r="BZ99" i="41"/>
  <c r="G32" i="49"/>
  <c r="M32" i="49" s="1"/>
  <c r="BO43" i="7"/>
  <c r="E18" i="49"/>
  <c r="K18" i="49" s="1"/>
  <c r="BE43" i="7"/>
  <c r="I37" i="7"/>
  <c r="L56" i="67"/>
  <c r="BE29" i="41"/>
  <c r="L56" i="85" s="1"/>
  <c r="X143" i="41"/>
  <c r="BR73" i="41"/>
  <c r="N52" i="67"/>
  <c r="BG22" i="41"/>
  <c r="N52" i="85" s="1"/>
  <c r="L64" i="67"/>
  <c r="BE42" i="41"/>
  <c r="L64" i="85" s="1"/>
  <c r="M69" i="67"/>
  <c r="BF49" i="41"/>
  <c r="M69" i="85" s="1"/>
  <c r="N75" i="67"/>
  <c r="BG70" i="41"/>
  <c r="N75" i="85" s="1"/>
  <c r="AB144" i="41"/>
  <c r="BV144" i="41" s="1"/>
  <c r="BV99" i="41"/>
  <c r="L49" i="67"/>
  <c r="BE16" i="41"/>
  <c r="L49" i="85" s="1"/>
  <c r="M50" i="67"/>
  <c r="BF17" i="41"/>
  <c r="M50" i="85" s="1"/>
  <c r="J52" i="67"/>
  <c r="BC22" i="41"/>
  <c r="J52" i="85" s="1"/>
  <c r="K60" i="67"/>
  <c r="BD37" i="41"/>
  <c r="K60" i="85" s="1"/>
  <c r="L61" i="67"/>
  <c r="BE38" i="41"/>
  <c r="L61" i="85" s="1"/>
  <c r="M62" i="67"/>
  <c r="BF39" i="41"/>
  <c r="M62" i="85" s="1"/>
  <c r="N63" i="67"/>
  <c r="BG40" i="41"/>
  <c r="N63" i="85" s="1"/>
  <c r="J75" i="67"/>
  <c r="BC70" i="41"/>
  <c r="J75" i="85" s="1"/>
  <c r="T143" i="41"/>
  <c r="BN73" i="41"/>
  <c r="AC143" i="41"/>
  <c r="BW143" i="41" s="1"/>
  <c r="BW73" i="41"/>
  <c r="AL143" i="41"/>
  <c r="CF143" i="41" s="1"/>
  <c r="CF73" i="41"/>
  <c r="X144" i="41"/>
  <c r="BR144" i="41" s="1"/>
  <c r="BR99" i="41"/>
  <c r="AG144" i="41"/>
  <c r="CA144" i="41" s="1"/>
  <c r="CA99" i="41"/>
  <c r="L52" i="67"/>
  <c r="BE22" i="41"/>
  <c r="L52" i="85" s="1"/>
  <c r="K56" i="67"/>
  <c r="BD29" i="41"/>
  <c r="K56" i="85" s="1"/>
  <c r="N61" i="67"/>
  <c r="BG38" i="41"/>
  <c r="N61" i="85" s="1"/>
  <c r="M75" i="67"/>
  <c r="BF70" i="41"/>
  <c r="M75" i="85" s="1"/>
  <c r="AJ144" i="41"/>
  <c r="CD144" i="41" s="1"/>
  <c r="CD99" i="41"/>
  <c r="AH143" i="41"/>
  <c r="CB143" i="41" s="1"/>
  <c r="CB73" i="41"/>
  <c r="M49" i="67"/>
  <c r="BF16" i="41"/>
  <c r="M49" i="85" s="1"/>
  <c r="N50" i="67"/>
  <c r="BG17" i="41"/>
  <c r="N50" i="85" s="1"/>
  <c r="K52" i="67"/>
  <c r="BD22" i="41"/>
  <c r="K52" i="85" s="1"/>
  <c r="J56" i="67"/>
  <c r="BC29" i="41"/>
  <c r="J56" i="85" s="1"/>
  <c r="J69" i="67"/>
  <c r="BC49" i="41"/>
  <c r="J69" i="85" s="1"/>
  <c r="L70" i="67"/>
  <c r="BE51" i="41"/>
  <c r="L70" i="85" s="1"/>
  <c r="J76" i="67"/>
  <c r="BC69" i="41"/>
  <c r="J76" i="85" s="1"/>
  <c r="K75" i="67"/>
  <c r="BD70" i="41"/>
  <c r="K75" i="85" s="1"/>
  <c r="K79" i="85" s="1"/>
  <c r="U143" i="41"/>
  <c r="BO143" i="41" s="1"/>
  <c r="BO73" i="41"/>
  <c r="AD143" i="41"/>
  <c r="BX143" i="41" s="1"/>
  <c r="BX73" i="41"/>
  <c r="P144" i="41"/>
  <c r="BJ144" i="41" s="1"/>
  <c r="BJ99" i="41"/>
  <c r="Y144" i="41"/>
  <c r="BS144" i="41" s="1"/>
  <c r="BS99" i="41"/>
  <c r="AH144" i="41"/>
  <c r="CB144" i="41" s="1"/>
  <c r="CB99" i="41"/>
  <c r="Y37" i="7"/>
  <c r="BU43" i="7"/>
  <c r="E46" i="49"/>
  <c r="K46" i="49" s="1"/>
  <c r="K69" i="67"/>
  <c r="BD49" i="41"/>
  <c r="K69" i="85" s="1"/>
  <c r="M70" i="67"/>
  <c r="BF51" i="41"/>
  <c r="M70" i="85" s="1"/>
  <c r="K76" i="67"/>
  <c r="BD69" i="41"/>
  <c r="K76" i="85" s="1"/>
  <c r="L75" i="67"/>
  <c r="O75" i="67" s="1"/>
  <c r="BE70" i="41"/>
  <c r="L75" i="85" s="1"/>
  <c r="V143" i="41"/>
  <c r="BP143" i="41" s="1"/>
  <c r="BP73" i="41"/>
  <c r="AF143" i="41"/>
  <c r="BZ143" i="41" s="1"/>
  <c r="BZ73" i="41"/>
  <c r="Q144" i="41"/>
  <c r="BK99" i="41"/>
  <c r="Z144" i="41"/>
  <c r="BT144" i="41" s="1"/>
  <c r="BT99" i="41"/>
  <c r="AI144" i="41"/>
  <c r="CC144" i="41" s="1"/>
  <c r="CC99" i="41"/>
  <c r="L77" i="67"/>
  <c r="N53" i="67"/>
  <c r="L54" i="67"/>
  <c r="J55" i="67"/>
  <c r="H151" i="41"/>
  <c r="BB151" i="41" s="1"/>
  <c r="L151" i="41"/>
  <c r="BF151" i="41" s="1"/>
  <c r="M41" i="85" s="1"/>
  <c r="J53" i="67"/>
  <c r="N55" i="67"/>
  <c r="I151" i="41"/>
  <c r="BC151" i="41" s="1"/>
  <c r="J41" i="85" s="1"/>
  <c r="M151" i="41"/>
  <c r="BG151" i="41" s="1"/>
  <c r="N41" i="85" s="1"/>
  <c r="J150" i="41"/>
  <c r="BD150" i="41" s="1"/>
  <c r="K38" i="85" s="1"/>
  <c r="J151" i="41"/>
  <c r="BD151" i="41" s="1"/>
  <c r="K41" i="85" s="1"/>
  <c r="G151" i="41"/>
  <c r="BA151" i="41" s="1"/>
  <c r="M83" i="67"/>
  <c r="K73" i="41"/>
  <c r="H150" i="41"/>
  <c r="BB150" i="41" s="1"/>
  <c r="L150" i="41"/>
  <c r="BF150" i="41" s="1"/>
  <c r="M38" i="85" s="1"/>
  <c r="I150" i="41"/>
  <c r="BC150" i="41" s="1"/>
  <c r="J38" i="85" s="1"/>
  <c r="M150" i="41"/>
  <c r="BG150" i="41" s="1"/>
  <c r="N38" i="85" s="1"/>
  <c r="N80" i="67"/>
  <c r="G150" i="41"/>
  <c r="BA150" i="41" s="1"/>
  <c r="L84" i="67"/>
  <c r="K151" i="41"/>
  <c r="BE151" i="41" s="1"/>
  <c r="L41" i="85" s="1"/>
  <c r="L81" i="67"/>
  <c r="K150" i="41"/>
  <c r="J80" i="67"/>
  <c r="AG134" i="41"/>
  <c r="CA134" i="41" s="1"/>
  <c r="I57" i="41"/>
  <c r="M78" i="67"/>
  <c r="J77" i="67"/>
  <c r="N77" i="67"/>
  <c r="M53" i="67"/>
  <c r="K54" i="67"/>
  <c r="M55" i="67"/>
  <c r="M57" i="41"/>
  <c r="M77" i="67"/>
  <c r="M58" i="67"/>
  <c r="L67" i="67"/>
  <c r="K72" i="67"/>
  <c r="M51" i="67"/>
  <c r="P134" i="41"/>
  <c r="BJ134" i="41" s="1"/>
  <c r="T134" i="41"/>
  <c r="BN134" i="41" s="1"/>
  <c r="Y134" i="41"/>
  <c r="BS134" i="41" s="1"/>
  <c r="AC134" i="41"/>
  <c r="BW134" i="41" s="1"/>
  <c r="AH134" i="41"/>
  <c r="CB134" i="41" s="1"/>
  <c r="AL134" i="41"/>
  <c r="CF134" i="41" s="1"/>
  <c r="J51" i="67"/>
  <c r="N51" i="67"/>
  <c r="K53" i="67"/>
  <c r="M54" i="67"/>
  <c r="K55" i="67"/>
  <c r="J58" i="67"/>
  <c r="N58" i="67"/>
  <c r="M67" i="67"/>
  <c r="L72" i="67"/>
  <c r="L60" i="41"/>
  <c r="BF60" i="41" s="1"/>
  <c r="J78" i="67"/>
  <c r="N78" i="67"/>
  <c r="K80" i="67"/>
  <c r="G73" i="41"/>
  <c r="M81" i="67"/>
  <c r="J83" i="67"/>
  <c r="N83" i="67"/>
  <c r="M84" i="67"/>
  <c r="M48" i="67"/>
  <c r="K51" i="67"/>
  <c r="L53" i="67"/>
  <c r="J54" i="67"/>
  <c r="N54" i="67"/>
  <c r="L55" i="67"/>
  <c r="K58" i="67"/>
  <c r="G36" i="41"/>
  <c r="BA36" i="41" s="1"/>
  <c r="K36" i="41"/>
  <c r="BE36" i="41" s="1"/>
  <c r="L60" i="67"/>
  <c r="L66" i="67" s="1"/>
  <c r="H36" i="41"/>
  <c r="BB36" i="41" s="1"/>
  <c r="L36" i="41"/>
  <c r="BF36" i="41" s="1"/>
  <c r="M61" i="67"/>
  <c r="N39" i="41"/>
  <c r="BH39" i="41" s="1"/>
  <c r="J62" i="67"/>
  <c r="M36" i="41"/>
  <c r="BG36" i="41" s="1"/>
  <c r="N62" i="67"/>
  <c r="J36" i="41"/>
  <c r="BD36" i="41" s="1"/>
  <c r="K63" i="67"/>
  <c r="N43" i="41"/>
  <c r="BH43" i="41" s="1"/>
  <c r="J67" i="67"/>
  <c r="N67" i="67"/>
  <c r="N47" i="41"/>
  <c r="BH47" i="41" s="1"/>
  <c r="M72" i="67"/>
  <c r="J57" i="41"/>
  <c r="G57" i="41"/>
  <c r="K57" i="41"/>
  <c r="K78" i="67"/>
  <c r="H60" i="41"/>
  <c r="BB60" i="41" s="1"/>
  <c r="Q156" i="41"/>
  <c r="BK156" i="41" s="1"/>
  <c r="U156" i="41"/>
  <c r="L80" i="67"/>
  <c r="J81" i="67"/>
  <c r="N81" i="67"/>
  <c r="T157" i="41"/>
  <c r="K83" i="67"/>
  <c r="J84" i="67"/>
  <c r="N84" i="67"/>
  <c r="K11" i="41"/>
  <c r="BE11" i="41" s="1"/>
  <c r="L48" i="67"/>
  <c r="J48" i="67"/>
  <c r="N48" i="67"/>
  <c r="L51" i="67"/>
  <c r="L58" i="67"/>
  <c r="K67" i="67"/>
  <c r="J72" i="67"/>
  <c r="N72" i="67"/>
  <c r="H57" i="41"/>
  <c r="BB57" i="41" s="1"/>
  <c r="L57" i="41"/>
  <c r="L78" i="67"/>
  <c r="K77" i="67"/>
  <c r="M80" i="67"/>
  <c r="K81" i="67"/>
  <c r="G99" i="41"/>
  <c r="K99" i="41"/>
  <c r="L83" i="67"/>
  <c r="K84" i="67"/>
  <c r="G59" i="49"/>
  <c r="M59" i="49" s="1"/>
  <c r="AH43" i="7"/>
  <c r="AH41" i="7"/>
  <c r="J48" i="41"/>
  <c r="BD48" i="41" s="1"/>
  <c r="K70" i="67"/>
  <c r="K48" i="67"/>
  <c r="AC157" i="41"/>
  <c r="BW157" i="41" s="1"/>
  <c r="AO60" i="7"/>
  <c r="CL60" i="7" s="1"/>
  <c r="AP71" i="7"/>
  <c r="CM71" i="7" s="1"/>
  <c r="L99" i="41"/>
  <c r="M99" i="41"/>
  <c r="N121" i="41"/>
  <c r="BH121" i="41" s="1"/>
  <c r="AN16" i="7"/>
  <c r="AA157" i="41"/>
  <c r="BU157" i="41" s="1"/>
  <c r="AM60" i="7"/>
  <c r="CJ60" i="7" s="1"/>
  <c r="AF157" i="41"/>
  <c r="BZ157" i="41" s="1"/>
  <c r="AO16" i="7"/>
  <c r="CL16" i="7" s="1"/>
  <c r="Y157" i="41"/>
  <c r="BS157" i="41" s="1"/>
  <c r="AK60" i="7"/>
  <c r="CH60" i="7" s="1"/>
  <c r="AH157" i="41"/>
  <c r="CB157" i="41" s="1"/>
  <c r="AL71" i="7"/>
  <c r="CI71" i="7" s="1"/>
  <c r="AM16" i="7"/>
  <c r="AI157" i="41"/>
  <c r="CC157" i="41" s="1"/>
  <c r="AM71" i="7"/>
  <c r="CJ71" i="7" s="1"/>
  <c r="H99" i="41"/>
  <c r="N102" i="41"/>
  <c r="BH102" i="41" s="1"/>
  <c r="J99" i="41"/>
  <c r="N106" i="41"/>
  <c r="BH106" i="41" s="1"/>
  <c r="N110" i="41"/>
  <c r="BH110" i="41" s="1"/>
  <c r="N117" i="41"/>
  <c r="BH117" i="41" s="1"/>
  <c r="X157" i="41"/>
  <c r="BR157" i="41" s="1"/>
  <c r="AB157" i="41"/>
  <c r="BV157" i="41" s="1"/>
  <c r="AN60" i="7"/>
  <c r="CK60" i="7" s="1"/>
  <c r="AG157" i="41"/>
  <c r="CA157" i="41" s="1"/>
  <c r="AK71" i="7"/>
  <c r="CH71" i="7" s="1"/>
  <c r="AK157" i="41"/>
  <c r="CE157" i="41" s="1"/>
  <c r="AO71" i="7"/>
  <c r="CL71" i="7" s="1"/>
  <c r="AL16" i="7"/>
  <c r="CI16" i="7" s="1"/>
  <c r="AP16" i="7"/>
  <c r="CM16" i="7" s="1"/>
  <c r="AG156" i="41"/>
  <c r="CA156" i="41" s="1"/>
  <c r="AC71" i="7"/>
  <c r="BZ71" i="7" s="1"/>
  <c r="AF16" i="7"/>
  <c r="AL156" i="41"/>
  <c r="CF156" i="41" s="1"/>
  <c r="AH71" i="7"/>
  <c r="CE71" i="7" s="1"/>
  <c r="AD60" i="7"/>
  <c r="CA60" i="7" s="1"/>
  <c r="AD156" i="41"/>
  <c r="BX156" i="41" s="1"/>
  <c r="AH60" i="7"/>
  <c r="CE60" i="7" s="1"/>
  <c r="AI156" i="41"/>
  <c r="CC156" i="41" s="1"/>
  <c r="AE71" i="7"/>
  <c r="CB71" i="7" s="1"/>
  <c r="H73" i="41"/>
  <c r="L73" i="41"/>
  <c r="N76" i="41"/>
  <c r="BH76" i="41" s="1"/>
  <c r="M73" i="41"/>
  <c r="J73" i="41"/>
  <c r="N80" i="41"/>
  <c r="BH80" i="41" s="1"/>
  <c r="N84" i="41"/>
  <c r="BH84" i="41" s="1"/>
  <c r="N88" i="41"/>
  <c r="BH88" i="41" s="1"/>
  <c r="N92" i="41"/>
  <c r="BH92" i="41" s="1"/>
  <c r="N96" i="41"/>
  <c r="BH96" i="41" s="1"/>
  <c r="AD16" i="7"/>
  <c r="AH16" i="7"/>
  <c r="AK156" i="41"/>
  <c r="CE156" i="41" s="1"/>
  <c r="AG71" i="7"/>
  <c r="CD71" i="7" s="1"/>
  <c r="Y156" i="41"/>
  <c r="BS156" i="41" s="1"/>
  <c r="AH156" i="41"/>
  <c r="CB156" i="41" s="1"/>
  <c r="AD71" i="7"/>
  <c r="CA71" i="7" s="1"/>
  <c r="AG16" i="7"/>
  <c r="CD16" i="7" s="1"/>
  <c r="AE16" i="7"/>
  <c r="CB16" i="7" s="1"/>
  <c r="S134" i="41"/>
  <c r="BM134" i="41" s="1"/>
  <c r="X134" i="41"/>
  <c r="BR134" i="41" s="1"/>
  <c r="AB134" i="41"/>
  <c r="BV134" i="41" s="1"/>
  <c r="AK134" i="41"/>
  <c r="CE134" i="41" s="1"/>
  <c r="I60" i="41"/>
  <c r="M60" i="41"/>
  <c r="BG60" i="41" s="1"/>
  <c r="N63" i="41"/>
  <c r="BH63" i="41" s="1"/>
  <c r="G60" i="41"/>
  <c r="K60" i="41"/>
  <c r="BE60" i="41" s="1"/>
  <c r="N67" i="41"/>
  <c r="BH67" i="41" s="1"/>
  <c r="N71" i="41"/>
  <c r="BH71" i="41" s="1"/>
  <c r="G48" i="41"/>
  <c r="BA48" i="41" s="1"/>
  <c r="K48" i="41"/>
  <c r="BE48" i="41" s="1"/>
  <c r="H48" i="41"/>
  <c r="BB48" i="41" s="1"/>
  <c r="L48" i="41"/>
  <c r="BF48" i="41" s="1"/>
  <c r="N52" i="41"/>
  <c r="BH52" i="41" s="1"/>
  <c r="M48" i="41"/>
  <c r="BG48" i="41" s="1"/>
  <c r="N56" i="41"/>
  <c r="BH56" i="41" s="1"/>
  <c r="G11" i="41"/>
  <c r="BA11" i="41" s="1"/>
  <c r="H11" i="41"/>
  <c r="BB11" i="41" s="1"/>
  <c r="I11" i="41"/>
  <c r="BC11" i="41" s="1"/>
  <c r="N15" i="41"/>
  <c r="BH15" i="41" s="1"/>
  <c r="N19" i="41"/>
  <c r="BH19" i="41" s="1"/>
  <c r="N23" i="41"/>
  <c r="BH23" i="41" s="1"/>
  <c r="N27" i="41"/>
  <c r="BH27" i="41" s="1"/>
  <c r="N31" i="41"/>
  <c r="BH31" i="41" s="1"/>
  <c r="N35" i="41"/>
  <c r="BH35" i="41" s="1"/>
  <c r="L11" i="41"/>
  <c r="BF11" i="41" s="1"/>
  <c r="M11" i="41"/>
  <c r="BG11" i="41" s="1"/>
  <c r="N14" i="41"/>
  <c r="BH14" i="41" s="1"/>
  <c r="N18" i="41"/>
  <c r="BH18" i="41" s="1"/>
  <c r="N22" i="41"/>
  <c r="BH22" i="41" s="1"/>
  <c r="N26" i="41"/>
  <c r="BH26" i="41" s="1"/>
  <c r="N30" i="41"/>
  <c r="BH30" i="41" s="1"/>
  <c r="N34" i="41"/>
  <c r="BH34" i="41" s="1"/>
  <c r="N38" i="41"/>
  <c r="BH38" i="41" s="1"/>
  <c r="N42" i="41"/>
  <c r="BH42" i="41" s="1"/>
  <c r="N46" i="41"/>
  <c r="BH46" i="41" s="1"/>
  <c r="N51" i="41"/>
  <c r="BH51" i="41" s="1"/>
  <c r="N55" i="41"/>
  <c r="BH55" i="41" s="1"/>
  <c r="Q134" i="41"/>
  <c r="BK134" i="41" s="1"/>
  <c r="U134" i="41"/>
  <c r="BO134" i="41" s="1"/>
  <c r="Z134" i="41"/>
  <c r="BT134" i="41" s="1"/>
  <c r="AD134" i="41"/>
  <c r="BX134" i="41" s="1"/>
  <c r="AI134" i="41"/>
  <c r="CC134" i="41" s="1"/>
  <c r="X124" i="41"/>
  <c r="BR124" i="41" s="1"/>
  <c r="AB124" i="41"/>
  <c r="BV124" i="41" s="1"/>
  <c r="AG124" i="41"/>
  <c r="CA124" i="41" s="1"/>
  <c r="AK124" i="41"/>
  <c r="CE124" i="41" s="1"/>
  <c r="N62" i="41"/>
  <c r="BH62" i="41" s="1"/>
  <c r="N66" i="41"/>
  <c r="BH66" i="41" s="1"/>
  <c r="N70" i="41"/>
  <c r="BH70" i="41" s="1"/>
  <c r="V156" i="41"/>
  <c r="AA156" i="41"/>
  <c r="BU156" i="41" s="1"/>
  <c r="N75" i="41"/>
  <c r="BH75" i="41" s="1"/>
  <c r="N79" i="41"/>
  <c r="BH79" i="41" s="1"/>
  <c r="N83" i="41"/>
  <c r="BH83" i="41" s="1"/>
  <c r="N87" i="41"/>
  <c r="BH87" i="41" s="1"/>
  <c r="N91" i="41"/>
  <c r="BH91" i="41" s="1"/>
  <c r="N95" i="41"/>
  <c r="BH95" i="41" s="1"/>
  <c r="N101" i="41"/>
  <c r="BH101" i="41" s="1"/>
  <c r="N105" i="41"/>
  <c r="BH105" i="41" s="1"/>
  <c r="N109" i="41"/>
  <c r="BH109" i="41" s="1"/>
  <c r="N113" i="41"/>
  <c r="BH113" i="41" s="1"/>
  <c r="N116" i="41"/>
  <c r="BH116" i="41" s="1"/>
  <c r="N120" i="41"/>
  <c r="BH120" i="41" s="1"/>
  <c r="N13" i="41"/>
  <c r="BH13" i="41" s="1"/>
  <c r="N17" i="41"/>
  <c r="BH17" i="41" s="1"/>
  <c r="N21" i="41"/>
  <c r="BH21" i="41" s="1"/>
  <c r="N25" i="41"/>
  <c r="BH25" i="41" s="1"/>
  <c r="N29" i="41"/>
  <c r="BH29" i="41" s="1"/>
  <c r="N33" i="41"/>
  <c r="BH33" i="41" s="1"/>
  <c r="I36" i="41"/>
  <c r="BC36" i="41" s="1"/>
  <c r="N37" i="41"/>
  <c r="BH37" i="41" s="1"/>
  <c r="N41" i="41"/>
  <c r="BH41" i="41" s="1"/>
  <c r="N45" i="41"/>
  <c r="BH45" i="41" s="1"/>
  <c r="N54" i="41"/>
  <c r="BH54" i="41" s="1"/>
  <c r="R134" i="41"/>
  <c r="BL134" i="41" s="1"/>
  <c r="V134" i="41"/>
  <c r="BP134" i="41" s="1"/>
  <c r="AA134" i="41"/>
  <c r="BU134" i="41" s="1"/>
  <c r="AF134" i="41"/>
  <c r="BZ134" i="41" s="1"/>
  <c r="AJ134" i="41"/>
  <c r="CD134" i="41" s="1"/>
  <c r="N59" i="41"/>
  <c r="BH59" i="41" s="1"/>
  <c r="J60" i="41"/>
  <c r="BD60" i="41" s="1"/>
  <c r="N61" i="41"/>
  <c r="BH61" i="41" s="1"/>
  <c r="N65" i="41"/>
  <c r="BH65" i="41" s="1"/>
  <c r="N69" i="41"/>
  <c r="BH69" i="41" s="1"/>
  <c r="I73" i="41"/>
  <c r="N74" i="41"/>
  <c r="BH74" i="41" s="1"/>
  <c r="N78" i="41"/>
  <c r="BH78" i="41" s="1"/>
  <c r="N82" i="41"/>
  <c r="BH82" i="41" s="1"/>
  <c r="N86" i="41"/>
  <c r="BH86" i="41" s="1"/>
  <c r="N90" i="41"/>
  <c r="BH90" i="41" s="1"/>
  <c r="N94" i="41"/>
  <c r="BH94" i="41" s="1"/>
  <c r="I99" i="41"/>
  <c r="N100" i="41"/>
  <c r="BH100" i="41" s="1"/>
  <c r="N104" i="41"/>
  <c r="BH104" i="41" s="1"/>
  <c r="N108" i="41"/>
  <c r="BH108" i="41" s="1"/>
  <c r="N112" i="41"/>
  <c r="BH112" i="41" s="1"/>
  <c r="N115" i="41"/>
  <c r="BH115" i="41" s="1"/>
  <c r="N41" i="67"/>
  <c r="N123" i="41"/>
  <c r="BH123" i="41" s="1"/>
  <c r="N12" i="41"/>
  <c r="BH12" i="41" s="1"/>
  <c r="N16" i="41"/>
  <c r="BH16" i="41" s="1"/>
  <c r="N20" i="41"/>
  <c r="BH20" i="41" s="1"/>
  <c r="N24" i="41"/>
  <c r="BH24" i="41" s="1"/>
  <c r="N28" i="41"/>
  <c r="BH28" i="41" s="1"/>
  <c r="N32" i="41"/>
  <c r="BH32" i="41" s="1"/>
  <c r="N40" i="41"/>
  <c r="BH40" i="41" s="1"/>
  <c r="N44" i="41"/>
  <c r="BH44" i="41" s="1"/>
  <c r="I48" i="41"/>
  <c r="BC48" i="41" s="1"/>
  <c r="N53" i="41"/>
  <c r="BH53" i="41" s="1"/>
  <c r="N58" i="41"/>
  <c r="BH58" i="41" s="1"/>
  <c r="N64" i="41"/>
  <c r="BH64" i="41" s="1"/>
  <c r="N68" i="41"/>
  <c r="BH68" i="41" s="1"/>
  <c r="N77" i="41"/>
  <c r="BH77" i="41" s="1"/>
  <c r="N81" i="41"/>
  <c r="BH81" i="41" s="1"/>
  <c r="N85" i="41"/>
  <c r="BH85" i="41" s="1"/>
  <c r="N89" i="41"/>
  <c r="BH89" i="41" s="1"/>
  <c r="N38" i="67"/>
  <c r="N97" i="41"/>
  <c r="BH97" i="41" s="1"/>
  <c r="N103" i="41"/>
  <c r="BH103" i="41" s="1"/>
  <c r="N107" i="41"/>
  <c r="BH107" i="41" s="1"/>
  <c r="N111" i="41"/>
  <c r="BH111" i="41" s="1"/>
  <c r="N114" i="41"/>
  <c r="BH114" i="41" s="1"/>
  <c r="N118" i="41"/>
  <c r="BH118" i="41" s="1"/>
  <c r="N122" i="41"/>
  <c r="BH122" i="41" s="1"/>
  <c r="R9" i="41"/>
  <c r="T9" i="41"/>
  <c r="AB9" i="41" s="1"/>
  <c r="V9" i="41"/>
  <c r="AD9" i="41" s="1"/>
  <c r="AL9" i="41" s="1"/>
  <c r="S9" i="41"/>
  <c r="J11" i="41"/>
  <c r="BD11" i="41" s="1"/>
  <c r="S124" i="41"/>
  <c r="BM124" i="41" s="1"/>
  <c r="P124" i="41"/>
  <c r="BJ124" i="41" s="1"/>
  <c r="T124" i="41"/>
  <c r="BN124" i="41" s="1"/>
  <c r="Y124" i="41"/>
  <c r="BS124" i="41" s="1"/>
  <c r="AC124" i="41"/>
  <c r="BW124" i="41" s="1"/>
  <c r="AH124" i="41"/>
  <c r="CB124" i="41" s="1"/>
  <c r="AL124" i="41"/>
  <c r="CF124" i="41" s="1"/>
  <c r="Q9" i="41"/>
  <c r="U9" i="41"/>
  <c r="Q124" i="41"/>
  <c r="BK124" i="41" s="1"/>
  <c r="U124" i="41"/>
  <c r="BO124" i="41" s="1"/>
  <c r="Z124" i="41"/>
  <c r="BT124" i="41" s="1"/>
  <c r="AD124" i="41"/>
  <c r="BX124" i="41" s="1"/>
  <c r="AI124" i="41"/>
  <c r="CC124" i="41" s="1"/>
  <c r="N49" i="41"/>
  <c r="BH49" i="41" s="1"/>
  <c r="N50" i="41"/>
  <c r="BH50" i="41" s="1"/>
  <c r="N119" i="41"/>
  <c r="BH119" i="41" s="1"/>
  <c r="R125" i="41"/>
  <c r="BL125" i="41" s="1"/>
  <c r="V125" i="41"/>
  <c r="BP125" i="41" s="1"/>
  <c r="AA125" i="41"/>
  <c r="BU125" i="41" s="1"/>
  <c r="AF125" i="41"/>
  <c r="BZ125" i="41" s="1"/>
  <c r="AJ125" i="41"/>
  <c r="CD125" i="41" s="1"/>
  <c r="Q126" i="41"/>
  <c r="BK126" i="41" s="1"/>
  <c r="U126" i="41"/>
  <c r="BO126" i="41" s="1"/>
  <c r="Z126" i="41"/>
  <c r="BT126" i="41" s="1"/>
  <c r="AD126" i="41"/>
  <c r="BX126" i="41" s="1"/>
  <c r="AI126" i="41"/>
  <c r="CC126" i="41" s="1"/>
  <c r="S125" i="41"/>
  <c r="BM125" i="41" s="1"/>
  <c r="X125" i="41"/>
  <c r="BR125" i="41" s="1"/>
  <c r="AB125" i="41"/>
  <c r="BV125" i="41" s="1"/>
  <c r="AG125" i="41"/>
  <c r="CA125" i="41" s="1"/>
  <c r="AK125" i="41"/>
  <c r="CE125" i="41" s="1"/>
  <c r="R126" i="41"/>
  <c r="BL126" i="41" s="1"/>
  <c r="V126" i="41"/>
  <c r="BP126" i="41" s="1"/>
  <c r="AA126" i="41"/>
  <c r="BU126" i="41" s="1"/>
  <c r="AF126" i="41"/>
  <c r="BZ126" i="41" s="1"/>
  <c r="AJ126" i="41"/>
  <c r="CD126" i="41" s="1"/>
  <c r="P125" i="41"/>
  <c r="BJ125" i="41" s="1"/>
  <c r="T125" i="41"/>
  <c r="BN125" i="41" s="1"/>
  <c r="Y125" i="41"/>
  <c r="BS125" i="41" s="1"/>
  <c r="AC125" i="41"/>
  <c r="BW125" i="41" s="1"/>
  <c r="AH125" i="41"/>
  <c r="CB125" i="41" s="1"/>
  <c r="AL125" i="41"/>
  <c r="CF125" i="41" s="1"/>
  <c r="S126" i="41"/>
  <c r="BM126" i="41" s="1"/>
  <c r="X126" i="41"/>
  <c r="BR126" i="41" s="1"/>
  <c r="AB126" i="41"/>
  <c r="BV126" i="41" s="1"/>
  <c r="AG126" i="41"/>
  <c r="CA126" i="41" s="1"/>
  <c r="AK126" i="41"/>
  <c r="CE126" i="41" s="1"/>
  <c r="N93" i="41"/>
  <c r="BH93" i="41" s="1"/>
  <c r="R124" i="41"/>
  <c r="BL124" i="41" s="1"/>
  <c r="V124" i="41"/>
  <c r="BP124" i="41" s="1"/>
  <c r="AA124" i="41"/>
  <c r="BU124" i="41" s="1"/>
  <c r="AF124" i="41"/>
  <c r="BZ124" i="41" s="1"/>
  <c r="AJ124" i="41"/>
  <c r="CD124" i="41" s="1"/>
  <c r="Q125" i="41"/>
  <c r="BK125" i="41" s="1"/>
  <c r="U125" i="41"/>
  <c r="BO125" i="41" s="1"/>
  <c r="Z125" i="41"/>
  <c r="BT125" i="41" s="1"/>
  <c r="AD125" i="41"/>
  <c r="BX125" i="41" s="1"/>
  <c r="AI125" i="41"/>
  <c r="CC125" i="41" s="1"/>
  <c r="P126" i="41"/>
  <c r="BJ126" i="41" s="1"/>
  <c r="T126" i="41"/>
  <c r="BN126" i="41" s="1"/>
  <c r="Y126" i="41"/>
  <c r="BS126" i="41" s="1"/>
  <c r="AC126" i="41"/>
  <c r="BW126" i="41" s="1"/>
  <c r="AH126" i="41"/>
  <c r="CB126" i="41" s="1"/>
  <c r="AL126" i="41"/>
  <c r="CF126" i="41" s="1"/>
  <c r="E154" i="41"/>
  <c r="E148" i="41"/>
  <c r="E153" i="41"/>
  <c r="E147" i="41"/>
  <c r="E155" i="41"/>
  <c r="E149" i="41"/>
  <c r="L79" i="85" l="1"/>
  <c r="M87" i="85"/>
  <c r="M79" i="85"/>
  <c r="O67" i="85"/>
  <c r="O55" i="85"/>
  <c r="O54" i="85"/>
  <c r="O53" i="85"/>
  <c r="O48" i="85"/>
  <c r="M71" i="85"/>
  <c r="M73" i="85" s="1"/>
  <c r="O76" i="67"/>
  <c r="M71" i="67"/>
  <c r="O70" i="85"/>
  <c r="K87" i="85"/>
  <c r="O77" i="85"/>
  <c r="O72" i="85"/>
  <c r="O62" i="85"/>
  <c r="K85" i="85"/>
  <c r="L87" i="85"/>
  <c r="J66" i="67"/>
  <c r="O65" i="85"/>
  <c r="O63" i="85"/>
  <c r="O83" i="85"/>
  <c r="K82" i="85"/>
  <c r="O52" i="67"/>
  <c r="O56" i="67"/>
  <c r="O64" i="85"/>
  <c r="O76" i="85"/>
  <c r="J87" i="85"/>
  <c r="O58" i="85"/>
  <c r="O82" i="85"/>
  <c r="O84" i="85"/>
  <c r="O80" i="85"/>
  <c r="AL60" i="7"/>
  <c r="CI60" i="7" s="1"/>
  <c r="O60" i="85"/>
  <c r="J66" i="85"/>
  <c r="O49" i="85"/>
  <c r="M66" i="85"/>
  <c r="M68" i="85" s="1"/>
  <c r="N71" i="85"/>
  <c r="N73" i="85" s="1"/>
  <c r="O50" i="85"/>
  <c r="Z157" i="41"/>
  <c r="BT157" i="41" s="1"/>
  <c r="J71" i="85"/>
  <c r="O75" i="85"/>
  <c r="J79" i="85"/>
  <c r="K66" i="85"/>
  <c r="K68" i="85" s="1"/>
  <c r="N79" i="85"/>
  <c r="N87" i="85"/>
  <c r="N66" i="67"/>
  <c r="L71" i="85"/>
  <c r="L73" i="85" s="1"/>
  <c r="L57" i="85"/>
  <c r="N57" i="85"/>
  <c r="M57" i="85"/>
  <c r="V157" i="41"/>
  <c r="O41" i="85"/>
  <c r="O56" i="85"/>
  <c r="O52" i="85"/>
  <c r="J57" i="85"/>
  <c r="J85" i="85"/>
  <c r="O85" i="85" s="1"/>
  <c r="O51" i="85"/>
  <c r="O69" i="85"/>
  <c r="K71" i="85"/>
  <c r="K73" i="85" s="1"/>
  <c r="L66" i="85"/>
  <c r="L68" i="85" s="1"/>
  <c r="O61" i="85"/>
  <c r="N66" i="85"/>
  <c r="N68" i="85" s="1"/>
  <c r="K57" i="85"/>
  <c r="AN71" i="7"/>
  <c r="CK71" i="7" s="1"/>
  <c r="J71" i="67"/>
  <c r="O50" i="67"/>
  <c r="O64" i="67"/>
  <c r="O49" i="67"/>
  <c r="L71" i="67"/>
  <c r="L73" i="67" s="1"/>
  <c r="H143" i="41"/>
  <c r="BB143" i="41" s="1"/>
  <c r="BB73" i="41"/>
  <c r="AG60" i="7"/>
  <c r="CD60" i="7" s="1"/>
  <c r="P157" i="41"/>
  <c r="BJ157" i="41" s="1"/>
  <c r="F17" i="49"/>
  <c r="L17" i="49" s="1"/>
  <c r="BF37" i="7"/>
  <c r="I43" i="7"/>
  <c r="I41" i="7" s="1"/>
  <c r="AF71" i="7"/>
  <c r="CC71" i="7" s="1"/>
  <c r="CD143" i="41"/>
  <c r="AJ156" i="41"/>
  <c r="CD156" i="41" s="1"/>
  <c r="AC156" i="41"/>
  <c r="BW156" i="41" s="1"/>
  <c r="AM14" i="7"/>
  <c r="CJ14" i="7" s="1"/>
  <c r="CJ16" i="7"/>
  <c r="L144" i="41"/>
  <c r="BF99" i="41"/>
  <c r="G144" i="41"/>
  <c r="BA144" i="41" s="1"/>
  <c r="BA99" i="41"/>
  <c r="G126" i="41"/>
  <c r="BA126" i="41" s="1"/>
  <c r="BA57" i="41"/>
  <c r="O61" i="67"/>
  <c r="N74" i="67"/>
  <c r="BG57" i="41"/>
  <c r="N74" i="85" s="1"/>
  <c r="J74" i="67"/>
  <c r="BC57" i="41"/>
  <c r="J74" i="85" s="1"/>
  <c r="F45" i="49"/>
  <c r="L45" i="49" s="1"/>
  <c r="BV37" i="7"/>
  <c r="Y41" i="7"/>
  <c r="Y43" i="7"/>
  <c r="T156" i="41"/>
  <c r="BN143" i="41"/>
  <c r="I144" i="41"/>
  <c r="BC144" i="41" s="1"/>
  <c r="BC99" i="41"/>
  <c r="AJ157" i="41"/>
  <c r="CD157" i="41" s="1"/>
  <c r="AF156" i="41"/>
  <c r="BZ156" i="41" s="1"/>
  <c r="G125" i="41"/>
  <c r="BA125" i="41" s="1"/>
  <c r="BA60" i="41"/>
  <c r="AF60" i="7"/>
  <c r="CC60" i="7" s="1"/>
  <c r="AF14" i="7"/>
  <c r="CC14" i="7" s="1"/>
  <c r="CC16" i="7"/>
  <c r="J144" i="41"/>
  <c r="BD99" i="41"/>
  <c r="AP60" i="7"/>
  <c r="CM60" i="7" s="1"/>
  <c r="K74" i="67"/>
  <c r="BD57" i="41"/>
  <c r="K74" i="85" s="1"/>
  <c r="Q157" i="41"/>
  <c r="BK157" i="41" s="1"/>
  <c r="BK144" i="41"/>
  <c r="AE60" i="7"/>
  <c r="CB60" i="7" s="1"/>
  <c r="BU143" i="41"/>
  <c r="M144" i="41"/>
  <c r="BG99" i="41"/>
  <c r="K144" i="41"/>
  <c r="BE144" i="41" s="1"/>
  <c r="BE99" i="41"/>
  <c r="L74" i="67"/>
  <c r="BE57" i="41"/>
  <c r="L74" i="85" s="1"/>
  <c r="F73" i="49"/>
  <c r="L73" i="49" s="1"/>
  <c r="CL37" i="7"/>
  <c r="AO43" i="7"/>
  <c r="AO41" i="7"/>
  <c r="AB156" i="41"/>
  <c r="BV156" i="41" s="1"/>
  <c r="J143" i="41"/>
  <c r="BD143" i="41" s="1"/>
  <c r="BD73" i="41"/>
  <c r="AD157" i="41"/>
  <c r="BX157" i="41" s="1"/>
  <c r="O63" i="67"/>
  <c r="AN18" i="7"/>
  <c r="CK18" i="7" s="1"/>
  <c r="BN157" i="41"/>
  <c r="M143" i="41"/>
  <c r="BG73" i="41"/>
  <c r="I143" i="41"/>
  <c r="BC143" i="41" s="1"/>
  <c r="BC73" i="41"/>
  <c r="AH18" i="7"/>
  <c r="CE18" i="7" s="1"/>
  <c r="BP156" i="41"/>
  <c r="AH14" i="7"/>
  <c r="CE14" i="7" s="1"/>
  <c r="CE16" i="7"/>
  <c r="G60" i="49"/>
  <c r="M60" i="49" s="1"/>
  <c r="CE43" i="7"/>
  <c r="G143" i="41"/>
  <c r="BA143" i="41" s="1"/>
  <c r="BA73" i="41"/>
  <c r="R156" i="41"/>
  <c r="I125" i="41"/>
  <c r="BC125" i="41" s="1"/>
  <c r="BC60" i="41"/>
  <c r="AD14" i="7"/>
  <c r="CA14" i="7" s="1"/>
  <c r="CA16" i="7"/>
  <c r="Z156" i="41"/>
  <c r="BT156" i="41" s="1"/>
  <c r="R157" i="41"/>
  <c r="AL157" i="41"/>
  <c r="CF157" i="41" s="1"/>
  <c r="L79" i="67"/>
  <c r="O69" i="67"/>
  <c r="X156" i="41"/>
  <c r="BR156" i="41" s="1"/>
  <c r="BR143" i="41"/>
  <c r="H144" i="41"/>
  <c r="BB144" i="41" s="1"/>
  <c r="BB99" i="41"/>
  <c r="AP18" i="7"/>
  <c r="CM18" i="7" s="1"/>
  <c r="BP157" i="41"/>
  <c r="AG18" i="7"/>
  <c r="CD18" i="7" s="1"/>
  <c r="BO156" i="41"/>
  <c r="L38" i="67"/>
  <c r="BE150" i="41"/>
  <c r="L38" i="85" s="1"/>
  <c r="O38" i="85" s="1"/>
  <c r="AC60" i="7"/>
  <c r="BZ60" i="7" s="1"/>
  <c r="L143" i="41"/>
  <c r="BF73" i="41"/>
  <c r="S157" i="41"/>
  <c r="AN14" i="7"/>
  <c r="CK14" i="7" s="1"/>
  <c r="CK16" i="7"/>
  <c r="M74" i="67"/>
  <c r="BF57" i="41"/>
  <c r="M74" i="85" s="1"/>
  <c r="K143" i="41"/>
  <c r="BE73" i="41"/>
  <c r="S156" i="41"/>
  <c r="BM143" i="41"/>
  <c r="AW37" i="7"/>
  <c r="CS43" i="7"/>
  <c r="U157" i="41"/>
  <c r="BO144" i="41"/>
  <c r="P156" i="41"/>
  <c r="BJ156" i="41" s="1"/>
  <c r="BJ143" i="41"/>
  <c r="I126" i="41"/>
  <c r="BC126" i="41" s="1"/>
  <c r="L87" i="67"/>
  <c r="N87" i="67"/>
  <c r="K87" i="67"/>
  <c r="M87" i="67"/>
  <c r="M85" i="67"/>
  <c r="O53" i="67"/>
  <c r="L82" i="67"/>
  <c r="N82" i="67"/>
  <c r="O55" i="67"/>
  <c r="L85" i="67"/>
  <c r="AK77" i="7"/>
  <c r="AK78" i="7"/>
  <c r="AO77" i="7"/>
  <c r="AO78" i="7" s="1"/>
  <c r="AN77" i="7"/>
  <c r="AN78" i="7" s="1"/>
  <c r="AL77" i="7"/>
  <c r="AL78" i="7" s="1"/>
  <c r="AP77" i="7"/>
  <c r="AP78" i="7" s="1"/>
  <c r="AM77" i="7"/>
  <c r="AM78" i="7" s="1"/>
  <c r="AC78" i="7"/>
  <c r="AD77" i="7"/>
  <c r="AD78" i="7" s="1"/>
  <c r="AF77" i="7"/>
  <c r="AF78" i="7" s="1"/>
  <c r="AE77" i="7"/>
  <c r="AE78" i="7" s="1"/>
  <c r="J82" i="67"/>
  <c r="AM66" i="7"/>
  <c r="AM67" i="7" s="1"/>
  <c r="AP66" i="7"/>
  <c r="AP67" i="7" s="1"/>
  <c r="AO66" i="7"/>
  <c r="AO67" i="7" s="1"/>
  <c r="AL66" i="7"/>
  <c r="AL67" i="7" s="1"/>
  <c r="AN66" i="7"/>
  <c r="AN67" i="7" s="1"/>
  <c r="AD66" i="7"/>
  <c r="AD67" i="7" s="1"/>
  <c r="K126" i="41"/>
  <c r="O77" i="67"/>
  <c r="I134" i="41"/>
  <c r="BC134" i="41" s="1"/>
  <c r="J126" i="41"/>
  <c r="N57" i="41"/>
  <c r="BH57" i="41" s="1"/>
  <c r="L126" i="41"/>
  <c r="L68" i="67"/>
  <c r="M79" i="67"/>
  <c r="L125" i="41"/>
  <c r="BF125" i="41" s="1"/>
  <c r="M125" i="41"/>
  <c r="BG125" i="41" s="1"/>
  <c r="H125" i="41"/>
  <c r="BB125" i="41" s="1"/>
  <c r="K134" i="41"/>
  <c r="BE134" i="41" s="1"/>
  <c r="M73" i="67"/>
  <c r="M57" i="67"/>
  <c r="N79" i="67"/>
  <c r="O60" i="67"/>
  <c r="N68" i="67"/>
  <c r="L157" i="41"/>
  <c r="G124" i="41"/>
  <c r="BA124" i="41" s="1"/>
  <c r="M126" i="41"/>
  <c r="L134" i="41"/>
  <c r="BF134" i="41" s="1"/>
  <c r="AE19" i="7"/>
  <c r="G134" i="41"/>
  <c r="BA134" i="41" s="1"/>
  <c r="AP19" i="7"/>
  <c r="K57" i="67"/>
  <c r="K157" i="41"/>
  <c r="H134" i="41"/>
  <c r="BB134" i="41" s="1"/>
  <c r="O62" i="67"/>
  <c r="J57" i="67"/>
  <c r="J59" i="67" s="1"/>
  <c r="M134" i="41"/>
  <c r="BG134" i="41" s="1"/>
  <c r="M66" i="67"/>
  <c r="M68" i="67" s="1"/>
  <c r="O72" i="67"/>
  <c r="O78" i="67"/>
  <c r="M82" i="67"/>
  <c r="L57" i="67"/>
  <c r="K82" i="67"/>
  <c r="K66" i="67"/>
  <c r="K68" i="67" s="1"/>
  <c r="J73" i="67"/>
  <c r="AG10" i="7"/>
  <c r="CD10" i="7" s="1"/>
  <c r="M38" i="67"/>
  <c r="AN10" i="7"/>
  <c r="CK10" i="7" s="1"/>
  <c r="L41" i="67"/>
  <c r="J87" i="67"/>
  <c r="O58" i="67"/>
  <c r="K125" i="41"/>
  <c r="BE125" i="41" s="1"/>
  <c r="H157" i="41"/>
  <c r="BB157" i="41" s="1"/>
  <c r="AF19" i="7"/>
  <c r="AN9" i="7"/>
  <c r="CK9" i="7" s="1"/>
  <c r="O84" i="67"/>
  <c r="O54" i="67"/>
  <c r="J85" i="67"/>
  <c r="O83" i="67"/>
  <c r="K79" i="67"/>
  <c r="O80" i="67"/>
  <c r="AL10" i="7"/>
  <c r="CI10" i="7" s="1"/>
  <c r="J41" i="67"/>
  <c r="K124" i="41"/>
  <c r="BE124" i="41" s="1"/>
  <c r="H126" i="41"/>
  <c r="BB126" i="41" s="1"/>
  <c r="L124" i="41"/>
  <c r="BF124" i="41" s="1"/>
  <c r="AC77" i="7"/>
  <c r="N57" i="67"/>
  <c r="N86" i="67" s="1"/>
  <c r="J79" i="67"/>
  <c r="K85" i="67"/>
  <c r="O81" i="67"/>
  <c r="N73" i="67"/>
  <c r="O51" i="67"/>
  <c r="N85" i="67"/>
  <c r="AM10" i="7"/>
  <c r="CJ10" i="7" s="1"/>
  <c r="K41" i="67"/>
  <c r="AD10" i="7"/>
  <c r="CA10" i="7" s="1"/>
  <c r="J38" i="67"/>
  <c r="J134" i="41"/>
  <c r="BD134" i="41" s="1"/>
  <c r="AO10" i="7"/>
  <c r="CL10" i="7" s="1"/>
  <c r="M41" i="67"/>
  <c r="AE10" i="7"/>
  <c r="CB10" i="7" s="1"/>
  <c r="K38" i="67"/>
  <c r="O67" i="67"/>
  <c r="O48" i="67"/>
  <c r="O70" i="67"/>
  <c r="K71" i="67"/>
  <c r="J68" i="67"/>
  <c r="M157" i="41"/>
  <c r="BG157" i="41" s="1"/>
  <c r="N40" i="85" s="1"/>
  <c r="AP10" i="7"/>
  <c r="CM10" i="7" s="1"/>
  <c r="AL19" i="7"/>
  <c r="AL14" i="7"/>
  <c r="CI14" i="7" s="1"/>
  <c r="AK66" i="7"/>
  <c r="AK67" i="7" s="1"/>
  <c r="AM19" i="7"/>
  <c r="AP14" i="7"/>
  <c r="CM14" i="7" s="1"/>
  <c r="AO19" i="7"/>
  <c r="J157" i="41"/>
  <c r="BD157" i="41" s="1"/>
  <c r="K40" i="85" s="1"/>
  <c r="AO14" i="7"/>
  <c r="CL14" i="7" s="1"/>
  <c r="M156" i="41"/>
  <c r="BG156" i="41" s="1"/>
  <c r="N37" i="85" s="1"/>
  <c r="AH10" i="7"/>
  <c r="CE10" i="7" s="1"/>
  <c r="AE14" i="7"/>
  <c r="CB14" i="7" s="1"/>
  <c r="H124" i="41"/>
  <c r="BB124" i="41" s="1"/>
  <c r="N143" i="41"/>
  <c r="BH143" i="41" s="1"/>
  <c r="AD9" i="7"/>
  <c r="CA9" i="7" s="1"/>
  <c r="AC66" i="7"/>
  <c r="AC67" i="7" s="1"/>
  <c r="K156" i="41"/>
  <c r="BE156" i="41" s="1"/>
  <c r="L37" i="85" s="1"/>
  <c r="L13" i="85" s="1"/>
  <c r="AF10" i="7"/>
  <c r="CC10" i="7" s="1"/>
  <c r="AD19" i="7"/>
  <c r="AG14" i="7"/>
  <c r="CD14" i="7" s="1"/>
  <c r="J156" i="41"/>
  <c r="BD156" i="41" s="1"/>
  <c r="K37" i="85" s="1"/>
  <c r="AE9" i="7"/>
  <c r="CB9" i="7" s="1"/>
  <c r="AH19" i="7"/>
  <c r="I124" i="41"/>
  <c r="BC124" i="41" s="1"/>
  <c r="I156" i="41"/>
  <c r="BC156" i="41" s="1"/>
  <c r="J37" i="85" s="1"/>
  <c r="G156" i="41"/>
  <c r="BA156" i="41" s="1"/>
  <c r="L156" i="41"/>
  <c r="BF156" i="41" s="1"/>
  <c r="M37" i="85" s="1"/>
  <c r="AG19" i="7"/>
  <c r="M124" i="41"/>
  <c r="BG124" i="41" s="1"/>
  <c r="J125" i="41"/>
  <c r="BD125" i="41" s="1"/>
  <c r="C13" i="47"/>
  <c r="J13" i="47" s="1"/>
  <c r="AJ9" i="41"/>
  <c r="N60" i="41"/>
  <c r="BH60" i="41" s="1"/>
  <c r="N73" i="41"/>
  <c r="BH73" i="41" s="1"/>
  <c r="N36" i="41"/>
  <c r="BH36" i="41" s="1"/>
  <c r="N99" i="41"/>
  <c r="BH99" i="41" s="1"/>
  <c r="N11" i="41"/>
  <c r="BH11" i="41" s="1"/>
  <c r="J124" i="41"/>
  <c r="BD124" i="41" s="1"/>
  <c r="N150" i="41"/>
  <c r="BH150" i="41" s="1"/>
  <c r="N151" i="41"/>
  <c r="BH151" i="41" s="1"/>
  <c r="Z9" i="41"/>
  <c r="AH9" i="41"/>
  <c r="AI9" i="41"/>
  <c r="AA9" i="41"/>
  <c r="N48" i="41"/>
  <c r="BH48" i="41" s="1"/>
  <c r="AC9" i="41"/>
  <c r="AK9" i="41"/>
  <c r="Y9" i="41"/>
  <c r="AG9" i="41"/>
  <c r="C29" i="47" l="1"/>
  <c r="J29" i="47" s="1"/>
  <c r="Q22" i="85"/>
  <c r="N36" i="85"/>
  <c r="N22" i="85" s="1"/>
  <c r="N13" i="85"/>
  <c r="J73" i="85"/>
  <c r="O73" i="85" s="1"/>
  <c r="O71" i="85"/>
  <c r="O57" i="85"/>
  <c r="J59" i="85"/>
  <c r="J86" i="85"/>
  <c r="J88" i="85" s="1"/>
  <c r="J36" i="85"/>
  <c r="O37" i="85"/>
  <c r="J13" i="85"/>
  <c r="K14" i="85"/>
  <c r="K39" i="85"/>
  <c r="K23" i="85" s="1"/>
  <c r="N14" i="85"/>
  <c r="N39" i="85"/>
  <c r="N23" i="85" s="1"/>
  <c r="Q23" i="85"/>
  <c r="M59" i="85"/>
  <c r="M92" i="85" s="1"/>
  <c r="M86" i="85"/>
  <c r="M88" i="85" s="1"/>
  <c r="K36" i="85"/>
  <c r="K22" i="85" s="1"/>
  <c r="K13" i="85"/>
  <c r="AE66" i="7"/>
  <c r="AE67" i="7" s="1"/>
  <c r="L36" i="85"/>
  <c r="L22" i="85" s="1"/>
  <c r="K86" i="85"/>
  <c r="K88" i="85" s="1"/>
  <c r="K59" i="85"/>
  <c r="K92" i="85" s="1"/>
  <c r="N86" i="85"/>
  <c r="N88" i="85" s="1"/>
  <c r="N59" i="85"/>
  <c r="N92" i="85" s="1"/>
  <c r="O87" i="85"/>
  <c r="M36" i="85"/>
  <c r="M22" i="85" s="1"/>
  <c r="M13" i="85"/>
  <c r="O74" i="67"/>
  <c r="O74" i="85"/>
  <c r="L59" i="85"/>
  <c r="L92" i="85" s="1"/>
  <c r="L86" i="85"/>
  <c r="L88" i="85" s="1"/>
  <c r="O79" i="85"/>
  <c r="O66" i="85"/>
  <c r="J68" i="85"/>
  <c r="O68" i="85" s="1"/>
  <c r="AH78" i="7"/>
  <c r="H156" i="41"/>
  <c r="BB156" i="41" s="1"/>
  <c r="AG77" i="7"/>
  <c r="AG78" i="7" s="1"/>
  <c r="G157" i="41"/>
  <c r="BA157" i="41" s="1"/>
  <c r="AN19" i="7"/>
  <c r="AH77" i="7"/>
  <c r="CL19" i="7"/>
  <c r="AF66" i="7"/>
  <c r="AF67" i="7" s="1"/>
  <c r="CT37" i="7"/>
  <c r="AW43" i="7"/>
  <c r="AW41" i="7" s="1"/>
  <c r="AD18" i="7"/>
  <c r="CA18" i="7" s="1"/>
  <c r="BL156" i="41"/>
  <c r="AO9" i="7"/>
  <c r="CL9" i="7" s="1"/>
  <c r="BF144" i="41"/>
  <c r="AG17" i="7"/>
  <c r="CD17" i="7" s="1"/>
  <c r="CD19" i="7"/>
  <c r="AL9" i="7"/>
  <c r="CI9" i="7" s="1"/>
  <c r="G13" i="47"/>
  <c r="N13" i="47" s="1"/>
  <c r="BG126" i="41"/>
  <c r="AN17" i="7"/>
  <c r="CK19" i="7"/>
  <c r="AG66" i="7"/>
  <c r="AG67" i="7" s="1"/>
  <c r="AM18" i="7"/>
  <c r="CJ18" i="7" s="1"/>
  <c r="BM157" i="41"/>
  <c r="AF18" i="7"/>
  <c r="CC18" i="7" s="1"/>
  <c r="BN156" i="41"/>
  <c r="CJ19" i="7"/>
  <c r="N144" i="41"/>
  <c r="BH144" i="41" s="1"/>
  <c r="AE18" i="7"/>
  <c r="CB18" i="7" s="1"/>
  <c r="BM156" i="41"/>
  <c r="AL18" i="7"/>
  <c r="CI18" i="7" s="1"/>
  <c r="BL157" i="41"/>
  <c r="BV43" i="7"/>
  <c r="Z37" i="7"/>
  <c r="F46" i="49"/>
  <c r="L46" i="49" s="1"/>
  <c r="J37" i="7"/>
  <c r="BF43" i="7"/>
  <c r="F18" i="49"/>
  <c r="L18" i="49" s="1"/>
  <c r="AD22" i="7"/>
  <c r="CA22" i="7" s="1"/>
  <c r="CA19" i="7"/>
  <c r="AN11" i="7"/>
  <c r="CK11" i="7" s="1"/>
  <c r="BE157" i="41"/>
  <c r="L40" i="85" s="1"/>
  <c r="AO11" i="7"/>
  <c r="CL11" i="7" s="1"/>
  <c r="BF157" i="41"/>
  <c r="M40" i="85" s="1"/>
  <c r="D29" i="47"/>
  <c r="K29" i="47" s="1"/>
  <c r="BD126" i="41"/>
  <c r="AH66" i="7"/>
  <c r="AH67" i="7" s="1"/>
  <c r="AG9" i="7"/>
  <c r="CD9" i="7" s="1"/>
  <c r="BF143" i="41"/>
  <c r="AF9" i="7"/>
  <c r="CC9" i="7" s="1"/>
  <c r="BE143" i="41"/>
  <c r="AH9" i="7"/>
  <c r="CE9" i="7" s="1"/>
  <c r="BG143" i="41"/>
  <c r="AH17" i="7"/>
  <c r="CE19" i="7"/>
  <c r="CI19" i="7"/>
  <c r="AF17" i="7"/>
  <c r="CC19" i="7"/>
  <c r="AP22" i="7"/>
  <c r="CM22" i="7" s="1"/>
  <c r="CM19" i="7"/>
  <c r="AP37" i="7"/>
  <c r="CL43" i="7"/>
  <c r="F74" i="49"/>
  <c r="L74" i="49" s="1"/>
  <c r="AP9" i="7"/>
  <c r="CM9" i="7" s="1"/>
  <c r="BG144" i="41"/>
  <c r="CB19" i="7"/>
  <c r="I157" i="41"/>
  <c r="BC157" i="41" s="1"/>
  <c r="J40" i="85" s="1"/>
  <c r="E13" i="47"/>
  <c r="L13" i="47" s="1"/>
  <c r="BE126" i="41"/>
  <c r="AO18" i="7"/>
  <c r="CL18" i="7" s="1"/>
  <c r="BO157" i="41"/>
  <c r="AM9" i="7"/>
  <c r="CJ9" i="7" s="1"/>
  <c r="BD144" i="41"/>
  <c r="F29" i="47"/>
  <c r="M29" i="47" s="1"/>
  <c r="BF126" i="41"/>
  <c r="AN22" i="7"/>
  <c r="CK22" i="7" s="1"/>
  <c r="L59" i="67"/>
  <c r="L92" i="67" s="1"/>
  <c r="L86" i="67"/>
  <c r="L88" i="67" s="1"/>
  <c r="K59" i="67"/>
  <c r="K86" i="67"/>
  <c r="K88" i="67" s="1"/>
  <c r="O79" i="67"/>
  <c r="M59" i="67"/>
  <c r="M92" i="67" s="1"/>
  <c r="M86" i="67"/>
  <c r="M88" i="67" s="1"/>
  <c r="O87" i="67"/>
  <c r="O82" i="67"/>
  <c r="E29" i="47"/>
  <c r="L29" i="47" s="1"/>
  <c r="AH22" i="7"/>
  <c r="CE22" i="7" s="1"/>
  <c r="L40" i="67"/>
  <c r="L39" i="67" s="1"/>
  <c r="L23" i="67" s="1"/>
  <c r="D13" i="47"/>
  <c r="K13" i="47" s="1"/>
  <c r="N134" i="41"/>
  <c r="BH134" i="41" s="1"/>
  <c r="AE22" i="7"/>
  <c r="CB22" i="7" s="1"/>
  <c r="J86" i="67"/>
  <c r="J88" i="67" s="1"/>
  <c r="N126" i="41"/>
  <c r="BH126" i="41" s="1"/>
  <c r="F13" i="47"/>
  <c r="M13" i="47" s="1"/>
  <c r="N125" i="41"/>
  <c r="BH125" i="41" s="1"/>
  <c r="M40" i="67"/>
  <c r="M39" i="67" s="1"/>
  <c r="M23" i="67" s="1"/>
  <c r="O57" i="67"/>
  <c r="AO22" i="7"/>
  <c r="CL22" i="7" s="1"/>
  <c r="O68" i="67"/>
  <c r="G29" i="47"/>
  <c r="N29" i="47" s="1"/>
  <c r="AF22" i="7"/>
  <c r="CC22" i="7" s="1"/>
  <c r="AP17" i="7"/>
  <c r="O66" i="67"/>
  <c r="AM11" i="7"/>
  <c r="CJ11" i="7" s="1"/>
  <c r="K40" i="67"/>
  <c r="AD11" i="7"/>
  <c r="CA11" i="7" s="1"/>
  <c r="J37" i="67"/>
  <c r="O38" i="67"/>
  <c r="Q22" i="67" s="1"/>
  <c r="N59" i="67"/>
  <c r="N92" i="67" s="1"/>
  <c r="N88" i="67"/>
  <c r="O41" i="67"/>
  <c r="Q23" i="67" s="1"/>
  <c r="AG11" i="7"/>
  <c r="CD11" i="7" s="1"/>
  <c r="M37" i="67"/>
  <c r="AE11" i="7"/>
  <c r="CB11" i="7" s="1"/>
  <c r="K37" i="67"/>
  <c r="AF11" i="7"/>
  <c r="CC11" i="7" s="1"/>
  <c r="L37" i="67"/>
  <c r="AH11" i="7"/>
  <c r="CE11" i="7" s="1"/>
  <c r="N37" i="67"/>
  <c r="O85" i="67"/>
  <c r="AG22" i="7"/>
  <c r="CD22" i="7" s="1"/>
  <c r="AL11" i="7"/>
  <c r="CI11" i="7" s="1"/>
  <c r="AP11" i="7"/>
  <c r="CM11" i="7" s="1"/>
  <c r="N40" i="67"/>
  <c r="O71" i="67"/>
  <c r="K73" i="67"/>
  <c r="N124" i="41"/>
  <c r="BH124" i="41" s="1"/>
  <c r="J92" i="67"/>
  <c r="AM22" i="7"/>
  <c r="CJ22" i="7" s="1"/>
  <c r="AL22" i="7"/>
  <c r="CI22" i="7" s="1"/>
  <c r="AD17" i="7"/>
  <c r="N156" i="41"/>
  <c r="BH156" i="41" s="1"/>
  <c r="AW28" i="53"/>
  <c r="CY28" i="53" s="1"/>
  <c r="AX28" i="53"/>
  <c r="CZ28" i="53" s="1"/>
  <c r="AY28" i="53"/>
  <c r="DA28" i="53" s="1"/>
  <c r="AZ28" i="53"/>
  <c r="DB28" i="53" s="1"/>
  <c r="BA28" i="53"/>
  <c r="DC28" i="53" s="1"/>
  <c r="BB28" i="53"/>
  <c r="DD28" i="53" s="1"/>
  <c r="BC28" i="53"/>
  <c r="DE28" i="53" s="1"/>
  <c r="BD28" i="53"/>
  <c r="DF28" i="53" s="1"/>
  <c r="BE28" i="53"/>
  <c r="DG28" i="53" s="1"/>
  <c r="BF28" i="53"/>
  <c r="DH28" i="53" s="1"/>
  <c r="BG28" i="53"/>
  <c r="DI28" i="53" s="1"/>
  <c r="BH28" i="53"/>
  <c r="DJ28" i="53" s="1"/>
  <c r="O13" i="85" l="1"/>
  <c r="J40" i="67"/>
  <c r="N157" i="41"/>
  <c r="BH157" i="41" s="1"/>
  <c r="M39" i="85"/>
  <c r="M23" i="85" s="1"/>
  <c r="M14" i="85"/>
  <c r="P22" i="85"/>
  <c r="AE17" i="7"/>
  <c r="CB17" i="7" s="1"/>
  <c r="O36" i="85"/>
  <c r="J22" i="85"/>
  <c r="O22" i="85" s="1"/>
  <c r="L14" i="85"/>
  <c r="L39" i="85"/>
  <c r="L23" i="85" s="1"/>
  <c r="O88" i="85"/>
  <c r="P73" i="85" s="1"/>
  <c r="J39" i="85"/>
  <c r="O40" i="85"/>
  <c r="J14" i="85"/>
  <c r="J92" i="85"/>
  <c r="O59" i="85"/>
  <c r="AL17" i="7"/>
  <c r="O86" i="85"/>
  <c r="AM17" i="7"/>
  <c r="AG13" i="7"/>
  <c r="AG21" i="7" s="1"/>
  <c r="CD21" i="7" s="1"/>
  <c r="AF13" i="7"/>
  <c r="CC17" i="7"/>
  <c r="BW37" i="7"/>
  <c r="Z43" i="7"/>
  <c r="Z41" i="7"/>
  <c r="G45" i="49"/>
  <c r="M45" i="49" s="1"/>
  <c r="AM13" i="7"/>
  <c r="CJ17" i="7"/>
  <c r="AP13" i="7"/>
  <c r="CM17" i="7"/>
  <c r="AX37" i="7"/>
  <c r="CT43" i="7"/>
  <c r="AN13" i="7"/>
  <c r="CK17" i="7"/>
  <c r="CD13" i="7"/>
  <c r="AP41" i="7"/>
  <c r="CM37" i="7"/>
  <c r="AP43" i="7"/>
  <c r="G73" i="49"/>
  <c r="M73" i="49" s="1"/>
  <c r="AH13" i="7"/>
  <c r="CE17" i="7"/>
  <c r="AD13" i="7"/>
  <c r="CA17" i="7"/>
  <c r="G17" i="49"/>
  <c r="M17" i="49" s="1"/>
  <c r="BG37" i="7"/>
  <c r="J43" i="7"/>
  <c r="J41" i="7" s="1"/>
  <c r="AO17" i="7"/>
  <c r="O86" i="67"/>
  <c r="M14" i="67"/>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Q53" i="60"/>
  <c r="BN53" i="60" s="1"/>
  <c r="P57" i="85" l="1"/>
  <c r="P86" i="85"/>
  <c r="AE13" i="7"/>
  <c r="J23" i="85"/>
  <c r="O23" i="85" s="1"/>
  <c r="O39" i="85"/>
  <c r="CI17" i="7"/>
  <c r="AL13" i="7"/>
  <c r="P87" i="85"/>
  <c r="P88" i="85"/>
  <c r="P81" i="85"/>
  <c r="P78" i="85"/>
  <c r="P77" i="85"/>
  <c r="P48" i="85"/>
  <c r="P62" i="85"/>
  <c r="P67" i="85"/>
  <c r="P72" i="85"/>
  <c r="P55" i="85"/>
  <c r="P63" i="85"/>
  <c r="P54" i="85"/>
  <c r="P53" i="85"/>
  <c r="P65" i="85"/>
  <c r="P70" i="85"/>
  <c r="P80" i="85"/>
  <c r="P82" i="85"/>
  <c r="P83" i="85"/>
  <c r="P64" i="85"/>
  <c r="P50" i="85"/>
  <c r="P84" i="85"/>
  <c r="P49" i="85"/>
  <c r="P85" i="85"/>
  <c r="P75" i="85"/>
  <c r="P52" i="85"/>
  <c r="P60" i="85"/>
  <c r="P58" i="85"/>
  <c r="P69" i="85"/>
  <c r="P61" i="85"/>
  <c r="P76" i="85"/>
  <c r="P56" i="85"/>
  <c r="P51" i="85"/>
  <c r="P71" i="85"/>
  <c r="P59" i="85"/>
  <c r="O92" i="85"/>
  <c r="P79" i="85"/>
  <c r="P66" i="85"/>
  <c r="P23" i="85"/>
  <c r="P74" i="85"/>
  <c r="O14" i="85"/>
  <c r="P68" i="85"/>
  <c r="AH21" i="7"/>
  <c r="CE21" i="7" s="1"/>
  <c r="CE13" i="7"/>
  <c r="CK13" i="7"/>
  <c r="AN21" i="7"/>
  <c r="CK21" i="7" s="1"/>
  <c r="G18" i="49"/>
  <c r="M18" i="49" s="1"/>
  <c r="BG43" i="7"/>
  <c r="G46" i="49"/>
  <c r="M46" i="49" s="1"/>
  <c r="BW43" i="7"/>
  <c r="G74" i="49"/>
  <c r="M74" i="49" s="1"/>
  <c r="CM43" i="7"/>
  <c r="CU37" i="7"/>
  <c r="AX43" i="7"/>
  <c r="CU43" i="7" s="1"/>
  <c r="AE21" i="7"/>
  <c r="CB21" i="7" s="1"/>
  <c r="CB13" i="7"/>
  <c r="AP21" i="7"/>
  <c r="CM21" i="7" s="1"/>
  <c r="CM13" i="7"/>
  <c r="AF21" i="7"/>
  <c r="CC21" i="7" s="1"/>
  <c r="CC13" i="7"/>
  <c r="CL17" i="7"/>
  <c r="AO13" i="7"/>
  <c r="AD21" i="7"/>
  <c r="CA21" i="7" s="1"/>
  <c r="CA13" i="7"/>
  <c r="AM21" i="7"/>
  <c r="CJ21" i="7" s="1"/>
  <c r="CJ13" i="7"/>
  <c r="P65" i="67"/>
  <c r="P51" i="67"/>
  <c r="P84" i="67"/>
  <c r="P85" i="67"/>
  <c r="P68" i="67"/>
  <c r="P71" i="67"/>
  <c r="P78" i="67"/>
  <c r="P81" i="67"/>
  <c r="P58" i="67"/>
  <c r="P50" i="67"/>
  <c r="P61" i="67"/>
  <c r="P79" i="67"/>
  <c r="P64" i="67"/>
  <c r="P80" i="67"/>
  <c r="P63" i="67"/>
  <c r="P72" i="67"/>
  <c r="P67" i="67"/>
  <c r="P75" i="67"/>
  <c r="P52" i="67"/>
  <c r="J23" i="67"/>
  <c r="O23" i="67" s="1"/>
  <c r="O39" i="67"/>
  <c r="O13" i="67"/>
  <c r="O14" i="67"/>
  <c r="J22" i="67"/>
  <c r="O22" i="67" s="1"/>
  <c r="O36" i="67"/>
  <c r="P73" i="67"/>
  <c r="P59" i="67"/>
  <c r="P60" i="67"/>
  <c r="P82" i="67"/>
  <c r="P53" i="67"/>
  <c r="P88" i="67"/>
  <c r="P69" i="67"/>
  <c r="P70" i="67"/>
  <c r="P74" i="67"/>
  <c r="P77" i="67"/>
  <c r="P54" i="67"/>
  <c r="P86" i="67"/>
  <c r="P48" i="67"/>
  <c r="P56" i="67"/>
  <c r="P55" i="67"/>
  <c r="P83" i="67"/>
  <c r="P66" i="67"/>
  <c r="P49" i="67"/>
  <c r="P62" i="67"/>
  <c r="P76" i="67"/>
  <c r="P87" i="67"/>
  <c r="O92" i="67"/>
  <c r="D101" i="73"/>
  <c r="BH101" i="73" s="1"/>
  <c r="D100" i="73"/>
  <c r="BH100" i="73" s="1"/>
  <c r="AX41" i="7" l="1"/>
  <c r="AL21" i="7"/>
  <c r="CI21" i="7" s="1"/>
  <c r="CI13" i="7"/>
  <c r="AO21" i="7"/>
  <c r="CL21" i="7" s="1"/>
  <c r="CL13" i="7"/>
  <c r="AH105" i="73"/>
  <c r="BX105" i="73" s="1"/>
  <c r="AH104" i="73"/>
  <c r="BX104" i="73" s="1"/>
  <c r="AH103" i="73"/>
  <c r="BX103" i="73" s="1"/>
  <c r="AH102" i="73"/>
  <c r="BX102" i="73" s="1"/>
  <c r="AF105" i="73"/>
  <c r="BW105" i="73" s="1"/>
  <c r="AF104" i="73"/>
  <c r="BW104" i="73" s="1"/>
  <c r="AF103" i="73"/>
  <c r="BW103" i="73" s="1"/>
  <c r="AF102" i="73"/>
  <c r="BW102" i="73" s="1"/>
  <c r="AD105" i="73"/>
  <c r="BV105" i="73" s="1"/>
  <c r="AD104" i="73"/>
  <c r="BV104" i="73" s="1"/>
  <c r="AD103" i="73"/>
  <c r="BV103" i="73" s="1"/>
  <c r="AD102" i="73"/>
  <c r="BV102" i="73" s="1"/>
  <c r="AB105" i="73"/>
  <c r="BU105" i="73" s="1"/>
  <c r="AB104" i="73"/>
  <c r="BU104" i="73" s="1"/>
  <c r="AB103" i="73"/>
  <c r="BU103" i="73" s="1"/>
  <c r="AB102" i="73"/>
  <c r="BU102" i="73" s="1"/>
  <c r="Z105" i="73"/>
  <c r="BT105" i="73" s="1"/>
  <c r="Z104" i="73"/>
  <c r="BT104" i="73" s="1"/>
  <c r="Z103" i="73"/>
  <c r="BT103" i="73" s="1"/>
  <c r="Z102" i="73"/>
  <c r="BT102" i="73" s="1"/>
  <c r="AH101" i="73"/>
  <c r="BX101" i="73" s="1"/>
  <c r="AF101" i="73"/>
  <c r="BW101" i="73" s="1"/>
  <c r="AD101" i="73"/>
  <c r="BV101" i="73" s="1"/>
  <c r="AB101" i="73"/>
  <c r="BU101" i="73" s="1"/>
  <c r="Z101" i="73"/>
  <c r="BT101" i="73" s="1"/>
  <c r="AH100" i="73"/>
  <c r="AF100" i="73"/>
  <c r="AD100" i="73"/>
  <c r="BV100" i="73" s="1"/>
  <c r="AB100" i="73"/>
  <c r="BU100" i="73" s="1"/>
  <c r="Z100" i="73"/>
  <c r="BT100" i="73" s="1"/>
  <c r="W105" i="73"/>
  <c r="BR105" i="73" s="1"/>
  <c r="U105" i="73"/>
  <c r="BQ105" i="73" s="1"/>
  <c r="S105" i="73"/>
  <c r="BP105" i="73" s="1"/>
  <c r="Q105" i="73"/>
  <c r="BO105" i="73" s="1"/>
  <c r="O105" i="73"/>
  <c r="BN105" i="73" s="1"/>
  <c r="W104" i="73"/>
  <c r="BR104" i="73" s="1"/>
  <c r="U104" i="73"/>
  <c r="BQ104" i="73" s="1"/>
  <c r="S104" i="73"/>
  <c r="BP104" i="73" s="1"/>
  <c r="Q104" i="73"/>
  <c r="BO104" i="73" s="1"/>
  <c r="O104" i="73"/>
  <c r="BN104" i="73" s="1"/>
  <c r="W103" i="73"/>
  <c r="BR103" i="73" s="1"/>
  <c r="U103" i="73"/>
  <c r="BQ103" i="73" s="1"/>
  <c r="S103" i="73"/>
  <c r="BP103" i="73" s="1"/>
  <c r="Q103" i="73"/>
  <c r="BO103" i="73" s="1"/>
  <c r="O103" i="73"/>
  <c r="BN103" i="73" s="1"/>
  <c r="W102" i="73"/>
  <c r="BR102" i="73" s="1"/>
  <c r="U102" i="73"/>
  <c r="BQ102" i="73" s="1"/>
  <c r="S102" i="73"/>
  <c r="BP102" i="73" s="1"/>
  <c r="Q102" i="73"/>
  <c r="BO102" i="73" s="1"/>
  <c r="O102" i="73"/>
  <c r="BN102" i="73" s="1"/>
  <c r="W101" i="73"/>
  <c r="BR101" i="73" s="1"/>
  <c r="U101" i="73"/>
  <c r="BQ101" i="73" s="1"/>
  <c r="S101" i="73"/>
  <c r="BP101" i="73" s="1"/>
  <c r="Q101" i="73"/>
  <c r="BO101" i="73" s="1"/>
  <c r="O101" i="73"/>
  <c r="BN101" i="73" s="1"/>
  <c r="W100" i="73"/>
  <c r="U100" i="73"/>
  <c r="BQ100" i="73" s="1"/>
  <c r="S100" i="73"/>
  <c r="BP100" i="73" s="1"/>
  <c r="Q100" i="73"/>
  <c r="BO100" i="73" s="1"/>
  <c r="O100" i="73"/>
  <c r="BN100" i="73" s="1"/>
  <c r="L106" i="73"/>
  <c r="BL106" i="73" s="1"/>
  <c r="J106" i="73"/>
  <c r="BK106" i="73" s="1"/>
  <c r="H106" i="73"/>
  <c r="BJ106" i="73" s="1"/>
  <c r="F106" i="73"/>
  <c r="BI106" i="73" s="1"/>
  <c r="L105" i="73"/>
  <c r="BL105" i="73" s="1"/>
  <c r="J105" i="73"/>
  <c r="BK105" i="73" s="1"/>
  <c r="H105" i="73"/>
  <c r="BJ105" i="73" s="1"/>
  <c r="F105" i="73"/>
  <c r="BI105" i="73" s="1"/>
  <c r="L104" i="73"/>
  <c r="BL104" i="73" s="1"/>
  <c r="J104" i="73"/>
  <c r="BK104" i="73" s="1"/>
  <c r="H104" i="73"/>
  <c r="BJ104" i="73" s="1"/>
  <c r="F104" i="73"/>
  <c r="BI104" i="73" s="1"/>
  <c r="L103" i="73"/>
  <c r="BL103" i="73" s="1"/>
  <c r="J103" i="73"/>
  <c r="BK103" i="73" s="1"/>
  <c r="H103" i="73"/>
  <c r="BJ103" i="73" s="1"/>
  <c r="F103" i="73"/>
  <c r="BI103" i="73" s="1"/>
  <c r="L102" i="73"/>
  <c r="BL102" i="73" s="1"/>
  <c r="J102" i="73"/>
  <c r="BK102" i="73" s="1"/>
  <c r="H102" i="73"/>
  <c r="BJ102" i="73" s="1"/>
  <c r="F102" i="73"/>
  <c r="BI102" i="73" s="1"/>
  <c r="L101" i="73"/>
  <c r="BL101" i="73" s="1"/>
  <c r="J101" i="73"/>
  <c r="BK101" i="73" s="1"/>
  <c r="H101" i="73"/>
  <c r="BJ101" i="73" s="1"/>
  <c r="F101" i="73"/>
  <c r="BI101" i="73" s="1"/>
  <c r="D105" i="73"/>
  <c r="BH105" i="73" s="1"/>
  <c r="D104" i="73"/>
  <c r="BH104" i="73" s="1"/>
  <c r="D103" i="73"/>
  <c r="BH103" i="73" s="1"/>
  <c r="D102" i="73"/>
  <c r="BH102" i="73" s="1"/>
  <c r="BE87" i="73"/>
  <c r="BD87" i="73"/>
  <c r="CJ87" i="73" s="1"/>
  <c r="BC87" i="73"/>
  <c r="BB87" i="73"/>
  <c r="CI87" i="73" s="1"/>
  <c r="BA87" i="73"/>
  <c r="AZ87" i="73"/>
  <c r="CH87" i="73" s="1"/>
  <c r="AY87" i="73"/>
  <c r="AX87" i="73"/>
  <c r="CG87" i="73" s="1"/>
  <c r="AW87" i="73"/>
  <c r="AV87" i="73"/>
  <c r="CF87" i="73" s="1"/>
  <c r="BE86" i="73"/>
  <c r="BD86" i="73"/>
  <c r="CJ86" i="73" s="1"/>
  <c r="BC86" i="73"/>
  <c r="BB86" i="73"/>
  <c r="CI86" i="73" s="1"/>
  <c r="BA86" i="73"/>
  <c r="AZ86" i="73"/>
  <c r="CH86" i="73" s="1"/>
  <c r="AY86" i="73"/>
  <c r="AX86" i="73"/>
  <c r="CG86" i="73" s="1"/>
  <c r="AW86" i="73"/>
  <c r="AV86" i="73"/>
  <c r="CF86" i="73" s="1"/>
  <c r="BE85" i="73"/>
  <c r="BD85" i="73"/>
  <c r="CJ85" i="73" s="1"/>
  <c r="BC85" i="73"/>
  <c r="BB85" i="73"/>
  <c r="CI85" i="73" s="1"/>
  <c r="BA85" i="73"/>
  <c r="AZ85" i="73"/>
  <c r="CH85" i="73" s="1"/>
  <c r="AY85" i="73"/>
  <c r="AX85" i="73"/>
  <c r="CG85" i="73" s="1"/>
  <c r="AW85" i="73"/>
  <c r="AV85" i="73"/>
  <c r="CF85" i="73" s="1"/>
  <c r="BE84" i="73"/>
  <c r="BD84" i="73"/>
  <c r="CJ84" i="73" s="1"/>
  <c r="BC84" i="73"/>
  <c r="BB84" i="73"/>
  <c r="CI84" i="73" s="1"/>
  <c r="BA84" i="73"/>
  <c r="AZ84" i="73"/>
  <c r="CH84" i="73" s="1"/>
  <c r="AY84" i="73"/>
  <c r="AX84" i="73"/>
  <c r="CG84" i="73" s="1"/>
  <c r="AW84" i="73"/>
  <c r="AV84" i="73"/>
  <c r="CF84" i="73" s="1"/>
  <c r="BE82" i="73"/>
  <c r="BD82" i="73"/>
  <c r="CJ82" i="73" s="1"/>
  <c r="BC82" i="73"/>
  <c r="BB82" i="73"/>
  <c r="CI82" i="73" s="1"/>
  <c r="BA82" i="73"/>
  <c r="AZ82" i="73"/>
  <c r="CH82" i="73" s="1"/>
  <c r="AY82" i="73"/>
  <c r="AX82" i="73"/>
  <c r="CG82" i="73" s="1"/>
  <c r="AW82" i="73"/>
  <c r="AV82" i="73"/>
  <c r="CF82" i="73" s="1"/>
  <c r="BE81" i="73"/>
  <c r="BD81" i="73"/>
  <c r="CJ81" i="73" s="1"/>
  <c r="BC81" i="73"/>
  <c r="BB81" i="73"/>
  <c r="CI81" i="73" s="1"/>
  <c r="BA81" i="73"/>
  <c r="AZ81" i="73"/>
  <c r="CH81" i="73" s="1"/>
  <c r="AY81" i="73"/>
  <c r="AX81" i="73"/>
  <c r="CG81" i="73" s="1"/>
  <c r="AW81" i="73"/>
  <c r="AV81" i="73"/>
  <c r="CF81" i="73" s="1"/>
  <c r="BE80" i="73"/>
  <c r="BD80" i="73"/>
  <c r="CJ80" i="73" s="1"/>
  <c r="BC80" i="73"/>
  <c r="BB80" i="73"/>
  <c r="CI80" i="73" s="1"/>
  <c r="BA80" i="73"/>
  <c r="AZ80" i="73"/>
  <c r="CH80" i="73" s="1"/>
  <c r="AY80" i="73"/>
  <c r="AX80" i="73"/>
  <c r="CG80" i="73" s="1"/>
  <c r="AW80" i="73"/>
  <c r="AV80" i="73"/>
  <c r="CF80" i="73" s="1"/>
  <c r="BE79" i="73"/>
  <c r="BD79" i="73"/>
  <c r="CJ79" i="73" s="1"/>
  <c r="BC79" i="73"/>
  <c r="BB79" i="73"/>
  <c r="CI79" i="73" s="1"/>
  <c r="BA79" i="73"/>
  <c r="AZ79" i="73"/>
  <c r="CH79" i="73" s="1"/>
  <c r="AY79" i="73"/>
  <c r="AX79" i="73"/>
  <c r="CG79" i="73" s="1"/>
  <c r="AW79" i="73"/>
  <c r="AV79" i="73"/>
  <c r="CF79" i="73" s="1"/>
  <c r="BE78" i="73"/>
  <c r="BD78" i="73"/>
  <c r="CJ78" i="73" s="1"/>
  <c r="BC78" i="73"/>
  <c r="BB78" i="73"/>
  <c r="CI78" i="73" s="1"/>
  <c r="BA78" i="73"/>
  <c r="AZ78" i="73"/>
  <c r="CH78" i="73" s="1"/>
  <c r="AY78" i="73"/>
  <c r="AX78" i="73"/>
  <c r="CG78" i="73" s="1"/>
  <c r="AW78" i="73"/>
  <c r="AV78" i="73"/>
  <c r="CF78" i="73" s="1"/>
  <c r="BE77" i="73"/>
  <c r="BD77" i="73"/>
  <c r="CJ77" i="73" s="1"/>
  <c r="BC77" i="73"/>
  <c r="BB77" i="73"/>
  <c r="CI77" i="73" s="1"/>
  <c r="BA77" i="73"/>
  <c r="AZ77" i="73"/>
  <c r="CH77" i="73" s="1"/>
  <c r="AY77" i="73"/>
  <c r="AX77" i="73"/>
  <c r="CG77" i="73" s="1"/>
  <c r="AW77" i="73"/>
  <c r="AV77" i="73"/>
  <c r="CF77" i="73" s="1"/>
  <c r="BE75" i="73"/>
  <c r="BD75" i="73"/>
  <c r="CJ75" i="73" s="1"/>
  <c r="BC75" i="73"/>
  <c r="BB75" i="73"/>
  <c r="CI75" i="73" s="1"/>
  <c r="BA75" i="73"/>
  <c r="AZ75" i="73"/>
  <c r="CH75" i="73" s="1"/>
  <c r="AY75" i="73"/>
  <c r="AX75" i="73"/>
  <c r="CG75" i="73" s="1"/>
  <c r="AW75" i="73"/>
  <c r="AV75" i="73"/>
  <c r="CF75" i="73" s="1"/>
  <c r="BE73" i="73"/>
  <c r="BD73" i="73"/>
  <c r="CJ73" i="73" s="1"/>
  <c r="BC73" i="73"/>
  <c r="BB73" i="73"/>
  <c r="CI73" i="73" s="1"/>
  <c r="BA73" i="73"/>
  <c r="AZ73" i="73"/>
  <c r="CH73" i="73" s="1"/>
  <c r="AY73" i="73"/>
  <c r="AX73" i="73"/>
  <c r="CG73" i="73" s="1"/>
  <c r="AW73" i="73"/>
  <c r="AV73" i="73"/>
  <c r="CF73" i="73" s="1"/>
  <c r="BE71" i="73"/>
  <c r="BD71" i="73"/>
  <c r="CJ71" i="73" s="1"/>
  <c r="BC71" i="73"/>
  <c r="BB71" i="73"/>
  <c r="CI71" i="73" s="1"/>
  <c r="BA71" i="73"/>
  <c r="AZ71" i="73"/>
  <c r="CH71" i="73" s="1"/>
  <c r="AY71" i="73"/>
  <c r="AX71" i="73"/>
  <c r="CG71" i="73" s="1"/>
  <c r="AW71" i="73"/>
  <c r="AV71" i="73"/>
  <c r="CF71" i="73" s="1"/>
  <c r="BE54" i="73"/>
  <c r="BD54" i="73"/>
  <c r="CJ54" i="73" s="1"/>
  <c r="BC54" i="73"/>
  <c r="BB54" i="73"/>
  <c r="CI54" i="73" s="1"/>
  <c r="BA54" i="73"/>
  <c r="AZ54" i="73"/>
  <c r="CH54" i="73" s="1"/>
  <c r="AY54" i="73"/>
  <c r="AX54" i="73"/>
  <c r="CG54" i="73" s="1"/>
  <c r="AW54" i="73"/>
  <c r="AV54" i="73"/>
  <c r="CF54" i="73" s="1"/>
  <c r="BE53" i="73"/>
  <c r="BD53" i="73"/>
  <c r="CJ53" i="73" s="1"/>
  <c r="BC53" i="73"/>
  <c r="BB53" i="73"/>
  <c r="CI53" i="73" s="1"/>
  <c r="BA53" i="73"/>
  <c r="AZ53" i="73"/>
  <c r="CH53" i="73" s="1"/>
  <c r="AY53" i="73"/>
  <c r="AX53" i="73"/>
  <c r="CG53" i="73" s="1"/>
  <c r="AW53" i="73"/>
  <c r="AV53" i="73"/>
  <c r="CF53" i="73" s="1"/>
  <c r="BE52" i="73"/>
  <c r="BD52" i="73"/>
  <c r="CJ52" i="73" s="1"/>
  <c r="BC52" i="73"/>
  <c r="BB52" i="73"/>
  <c r="CI52" i="73" s="1"/>
  <c r="BA52" i="73"/>
  <c r="AZ52" i="73"/>
  <c r="CH52" i="73" s="1"/>
  <c r="AY52" i="73"/>
  <c r="AX52" i="73"/>
  <c r="CG52" i="73" s="1"/>
  <c r="AW52" i="73"/>
  <c r="AV52" i="73"/>
  <c r="CF52" i="73" s="1"/>
  <c r="BE47" i="73"/>
  <c r="BD47" i="73"/>
  <c r="CJ47" i="73" s="1"/>
  <c r="BC47" i="73"/>
  <c r="BB47" i="73"/>
  <c r="CI47" i="73" s="1"/>
  <c r="BA47" i="73"/>
  <c r="AZ47" i="73"/>
  <c r="CH47" i="73" s="1"/>
  <c r="AY47" i="73"/>
  <c r="AX47" i="73"/>
  <c r="CG47" i="73" s="1"/>
  <c r="AW47" i="73"/>
  <c r="AV47" i="73"/>
  <c r="CF47" i="73" s="1"/>
  <c r="BE46" i="73"/>
  <c r="BD46" i="73"/>
  <c r="CJ46" i="73" s="1"/>
  <c r="BC46" i="73"/>
  <c r="BB46" i="73"/>
  <c r="CI46" i="73" s="1"/>
  <c r="BA46" i="73"/>
  <c r="AZ46" i="73"/>
  <c r="CH46" i="73" s="1"/>
  <c r="AY46" i="73"/>
  <c r="AX46" i="73"/>
  <c r="CG46" i="73" s="1"/>
  <c r="AW46" i="73"/>
  <c r="AV46" i="73"/>
  <c r="CF46" i="73" s="1"/>
  <c r="BE45" i="73"/>
  <c r="BD45" i="73"/>
  <c r="CJ45" i="73" s="1"/>
  <c r="BC45" i="73"/>
  <c r="BB45" i="73"/>
  <c r="CI45" i="73" s="1"/>
  <c r="BA45" i="73"/>
  <c r="AZ45" i="73"/>
  <c r="CH45" i="73" s="1"/>
  <c r="AY45" i="73"/>
  <c r="AX45" i="73"/>
  <c r="CG45" i="73" s="1"/>
  <c r="AW45" i="73"/>
  <c r="AV45" i="73"/>
  <c r="CF45" i="73" s="1"/>
  <c r="BE44" i="73"/>
  <c r="BD44" i="73"/>
  <c r="CJ44" i="73" s="1"/>
  <c r="BC44" i="73"/>
  <c r="BB44" i="73"/>
  <c r="CI44" i="73" s="1"/>
  <c r="BA44" i="73"/>
  <c r="AZ44" i="73"/>
  <c r="CH44" i="73" s="1"/>
  <c r="AY44" i="73"/>
  <c r="AX44" i="73"/>
  <c r="CG44" i="73" s="1"/>
  <c r="AW44" i="73"/>
  <c r="AV44" i="73"/>
  <c r="CF44" i="73" s="1"/>
  <c r="BE43" i="73"/>
  <c r="BD43" i="73"/>
  <c r="CJ43" i="73" s="1"/>
  <c r="BC43" i="73"/>
  <c r="BB43" i="73"/>
  <c r="CI43" i="73" s="1"/>
  <c r="BA43" i="73"/>
  <c r="AZ43" i="73"/>
  <c r="CH43" i="73" s="1"/>
  <c r="AY43" i="73"/>
  <c r="AX43" i="73"/>
  <c r="CG43" i="73" s="1"/>
  <c r="AW43" i="73"/>
  <c r="AV43" i="73"/>
  <c r="CF43" i="73" s="1"/>
  <c r="BE42" i="73"/>
  <c r="BD42" i="73"/>
  <c r="CJ42" i="73" s="1"/>
  <c r="BC42" i="73"/>
  <c r="BB42" i="73"/>
  <c r="CI42" i="73" s="1"/>
  <c r="BA42" i="73"/>
  <c r="AZ42" i="73"/>
  <c r="CH42" i="73" s="1"/>
  <c r="AY42" i="73"/>
  <c r="AX42" i="73"/>
  <c r="CG42" i="73" s="1"/>
  <c r="AW42" i="73"/>
  <c r="AV42" i="73"/>
  <c r="CF42" i="73" s="1"/>
  <c r="BE41" i="73"/>
  <c r="BD41" i="73"/>
  <c r="CJ41" i="73" s="1"/>
  <c r="BC41" i="73"/>
  <c r="BB41" i="73"/>
  <c r="CI41" i="73" s="1"/>
  <c r="BA41" i="73"/>
  <c r="AZ41" i="73"/>
  <c r="CH41" i="73" s="1"/>
  <c r="AY41" i="73"/>
  <c r="AX41" i="73"/>
  <c r="CG41" i="73" s="1"/>
  <c r="AW41" i="73"/>
  <c r="AV41" i="73"/>
  <c r="CF41" i="73" s="1"/>
  <c r="BE40" i="73"/>
  <c r="BD40" i="73"/>
  <c r="CJ40" i="73" s="1"/>
  <c r="BC40" i="73"/>
  <c r="BB40" i="73"/>
  <c r="CI40" i="73" s="1"/>
  <c r="BA40" i="73"/>
  <c r="AZ40" i="73"/>
  <c r="CH40" i="73" s="1"/>
  <c r="AY40" i="73"/>
  <c r="AX40" i="73"/>
  <c r="CG40" i="73" s="1"/>
  <c r="AW40" i="73"/>
  <c r="AV40" i="73"/>
  <c r="CF40" i="73" s="1"/>
  <c r="BE39" i="73"/>
  <c r="BD39" i="73"/>
  <c r="CJ39" i="73" s="1"/>
  <c r="BC39" i="73"/>
  <c r="BB39" i="73"/>
  <c r="CI39" i="73" s="1"/>
  <c r="BA39" i="73"/>
  <c r="AZ39" i="73"/>
  <c r="CH39" i="73" s="1"/>
  <c r="AY39" i="73"/>
  <c r="AX39" i="73"/>
  <c r="CG39" i="73" s="1"/>
  <c r="AW39" i="73"/>
  <c r="AV39" i="73"/>
  <c r="CF39" i="73" s="1"/>
  <c r="BE37" i="73"/>
  <c r="BD37" i="73"/>
  <c r="CJ37" i="73" s="1"/>
  <c r="BC37" i="73"/>
  <c r="BB37" i="73"/>
  <c r="CI37" i="73" s="1"/>
  <c r="BA37" i="73"/>
  <c r="AZ37" i="73"/>
  <c r="CH37" i="73" s="1"/>
  <c r="AY37" i="73"/>
  <c r="AX37" i="73"/>
  <c r="CG37" i="73" s="1"/>
  <c r="AW37" i="73"/>
  <c r="AV37" i="73"/>
  <c r="CF37" i="73" s="1"/>
  <c r="BE36" i="73"/>
  <c r="BD36" i="73"/>
  <c r="CJ36" i="73" s="1"/>
  <c r="BC36" i="73"/>
  <c r="BB36" i="73"/>
  <c r="CI36" i="73" s="1"/>
  <c r="BA36" i="73"/>
  <c r="AZ36" i="73"/>
  <c r="CH36" i="73" s="1"/>
  <c r="AY36" i="73"/>
  <c r="AX36" i="73"/>
  <c r="CG36" i="73" s="1"/>
  <c r="AW36" i="73"/>
  <c r="AV36" i="73"/>
  <c r="CF36" i="73" s="1"/>
  <c r="BE35" i="73"/>
  <c r="BD35" i="73"/>
  <c r="CJ35" i="73" s="1"/>
  <c r="BC35" i="73"/>
  <c r="BB35" i="73"/>
  <c r="CI35" i="73" s="1"/>
  <c r="BA35" i="73"/>
  <c r="AZ35" i="73"/>
  <c r="CH35" i="73" s="1"/>
  <c r="AY35" i="73"/>
  <c r="AX35" i="73"/>
  <c r="CG35" i="73" s="1"/>
  <c r="AW35" i="73"/>
  <c r="AV35" i="73"/>
  <c r="CF35" i="73" s="1"/>
  <c r="BE34" i="73"/>
  <c r="BD34" i="73"/>
  <c r="CJ34" i="73" s="1"/>
  <c r="BC34" i="73"/>
  <c r="BB34" i="73"/>
  <c r="CI34" i="73" s="1"/>
  <c r="BA34" i="73"/>
  <c r="AZ34" i="73"/>
  <c r="CH34" i="73" s="1"/>
  <c r="AY34" i="73"/>
  <c r="AX34" i="73"/>
  <c r="CG34" i="73" s="1"/>
  <c r="AW34" i="73"/>
  <c r="AV34" i="73"/>
  <c r="CF34" i="73" s="1"/>
  <c r="BE33" i="73"/>
  <c r="BD33" i="73"/>
  <c r="CJ33" i="73" s="1"/>
  <c r="BC33" i="73"/>
  <c r="BB33" i="73"/>
  <c r="CI33" i="73" s="1"/>
  <c r="BA33" i="73"/>
  <c r="AZ33" i="73"/>
  <c r="CH33" i="73" s="1"/>
  <c r="AY33" i="73"/>
  <c r="AX33" i="73"/>
  <c r="CG33" i="73" s="1"/>
  <c r="AW33" i="73"/>
  <c r="AV33" i="73"/>
  <c r="CF33" i="73" s="1"/>
  <c r="BE32" i="73"/>
  <c r="BD32" i="73"/>
  <c r="CJ32" i="73" s="1"/>
  <c r="BC32" i="73"/>
  <c r="BB32" i="73"/>
  <c r="CI32" i="73" s="1"/>
  <c r="BA32" i="73"/>
  <c r="AZ32" i="73"/>
  <c r="CH32" i="73" s="1"/>
  <c r="AY32" i="73"/>
  <c r="AX32" i="73"/>
  <c r="CG32" i="73" s="1"/>
  <c r="AW32" i="73"/>
  <c r="AV32" i="73"/>
  <c r="CF32" i="73" s="1"/>
  <c r="BE31" i="73"/>
  <c r="BD31" i="73"/>
  <c r="CJ31" i="73" s="1"/>
  <c r="BC31" i="73"/>
  <c r="BB31" i="73"/>
  <c r="CI31" i="73" s="1"/>
  <c r="BA31" i="73"/>
  <c r="AZ31" i="73"/>
  <c r="CH31" i="73" s="1"/>
  <c r="AY31" i="73"/>
  <c r="AX31" i="73"/>
  <c r="CG31" i="73" s="1"/>
  <c r="AW31" i="73"/>
  <c r="AV31" i="73"/>
  <c r="CF31" i="73" s="1"/>
  <c r="BE30" i="73"/>
  <c r="BD30" i="73"/>
  <c r="CJ30" i="73" s="1"/>
  <c r="BC30" i="73"/>
  <c r="BB30" i="73"/>
  <c r="CI30" i="73" s="1"/>
  <c r="BA30" i="73"/>
  <c r="AZ30" i="73"/>
  <c r="CH30" i="73" s="1"/>
  <c r="AY30" i="73"/>
  <c r="AX30" i="73"/>
  <c r="CG30" i="73" s="1"/>
  <c r="AW30" i="73"/>
  <c r="AV30" i="73"/>
  <c r="CF30" i="73" s="1"/>
  <c r="BE28" i="73"/>
  <c r="BD28" i="73"/>
  <c r="CJ28" i="73" s="1"/>
  <c r="BC28" i="73"/>
  <c r="BB28" i="73"/>
  <c r="CI28" i="73" s="1"/>
  <c r="BA28" i="73"/>
  <c r="AZ28" i="73"/>
  <c r="CH28" i="73" s="1"/>
  <c r="AY28" i="73"/>
  <c r="AX28" i="73"/>
  <c r="CG28" i="73" s="1"/>
  <c r="AW28" i="73"/>
  <c r="AV28" i="73"/>
  <c r="CF28" i="73" s="1"/>
  <c r="BE27" i="73"/>
  <c r="BD27" i="73"/>
  <c r="CJ27" i="73" s="1"/>
  <c r="BC27" i="73"/>
  <c r="BB27" i="73"/>
  <c r="CI27" i="73" s="1"/>
  <c r="BA27" i="73"/>
  <c r="AZ27" i="73"/>
  <c r="CH27" i="73" s="1"/>
  <c r="AY27" i="73"/>
  <c r="AX27" i="73"/>
  <c r="CG27" i="73" s="1"/>
  <c r="AW27" i="73"/>
  <c r="AV27" i="73"/>
  <c r="CF27" i="73" s="1"/>
  <c r="BE26" i="73"/>
  <c r="BD26" i="73"/>
  <c r="CJ26" i="73" s="1"/>
  <c r="BC26" i="73"/>
  <c r="BB26" i="73"/>
  <c r="CI26" i="73" s="1"/>
  <c r="BA26" i="73"/>
  <c r="AZ26" i="73"/>
  <c r="CH26" i="73" s="1"/>
  <c r="AY26" i="73"/>
  <c r="AX26" i="73"/>
  <c r="CG26" i="73" s="1"/>
  <c r="AW26" i="73"/>
  <c r="AV26" i="73"/>
  <c r="CF26" i="73" s="1"/>
  <c r="BE23" i="73"/>
  <c r="BD23" i="73"/>
  <c r="CJ23" i="73" s="1"/>
  <c r="BC23" i="73"/>
  <c r="BB23" i="73"/>
  <c r="CI23" i="73" s="1"/>
  <c r="BA23" i="73"/>
  <c r="AZ23" i="73"/>
  <c r="CH23" i="73" s="1"/>
  <c r="AY23" i="73"/>
  <c r="AX23" i="73"/>
  <c r="CG23" i="73" s="1"/>
  <c r="AW23" i="73"/>
  <c r="AV23" i="73"/>
  <c r="CF23" i="73" s="1"/>
  <c r="BE22" i="73"/>
  <c r="BD22" i="73"/>
  <c r="CJ22" i="73" s="1"/>
  <c r="BC22" i="73"/>
  <c r="BB22" i="73"/>
  <c r="CI22" i="73" s="1"/>
  <c r="BA22" i="73"/>
  <c r="AZ22" i="73"/>
  <c r="CH22" i="73" s="1"/>
  <c r="AY22" i="73"/>
  <c r="AX22" i="73"/>
  <c r="CG22" i="73" s="1"/>
  <c r="AW22" i="73"/>
  <c r="AV22" i="73"/>
  <c r="CF22" i="73" s="1"/>
  <c r="BE20" i="73"/>
  <c r="BD20" i="73"/>
  <c r="CJ20" i="73" s="1"/>
  <c r="BC20" i="73"/>
  <c r="BB20" i="73"/>
  <c r="CI20" i="73" s="1"/>
  <c r="BA20" i="73"/>
  <c r="AZ20" i="73"/>
  <c r="CH20" i="73" s="1"/>
  <c r="AY20" i="73"/>
  <c r="AX20" i="73"/>
  <c r="CG20" i="73" s="1"/>
  <c r="AW20" i="73"/>
  <c r="AV20" i="73"/>
  <c r="CF20" i="73" s="1"/>
  <c r="BE19" i="73"/>
  <c r="BD19" i="73"/>
  <c r="CJ19" i="73" s="1"/>
  <c r="BC19" i="73"/>
  <c r="BB19" i="73"/>
  <c r="CI19" i="73" s="1"/>
  <c r="BA19" i="73"/>
  <c r="AZ19" i="73"/>
  <c r="CH19" i="73" s="1"/>
  <c r="AY19" i="73"/>
  <c r="AX19" i="73"/>
  <c r="CG19" i="73" s="1"/>
  <c r="AW19" i="73"/>
  <c r="AV19" i="73"/>
  <c r="CF19" i="73" s="1"/>
  <c r="BE16" i="73"/>
  <c r="BD16" i="73"/>
  <c r="CJ16" i="73" s="1"/>
  <c r="BC16" i="73"/>
  <c r="BB16" i="73"/>
  <c r="CI16" i="73" s="1"/>
  <c r="BA16" i="73"/>
  <c r="AZ16" i="73"/>
  <c r="CH16" i="73" s="1"/>
  <c r="AY16" i="73"/>
  <c r="AX16" i="73"/>
  <c r="CG16" i="73" s="1"/>
  <c r="AW16" i="73"/>
  <c r="AV16" i="73"/>
  <c r="CF16" i="73" s="1"/>
  <c r="BE15" i="73"/>
  <c r="BD15" i="73"/>
  <c r="CJ15" i="73" s="1"/>
  <c r="BC15" i="73"/>
  <c r="BB15" i="73"/>
  <c r="CI15" i="73" s="1"/>
  <c r="BA15" i="73"/>
  <c r="AZ15" i="73"/>
  <c r="CH15" i="73" s="1"/>
  <c r="AY15" i="73"/>
  <c r="AX15" i="73"/>
  <c r="CG15" i="73" s="1"/>
  <c r="AW15" i="73"/>
  <c r="AV15" i="73"/>
  <c r="CF15" i="73" s="1"/>
  <c r="BE14" i="73"/>
  <c r="BD14" i="73"/>
  <c r="CJ14" i="73" s="1"/>
  <c r="BC14" i="73"/>
  <c r="BB14" i="73"/>
  <c r="CI14" i="73" s="1"/>
  <c r="BA14" i="73"/>
  <c r="AZ14" i="73"/>
  <c r="CH14" i="73" s="1"/>
  <c r="AY14" i="73"/>
  <c r="AX14" i="73"/>
  <c r="CG14" i="73" s="1"/>
  <c r="AW14" i="73"/>
  <c r="AV14" i="73"/>
  <c r="CF14" i="73" s="1"/>
  <c r="BE13" i="73"/>
  <c r="BD13" i="73"/>
  <c r="CJ13" i="73" s="1"/>
  <c r="BC13" i="73"/>
  <c r="BB13" i="73"/>
  <c r="CI13" i="73" s="1"/>
  <c r="BA13" i="73"/>
  <c r="AZ13" i="73"/>
  <c r="CH13" i="73" s="1"/>
  <c r="AY13" i="73"/>
  <c r="AX13" i="73"/>
  <c r="CG13" i="73" s="1"/>
  <c r="AW13" i="73"/>
  <c r="AV13" i="73"/>
  <c r="CF13" i="73" s="1"/>
  <c r="AT87" i="73"/>
  <c r="AS87" i="73"/>
  <c r="CD87" i="73" s="1"/>
  <c r="AR87" i="73"/>
  <c r="AQ87" i="73"/>
  <c r="CC87" i="73" s="1"/>
  <c r="AP87" i="73"/>
  <c r="AO87" i="73"/>
  <c r="CB87" i="73" s="1"/>
  <c r="AN87" i="73"/>
  <c r="AM87" i="73"/>
  <c r="CA87" i="73" s="1"/>
  <c r="AL87" i="73"/>
  <c r="AK87" i="73"/>
  <c r="BZ87" i="73" s="1"/>
  <c r="AT86" i="73"/>
  <c r="AS86" i="73"/>
  <c r="CD86" i="73" s="1"/>
  <c r="AR86" i="73"/>
  <c r="AQ86" i="73"/>
  <c r="CC86" i="73" s="1"/>
  <c r="AP86" i="73"/>
  <c r="AO86" i="73"/>
  <c r="CB86" i="73" s="1"/>
  <c r="AN86" i="73"/>
  <c r="AM86" i="73"/>
  <c r="CA86" i="73" s="1"/>
  <c r="AL86" i="73"/>
  <c r="AK86" i="73"/>
  <c r="BZ86" i="73" s="1"/>
  <c r="AT85" i="73"/>
  <c r="AS85" i="73"/>
  <c r="CD85" i="73" s="1"/>
  <c r="AR85" i="73"/>
  <c r="AQ85" i="73"/>
  <c r="CC85" i="73" s="1"/>
  <c r="AP85" i="73"/>
  <c r="AO85" i="73"/>
  <c r="CB85" i="73" s="1"/>
  <c r="AN85" i="73"/>
  <c r="AM85" i="73"/>
  <c r="CA85" i="73" s="1"/>
  <c r="AL85" i="73"/>
  <c r="AK85" i="73"/>
  <c r="BZ85" i="73" s="1"/>
  <c r="AT84" i="73"/>
  <c r="AS84" i="73"/>
  <c r="CD84" i="73" s="1"/>
  <c r="AR84" i="73"/>
  <c r="AQ84" i="73"/>
  <c r="CC84" i="73" s="1"/>
  <c r="AP84" i="73"/>
  <c r="AO84" i="73"/>
  <c r="CB84" i="73" s="1"/>
  <c r="AN84" i="73"/>
  <c r="AM84" i="73"/>
  <c r="CA84" i="73" s="1"/>
  <c r="AL84" i="73"/>
  <c r="AK84" i="73"/>
  <c r="BZ84" i="73" s="1"/>
  <c r="AT82" i="73"/>
  <c r="AS82" i="73"/>
  <c r="CD82" i="73" s="1"/>
  <c r="AR82" i="73"/>
  <c r="AQ82" i="73"/>
  <c r="CC82" i="73" s="1"/>
  <c r="AP82" i="73"/>
  <c r="AO82" i="73"/>
  <c r="CB82" i="73" s="1"/>
  <c r="AN82" i="73"/>
  <c r="AM82" i="73"/>
  <c r="CA82" i="73" s="1"/>
  <c r="AL82" i="73"/>
  <c r="AK82" i="73"/>
  <c r="BZ82" i="73" s="1"/>
  <c r="AT81" i="73"/>
  <c r="AS81" i="73"/>
  <c r="CD81" i="73" s="1"/>
  <c r="AR81" i="73"/>
  <c r="AQ81" i="73"/>
  <c r="CC81" i="73" s="1"/>
  <c r="AP81" i="73"/>
  <c r="AO81" i="73"/>
  <c r="CB81" i="73" s="1"/>
  <c r="AN81" i="73"/>
  <c r="AM81" i="73"/>
  <c r="CA81" i="73" s="1"/>
  <c r="AL81" i="73"/>
  <c r="AK81" i="73"/>
  <c r="BZ81" i="73" s="1"/>
  <c r="AT80" i="73"/>
  <c r="AS80" i="73"/>
  <c r="CD80" i="73" s="1"/>
  <c r="AR80" i="73"/>
  <c r="AQ80" i="73"/>
  <c r="CC80" i="73" s="1"/>
  <c r="AP80" i="73"/>
  <c r="AO80" i="73"/>
  <c r="CB80" i="73" s="1"/>
  <c r="AN80" i="73"/>
  <c r="AM80" i="73"/>
  <c r="CA80" i="73" s="1"/>
  <c r="AL80" i="73"/>
  <c r="AK80" i="73"/>
  <c r="BZ80" i="73" s="1"/>
  <c r="AT79" i="73"/>
  <c r="AS79" i="73"/>
  <c r="CD79" i="73" s="1"/>
  <c r="AR79" i="73"/>
  <c r="AQ79" i="73"/>
  <c r="CC79" i="73" s="1"/>
  <c r="AP79" i="73"/>
  <c r="AO79" i="73"/>
  <c r="CB79" i="73" s="1"/>
  <c r="AN79" i="73"/>
  <c r="AM79" i="73"/>
  <c r="CA79" i="73" s="1"/>
  <c r="AL79" i="73"/>
  <c r="AK79" i="73"/>
  <c r="BZ79" i="73" s="1"/>
  <c r="AT78" i="73"/>
  <c r="AS78" i="73"/>
  <c r="CD78" i="73" s="1"/>
  <c r="AR78" i="73"/>
  <c r="AQ78" i="73"/>
  <c r="CC78" i="73" s="1"/>
  <c r="AP78" i="73"/>
  <c r="AO78" i="73"/>
  <c r="CB78" i="73" s="1"/>
  <c r="AN78" i="73"/>
  <c r="AM78" i="73"/>
  <c r="CA78" i="73" s="1"/>
  <c r="AL78" i="73"/>
  <c r="AK78" i="73"/>
  <c r="BZ78" i="73" s="1"/>
  <c r="AT77" i="73"/>
  <c r="AS77" i="73"/>
  <c r="CD77" i="73" s="1"/>
  <c r="AR77" i="73"/>
  <c r="AQ77" i="73"/>
  <c r="CC77" i="73" s="1"/>
  <c r="AP77" i="73"/>
  <c r="AO77" i="73"/>
  <c r="CB77" i="73" s="1"/>
  <c r="AN77" i="73"/>
  <c r="AM77" i="73"/>
  <c r="CA77" i="73" s="1"/>
  <c r="AL77" i="73"/>
  <c r="AK77" i="73"/>
  <c r="BZ77" i="73" s="1"/>
  <c r="AT75" i="73"/>
  <c r="AS75" i="73"/>
  <c r="CD75" i="73" s="1"/>
  <c r="AR75" i="73"/>
  <c r="AQ75" i="73"/>
  <c r="CC75" i="73" s="1"/>
  <c r="AP75" i="73"/>
  <c r="AO75" i="73"/>
  <c r="CB75" i="73" s="1"/>
  <c r="AN75" i="73"/>
  <c r="AM75" i="73"/>
  <c r="CA75" i="73" s="1"/>
  <c r="AL75" i="73"/>
  <c r="AK75" i="73"/>
  <c r="BZ75" i="73" s="1"/>
  <c r="AT73" i="73"/>
  <c r="AS73" i="73"/>
  <c r="CD73" i="73" s="1"/>
  <c r="AR73" i="73"/>
  <c r="AQ73" i="73"/>
  <c r="CC73" i="73" s="1"/>
  <c r="AP73" i="73"/>
  <c r="AO73" i="73"/>
  <c r="CB73" i="73" s="1"/>
  <c r="AN73" i="73"/>
  <c r="AM73" i="73"/>
  <c r="CA73" i="73" s="1"/>
  <c r="AL73" i="73"/>
  <c r="AK73" i="73"/>
  <c r="BZ73" i="73" s="1"/>
  <c r="AT71" i="73"/>
  <c r="AS71" i="73"/>
  <c r="CD71" i="73" s="1"/>
  <c r="AR71" i="73"/>
  <c r="AQ71" i="73"/>
  <c r="CC71" i="73" s="1"/>
  <c r="AP71" i="73"/>
  <c r="AO71" i="73"/>
  <c r="CB71" i="73" s="1"/>
  <c r="AN71" i="73"/>
  <c r="AM71" i="73"/>
  <c r="CA71" i="73" s="1"/>
  <c r="AL71" i="73"/>
  <c r="AK71" i="73"/>
  <c r="BZ71" i="73" s="1"/>
  <c r="AT54" i="73"/>
  <c r="AS54" i="73"/>
  <c r="CD54" i="73" s="1"/>
  <c r="AR54" i="73"/>
  <c r="AQ54" i="73"/>
  <c r="CC54" i="73" s="1"/>
  <c r="AP54" i="73"/>
  <c r="AO54" i="73"/>
  <c r="CB54" i="73" s="1"/>
  <c r="AN54" i="73"/>
  <c r="AM54" i="73"/>
  <c r="CA54" i="73" s="1"/>
  <c r="AL54" i="73"/>
  <c r="AK54" i="73"/>
  <c r="BZ54" i="73" s="1"/>
  <c r="AT53" i="73"/>
  <c r="AS53" i="73"/>
  <c r="CD53" i="73" s="1"/>
  <c r="AR53" i="73"/>
  <c r="AQ53" i="73"/>
  <c r="CC53" i="73" s="1"/>
  <c r="AP53" i="73"/>
  <c r="AO53" i="73"/>
  <c r="CB53" i="73" s="1"/>
  <c r="AN53" i="73"/>
  <c r="AM53" i="73"/>
  <c r="CA53" i="73" s="1"/>
  <c r="AL53" i="73"/>
  <c r="AK53" i="73"/>
  <c r="BZ53" i="73" s="1"/>
  <c r="AT52" i="73"/>
  <c r="AS52" i="73"/>
  <c r="CD52" i="73" s="1"/>
  <c r="AR52" i="73"/>
  <c r="AQ52" i="73"/>
  <c r="CC52" i="73" s="1"/>
  <c r="AP52" i="73"/>
  <c r="AO52" i="73"/>
  <c r="CB52" i="73" s="1"/>
  <c r="AN52" i="73"/>
  <c r="AM52" i="73"/>
  <c r="CA52" i="73" s="1"/>
  <c r="AL52" i="73"/>
  <c r="AK52" i="73"/>
  <c r="BZ52" i="73" s="1"/>
  <c r="AT47" i="73"/>
  <c r="AS47" i="73"/>
  <c r="CD47" i="73" s="1"/>
  <c r="AR47" i="73"/>
  <c r="AQ47" i="73"/>
  <c r="CC47" i="73" s="1"/>
  <c r="AP47" i="73"/>
  <c r="AO47" i="73"/>
  <c r="CB47" i="73" s="1"/>
  <c r="AN47" i="73"/>
  <c r="AM47" i="73"/>
  <c r="CA47" i="73" s="1"/>
  <c r="AL47" i="73"/>
  <c r="AK47" i="73"/>
  <c r="BZ47" i="73" s="1"/>
  <c r="AT46" i="73"/>
  <c r="AS46" i="73"/>
  <c r="CD46" i="73" s="1"/>
  <c r="AR46" i="73"/>
  <c r="AQ46" i="73"/>
  <c r="CC46" i="73" s="1"/>
  <c r="AP46" i="73"/>
  <c r="AO46" i="73"/>
  <c r="CB46" i="73" s="1"/>
  <c r="AN46" i="73"/>
  <c r="AM46" i="73"/>
  <c r="CA46" i="73" s="1"/>
  <c r="AL46" i="73"/>
  <c r="AK46" i="73"/>
  <c r="BZ46" i="73" s="1"/>
  <c r="AT45" i="73"/>
  <c r="AS45" i="73"/>
  <c r="CD45" i="73" s="1"/>
  <c r="AR45" i="73"/>
  <c r="AQ45" i="73"/>
  <c r="CC45" i="73" s="1"/>
  <c r="AP45" i="73"/>
  <c r="AO45" i="73"/>
  <c r="CB45" i="73" s="1"/>
  <c r="AN45" i="73"/>
  <c r="AM45" i="73"/>
  <c r="CA45" i="73" s="1"/>
  <c r="AL45" i="73"/>
  <c r="AK45" i="73"/>
  <c r="BZ45" i="73" s="1"/>
  <c r="AT44" i="73"/>
  <c r="AS44" i="73"/>
  <c r="CD44" i="73" s="1"/>
  <c r="AR44" i="73"/>
  <c r="AQ44" i="73"/>
  <c r="CC44" i="73" s="1"/>
  <c r="AP44" i="73"/>
  <c r="AO44" i="73"/>
  <c r="CB44" i="73" s="1"/>
  <c r="AN44" i="73"/>
  <c r="AM44" i="73"/>
  <c r="CA44" i="73" s="1"/>
  <c r="AL44" i="73"/>
  <c r="AK44" i="73"/>
  <c r="BZ44" i="73" s="1"/>
  <c r="AT43" i="73"/>
  <c r="AS43" i="73"/>
  <c r="CD43" i="73" s="1"/>
  <c r="AR43" i="73"/>
  <c r="AQ43" i="73"/>
  <c r="CC43" i="73" s="1"/>
  <c r="AP43" i="73"/>
  <c r="AO43" i="73"/>
  <c r="CB43" i="73" s="1"/>
  <c r="AN43" i="73"/>
  <c r="AM43" i="73"/>
  <c r="CA43" i="73" s="1"/>
  <c r="AL43" i="73"/>
  <c r="AK43" i="73"/>
  <c r="BZ43" i="73" s="1"/>
  <c r="AT42" i="73"/>
  <c r="AS42" i="73"/>
  <c r="CD42" i="73" s="1"/>
  <c r="AR42" i="73"/>
  <c r="AQ42" i="73"/>
  <c r="CC42" i="73" s="1"/>
  <c r="AP42" i="73"/>
  <c r="AO42" i="73"/>
  <c r="CB42" i="73" s="1"/>
  <c r="AN42" i="73"/>
  <c r="AM42" i="73"/>
  <c r="CA42" i="73" s="1"/>
  <c r="AL42" i="73"/>
  <c r="AK42" i="73"/>
  <c r="BZ42" i="73" s="1"/>
  <c r="AT41" i="73"/>
  <c r="AS41" i="73"/>
  <c r="CD41" i="73" s="1"/>
  <c r="AR41" i="73"/>
  <c r="AQ41" i="73"/>
  <c r="CC41" i="73" s="1"/>
  <c r="AP41" i="73"/>
  <c r="AO41" i="73"/>
  <c r="CB41" i="73" s="1"/>
  <c r="AN41" i="73"/>
  <c r="AM41" i="73"/>
  <c r="CA41" i="73" s="1"/>
  <c r="AL41" i="73"/>
  <c r="AK41" i="73"/>
  <c r="BZ41" i="73" s="1"/>
  <c r="AT40" i="73"/>
  <c r="AS40" i="73"/>
  <c r="CD40" i="73" s="1"/>
  <c r="AR40" i="73"/>
  <c r="AQ40" i="73"/>
  <c r="CC40" i="73" s="1"/>
  <c r="AP40" i="73"/>
  <c r="AO40" i="73"/>
  <c r="CB40" i="73" s="1"/>
  <c r="AN40" i="73"/>
  <c r="AM40" i="73"/>
  <c r="CA40" i="73" s="1"/>
  <c r="AL40" i="73"/>
  <c r="AK40" i="73"/>
  <c r="BZ40" i="73" s="1"/>
  <c r="AT39" i="73"/>
  <c r="AS39" i="73"/>
  <c r="CD39" i="73" s="1"/>
  <c r="AR39" i="73"/>
  <c r="AQ39" i="73"/>
  <c r="CC39" i="73" s="1"/>
  <c r="AP39" i="73"/>
  <c r="AO39" i="73"/>
  <c r="CB39" i="73" s="1"/>
  <c r="AN39" i="73"/>
  <c r="AM39" i="73"/>
  <c r="CA39" i="73" s="1"/>
  <c r="AL39" i="73"/>
  <c r="AK39" i="73"/>
  <c r="BZ39" i="73" s="1"/>
  <c r="AT37" i="73"/>
  <c r="AS37" i="73"/>
  <c r="CD37" i="73" s="1"/>
  <c r="AR37" i="73"/>
  <c r="AQ37" i="73"/>
  <c r="CC37" i="73" s="1"/>
  <c r="AP37" i="73"/>
  <c r="AO37" i="73"/>
  <c r="CB37" i="73" s="1"/>
  <c r="AN37" i="73"/>
  <c r="AM37" i="73"/>
  <c r="CA37" i="73" s="1"/>
  <c r="AL37" i="73"/>
  <c r="AK37" i="73"/>
  <c r="BZ37" i="73" s="1"/>
  <c r="AT36" i="73"/>
  <c r="AS36" i="73"/>
  <c r="CD36" i="73" s="1"/>
  <c r="AR36" i="73"/>
  <c r="AQ36" i="73"/>
  <c r="CC36" i="73" s="1"/>
  <c r="AP36" i="73"/>
  <c r="AO36" i="73"/>
  <c r="CB36" i="73" s="1"/>
  <c r="AN36" i="73"/>
  <c r="AM36" i="73"/>
  <c r="CA36" i="73" s="1"/>
  <c r="AL36" i="73"/>
  <c r="AK36" i="73"/>
  <c r="BZ36" i="73" s="1"/>
  <c r="AT35" i="73"/>
  <c r="AS35" i="73"/>
  <c r="CD35" i="73" s="1"/>
  <c r="AR35" i="73"/>
  <c r="AQ35" i="73"/>
  <c r="CC35" i="73" s="1"/>
  <c r="AP35" i="73"/>
  <c r="AO35" i="73"/>
  <c r="CB35" i="73" s="1"/>
  <c r="AN35" i="73"/>
  <c r="AM35" i="73"/>
  <c r="CA35" i="73" s="1"/>
  <c r="AL35" i="73"/>
  <c r="AK35" i="73"/>
  <c r="BZ35" i="73" s="1"/>
  <c r="AT34" i="73"/>
  <c r="AS34" i="73"/>
  <c r="CD34" i="73" s="1"/>
  <c r="AR34" i="73"/>
  <c r="AQ34" i="73"/>
  <c r="CC34" i="73" s="1"/>
  <c r="AP34" i="73"/>
  <c r="AO34" i="73"/>
  <c r="CB34" i="73" s="1"/>
  <c r="AN34" i="73"/>
  <c r="AM34" i="73"/>
  <c r="CA34" i="73" s="1"/>
  <c r="AL34" i="73"/>
  <c r="AK34" i="73"/>
  <c r="BZ34" i="73" s="1"/>
  <c r="AT33" i="73"/>
  <c r="AS33" i="73"/>
  <c r="CD33" i="73" s="1"/>
  <c r="AR33" i="73"/>
  <c r="AQ33" i="73"/>
  <c r="CC33" i="73" s="1"/>
  <c r="AP33" i="73"/>
  <c r="AO33" i="73"/>
  <c r="CB33" i="73" s="1"/>
  <c r="AN33" i="73"/>
  <c r="AM33" i="73"/>
  <c r="CA33" i="73" s="1"/>
  <c r="AL33" i="73"/>
  <c r="AK33" i="73"/>
  <c r="BZ33" i="73" s="1"/>
  <c r="AT32" i="73"/>
  <c r="AS32" i="73"/>
  <c r="CD32" i="73" s="1"/>
  <c r="AR32" i="73"/>
  <c r="AQ32" i="73"/>
  <c r="CC32" i="73" s="1"/>
  <c r="AP32" i="73"/>
  <c r="AO32" i="73"/>
  <c r="CB32" i="73" s="1"/>
  <c r="AN32" i="73"/>
  <c r="AM32" i="73"/>
  <c r="CA32" i="73" s="1"/>
  <c r="AL32" i="73"/>
  <c r="AK32" i="73"/>
  <c r="BZ32" i="73" s="1"/>
  <c r="AT31" i="73"/>
  <c r="AS31" i="73"/>
  <c r="CD31" i="73" s="1"/>
  <c r="AR31" i="73"/>
  <c r="AQ31" i="73"/>
  <c r="CC31" i="73" s="1"/>
  <c r="AP31" i="73"/>
  <c r="AO31" i="73"/>
  <c r="CB31" i="73" s="1"/>
  <c r="AN31" i="73"/>
  <c r="AM31" i="73"/>
  <c r="CA31" i="73" s="1"/>
  <c r="AL31" i="73"/>
  <c r="AK31" i="73"/>
  <c r="BZ31" i="73" s="1"/>
  <c r="AT30" i="73"/>
  <c r="AS30" i="73"/>
  <c r="CD30" i="73" s="1"/>
  <c r="AR30" i="73"/>
  <c r="AQ30" i="73"/>
  <c r="CC30" i="73" s="1"/>
  <c r="AP30" i="73"/>
  <c r="AO30" i="73"/>
  <c r="CB30" i="73" s="1"/>
  <c r="AN30" i="73"/>
  <c r="AM30" i="73"/>
  <c r="CA30" i="73" s="1"/>
  <c r="AL30" i="73"/>
  <c r="AK30" i="73"/>
  <c r="BZ30" i="73" s="1"/>
  <c r="AT28" i="73"/>
  <c r="AS28" i="73"/>
  <c r="CD28" i="73" s="1"/>
  <c r="AR28" i="73"/>
  <c r="AQ28" i="73"/>
  <c r="CC28" i="73" s="1"/>
  <c r="AP28" i="73"/>
  <c r="AO28" i="73"/>
  <c r="CB28" i="73" s="1"/>
  <c r="AN28" i="73"/>
  <c r="AM28" i="73"/>
  <c r="CA28" i="73" s="1"/>
  <c r="AL28" i="73"/>
  <c r="AK28" i="73"/>
  <c r="BZ28" i="73" s="1"/>
  <c r="AT27" i="73"/>
  <c r="AS27" i="73"/>
  <c r="CD27" i="73" s="1"/>
  <c r="AR27" i="73"/>
  <c r="AQ27" i="73"/>
  <c r="CC27" i="73" s="1"/>
  <c r="AP27" i="73"/>
  <c r="AO27" i="73"/>
  <c r="CB27" i="73" s="1"/>
  <c r="AN27" i="73"/>
  <c r="AM27" i="73"/>
  <c r="CA27" i="73" s="1"/>
  <c r="AL27" i="73"/>
  <c r="AK27" i="73"/>
  <c r="BZ27" i="73" s="1"/>
  <c r="AT26" i="73"/>
  <c r="AS26" i="73"/>
  <c r="CD26" i="73" s="1"/>
  <c r="AR26" i="73"/>
  <c r="AQ26" i="73"/>
  <c r="CC26" i="73" s="1"/>
  <c r="AP26" i="73"/>
  <c r="AO26" i="73"/>
  <c r="CB26" i="73" s="1"/>
  <c r="AN26" i="73"/>
  <c r="AM26" i="73"/>
  <c r="CA26" i="73" s="1"/>
  <c r="AL26" i="73"/>
  <c r="AK26" i="73"/>
  <c r="BZ26" i="73" s="1"/>
  <c r="AT23" i="73"/>
  <c r="AS23" i="73"/>
  <c r="CD23" i="73" s="1"/>
  <c r="AR23" i="73"/>
  <c r="AQ23" i="73"/>
  <c r="CC23" i="73" s="1"/>
  <c r="AP23" i="73"/>
  <c r="AO23" i="73"/>
  <c r="CB23" i="73" s="1"/>
  <c r="AN23" i="73"/>
  <c r="AM23" i="73"/>
  <c r="CA23" i="73" s="1"/>
  <c r="AL23" i="73"/>
  <c r="AK23" i="73"/>
  <c r="BZ23" i="73" s="1"/>
  <c r="AT22" i="73"/>
  <c r="AS22" i="73"/>
  <c r="CD22" i="73" s="1"/>
  <c r="AR22" i="73"/>
  <c r="AQ22" i="73"/>
  <c r="CC22" i="73" s="1"/>
  <c r="AP22" i="73"/>
  <c r="AO22" i="73"/>
  <c r="CB22" i="73" s="1"/>
  <c r="AN22" i="73"/>
  <c r="AM22" i="73"/>
  <c r="CA22" i="73" s="1"/>
  <c r="AL22" i="73"/>
  <c r="AK22" i="73"/>
  <c r="BZ22" i="73" s="1"/>
  <c r="AT20" i="73"/>
  <c r="AS20" i="73"/>
  <c r="CD20" i="73" s="1"/>
  <c r="AR20" i="73"/>
  <c r="AQ20" i="73"/>
  <c r="CC20" i="73" s="1"/>
  <c r="AP20" i="73"/>
  <c r="AO20" i="73"/>
  <c r="CB20" i="73" s="1"/>
  <c r="AN20" i="73"/>
  <c r="AM20" i="73"/>
  <c r="CA20" i="73" s="1"/>
  <c r="AL20" i="73"/>
  <c r="AK20" i="73"/>
  <c r="BZ20" i="73" s="1"/>
  <c r="AT19" i="73"/>
  <c r="AS19" i="73"/>
  <c r="CD19" i="73" s="1"/>
  <c r="AR19" i="73"/>
  <c r="AQ19" i="73"/>
  <c r="CC19" i="73" s="1"/>
  <c r="AP19" i="73"/>
  <c r="AO19" i="73"/>
  <c r="CB19" i="73" s="1"/>
  <c r="AN19" i="73"/>
  <c r="AM19" i="73"/>
  <c r="CA19" i="73" s="1"/>
  <c r="AL19" i="73"/>
  <c r="AK19" i="73"/>
  <c r="BZ19" i="73" s="1"/>
  <c r="AT16" i="73"/>
  <c r="AS16" i="73"/>
  <c r="CD16" i="73" s="1"/>
  <c r="AR16" i="73"/>
  <c r="AQ16" i="73"/>
  <c r="CC16" i="73" s="1"/>
  <c r="AP16" i="73"/>
  <c r="AO16" i="73"/>
  <c r="CB16" i="73" s="1"/>
  <c r="AN16" i="73"/>
  <c r="AM16" i="73"/>
  <c r="CA16" i="73" s="1"/>
  <c r="AL16" i="73"/>
  <c r="AK16" i="73"/>
  <c r="BZ16" i="73" s="1"/>
  <c r="AT15" i="73"/>
  <c r="AS15" i="73"/>
  <c r="CD15" i="73" s="1"/>
  <c r="AR15" i="73"/>
  <c r="AQ15" i="73"/>
  <c r="CC15" i="73" s="1"/>
  <c r="AP15" i="73"/>
  <c r="AO15" i="73"/>
  <c r="CB15" i="73" s="1"/>
  <c r="AN15" i="73"/>
  <c r="AM15" i="73"/>
  <c r="CA15" i="73" s="1"/>
  <c r="AL15" i="73"/>
  <c r="AK15" i="73"/>
  <c r="BZ15" i="73" s="1"/>
  <c r="AT14" i="73"/>
  <c r="AS14" i="73"/>
  <c r="CD14" i="73" s="1"/>
  <c r="AR14" i="73"/>
  <c r="AQ14" i="73"/>
  <c r="CC14" i="73" s="1"/>
  <c r="AP14" i="73"/>
  <c r="AO14" i="73"/>
  <c r="CB14" i="73" s="1"/>
  <c r="AN14" i="73"/>
  <c r="AM14" i="73"/>
  <c r="CA14" i="73" s="1"/>
  <c r="AL14" i="73"/>
  <c r="AK14" i="73"/>
  <c r="BZ14" i="73" s="1"/>
  <c r="AT13" i="73"/>
  <c r="AS13" i="73"/>
  <c r="CD13" i="73" s="1"/>
  <c r="AR13" i="73"/>
  <c r="AQ13" i="73"/>
  <c r="CC13" i="73" s="1"/>
  <c r="AP13" i="73"/>
  <c r="AO13" i="73"/>
  <c r="CB13" i="73" s="1"/>
  <c r="AN13" i="73"/>
  <c r="AM13" i="73"/>
  <c r="CA13" i="73" s="1"/>
  <c r="AL13" i="73"/>
  <c r="AK13" i="73"/>
  <c r="BZ13" i="73" s="1"/>
  <c r="AU87" i="73"/>
  <c r="CE87" i="73" s="1"/>
  <c r="AU86" i="73"/>
  <c r="CE86" i="73" s="1"/>
  <c r="AU85" i="73"/>
  <c r="CE85" i="73" s="1"/>
  <c r="AU84" i="73"/>
  <c r="CE84" i="73" s="1"/>
  <c r="AU82" i="73"/>
  <c r="CE82" i="73" s="1"/>
  <c r="AU81" i="73"/>
  <c r="CE81" i="73" s="1"/>
  <c r="AU80" i="73"/>
  <c r="CE80" i="73" s="1"/>
  <c r="AU79" i="73"/>
  <c r="CE79" i="73" s="1"/>
  <c r="AU78" i="73"/>
  <c r="CE78" i="73" s="1"/>
  <c r="AU77" i="73"/>
  <c r="CE77" i="73" s="1"/>
  <c r="AU75" i="73"/>
  <c r="CE75" i="73" s="1"/>
  <c r="AU73" i="73"/>
  <c r="CE73" i="73" s="1"/>
  <c r="AU71" i="73"/>
  <c r="CE71" i="73" s="1"/>
  <c r="AU54" i="73"/>
  <c r="CE54" i="73" s="1"/>
  <c r="AU53" i="73"/>
  <c r="CE53" i="73" s="1"/>
  <c r="AU52" i="73"/>
  <c r="CE52" i="73" s="1"/>
  <c r="AU47" i="73"/>
  <c r="CE47" i="73" s="1"/>
  <c r="AU46" i="73"/>
  <c r="CE46" i="73" s="1"/>
  <c r="AU45" i="73"/>
  <c r="CE45" i="73" s="1"/>
  <c r="AU44" i="73"/>
  <c r="CE44" i="73" s="1"/>
  <c r="AU43" i="73"/>
  <c r="CE43" i="73" s="1"/>
  <c r="AU42" i="73"/>
  <c r="CE42" i="73" s="1"/>
  <c r="AU41" i="73"/>
  <c r="CE41" i="73" s="1"/>
  <c r="AU40" i="73"/>
  <c r="CE40" i="73" s="1"/>
  <c r="AU39" i="73"/>
  <c r="CE39" i="73" s="1"/>
  <c r="AU37" i="73"/>
  <c r="CE37" i="73" s="1"/>
  <c r="AU36" i="73"/>
  <c r="CE36" i="73" s="1"/>
  <c r="AU35" i="73"/>
  <c r="CE35" i="73" s="1"/>
  <c r="AU34" i="73"/>
  <c r="CE34" i="73" s="1"/>
  <c r="AU33" i="73"/>
  <c r="CE33" i="73" s="1"/>
  <c r="AU32" i="73"/>
  <c r="CE32" i="73" s="1"/>
  <c r="AU31" i="73"/>
  <c r="CE31" i="73" s="1"/>
  <c r="AU30" i="73"/>
  <c r="CE30" i="73" s="1"/>
  <c r="AU28" i="73"/>
  <c r="CE28" i="73" s="1"/>
  <c r="AU27" i="73"/>
  <c r="CE27" i="73" s="1"/>
  <c r="AU26" i="73"/>
  <c r="CE26" i="73" s="1"/>
  <c r="AU23" i="73"/>
  <c r="CE23" i="73" s="1"/>
  <c r="AU22" i="73"/>
  <c r="CE22" i="73" s="1"/>
  <c r="AU20" i="73"/>
  <c r="CE20" i="73" s="1"/>
  <c r="AU19" i="73"/>
  <c r="CE19" i="73" s="1"/>
  <c r="AU16" i="73"/>
  <c r="CE16" i="73" s="1"/>
  <c r="AU15" i="73"/>
  <c r="CE15" i="73" s="1"/>
  <c r="AU14" i="73"/>
  <c r="CE14" i="73" s="1"/>
  <c r="AU13" i="73"/>
  <c r="CE13" i="73" s="1"/>
  <c r="AJ87" i="73"/>
  <c r="BY87" i="73" s="1"/>
  <c r="AJ86" i="73"/>
  <c r="BY86" i="73" s="1"/>
  <c r="AJ85" i="73"/>
  <c r="BY85" i="73" s="1"/>
  <c r="AJ84" i="73"/>
  <c r="BY84" i="73" s="1"/>
  <c r="AJ82" i="73"/>
  <c r="BY82" i="73" s="1"/>
  <c r="AJ81" i="73"/>
  <c r="BY81" i="73" s="1"/>
  <c r="AJ80" i="73"/>
  <c r="BY80" i="73" s="1"/>
  <c r="AJ79" i="73"/>
  <c r="BY79" i="73" s="1"/>
  <c r="AJ78" i="73"/>
  <c r="BY78" i="73" s="1"/>
  <c r="AJ77" i="73"/>
  <c r="BY77" i="73" s="1"/>
  <c r="AJ75" i="73"/>
  <c r="BY75" i="73" s="1"/>
  <c r="AJ73" i="73"/>
  <c r="BY73" i="73" s="1"/>
  <c r="AJ71" i="73"/>
  <c r="BY71" i="73" s="1"/>
  <c r="AJ54" i="73"/>
  <c r="BY54" i="73" s="1"/>
  <c r="AJ53" i="73"/>
  <c r="BY53" i="73" s="1"/>
  <c r="AJ52" i="73"/>
  <c r="BY52" i="73" s="1"/>
  <c r="AJ47" i="73"/>
  <c r="BY47" i="73" s="1"/>
  <c r="AJ46" i="73"/>
  <c r="BY46" i="73" s="1"/>
  <c r="AJ45" i="73"/>
  <c r="BY45" i="73" s="1"/>
  <c r="AJ44" i="73"/>
  <c r="BY44" i="73" s="1"/>
  <c r="AJ43" i="73"/>
  <c r="BY43" i="73" s="1"/>
  <c r="AJ42" i="73"/>
  <c r="BY42" i="73" s="1"/>
  <c r="AJ41" i="73"/>
  <c r="BY41" i="73" s="1"/>
  <c r="AJ40" i="73"/>
  <c r="BY40" i="73" s="1"/>
  <c r="AJ39" i="73"/>
  <c r="BY39" i="73" s="1"/>
  <c r="AJ37" i="73"/>
  <c r="BY37" i="73" s="1"/>
  <c r="AJ36" i="73"/>
  <c r="BY36" i="73" s="1"/>
  <c r="AJ35" i="73"/>
  <c r="BY35" i="73" s="1"/>
  <c r="AJ34" i="73"/>
  <c r="BY34" i="73" s="1"/>
  <c r="AJ33" i="73"/>
  <c r="BY33" i="73" s="1"/>
  <c r="AJ32" i="73"/>
  <c r="BY32" i="73" s="1"/>
  <c r="AJ31" i="73"/>
  <c r="BY31" i="73" s="1"/>
  <c r="AJ30" i="73"/>
  <c r="BY30" i="73" s="1"/>
  <c r="AJ28" i="73"/>
  <c r="BY28" i="73" s="1"/>
  <c r="AJ27" i="73"/>
  <c r="BY27" i="73" s="1"/>
  <c r="AJ26" i="73"/>
  <c r="BY26" i="73" s="1"/>
  <c r="AJ23" i="73"/>
  <c r="BY23" i="73" s="1"/>
  <c r="AJ22" i="73"/>
  <c r="BY22" i="73" s="1"/>
  <c r="AJ20" i="73"/>
  <c r="BY20" i="73" s="1"/>
  <c r="AJ19" i="73"/>
  <c r="BY19" i="73" s="1"/>
  <c r="AJ16" i="73"/>
  <c r="BY16" i="73" s="1"/>
  <c r="AJ15" i="73"/>
  <c r="BY15" i="73" s="1"/>
  <c r="AJ14" i="73"/>
  <c r="BY14" i="73" s="1"/>
  <c r="AJ13" i="73"/>
  <c r="BY13" i="73" s="1"/>
  <c r="AI92" i="73"/>
  <c r="AH92" i="73"/>
  <c r="BX92" i="73" s="1"/>
  <c r="AG92" i="73"/>
  <c r="AF92" i="73"/>
  <c r="BW92" i="73" s="1"/>
  <c r="AE92" i="73"/>
  <c r="AD92" i="73"/>
  <c r="BV92" i="73" s="1"/>
  <c r="AC92" i="73"/>
  <c r="AB92" i="73"/>
  <c r="BU92" i="73" s="1"/>
  <c r="AA92" i="73"/>
  <c r="Z92" i="73"/>
  <c r="BT92" i="73" s="1"/>
  <c r="AI87" i="73"/>
  <c r="AH87" i="73"/>
  <c r="BX87" i="73" s="1"/>
  <c r="AG87" i="73"/>
  <c r="AF87" i="73"/>
  <c r="BW87" i="73" s="1"/>
  <c r="AE87" i="73"/>
  <c r="AD87" i="73"/>
  <c r="BV87" i="73" s="1"/>
  <c r="AC87" i="73"/>
  <c r="AB87" i="73"/>
  <c r="BU87" i="73" s="1"/>
  <c r="AA87" i="73"/>
  <c r="Z87" i="73"/>
  <c r="BT87" i="73" s="1"/>
  <c r="AI86" i="73"/>
  <c r="AH86" i="73"/>
  <c r="BX86" i="73" s="1"/>
  <c r="AG86" i="73"/>
  <c r="AF86" i="73"/>
  <c r="BW86" i="73" s="1"/>
  <c r="AE86" i="73"/>
  <c r="AD86" i="73"/>
  <c r="BV86" i="73" s="1"/>
  <c r="AC86" i="73"/>
  <c r="AB86" i="73"/>
  <c r="BU86" i="73" s="1"/>
  <c r="AA86" i="73"/>
  <c r="Z86" i="73"/>
  <c r="BT86" i="73" s="1"/>
  <c r="AI85" i="73"/>
  <c r="AH85" i="73"/>
  <c r="BX85" i="73" s="1"/>
  <c r="AG85" i="73"/>
  <c r="AF85" i="73"/>
  <c r="BW85" i="73" s="1"/>
  <c r="AE85" i="73"/>
  <c r="AD85" i="73"/>
  <c r="BV85" i="73" s="1"/>
  <c r="AC85" i="73"/>
  <c r="AB85" i="73"/>
  <c r="BU85" i="73" s="1"/>
  <c r="AA85" i="73"/>
  <c r="Z85" i="73"/>
  <c r="BT85" i="73" s="1"/>
  <c r="AI84" i="73"/>
  <c r="AH84" i="73"/>
  <c r="BX84" i="73" s="1"/>
  <c r="AG84" i="73"/>
  <c r="AF84" i="73"/>
  <c r="BW84" i="73" s="1"/>
  <c r="AE84" i="73"/>
  <c r="AD84" i="73"/>
  <c r="BV84" i="73" s="1"/>
  <c r="AC84" i="73"/>
  <c r="AB84" i="73"/>
  <c r="BU84" i="73" s="1"/>
  <c r="AA84" i="73"/>
  <c r="Z84" i="73"/>
  <c r="BT84" i="73" s="1"/>
  <c r="AI82" i="73"/>
  <c r="AH82" i="73"/>
  <c r="BX82" i="73" s="1"/>
  <c r="AG82" i="73"/>
  <c r="AF82" i="73"/>
  <c r="BW82" i="73" s="1"/>
  <c r="AE82" i="73"/>
  <c r="AD82" i="73"/>
  <c r="BV82" i="73" s="1"/>
  <c r="AC82" i="73"/>
  <c r="AB82" i="73"/>
  <c r="BU82" i="73" s="1"/>
  <c r="AA82" i="73"/>
  <c r="Z82" i="73"/>
  <c r="BT82" i="73" s="1"/>
  <c r="AI81" i="73"/>
  <c r="AH81" i="73"/>
  <c r="BX81" i="73" s="1"/>
  <c r="AG81" i="73"/>
  <c r="AF81" i="73"/>
  <c r="BW81" i="73" s="1"/>
  <c r="AE81" i="73"/>
  <c r="AD81" i="73"/>
  <c r="BV81" i="73" s="1"/>
  <c r="AC81" i="73"/>
  <c r="AB81" i="73"/>
  <c r="BU81" i="73" s="1"/>
  <c r="AA81" i="73"/>
  <c r="Z81" i="73"/>
  <c r="BT81" i="73" s="1"/>
  <c r="AI80" i="73"/>
  <c r="AH80" i="73"/>
  <c r="BX80" i="73" s="1"/>
  <c r="AG80" i="73"/>
  <c r="AF80" i="73"/>
  <c r="BW80" i="73" s="1"/>
  <c r="AE80" i="73"/>
  <c r="AD80" i="73"/>
  <c r="BV80" i="73" s="1"/>
  <c r="AC80" i="73"/>
  <c r="AB80" i="73"/>
  <c r="BU80" i="73" s="1"/>
  <c r="AA80" i="73"/>
  <c r="Z80" i="73"/>
  <c r="BT80" i="73" s="1"/>
  <c r="AI79" i="73"/>
  <c r="AH79" i="73"/>
  <c r="BX79" i="73" s="1"/>
  <c r="AG79" i="73"/>
  <c r="AF79" i="73"/>
  <c r="BW79" i="73" s="1"/>
  <c r="AE79" i="73"/>
  <c r="AD79" i="73"/>
  <c r="BV79" i="73" s="1"/>
  <c r="AC79" i="73"/>
  <c r="AB79" i="73"/>
  <c r="BU79" i="73" s="1"/>
  <c r="AA79" i="73"/>
  <c r="Z79" i="73"/>
  <c r="BT79" i="73" s="1"/>
  <c r="AI78" i="73"/>
  <c r="AH78" i="73"/>
  <c r="BX78" i="73" s="1"/>
  <c r="AG78" i="73"/>
  <c r="AF78" i="73"/>
  <c r="BW78" i="73" s="1"/>
  <c r="AE78" i="73"/>
  <c r="AD78" i="73"/>
  <c r="BV78" i="73" s="1"/>
  <c r="AC78" i="73"/>
  <c r="AB78" i="73"/>
  <c r="BU78" i="73" s="1"/>
  <c r="AA78" i="73"/>
  <c r="Z78" i="73"/>
  <c r="BT78" i="73" s="1"/>
  <c r="AI77" i="73"/>
  <c r="AH77" i="73"/>
  <c r="BX77" i="73" s="1"/>
  <c r="AG77" i="73"/>
  <c r="AF77" i="73"/>
  <c r="BW77" i="73" s="1"/>
  <c r="AE77" i="73"/>
  <c r="AD77" i="73"/>
  <c r="BV77" i="73" s="1"/>
  <c r="AC77" i="73"/>
  <c r="AB77" i="73"/>
  <c r="BU77" i="73" s="1"/>
  <c r="AA77" i="73"/>
  <c r="Z77" i="73"/>
  <c r="BT77" i="73" s="1"/>
  <c r="AI75" i="73"/>
  <c r="AH75" i="73"/>
  <c r="BX75" i="73" s="1"/>
  <c r="AG75" i="73"/>
  <c r="AF75" i="73"/>
  <c r="BW75" i="73" s="1"/>
  <c r="AE75" i="73"/>
  <c r="AD75" i="73"/>
  <c r="BV75" i="73" s="1"/>
  <c r="AC75" i="73"/>
  <c r="AB75" i="73"/>
  <c r="BU75" i="73" s="1"/>
  <c r="AA75" i="73"/>
  <c r="Z75" i="73"/>
  <c r="BT75" i="73" s="1"/>
  <c r="AI74" i="73"/>
  <c r="AH74" i="73"/>
  <c r="BX74" i="73" s="1"/>
  <c r="AG74" i="73"/>
  <c r="AF74" i="73"/>
  <c r="BW74" i="73" s="1"/>
  <c r="AE74" i="73"/>
  <c r="AD74" i="73"/>
  <c r="BV74" i="73" s="1"/>
  <c r="AC74" i="73"/>
  <c r="AB74" i="73"/>
  <c r="BU74" i="73" s="1"/>
  <c r="AA74" i="73"/>
  <c r="Z74" i="73"/>
  <c r="BT74" i="73" s="1"/>
  <c r="AI72" i="73"/>
  <c r="AH72" i="73"/>
  <c r="BX72" i="73" s="1"/>
  <c r="AG72" i="73"/>
  <c r="AF72" i="73"/>
  <c r="BW72" i="73" s="1"/>
  <c r="AE72" i="73"/>
  <c r="AD72" i="73"/>
  <c r="BV72" i="73" s="1"/>
  <c r="AC72" i="73"/>
  <c r="AB72" i="73"/>
  <c r="BU72" i="73" s="1"/>
  <c r="AA72" i="73"/>
  <c r="Z72" i="73"/>
  <c r="BT72" i="73" s="1"/>
  <c r="AI71" i="73"/>
  <c r="AH71" i="73"/>
  <c r="BX71" i="73" s="1"/>
  <c r="AG71" i="73"/>
  <c r="AF71" i="73"/>
  <c r="BW71" i="73" s="1"/>
  <c r="AE71" i="73"/>
  <c r="AD71" i="73"/>
  <c r="BV71" i="73" s="1"/>
  <c r="AC71" i="73"/>
  <c r="AB71" i="73"/>
  <c r="BU71" i="73" s="1"/>
  <c r="AA71" i="73"/>
  <c r="Z71" i="73"/>
  <c r="BT71" i="73" s="1"/>
  <c r="AI54" i="73"/>
  <c r="AH54" i="73"/>
  <c r="BX54" i="73" s="1"/>
  <c r="AG54" i="73"/>
  <c r="AF54" i="73"/>
  <c r="BW54" i="73" s="1"/>
  <c r="AE54" i="73"/>
  <c r="AD54" i="73"/>
  <c r="BV54" i="73" s="1"/>
  <c r="AC54" i="73"/>
  <c r="AB54" i="73"/>
  <c r="BU54" i="73" s="1"/>
  <c r="AA54" i="73"/>
  <c r="Z54" i="73"/>
  <c r="BT54" i="73" s="1"/>
  <c r="AI53" i="73"/>
  <c r="AH53" i="73"/>
  <c r="BX53" i="73" s="1"/>
  <c r="AG53" i="73"/>
  <c r="AF53" i="73"/>
  <c r="BW53" i="73" s="1"/>
  <c r="AE53" i="73"/>
  <c r="AD53" i="73"/>
  <c r="BV53" i="73" s="1"/>
  <c r="AC53" i="73"/>
  <c r="AB53" i="73"/>
  <c r="BU53" i="73" s="1"/>
  <c r="AA53" i="73"/>
  <c r="Z53" i="73"/>
  <c r="BT53" i="73" s="1"/>
  <c r="AI52" i="73"/>
  <c r="AH52" i="73"/>
  <c r="BX52" i="73" s="1"/>
  <c r="AG52" i="73"/>
  <c r="AF52" i="73"/>
  <c r="BW52" i="73" s="1"/>
  <c r="AE52" i="73"/>
  <c r="AD52" i="73"/>
  <c r="BV52" i="73" s="1"/>
  <c r="AC52" i="73"/>
  <c r="AB52" i="73"/>
  <c r="BU52" i="73" s="1"/>
  <c r="AA52" i="73"/>
  <c r="Z52" i="73"/>
  <c r="BT52" i="73" s="1"/>
  <c r="AI47" i="73"/>
  <c r="AH47" i="73"/>
  <c r="BX47" i="73" s="1"/>
  <c r="AG47" i="73"/>
  <c r="AF47" i="73"/>
  <c r="BW47" i="73" s="1"/>
  <c r="AE47" i="73"/>
  <c r="AD47" i="73"/>
  <c r="BV47" i="73" s="1"/>
  <c r="AC47" i="73"/>
  <c r="AB47" i="73"/>
  <c r="BU47" i="73" s="1"/>
  <c r="AA47" i="73"/>
  <c r="Z47" i="73"/>
  <c r="BT47" i="73" s="1"/>
  <c r="AI46" i="73"/>
  <c r="AH46" i="73"/>
  <c r="BX46" i="73" s="1"/>
  <c r="AG46" i="73"/>
  <c r="AF46" i="73"/>
  <c r="BW46" i="73" s="1"/>
  <c r="AE46" i="73"/>
  <c r="AD46" i="73"/>
  <c r="BV46" i="73" s="1"/>
  <c r="AC46" i="73"/>
  <c r="AB46" i="73"/>
  <c r="BU46" i="73" s="1"/>
  <c r="AA46" i="73"/>
  <c r="Z46" i="73"/>
  <c r="BT46" i="73" s="1"/>
  <c r="AI45" i="73"/>
  <c r="AH45" i="73"/>
  <c r="BX45" i="73" s="1"/>
  <c r="AG45" i="73"/>
  <c r="AF45" i="73"/>
  <c r="BW45" i="73" s="1"/>
  <c r="AE45" i="73"/>
  <c r="AD45" i="73"/>
  <c r="BV45" i="73" s="1"/>
  <c r="AC45" i="73"/>
  <c r="AB45" i="73"/>
  <c r="BU45" i="73" s="1"/>
  <c r="AA45" i="73"/>
  <c r="Z45" i="73"/>
  <c r="BT45" i="73" s="1"/>
  <c r="AI44" i="73"/>
  <c r="AH44" i="73"/>
  <c r="BX44" i="73" s="1"/>
  <c r="AG44" i="73"/>
  <c r="AF44" i="73"/>
  <c r="BW44" i="73" s="1"/>
  <c r="AE44" i="73"/>
  <c r="AD44" i="73"/>
  <c r="BV44" i="73" s="1"/>
  <c r="AC44" i="73"/>
  <c r="AB44" i="73"/>
  <c r="BU44" i="73" s="1"/>
  <c r="AA44" i="73"/>
  <c r="Z44" i="73"/>
  <c r="BT44" i="73" s="1"/>
  <c r="AI43" i="73"/>
  <c r="AH43" i="73"/>
  <c r="BX43" i="73" s="1"/>
  <c r="AG43" i="73"/>
  <c r="AF43" i="73"/>
  <c r="BW43" i="73" s="1"/>
  <c r="AE43" i="73"/>
  <c r="AD43" i="73"/>
  <c r="BV43" i="73" s="1"/>
  <c r="AC43" i="73"/>
  <c r="AB43" i="73"/>
  <c r="BU43" i="73" s="1"/>
  <c r="AA43" i="73"/>
  <c r="Z43" i="73"/>
  <c r="BT43" i="73" s="1"/>
  <c r="AI42" i="73"/>
  <c r="AH42" i="73"/>
  <c r="BX42" i="73" s="1"/>
  <c r="AG42" i="73"/>
  <c r="AF42" i="73"/>
  <c r="BW42" i="73" s="1"/>
  <c r="AE42" i="73"/>
  <c r="AD42" i="73"/>
  <c r="BV42" i="73" s="1"/>
  <c r="AC42" i="73"/>
  <c r="AB42" i="73"/>
  <c r="BU42" i="73" s="1"/>
  <c r="AA42" i="73"/>
  <c r="Z42" i="73"/>
  <c r="BT42" i="73" s="1"/>
  <c r="AI41" i="73"/>
  <c r="AH41" i="73"/>
  <c r="BX41" i="73" s="1"/>
  <c r="AG41" i="73"/>
  <c r="AF41" i="73"/>
  <c r="BW41" i="73" s="1"/>
  <c r="AE41" i="73"/>
  <c r="AD41" i="73"/>
  <c r="BV41" i="73" s="1"/>
  <c r="AC41" i="73"/>
  <c r="AB41" i="73"/>
  <c r="BU41" i="73" s="1"/>
  <c r="AA41" i="73"/>
  <c r="Z41" i="73"/>
  <c r="BT41" i="73" s="1"/>
  <c r="AI40" i="73"/>
  <c r="AH40" i="73"/>
  <c r="BX40" i="73" s="1"/>
  <c r="AG40" i="73"/>
  <c r="AF40" i="73"/>
  <c r="BW40" i="73" s="1"/>
  <c r="AE40" i="73"/>
  <c r="AD40" i="73"/>
  <c r="BV40" i="73" s="1"/>
  <c r="AC40" i="73"/>
  <c r="AB40" i="73"/>
  <c r="BU40" i="73" s="1"/>
  <c r="AA40" i="73"/>
  <c r="Z40" i="73"/>
  <c r="BT40" i="73" s="1"/>
  <c r="AI39" i="73"/>
  <c r="AH39" i="73"/>
  <c r="BX39" i="73" s="1"/>
  <c r="AG39" i="73"/>
  <c r="AF39" i="73"/>
  <c r="BW39" i="73" s="1"/>
  <c r="AE39" i="73"/>
  <c r="AD39" i="73"/>
  <c r="BV39" i="73" s="1"/>
  <c r="AC39" i="73"/>
  <c r="AB39" i="73"/>
  <c r="BU39" i="73" s="1"/>
  <c r="AA39" i="73"/>
  <c r="Z39" i="73"/>
  <c r="BT39" i="73" s="1"/>
  <c r="AI37" i="73"/>
  <c r="AH37" i="73"/>
  <c r="BX37" i="73" s="1"/>
  <c r="AG37" i="73"/>
  <c r="AF37" i="73"/>
  <c r="BW37" i="73" s="1"/>
  <c r="AE37" i="73"/>
  <c r="AD37" i="73"/>
  <c r="BV37" i="73" s="1"/>
  <c r="AC37" i="73"/>
  <c r="AB37" i="73"/>
  <c r="BU37" i="73" s="1"/>
  <c r="AA37" i="73"/>
  <c r="Z37" i="73"/>
  <c r="BT37" i="73" s="1"/>
  <c r="AI36" i="73"/>
  <c r="AH36" i="73"/>
  <c r="BX36" i="73" s="1"/>
  <c r="AG36" i="73"/>
  <c r="AF36" i="73"/>
  <c r="BW36" i="73" s="1"/>
  <c r="AE36" i="73"/>
  <c r="AD36" i="73"/>
  <c r="BV36" i="73" s="1"/>
  <c r="AC36" i="73"/>
  <c r="AB36" i="73"/>
  <c r="BU36" i="73" s="1"/>
  <c r="AA36" i="73"/>
  <c r="Z36" i="73"/>
  <c r="BT36" i="73" s="1"/>
  <c r="AI35" i="73"/>
  <c r="AH35" i="73"/>
  <c r="BX35" i="73" s="1"/>
  <c r="AG35" i="73"/>
  <c r="AF35" i="73"/>
  <c r="BW35" i="73" s="1"/>
  <c r="AE35" i="73"/>
  <c r="AD35" i="73"/>
  <c r="BV35" i="73" s="1"/>
  <c r="AC35" i="73"/>
  <c r="AB35" i="73"/>
  <c r="BU35" i="73" s="1"/>
  <c r="AA35" i="73"/>
  <c r="Z35" i="73"/>
  <c r="BT35" i="73" s="1"/>
  <c r="AI34" i="73"/>
  <c r="AH34" i="73"/>
  <c r="BX34" i="73" s="1"/>
  <c r="AG34" i="73"/>
  <c r="AF34" i="73"/>
  <c r="BW34" i="73" s="1"/>
  <c r="AE34" i="73"/>
  <c r="AD34" i="73"/>
  <c r="BV34" i="73" s="1"/>
  <c r="AC34" i="73"/>
  <c r="AB34" i="73"/>
  <c r="BU34" i="73" s="1"/>
  <c r="AA34" i="73"/>
  <c r="Z34" i="73"/>
  <c r="BT34" i="73" s="1"/>
  <c r="AI33" i="73"/>
  <c r="AH33" i="73"/>
  <c r="BX33" i="73" s="1"/>
  <c r="AG33" i="73"/>
  <c r="AF33" i="73"/>
  <c r="BW33" i="73" s="1"/>
  <c r="AE33" i="73"/>
  <c r="AD33" i="73"/>
  <c r="BV33" i="73" s="1"/>
  <c r="AC33" i="73"/>
  <c r="AB33" i="73"/>
  <c r="BU33" i="73" s="1"/>
  <c r="AA33" i="73"/>
  <c r="Z33" i="73"/>
  <c r="BT33" i="73" s="1"/>
  <c r="AI32" i="73"/>
  <c r="AH32" i="73"/>
  <c r="BX32" i="73" s="1"/>
  <c r="AG32" i="73"/>
  <c r="AF32" i="73"/>
  <c r="BW32" i="73" s="1"/>
  <c r="AE32" i="73"/>
  <c r="AD32" i="73"/>
  <c r="BV32" i="73" s="1"/>
  <c r="AC32" i="73"/>
  <c r="AB32" i="73"/>
  <c r="BU32" i="73" s="1"/>
  <c r="AA32" i="73"/>
  <c r="Z32" i="73"/>
  <c r="BT32" i="73" s="1"/>
  <c r="AI31" i="73"/>
  <c r="AH31" i="73"/>
  <c r="BX31" i="73" s="1"/>
  <c r="AG31" i="73"/>
  <c r="AF31" i="73"/>
  <c r="BW31" i="73" s="1"/>
  <c r="AE31" i="73"/>
  <c r="AD31" i="73"/>
  <c r="BV31" i="73" s="1"/>
  <c r="AC31" i="73"/>
  <c r="AB31" i="73"/>
  <c r="BU31" i="73" s="1"/>
  <c r="AA31" i="73"/>
  <c r="Z31" i="73"/>
  <c r="BT31" i="73" s="1"/>
  <c r="AI30" i="73"/>
  <c r="AH30" i="73"/>
  <c r="BX30" i="73" s="1"/>
  <c r="AG30" i="73"/>
  <c r="AF30" i="73"/>
  <c r="BW30" i="73" s="1"/>
  <c r="AE30" i="73"/>
  <c r="AD30" i="73"/>
  <c r="BV30" i="73" s="1"/>
  <c r="AC30" i="73"/>
  <c r="AB30" i="73"/>
  <c r="BU30" i="73" s="1"/>
  <c r="AA30" i="73"/>
  <c r="Z30" i="73"/>
  <c r="BT30" i="73" s="1"/>
  <c r="AI28" i="73"/>
  <c r="AH28" i="73"/>
  <c r="BX28" i="73" s="1"/>
  <c r="AG28" i="73"/>
  <c r="AF28" i="73"/>
  <c r="BW28" i="73" s="1"/>
  <c r="AE28" i="73"/>
  <c r="AD28" i="73"/>
  <c r="BV28" i="73" s="1"/>
  <c r="AC28" i="73"/>
  <c r="AB28" i="73"/>
  <c r="BU28" i="73" s="1"/>
  <c r="AA28" i="73"/>
  <c r="Z28" i="73"/>
  <c r="BT28" i="73" s="1"/>
  <c r="AI27" i="73"/>
  <c r="AH27" i="73"/>
  <c r="BX27" i="73" s="1"/>
  <c r="AG27" i="73"/>
  <c r="AF27" i="73"/>
  <c r="BW27" i="73" s="1"/>
  <c r="AE27" i="73"/>
  <c r="AD27" i="73"/>
  <c r="BV27" i="73" s="1"/>
  <c r="AC27" i="73"/>
  <c r="AB27" i="73"/>
  <c r="BU27" i="73" s="1"/>
  <c r="AA27" i="73"/>
  <c r="Z27" i="73"/>
  <c r="BT27" i="73" s="1"/>
  <c r="AI26" i="73"/>
  <c r="AH26" i="73"/>
  <c r="BX26" i="73" s="1"/>
  <c r="AG26" i="73"/>
  <c r="AF26" i="73"/>
  <c r="BW26" i="73" s="1"/>
  <c r="AE26" i="73"/>
  <c r="AD26" i="73"/>
  <c r="BV26" i="73" s="1"/>
  <c r="AC26" i="73"/>
  <c r="AB26" i="73"/>
  <c r="BU26" i="73" s="1"/>
  <c r="AA26" i="73"/>
  <c r="Z26" i="73"/>
  <c r="BT26" i="73" s="1"/>
  <c r="AI23" i="73"/>
  <c r="AH23" i="73"/>
  <c r="BX23" i="73" s="1"/>
  <c r="AG23" i="73"/>
  <c r="AF23" i="73"/>
  <c r="BW23" i="73" s="1"/>
  <c r="AE23" i="73"/>
  <c r="AD23" i="73"/>
  <c r="BV23" i="73" s="1"/>
  <c r="AC23" i="73"/>
  <c r="AB23" i="73"/>
  <c r="BU23" i="73" s="1"/>
  <c r="AA23" i="73"/>
  <c r="Z23" i="73"/>
  <c r="BT23" i="73" s="1"/>
  <c r="AI22" i="73"/>
  <c r="AH22" i="73"/>
  <c r="BX22" i="73" s="1"/>
  <c r="AG22" i="73"/>
  <c r="AF22" i="73"/>
  <c r="BW22" i="73" s="1"/>
  <c r="AE22" i="73"/>
  <c r="AD22" i="73"/>
  <c r="BV22" i="73" s="1"/>
  <c r="AC22" i="73"/>
  <c r="AB22" i="73"/>
  <c r="BU22" i="73" s="1"/>
  <c r="AA22" i="73"/>
  <c r="Z22" i="73"/>
  <c r="BT22" i="73" s="1"/>
  <c r="AI20" i="73"/>
  <c r="AH20" i="73"/>
  <c r="BX20" i="73" s="1"/>
  <c r="AG20" i="73"/>
  <c r="AF20" i="73"/>
  <c r="BW20" i="73" s="1"/>
  <c r="AE20" i="73"/>
  <c r="AD20" i="73"/>
  <c r="BV20" i="73" s="1"/>
  <c r="AC20" i="73"/>
  <c r="AB20" i="73"/>
  <c r="BU20" i="73" s="1"/>
  <c r="AA20" i="73"/>
  <c r="Z20" i="73"/>
  <c r="BT20" i="73" s="1"/>
  <c r="AI19" i="73"/>
  <c r="AH19" i="73"/>
  <c r="BX19" i="73" s="1"/>
  <c r="AG19" i="73"/>
  <c r="AF19" i="73"/>
  <c r="BW19" i="73" s="1"/>
  <c r="AE19" i="73"/>
  <c r="AD19" i="73"/>
  <c r="BV19" i="73" s="1"/>
  <c r="AC19" i="73"/>
  <c r="AB19" i="73"/>
  <c r="BU19" i="73" s="1"/>
  <c r="AA19" i="73"/>
  <c r="Z19" i="73"/>
  <c r="BT19" i="73" s="1"/>
  <c r="AI16" i="73"/>
  <c r="AH16" i="73"/>
  <c r="BX16" i="73" s="1"/>
  <c r="AG16" i="73"/>
  <c r="AF16" i="73"/>
  <c r="BW16" i="73" s="1"/>
  <c r="AE16" i="73"/>
  <c r="AD16" i="73"/>
  <c r="BV16" i="73" s="1"/>
  <c r="AC16" i="73"/>
  <c r="AB16" i="73"/>
  <c r="BU16" i="73" s="1"/>
  <c r="AA16" i="73"/>
  <c r="Z16" i="73"/>
  <c r="BT16" i="73" s="1"/>
  <c r="AI15" i="73"/>
  <c r="AH15" i="73"/>
  <c r="BX15" i="73" s="1"/>
  <c r="AG15" i="73"/>
  <c r="AF15" i="73"/>
  <c r="BW15" i="73" s="1"/>
  <c r="AE15" i="73"/>
  <c r="AD15" i="73"/>
  <c r="BV15" i="73" s="1"/>
  <c r="AC15" i="73"/>
  <c r="AB15" i="73"/>
  <c r="BU15" i="73" s="1"/>
  <c r="AA15" i="73"/>
  <c r="Z15" i="73"/>
  <c r="BT15" i="73" s="1"/>
  <c r="AI14" i="73"/>
  <c r="AH14" i="73"/>
  <c r="BX14" i="73" s="1"/>
  <c r="AG14" i="73"/>
  <c r="AF14" i="73"/>
  <c r="BW14" i="73" s="1"/>
  <c r="AE14" i="73"/>
  <c r="AD14" i="73"/>
  <c r="BV14" i="73" s="1"/>
  <c r="AC14" i="73"/>
  <c r="AB14" i="73"/>
  <c r="BU14" i="73" s="1"/>
  <c r="AA14" i="73"/>
  <c r="Z14" i="73"/>
  <c r="BT14" i="73" s="1"/>
  <c r="AI13" i="73"/>
  <c r="AH13" i="73"/>
  <c r="BX13" i="73" s="1"/>
  <c r="AG13" i="73"/>
  <c r="AF13" i="73"/>
  <c r="BW13" i="73" s="1"/>
  <c r="AE13" i="73"/>
  <c r="AD13" i="73"/>
  <c r="BV13" i="73" s="1"/>
  <c r="AC13" i="73"/>
  <c r="AB13" i="73"/>
  <c r="BU13" i="73" s="1"/>
  <c r="AA13" i="73"/>
  <c r="Z13" i="73"/>
  <c r="BT13" i="73" s="1"/>
  <c r="Y92" i="73"/>
  <c r="BS92" i="73" s="1"/>
  <c r="Y87" i="73"/>
  <c r="BS87" i="73" s="1"/>
  <c r="Y86" i="73"/>
  <c r="BS86" i="73" s="1"/>
  <c r="Y85" i="73"/>
  <c r="BS85" i="73" s="1"/>
  <c r="Y84" i="73"/>
  <c r="BS84" i="73" s="1"/>
  <c r="Y82" i="73"/>
  <c r="BS82" i="73" s="1"/>
  <c r="Y81" i="73"/>
  <c r="BS81" i="73" s="1"/>
  <c r="Y80" i="73"/>
  <c r="BS80" i="73" s="1"/>
  <c r="Y79" i="73"/>
  <c r="BS79" i="73" s="1"/>
  <c r="Y78" i="73"/>
  <c r="BS78" i="73" s="1"/>
  <c r="Y77" i="73"/>
  <c r="BS77" i="73" s="1"/>
  <c r="Y75" i="73"/>
  <c r="BS75" i="73" s="1"/>
  <c r="Y74" i="73"/>
  <c r="BS74" i="73" s="1"/>
  <c r="Y72" i="73"/>
  <c r="BS72" i="73" s="1"/>
  <c r="Y71" i="73"/>
  <c r="BS71" i="73" s="1"/>
  <c r="Y54" i="73"/>
  <c r="BS54" i="73" s="1"/>
  <c r="Y53" i="73"/>
  <c r="BS53" i="73" s="1"/>
  <c r="Y52" i="73"/>
  <c r="BS52" i="73" s="1"/>
  <c r="Y47" i="73"/>
  <c r="BS47" i="73" s="1"/>
  <c r="Y46" i="73"/>
  <c r="BS46" i="73" s="1"/>
  <c r="Y45" i="73"/>
  <c r="BS45" i="73" s="1"/>
  <c r="Y44" i="73"/>
  <c r="BS44" i="73" s="1"/>
  <c r="Y43" i="73"/>
  <c r="BS43" i="73" s="1"/>
  <c r="Y42" i="73"/>
  <c r="BS42" i="73" s="1"/>
  <c r="Y41" i="73"/>
  <c r="BS41" i="73" s="1"/>
  <c r="Y40" i="73"/>
  <c r="BS40" i="73" s="1"/>
  <c r="Y39" i="73"/>
  <c r="BS39" i="73" s="1"/>
  <c r="Y37" i="73"/>
  <c r="BS37" i="73" s="1"/>
  <c r="Y36" i="73"/>
  <c r="BS36" i="73" s="1"/>
  <c r="Y35" i="73"/>
  <c r="BS35" i="73" s="1"/>
  <c r="Y34" i="73"/>
  <c r="BS34" i="73" s="1"/>
  <c r="Y33" i="73"/>
  <c r="BS33" i="73" s="1"/>
  <c r="Y32" i="73"/>
  <c r="BS32" i="73" s="1"/>
  <c r="Y31" i="73"/>
  <c r="BS31" i="73" s="1"/>
  <c r="Y30" i="73"/>
  <c r="BS30" i="73" s="1"/>
  <c r="Y28" i="73"/>
  <c r="BS28" i="73" s="1"/>
  <c r="Y27" i="73"/>
  <c r="BS27" i="73" s="1"/>
  <c r="Y26" i="73"/>
  <c r="BS26" i="73" s="1"/>
  <c r="Y23" i="73"/>
  <c r="BS23" i="73" s="1"/>
  <c r="Y22" i="73"/>
  <c r="BS22" i="73" s="1"/>
  <c r="Y20" i="73"/>
  <c r="BS20" i="73" s="1"/>
  <c r="Y19" i="73"/>
  <c r="BS19" i="73" s="1"/>
  <c r="Y16" i="73"/>
  <c r="BS16" i="73" s="1"/>
  <c r="Y15" i="73"/>
  <c r="BS15" i="73" s="1"/>
  <c r="Y14" i="73"/>
  <c r="BS14" i="73" s="1"/>
  <c r="Y13" i="73"/>
  <c r="BS13" i="73" s="1"/>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BR92" i="73" s="1"/>
  <c r="W87" i="73"/>
  <c r="BR87" i="73" s="1"/>
  <c r="W86" i="73"/>
  <c r="BR86" i="73" s="1"/>
  <c r="W85" i="73"/>
  <c r="BR85" i="73" s="1"/>
  <c r="W84" i="73"/>
  <c r="BR84" i="73" s="1"/>
  <c r="W82" i="73"/>
  <c r="BR82" i="73" s="1"/>
  <c r="W81" i="73"/>
  <c r="BR81" i="73" s="1"/>
  <c r="W80" i="73"/>
  <c r="BR80" i="73" s="1"/>
  <c r="W79" i="73"/>
  <c r="BR79" i="73" s="1"/>
  <c r="W78" i="73"/>
  <c r="BR78" i="73" s="1"/>
  <c r="W77" i="73"/>
  <c r="BR77" i="73" s="1"/>
  <c r="W75" i="73"/>
  <c r="BR75" i="73" s="1"/>
  <c r="W74" i="73"/>
  <c r="BR74" i="73" s="1"/>
  <c r="W72" i="73"/>
  <c r="BR72" i="73" s="1"/>
  <c r="W71" i="73"/>
  <c r="BR71" i="73" s="1"/>
  <c r="W54" i="73"/>
  <c r="BR54" i="73" s="1"/>
  <c r="W53" i="73"/>
  <c r="BR53" i="73" s="1"/>
  <c r="W52" i="73"/>
  <c r="BR52" i="73" s="1"/>
  <c r="W47" i="73"/>
  <c r="BR47" i="73" s="1"/>
  <c r="W46" i="73"/>
  <c r="BR46" i="73" s="1"/>
  <c r="W45" i="73"/>
  <c r="BR45" i="73" s="1"/>
  <c r="W44" i="73"/>
  <c r="BR44" i="73" s="1"/>
  <c r="W43" i="73"/>
  <c r="BR43" i="73" s="1"/>
  <c r="W42" i="73"/>
  <c r="BR42" i="73" s="1"/>
  <c r="W41" i="73"/>
  <c r="BR41" i="73" s="1"/>
  <c r="W40" i="73"/>
  <c r="BR40" i="73" s="1"/>
  <c r="W39" i="73"/>
  <c r="BR39" i="73" s="1"/>
  <c r="W37" i="73"/>
  <c r="BR37" i="73" s="1"/>
  <c r="W36" i="73"/>
  <c r="BR36" i="73" s="1"/>
  <c r="W35" i="73"/>
  <c r="BR35" i="73" s="1"/>
  <c r="W34" i="73"/>
  <c r="BR34" i="73" s="1"/>
  <c r="W33" i="73"/>
  <c r="BR33" i="73" s="1"/>
  <c r="W32" i="73"/>
  <c r="BR32" i="73" s="1"/>
  <c r="W31" i="73"/>
  <c r="BR31" i="73" s="1"/>
  <c r="W30" i="73"/>
  <c r="BR30" i="73" s="1"/>
  <c r="W28" i="73"/>
  <c r="BR28" i="73" s="1"/>
  <c r="W27" i="73"/>
  <c r="BR27" i="73" s="1"/>
  <c r="W26" i="73"/>
  <c r="BR26" i="73" s="1"/>
  <c r="W23" i="73"/>
  <c r="BR23" i="73" s="1"/>
  <c r="W22" i="73"/>
  <c r="BR22" i="73" s="1"/>
  <c r="W20" i="73"/>
  <c r="BR20" i="73" s="1"/>
  <c r="W19" i="73"/>
  <c r="BR19" i="73" s="1"/>
  <c r="W16" i="73"/>
  <c r="BR16" i="73" s="1"/>
  <c r="W15" i="73"/>
  <c r="BR15" i="73" s="1"/>
  <c r="W14" i="73"/>
  <c r="BR14" i="73" s="1"/>
  <c r="W13" i="73"/>
  <c r="BR13" i="73" s="1"/>
  <c r="U92" i="73"/>
  <c r="BQ92" i="73" s="1"/>
  <c r="U87" i="73"/>
  <c r="BQ87" i="73" s="1"/>
  <c r="U86" i="73"/>
  <c r="BQ86" i="73" s="1"/>
  <c r="U85" i="73"/>
  <c r="BQ85" i="73" s="1"/>
  <c r="U84" i="73"/>
  <c r="BQ84" i="73" s="1"/>
  <c r="U82" i="73"/>
  <c r="BQ82" i="73" s="1"/>
  <c r="U81" i="73"/>
  <c r="BQ81" i="73" s="1"/>
  <c r="U80" i="73"/>
  <c r="BQ80" i="73" s="1"/>
  <c r="U79" i="73"/>
  <c r="BQ79" i="73" s="1"/>
  <c r="U78" i="73"/>
  <c r="BQ78" i="73" s="1"/>
  <c r="U77" i="73"/>
  <c r="BQ77" i="73" s="1"/>
  <c r="U75" i="73"/>
  <c r="BQ75" i="73" s="1"/>
  <c r="U74" i="73"/>
  <c r="BQ74" i="73" s="1"/>
  <c r="U72" i="73"/>
  <c r="BQ72" i="73" s="1"/>
  <c r="U71" i="73"/>
  <c r="BQ71" i="73" s="1"/>
  <c r="U54" i="73"/>
  <c r="BQ54" i="73" s="1"/>
  <c r="U53" i="73"/>
  <c r="BQ53" i="73" s="1"/>
  <c r="U52" i="73"/>
  <c r="BQ52" i="73" s="1"/>
  <c r="U47" i="73"/>
  <c r="BQ47" i="73" s="1"/>
  <c r="U46" i="73"/>
  <c r="BQ46" i="73" s="1"/>
  <c r="U45" i="73"/>
  <c r="BQ45" i="73" s="1"/>
  <c r="U44" i="73"/>
  <c r="BQ44" i="73" s="1"/>
  <c r="U43" i="73"/>
  <c r="BQ43" i="73" s="1"/>
  <c r="U42" i="73"/>
  <c r="BQ42" i="73" s="1"/>
  <c r="U41" i="73"/>
  <c r="BQ41" i="73" s="1"/>
  <c r="U40" i="73"/>
  <c r="BQ40" i="73" s="1"/>
  <c r="U39" i="73"/>
  <c r="BQ39" i="73" s="1"/>
  <c r="U37" i="73"/>
  <c r="BQ37" i="73" s="1"/>
  <c r="U36" i="73"/>
  <c r="BQ36" i="73" s="1"/>
  <c r="U35" i="73"/>
  <c r="BQ35" i="73" s="1"/>
  <c r="U34" i="73"/>
  <c r="BQ34" i="73" s="1"/>
  <c r="U33" i="73"/>
  <c r="BQ33" i="73" s="1"/>
  <c r="U32" i="73"/>
  <c r="BQ32" i="73" s="1"/>
  <c r="U31" i="73"/>
  <c r="BQ31" i="73" s="1"/>
  <c r="U30" i="73"/>
  <c r="BQ30" i="73" s="1"/>
  <c r="U28" i="73"/>
  <c r="BQ28" i="73" s="1"/>
  <c r="U27" i="73"/>
  <c r="BQ27" i="73" s="1"/>
  <c r="U26" i="73"/>
  <c r="BQ26" i="73" s="1"/>
  <c r="U23" i="73"/>
  <c r="BQ23" i="73" s="1"/>
  <c r="U22" i="73"/>
  <c r="BQ22" i="73" s="1"/>
  <c r="U20" i="73"/>
  <c r="BQ20" i="73" s="1"/>
  <c r="U19" i="73"/>
  <c r="BQ19" i="73" s="1"/>
  <c r="U16" i="73"/>
  <c r="BQ16" i="73" s="1"/>
  <c r="U15" i="73"/>
  <c r="BQ15" i="73" s="1"/>
  <c r="U14" i="73"/>
  <c r="BQ14" i="73" s="1"/>
  <c r="U13" i="73"/>
  <c r="BQ13" i="73" s="1"/>
  <c r="S92" i="73"/>
  <c r="BP92" i="73" s="1"/>
  <c r="S87" i="73"/>
  <c r="BP87" i="73" s="1"/>
  <c r="S86" i="73"/>
  <c r="BP86" i="73" s="1"/>
  <c r="S85" i="73"/>
  <c r="BP85" i="73" s="1"/>
  <c r="S84" i="73"/>
  <c r="BP84" i="73" s="1"/>
  <c r="S82" i="73"/>
  <c r="BP82" i="73" s="1"/>
  <c r="S81" i="73"/>
  <c r="BP81" i="73" s="1"/>
  <c r="S80" i="73"/>
  <c r="BP80" i="73" s="1"/>
  <c r="S79" i="73"/>
  <c r="BP79" i="73" s="1"/>
  <c r="S78" i="73"/>
  <c r="BP78" i="73" s="1"/>
  <c r="S77" i="73"/>
  <c r="BP77" i="73" s="1"/>
  <c r="S75" i="73"/>
  <c r="BP75" i="73" s="1"/>
  <c r="S74" i="73"/>
  <c r="BP74" i="73" s="1"/>
  <c r="S72" i="73"/>
  <c r="BP72" i="73" s="1"/>
  <c r="S71" i="73"/>
  <c r="BP71" i="73" s="1"/>
  <c r="S54" i="73"/>
  <c r="BP54" i="73" s="1"/>
  <c r="S53" i="73"/>
  <c r="BP53" i="73" s="1"/>
  <c r="S52" i="73"/>
  <c r="BP52" i="73" s="1"/>
  <c r="S47" i="73"/>
  <c r="BP47" i="73" s="1"/>
  <c r="S46" i="73"/>
  <c r="BP46" i="73" s="1"/>
  <c r="S45" i="73"/>
  <c r="BP45" i="73" s="1"/>
  <c r="S44" i="73"/>
  <c r="BP44" i="73" s="1"/>
  <c r="S43" i="73"/>
  <c r="BP43" i="73" s="1"/>
  <c r="S42" i="73"/>
  <c r="BP42" i="73" s="1"/>
  <c r="S41" i="73"/>
  <c r="BP41" i="73" s="1"/>
  <c r="S40" i="73"/>
  <c r="BP40" i="73" s="1"/>
  <c r="S39" i="73"/>
  <c r="BP39" i="73" s="1"/>
  <c r="S37" i="73"/>
  <c r="BP37" i="73" s="1"/>
  <c r="S36" i="73"/>
  <c r="BP36" i="73" s="1"/>
  <c r="S35" i="73"/>
  <c r="BP35" i="73" s="1"/>
  <c r="S34" i="73"/>
  <c r="BP34" i="73" s="1"/>
  <c r="S33" i="73"/>
  <c r="BP33" i="73" s="1"/>
  <c r="S32" i="73"/>
  <c r="BP32" i="73" s="1"/>
  <c r="S31" i="73"/>
  <c r="BP31" i="73" s="1"/>
  <c r="S30" i="73"/>
  <c r="BP30" i="73" s="1"/>
  <c r="S28" i="73"/>
  <c r="BP28" i="73" s="1"/>
  <c r="S27" i="73"/>
  <c r="BP27" i="73" s="1"/>
  <c r="S26" i="73"/>
  <c r="BP26" i="73" s="1"/>
  <c r="S23" i="73"/>
  <c r="BP23" i="73" s="1"/>
  <c r="S22" i="73"/>
  <c r="BP22" i="73" s="1"/>
  <c r="S20" i="73"/>
  <c r="BP20" i="73" s="1"/>
  <c r="S19" i="73"/>
  <c r="BP19" i="73" s="1"/>
  <c r="S16" i="73"/>
  <c r="BP16" i="73" s="1"/>
  <c r="S15" i="73"/>
  <c r="BP15" i="73" s="1"/>
  <c r="S14" i="73"/>
  <c r="BP14" i="73" s="1"/>
  <c r="S13" i="73"/>
  <c r="BP13" i="73" s="1"/>
  <c r="Q92" i="73"/>
  <c r="BO92" i="73" s="1"/>
  <c r="Q87" i="73"/>
  <c r="BO87" i="73" s="1"/>
  <c r="Q86" i="73"/>
  <c r="BO86" i="73" s="1"/>
  <c r="Q85" i="73"/>
  <c r="BO85" i="73" s="1"/>
  <c r="Q84" i="73"/>
  <c r="BO84" i="73" s="1"/>
  <c r="Q82" i="73"/>
  <c r="BO82" i="73" s="1"/>
  <c r="Q81" i="73"/>
  <c r="BO81" i="73" s="1"/>
  <c r="Q80" i="73"/>
  <c r="BO80" i="73" s="1"/>
  <c r="Q79" i="73"/>
  <c r="BO79" i="73" s="1"/>
  <c r="Q78" i="73"/>
  <c r="BO78" i="73" s="1"/>
  <c r="Q77" i="73"/>
  <c r="BO77" i="73" s="1"/>
  <c r="Q75" i="73"/>
  <c r="BO75" i="73" s="1"/>
  <c r="Q74" i="73"/>
  <c r="BO74" i="73" s="1"/>
  <c r="Q72" i="73"/>
  <c r="BO72" i="73" s="1"/>
  <c r="Q71" i="73"/>
  <c r="BO71" i="73" s="1"/>
  <c r="Q54" i="73"/>
  <c r="BO54" i="73" s="1"/>
  <c r="Q53" i="73"/>
  <c r="BO53" i="73" s="1"/>
  <c r="Q52" i="73"/>
  <c r="BO52" i="73" s="1"/>
  <c r="Q47" i="73"/>
  <c r="BO47" i="73" s="1"/>
  <c r="Q46" i="73"/>
  <c r="BO46" i="73" s="1"/>
  <c r="Q45" i="73"/>
  <c r="BO45" i="73" s="1"/>
  <c r="Q44" i="73"/>
  <c r="BO44" i="73" s="1"/>
  <c r="Q43" i="73"/>
  <c r="BO43" i="73" s="1"/>
  <c r="Q42" i="73"/>
  <c r="BO42" i="73" s="1"/>
  <c r="Q41" i="73"/>
  <c r="BO41" i="73" s="1"/>
  <c r="Q40" i="73"/>
  <c r="BO40" i="73" s="1"/>
  <c r="Q39" i="73"/>
  <c r="BO39" i="73" s="1"/>
  <c r="Q37" i="73"/>
  <c r="BO37" i="73" s="1"/>
  <c r="Q36" i="73"/>
  <c r="BO36" i="73" s="1"/>
  <c r="Q35" i="73"/>
  <c r="BO35" i="73" s="1"/>
  <c r="Q34" i="73"/>
  <c r="BO34" i="73" s="1"/>
  <c r="Q33" i="73"/>
  <c r="BO33" i="73" s="1"/>
  <c r="Q32" i="73"/>
  <c r="BO32" i="73" s="1"/>
  <c r="Q31" i="73"/>
  <c r="BO31" i="73" s="1"/>
  <c r="Q30" i="73"/>
  <c r="BO30" i="73" s="1"/>
  <c r="Q28" i="73"/>
  <c r="BO28" i="73" s="1"/>
  <c r="Q27" i="73"/>
  <c r="BO27" i="73" s="1"/>
  <c r="Q26" i="73"/>
  <c r="BO26" i="73" s="1"/>
  <c r="Q23" i="73"/>
  <c r="BO23" i="73" s="1"/>
  <c r="Q22" i="73"/>
  <c r="BO22" i="73" s="1"/>
  <c r="Q20" i="73"/>
  <c r="BO20" i="73" s="1"/>
  <c r="Q19" i="73"/>
  <c r="BO19" i="73" s="1"/>
  <c r="Q16" i="73"/>
  <c r="BO16" i="73" s="1"/>
  <c r="Q15" i="73"/>
  <c r="BO15" i="73" s="1"/>
  <c r="Q14" i="73"/>
  <c r="BO14" i="73" s="1"/>
  <c r="Q13" i="73"/>
  <c r="BO13" i="73" s="1"/>
  <c r="O92" i="73"/>
  <c r="BN92" i="73" s="1"/>
  <c r="O87" i="73"/>
  <c r="BN87" i="73" s="1"/>
  <c r="O86" i="73"/>
  <c r="BN86" i="73" s="1"/>
  <c r="O85" i="73"/>
  <c r="BN85" i="73" s="1"/>
  <c r="O84" i="73"/>
  <c r="BN84" i="73" s="1"/>
  <c r="O82" i="73"/>
  <c r="BN82" i="73" s="1"/>
  <c r="O81" i="73"/>
  <c r="BN81" i="73" s="1"/>
  <c r="O80" i="73"/>
  <c r="BN80" i="73" s="1"/>
  <c r="O79" i="73"/>
  <c r="BN79" i="73" s="1"/>
  <c r="O78" i="73"/>
  <c r="BN78" i="73" s="1"/>
  <c r="O77" i="73"/>
  <c r="BN77" i="73" s="1"/>
  <c r="O75" i="73"/>
  <c r="BN75" i="73" s="1"/>
  <c r="O74" i="73"/>
  <c r="BN74" i="73" s="1"/>
  <c r="O72" i="73"/>
  <c r="BN72" i="73" s="1"/>
  <c r="O71" i="73"/>
  <c r="BN71" i="73" s="1"/>
  <c r="O54" i="73"/>
  <c r="BN54" i="73" s="1"/>
  <c r="O53" i="73"/>
  <c r="BN53" i="73" s="1"/>
  <c r="O52" i="73"/>
  <c r="BN52" i="73" s="1"/>
  <c r="O47" i="73"/>
  <c r="BN47" i="73" s="1"/>
  <c r="O46" i="73"/>
  <c r="BN46" i="73" s="1"/>
  <c r="O45" i="73"/>
  <c r="BN45" i="73" s="1"/>
  <c r="O44" i="73"/>
  <c r="BN44" i="73" s="1"/>
  <c r="O43" i="73"/>
  <c r="BN43" i="73" s="1"/>
  <c r="O42" i="73"/>
  <c r="BN42" i="73" s="1"/>
  <c r="O41" i="73"/>
  <c r="BN41" i="73" s="1"/>
  <c r="O40" i="73"/>
  <c r="BN40" i="73" s="1"/>
  <c r="O39" i="73"/>
  <c r="BN39" i="73" s="1"/>
  <c r="O37" i="73"/>
  <c r="BN37" i="73" s="1"/>
  <c r="O36" i="73"/>
  <c r="BN36" i="73" s="1"/>
  <c r="O35" i="73"/>
  <c r="BN35" i="73" s="1"/>
  <c r="O34" i="73"/>
  <c r="BN34" i="73" s="1"/>
  <c r="O33" i="73"/>
  <c r="BN33" i="73" s="1"/>
  <c r="O32" i="73"/>
  <c r="BN32" i="73" s="1"/>
  <c r="O31" i="73"/>
  <c r="BN31" i="73" s="1"/>
  <c r="O30" i="73"/>
  <c r="BN30" i="73" s="1"/>
  <c r="O28" i="73"/>
  <c r="BN28" i="73" s="1"/>
  <c r="O27" i="73"/>
  <c r="BN27" i="73" s="1"/>
  <c r="O26" i="73"/>
  <c r="BN26" i="73" s="1"/>
  <c r="O23" i="73"/>
  <c r="BN23" i="73" s="1"/>
  <c r="O22" i="73"/>
  <c r="BN22" i="73" s="1"/>
  <c r="O20" i="73"/>
  <c r="BN20" i="73" s="1"/>
  <c r="O19" i="73"/>
  <c r="BN19" i="73" s="1"/>
  <c r="O16" i="73"/>
  <c r="BN16" i="73" s="1"/>
  <c r="O15" i="73"/>
  <c r="BN15" i="73" s="1"/>
  <c r="O14" i="73"/>
  <c r="BN14" i="73" s="1"/>
  <c r="O13" i="73"/>
  <c r="BN13" i="73" s="1"/>
  <c r="N92" i="73"/>
  <c r="BM92" i="73" s="1"/>
  <c r="N87" i="73"/>
  <c r="BM87" i="73" s="1"/>
  <c r="N86" i="73"/>
  <c r="BM86" i="73" s="1"/>
  <c r="N85" i="73"/>
  <c r="BM85" i="73" s="1"/>
  <c r="N84" i="73"/>
  <c r="BM84" i="73" s="1"/>
  <c r="N82" i="73"/>
  <c r="BM82" i="73" s="1"/>
  <c r="N81" i="73"/>
  <c r="BM81" i="73" s="1"/>
  <c r="N80" i="73"/>
  <c r="BM80" i="73" s="1"/>
  <c r="N79" i="73"/>
  <c r="BM79" i="73" s="1"/>
  <c r="N78" i="73"/>
  <c r="BM78" i="73" s="1"/>
  <c r="N77" i="73"/>
  <c r="BM77" i="73" s="1"/>
  <c r="N75" i="73"/>
  <c r="BM75" i="73" s="1"/>
  <c r="N74" i="73"/>
  <c r="BM74" i="73" s="1"/>
  <c r="N72" i="73"/>
  <c r="BM72" i="73" s="1"/>
  <c r="N71" i="73"/>
  <c r="BM71" i="73" s="1"/>
  <c r="N54" i="73"/>
  <c r="BM54" i="73" s="1"/>
  <c r="N53" i="73"/>
  <c r="BM53" i="73" s="1"/>
  <c r="N52" i="73"/>
  <c r="BM52" i="73" s="1"/>
  <c r="N47" i="73"/>
  <c r="BM47" i="73" s="1"/>
  <c r="N46" i="73"/>
  <c r="BM46" i="73" s="1"/>
  <c r="N45" i="73"/>
  <c r="BM45" i="73" s="1"/>
  <c r="N44" i="73"/>
  <c r="BM44" i="73" s="1"/>
  <c r="N43" i="73"/>
  <c r="BM43" i="73" s="1"/>
  <c r="N42" i="73"/>
  <c r="BM42" i="73" s="1"/>
  <c r="N41" i="73"/>
  <c r="BM41" i="73" s="1"/>
  <c r="N40" i="73"/>
  <c r="BM40" i="73" s="1"/>
  <c r="N39" i="73"/>
  <c r="BM39" i="73" s="1"/>
  <c r="N37" i="73"/>
  <c r="BM37" i="73" s="1"/>
  <c r="N36" i="73"/>
  <c r="BM36" i="73" s="1"/>
  <c r="N35" i="73"/>
  <c r="BM35" i="73" s="1"/>
  <c r="N34" i="73"/>
  <c r="BM34" i="73" s="1"/>
  <c r="N33" i="73"/>
  <c r="BM33" i="73" s="1"/>
  <c r="N32" i="73"/>
  <c r="BM32" i="73" s="1"/>
  <c r="N31" i="73"/>
  <c r="BM31" i="73" s="1"/>
  <c r="N30" i="73"/>
  <c r="BM30" i="73" s="1"/>
  <c r="N28" i="73"/>
  <c r="BM28" i="73" s="1"/>
  <c r="N27" i="73"/>
  <c r="BM27" i="73" s="1"/>
  <c r="N26" i="73"/>
  <c r="BM26" i="73" s="1"/>
  <c r="N23" i="73"/>
  <c r="BM23" i="73" s="1"/>
  <c r="N22" i="73"/>
  <c r="BM22" i="73" s="1"/>
  <c r="N20" i="73"/>
  <c r="BM20" i="73" s="1"/>
  <c r="N19" i="73"/>
  <c r="BM19" i="73" s="1"/>
  <c r="N16" i="73"/>
  <c r="BM16" i="73" s="1"/>
  <c r="N15" i="73"/>
  <c r="BM15" i="73" s="1"/>
  <c r="N14" i="73"/>
  <c r="BM14" i="73" s="1"/>
  <c r="N13" i="73"/>
  <c r="BM13" i="73" s="1"/>
  <c r="M92" i="73"/>
  <c r="L92" i="73"/>
  <c r="BL92" i="73" s="1"/>
  <c r="K92" i="73"/>
  <c r="J92" i="73"/>
  <c r="BK92" i="73" s="1"/>
  <c r="I92" i="73"/>
  <c r="H92" i="73"/>
  <c r="BJ92" i="73" s="1"/>
  <c r="G92" i="73"/>
  <c r="F92" i="73"/>
  <c r="BI92" i="73" s="1"/>
  <c r="E92" i="73"/>
  <c r="D92" i="73"/>
  <c r="BH92" i="73" s="1"/>
  <c r="M87" i="73"/>
  <c r="L87" i="73"/>
  <c r="BL87" i="73" s="1"/>
  <c r="K87" i="73"/>
  <c r="J87" i="73"/>
  <c r="BK87" i="73" s="1"/>
  <c r="I87" i="73"/>
  <c r="H87" i="73"/>
  <c r="BJ87" i="73" s="1"/>
  <c r="G87" i="73"/>
  <c r="F87" i="73"/>
  <c r="BI87" i="73" s="1"/>
  <c r="E87" i="73"/>
  <c r="D87" i="73"/>
  <c r="BH87" i="73" s="1"/>
  <c r="M86" i="73"/>
  <c r="L86" i="73"/>
  <c r="BL86" i="73" s="1"/>
  <c r="K86" i="73"/>
  <c r="J86" i="73"/>
  <c r="BK86" i="73" s="1"/>
  <c r="I86" i="73"/>
  <c r="H86" i="73"/>
  <c r="BJ86" i="73" s="1"/>
  <c r="G86" i="73"/>
  <c r="F86" i="73"/>
  <c r="BI86" i="73" s="1"/>
  <c r="E86" i="73"/>
  <c r="D86" i="73"/>
  <c r="BH86" i="73" s="1"/>
  <c r="M85" i="73"/>
  <c r="L85" i="73"/>
  <c r="BL85" i="73" s="1"/>
  <c r="K85" i="73"/>
  <c r="J85" i="73"/>
  <c r="BK85" i="73" s="1"/>
  <c r="I85" i="73"/>
  <c r="H85" i="73"/>
  <c r="BJ85" i="73" s="1"/>
  <c r="G85" i="73"/>
  <c r="F85" i="73"/>
  <c r="BI85" i="73" s="1"/>
  <c r="E85" i="73"/>
  <c r="D85" i="73"/>
  <c r="BH85" i="73" s="1"/>
  <c r="M84" i="73"/>
  <c r="L84" i="73"/>
  <c r="BL84" i="73" s="1"/>
  <c r="K84" i="73"/>
  <c r="J84" i="73"/>
  <c r="BK84" i="73" s="1"/>
  <c r="I84" i="73"/>
  <c r="H84" i="73"/>
  <c r="BJ84" i="73" s="1"/>
  <c r="G84" i="73"/>
  <c r="F84" i="73"/>
  <c r="BI84" i="73" s="1"/>
  <c r="E84" i="73"/>
  <c r="D84" i="73"/>
  <c r="BH84" i="73" s="1"/>
  <c r="M82" i="73"/>
  <c r="L82" i="73"/>
  <c r="BL82" i="73" s="1"/>
  <c r="K82" i="73"/>
  <c r="J82" i="73"/>
  <c r="BK82" i="73" s="1"/>
  <c r="I82" i="73"/>
  <c r="H82" i="73"/>
  <c r="BJ82" i="73" s="1"/>
  <c r="G82" i="73"/>
  <c r="F82" i="73"/>
  <c r="BI82" i="73" s="1"/>
  <c r="E82" i="73"/>
  <c r="D82" i="73"/>
  <c r="BH82" i="73" s="1"/>
  <c r="M81" i="73"/>
  <c r="L81" i="73"/>
  <c r="BL81" i="73" s="1"/>
  <c r="K81" i="73"/>
  <c r="J81" i="73"/>
  <c r="BK81" i="73" s="1"/>
  <c r="I81" i="73"/>
  <c r="H81" i="73"/>
  <c r="BJ81" i="73" s="1"/>
  <c r="G81" i="73"/>
  <c r="F81" i="73"/>
  <c r="BI81" i="73" s="1"/>
  <c r="E81" i="73"/>
  <c r="D81" i="73"/>
  <c r="BH81" i="73" s="1"/>
  <c r="M80" i="73"/>
  <c r="L80" i="73"/>
  <c r="BL80" i="73" s="1"/>
  <c r="K80" i="73"/>
  <c r="J80" i="73"/>
  <c r="BK80" i="73" s="1"/>
  <c r="I80" i="73"/>
  <c r="H80" i="73"/>
  <c r="BJ80" i="73" s="1"/>
  <c r="G80" i="73"/>
  <c r="F80" i="73"/>
  <c r="BI80" i="73" s="1"/>
  <c r="E80" i="73"/>
  <c r="D80" i="73"/>
  <c r="BH80" i="73" s="1"/>
  <c r="M79" i="73"/>
  <c r="L79" i="73"/>
  <c r="BL79" i="73" s="1"/>
  <c r="K79" i="73"/>
  <c r="J79" i="73"/>
  <c r="BK79" i="73" s="1"/>
  <c r="I79" i="73"/>
  <c r="H79" i="73"/>
  <c r="BJ79" i="73" s="1"/>
  <c r="G79" i="73"/>
  <c r="F79" i="73"/>
  <c r="BI79" i="73" s="1"/>
  <c r="E79" i="73"/>
  <c r="D79" i="73"/>
  <c r="BH79" i="73" s="1"/>
  <c r="M78" i="73"/>
  <c r="L78" i="73"/>
  <c r="BL78" i="73" s="1"/>
  <c r="K78" i="73"/>
  <c r="J78" i="73"/>
  <c r="BK78" i="73" s="1"/>
  <c r="I78" i="73"/>
  <c r="H78" i="73"/>
  <c r="BJ78" i="73" s="1"/>
  <c r="G78" i="73"/>
  <c r="F78" i="73"/>
  <c r="BI78" i="73" s="1"/>
  <c r="E78" i="73"/>
  <c r="D78" i="73"/>
  <c r="BH78" i="73" s="1"/>
  <c r="M77" i="73"/>
  <c r="L77" i="73"/>
  <c r="BL77" i="73" s="1"/>
  <c r="K77" i="73"/>
  <c r="J77" i="73"/>
  <c r="BK77" i="73" s="1"/>
  <c r="I77" i="73"/>
  <c r="H77" i="73"/>
  <c r="BJ77" i="73" s="1"/>
  <c r="G77" i="73"/>
  <c r="F77" i="73"/>
  <c r="BI77" i="73" s="1"/>
  <c r="E77" i="73"/>
  <c r="D77" i="73"/>
  <c r="BH77" i="73" s="1"/>
  <c r="M75" i="73"/>
  <c r="L75" i="73"/>
  <c r="BL75" i="73" s="1"/>
  <c r="K75" i="73"/>
  <c r="J75" i="73"/>
  <c r="BK75" i="73" s="1"/>
  <c r="I75" i="73"/>
  <c r="H75" i="73"/>
  <c r="BJ75" i="73" s="1"/>
  <c r="G75" i="73"/>
  <c r="F75" i="73"/>
  <c r="BI75" i="73" s="1"/>
  <c r="E75" i="73"/>
  <c r="D75" i="73"/>
  <c r="BH75" i="73" s="1"/>
  <c r="M73" i="73"/>
  <c r="L73" i="73"/>
  <c r="BL73" i="73" s="1"/>
  <c r="K73" i="73"/>
  <c r="J73" i="73"/>
  <c r="BK73" i="73" s="1"/>
  <c r="I73" i="73"/>
  <c r="H73" i="73"/>
  <c r="BJ73" i="73" s="1"/>
  <c r="G73" i="73"/>
  <c r="F73" i="73"/>
  <c r="BI73" i="73" s="1"/>
  <c r="E73" i="73"/>
  <c r="D73" i="73"/>
  <c r="BH73" i="73" s="1"/>
  <c r="M72" i="73"/>
  <c r="L72" i="73"/>
  <c r="BL72" i="73" s="1"/>
  <c r="K72" i="73"/>
  <c r="J72" i="73"/>
  <c r="BK72" i="73" s="1"/>
  <c r="I72" i="73"/>
  <c r="H72" i="73"/>
  <c r="BJ72" i="73" s="1"/>
  <c r="G72" i="73"/>
  <c r="F72" i="73"/>
  <c r="BI72" i="73" s="1"/>
  <c r="E72" i="73"/>
  <c r="D72" i="73"/>
  <c r="BH72" i="73" s="1"/>
  <c r="M71" i="73"/>
  <c r="L71" i="73"/>
  <c r="BL71" i="73" s="1"/>
  <c r="K71" i="73"/>
  <c r="J71" i="73"/>
  <c r="BK71" i="73" s="1"/>
  <c r="I71" i="73"/>
  <c r="H71" i="73"/>
  <c r="BJ71" i="73" s="1"/>
  <c r="G71" i="73"/>
  <c r="F71" i="73"/>
  <c r="BI71" i="73" s="1"/>
  <c r="E71" i="73"/>
  <c r="D71" i="73"/>
  <c r="BH71" i="73" s="1"/>
  <c r="M54" i="73"/>
  <c r="L54" i="73"/>
  <c r="BL54" i="73" s="1"/>
  <c r="K54" i="73"/>
  <c r="J54" i="73"/>
  <c r="BK54" i="73" s="1"/>
  <c r="I54" i="73"/>
  <c r="H54" i="73"/>
  <c r="BJ54" i="73" s="1"/>
  <c r="G54" i="73"/>
  <c r="F54" i="73"/>
  <c r="BI54" i="73" s="1"/>
  <c r="E54" i="73"/>
  <c r="D54" i="73"/>
  <c r="BH54" i="73" s="1"/>
  <c r="M53" i="73"/>
  <c r="L53" i="73"/>
  <c r="BL53" i="73" s="1"/>
  <c r="K53" i="73"/>
  <c r="J53" i="73"/>
  <c r="BK53" i="73" s="1"/>
  <c r="I53" i="73"/>
  <c r="H53" i="73"/>
  <c r="BJ53" i="73" s="1"/>
  <c r="G53" i="73"/>
  <c r="F53" i="73"/>
  <c r="BI53" i="73" s="1"/>
  <c r="E53" i="73"/>
  <c r="D53" i="73"/>
  <c r="BH53" i="73" s="1"/>
  <c r="M52" i="73"/>
  <c r="L52" i="73"/>
  <c r="BL52" i="73" s="1"/>
  <c r="K52" i="73"/>
  <c r="J52" i="73"/>
  <c r="BK52" i="73" s="1"/>
  <c r="I52" i="73"/>
  <c r="H52" i="73"/>
  <c r="BJ52" i="73" s="1"/>
  <c r="G52" i="73"/>
  <c r="F52" i="73"/>
  <c r="BI52" i="73" s="1"/>
  <c r="E52" i="73"/>
  <c r="D52" i="73"/>
  <c r="BH52" i="73" s="1"/>
  <c r="M47" i="73"/>
  <c r="L47" i="73"/>
  <c r="BL47" i="73" s="1"/>
  <c r="K47" i="73"/>
  <c r="J47" i="73"/>
  <c r="BK47" i="73" s="1"/>
  <c r="I47" i="73"/>
  <c r="H47" i="73"/>
  <c r="BJ47" i="73" s="1"/>
  <c r="G47" i="73"/>
  <c r="F47" i="73"/>
  <c r="BI47" i="73" s="1"/>
  <c r="E47" i="73"/>
  <c r="D47" i="73"/>
  <c r="BH47" i="73" s="1"/>
  <c r="M46" i="73"/>
  <c r="L46" i="73"/>
  <c r="BL46" i="73" s="1"/>
  <c r="K46" i="73"/>
  <c r="J46" i="73"/>
  <c r="BK46" i="73" s="1"/>
  <c r="I46" i="73"/>
  <c r="H46" i="73"/>
  <c r="BJ46" i="73" s="1"/>
  <c r="G46" i="73"/>
  <c r="F46" i="73"/>
  <c r="BI46" i="73" s="1"/>
  <c r="E46" i="73"/>
  <c r="D46" i="73"/>
  <c r="BH46" i="73" s="1"/>
  <c r="M45" i="73"/>
  <c r="L45" i="73"/>
  <c r="BL45" i="73" s="1"/>
  <c r="K45" i="73"/>
  <c r="J45" i="73"/>
  <c r="BK45" i="73" s="1"/>
  <c r="I45" i="73"/>
  <c r="H45" i="73"/>
  <c r="BJ45" i="73" s="1"/>
  <c r="G45" i="73"/>
  <c r="F45" i="73"/>
  <c r="BI45" i="73" s="1"/>
  <c r="E45" i="73"/>
  <c r="D45" i="73"/>
  <c r="BH45" i="73" s="1"/>
  <c r="M44" i="73"/>
  <c r="L44" i="73"/>
  <c r="BL44" i="73" s="1"/>
  <c r="K44" i="73"/>
  <c r="J44" i="73"/>
  <c r="BK44" i="73" s="1"/>
  <c r="I44" i="73"/>
  <c r="H44" i="73"/>
  <c r="BJ44" i="73" s="1"/>
  <c r="G44" i="73"/>
  <c r="F44" i="73"/>
  <c r="BI44" i="73" s="1"/>
  <c r="E44" i="73"/>
  <c r="D44" i="73"/>
  <c r="BH44" i="73" s="1"/>
  <c r="M43" i="73"/>
  <c r="L43" i="73"/>
  <c r="BL43" i="73" s="1"/>
  <c r="K43" i="73"/>
  <c r="J43" i="73"/>
  <c r="BK43" i="73" s="1"/>
  <c r="I43" i="73"/>
  <c r="H43" i="73"/>
  <c r="BJ43" i="73" s="1"/>
  <c r="G43" i="73"/>
  <c r="F43" i="73"/>
  <c r="BI43" i="73" s="1"/>
  <c r="E43" i="73"/>
  <c r="D43" i="73"/>
  <c r="BH43" i="73" s="1"/>
  <c r="M42" i="73"/>
  <c r="L42" i="73"/>
  <c r="BL42" i="73" s="1"/>
  <c r="K42" i="73"/>
  <c r="J42" i="73"/>
  <c r="BK42" i="73" s="1"/>
  <c r="I42" i="73"/>
  <c r="H42" i="73"/>
  <c r="BJ42" i="73" s="1"/>
  <c r="G42" i="73"/>
  <c r="F42" i="73"/>
  <c r="BI42" i="73" s="1"/>
  <c r="E42" i="73"/>
  <c r="D42" i="73"/>
  <c r="BH42" i="73" s="1"/>
  <c r="M41" i="73"/>
  <c r="L41" i="73"/>
  <c r="BL41" i="73" s="1"/>
  <c r="K41" i="73"/>
  <c r="J41" i="73"/>
  <c r="BK41" i="73" s="1"/>
  <c r="I41" i="73"/>
  <c r="H41" i="73"/>
  <c r="BJ41" i="73" s="1"/>
  <c r="G41" i="73"/>
  <c r="F41" i="73"/>
  <c r="BI41" i="73" s="1"/>
  <c r="E41" i="73"/>
  <c r="D41" i="73"/>
  <c r="BH41" i="73" s="1"/>
  <c r="M40" i="73"/>
  <c r="L40" i="73"/>
  <c r="BL40" i="73" s="1"/>
  <c r="K40" i="73"/>
  <c r="J40" i="73"/>
  <c r="BK40" i="73" s="1"/>
  <c r="I40" i="73"/>
  <c r="H40" i="73"/>
  <c r="BJ40" i="73" s="1"/>
  <c r="G40" i="73"/>
  <c r="F40" i="73"/>
  <c r="BI40" i="73" s="1"/>
  <c r="E40" i="73"/>
  <c r="D40" i="73"/>
  <c r="BH40" i="73" s="1"/>
  <c r="M39" i="73"/>
  <c r="L39" i="73"/>
  <c r="BL39" i="73" s="1"/>
  <c r="K39" i="73"/>
  <c r="J39" i="73"/>
  <c r="BK39" i="73" s="1"/>
  <c r="I39" i="73"/>
  <c r="H39" i="73"/>
  <c r="BJ39" i="73" s="1"/>
  <c r="G39" i="73"/>
  <c r="F39" i="73"/>
  <c r="BI39" i="73" s="1"/>
  <c r="E39" i="73"/>
  <c r="D39" i="73"/>
  <c r="BH39" i="73" s="1"/>
  <c r="M37" i="73"/>
  <c r="L37" i="73"/>
  <c r="BL37" i="73" s="1"/>
  <c r="K37" i="73"/>
  <c r="J37" i="73"/>
  <c r="BK37" i="73" s="1"/>
  <c r="I37" i="73"/>
  <c r="H37" i="73"/>
  <c r="BJ37" i="73" s="1"/>
  <c r="G37" i="73"/>
  <c r="F37" i="73"/>
  <c r="BI37" i="73" s="1"/>
  <c r="E37" i="73"/>
  <c r="D37" i="73"/>
  <c r="BH37" i="73" s="1"/>
  <c r="M36" i="73"/>
  <c r="L36" i="73"/>
  <c r="BL36" i="73" s="1"/>
  <c r="K36" i="73"/>
  <c r="J36" i="73"/>
  <c r="BK36" i="73" s="1"/>
  <c r="I36" i="73"/>
  <c r="H36" i="73"/>
  <c r="BJ36" i="73" s="1"/>
  <c r="G36" i="73"/>
  <c r="F36" i="73"/>
  <c r="BI36" i="73" s="1"/>
  <c r="E36" i="73"/>
  <c r="D36" i="73"/>
  <c r="BH36" i="73" s="1"/>
  <c r="M35" i="73"/>
  <c r="L35" i="73"/>
  <c r="BL35" i="73" s="1"/>
  <c r="K35" i="73"/>
  <c r="J35" i="73"/>
  <c r="BK35" i="73" s="1"/>
  <c r="I35" i="73"/>
  <c r="H35" i="73"/>
  <c r="BJ35" i="73" s="1"/>
  <c r="G35" i="73"/>
  <c r="F35" i="73"/>
  <c r="BI35" i="73" s="1"/>
  <c r="E35" i="73"/>
  <c r="D35" i="73"/>
  <c r="BH35" i="73" s="1"/>
  <c r="M34" i="73"/>
  <c r="L34" i="73"/>
  <c r="BL34" i="73" s="1"/>
  <c r="K34" i="73"/>
  <c r="J34" i="73"/>
  <c r="BK34" i="73" s="1"/>
  <c r="I34" i="73"/>
  <c r="H34" i="73"/>
  <c r="BJ34" i="73" s="1"/>
  <c r="G34" i="73"/>
  <c r="F34" i="73"/>
  <c r="BI34" i="73" s="1"/>
  <c r="E34" i="73"/>
  <c r="D34" i="73"/>
  <c r="BH34" i="73" s="1"/>
  <c r="M33" i="73"/>
  <c r="L33" i="73"/>
  <c r="BL33" i="73" s="1"/>
  <c r="K33" i="73"/>
  <c r="J33" i="73"/>
  <c r="BK33" i="73" s="1"/>
  <c r="I33" i="73"/>
  <c r="H33" i="73"/>
  <c r="BJ33" i="73" s="1"/>
  <c r="G33" i="73"/>
  <c r="F33" i="73"/>
  <c r="BI33" i="73" s="1"/>
  <c r="E33" i="73"/>
  <c r="D33" i="73"/>
  <c r="BH33" i="73" s="1"/>
  <c r="M32" i="73"/>
  <c r="L32" i="73"/>
  <c r="BL32" i="73" s="1"/>
  <c r="K32" i="73"/>
  <c r="J32" i="73"/>
  <c r="BK32" i="73" s="1"/>
  <c r="I32" i="73"/>
  <c r="H32" i="73"/>
  <c r="BJ32" i="73" s="1"/>
  <c r="G32" i="73"/>
  <c r="F32" i="73"/>
  <c r="BI32" i="73" s="1"/>
  <c r="E32" i="73"/>
  <c r="D32" i="73"/>
  <c r="BH32" i="73" s="1"/>
  <c r="M31" i="73"/>
  <c r="L31" i="73"/>
  <c r="BL31" i="73" s="1"/>
  <c r="K31" i="73"/>
  <c r="J31" i="73"/>
  <c r="BK31" i="73" s="1"/>
  <c r="I31" i="73"/>
  <c r="H31" i="73"/>
  <c r="BJ31" i="73" s="1"/>
  <c r="G31" i="73"/>
  <c r="F31" i="73"/>
  <c r="BI31" i="73" s="1"/>
  <c r="E31" i="73"/>
  <c r="D31" i="73"/>
  <c r="BH31" i="73" s="1"/>
  <c r="M30" i="73"/>
  <c r="L30" i="73"/>
  <c r="BL30" i="73" s="1"/>
  <c r="K30" i="73"/>
  <c r="J30" i="73"/>
  <c r="BK30" i="73" s="1"/>
  <c r="I30" i="73"/>
  <c r="H30" i="73"/>
  <c r="BJ30" i="73" s="1"/>
  <c r="G30" i="73"/>
  <c r="F30" i="73"/>
  <c r="BI30" i="73" s="1"/>
  <c r="E30" i="73"/>
  <c r="D30" i="73"/>
  <c r="BH30" i="73" s="1"/>
  <c r="AG100" i="73" l="1"/>
  <c r="BW100" i="73"/>
  <c r="AI100" i="73"/>
  <c r="BX100" i="73"/>
  <c r="X100" i="73"/>
  <c r="BR100" i="73"/>
  <c r="T4" i="79"/>
  <c r="Z4" i="79" s="1"/>
  <c r="U4" i="79"/>
  <c r="S4" i="79"/>
  <c r="Y4" i="79" l="1"/>
  <c r="AQ24" i="79" l="1"/>
  <c r="D109" i="74"/>
  <c r="E109" i="74"/>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AS24" i="79" l="1"/>
  <c r="AR24" i="79"/>
  <c r="D63" i="76"/>
  <c r="I63" i="76"/>
  <c r="D25" i="76"/>
  <c r="D44" i="76"/>
  <c r="C92" i="73" l="1"/>
  <c r="BG92" i="73" s="1"/>
  <c r="C87" i="73"/>
  <c r="BG87" i="73" s="1"/>
  <c r="C86" i="73"/>
  <c r="BG86" i="73" s="1"/>
  <c r="C85" i="73"/>
  <c r="BG85" i="73" s="1"/>
  <c r="C84" i="73"/>
  <c r="BG84" i="73" s="1"/>
  <c r="C82" i="73"/>
  <c r="BG82" i="73" s="1"/>
  <c r="C81" i="73"/>
  <c r="BG81" i="73" s="1"/>
  <c r="C80" i="73"/>
  <c r="BG80" i="73" s="1"/>
  <c r="C79" i="73"/>
  <c r="BG79" i="73" s="1"/>
  <c r="C78" i="73"/>
  <c r="BG78" i="73" s="1"/>
  <c r="C77" i="73"/>
  <c r="BG77" i="73" s="1"/>
  <c r="C75" i="73"/>
  <c r="BG75" i="73" s="1"/>
  <c r="C73" i="73"/>
  <c r="BG73" i="73" s="1"/>
  <c r="C72" i="73"/>
  <c r="BG72" i="73" s="1"/>
  <c r="C71" i="73"/>
  <c r="BG71" i="73" s="1"/>
  <c r="C54" i="73"/>
  <c r="BG54" i="73" s="1"/>
  <c r="C53" i="73"/>
  <c r="BG53" i="73" s="1"/>
  <c r="C52" i="73"/>
  <c r="BG52" i="73" s="1"/>
  <c r="C47" i="73"/>
  <c r="BG47" i="73" s="1"/>
  <c r="C46" i="73"/>
  <c r="BG46" i="73" s="1"/>
  <c r="C45" i="73"/>
  <c r="BG45" i="73" s="1"/>
  <c r="C44" i="73"/>
  <c r="BG44" i="73" s="1"/>
  <c r="C43" i="73"/>
  <c r="BG43" i="73" s="1"/>
  <c r="C42" i="73"/>
  <c r="BG42" i="73" s="1"/>
  <c r="C41" i="73"/>
  <c r="BG41" i="73" s="1"/>
  <c r="C40" i="73"/>
  <c r="BG40" i="73" s="1"/>
  <c r="C39" i="73"/>
  <c r="BG39" i="73" s="1"/>
  <c r="C37" i="73"/>
  <c r="BG37" i="73" s="1"/>
  <c r="C36" i="73"/>
  <c r="BG36" i="73" s="1"/>
  <c r="C35" i="73"/>
  <c r="BG35" i="73" s="1"/>
  <c r="C34" i="73"/>
  <c r="BG34" i="73" s="1"/>
  <c r="C33" i="73"/>
  <c r="BG33" i="73" s="1"/>
  <c r="C32" i="73"/>
  <c r="BG32" i="73" s="1"/>
  <c r="C31" i="73"/>
  <c r="BG31" i="73" s="1"/>
  <c r="C30" i="73"/>
  <c r="BG30" i="73" s="1"/>
  <c r="C28" i="73"/>
  <c r="BG28" i="73" s="1"/>
  <c r="C27" i="73"/>
  <c r="BG27" i="73" s="1"/>
  <c r="C26" i="73"/>
  <c r="BG26" i="73" s="1"/>
  <c r="C23" i="73"/>
  <c r="BG23" i="73" s="1"/>
  <c r="C22" i="73"/>
  <c r="BG22" i="73" s="1"/>
  <c r="C20" i="73"/>
  <c r="BG20" i="73" s="1"/>
  <c r="C19" i="73"/>
  <c r="BG19" i="73" s="1"/>
  <c r="C16" i="73"/>
  <c r="BG16" i="73" s="1"/>
  <c r="C15" i="73"/>
  <c r="BG15" i="73" s="1"/>
  <c r="C14" i="73"/>
  <c r="BG14" i="73" s="1"/>
  <c r="C13" i="73"/>
  <c r="BG13" i="73" s="1"/>
  <c r="AU9" i="73"/>
  <c r="AJ9" i="73"/>
  <c r="Y9" i="73"/>
  <c r="N9" i="73"/>
  <c r="C9" i="73"/>
  <c r="L100" i="73"/>
  <c r="BL100" i="73" s="1"/>
  <c r="J100" i="73"/>
  <c r="BK100" i="73" s="1"/>
  <c r="H100" i="73"/>
  <c r="BJ100" i="73" s="1"/>
  <c r="F100" i="73"/>
  <c r="BI100" i="73" s="1"/>
  <c r="AA138" i="77"/>
  <c r="Z138" i="77"/>
  <c r="Y138" i="77"/>
  <c r="X138" i="77"/>
  <c r="W138" i="77"/>
  <c r="V138" i="77"/>
  <c r="U138" i="77"/>
  <c r="T138" i="77"/>
  <c r="S138" i="77"/>
  <c r="R138" i="77"/>
  <c r="Q138" i="77"/>
  <c r="P138" i="77"/>
  <c r="O138" i="77"/>
  <c r="N138" i="77"/>
  <c r="M138" i="77"/>
  <c r="L138" i="77"/>
  <c r="K138" i="77"/>
  <c r="J138" i="77"/>
  <c r="I138" i="77"/>
  <c r="H138" i="77"/>
  <c r="G138" i="77"/>
  <c r="F138" i="77"/>
  <c r="E138" i="77"/>
  <c r="D138" i="77"/>
  <c r="C138" i="77"/>
  <c r="AA115" i="77"/>
  <c r="Z115" i="77"/>
  <c r="Y115" i="77"/>
  <c r="X115" i="77"/>
  <c r="W115" i="77"/>
  <c r="V115" i="77"/>
  <c r="U115" i="77"/>
  <c r="T115" i="77"/>
  <c r="S115" i="77"/>
  <c r="R115" i="77"/>
  <c r="Q115" i="77"/>
  <c r="P115" i="77"/>
  <c r="O115" i="77"/>
  <c r="N115" i="77"/>
  <c r="M115" i="77"/>
  <c r="L115" i="77"/>
  <c r="K115" i="77"/>
  <c r="J115" i="77"/>
  <c r="I115" i="77"/>
  <c r="H115" i="77"/>
  <c r="G115" i="77"/>
  <c r="F115" i="77"/>
  <c r="E115" i="77"/>
  <c r="D115" i="77"/>
  <c r="C115" i="77"/>
  <c r="AA91" i="77"/>
  <c r="Z91" i="77"/>
  <c r="Y91" i="77"/>
  <c r="X91" i="77"/>
  <c r="W91" i="77"/>
  <c r="V91" i="77"/>
  <c r="U91" i="77"/>
  <c r="T91" i="77"/>
  <c r="S91" i="77"/>
  <c r="R91" i="77"/>
  <c r="Q91" i="77"/>
  <c r="P91" i="77"/>
  <c r="O91" i="77"/>
  <c r="N91" i="77"/>
  <c r="M91" i="77"/>
  <c r="L91" i="77"/>
  <c r="K91" i="77"/>
  <c r="J91" i="77"/>
  <c r="I91" i="77"/>
  <c r="H91" i="77"/>
  <c r="G91" i="77"/>
  <c r="F91" i="77"/>
  <c r="E91" i="77"/>
  <c r="D91" i="77"/>
  <c r="C91" i="77"/>
  <c r="AA68" i="77"/>
  <c r="Z68" i="77"/>
  <c r="Y68" i="77"/>
  <c r="X68" i="77"/>
  <c r="W68" i="77"/>
  <c r="V68" i="77"/>
  <c r="U68" i="77"/>
  <c r="T68" i="77"/>
  <c r="S68" i="77"/>
  <c r="R68" i="77"/>
  <c r="Q68" i="77"/>
  <c r="P68" i="77"/>
  <c r="O68" i="77"/>
  <c r="N68" i="77"/>
  <c r="M68" i="77"/>
  <c r="L68" i="77"/>
  <c r="K68" i="77"/>
  <c r="J68" i="77"/>
  <c r="I68" i="77"/>
  <c r="H68" i="77"/>
  <c r="G68" i="77"/>
  <c r="F68" i="77"/>
  <c r="E68" i="77"/>
  <c r="D68" i="77"/>
  <c r="C68" i="77"/>
  <c r="AA44" i="77"/>
  <c r="Z44" i="77"/>
  <c r="Y44" i="77"/>
  <c r="X44" i="77"/>
  <c r="W44" i="77"/>
  <c r="V44" i="77"/>
  <c r="U44" i="77"/>
  <c r="T44" i="77"/>
  <c r="S44" i="77"/>
  <c r="R44" i="77"/>
  <c r="Q44" i="77"/>
  <c r="P44" i="77"/>
  <c r="O44" i="77"/>
  <c r="N44" i="77"/>
  <c r="M44" i="77"/>
  <c r="L44" i="77"/>
  <c r="K44" i="77"/>
  <c r="J44" i="77"/>
  <c r="I44" i="77"/>
  <c r="H44" i="77"/>
  <c r="G44" i="77"/>
  <c r="F44" i="77"/>
  <c r="E44" i="77"/>
  <c r="D44" i="77"/>
  <c r="C44" i="77"/>
  <c r="C21" i="77"/>
  <c r="AG61" i="60"/>
  <c r="CD61" i="60" s="1"/>
  <c r="AG60" i="60"/>
  <c r="CD60" i="60" s="1"/>
  <c r="AG59" i="60"/>
  <c r="CD59" i="60" s="1"/>
  <c r="AG58" i="60"/>
  <c r="CD58" i="60" s="1"/>
  <c r="AG57" i="60"/>
  <c r="CD57" i="60" s="1"/>
  <c r="AG56" i="60"/>
  <c r="CD56" i="60" s="1"/>
  <c r="AG55" i="60"/>
  <c r="CD55" i="60" s="1"/>
  <c r="AG54" i="60"/>
  <c r="CD54" i="60" s="1"/>
  <c r="AG53" i="60"/>
  <c r="CD53" i="60" s="1"/>
  <c r="AA61" i="60"/>
  <c r="BX61" i="60" s="1"/>
  <c r="AA60" i="60"/>
  <c r="BX60" i="60" s="1"/>
  <c r="AA59" i="60"/>
  <c r="BX59" i="60" s="1"/>
  <c r="AA58" i="60"/>
  <c r="BX58" i="60" s="1"/>
  <c r="AA57" i="60"/>
  <c r="BX57" i="60" s="1"/>
  <c r="AA56" i="60"/>
  <c r="BX56" i="60" s="1"/>
  <c r="AA55" i="60"/>
  <c r="BX55" i="60" s="1"/>
  <c r="AA54" i="60"/>
  <c r="BX54" i="60" s="1"/>
  <c r="AA53" i="60"/>
  <c r="BX53" i="60" s="1"/>
  <c r="U61" i="60"/>
  <c r="BR61" i="60" s="1"/>
  <c r="U60" i="60"/>
  <c r="BR60" i="60" s="1"/>
  <c r="U59" i="60"/>
  <c r="BR59" i="60" s="1"/>
  <c r="U58" i="60"/>
  <c r="BR58" i="60" s="1"/>
  <c r="U57" i="60"/>
  <c r="BR57" i="60" s="1"/>
  <c r="U56" i="60"/>
  <c r="BR56" i="60" s="1"/>
  <c r="U55" i="60"/>
  <c r="BR55" i="60" s="1"/>
  <c r="U54" i="60"/>
  <c r="BR54" i="60" s="1"/>
  <c r="U53" i="60"/>
  <c r="BR53" i="60" s="1"/>
  <c r="O61" i="60"/>
  <c r="BL61" i="60" s="1"/>
  <c r="O60" i="60"/>
  <c r="BL60" i="60" s="1"/>
  <c r="O59" i="60"/>
  <c r="BL59" i="60" s="1"/>
  <c r="O58" i="60"/>
  <c r="BL58" i="60" s="1"/>
  <c r="O57" i="60"/>
  <c r="BL57" i="60" s="1"/>
  <c r="O56" i="60"/>
  <c r="BL56" i="60" s="1"/>
  <c r="O55" i="60"/>
  <c r="BL55" i="60" s="1"/>
  <c r="O54" i="60"/>
  <c r="BL54" i="60" s="1"/>
  <c r="O53" i="60"/>
  <c r="BL53" i="60" s="1"/>
  <c r="I61" i="60"/>
  <c r="BF61" i="60" s="1"/>
  <c r="I60" i="60"/>
  <c r="BF60" i="60" s="1"/>
  <c r="I59" i="60"/>
  <c r="BF59" i="60" s="1"/>
  <c r="I58" i="60"/>
  <c r="BF58" i="60" s="1"/>
  <c r="I57" i="60"/>
  <c r="BF57" i="60" s="1"/>
  <c r="I56" i="60"/>
  <c r="BF56" i="60" s="1"/>
  <c r="I55" i="60"/>
  <c r="BF55" i="60" s="1"/>
  <c r="I54" i="60"/>
  <c r="BF54" i="60" s="1"/>
  <c r="I53" i="60"/>
  <c r="BF53" i="60" s="1"/>
  <c r="C57" i="60"/>
  <c r="AZ57" i="60" s="1"/>
  <c r="C53" i="60"/>
  <c r="AZ53" i="60" s="1"/>
  <c r="C61" i="60"/>
  <c r="AZ61" i="60" s="1"/>
  <c r="C60" i="60"/>
  <c r="AZ60" i="60" s="1"/>
  <c r="C59" i="60"/>
  <c r="AZ59" i="60" s="1"/>
  <c r="C58" i="60"/>
  <c r="AZ58" i="60" s="1"/>
  <c r="C56" i="60"/>
  <c r="AZ56" i="60" s="1"/>
  <c r="C55" i="60"/>
  <c r="AZ55" i="60" s="1"/>
  <c r="C54" i="60"/>
  <c r="AZ54" i="60" s="1"/>
  <c r="D53" i="60"/>
  <c r="BA53" i="60" s="1"/>
  <c r="T152" i="67" l="1"/>
  <c r="AW44" i="77"/>
  <c r="T152" i="85" s="1"/>
  <c r="V172" i="67"/>
  <c r="AT115" i="77"/>
  <c r="V172" i="85" s="1"/>
  <c r="T149" i="67"/>
  <c r="AH44" i="77"/>
  <c r="T149" i="85" s="1"/>
  <c r="W150" i="67"/>
  <c r="AP44" i="77"/>
  <c r="W150" i="85" s="1"/>
  <c r="U152" i="67"/>
  <c r="AX44" i="77"/>
  <c r="U152" i="85" s="1"/>
  <c r="X156" i="67"/>
  <c r="AG68" i="77"/>
  <c r="X156" i="85" s="1"/>
  <c r="V158" i="67"/>
  <c r="AO68" i="77"/>
  <c r="V158" i="85" s="1"/>
  <c r="T160" i="67"/>
  <c r="AW68" i="77"/>
  <c r="T160" i="85" s="1"/>
  <c r="W161" i="67"/>
  <c r="AF91" i="77"/>
  <c r="W161" i="85" s="1"/>
  <c r="U163" i="67"/>
  <c r="AN91" i="77"/>
  <c r="U163" i="85" s="1"/>
  <c r="X164" i="67"/>
  <c r="AV91" i="77"/>
  <c r="X164" i="85" s="1"/>
  <c r="V169" i="67"/>
  <c r="AE115" i="77"/>
  <c r="V169" i="85" s="1"/>
  <c r="T171" i="67"/>
  <c r="AM115" i="77"/>
  <c r="T171" i="85" s="1"/>
  <c r="W172" i="67"/>
  <c r="AU115" i="77"/>
  <c r="W172" i="85" s="1"/>
  <c r="U174" i="67"/>
  <c r="AD138" i="77"/>
  <c r="U174" i="85" s="1"/>
  <c r="X175" i="67"/>
  <c r="AL138" i="77"/>
  <c r="X175" i="85" s="1"/>
  <c r="V177" i="67"/>
  <c r="AT138" i="77"/>
  <c r="V177" i="85" s="1"/>
  <c r="V150" i="67"/>
  <c r="AO44" i="77"/>
  <c r="V150" i="85" s="1"/>
  <c r="T163" i="67"/>
  <c r="AM91" i="77"/>
  <c r="T163" i="85" s="1"/>
  <c r="W175" i="67"/>
  <c r="AK138" i="77"/>
  <c r="W175" i="85" s="1"/>
  <c r="U149" i="67"/>
  <c r="AI44" i="77"/>
  <c r="U149" i="85" s="1"/>
  <c r="X150" i="67"/>
  <c r="AQ44" i="77"/>
  <c r="X150" i="85" s="1"/>
  <c r="V152" i="67"/>
  <c r="AY44" i="77"/>
  <c r="V152" i="85" s="1"/>
  <c r="T157" i="67"/>
  <c r="AH68" i="77"/>
  <c r="T157" i="85" s="1"/>
  <c r="W158" i="67"/>
  <c r="AP68" i="77"/>
  <c r="W158" i="85" s="1"/>
  <c r="U160" i="67"/>
  <c r="AX68" i="77"/>
  <c r="U160" i="85" s="1"/>
  <c r="X161" i="67"/>
  <c r="AG91" i="77"/>
  <c r="X161" i="85" s="1"/>
  <c r="V163" i="67"/>
  <c r="AO91" i="77"/>
  <c r="V163" i="85" s="1"/>
  <c r="T165" i="67"/>
  <c r="AW91" i="77"/>
  <c r="T165" i="85" s="1"/>
  <c r="W169" i="67"/>
  <c r="AF115" i="77"/>
  <c r="W169" i="85" s="1"/>
  <c r="U171" i="67"/>
  <c r="AN115" i="77"/>
  <c r="U171" i="85" s="1"/>
  <c r="X172" i="67"/>
  <c r="AV115" i="77"/>
  <c r="X172" i="85" s="1"/>
  <c r="V174" i="67"/>
  <c r="AE138" i="77"/>
  <c r="V174" i="85" s="1"/>
  <c r="T176" i="67"/>
  <c r="AM138" i="77"/>
  <c r="T176" i="85" s="1"/>
  <c r="W177" i="67"/>
  <c r="AU138" i="77"/>
  <c r="W177" i="85" s="1"/>
  <c r="U158" i="67"/>
  <c r="AN68" i="77"/>
  <c r="U158" i="85" s="1"/>
  <c r="X170" i="67"/>
  <c r="AL115" i="77"/>
  <c r="X170" i="85" s="1"/>
  <c r="U177" i="67"/>
  <c r="AS138" i="77"/>
  <c r="U177" i="85" s="1"/>
  <c r="V149" i="67"/>
  <c r="AJ44" i="77"/>
  <c r="V149" i="85" s="1"/>
  <c r="T151" i="67"/>
  <c r="AR44" i="77"/>
  <c r="T151" i="85" s="1"/>
  <c r="W152" i="67"/>
  <c r="AZ44" i="77"/>
  <c r="W152" i="85" s="1"/>
  <c r="U157" i="67"/>
  <c r="AI68" i="77"/>
  <c r="U157" i="85" s="1"/>
  <c r="X158" i="67"/>
  <c r="AQ68" i="77"/>
  <c r="X158" i="85" s="1"/>
  <c r="V160" i="67"/>
  <c r="AY68" i="77"/>
  <c r="V160" i="85" s="1"/>
  <c r="T162" i="67"/>
  <c r="AH91" i="77"/>
  <c r="T162" i="85" s="1"/>
  <c r="W163" i="67"/>
  <c r="AP91" i="77"/>
  <c r="W163" i="85" s="1"/>
  <c r="U165" i="67"/>
  <c r="AX91" i="77"/>
  <c r="U165" i="85" s="1"/>
  <c r="X169" i="67"/>
  <c r="AG115" i="77"/>
  <c r="X169" i="85" s="1"/>
  <c r="V171" i="67"/>
  <c r="AO115" i="77"/>
  <c r="V171" i="85" s="1"/>
  <c r="T173" i="67"/>
  <c r="AW115" i="77"/>
  <c r="T173" i="85" s="1"/>
  <c r="W174" i="67"/>
  <c r="AF138" i="77"/>
  <c r="W174" i="85" s="1"/>
  <c r="U176" i="67"/>
  <c r="AN138" i="77"/>
  <c r="U176" i="85" s="1"/>
  <c r="X177" i="67"/>
  <c r="AV138" i="77"/>
  <c r="X177" i="85" s="1"/>
  <c r="V161" i="67"/>
  <c r="AE91" i="77"/>
  <c r="V161" i="85" s="1"/>
  <c r="T148" i="67"/>
  <c r="AC44" i="77"/>
  <c r="T148" i="85" s="1"/>
  <c r="W149" i="67"/>
  <c r="AK44" i="77"/>
  <c r="W149" i="85" s="1"/>
  <c r="U151" i="67"/>
  <c r="AS44" i="77"/>
  <c r="U151" i="85" s="1"/>
  <c r="X152" i="67"/>
  <c r="BA44" i="77"/>
  <c r="X152" i="85" s="1"/>
  <c r="V157" i="67"/>
  <c r="AJ68" i="77"/>
  <c r="V157" i="85" s="1"/>
  <c r="T159" i="67"/>
  <c r="AR68" i="77"/>
  <c r="T159" i="85" s="1"/>
  <c r="W160" i="67"/>
  <c r="AZ68" i="77"/>
  <c r="W160" i="85" s="1"/>
  <c r="U162" i="67"/>
  <c r="AI91" i="77"/>
  <c r="U162" i="85" s="1"/>
  <c r="X163" i="67"/>
  <c r="AQ91" i="77"/>
  <c r="X163" i="85" s="1"/>
  <c r="V165" i="67"/>
  <c r="AY91" i="77"/>
  <c r="V165" i="85" s="1"/>
  <c r="T170" i="67"/>
  <c r="AH115" i="77"/>
  <c r="T170" i="85" s="1"/>
  <c r="W171" i="67"/>
  <c r="AP115" i="77"/>
  <c r="W171" i="85" s="1"/>
  <c r="U173" i="67"/>
  <c r="AX115" i="77"/>
  <c r="U173" i="85" s="1"/>
  <c r="X174" i="67"/>
  <c r="AG138" i="77"/>
  <c r="X174" i="85" s="1"/>
  <c r="V176" i="67"/>
  <c r="AO138" i="77"/>
  <c r="V176" i="85" s="1"/>
  <c r="T178" i="67"/>
  <c r="AW138" i="77"/>
  <c r="T178" i="85" s="1"/>
  <c r="X148" i="67"/>
  <c r="AG44" i="77"/>
  <c r="X148" i="85" s="1"/>
  <c r="W164" i="67"/>
  <c r="AU91" i="77"/>
  <c r="W164" i="85" s="1"/>
  <c r="U148" i="67"/>
  <c r="AD44" i="77"/>
  <c r="U148" i="85" s="1"/>
  <c r="X149" i="67"/>
  <c r="AL44" i="77"/>
  <c r="X149" i="85" s="1"/>
  <c r="V151" i="67"/>
  <c r="AT44" i="77"/>
  <c r="V151" i="85" s="1"/>
  <c r="T156" i="67"/>
  <c r="AC68" i="77"/>
  <c r="T156" i="85" s="1"/>
  <c r="W157" i="67"/>
  <c r="AK68" i="77"/>
  <c r="W157" i="85" s="1"/>
  <c r="U159" i="67"/>
  <c r="AS68" i="77"/>
  <c r="U159" i="85" s="1"/>
  <c r="X160" i="67"/>
  <c r="BA68" i="77"/>
  <c r="X160" i="85" s="1"/>
  <c r="V162" i="67"/>
  <c r="AJ91" i="77"/>
  <c r="V162" i="85" s="1"/>
  <c r="T164" i="67"/>
  <c r="AR91" i="77"/>
  <c r="T164" i="85" s="1"/>
  <c r="W165" i="67"/>
  <c r="AZ91" i="77"/>
  <c r="W165" i="85" s="1"/>
  <c r="U170" i="67"/>
  <c r="AI115" i="77"/>
  <c r="U170" i="85" s="1"/>
  <c r="X171" i="67"/>
  <c r="AQ115" i="77"/>
  <c r="X171" i="85" s="1"/>
  <c r="V173" i="67"/>
  <c r="AY115" i="77"/>
  <c r="V173" i="85" s="1"/>
  <c r="T175" i="67"/>
  <c r="AH138" i="77"/>
  <c r="T175" i="85" s="1"/>
  <c r="W176" i="67"/>
  <c r="AP138" i="77"/>
  <c r="W176" i="85" s="1"/>
  <c r="U178" i="67"/>
  <c r="AX138" i="77"/>
  <c r="U178" i="85" s="1"/>
  <c r="X159" i="67"/>
  <c r="AV68" i="77"/>
  <c r="X159" i="85" s="1"/>
  <c r="V148" i="67"/>
  <c r="AE44" i="77"/>
  <c r="V148" i="85" s="1"/>
  <c r="T150" i="67"/>
  <c r="AM44" i="77"/>
  <c r="T150" i="85" s="1"/>
  <c r="W151" i="67"/>
  <c r="AU44" i="77"/>
  <c r="W151" i="85" s="1"/>
  <c r="U156" i="67"/>
  <c r="AD68" i="77"/>
  <c r="U156" i="85" s="1"/>
  <c r="X157" i="67"/>
  <c r="AL68" i="77"/>
  <c r="X157" i="85" s="1"/>
  <c r="V159" i="67"/>
  <c r="AT68" i="77"/>
  <c r="V159" i="85" s="1"/>
  <c r="T161" i="67"/>
  <c r="AC91" i="77"/>
  <c r="T161" i="85" s="1"/>
  <c r="W162" i="67"/>
  <c r="AK91" i="77"/>
  <c r="W162" i="85" s="1"/>
  <c r="U164" i="67"/>
  <c r="AS91" i="77"/>
  <c r="U164" i="85" s="1"/>
  <c r="X165" i="67"/>
  <c r="BA91" i="77"/>
  <c r="X165" i="85" s="1"/>
  <c r="V170" i="67"/>
  <c r="AJ115" i="77"/>
  <c r="V170" i="85" s="1"/>
  <c r="T172" i="67"/>
  <c r="AR115" i="77"/>
  <c r="T172" i="85" s="1"/>
  <c r="W173" i="67"/>
  <c r="AZ115" i="77"/>
  <c r="W173" i="85" s="1"/>
  <c r="U175" i="67"/>
  <c r="AI138" i="77"/>
  <c r="U175" i="85" s="1"/>
  <c r="X176" i="67"/>
  <c r="AQ138" i="77"/>
  <c r="X176" i="85" s="1"/>
  <c r="V178" i="67"/>
  <c r="AY138" i="77"/>
  <c r="V178" i="85" s="1"/>
  <c r="W156" i="67"/>
  <c r="AF68" i="77"/>
  <c r="W156" i="85" s="1"/>
  <c r="U169" i="67"/>
  <c r="AD115" i="77"/>
  <c r="U169" i="85" s="1"/>
  <c r="T174" i="67"/>
  <c r="T179" i="67" s="1"/>
  <c r="AC138" i="77"/>
  <c r="T174" i="85" s="1"/>
  <c r="W148" i="67"/>
  <c r="AF44" i="77"/>
  <c r="W148" i="85" s="1"/>
  <c r="U150" i="67"/>
  <c r="AN44" i="77"/>
  <c r="U150" i="85" s="1"/>
  <c r="X151" i="67"/>
  <c r="AV44" i="77"/>
  <c r="X151" i="85" s="1"/>
  <c r="V156" i="67"/>
  <c r="V166" i="67" s="1"/>
  <c r="AE68" i="77"/>
  <c r="V156" i="85" s="1"/>
  <c r="V166" i="85" s="1"/>
  <c r="T158" i="67"/>
  <c r="AM68" i="77"/>
  <c r="T158" i="85" s="1"/>
  <c r="W159" i="67"/>
  <c r="AU68" i="77"/>
  <c r="W159" i="85" s="1"/>
  <c r="U161" i="67"/>
  <c r="AD91" i="77"/>
  <c r="U161" i="85" s="1"/>
  <c r="X162" i="67"/>
  <c r="X166" i="67" s="1"/>
  <c r="AL91" i="77"/>
  <c r="X162" i="85" s="1"/>
  <c r="V164" i="67"/>
  <c r="AT91" i="77"/>
  <c r="V164" i="85" s="1"/>
  <c r="T169" i="67"/>
  <c r="AC115" i="77"/>
  <c r="T169" i="85" s="1"/>
  <c r="W170" i="67"/>
  <c r="AK115" i="77"/>
  <c r="W170" i="85" s="1"/>
  <c r="U172" i="67"/>
  <c r="U179" i="67" s="1"/>
  <c r="AS115" i="77"/>
  <c r="U172" i="85" s="1"/>
  <c r="X173" i="67"/>
  <c r="BA115" i="77"/>
  <c r="X173" i="85" s="1"/>
  <c r="V175" i="67"/>
  <c r="AJ138" i="77"/>
  <c r="V175" i="85" s="1"/>
  <c r="T177" i="67"/>
  <c r="AR138" i="77"/>
  <c r="T177" i="85" s="1"/>
  <c r="W178" i="67"/>
  <c r="AZ138" i="77"/>
  <c r="W178" i="85" s="1"/>
  <c r="X178" i="67"/>
  <c r="BA138" i="77"/>
  <c r="X178" i="85" s="1"/>
  <c r="T143" i="67"/>
  <c r="AC21" i="77"/>
  <c r="T143" i="85" s="1"/>
  <c r="CH10" i="73"/>
  <c r="CC10" i="73"/>
  <c r="BP10" i="73"/>
  <c r="CJ10" i="73"/>
  <c r="BZ10" i="73"/>
  <c r="BU10" i="73"/>
  <c r="BT10" i="73"/>
  <c r="BO10" i="73"/>
  <c r="BJ10" i="73"/>
  <c r="BI10" i="73"/>
  <c r="CB10" i="73"/>
  <c r="BR10" i="73"/>
  <c r="BH10" i="73"/>
  <c r="CD10" i="73"/>
  <c r="CI10" i="73"/>
  <c r="BX10" i="73"/>
  <c r="BN10" i="73"/>
  <c r="BW10" i="73"/>
  <c r="CA10" i="73"/>
  <c r="BQ10" i="73"/>
  <c r="BG9" i="73"/>
  <c r="CG10" i="73"/>
  <c r="BV10" i="73"/>
  <c r="BL10" i="73"/>
  <c r="BK10" i="73"/>
  <c r="CF10" i="73"/>
  <c r="BE10" i="73"/>
  <c r="BA10" i="73"/>
  <c r="AW10" i="73"/>
  <c r="AR10" i="73"/>
  <c r="AN10" i="73"/>
  <c r="AI10" i="73"/>
  <c r="AE10" i="73"/>
  <c r="AA10" i="73"/>
  <c r="V10" i="73"/>
  <c r="R10" i="73"/>
  <c r="M10" i="73"/>
  <c r="I10" i="73"/>
  <c r="E10" i="73"/>
  <c r="BD10" i="73"/>
  <c r="AZ10" i="73"/>
  <c r="AV10" i="73"/>
  <c r="AQ10" i="73"/>
  <c r="AM10" i="73"/>
  <c r="AH10" i="73"/>
  <c r="AD10" i="73"/>
  <c r="Z10" i="73"/>
  <c r="U10" i="73"/>
  <c r="Q10" i="73"/>
  <c r="L10" i="73"/>
  <c r="H10" i="73"/>
  <c r="D10" i="73"/>
  <c r="BC10" i="73"/>
  <c r="AY10" i="73"/>
  <c r="AT10" i="73"/>
  <c r="AP10" i="73"/>
  <c r="AL10" i="73"/>
  <c r="AG10" i="73"/>
  <c r="AC10" i="73"/>
  <c r="X10" i="73"/>
  <c r="T10" i="73"/>
  <c r="P10" i="73"/>
  <c r="K10" i="73"/>
  <c r="G10" i="73"/>
  <c r="BB10" i="73"/>
  <c r="AX10" i="73"/>
  <c r="AS10" i="73"/>
  <c r="AO10" i="73"/>
  <c r="AK10" i="73"/>
  <c r="AF10" i="73"/>
  <c r="AB10" i="73"/>
  <c r="W10" i="73"/>
  <c r="S10" i="73"/>
  <c r="O10" i="73"/>
  <c r="J10" i="73"/>
  <c r="F10" i="73"/>
  <c r="Q106" i="73"/>
  <c r="BO106" i="73" s="1"/>
  <c r="AF106" i="73"/>
  <c r="BW106" i="73" s="1"/>
  <c r="U106" i="73"/>
  <c r="BQ106" i="73" s="1"/>
  <c r="AB106" i="73"/>
  <c r="BU106" i="73" s="1"/>
  <c r="O106" i="73"/>
  <c r="BN106" i="73" s="1"/>
  <c r="W106" i="73"/>
  <c r="BR106" i="73" s="1"/>
  <c r="AD106" i="73"/>
  <c r="BV106" i="73" s="1"/>
  <c r="S106" i="73"/>
  <c r="BP106" i="73" s="1"/>
  <c r="Z106" i="73"/>
  <c r="BT106" i="73" s="1"/>
  <c r="AH106" i="73"/>
  <c r="BX106" i="73" s="1"/>
  <c r="G27" i="48"/>
  <c r="N27" i="48" s="1"/>
  <c r="F27" i="48"/>
  <c r="M27" i="48" s="1"/>
  <c r="E27" i="48"/>
  <c r="L27" i="48" s="1"/>
  <c r="D27" i="48"/>
  <c r="K27" i="48" s="1"/>
  <c r="C27" i="48"/>
  <c r="J27" i="48" s="1"/>
  <c r="B27" i="48"/>
  <c r="I27" i="48" s="1"/>
  <c r="G26" i="48"/>
  <c r="N26" i="48" s="1"/>
  <c r="F26" i="48"/>
  <c r="M26" i="48" s="1"/>
  <c r="E26" i="48"/>
  <c r="L26" i="48" s="1"/>
  <c r="D26" i="48"/>
  <c r="K26" i="48" s="1"/>
  <c r="C26" i="48"/>
  <c r="J26" i="48" s="1"/>
  <c r="B26" i="48"/>
  <c r="I26" i="48" s="1"/>
  <c r="G25" i="48"/>
  <c r="N25" i="48" s="1"/>
  <c r="F25" i="48"/>
  <c r="M25" i="48" s="1"/>
  <c r="E25" i="48"/>
  <c r="L25" i="48" s="1"/>
  <c r="D25" i="48"/>
  <c r="K25" i="48" s="1"/>
  <c r="C25" i="48"/>
  <c r="J25" i="48" s="1"/>
  <c r="B25" i="48"/>
  <c r="I25" i="48" s="1"/>
  <c r="G7" i="48"/>
  <c r="F7" i="48"/>
  <c r="E7" i="48"/>
  <c r="D7" i="48"/>
  <c r="C7" i="48"/>
  <c r="B7" i="48"/>
  <c r="G1" i="48"/>
  <c r="B31" i="48"/>
  <c r="I31" i="48" s="1"/>
  <c r="AN30" i="84" l="1"/>
  <c r="AN30" i="79"/>
  <c r="AN31" i="84"/>
  <c r="AN31" i="79"/>
  <c r="AT30" i="79"/>
  <c r="AT31" i="79"/>
  <c r="W166" i="67"/>
  <c r="U166" i="67"/>
  <c r="W179" i="67"/>
  <c r="AM30" i="84"/>
  <c r="AM31" i="84"/>
  <c r="AM30" i="79"/>
  <c r="AM31" i="79"/>
  <c r="AS30" i="79"/>
  <c r="AS31" i="79"/>
  <c r="AO30" i="84"/>
  <c r="AO30" i="79"/>
  <c r="AO31" i="79"/>
  <c r="AO31" i="84"/>
  <c r="AU31" i="79"/>
  <c r="AU30" i="79"/>
  <c r="AP30" i="84"/>
  <c r="AP30" i="79"/>
  <c r="AP31" i="84"/>
  <c r="AP31" i="79"/>
  <c r="AV30" i="79"/>
  <c r="AV31" i="79"/>
  <c r="AL31" i="79"/>
  <c r="AL30" i="84"/>
  <c r="AL31" i="84"/>
  <c r="AL30" i="79"/>
  <c r="AR31" i="79"/>
  <c r="AR30" i="79"/>
  <c r="AU30" i="84"/>
  <c r="AU31" i="84"/>
  <c r="M97" i="85"/>
  <c r="M18" i="85"/>
  <c r="M26" i="85"/>
  <c r="M90" i="85"/>
  <c r="F22" i="85"/>
  <c r="F82" i="85" s="1"/>
  <c r="M126" i="85"/>
  <c r="M121" i="85"/>
  <c r="M104" i="85"/>
  <c r="M9" i="85"/>
  <c r="M137" i="85"/>
  <c r="M112" i="85"/>
  <c r="F40" i="85"/>
  <c r="F100" i="85" s="1"/>
  <c r="F118" i="85" s="1"/>
  <c r="F58" i="85"/>
  <c r="X4" i="85"/>
  <c r="F4" i="85"/>
  <c r="M3" i="85"/>
  <c r="M47" i="85"/>
  <c r="W3" i="84"/>
  <c r="M36" i="84"/>
  <c r="AF26" i="84"/>
  <c r="AO2" i="84"/>
  <c r="W16" i="84"/>
  <c r="AF11" i="84"/>
  <c r="W9" i="84"/>
  <c r="AF3" i="84"/>
  <c r="W33" i="84"/>
  <c r="G25" i="84"/>
  <c r="G14" i="84"/>
  <c r="G3" i="84"/>
  <c r="G83" i="83"/>
  <c r="AF22" i="84"/>
  <c r="AF19" i="84"/>
  <c r="AF6" i="84"/>
  <c r="V4" i="83"/>
  <c r="G3" i="83"/>
  <c r="G14" i="83"/>
  <c r="AF36" i="83"/>
  <c r="G30" i="83"/>
  <c r="M25" i="84"/>
  <c r="G77" i="83"/>
  <c r="AF3" i="83"/>
  <c r="W46" i="84"/>
  <c r="M3" i="84"/>
  <c r="AO3" i="84"/>
  <c r="M14" i="84"/>
  <c r="P4" i="83"/>
  <c r="AF32" i="84"/>
  <c r="G36" i="84"/>
  <c r="T166" i="67"/>
  <c r="U179" i="85"/>
  <c r="X179" i="85"/>
  <c r="X179" i="67"/>
  <c r="V179" i="67"/>
  <c r="V179" i="85"/>
  <c r="B58" i="85"/>
  <c r="B40" i="85"/>
  <c r="B100" i="85" s="1"/>
  <c r="B118" i="85" s="1"/>
  <c r="B4" i="85"/>
  <c r="T4" i="85"/>
  <c r="B22" i="85"/>
  <c r="B82" i="85" s="1"/>
  <c r="S33" i="84"/>
  <c r="C25" i="84"/>
  <c r="C14" i="84"/>
  <c r="C3" i="84"/>
  <c r="S46" i="84"/>
  <c r="I25" i="84"/>
  <c r="I14" i="84"/>
  <c r="I3" i="84"/>
  <c r="C36" i="84"/>
  <c r="C77" i="83"/>
  <c r="S3" i="84"/>
  <c r="S16" i="84"/>
  <c r="C30" i="83"/>
  <c r="L4" i="83"/>
  <c r="J20" i="83" s="1"/>
  <c r="I36" i="84"/>
  <c r="S9" i="84"/>
  <c r="C83" i="83"/>
  <c r="R4" i="83"/>
  <c r="AB36" i="83"/>
  <c r="AB3" i="83"/>
  <c r="C3" i="83"/>
  <c r="C14" i="83"/>
  <c r="T179" i="85"/>
  <c r="W166" i="85"/>
  <c r="W179" i="85"/>
  <c r="X166" i="85"/>
  <c r="T166" i="85"/>
  <c r="AV30" i="84"/>
  <c r="AV31" i="84"/>
  <c r="N26" i="85"/>
  <c r="N137" i="85"/>
  <c r="G40" i="85"/>
  <c r="G100" i="85" s="1"/>
  <c r="G118" i="85" s="1"/>
  <c r="N112" i="85"/>
  <c r="N47" i="85"/>
  <c r="N97" i="85"/>
  <c r="N90" i="85"/>
  <c r="N121" i="85"/>
  <c r="N104" i="85"/>
  <c r="G58" i="85"/>
  <c r="Y4" i="85"/>
  <c r="G4" i="85"/>
  <c r="N3" i="85"/>
  <c r="G22" i="85"/>
  <c r="G82" i="85" s="1"/>
  <c r="N18" i="85"/>
  <c r="N126" i="85"/>
  <c r="N9" i="85"/>
  <c r="N36" i="84"/>
  <c r="AG26" i="84"/>
  <c r="AP2" i="84"/>
  <c r="X16" i="84"/>
  <c r="AG11" i="84"/>
  <c r="X9" i="84"/>
  <c r="AG3" i="84"/>
  <c r="X33" i="84"/>
  <c r="H25" i="84"/>
  <c r="H14" i="84"/>
  <c r="H3" i="84"/>
  <c r="H83" i="83"/>
  <c r="X46" i="84"/>
  <c r="AG22" i="84"/>
  <c r="AG6" i="84"/>
  <c r="AG36" i="83"/>
  <c r="AH36" i="83" s="1"/>
  <c r="H30" i="83"/>
  <c r="H3" i="83"/>
  <c r="N3" i="84"/>
  <c r="N25" i="84"/>
  <c r="X3" i="84"/>
  <c r="H77" i="83"/>
  <c r="H14" i="83"/>
  <c r="AG3" i="83"/>
  <c r="AH3" i="83" s="1"/>
  <c r="H36" i="84"/>
  <c r="N14" i="84"/>
  <c r="AP3" i="84"/>
  <c r="AG19" i="84"/>
  <c r="AG32" i="84"/>
  <c r="W4" i="83"/>
  <c r="Q4" i="83"/>
  <c r="AS30" i="84"/>
  <c r="AS31" i="84"/>
  <c r="K126" i="85"/>
  <c r="K121" i="85"/>
  <c r="K104" i="85"/>
  <c r="K9" i="85"/>
  <c r="K47" i="85"/>
  <c r="K26" i="85"/>
  <c r="K112" i="85"/>
  <c r="K137" i="85"/>
  <c r="K97" i="85"/>
  <c r="K18" i="85"/>
  <c r="K90" i="85"/>
  <c r="D40" i="85"/>
  <c r="D100" i="85" s="1"/>
  <c r="D118" i="85" s="1"/>
  <c r="D58" i="85"/>
  <c r="D4" i="85"/>
  <c r="D22" i="85"/>
  <c r="D82" i="85" s="1"/>
  <c r="V4" i="85"/>
  <c r="K3" i="85"/>
  <c r="AD32" i="84"/>
  <c r="K25" i="84"/>
  <c r="AD19" i="84"/>
  <c r="K14" i="84"/>
  <c r="AM3" i="84"/>
  <c r="K3" i="84"/>
  <c r="E36" i="84"/>
  <c r="E77" i="83"/>
  <c r="U3" i="84"/>
  <c r="K36" i="84"/>
  <c r="AD26" i="84"/>
  <c r="AM2" i="84"/>
  <c r="AD3" i="84"/>
  <c r="N4" i="83"/>
  <c r="E30" i="83"/>
  <c r="U33" i="84"/>
  <c r="E14" i="84"/>
  <c r="AD11" i="84"/>
  <c r="AD36" i="83"/>
  <c r="AD22" i="84"/>
  <c r="U9" i="84"/>
  <c r="AD6" i="84"/>
  <c r="E83" i="83"/>
  <c r="T4" i="83"/>
  <c r="E3" i="83"/>
  <c r="U46" i="84"/>
  <c r="E3" i="84"/>
  <c r="E14" i="83"/>
  <c r="U16" i="84"/>
  <c r="E25" i="84"/>
  <c r="AD3" i="83"/>
  <c r="U166" i="85"/>
  <c r="AR31" i="84"/>
  <c r="AR30" i="84"/>
  <c r="C58" i="85"/>
  <c r="C82" i="85" s="1"/>
  <c r="C100" i="85" s="1"/>
  <c r="C118" i="85" s="1"/>
  <c r="J126" i="85"/>
  <c r="J121" i="85"/>
  <c r="J104" i="85"/>
  <c r="J9" i="85"/>
  <c r="J97" i="85"/>
  <c r="J18" i="85"/>
  <c r="J90" i="85"/>
  <c r="C22" i="85"/>
  <c r="J26" i="85"/>
  <c r="J137" i="85"/>
  <c r="J112" i="85"/>
  <c r="C40" i="85"/>
  <c r="J47" i="85"/>
  <c r="U4" i="85"/>
  <c r="J3" i="85"/>
  <c r="C4" i="85"/>
  <c r="T46" i="84"/>
  <c r="AC22" i="84"/>
  <c r="AC6" i="84"/>
  <c r="AC32" i="84"/>
  <c r="J25" i="84"/>
  <c r="AC19" i="84"/>
  <c r="J14" i="84"/>
  <c r="AL3" i="84"/>
  <c r="J3" i="84"/>
  <c r="D36" i="84"/>
  <c r="O35" i="84" s="1"/>
  <c r="D77" i="83"/>
  <c r="T3" i="84"/>
  <c r="J36" i="84"/>
  <c r="P35" i="84" s="1"/>
  <c r="AC26" i="84"/>
  <c r="T16" i="84"/>
  <c r="D3" i="84"/>
  <c r="M4" i="83"/>
  <c r="AC3" i="84"/>
  <c r="AL2" i="84"/>
  <c r="T9" i="84"/>
  <c r="S4" i="83"/>
  <c r="T33" i="84"/>
  <c r="D14" i="84"/>
  <c r="AC11" i="84"/>
  <c r="D83" i="83"/>
  <c r="AC36" i="83"/>
  <c r="D30" i="83"/>
  <c r="D3" i="83"/>
  <c r="D14" i="83"/>
  <c r="D25" i="84"/>
  <c r="AC3" i="83"/>
  <c r="AT30" i="84"/>
  <c r="AT31" i="84"/>
  <c r="L47" i="85"/>
  <c r="L97" i="85"/>
  <c r="L18" i="85"/>
  <c r="L137" i="85"/>
  <c r="E40" i="85"/>
  <c r="E100" i="85" s="1"/>
  <c r="E118" i="85" s="1"/>
  <c r="E58" i="85"/>
  <c r="L9" i="85"/>
  <c r="E4" i="85"/>
  <c r="L112" i="85"/>
  <c r="L90" i="85"/>
  <c r="L121" i="85"/>
  <c r="L104" i="85"/>
  <c r="E22" i="85"/>
  <c r="E82" i="85" s="1"/>
  <c r="W4" i="85"/>
  <c r="L3" i="85"/>
  <c r="L26" i="85"/>
  <c r="L126" i="85"/>
  <c r="F36" i="84"/>
  <c r="V3" i="84"/>
  <c r="L36" i="84"/>
  <c r="AE26" i="84"/>
  <c r="AN2" i="84"/>
  <c r="V16" i="84"/>
  <c r="AE11" i="84"/>
  <c r="V9" i="84"/>
  <c r="AE3" i="84"/>
  <c r="V33" i="84"/>
  <c r="AE32" i="84"/>
  <c r="F14" i="84"/>
  <c r="V46" i="84"/>
  <c r="AE22" i="84"/>
  <c r="AE19" i="84"/>
  <c r="AE6" i="84"/>
  <c r="F83" i="83"/>
  <c r="U4" i="83"/>
  <c r="AE36" i="83"/>
  <c r="F30" i="83"/>
  <c r="F3" i="83"/>
  <c r="L25" i="84"/>
  <c r="F77" i="83"/>
  <c r="F14" i="83"/>
  <c r="AE3" i="83"/>
  <c r="F25" i="84"/>
  <c r="L3" i="84"/>
  <c r="L14" i="84"/>
  <c r="AN3" i="84"/>
  <c r="O4" i="83"/>
  <c r="F3" i="84"/>
  <c r="T4" i="67"/>
  <c r="B40" i="67"/>
  <c r="B100" i="67" s="1"/>
  <c r="B118" i="67" s="1"/>
  <c r="B4" i="67"/>
  <c r="C36" i="79"/>
  <c r="C25" i="79"/>
  <c r="B70" i="17"/>
  <c r="B58" i="67"/>
  <c r="B22" i="67"/>
  <c r="B82" i="67" s="1"/>
  <c r="I36" i="79"/>
  <c r="I25" i="79"/>
  <c r="I14" i="79"/>
  <c r="I3" i="79"/>
  <c r="C3" i="79"/>
  <c r="C14" i="79"/>
  <c r="K137" i="67"/>
  <c r="K104" i="67"/>
  <c r="K26" i="67"/>
  <c r="D58" i="67"/>
  <c r="D22" i="67"/>
  <c r="D82" i="67" s="1"/>
  <c r="AM2" i="79"/>
  <c r="AD19" i="79"/>
  <c r="K36" i="79"/>
  <c r="K25" i="79"/>
  <c r="V4" i="67"/>
  <c r="V25" i="67" s="1"/>
  <c r="V46" i="67" s="1"/>
  <c r="K121" i="67"/>
  <c r="K90" i="67"/>
  <c r="K9" i="67"/>
  <c r="D40" i="67"/>
  <c r="D100" i="67" s="1"/>
  <c r="D118" i="67" s="1"/>
  <c r="D4" i="67"/>
  <c r="AD26" i="79"/>
  <c r="AD6" i="79"/>
  <c r="E36" i="79"/>
  <c r="E25" i="79"/>
  <c r="E14" i="79"/>
  <c r="E3" i="79"/>
  <c r="K112" i="67"/>
  <c r="K47" i="67"/>
  <c r="K3" i="67"/>
  <c r="AM3" i="79"/>
  <c r="AD22" i="79"/>
  <c r="AD3" i="79"/>
  <c r="K97" i="67"/>
  <c r="AD11" i="79"/>
  <c r="K18" i="67"/>
  <c r="K14" i="79"/>
  <c r="K3" i="79"/>
  <c r="K126" i="67"/>
  <c r="AD32" i="79"/>
  <c r="X4" i="67"/>
  <c r="X25" i="67" s="1"/>
  <c r="X46" i="67" s="1"/>
  <c r="M121" i="67"/>
  <c r="M90" i="67"/>
  <c r="M9" i="67"/>
  <c r="F40" i="67"/>
  <c r="F100" i="67" s="1"/>
  <c r="F118" i="67" s="1"/>
  <c r="F4" i="67"/>
  <c r="AF26" i="79"/>
  <c r="AF6" i="79"/>
  <c r="G36" i="79"/>
  <c r="G25" i="79"/>
  <c r="M137" i="67"/>
  <c r="M104" i="67"/>
  <c r="M26" i="67"/>
  <c r="F58" i="67"/>
  <c r="F22" i="67"/>
  <c r="F82" i="67" s="1"/>
  <c r="AO2" i="79"/>
  <c r="AF19" i="79"/>
  <c r="M36" i="79"/>
  <c r="M25" i="79"/>
  <c r="M14" i="79"/>
  <c r="M3" i="79"/>
  <c r="M126" i="67"/>
  <c r="M97" i="67"/>
  <c r="M18" i="67"/>
  <c r="AF32" i="79"/>
  <c r="AF11" i="79"/>
  <c r="AO3" i="79"/>
  <c r="G14" i="79"/>
  <c r="M112" i="67"/>
  <c r="AF22" i="79"/>
  <c r="G3" i="79"/>
  <c r="M47" i="67"/>
  <c r="AF3" i="79"/>
  <c r="M3" i="67"/>
  <c r="L126" i="67"/>
  <c r="L97" i="67"/>
  <c r="L18" i="67"/>
  <c r="AE32" i="79"/>
  <c r="AE11" i="79"/>
  <c r="L112" i="67"/>
  <c r="L47" i="67"/>
  <c r="L3" i="67"/>
  <c r="AN3" i="79"/>
  <c r="AE22" i="79"/>
  <c r="AE3" i="79"/>
  <c r="L25" i="79"/>
  <c r="L14" i="79"/>
  <c r="L137" i="67"/>
  <c r="L104" i="67"/>
  <c r="L26" i="67"/>
  <c r="E58" i="67"/>
  <c r="E22" i="67"/>
  <c r="E82" i="67" s="1"/>
  <c r="AN2" i="79"/>
  <c r="AE19" i="79"/>
  <c r="L36" i="79"/>
  <c r="W4" i="67"/>
  <c r="W25" i="67" s="1"/>
  <c r="W46" i="67" s="1"/>
  <c r="L121" i="67"/>
  <c r="AE26" i="79"/>
  <c r="F25" i="79"/>
  <c r="L90" i="67"/>
  <c r="E4" i="67"/>
  <c r="F36" i="79"/>
  <c r="F14" i="79"/>
  <c r="L3" i="79"/>
  <c r="F3" i="79"/>
  <c r="AE6" i="79"/>
  <c r="L9" i="67"/>
  <c r="E40" i="67"/>
  <c r="E100" i="67" s="1"/>
  <c r="E118" i="67" s="1"/>
  <c r="J112" i="67"/>
  <c r="J47" i="67"/>
  <c r="J3" i="67"/>
  <c r="AL3" i="79"/>
  <c r="AC22" i="79"/>
  <c r="AC3" i="79"/>
  <c r="J126" i="67"/>
  <c r="J97" i="67"/>
  <c r="J18" i="67"/>
  <c r="AC32" i="79"/>
  <c r="AC11" i="79"/>
  <c r="D25" i="79"/>
  <c r="U4" i="67"/>
  <c r="J121" i="67"/>
  <c r="J90" i="67"/>
  <c r="J9" i="67"/>
  <c r="C40" i="67"/>
  <c r="C4" i="67"/>
  <c r="AC26" i="79"/>
  <c r="AC6" i="79"/>
  <c r="D36" i="79"/>
  <c r="J26" i="67"/>
  <c r="C22" i="67"/>
  <c r="J36" i="79"/>
  <c r="C58" i="67"/>
  <c r="C82" i="67" s="1"/>
  <c r="C100" i="67" s="1"/>
  <c r="C118" i="67" s="1"/>
  <c r="D14" i="79"/>
  <c r="J104" i="67"/>
  <c r="AC19" i="79"/>
  <c r="D3" i="79"/>
  <c r="J14" i="79"/>
  <c r="J137" i="67"/>
  <c r="AL2" i="79"/>
  <c r="J25" i="79"/>
  <c r="J3" i="79"/>
  <c r="N112" i="67"/>
  <c r="N47" i="67"/>
  <c r="N3" i="67"/>
  <c r="AP3" i="79"/>
  <c r="AG22" i="79"/>
  <c r="AG3" i="79"/>
  <c r="N126" i="67"/>
  <c r="N97" i="67"/>
  <c r="N18" i="67"/>
  <c r="AG32" i="79"/>
  <c r="AG11" i="79"/>
  <c r="H36" i="79"/>
  <c r="Y4" i="67"/>
  <c r="AA3" i="67" s="1"/>
  <c r="AA24" i="67" s="1"/>
  <c r="AA45" i="67" s="1"/>
  <c r="N121" i="67"/>
  <c r="N90" i="67"/>
  <c r="N9" i="67"/>
  <c r="G40" i="67"/>
  <c r="G100" i="67" s="1"/>
  <c r="G118" i="67" s="1"/>
  <c r="G4" i="67"/>
  <c r="AG26" i="79"/>
  <c r="AG6" i="79"/>
  <c r="H25" i="79"/>
  <c r="H14" i="79"/>
  <c r="G58" i="67"/>
  <c r="N3" i="79"/>
  <c r="P2" i="79" s="1"/>
  <c r="H3" i="79"/>
  <c r="O2" i="79" s="1"/>
  <c r="AP2" i="79"/>
  <c r="N14" i="79"/>
  <c r="N25" i="79"/>
  <c r="G22" i="67"/>
  <c r="G82" i="67" s="1"/>
  <c r="N36" i="79"/>
  <c r="P35" i="79" s="1"/>
  <c r="N137" i="67"/>
  <c r="N26" i="67"/>
  <c r="N104" i="67"/>
  <c r="AG19" i="79"/>
  <c r="X46" i="79"/>
  <c r="X9" i="79"/>
  <c r="AG3" i="78"/>
  <c r="AH3" i="78" s="1"/>
  <c r="Q4" i="78"/>
  <c r="H77" i="78"/>
  <c r="H14" i="78"/>
  <c r="X3" i="79"/>
  <c r="H83" i="78"/>
  <c r="X33" i="79"/>
  <c r="H30" i="78"/>
  <c r="X16" i="79"/>
  <c r="W4" i="78"/>
  <c r="H3" i="78"/>
  <c r="AG36" i="78"/>
  <c r="AH36" i="78" s="1"/>
  <c r="V33" i="79"/>
  <c r="V16" i="79"/>
  <c r="V3" i="79"/>
  <c r="U4" i="78"/>
  <c r="F83" i="78"/>
  <c r="F30" i="78"/>
  <c r="F3" i="78"/>
  <c r="V46" i="79"/>
  <c r="AE3" i="78"/>
  <c r="V9" i="79"/>
  <c r="AE36" i="78"/>
  <c r="F14" i="78"/>
  <c r="F77" i="78"/>
  <c r="O4" i="78"/>
  <c r="T46" i="79"/>
  <c r="T9" i="79"/>
  <c r="AC3" i="78"/>
  <c r="M4" i="78"/>
  <c r="D77" i="78"/>
  <c r="D14" i="78"/>
  <c r="AC36" i="78"/>
  <c r="D30" i="78"/>
  <c r="T16" i="79"/>
  <c r="D83" i="78"/>
  <c r="S4" i="78"/>
  <c r="D3" i="78"/>
  <c r="T3" i="79"/>
  <c r="T33" i="79"/>
  <c r="U46" i="79"/>
  <c r="AD36" i="78"/>
  <c r="U33" i="79"/>
  <c r="E14" i="78"/>
  <c r="E3" i="78"/>
  <c r="U16" i="79"/>
  <c r="T4" i="78"/>
  <c r="N4" i="78"/>
  <c r="U3" i="79"/>
  <c r="AD3" i="78"/>
  <c r="U9" i="79"/>
  <c r="E30" i="78"/>
  <c r="E77" i="78"/>
  <c r="E83" i="78"/>
  <c r="S33" i="79"/>
  <c r="S46" i="79"/>
  <c r="S3" i="79"/>
  <c r="C83" i="78"/>
  <c r="C77" i="78"/>
  <c r="S16" i="79"/>
  <c r="L4" i="78"/>
  <c r="J20" i="78" s="1"/>
  <c r="AB36" i="78"/>
  <c r="AB3" i="78"/>
  <c r="R4" i="78"/>
  <c r="C14" i="78"/>
  <c r="C3" i="78"/>
  <c r="C30" i="78"/>
  <c r="S9" i="79"/>
  <c r="W33" i="79"/>
  <c r="W46" i="79"/>
  <c r="W16" i="79"/>
  <c r="W9" i="79"/>
  <c r="V4" i="78"/>
  <c r="P4" i="78"/>
  <c r="W3" i="79"/>
  <c r="AF36" i="78"/>
  <c r="AF3" i="78"/>
  <c r="G14" i="78"/>
  <c r="G3" i="78"/>
  <c r="G77" i="78"/>
  <c r="G30" i="78"/>
  <c r="G83" i="78"/>
  <c r="H126" i="77"/>
  <c r="H79" i="77"/>
  <c r="H32" i="77"/>
  <c r="O2" i="84" l="1"/>
  <c r="AE3" i="85"/>
  <c r="AE16" i="85"/>
  <c r="AE13" i="85"/>
  <c r="U25" i="85"/>
  <c r="U46" i="85" s="1"/>
  <c r="Z3" i="85"/>
  <c r="Z24" i="85" s="1"/>
  <c r="Z45" i="85" s="1"/>
  <c r="P2" i="84"/>
  <c r="P24" i="84"/>
  <c r="P13" i="84"/>
  <c r="O13" i="84"/>
  <c r="Y25" i="85"/>
  <c r="Y46" i="85" s="1"/>
  <c r="AI13" i="85"/>
  <c r="AI16" i="85"/>
  <c r="AI3" i="85"/>
  <c r="AA3" i="85"/>
  <c r="AA24" i="85" s="1"/>
  <c r="AA45" i="85" s="1"/>
  <c r="Y2" i="84"/>
  <c r="Y8" i="84" s="1"/>
  <c r="Y16" i="84" s="1"/>
  <c r="Y33" i="84" s="1"/>
  <c r="Y46" i="84" s="1"/>
  <c r="V25" i="85"/>
  <c r="V46" i="85" s="1"/>
  <c r="AF3" i="85"/>
  <c r="AF16" i="85"/>
  <c r="AF13" i="85"/>
  <c r="O24" i="84"/>
  <c r="AH16" i="85"/>
  <c r="AH13" i="85"/>
  <c r="AH3" i="85"/>
  <c r="X25" i="85"/>
  <c r="X46" i="85" s="1"/>
  <c r="T25" i="85"/>
  <c r="AD13" i="85"/>
  <c r="AD16" i="85"/>
  <c r="AD3" i="85"/>
  <c r="S16" i="85"/>
  <c r="W25" i="85"/>
  <c r="W46" i="85" s="1"/>
  <c r="AG16" i="85"/>
  <c r="AG13" i="85"/>
  <c r="AG3" i="85"/>
  <c r="Z2" i="84"/>
  <c r="Z8" i="84" s="1"/>
  <c r="Z16" i="84" s="1"/>
  <c r="Z33" i="84" s="1"/>
  <c r="Z46" i="84" s="1"/>
  <c r="M32" i="77"/>
  <c r="AH32" i="77"/>
  <c r="M79" i="77"/>
  <c r="AH79" i="77"/>
  <c r="M126" i="77"/>
  <c r="AH126" i="77"/>
  <c r="P13" i="79"/>
  <c r="Z2" i="79"/>
  <c r="Z8" i="79" s="1"/>
  <c r="Z16" i="79" s="1"/>
  <c r="Z33" i="79" s="1"/>
  <c r="Z46" i="79" s="1"/>
  <c r="O13" i="79"/>
  <c r="O24" i="79"/>
  <c r="P24" i="79"/>
  <c r="O35" i="79"/>
  <c r="W77" i="67"/>
  <c r="W101" i="67" s="1"/>
  <c r="W121" i="67"/>
  <c r="V142" i="67" s="1"/>
  <c r="V155" i="67" s="1"/>
  <c r="V168" i="67" s="1"/>
  <c r="V77" i="67"/>
  <c r="V101" i="67" s="1"/>
  <c r="V121" i="67"/>
  <c r="U142" i="67" s="1"/>
  <c r="U155" i="67" s="1"/>
  <c r="U168" i="67" s="1"/>
  <c r="Y25" i="67"/>
  <c r="Z3" i="67"/>
  <c r="Z24" i="67" s="1"/>
  <c r="Z45" i="67" s="1"/>
  <c r="U25" i="67"/>
  <c r="X77" i="67"/>
  <c r="X101" i="67" s="1"/>
  <c r="X121" i="67"/>
  <c r="W142" i="67" s="1"/>
  <c r="W155" i="67" s="1"/>
  <c r="W168" i="67" s="1"/>
  <c r="S16" i="67"/>
  <c r="T25" i="67"/>
  <c r="Y2" i="79"/>
  <c r="Y8" i="79" s="1"/>
  <c r="Y16" i="79" s="1"/>
  <c r="Y33" i="79" s="1"/>
  <c r="Y46" i="79" s="1"/>
  <c r="C11" i="60"/>
  <c r="X77" i="85" l="1"/>
  <c r="X101" i="85" s="1"/>
  <c r="X121" i="85"/>
  <c r="W142" i="85" s="1"/>
  <c r="W155" i="85" s="1"/>
  <c r="W168" i="85" s="1"/>
  <c r="U121" i="85"/>
  <c r="U77" i="85"/>
  <c r="W121" i="85"/>
  <c r="V142" i="85" s="1"/>
  <c r="V155" i="85" s="1"/>
  <c r="V168" i="85" s="1"/>
  <c r="W77" i="85"/>
  <c r="W101" i="85" s="1"/>
  <c r="C4" i="79"/>
  <c r="C4" i="84"/>
  <c r="V77" i="85"/>
  <c r="V101" i="85" s="1"/>
  <c r="V121" i="85"/>
  <c r="U142" i="85" s="1"/>
  <c r="U155" i="85" s="1"/>
  <c r="U168" i="85" s="1"/>
  <c r="Y77" i="85"/>
  <c r="Y121" i="85"/>
  <c r="S37" i="85"/>
  <c r="T46" i="85"/>
  <c r="R126" i="77"/>
  <c r="AM126" i="77"/>
  <c r="R79" i="77"/>
  <c r="AM79" i="77"/>
  <c r="R32" i="77"/>
  <c r="AM32" i="77"/>
  <c r="T46" i="67"/>
  <c r="S37" i="67"/>
  <c r="U46" i="67"/>
  <c r="Y46" i="67"/>
  <c r="AJ11" i="60"/>
  <c r="AL11" i="60"/>
  <c r="AK11" i="60"/>
  <c r="AI11" i="60"/>
  <c r="AH11" i="60"/>
  <c r="AG11" i="60"/>
  <c r="AF11" i="60"/>
  <c r="AE11" i="60"/>
  <c r="AD11" i="60"/>
  <c r="AC11" i="60"/>
  <c r="AB11" i="60"/>
  <c r="AA11" i="60"/>
  <c r="Z11" i="60"/>
  <c r="Y11" i="60"/>
  <c r="X11" i="60"/>
  <c r="W11" i="60"/>
  <c r="V11" i="60"/>
  <c r="U11" i="60"/>
  <c r="T11" i="60"/>
  <c r="S11" i="60"/>
  <c r="R11" i="60"/>
  <c r="Q11" i="60"/>
  <c r="P11" i="60"/>
  <c r="O11" i="60"/>
  <c r="N11" i="60"/>
  <c r="M11" i="60"/>
  <c r="L11" i="60"/>
  <c r="K11" i="60"/>
  <c r="J11" i="60"/>
  <c r="J4" i="84" s="1"/>
  <c r="I11" i="60"/>
  <c r="H11" i="60"/>
  <c r="G11" i="60"/>
  <c r="F11" i="60"/>
  <c r="E11" i="60"/>
  <c r="D11" i="60"/>
  <c r="D4" i="84" s="1"/>
  <c r="C15" i="79" l="1"/>
  <c r="C15" i="84"/>
  <c r="T121" i="85"/>
  <c r="S133" i="85" s="1"/>
  <c r="T77" i="85"/>
  <c r="S58" i="85"/>
  <c r="F26" i="79"/>
  <c r="F37" i="79" s="1"/>
  <c r="F26" i="84"/>
  <c r="E15" i="79"/>
  <c r="E15" i="84"/>
  <c r="M26" i="79"/>
  <c r="M26" i="84"/>
  <c r="H4" i="79"/>
  <c r="H4" i="84"/>
  <c r="K4" i="79"/>
  <c r="K4" i="84"/>
  <c r="G15" i="79"/>
  <c r="G15" i="84"/>
  <c r="I26" i="79"/>
  <c r="I26" i="84"/>
  <c r="X142" i="85"/>
  <c r="X155" i="85" s="1"/>
  <c r="X168" i="85" s="1"/>
  <c r="AA120" i="85"/>
  <c r="U101" i="85"/>
  <c r="G4" i="79"/>
  <c r="G37" i="79" s="1"/>
  <c r="G4" i="84"/>
  <c r="G26" i="79"/>
  <c r="G26" i="84"/>
  <c r="F15" i="79"/>
  <c r="F15" i="84"/>
  <c r="H26" i="79"/>
  <c r="H26" i="84"/>
  <c r="L4" i="79"/>
  <c r="L37" i="79" s="1"/>
  <c r="L4" i="84"/>
  <c r="H15" i="79"/>
  <c r="H15" i="84"/>
  <c r="O15" i="84" s="1"/>
  <c r="J26" i="79"/>
  <c r="J26" i="84"/>
  <c r="Y101" i="85"/>
  <c r="AA76" i="85"/>
  <c r="T142" i="85"/>
  <c r="T155" i="85" s="1"/>
  <c r="T168" i="85" s="1"/>
  <c r="Z120" i="85"/>
  <c r="E26" i="79"/>
  <c r="E26" i="84"/>
  <c r="J37" i="84"/>
  <c r="E4" i="79"/>
  <c r="E4" i="84"/>
  <c r="C26" i="79"/>
  <c r="C37" i="79" s="1"/>
  <c r="C26" i="84"/>
  <c r="C37" i="84" s="1"/>
  <c r="D15" i="79"/>
  <c r="D15" i="84"/>
  <c r="J15" i="84" s="1"/>
  <c r="N26" i="79"/>
  <c r="N26" i="84"/>
  <c r="P26" i="84" s="1"/>
  <c r="I4" i="79"/>
  <c r="I15" i="79" s="1"/>
  <c r="I4" i="84"/>
  <c r="M4" i="79"/>
  <c r="M4" i="84"/>
  <c r="M37" i="84" s="1"/>
  <c r="K26" i="79"/>
  <c r="K26" i="84"/>
  <c r="F4" i="79"/>
  <c r="F4" i="84"/>
  <c r="N4" i="79"/>
  <c r="N4" i="84"/>
  <c r="D26" i="79"/>
  <c r="D26" i="84"/>
  <c r="D37" i="84" s="1"/>
  <c r="L26" i="79"/>
  <c r="L26" i="84"/>
  <c r="W32" i="77"/>
  <c r="AW32" i="77" s="1"/>
  <c r="AR32" i="77"/>
  <c r="W126" i="77"/>
  <c r="AW126" i="77" s="1"/>
  <c r="AR126" i="77"/>
  <c r="W79" i="77"/>
  <c r="AW79" i="77" s="1"/>
  <c r="AR79" i="77"/>
  <c r="O15" i="79"/>
  <c r="D4" i="79"/>
  <c r="AV11" i="60"/>
  <c r="P26" i="79"/>
  <c r="J4" i="79"/>
  <c r="AW11" i="60"/>
  <c r="U77" i="67"/>
  <c r="U121" i="67"/>
  <c r="Y121" i="67"/>
  <c r="Y77" i="67"/>
  <c r="S58" i="67"/>
  <c r="T77" i="67"/>
  <c r="T121" i="67"/>
  <c r="S133" i="67" s="1"/>
  <c r="I37" i="79"/>
  <c r="N37" i="79"/>
  <c r="E37" i="79"/>
  <c r="D96" i="65"/>
  <c r="E96" i="65"/>
  <c r="F96" i="65"/>
  <c r="G96" i="65"/>
  <c r="H96" i="65"/>
  <c r="I96" i="65"/>
  <c r="D97" i="65"/>
  <c r="E97" i="65"/>
  <c r="F97" i="65"/>
  <c r="G97" i="65"/>
  <c r="H97" i="65"/>
  <c r="I97" i="65"/>
  <c r="M37" i="79" l="1"/>
  <c r="K15" i="79"/>
  <c r="P4" i="79"/>
  <c r="N15" i="79"/>
  <c r="L15" i="79"/>
  <c r="M15" i="79"/>
  <c r="I37" i="84"/>
  <c r="O26" i="79"/>
  <c r="F37" i="84"/>
  <c r="L15" i="84"/>
  <c r="O4" i="84"/>
  <c r="H37" i="84"/>
  <c r="O37" i="84" s="1"/>
  <c r="N15" i="84"/>
  <c r="P15" i="84" s="1"/>
  <c r="I15" i="84"/>
  <c r="H37" i="79"/>
  <c r="D37" i="79"/>
  <c r="L37" i="84"/>
  <c r="K37" i="79"/>
  <c r="T101" i="85"/>
  <c r="S113" i="85" s="1"/>
  <c r="S89" i="85"/>
  <c r="G37" i="84"/>
  <c r="M15" i="84"/>
  <c r="K15" i="84"/>
  <c r="E37" i="84"/>
  <c r="P4" i="84"/>
  <c r="N37" i="84"/>
  <c r="P37" i="84" s="1"/>
  <c r="O26" i="84"/>
  <c r="Z76" i="85"/>
  <c r="K37" i="84"/>
  <c r="O4" i="79"/>
  <c r="J15" i="79"/>
  <c r="P15" i="79" s="1"/>
  <c r="J37" i="79"/>
  <c r="P37" i="79" s="1"/>
  <c r="T101" i="67"/>
  <c r="S113" i="67" s="1"/>
  <c r="S89" i="67"/>
  <c r="T142" i="67"/>
  <c r="T155" i="67" s="1"/>
  <c r="T168" i="67" s="1"/>
  <c r="Z120" i="67"/>
  <c r="AA76" i="67"/>
  <c r="Y101" i="67"/>
  <c r="X142" i="67"/>
  <c r="X155" i="67" s="1"/>
  <c r="X168" i="67" s="1"/>
  <c r="AA120" i="67"/>
  <c r="U101" i="67"/>
  <c r="Z76" i="67"/>
  <c r="F7" i="58"/>
  <c r="F14" i="58"/>
  <c r="F19" i="58"/>
  <c r="F27" i="58"/>
  <c r="P27" i="58" s="1"/>
  <c r="F36" i="58"/>
  <c r="O37" i="79" l="1"/>
  <c r="Z100" i="85"/>
  <c r="AA100" i="85"/>
  <c r="E7" i="58"/>
  <c r="O7" i="58" s="1"/>
  <c r="P7" i="58"/>
  <c r="Z100" i="67"/>
  <c r="AA100" i="67"/>
  <c r="F38" i="58"/>
  <c r="F41" i="58" s="1"/>
  <c r="P41" i="58" s="1"/>
  <c r="F39" i="58"/>
  <c r="F42" i="58" s="1"/>
  <c r="P42" i="58" s="1"/>
  <c r="F32" i="58"/>
  <c r="P32" i="58" s="1"/>
  <c r="F40" i="58" l="1"/>
  <c r="P40" i="58" s="1"/>
  <c r="F37" i="58"/>
  <c r="U16" i="2"/>
  <c r="T16" i="2"/>
  <c r="Q16" i="2"/>
  <c r="R16" i="2" l="1"/>
  <c r="S16" i="2"/>
  <c r="H90" i="74"/>
  <c r="G90" i="74"/>
  <c r="G127" i="74" l="1"/>
  <c r="AV68" i="53"/>
  <c r="CX68" i="53" s="1"/>
  <c r="AU68" i="53"/>
  <c r="CW68" i="53" s="1"/>
  <c r="AT68" i="53"/>
  <c r="CV68" i="53" s="1"/>
  <c r="AS68" i="53"/>
  <c r="CU68" i="53" s="1"/>
  <c r="AR68" i="53"/>
  <c r="CT68" i="53" s="1"/>
  <c r="AQ68" i="53"/>
  <c r="CS68" i="53" s="1"/>
  <c r="AV67" i="53"/>
  <c r="CX67" i="53" s="1"/>
  <c r="AU67" i="53"/>
  <c r="CW67" i="53" s="1"/>
  <c r="AT67" i="53"/>
  <c r="CV67" i="53" s="1"/>
  <c r="AS67" i="53"/>
  <c r="CU67" i="53" s="1"/>
  <c r="AR67" i="53"/>
  <c r="CT67" i="53" s="1"/>
  <c r="AQ67" i="53"/>
  <c r="CS67" i="53" s="1"/>
  <c r="AV65" i="53"/>
  <c r="CX65" i="53" s="1"/>
  <c r="AU65" i="53"/>
  <c r="CW65" i="53" s="1"/>
  <c r="AT65" i="53"/>
  <c r="CV65" i="53" s="1"/>
  <c r="AS65" i="53"/>
  <c r="CU65" i="53" s="1"/>
  <c r="AR65" i="53"/>
  <c r="CT65" i="53" s="1"/>
  <c r="AQ65" i="53"/>
  <c r="CS65" i="53" s="1"/>
  <c r="AV64" i="53"/>
  <c r="CX64" i="53" s="1"/>
  <c r="AU64" i="53"/>
  <c r="CW64" i="53" s="1"/>
  <c r="AT64" i="53"/>
  <c r="CV64" i="53" s="1"/>
  <c r="AS64" i="53"/>
  <c r="CU64" i="53" s="1"/>
  <c r="AR64" i="53"/>
  <c r="CT64" i="53" s="1"/>
  <c r="AQ64" i="53"/>
  <c r="CS64" i="53" s="1"/>
  <c r="AV62" i="53"/>
  <c r="CX62" i="53" s="1"/>
  <c r="AU62" i="53"/>
  <c r="CW62" i="53" s="1"/>
  <c r="AT62" i="53"/>
  <c r="CV62" i="53" s="1"/>
  <c r="AS62" i="53"/>
  <c r="CU62" i="53" s="1"/>
  <c r="AR62" i="53"/>
  <c r="CT62" i="53" s="1"/>
  <c r="AV61" i="53"/>
  <c r="CX61" i="53" s="1"/>
  <c r="AU61" i="53"/>
  <c r="CW61" i="53" s="1"/>
  <c r="AT61" i="53"/>
  <c r="CV61" i="53" s="1"/>
  <c r="AS61" i="53"/>
  <c r="CU61" i="53" s="1"/>
  <c r="AR61" i="53"/>
  <c r="CT61" i="53" s="1"/>
  <c r="AQ61" i="53"/>
  <c r="CS61" i="53" s="1"/>
  <c r="AN62" i="53"/>
  <c r="CQ62" i="53" s="1"/>
  <c r="AM62" i="53"/>
  <c r="CP62" i="53" s="1"/>
  <c r="AL62" i="53"/>
  <c r="CO62" i="53" s="1"/>
  <c r="AK62" i="53"/>
  <c r="CN62" i="53" s="1"/>
  <c r="AJ62" i="53"/>
  <c r="CM62" i="53" s="1"/>
  <c r="AI62" i="53"/>
  <c r="AF62" i="53"/>
  <c r="CJ62" i="53" s="1"/>
  <c r="AE62" i="53"/>
  <c r="CI62" i="53" s="1"/>
  <c r="AD62" i="53"/>
  <c r="CH62" i="53" s="1"/>
  <c r="AC62" i="53"/>
  <c r="CG62" i="53" s="1"/>
  <c r="AB62" i="53"/>
  <c r="CF62" i="53" s="1"/>
  <c r="AA62" i="53"/>
  <c r="X62" i="53"/>
  <c r="CC62" i="53" s="1"/>
  <c r="W62" i="53"/>
  <c r="CB62" i="53" s="1"/>
  <c r="V62" i="53"/>
  <c r="CA62" i="53" s="1"/>
  <c r="U62" i="53"/>
  <c r="BZ62" i="53" s="1"/>
  <c r="T62" i="53"/>
  <c r="BY62" i="53" s="1"/>
  <c r="S62" i="53"/>
  <c r="P62" i="53"/>
  <c r="BV62" i="53" s="1"/>
  <c r="O62" i="53"/>
  <c r="BU62" i="53" s="1"/>
  <c r="N62" i="53"/>
  <c r="BT62" i="53" s="1"/>
  <c r="M62" i="53"/>
  <c r="BS62" i="53" s="1"/>
  <c r="L62" i="53"/>
  <c r="BR62" i="53" s="1"/>
  <c r="K62" i="53"/>
  <c r="H62" i="53"/>
  <c r="BO62" i="53" s="1"/>
  <c r="G62" i="53"/>
  <c r="BN62" i="53" s="1"/>
  <c r="F62" i="53"/>
  <c r="BM62" i="53" s="1"/>
  <c r="E62" i="53"/>
  <c r="BL62" i="53" s="1"/>
  <c r="D62" i="53"/>
  <c r="BK62" i="53" s="1"/>
  <c r="C62" i="53"/>
  <c r="C69" i="60"/>
  <c r="AZ69" i="60" s="1"/>
  <c r="H103" i="77"/>
  <c r="H56" i="77"/>
  <c r="Y21" i="77"/>
  <c r="V21" i="77"/>
  <c r="U21" i="77"/>
  <c r="T21" i="77"/>
  <c r="R21" i="77"/>
  <c r="Q21" i="77"/>
  <c r="P21" i="77"/>
  <c r="O21" i="77"/>
  <c r="L21" i="77"/>
  <c r="H21" i="77"/>
  <c r="E21" i="77"/>
  <c r="AA21" i="77"/>
  <c r="Z21" i="77"/>
  <c r="X21" i="77"/>
  <c r="W21" i="77"/>
  <c r="S21" i="77"/>
  <c r="N21" i="77"/>
  <c r="M21" i="77"/>
  <c r="K21" i="77"/>
  <c r="J21" i="77"/>
  <c r="I21" i="77"/>
  <c r="G21" i="77"/>
  <c r="F21" i="77"/>
  <c r="H9" i="77"/>
  <c r="W146" i="67" l="1"/>
  <c r="AU21" i="77"/>
  <c r="W146" i="85" s="1"/>
  <c r="T144" i="67"/>
  <c r="AH21" i="77"/>
  <c r="T144" i="85" s="1"/>
  <c r="U145" i="67"/>
  <c r="AN21" i="77"/>
  <c r="U145" i="85" s="1"/>
  <c r="X144" i="67"/>
  <c r="AL21" i="77"/>
  <c r="X144" i="85" s="1"/>
  <c r="V147" i="67"/>
  <c r="AY21" i="77"/>
  <c r="V147" i="85" s="1"/>
  <c r="M9" i="77"/>
  <c r="AH9" i="77"/>
  <c r="U146" i="67"/>
  <c r="AS21" i="77"/>
  <c r="U146" i="85" s="1"/>
  <c r="V145" i="67"/>
  <c r="AO21" i="77"/>
  <c r="V145" i="85" s="1"/>
  <c r="M56" i="77"/>
  <c r="AH56" i="77"/>
  <c r="V143" i="67"/>
  <c r="AE21" i="77"/>
  <c r="V143" i="85" s="1"/>
  <c r="W145" i="67"/>
  <c r="AP21" i="77"/>
  <c r="W145" i="85" s="1"/>
  <c r="T147" i="67"/>
  <c r="AW21" i="77"/>
  <c r="T147" i="85" s="1"/>
  <c r="U147" i="67"/>
  <c r="AX21" i="77"/>
  <c r="U147" i="85" s="1"/>
  <c r="X145" i="67"/>
  <c r="AQ21" i="77"/>
  <c r="X145" i="85" s="1"/>
  <c r="X146" i="67"/>
  <c r="AV21" i="77"/>
  <c r="X146" i="85" s="1"/>
  <c r="W143" i="67"/>
  <c r="AF21" i="77"/>
  <c r="W143" i="85" s="1"/>
  <c r="X143" i="67"/>
  <c r="AG21" i="77"/>
  <c r="X143" i="85" s="1"/>
  <c r="U144" i="67"/>
  <c r="AI21" i="77"/>
  <c r="U144" i="85" s="1"/>
  <c r="W147" i="67"/>
  <c r="AZ21" i="77"/>
  <c r="W147" i="85" s="1"/>
  <c r="T146" i="67"/>
  <c r="AR21" i="77"/>
  <c r="T146" i="85" s="1"/>
  <c r="W144" i="67"/>
  <c r="AK21" i="77"/>
  <c r="W144" i="85" s="1"/>
  <c r="T145" i="67"/>
  <c r="AM21" i="77"/>
  <c r="T145" i="85" s="1"/>
  <c r="M103" i="77"/>
  <c r="AH103" i="77"/>
  <c r="V144" i="67"/>
  <c r="AJ21" i="77"/>
  <c r="V144" i="85" s="1"/>
  <c r="X147" i="67"/>
  <c r="BA21" i="77"/>
  <c r="X147" i="85" s="1"/>
  <c r="V146" i="67"/>
  <c r="AT21" i="77"/>
  <c r="V146" i="85" s="1"/>
  <c r="Y62" i="73"/>
  <c r="BS62" i="73" s="1"/>
  <c r="BX62" i="53"/>
  <c r="N62" i="73"/>
  <c r="BM62" i="73" s="1"/>
  <c r="BQ62" i="53"/>
  <c r="C62" i="73"/>
  <c r="BG62" i="73" s="1"/>
  <c r="BJ62" i="53"/>
  <c r="AU62" i="73"/>
  <c r="CE62" i="73" s="1"/>
  <c r="CL62" i="53"/>
  <c r="AJ62" i="73"/>
  <c r="BY62" i="73" s="1"/>
  <c r="CE62" i="53"/>
  <c r="AG62" i="53"/>
  <c r="CK62" i="53" s="1"/>
  <c r="AH62" i="53"/>
  <c r="Z62" i="53"/>
  <c r="Y62" i="53"/>
  <c r="CD62" i="53" s="1"/>
  <c r="R62" i="53"/>
  <c r="Q62" i="53"/>
  <c r="BW62" i="53" s="1"/>
  <c r="J62" i="53"/>
  <c r="I62" i="53"/>
  <c r="BP62" i="53" s="1"/>
  <c r="AP62" i="53"/>
  <c r="AO62" i="53"/>
  <c r="CR62" i="53" s="1"/>
  <c r="AT63" i="53"/>
  <c r="CV63" i="53" s="1"/>
  <c r="AQ63" i="53"/>
  <c r="CS63" i="53" s="1"/>
  <c r="AR63" i="53"/>
  <c r="CT63" i="53" s="1"/>
  <c r="AV63" i="53"/>
  <c r="CX63" i="53" s="1"/>
  <c r="AS63" i="53"/>
  <c r="CU63" i="53" s="1"/>
  <c r="W153" i="67"/>
  <c r="AU63" i="53"/>
  <c r="CW63" i="53" s="1"/>
  <c r="G62" i="73"/>
  <c r="F62" i="73"/>
  <c r="BI62" i="73" s="1"/>
  <c r="V62" i="73"/>
  <c r="U62" i="73"/>
  <c r="BQ62" i="73" s="1"/>
  <c r="AY62" i="73"/>
  <c r="AX62" i="73"/>
  <c r="CG62" i="73" s="1"/>
  <c r="H62" i="73"/>
  <c r="BJ62" i="73" s="1"/>
  <c r="I62" i="73"/>
  <c r="X62" i="73"/>
  <c r="W62" i="73"/>
  <c r="BR62" i="73" s="1"/>
  <c r="AL62" i="73"/>
  <c r="AK62" i="73"/>
  <c r="BZ62" i="73" s="1"/>
  <c r="BA62" i="73"/>
  <c r="AZ62" i="73"/>
  <c r="CH62" i="73" s="1"/>
  <c r="K62" i="73"/>
  <c r="J62" i="73"/>
  <c r="BK62" i="73" s="1"/>
  <c r="AN62" i="73"/>
  <c r="AM62" i="73"/>
  <c r="CA62" i="73" s="1"/>
  <c r="BB62" i="73"/>
  <c r="CI62" i="73" s="1"/>
  <c r="BC62" i="73"/>
  <c r="M62" i="73"/>
  <c r="L62" i="73"/>
  <c r="BL62" i="73" s="1"/>
  <c r="AA62" i="73"/>
  <c r="Z62" i="73"/>
  <c r="BT62" i="73" s="1"/>
  <c r="AP62" i="73"/>
  <c r="AO62" i="73"/>
  <c r="CB62" i="73" s="1"/>
  <c r="BE62" i="73"/>
  <c r="BD62" i="73"/>
  <c r="CJ62" i="73" s="1"/>
  <c r="AC62" i="73"/>
  <c r="AB62" i="73"/>
  <c r="BU62" i="73" s="1"/>
  <c r="AQ62" i="73"/>
  <c r="CC62" i="73" s="1"/>
  <c r="AR62" i="73"/>
  <c r="P62" i="73"/>
  <c r="O62" i="73"/>
  <c r="BN62" i="73" s="1"/>
  <c r="AE62" i="73"/>
  <c r="AD62" i="73"/>
  <c r="BV62" i="73" s="1"/>
  <c r="AT62" i="73"/>
  <c r="AS62" i="73"/>
  <c r="CD62" i="73" s="1"/>
  <c r="R62" i="73"/>
  <c r="Q62" i="73"/>
  <c r="BO62" i="73" s="1"/>
  <c r="AF62" i="73"/>
  <c r="BW62" i="73" s="1"/>
  <c r="AG62" i="73"/>
  <c r="E62" i="73"/>
  <c r="D62" i="73"/>
  <c r="BH62" i="73" s="1"/>
  <c r="T62" i="73"/>
  <c r="S62" i="73"/>
  <c r="BP62" i="73" s="1"/>
  <c r="AI62" i="73"/>
  <c r="AH62" i="73"/>
  <c r="BX62" i="73" s="1"/>
  <c r="AW62" i="73"/>
  <c r="AV62" i="73"/>
  <c r="CF62" i="73" s="1"/>
  <c r="D106" i="73"/>
  <c r="BH106" i="73" s="1"/>
  <c r="D21" i="77"/>
  <c r="AD21" i="77" s="1"/>
  <c r="U143" i="85" s="1"/>
  <c r="V153" i="67" l="1"/>
  <c r="T153" i="67"/>
  <c r="W153" i="85"/>
  <c r="X153" i="67"/>
  <c r="V153" i="85"/>
  <c r="T153" i="85"/>
  <c r="U153" i="85"/>
  <c r="X153" i="85"/>
  <c r="R103" i="77"/>
  <c r="AM103" i="77"/>
  <c r="R9" i="77"/>
  <c r="AM9" i="77"/>
  <c r="R56" i="77"/>
  <c r="AM56" i="77"/>
  <c r="U143" i="67"/>
  <c r="U153" i="67" s="1"/>
  <c r="V16" i="2"/>
  <c r="S33" i="2"/>
  <c r="R33" i="2"/>
  <c r="R32" i="2"/>
  <c r="T32" i="2"/>
  <c r="R17" i="2"/>
  <c r="T17" i="2"/>
  <c r="R12" i="2"/>
  <c r="T12" i="2"/>
  <c r="E12" i="1"/>
  <c r="C6" i="83" s="1"/>
  <c r="E11" i="1"/>
  <c r="C5" i="83" s="1"/>
  <c r="E10" i="1"/>
  <c r="C4" i="78" l="1"/>
  <c r="C4" i="83"/>
  <c r="W56" i="77"/>
  <c r="AW56" i="77" s="1"/>
  <c r="AR56" i="77"/>
  <c r="W9" i="77"/>
  <c r="AW9" i="77" s="1"/>
  <c r="AR9" i="77"/>
  <c r="W103" i="77"/>
  <c r="AW103" i="77" s="1"/>
  <c r="AR103" i="77"/>
  <c r="E19" i="2"/>
  <c r="C6" i="78"/>
  <c r="E18" i="2"/>
  <c r="C5" i="78"/>
  <c r="E13" i="2"/>
  <c r="E9" i="2"/>
  <c r="S12" i="2"/>
  <c r="V17" i="2"/>
  <c r="U17" i="2"/>
  <c r="Q17" i="2"/>
  <c r="S32" i="2"/>
  <c r="Q33" i="2"/>
  <c r="V33" i="2"/>
  <c r="U33" i="2"/>
  <c r="V12" i="2"/>
  <c r="U12" i="2"/>
  <c r="Q12" i="2"/>
  <c r="S17" i="2"/>
  <c r="V32" i="2"/>
  <c r="U32" i="2"/>
  <c r="Q32" i="2"/>
  <c r="T33" i="2"/>
  <c r="L19" i="2"/>
  <c r="K19" i="2"/>
  <c r="L18" i="2"/>
  <c r="K18" i="2"/>
  <c r="L9" i="2"/>
  <c r="K9" i="2"/>
  <c r="AB13" i="78" l="1"/>
  <c r="AB13" i="83"/>
  <c r="AB8" i="78"/>
  <c r="AB8" i="83"/>
  <c r="AB4" i="78"/>
  <c r="AB4" i="83"/>
  <c r="AB14" i="78"/>
  <c r="AB14" i="83"/>
  <c r="I7" i="76"/>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Q101" i="76" s="1"/>
  <c r="H101" i="76"/>
  <c r="P101" i="76" s="1"/>
  <c r="G101" i="76"/>
  <c r="O101" i="76" s="1"/>
  <c r="F101" i="76"/>
  <c r="N101" i="76" s="1"/>
  <c r="E101" i="76"/>
  <c r="M101" i="76" s="1"/>
  <c r="D101" i="76"/>
  <c r="L101" i="76" s="1"/>
  <c r="I98" i="76"/>
  <c r="Q98" i="76" s="1"/>
  <c r="H98" i="76"/>
  <c r="P98" i="76" s="1"/>
  <c r="G98" i="76"/>
  <c r="O98" i="76" s="1"/>
  <c r="F98" i="76"/>
  <c r="N98" i="76" s="1"/>
  <c r="E98" i="76"/>
  <c r="M98" i="76" s="1"/>
  <c r="D98" i="76"/>
  <c r="L98" i="76" s="1"/>
  <c r="I94" i="76"/>
  <c r="Q94" i="76" s="1"/>
  <c r="H94" i="76"/>
  <c r="P94" i="76" s="1"/>
  <c r="G94" i="76"/>
  <c r="O94" i="76" s="1"/>
  <c r="F94" i="76"/>
  <c r="N94" i="76" s="1"/>
  <c r="E94" i="76"/>
  <c r="M94" i="76" s="1"/>
  <c r="D94" i="76"/>
  <c r="L94" i="76" s="1"/>
  <c r="I91" i="76"/>
  <c r="Q91" i="76" s="1"/>
  <c r="H91" i="76"/>
  <c r="P91" i="76" s="1"/>
  <c r="G91" i="76"/>
  <c r="O91" i="76" s="1"/>
  <c r="F91" i="76"/>
  <c r="N91" i="76" s="1"/>
  <c r="E91" i="76"/>
  <c r="M91" i="76" s="1"/>
  <c r="D91" i="76"/>
  <c r="L91" i="76" s="1"/>
  <c r="I87" i="76"/>
  <c r="Q87" i="76" s="1"/>
  <c r="H87" i="76"/>
  <c r="P87" i="76" s="1"/>
  <c r="G87" i="76"/>
  <c r="O87" i="76" s="1"/>
  <c r="F87" i="76"/>
  <c r="N87" i="76" s="1"/>
  <c r="E87" i="76"/>
  <c r="M87" i="76" s="1"/>
  <c r="D87" i="76"/>
  <c r="L87" i="76" s="1"/>
  <c r="I84" i="76"/>
  <c r="Q84" i="76" s="1"/>
  <c r="H84" i="76"/>
  <c r="P84" i="76" s="1"/>
  <c r="G84" i="76"/>
  <c r="O84" i="76" s="1"/>
  <c r="F84" i="76"/>
  <c r="N84" i="76" s="1"/>
  <c r="E84" i="76"/>
  <c r="M84" i="76" s="1"/>
  <c r="D84" i="76"/>
  <c r="L84" i="76" s="1"/>
  <c r="I80" i="76"/>
  <c r="Q80" i="76" s="1"/>
  <c r="H80" i="76"/>
  <c r="P80" i="76" s="1"/>
  <c r="G80" i="76"/>
  <c r="O80" i="76" s="1"/>
  <c r="F80" i="76"/>
  <c r="N80" i="76" s="1"/>
  <c r="E80" i="76"/>
  <c r="M80" i="76" s="1"/>
  <c r="D80" i="76"/>
  <c r="L80" i="76" s="1"/>
  <c r="I77" i="76"/>
  <c r="Q77" i="76" s="1"/>
  <c r="H77" i="76"/>
  <c r="P77" i="76" s="1"/>
  <c r="G77" i="76"/>
  <c r="O77" i="76" s="1"/>
  <c r="F77" i="76"/>
  <c r="N77" i="76" s="1"/>
  <c r="E77" i="76"/>
  <c r="M77" i="76" s="1"/>
  <c r="D77" i="76"/>
  <c r="L77" i="76" s="1"/>
  <c r="I73" i="76"/>
  <c r="Q73" i="76" s="1"/>
  <c r="H73" i="76"/>
  <c r="P73" i="76" s="1"/>
  <c r="G73" i="76"/>
  <c r="O73" i="76" s="1"/>
  <c r="F73" i="76"/>
  <c r="N73" i="76" s="1"/>
  <c r="E73" i="76"/>
  <c r="M73" i="76" s="1"/>
  <c r="D73" i="76"/>
  <c r="L73" i="76" s="1"/>
  <c r="I70" i="76"/>
  <c r="Q70" i="76" s="1"/>
  <c r="H70" i="76"/>
  <c r="G70" i="76"/>
  <c r="O70" i="76" s="1"/>
  <c r="F70" i="76"/>
  <c r="N70" i="76" s="1"/>
  <c r="E70" i="76"/>
  <c r="M70" i="76" s="1"/>
  <c r="D70" i="76"/>
  <c r="L70" i="76" s="1"/>
  <c r="I48" i="76"/>
  <c r="H48" i="76"/>
  <c r="G48" i="76"/>
  <c r="G54" i="76" s="1"/>
  <c r="F48" i="76"/>
  <c r="E48" i="76"/>
  <c r="D48" i="76"/>
  <c r="I29" i="76"/>
  <c r="H29" i="76"/>
  <c r="G29" i="76"/>
  <c r="G35" i="76" s="1"/>
  <c r="F29" i="76"/>
  <c r="E29" i="76"/>
  <c r="D29" i="76"/>
  <c r="I10" i="76"/>
  <c r="H10" i="76"/>
  <c r="G10" i="76"/>
  <c r="G16" i="76" s="1"/>
  <c r="F10" i="76"/>
  <c r="F16" i="76" s="1"/>
  <c r="E10" i="76"/>
  <c r="D10" i="76"/>
  <c r="H104" i="76" l="1"/>
  <c r="P104" i="76" s="1"/>
  <c r="P70" i="76"/>
  <c r="D106" i="76"/>
  <c r="L106" i="76" s="1"/>
  <c r="G104" i="76"/>
  <c r="O104" i="76" s="1"/>
  <c r="I106" i="76"/>
  <c r="Q106" i="76" s="1"/>
  <c r="I104" i="76"/>
  <c r="Q104" i="76" s="1"/>
  <c r="F104" i="76"/>
  <c r="H106"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M104" i="76" s="1"/>
  <c r="I18" i="76"/>
  <c r="I20" i="76"/>
  <c r="F37" i="76"/>
  <c r="F41" i="76"/>
  <c r="F43" i="76"/>
  <c r="F39" i="76"/>
  <c r="F45" i="76"/>
  <c r="D24" i="76"/>
  <c r="D22" i="76"/>
  <c r="E22" i="76"/>
  <c r="E24" i="76"/>
  <c r="F22" i="76"/>
  <c r="F24" i="76"/>
  <c r="G24" i="76"/>
  <c r="G22" i="76"/>
  <c r="E106" i="76"/>
  <c r="M106" i="76" s="1"/>
  <c r="D104" i="76"/>
  <c r="F106" i="76"/>
  <c r="N106" i="76" s="1"/>
  <c r="H22" i="76"/>
  <c r="H24" i="76"/>
  <c r="I24" i="76"/>
  <c r="I22" i="76"/>
  <c r="G106" i="76"/>
  <c r="O106" i="76" s="1"/>
  <c r="I65" i="76"/>
  <c r="C34" i="5"/>
  <c r="C35" i="5"/>
  <c r="D46" i="76"/>
  <c r="C33" i="5"/>
  <c r="D27" i="76"/>
  <c r="E46" i="76"/>
  <c r="I46" i="76"/>
  <c r="H112" i="76" l="1"/>
  <c r="P106" i="76"/>
  <c r="F112" i="76"/>
  <c r="N104" i="76"/>
  <c r="D112" i="76"/>
  <c r="L104" i="76"/>
  <c r="E112" i="76"/>
  <c r="I112" i="76"/>
  <c r="G112" i="76"/>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L18" i="74"/>
  <c r="L19" i="74"/>
  <c r="L20" i="74"/>
  <c r="L22" i="74"/>
  <c r="G22" i="74" s="1"/>
  <c r="G26" i="74" s="1"/>
  <c r="G36" i="74"/>
  <c r="L27" i="74"/>
  <c r="G27" i="74" s="1"/>
  <c r="G30" i="74" s="1"/>
  <c r="H36" i="74"/>
  <c r="K36" i="74"/>
  <c r="L31" i="74"/>
  <c r="G31" i="74" s="1"/>
  <c r="G34" i="74" s="1"/>
  <c r="I36" i="74"/>
  <c r="J36" i="74"/>
  <c r="D39" i="74"/>
  <c r="E39" i="74"/>
  <c r="D20" i="65" s="1"/>
  <c r="C35" i="83" s="1"/>
  <c r="F39" i="74"/>
  <c r="D43" i="74"/>
  <c r="E43" i="74"/>
  <c r="L45" i="74"/>
  <c r="J11" i="1"/>
  <c r="H5" i="83" s="1"/>
  <c r="G11" i="1"/>
  <c r="H11" i="1"/>
  <c r="F5" i="83" s="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AC17" i="78" l="1"/>
  <c r="AC17" i="83"/>
  <c r="E5" i="78"/>
  <c r="E5" i="83"/>
  <c r="G99" i="74"/>
  <c r="G118" i="74" s="1"/>
  <c r="G66" i="74"/>
  <c r="G117" i="74" s="1"/>
  <c r="L83" i="74"/>
  <c r="J18" i="2"/>
  <c r="AG13" i="83" s="1"/>
  <c r="H5" i="78"/>
  <c r="H18" i="2"/>
  <c r="AE13" i="83" s="1"/>
  <c r="F5" i="78"/>
  <c r="E56" i="65"/>
  <c r="D58" i="83" s="1"/>
  <c r="G121" i="74"/>
  <c r="F56" i="65"/>
  <c r="H121" i="74"/>
  <c r="H56" i="65"/>
  <c r="J121" i="74"/>
  <c r="G56" i="65"/>
  <c r="I121" i="74"/>
  <c r="I56" i="65"/>
  <c r="K121" i="74"/>
  <c r="H51" i="65"/>
  <c r="J120" i="74"/>
  <c r="F51" i="65"/>
  <c r="H120" i="74"/>
  <c r="G51" i="65"/>
  <c r="I120" i="74"/>
  <c r="I51" i="65"/>
  <c r="K120" i="74"/>
  <c r="F15" i="1"/>
  <c r="G126" i="74"/>
  <c r="F11" i="1"/>
  <c r="G18" i="2"/>
  <c r="AD13" i="83" s="1"/>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AB17" i="83" s="1"/>
  <c r="F126" i="74"/>
  <c r="F127" i="74"/>
  <c r="D127" i="74"/>
  <c r="D126" i="74"/>
  <c r="E126" i="74"/>
  <c r="E127" i="74"/>
  <c r="F12" i="1"/>
  <c r="F10" i="1"/>
  <c r="G125" i="74"/>
  <c r="G124" i="74"/>
  <c r="J43" i="74"/>
  <c r="H22" i="74"/>
  <c r="G16" i="1"/>
  <c r="I76" i="74"/>
  <c r="K76" i="74"/>
  <c r="H58" i="74"/>
  <c r="I11" i="1"/>
  <c r="G43" i="74"/>
  <c r="L104" i="74"/>
  <c r="E16" i="1"/>
  <c r="K43" i="74"/>
  <c r="L14" i="74"/>
  <c r="E15" i="1"/>
  <c r="L35" i="74"/>
  <c r="G112" i="74"/>
  <c r="H91" i="74"/>
  <c r="G104" i="74"/>
  <c r="G107" i="74" s="1"/>
  <c r="G114" i="74"/>
  <c r="H43" i="74"/>
  <c r="H76" i="74"/>
  <c r="G71" i="74"/>
  <c r="G74" i="74" s="1"/>
  <c r="G110" i="74"/>
  <c r="G35" i="74"/>
  <c r="G39" i="74" s="1"/>
  <c r="E20" i="65" s="1"/>
  <c r="L50" i="74"/>
  <c r="D5" i="78" l="1"/>
  <c r="D5" i="83"/>
  <c r="AD9" i="84"/>
  <c r="E53" i="83"/>
  <c r="G58" i="78"/>
  <c r="G58" i="83"/>
  <c r="D6" i="78"/>
  <c r="D6" i="83"/>
  <c r="G53" i="83"/>
  <c r="AF9" i="84"/>
  <c r="E58" i="78"/>
  <c r="E58" i="83"/>
  <c r="J91" i="85"/>
  <c r="D4" i="83"/>
  <c r="H53" i="83"/>
  <c r="AG9" i="84"/>
  <c r="H58" i="78"/>
  <c r="H58" i="83"/>
  <c r="F53" i="83"/>
  <c r="AE9" i="84"/>
  <c r="F58" i="78"/>
  <c r="F58" i="83"/>
  <c r="D35" i="83"/>
  <c r="AC4" i="84"/>
  <c r="G5" i="78"/>
  <c r="G5" i="83"/>
  <c r="H92" i="74"/>
  <c r="H95" i="74"/>
  <c r="H59" i="74"/>
  <c r="H62" i="74"/>
  <c r="G15" i="1"/>
  <c r="H57" i="74"/>
  <c r="H23" i="74"/>
  <c r="H26" i="74"/>
  <c r="AE9" i="79"/>
  <c r="F53" i="78"/>
  <c r="AF9" i="79"/>
  <c r="G53" i="78"/>
  <c r="AE13" i="78"/>
  <c r="S18" i="2"/>
  <c r="AD13" i="78"/>
  <c r="G19" i="2"/>
  <c r="AD14" i="83" s="1"/>
  <c r="E6" i="78"/>
  <c r="D4" i="78"/>
  <c r="J91" i="67"/>
  <c r="Q22" i="2"/>
  <c r="AB17" i="78"/>
  <c r="AG9" i="79"/>
  <c r="H53" i="78"/>
  <c r="AD9" i="79"/>
  <c r="E53" i="78"/>
  <c r="AG13" i="78"/>
  <c r="V18" i="2"/>
  <c r="E57" i="65"/>
  <c r="D58" i="78"/>
  <c r="E55" i="65"/>
  <c r="G115" i="74"/>
  <c r="E51" i="65"/>
  <c r="G120" i="74"/>
  <c r="G111" i="74"/>
  <c r="I18" i="2"/>
  <c r="AF13" i="83" s="1"/>
  <c r="F18" i="2"/>
  <c r="I23" i="65"/>
  <c r="K116" i="74"/>
  <c r="F23" i="65"/>
  <c r="H116" i="74"/>
  <c r="E22" i="65"/>
  <c r="G113" i="74"/>
  <c r="G14" i="1"/>
  <c r="H126" i="74"/>
  <c r="H127" i="74"/>
  <c r="H10" i="1"/>
  <c r="I124" i="74"/>
  <c r="G10" i="1"/>
  <c r="H124" i="74"/>
  <c r="H125" i="74"/>
  <c r="F19" i="2"/>
  <c r="AC14" i="83" s="1"/>
  <c r="F13" i="2"/>
  <c r="F9" i="2"/>
  <c r="D57" i="65"/>
  <c r="E50" i="65"/>
  <c r="H71" i="74"/>
  <c r="H74" i="74" s="1"/>
  <c r="I58" i="74"/>
  <c r="I62" i="74" s="1"/>
  <c r="H12" i="1"/>
  <c r="I91" i="74"/>
  <c r="H104" i="74"/>
  <c r="H107" i="74" s="1"/>
  <c r="H35" i="74"/>
  <c r="H39" i="74" s="1"/>
  <c r="F20" i="65" s="1"/>
  <c r="I22" i="74"/>
  <c r="I90" i="74"/>
  <c r="E18" i="39"/>
  <c r="C81" i="39"/>
  <c r="L15" i="83" s="1"/>
  <c r="AD4" i="84" l="1"/>
  <c r="E35" i="83"/>
  <c r="AC4" i="78"/>
  <c r="AC4" i="83"/>
  <c r="AC8" i="78"/>
  <c r="AC8" i="83"/>
  <c r="R18" i="2"/>
  <c r="AC13" i="83"/>
  <c r="J93" i="85"/>
  <c r="D57" i="83"/>
  <c r="AC13" i="84"/>
  <c r="AC12" i="84" s="1"/>
  <c r="L91" i="85"/>
  <c r="L93" i="85" s="1"/>
  <c r="F4" i="83"/>
  <c r="N5" i="78"/>
  <c r="N5" i="83"/>
  <c r="K91" i="85"/>
  <c r="K93" i="85" s="1"/>
  <c r="E4" i="83"/>
  <c r="AC9" i="84"/>
  <c r="D53" i="83"/>
  <c r="F6" i="78"/>
  <c r="F6" i="83"/>
  <c r="D52" i="83"/>
  <c r="AC8" i="84"/>
  <c r="AC7" i="84" s="1"/>
  <c r="I92" i="74"/>
  <c r="I95" i="74"/>
  <c r="H15" i="1"/>
  <c r="I57" i="74"/>
  <c r="I15" i="1"/>
  <c r="J57" i="74"/>
  <c r="I23" i="74"/>
  <c r="I26" i="74"/>
  <c r="L15" i="78"/>
  <c r="C84" i="39"/>
  <c r="F4" i="78"/>
  <c r="L91" i="67"/>
  <c r="L93" i="67" s="1"/>
  <c r="AC13" i="79"/>
  <c r="AC12" i="79" s="1"/>
  <c r="D57" i="78"/>
  <c r="J93" i="67"/>
  <c r="E4" i="78"/>
  <c r="K91" i="67"/>
  <c r="K93" i="67" s="1"/>
  <c r="AC14" i="78"/>
  <c r="Q19" i="2"/>
  <c r="AC13" i="78"/>
  <c r="Q18" i="2"/>
  <c r="AC9" i="79"/>
  <c r="D53" i="78"/>
  <c r="I125" i="74"/>
  <c r="AF13" i="78"/>
  <c r="T18" i="2"/>
  <c r="U18" i="2"/>
  <c r="AD14" i="78"/>
  <c r="R19" i="2"/>
  <c r="AC8" i="79"/>
  <c r="D52" i="78"/>
  <c r="H19" i="2"/>
  <c r="AE14" i="83" s="1"/>
  <c r="I71" i="74"/>
  <c r="I74" i="74" s="1"/>
  <c r="I59" i="74"/>
  <c r="G22" i="2"/>
  <c r="AD17" i="83" s="1"/>
  <c r="I10" i="1"/>
  <c r="J124" i="74"/>
  <c r="G13" i="2"/>
  <c r="G9" i="2"/>
  <c r="AD4" i="83" s="1"/>
  <c r="H9" i="2"/>
  <c r="H13" i="2"/>
  <c r="H111" i="74"/>
  <c r="H114" i="74"/>
  <c r="H14" i="1"/>
  <c r="I127" i="74"/>
  <c r="I126" i="74"/>
  <c r="F55" i="65"/>
  <c r="H115" i="74"/>
  <c r="H112" i="74"/>
  <c r="F22" i="65"/>
  <c r="H113" i="74"/>
  <c r="H110" i="74"/>
  <c r="Q9" i="2"/>
  <c r="F50" i="65"/>
  <c r="J58" i="74"/>
  <c r="I12" i="1"/>
  <c r="H16" i="1"/>
  <c r="J90" i="74"/>
  <c r="J91" i="74"/>
  <c r="I104" i="74"/>
  <c r="I107" i="74" s="1"/>
  <c r="J22" i="74"/>
  <c r="I35" i="74"/>
  <c r="I39" i="74" s="1"/>
  <c r="G20" i="65" s="1"/>
  <c r="AL61" i="60"/>
  <c r="CI61" i="60" s="1"/>
  <c r="AK61" i="60"/>
  <c r="CH61" i="60" s="1"/>
  <c r="AJ61" i="60"/>
  <c r="CG61" i="60" s="1"/>
  <c r="AI61" i="60"/>
  <c r="CF61" i="60" s="1"/>
  <c r="AH61" i="60"/>
  <c r="CE61" i="60" s="1"/>
  <c r="AL60" i="60"/>
  <c r="CI60" i="60" s="1"/>
  <c r="AK60" i="60"/>
  <c r="CH60" i="60" s="1"/>
  <c r="AJ60" i="60"/>
  <c r="CG60" i="60" s="1"/>
  <c r="AI60" i="60"/>
  <c r="CF60" i="60" s="1"/>
  <c r="AH60" i="60"/>
  <c r="CE60" i="60" s="1"/>
  <c r="AL59" i="60"/>
  <c r="CI59" i="60" s="1"/>
  <c r="AK59" i="60"/>
  <c r="CH59" i="60" s="1"/>
  <c r="AJ59" i="60"/>
  <c r="CG59" i="60" s="1"/>
  <c r="AI59" i="60"/>
  <c r="CF59" i="60" s="1"/>
  <c r="AH59" i="60"/>
  <c r="CE59" i="60" s="1"/>
  <c r="AL58" i="60"/>
  <c r="CI58" i="60" s="1"/>
  <c r="AK58" i="60"/>
  <c r="CH58" i="60" s="1"/>
  <c r="AJ58" i="60"/>
  <c r="CG58" i="60" s="1"/>
  <c r="AI58" i="60"/>
  <c r="CF58" i="60" s="1"/>
  <c r="AH58" i="60"/>
  <c r="CE58" i="60" s="1"/>
  <c r="AL57" i="60"/>
  <c r="CI57" i="60" s="1"/>
  <c r="AK57" i="60"/>
  <c r="CH57" i="60" s="1"/>
  <c r="AJ57" i="60"/>
  <c r="CG57" i="60" s="1"/>
  <c r="AI57" i="60"/>
  <c r="CF57" i="60" s="1"/>
  <c r="AH57" i="60"/>
  <c r="CE57" i="60" s="1"/>
  <c r="AL56" i="60"/>
  <c r="CI56" i="60" s="1"/>
  <c r="AK56" i="60"/>
  <c r="CH56" i="60" s="1"/>
  <c r="AJ56" i="60"/>
  <c r="CG56" i="60" s="1"/>
  <c r="AI56" i="60"/>
  <c r="CF56" i="60" s="1"/>
  <c r="AH56" i="60"/>
  <c r="CE56" i="60" s="1"/>
  <c r="AL55" i="60"/>
  <c r="CI55" i="60" s="1"/>
  <c r="AK55" i="60"/>
  <c r="CH55" i="60" s="1"/>
  <c r="AJ55" i="60"/>
  <c r="CG55" i="60" s="1"/>
  <c r="AI55" i="60"/>
  <c r="CF55" i="60" s="1"/>
  <c r="AH55" i="60"/>
  <c r="CE55" i="60" s="1"/>
  <c r="AL54" i="60"/>
  <c r="CI54" i="60" s="1"/>
  <c r="AK54" i="60"/>
  <c r="CH54" i="60" s="1"/>
  <c r="AJ54" i="60"/>
  <c r="CG54" i="60" s="1"/>
  <c r="AI54" i="60"/>
  <c r="CF54" i="60" s="1"/>
  <c r="AH54" i="60"/>
  <c r="CE54" i="60" s="1"/>
  <c r="AL53" i="60"/>
  <c r="CI53" i="60" s="1"/>
  <c r="AK53" i="60"/>
  <c r="CH53" i="60" s="1"/>
  <c r="AJ53" i="60"/>
  <c r="CG53" i="60" s="1"/>
  <c r="AI53" i="60"/>
  <c r="CF53" i="60" s="1"/>
  <c r="AH53" i="60"/>
  <c r="CE53" i="60" s="1"/>
  <c r="AT48" i="60"/>
  <c r="CQ48" i="60" s="1"/>
  <c r="AS48" i="60"/>
  <c r="CP48" i="60" s="1"/>
  <c r="AR48" i="60"/>
  <c r="CO48" i="60" s="1"/>
  <c r="AQ48" i="60"/>
  <c r="CN48" i="60" s="1"/>
  <c r="AM48" i="60"/>
  <c r="AT46" i="60"/>
  <c r="CQ46" i="60" s="1"/>
  <c r="AS46" i="60"/>
  <c r="CP46" i="60" s="1"/>
  <c r="AR46" i="60"/>
  <c r="CO46" i="60" s="1"/>
  <c r="AQ46" i="60"/>
  <c r="CN46" i="60" s="1"/>
  <c r="AP46" i="60"/>
  <c r="CM46" i="60" s="1"/>
  <c r="AM46" i="60"/>
  <c r="CJ46" i="60" s="1"/>
  <c r="AT44" i="60"/>
  <c r="CQ44" i="60" s="1"/>
  <c r="AS44" i="60"/>
  <c r="CP44" i="60" s="1"/>
  <c r="AR44" i="60"/>
  <c r="CO44" i="60" s="1"/>
  <c r="AQ44" i="60"/>
  <c r="CN44" i="60" s="1"/>
  <c r="AP44" i="60"/>
  <c r="CM44" i="60" s="1"/>
  <c r="AM44" i="60"/>
  <c r="CJ44" i="60" s="1"/>
  <c r="AT42" i="60"/>
  <c r="AS42" i="60"/>
  <c r="AR42" i="60"/>
  <c r="AQ42" i="60"/>
  <c r="AP42" i="60"/>
  <c r="AM42" i="60"/>
  <c r="AT40" i="60"/>
  <c r="CQ40" i="60" s="1"/>
  <c r="AS40" i="60"/>
  <c r="CP40" i="60" s="1"/>
  <c r="AR40" i="60"/>
  <c r="CO40" i="60" s="1"/>
  <c r="AQ40" i="60"/>
  <c r="CN40" i="60" s="1"/>
  <c r="AP40" i="60"/>
  <c r="CM40" i="60" s="1"/>
  <c r="AM40" i="60"/>
  <c r="CJ40" i="60" s="1"/>
  <c r="AT38" i="60"/>
  <c r="CQ38" i="60" s="1"/>
  <c r="AS38" i="60"/>
  <c r="CP38" i="60" s="1"/>
  <c r="AR38" i="60"/>
  <c r="CO38" i="60" s="1"/>
  <c r="AQ38" i="60"/>
  <c r="CN38" i="60" s="1"/>
  <c r="AP38" i="60"/>
  <c r="CM38" i="60" s="1"/>
  <c r="AM38" i="60"/>
  <c r="CJ38" i="60" s="1"/>
  <c r="AT37" i="60"/>
  <c r="CQ37" i="60" s="1"/>
  <c r="AS37" i="60"/>
  <c r="CP37" i="60" s="1"/>
  <c r="AR37" i="60"/>
  <c r="CO37" i="60" s="1"/>
  <c r="AQ37" i="60"/>
  <c r="CN37" i="60" s="1"/>
  <c r="AP37" i="60"/>
  <c r="CM37" i="60" s="1"/>
  <c r="AM37" i="60"/>
  <c r="CJ37" i="60" s="1"/>
  <c r="AT36" i="60"/>
  <c r="CQ36" i="60" s="1"/>
  <c r="AS36" i="60"/>
  <c r="CP36" i="60" s="1"/>
  <c r="AR36" i="60"/>
  <c r="CO36" i="60" s="1"/>
  <c r="AQ36" i="60"/>
  <c r="CN36" i="60" s="1"/>
  <c r="AP36" i="60"/>
  <c r="CM36" i="60" s="1"/>
  <c r="AM36" i="60"/>
  <c r="CJ36" i="60" s="1"/>
  <c r="AT35" i="60"/>
  <c r="CQ35" i="60" s="1"/>
  <c r="AS35" i="60"/>
  <c r="CP35" i="60" s="1"/>
  <c r="AR35" i="60"/>
  <c r="CO35" i="60" s="1"/>
  <c r="AQ35" i="60"/>
  <c r="CN35" i="60" s="1"/>
  <c r="AP35" i="60"/>
  <c r="CM35" i="60" s="1"/>
  <c r="AM35" i="60"/>
  <c r="CJ35" i="60" s="1"/>
  <c r="AT34" i="60"/>
  <c r="CQ34" i="60" s="1"/>
  <c r="AS34" i="60"/>
  <c r="CP34" i="60" s="1"/>
  <c r="AR34" i="60"/>
  <c r="CO34" i="60" s="1"/>
  <c r="AQ34" i="60"/>
  <c r="CN34" i="60" s="1"/>
  <c r="AP34" i="60"/>
  <c r="CM34" i="60" s="1"/>
  <c r="AM34" i="60"/>
  <c r="CJ34" i="60" s="1"/>
  <c r="AT33" i="60"/>
  <c r="CQ33" i="60" s="1"/>
  <c r="AS33" i="60"/>
  <c r="CP33" i="60" s="1"/>
  <c r="AR33" i="60"/>
  <c r="CO33" i="60" s="1"/>
  <c r="AQ33" i="60"/>
  <c r="CN33" i="60" s="1"/>
  <c r="AP33" i="60"/>
  <c r="CM33" i="60" s="1"/>
  <c r="AM33" i="60"/>
  <c r="CJ33" i="60" s="1"/>
  <c r="AT32" i="60"/>
  <c r="CQ32" i="60" s="1"/>
  <c r="AS32" i="60"/>
  <c r="CP32" i="60" s="1"/>
  <c r="AR32" i="60"/>
  <c r="CO32" i="60" s="1"/>
  <c r="AQ32" i="60"/>
  <c r="CN32" i="60" s="1"/>
  <c r="AP32" i="60"/>
  <c r="CM32" i="60" s="1"/>
  <c r="AM32" i="60"/>
  <c r="CJ32" i="60" s="1"/>
  <c r="AT31" i="60"/>
  <c r="CQ31" i="60" s="1"/>
  <c r="AS31" i="60"/>
  <c r="CP31" i="60" s="1"/>
  <c r="AR31" i="60"/>
  <c r="CO31" i="60" s="1"/>
  <c r="AQ31" i="60"/>
  <c r="CN31" i="60" s="1"/>
  <c r="AP31" i="60"/>
  <c r="CM31" i="60" s="1"/>
  <c r="AM31" i="60"/>
  <c r="CJ31" i="60" s="1"/>
  <c r="AT30" i="60"/>
  <c r="CQ30" i="60" s="1"/>
  <c r="AS30" i="60"/>
  <c r="CP30" i="60" s="1"/>
  <c r="AR30" i="60"/>
  <c r="CO30" i="60" s="1"/>
  <c r="AQ30" i="60"/>
  <c r="CN30" i="60" s="1"/>
  <c r="AP30" i="60"/>
  <c r="CM30" i="60" s="1"/>
  <c r="AM30" i="60"/>
  <c r="CJ30" i="60" s="1"/>
  <c r="AT23" i="60"/>
  <c r="AS23" i="60"/>
  <c r="AR23" i="60"/>
  <c r="AQ23" i="60"/>
  <c r="AP23" i="60"/>
  <c r="AM23" i="60"/>
  <c r="AT22" i="60"/>
  <c r="AS22" i="60"/>
  <c r="AR22" i="60"/>
  <c r="AQ22" i="60"/>
  <c r="AP22" i="60"/>
  <c r="AM22" i="60"/>
  <c r="AT21" i="60"/>
  <c r="AS21" i="60"/>
  <c r="AR21" i="60"/>
  <c r="AQ21" i="60"/>
  <c r="AP21" i="60"/>
  <c r="AM21" i="60"/>
  <c r="AT20" i="60"/>
  <c r="AS20" i="60"/>
  <c r="AR20" i="60"/>
  <c r="AQ20" i="60"/>
  <c r="AP20" i="60"/>
  <c r="AM20" i="60"/>
  <c r="AT19" i="60"/>
  <c r="AS19" i="60"/>
  <c r="AR19" i="60"/>
  <c r="AQ19" i="60"/>
  <c r="AP19" i="60"/>
  <c r="AM19" i="60"/>
  <c r="AT18" i="60"/>
  <c r="AS18" i="60"/>
  <c r="AR18" i="60"/>
  <c r="AQ18" i="60"/>
  <c r="AP18" i="60"/>
  <c r="AM18" i="60"/>
  <c r="AT17" i="60"/>
  <c r="AS17" i="60"/>
  <c r="AR17" i="60"/>
  <c r="AQ17" i="60"/>
  <c r="AP17" i="60"/>
  <c r="AM17" i="60"/>
  <c r="AT16" i="60"/>
  <c r="AS16" i="60"/>
  <c r="AR16" i="60"/>
  <c r="AQ16" i="60"/>
  <c r="AP16" i="60"/>
  <c r="AM16" i="60"/>
  <c r="AT15" i="60"/>
  <c r="AS15" i="60"/>
  <c r="AR15" i="60"/>
  <c r="AQ15" i="60"/>
  <c r="AP15" i="60"/>
  <c r="AM15" i="60"/>
  <c r="AP13" i="60"/>
  <c r="AU13" i="60" s="1"/>
  <c r="AQ13" i="60"/>
  <c r="AS13" i="60"/>
  <c r="AT13" i="60"/>
  <c r="AT11" i="60"/>
  <c r="AS11" i="60"/>
  <c r="AR11" i="60"/>
  <c r="AQ11" i="60"/>
  <c r="AP11" i="60"/>
  <c r="AM11" i="60"/>
  <c r="AF61" i="60"/>
  <c r="CC61" i="60" s="1"/>
  <c r="AE61" i="60"/>
  <c r="CB61" i="60" s="1"/>
  <c r="AD61" i="60"/>
  <c r="CA61" i="60" s="1"/>
  <c r="AC61" i="60"/>
  <c r="BZ61" i="60" s="1"/>
  <c r="AB61" i="60"/>
  <c r="BY61" i="60" s="1"/>
  <c r="AF60" i="60"/>
  <c r="CC60" i="60" s="1"/>
  <c r="AE60" i="60"/>
  <c r="CB60" i="60" s="1"/>
  <c r="AD60" i="60"/>
  <c r="CA60" i="60" s="1"/>
  <c r="AC60" i="60"/>
  <c r="BZ60" i="60" s="1"/>
  <c r="AB60" i="60"/>
  <c r="BY60" i="60" s="1"/>
  <c r="AF59" i="60"/>
  <c r="CC59" i="60" s="1"/>
  <c r="AE59" i="60"/>
  <c r="CB59" i="60" s="1"/>
  <c r="AD59" i="60"/>
  <c r="CA59" i="60" s="1"/>
  <c r="AC59" i="60"/>
  <c r="BZ59" i="60" s="1"/>
  <c r="AB59" i="60"/>
  <c r="BY59" i="60" s="1"/>
  <c r="AF58" i="60"/>
  <c r="CC58" i="60" s="1"/>
  <c r="AE58" i="60"/>
  <c r="CB58" i="60" s="1"/>
  <c r="AD58" i="60"/>
  <c r="CA58" i="60" s="1"/>
  <c r="AC58" i="60"/>
  <c r="BZ58" i="60" s="1"/>
  <c r="AB58" i="60"/>
  <c r="BY58" i="60" s="1"/>
  <c r="AF57" i="60"/>
  <c r="CC57" i="60" s="1"/>
  <c r="AE57" i="60"/>
  <c r="CB57" i="60" s="1"/>
  <c r="AD57" i="60"/>
  <c r="CA57" i="60" s="1"/>
  <c r="AC57" i="60"/>
  <c r="BZ57" i="60" s="1"/>
  <c r="AB57" i="60"/>
  <c r="BY57" i="60" s="1"/>
  <c r="AF56" i="60"/>
  <c r="CC56" i="60" s="1"/>
  <c r="AE56" i="60"/>
  <c r="CB56" i="60" s="1"/>
  <c r="AD56" i="60"/>
  <c r="CA56" i="60" s="1"/>
  <c r="AC56" i="60"/>
  <c r="BZ56" i="60" s="1"/>
  <c r="AB56" i="60"/>
  <c r="BY56" i="60" s="1"/>
  <c r="AF55" i="60"/>
  <c r="CC55" i="60" s="1"/>
  <c r="AE55" i="60"/>
  <c r="CB55" i="60" s="1"/>
  <c r="AD55" i="60"/>
  <c r="CA55" i="60" s="1"/>
  <c r="AC55" i="60"/>
  <c r="BZ55" i="60" s="1"/>
  <c r="AB55" i="60"/>
  <c r="BY55" i="60" s="1"/>
  <c r="AF54" i="60"/>
  <c r="CC54" i="60" s="1"/>
  <c r="AE54" i="60"/>
  <c r="CB54" i="60" s="1"/>
  <c r="AD54" i="60"/>
  <c r="CA54" i="60" s="1"/>
  <c r="AC54" i="60"/>
  <c r="BZ54" i="60" s="1"/>
  <c r="AB54" i="60"/>
  <c r="BY54" i="60" s="1"/>
  <c r="AF53" i="60"/>
  <c r="CC53" i="60" s="1"/>
  <c r="AE53" i="60"/>
  <c r="CB53" i="60" s="1"/>
  <c r="AD53" i="60"/>
  <c r="CA53" i="60" s="1"/>
  <c r="AC53" i="60"/>
  <c r="BZ53" i="60" s="1"/>
  <c r="AB53" i="60"/>
  <c r="BY53" i="60" s="1"/>
  <c r="Z61" i="60"/>
  <c r="BW61" i="60" s="1"/>
  <c r="Y61" i="60"/>
  <c r="BV61" i="60" s="1"/>
  <c r="X61" i="60"/>
  <c r="BU61" i="60" s="1"/>
  <c r="W61" i="60"/>
  <c r="BT61" i="60" s="1"/>
  <c r="V61" i="60"/>
  <c r="BS61" i="60" s="1"/>
  <c r="Z60" i="60"/>
  <c r="BW60" i="60" s="1"/>
  <c r="Y60" i="60"/>
  <c r="BV60" i="60" s="1"/>
  <c r="X60" i="60"/>
  <c r="BU60" i="60" s="1"/>
  <c r="W60" i="60"/>
  <c r="BT60" i="60" s="1"/>
  <c r="V60" i="60"/>
  <c r="BS60" i="60" s="1"/>
  <c r="Z59" i="60"/>
  <c r="BW59" i="60" s="1"/>
  <c r="Y59" i="60"/>
  <c r="BV59" i="60" s="1"/>
  <c r="X59" i="60"/>
  <c r="BU59" i="60" s="1"/>
  <c r="W59" i="60"/>
  <c r="BT59" i="60" s="1"/>
  <c r="V59" i="60"/>
  <c r="BS59" i="60" s="1"/>
  <c r="Z58" i="60"/>
  <c r="BW58" i="60" s="1"/>
  <c r="Y58" i="60"/>
  <c r="BV58" i="60" s="1"/>
  <c r="X58" i="60"/>
  <c r="BU58" i="60" s="1"/>
  <c r="W58" i="60"/>
  <c r="BT58" i="60" s="1"/>
  <c r="V58" i="60"/>
  <c r="BS58" i="60" s="1"/>
  <c r="Z57" i="60"/>
  <c r="BW57" i="60" s="1"/>
  <c r="Y57" i="60"/>
  <c r="BV57" i="60" s="1"/>
  <c r="X57" i="60"/>
  <c r="BU57" i="60" s="1"/>
  <c r="W57" i="60"/>
  <c r="BT57" i="60" s="1"/>
  <c r="V57" i="60"/>
  <c r="BS57" i="60" s="1"/>
  <c r="Z56" i="60"/>
  <c r="BW56" i="60" s="1"/>
  <c r="Y56" i="60"/>
  <c r="BV56" i="60" s="1"/>
  <c r="X56" i="60"/>
  <c r="BU56" i="60" s="1"/>
  <c r="W56" i="60"/>
  <c r="BT56" i="60" s="1"/>
  <c r="V56" i="60"/>
  <c r="BS56" i="60" s="1"/>
  <c r="Z55" i="60"/>
  <c r="BW55" i="60" s="1"/>
  <c r="Y55" i="60"/>
  <c r="BV55" i="60" s="1"/>
  <c r="X55" i="60"/>
  <c r="BU55" i="60" s="1"/>
  <c r="W55" i="60"/>
  <c r="BT55" i="60" s="1"/>
  <c r="V55" i="60"/>
  <c r="BS55" i="60" s="1"/>
  <c r="Z54" i="60"/>
  <c r="BW54" i="60" s="1"/>
  <c r="Y54" i="60"/>
  <c r="BV54" i="60" s="1"/>
  <c r="X54" i="60"/>
  <c r="BU54" i="60" s="1"/>
  <c r="W54" i="60"/>
  <c r="BT54" i="60" s="1"/>
  <c r="V54" i="60"/>
  <c r="BS54" i="60" s="1"/>
  <c r="Z53" i="60"/>
  <c r="BW53" i="60" s="1"/>
  <c r="Y53" i="60"/>
  <c r="BV53" i="60" s="1"/>
  <c r="X53" i="60"/>
  <c r="BU53" i="60" s="1"/>
  <c r="W53" i="60"/>
  <c r="BT53" i="60" s="1"/>
  <c r="V53" i="60"/>
  <c r="T61" i="60"/>
  <c r="BQ61" i="60" s="1"/>
  <c r="S61" i="60"/>
  <c r="BP61" i="60" s="1"/>
  <c r="R61" i="60"/>
  <c r="BO61" i="60" s="1"/>
  <c r="Q61" i="60"/>
  <c r="BN61" i="60" s="1"/>
  <c r="P61" i="60"/>
  <c r="BM61" i="60" s="1"/>
  <c r="T60" i="60"/>
  <c r="BQ60" i="60" s="1"/>
  <c r="S60" i="60"/>
  <c r="BP60" i="60" s="1"/>
  <c r="R60" i="60"/>
  <c r="BO60" i="60" s="1"/>
  <c r="Q60" i="60"/>
  <c r="BN60" i="60" s="1"/>
  <c r="P60" i="60"/>
  <c r="BM60" i="60" s="1"/>
  <c r="T59" i="60"/>
  <c r="BQ59" i="60" s="1"/>
  <c r="S59" i="60"/>
  <c r="BP59" i="60" s="1"/>
  <c r="R59" i="60"/>
  <c r="BO59" i="60" s="1"/>
  <c r="Q59" i="60"/>
  <c r="BN59" i="60" s="1"/>
  <c r="P59" i="60"/>
  <c r="BM59" i="60" s="1"/>
  <c r="T58" i="60"/>
  <c r="BQ58" i="60" s="1"/>
  <c r="S58" i="60"/>
  <c r="BP58" i="60" s="1"/>
  <c r="R58" i="60"/>
  <c r="BO58" i="60" s="1"/>
  <c r="Q58" i="60"/>
  <c r="BN58" i="60" s="1"/>
  <c r="P58" i="60"/>
  <c r="BM58" i="60" s="1"/>
  <c r="T57" i="60"/>
  <c r="BQ57" i="60" s="1"/>
  <c r="S57" i="60"/>
  <c r="BP57" i="60" s="1"/>
  <c r="R57" i="60"/>
  <c r="BO57" i="60" s="1"/>
  <c r="Q57" i="60"/>
  <c r="BN57" i="60" s="1"/>
  <c r="P57" i="60"/>
  <c r="BM57" i="60" s="1"/>
  <c r="T56" i="60"/>
  <c r="BQ56" i="60" s="1"/>
  <c r="S56" i="60"/>
  <c r="BP56" i="60" s="1"/>
  <c r="R56" i="60"/>
  <c r="BO56" i="60" s="1"/>
  <c r="Q56" i="60"/>
  <c r="BN56" i="60" s="1"/>
  <c r="P56" i="60"/>
  <c r="BM56" i="60" s="1"/>
  <c r="T55" i="60"/>
  <c r="BQ55" i="60" s="1"/>
  <c r="S55" i="60"/>
  <c r="BP55" i="60" s="1"/>
  <c r="R55" i="60"/>
  <c r="BO55" i="60" s="1"/>
  <c r="Q55" i="60"/>
  <c r="BN55" i="60" s="1"/>
  <c r="P55" i="60"/>
  <c r="BM55" i="60" s="1"/>
  <c r="T54" i="60"/>
  <c r="BQ54" i="60" s="1"/>
  <c r="S54" i="60"/>
  <c r="BP54" i="60" s="1"/>
  <c r="R54" i="60"/>
  <c r="BO54" i="60" s="1"/>
  <c r="Q54" i="60"/>
  <c r="BN54" i="60" s="1"/>
  <c r="P54" i="60"/>
  <c r="BM54" i="60" s="1"/>
  <c r="T53" i="60"/>
  <c r="BQ53" i="60" s="1"/>
  <c r="S53" i="60"/>
  <c r="BP53" i="60" s="1"/>
  <c r="R53" i="60"/>
  <c r="BO53" i="60" s="1"/>
  <c r="P53" i="60"/>
  <c r="BM53" i="60" s="1"/>
  <c r="N61" i="60"/>
  <c r="BK61" i="60" s="1"/>
  <c r="M61" i="60"/>
  <c r="BJ61" i="60" s="1"/>
  <c r="L61" i="60"/>
  <c r="BI61" i="60" s="1"/>
  <c r="K61" i="60"/>
  <c r="BH61" i="60" s="1"/>
  <c r="J61" i="60"/>
  <c r="BG61" i="60" s="1"/>
  <c r="N60" i="60"/>
  <c r="BK60" i="60" s="1"/>
  <c r="M60" i="60"/>
  <c r="BJ60" i="60" s="1"/>
  <c r="L60" i="60"/>
  <c r="BI60" i="60" s="1"/>
  <c r="K60" i="60"/>
  <c r="BH60" i="60" s="1"/>
  <c r="J60" i="60"/>
  <c r="N59" i="60"/>
  <c r="BK59" i="60" s="1"/>
  <c r="M59" i="60"/>
  <c r="BJ59" i="60" s="1"/>
  <c r="L59" i="60"/>
  <c r="BI59" i="60" s="1"/>
  <c r="K59" i="60"/>
  <c r="BH59" i="60" s="1"/>
  <c r="J59" i="60"/>
  <c r="BG59" i="60" s="1"/>
  <c r="N58" i="60"/>
  <c r="BK58" i="60" s="1"/>
  <c r="M58" i="60"/>
  <c r="BJ58" i="60" s="1"/>
  <c r="L58" i="60"/>
  <c r="BI58" i="60" s="1"/>
  <c r="K58" i="60"/>
  <c r="BH58" i="60" s="1"/>
  <c r="J58" i="60"/>
  <c r="N57" i="60"/>
  <c r="BK57" i="60" s="1"/>
  <c r="M57" i="60"/>
  <c r="BJ57" i="60" s="1"/>
  <c r="L57" i="60"/>
  <c r="BI57" i="60" s="1"/>
  <c r="K57" i="60"/>
  <c r="BH57" i="60" s="1"/>
  <c r="J57" i="60"/>
  <c r="N56" i="60"/>
  <c r="BK56" i="60" s="1"/>
  <c r="M56" i="60"/>
  <c r="BJ56" i="60" s="1"/>
  <c r="L56" i="60"/>
  <c r="BI56" i="60" s="1"/>
  <c r="K56" i="60"/>
  <c r="BH56" i="60" s="1"/>
  <c r="J56" i="60"/>
  <c r="BG56" i="60" s="1"/>
  <c r="N55" i="60"/>
  <c r="BK55" i="60" s="1"/>
  <c r="M55" i="60"/>
  <c r="BJ55" i="60" s="1"/>
  <c r="L55" i="60"/>
  <c r="BI55" i="60" s="1"/>
  <c r="K55" i="60"/>
  <c r="BH55" i="60" s="1"/>
  <c r="J55" i="60"/>
  <c r="N54" i="60"/>
  <c r="BK54" i="60" s="1"/>
  <c r="M54" i="60"/>
  <c r="BJ54" i="60" s="1"/>
  <c r="L54" i="60"/>
  <c r="BI54" i="60" s="1"/>
  <c r="K54" i="60"/>
  <c r="BH54" i="60" s="1"/>
  <c r="J54" i="60"/>
  <c r="BG54" i="60" s="1"/>
  <c r="N53" i="60"/>
  <c r="BK53" i="60" s="1"/>
  <c r="M53" i="60"/>
  <c r="BJ53" i="60" s="1"/>
  <c r="L53" i="60"/>
  <c r="BI53" i="60" s="1"/>
  <c r="K53" i="60"/>
  <c r="BH53" i="60" s="1"/>
  <c r="J53" i="60"/>
  <c r="BG53" i="60" s="1"/>
  <c r="D54" i="60"/>
  <c r="BA54" i="60" s="1"/>
  <c r="E54" i="60"/>
  <c r="BB54" i="60" s="1"/>
  <c r="F54" i="60"/>
  <c r="BC54" i="60" s="1"/>
  <c r="G54" i="60"/>
  <c r="BD54" i="60" s="1"/>
  <c r="H54" i="60"/>
  <c r="BE54" i="60" s="1"/>
  <c r="D55" i="60"/>
  <c r="BA55" i="60" s="1"/>
  <c r="E55" i="60"/>
  <c r="BB55" i="60" s="1"/>
  <c r="F55" i="60"/>
  <c r="BC55" i="60" s="1"/>
  <c r="G55" i="60"/>
  <c r="BD55" i="60" s="1"/>
  <c r="H55" i="60"/>
  <c r="BE55" i="60" s="1"/>
  <c r="D56" i="60"/>
  <c r="E56" i="60"/>
  <c r="BB56" i="60" s="1"/>
  <c r="F56" i="60"/>
  <c r="BC56" i="60" s="1"/>
  <c r="G56" i="60"/>
  <c r="BD56" i="60" s="1"/>
  <c r="H56" i="60"/>
  <c r="BE56" i="60" s="1"/>
  <c r="D57" i="60"/>
  <c r="BA57" i="60" s="1"/>
  <c r="E57" i="60"/>
  <c r="BB57" i="60" s="1"/>
  <c r="F57" i="60"/>
  <c r="BC57" i="60" s="1"/>
  <c r="G57" i="60"/>
  <c r="BD57" i="60" s="1"/>
  <c r="H57" i="60"/>
  <c r="BE57" i="60" s="1"/>
  <c r="D58" i="60"/>
  <c r="BA58" i="60" s="1"/>
  <c r="E58" i="60"/>
  <c r="BB58" i="60" s="1"/>
  <c r="F58" i="60"/>
  <c r="BC58" i="60" s="1"/>
  <c r="G58" i="60"/>
  <c r="BD58" i="60" s="1"/>
  <c r="H58" i="60"/>
  <c r="BE58" i="60" s="1"/>
  <c r="D59" i="60"/>
  <c r="BA59" i="60" s="1"/>
  <c r="E59" i="60"/>
  <c r="BB59" i="60" s="1"/>
  <c r="F59" i="60"/>
  <c r="BC59" i="60" s="1"/>
  <c r="G59" i="60"/>
  <c r="BD59" i="60" s="1"/>
  <c r="H59" i="60"/>
  <c r="BE59" i="60" s="1"/>
  <c r="D60" i="60"/>
  <c r="E60" i="60"/>
  <c r="BB60" i="60" s="1"/>
  <c r="F60" i="60"/>
  <c r="BC60" i="60" s="1"/>
  <c r="G60" i="60"/>
  <c r="BD60" i="60" s="1"/>
  <c r="H60" i="60"/>
  <c r="BE60" i="60" s="1"/>
  <c r="D61" i="60"/>
  <c r="BA61" i="60" s="1"/>
  <c r="E61" i="60"/>
  <c r="BB61" i="60" s="1"/>
  <c r="F61" i="60"/>
  <c r="BC61" i="60" s="1"/>
  <c r="G61" i="60"/>
  <c r="BD61" i="60" s="1"/>
  <c r="H61" i="60"/>
  <c r="BE61" i="60" s="1"/>
  <c r="H53" i="60"/>
  <c r="BE53" i="60" s="1"/>
  <c r="G53" i="60"/>
  <c r="BD53" i="60" s="1"/>
  <c r="F53" i="60"/>
  <c r="BC53" i="60" s="1"/>
  <c r="E53" i="60"/>
  <c r="BB53" i="60" s="1"/>
  <c r="AM66" i="60"/>
  <c r="AP66" i="60"/>
  <c r="AQ66" i="60"/>
  <c r="AR66" i="60"/>
  <c r="AS66" i="60"/>
  <c r="AT66" i="60"/>
  <c r="AM67" i="60"/>
  <c r="CJ67" i="60" s="1"/>
  <c r="AP67" i="60"/>
  <c r="CM67" i="60" s="1"/>
  <c r="AQ67" i="60"/>
  <c r="CN67" i="60" s="1"/>
  <c r="AR67" i="60"/>
  <c r="CO67" i="60" s="1"/>
  <c r="AS67" i="60"/>
  <c r="CP67" i="60" s="1"/>
  <c r="AT67" i="60"/>
  <c r="CQ67" i="60" s="1"/>
  <c r="AM68" i="60"/>
  <c r="CJ68" i="60" s="1"/>
  <c r="AP68" i="60"/>
  <c r="CM68" i="60" s="1"/>
  <c r="AQ68" i="60"/>
  <c r="CN68" i="60" s="1"/>
  <c r="AR68" i="60"/>
  <c r="CO68" i="60" s="1"/>
  <c r="AS68" i="60"/>
  <c r="CP68" i="60" s="1"/>
  <c r="AT68" i="60"/>
  <c r="CQ68" i="60" s="1"/>
  <c r="AM65" i="60"/>
  <c r="CI69" i="60"/>
  <c r="AK69" i="60"/>
  <c r="CH69" i="60" s="1"/>
  <c r="AJ69" i="60"/>
  <c r="CG69" i="60" s="1"/>
  <c r="AI69" i="60"/>
  <c r="CF69" i="60" s="1"/>
  <c r="AH69" i="60"/>
  <c r="CE69" i="60" s="1"/>
  <c r="AG69" i="60"/>
  <c r="CD69" i="60" s="1"/>
  <c r="AF69" i="60"/>
  <c r="CC69" i="60" s="1"/>
  <c r="AE69" i="60"/>
  <c r="CB69" i="60" s="1"/>
  <c r="AD69" i="60"/>
  <c r="CA69" i="60" s="1"/>
  <c r="AC69" i="60"/>
  <c r="BZ69" i="60" s="1"/>
  <c r="AB69" i="60"/>
  <c r="BY69" i="60" s="1"/>
  <c r="AA69" i="60"/>
  <c r="BX69" i="60" s="1"/>
  <c r="Z69" i="60"/>
  <c r="BW69" i="60" s="1"/>
  <c r="Y69" i="60"/>
  <c r="BV69" i="60" s="1"/>
  <c r="X69" i="60"/>
  <c r="BU69" i="60" s="1"/>
  <c r="W69" i="60"/>
  <c r="BT69" i="60" s="1"/>
  <c r="V69" i="60"/>
  <c r="BS69" i="60" s="1"/>
  <c r="U69" i="60"/>
  <c r="BR69" i="60" s="1"/>
  <c r="T69" i="60"/>
  <c r="BQ69" i="60" s="1"/>
  <c r="S69" i="60"/>
  <c r="BP69" i="60" s="1"/>
  <c r="R69" i="60"/>
  <c r="BO69" i="60" s="1"/>
  <c r="Q69" i="60"/>
  <c r="BN69" i="60" s="1"/>
  <c r="P69" i="60"/>
  <c r="BM69" i="60" s="1"/>
  <c r="O69" i="60"/>
  <c r="BL69" i="60" s="1"/>
  <c r="N69" i="60"/>
  <c r="BK69" i="60" s="1"/>
  <c r="M69" i="60"/>
  <c r="BJ69" i="60" s="1"/>
  <c r="L69" i="60"/>
  <c r="BI69" i="60" s="1"/>
  <c r="K69" i="60"/>
  <c r="BH69" i="60" s="1"/>
  <c r="J69" i="60"/>
  <c r="BG69" i="60" s="1"/>
  <c r="I69" i="60"/>
  <c r="BF69" i="60" s="1"/>
  <c r="H69" i="60"/>
  <c r="BE69" i="60" s="1"/>
  <c r="G69" i="60"/>
  <c r="BD69" i="60" s="1"/>
  <c r="F69" i="60"/>
  <c r="BC69" i="60" s="1"/>
  <c r="E69" i="60"/>
  <c r="BB69" i="60" s="1"/>
  <c r="D69" i="60"/>
  <c r="BA69" i="60" s="1"/>
  <c r="C97" i="73"/>
  <c r="BH87" i="53"/>
  <c r="DJ87" i="53" s="1"/>
  <c r="BG87" i="53"/>
  <c r="DI87" i="53" s="1"/>
  <c r="BF87" i="53"/>
  <c r="DH87" i="53" s="1"/>
  <c r="BE87" i="53"/>
  <c r="DG87" i="53" s="1"/>
  <c r="BD87" i="53"/>
  <c r="DF87" i="53" s="1"/>
  <c r="BC87" i="53"/>
  <c r="DE87" i="53" s="1"/>
  <c r="BH86" i="53"/>
  <c r="DJ86" i="53" s="1"/>
  <c r="BG86" i="53"/>
  <c r="DI86" i="53" s="1"/>
  <c r="BF86" i="53"/>
  <c r="DH86" i="53" s="1"/>
  <c r="BE86" i="53"/>
  <c r="DG86" i="53" s="1"/>
  <c r="BD86" i="53"/>
  <c r="DF86" i="53" s="1"/>
  <c r="BH85" i="53"/>
  <c r="DJ85" i="53" s="1"/>
  <c r="BG85" i="53"/>
  <c r="DI85" i="53" s="1"/>
  <c r="BF85" i="53"/>
  <c r="DH85" i="53" s="1"/>
  <c r="BE85" i="53"/>
  <c r="DG85" i="53" s="1"/>
  <c r="BD85" i="53"/>
  <c r="DF85" i="53" s="1"/>
  <c r="BC85" i="53"/>
  <c r="DE85" i="53" s="1"/>
  <c r="BH84" i="53"/>
  <c r="DJ84" i="53" s="1"/>
  <c r="BG84" i="53"/>
  <c r="DI84" i="53" s="1"/>
  <c r="BF84" i="53"/>
  <c r="DH84" i="53" s="1"/>
  <c r="BE84" i="53"/>
  <c r="DG84" i="53" s="1"/>
  <c r="BD84" i="53"/>
  <c r="DF84" i="53" s="1"/>
  <c r="BC84" i="53"/>
  <c r="DE84" i="53" s="1"/>
  <c r="BH82" i="53"/>
  <c r="DJ82" i="53" s="1"/>
  <c r="BG82" i="53"/>
  <c r="DI82" i="53" s="1"/>
  <c r="BF82" i="53"/>
  <c r="DH82" i="53" s="1"/>
  <c r="BE82" i="53"/>
  <c r="DG82" i="53" s="1"/>
  <c r="BD82" i="53"/>
  <c r="DF82" i="53" s="1"/>
  <c r="BC82" i="53"/>
  <c r="DE82" i="53" s="1"/>
  <c r="BH81" i="53"/>
  <c r="DJ81" i="53" s="1"/>
  <c r="BG81" i="53"/>
  <c r="DI81" i="53" s="1"/>
  <c r="BF81" i="53"/>
  <c r="DH81" i="53" s="1"/>
  <c r="BE81" i="53"/>
  <c r="DG81" i="53" s="1"/>
  <c r="BD81" i="53"/>
  <c r="DF81" i="53" s="1"/>
  <c r="BC81" i="53"/>
  <c r="DE81" i="53" s="1"/>
  <c r="BH80" i="53"/>
  <c r="DJ80" i="53" s="1"/>
  <c r="BG80" i="53"/>
  <c r="DI80" i="53" s="1"/>
  <c r="BF80" i="53"/>
  <c r="DH80" i="53" s="1"/>
  <c r="BE80" i="53"/>
  <c r="DG80" i="53" s="1"/>
  <c r="BD80" i="53"/>
  <c r="DF80" i="53" s="1"/>
  <c r="BC80" i="53"/>
  <c r="DE80" i="53" s="1"/>
  <c r="BH79" i="53"/>
  <c r="DJ79" i="53" s="1"/>
  <c r="BG79" i="53"/>
  <c r="DI79" i="53" s="1"/>
  <c r="BF79" i="53"/>
  <c r="DH79" i="53" s="1"/>
  <c r="BE79" i="53"/>
  <c r="DG79" i="53" s="1"/>
  <c r="BD79" i="53"/>
  <c r="DF79" i="53" s="1"/>
  <c r="BC79" i="53"/>
  <c r="DE79" i="53" s="1"/>
  <c r="BH78" i="53"/>
  <c r="DJ78" i="53" s="1"/>
  <c r="BG78" i="53"/>
  <c r="DI78" i="53" s="1"/>
  <c r="BF78" i="53"/>
  <c r="DH78" i="53" s="1"/>
  <c r="BE78" i="53"/>
  <c r="DG78" i="53" s="1"/>
  <c r="BD78" i="53"/>
  <c r="DF78" i="53" s="1"/>
  <c r="BC78" i="53"/>
  <c r="DE78" i="53" s="1"/>
  <c r="BH77" i="53"/>
  <c r="DJ77" i="53" s="1"/>
  <c r="BG77" i="53"/>
  <c r="DI77" i="53" s="1"/>
  <c r="BF77" i="53"/>
  <c r="DH77" i="53" s="1"/>
  <c r="BE77" i="53"/>
  <c r="DG77" i="53" s="1"/>
  <c r="BD77" i="53"/>
  <c r="DF77" i="53" s="1"/>
  <c r="BC77" i="53"/>
  <c r="DE77" i="53" s="1"/>
  <c r="BH75" i="53"/>
  <c r="DJ75" i="53" s="1"/>
  <c r="BG75" i="53"/>
  <c r="DI75" i="53" s="1"/>
  <c r="BF75" i="53"/>
  <c r="DH75" i="53" s="1"/>
  <c r="BE75" i="53"/>
  <c r="DG75" i="53" s="1"/>
  <c r="BD75" i="53"/>
  <c r="DF75" i="53" s="1"/>
  <c r="BC75" i="53"/>
  <c r="DE75" i="53" s="1"/>
  <c r="BH73" i="53"/>
  <c r="DJ73" i="53" s="1"/>
  <c r="BG73" i="53"/>
  <c r="DI73" i="53" s="1"/>
  <c r="BF73" i="53"/>
  <c r="DH73" i="53" s="1"/>
  <c r="BE73" i="53"/>
  <c r="DG73" i="53" s="1"/>
  <c r="BD73" i="53"/>
  <c r="DF73" i="53" s="1"/>
  <c r="BC73" i="53"/>
  <c r="DE73" i="53" s="1"/>
  <c r="BH71" i="53"/>
  <c r="DJ71" i="53" s="1"/>
  <c r="BG71" i="53"/>
  <c r="DI71" i="53" s="1"/>
  <c r="BF71" i="53"/>
  <c r="DH71" i="53" s="1"/>
  <c r="BE71" i="53"/>
  <c r="DG71" i="53" s="1"/>
  <c r="BD71" i="53"/>
  <c r="DF71" i="53" s="1"/>
  <c r="BC71" i="53"/>
  <c r="DE71" i="53" s="1"/>
  <c r="BH62" i="53"/>
  <c r="DJ62" i="53" s="1"/>
  <c r="BG62" i="53"/>
  <c r="DI62" i="53" s="1"/>
  <c r="BF62" i="53"/>
  <c r="DH62" i="53" s="1"/>
  <c r="BE62" i="53"/>
  <c r="DG62" i="53" s="1"/>
  <c r="BD62" i="53"/>
  <c r="DF62" i="53" s="1"/>
  <c r="BC62" i="53"/>
  <c r="DE62" i="53" s="1"/>
  <c r="BH54" i="53"/>
  <c r="DJ54" i="53" s="1"/>
  <c r="BG54" i="53"/>
  <c r="DI54" i="53" s="1"/>
  <c r="BF54" i="53"/>
  <c r="DH54" i="53" s="1"/>
  <c r="BE54" i="53"/>
  <c r="DG54" i="53" s="1"/>
  <c r="BD54" i="53"/>
  <c r="DF54" i="53" s="1"/>
  <c r="BC54" i="53"/>
  <c r="DE54" i="53" s="1"/>
  <c r="BH53" i="53"/>
  <c r="DJ53" i="53" s="1"/>
  <c r="BG53" i="53"/>
  <c r="DI53" i="53" s="1"/>
  <c r="BF53" i="53"/>
  <c r="DH53" i="53" s="1"/>
  <c r="BE53" i="53"/>
  <c r="DG53" i="53" s="1"/>
  <c r="BD53" i="53"/>
  <c r="DF53" i="53" s="1"/>
  <c r="BC53" i="53"/>
  <c r="DE53" i="53" s="1"/>
  <c r="BH52" i="53"/>
  <c r="DJ52" i="53" s="1"/>
  <c r="BG52" i="53"/>
  <c r="DI52" i="53" s="1"/>
  <c r="BF52" i="53"/>
  <c r="DH52" i="53" s="1"/>
  <c r="BE52" i="53"/>
  <c r="DG52" i="53" s="1"/>
  <c r="BD52" i="53"/>
  <c r="DF52" i="53" s="1"/>
  <c r="BC52" i="53"/>
  <c r="DE52" i="53" s="1"/>
  <c r="BH47" i="53"/>
  <c r="DJ47" i="53" s="1"/>
  <c r="BG47" i="53"/>
  <c r="DI47" i="53" s="1"/>
  <c r="BF47" i="53"/>
  <c r="DH47" i="53" s="1"/>
  <c r="BE47" i="53"/>
  <c r="DG47" i="53" s="1"/>
  <c r="BD47" i="53"/>
  <c r="DF47" i="53" s="1"/>
  <c r="BC47" i="53"/>
  <c r="DE47" i="53" s="1"/>
  <c r="BH46" i="53"/>
  <c r="DJ46" i="53" s="1"/>
  <c r="BG46" i="53"/>
  <c r="DI46" i="53" s="1"/>
  <c r="BF46" i="53"/>
  <c r="DH46" i="53" s="1"/>
  <c r="BE46" i="53"/>
  <c r="DG46" i="53" s="1"/>
  <c r="BD46" i="53"/>
  <c r="DF46" i="53" s="1"/>
  <c r="BC46" i="53"/>
  <c r="DE46" i="53" s="1"/>
  <c r="BH45" i="53"/>
  <c r="DJ45" i="53" s="1"/>
  <c r="BG45" i="53"/>
  <c r="DI45" i="53" s="1"/>
  <c r="BF45" i="53"/>
  <c r="DH45" i="53" s="1"/>
  <c r="BE45" i="53"/>
  <c r="DG45" i="53" s="1"/>
  <c r="BD45" i="53"/>
  <c r="DF45" i="53" s="1"/>
  <c r="BC45" i="53"/>
  <c r="DE45" i="53" s="1"/>
  <c r="BH44" i="53"/>
  <c r="DJ44" i="53" s="1"/>
  <c r="BG44" i="53"/>
  <c r="DI44" i="53" s="1"/>
  <c r="BF44" i="53"/>
  <c r="DH44" i="53" s="1"/>
  <c r="BE44" i="53"/>
  <c r="DG44" i="53" s="1"/>
  <c r="BD44" i="53"/>
  <c r="DF44" i="53" s="1"/>
  <c r="BC44" i="53"/>
  <c r="DE44" i="53" s="1"/>
  <c r="BH43" i="53"/>
  <c r="DJ43" i="53" s="1"/>
  <c r="BG43" i="53"/>
  <c r="DI43" i="53" s="1"/>
  <c r="BF43" i="53"/>
  <c r="DH43" i="53" s="1"/>
  <c r="BE43" i="53"/>
  <c r="DG43" i="53" s="1"/>
  <c r="BD43" i="53"/>
  <c r="DF43" i="53" s="1"/>
  <c r="BC43" i="53"/>
  <c r="DE43" i="53" s="1"/>
  <c r="BH42" i="53"/>
  <c r="DJ42" i="53" s="1"/>
  <c r="BG42" i="53"/>
  <c r="DI42" i="53" s="1"/>
  <c r="BF42" i="53"/>
  <c r="DH42" i="53" s="1"/>
  <c r="BE42" i="53"/>
  <c r="DG42" i="53" s="1"/>
  <c r="BD42" i="53"/>
  <c r="DF42" i="53" s="1"/>
  <c r="BC42" i="53"/>
  <c r="DE42" i="53" s="1"/>
  <c r="BH41" i="53"/>
  <c r="DJ41" i="53" s="1"/>
  <c r="BG41" i="53"/>
  <c r="DI41" i="53" s="1"/>
  <c r="BF41" i="53"/>
  <c r="DH41" i="53" s="1"/>
  <c r="BE41" i="53"/>
  <c r="DG41" i="53" s="1"/>
  <c r="BD41" i="53"/>
  <c r="DF41" i="53" s="1"/>
  <c r="BC41" i="53"/>
  <c r="DE41" i="53" s="1"/>
  <c r="BH40" i="53"/>
  <c r="DJ40" i="53" s="1"/>
  <c r="BG40" i="53"/>
  <c r="DI40" i="53" s="1"/>
  <c r="BF40" i="53"/>
  <c r="DH40" i="53" s="1"/>
  <c r="BE40" i="53"/>
  <c r="DG40" i="53" s="1"/>
  <c r="BD40" i="53"/>
  <c r="DF40" i="53" s="1"/>
  <c r="BC40" i="53"/>
  <c r="DE40" i="53" s="1"/>
  <c r="BH39" i="53"/>
  <c r="DJ39" i="53" s="1"/>
  <c r="BG39" i="53"/>
  <c r="DI39" i="53" s="1"/>
  <c r="BF39" i="53"/>
  <c r="DH39" i="53" s="1"/>
  <c r="BE39" i="53"/>
  <c r="DG39" i="53" s="1"/>
  <c r="BD39" i="53"/>
  <c r="DF39" i="53" s="1"/>
  <c r="BC39" i="53"/>
  <c r="DE39" i="53" s="1"/>
  <c r="BH37" i="53"/>
  <c r="DJ37" i="53" s="1"/>
  <c r="BG37" i="53"/>
  <c r="DI37" i="53" s="1"/>
  <c r="BF37" i="53"/>
  <c r="DH37" i="53" s="1"/>
  <c r="BE37" i="53"/>
  <c r="DG37" i="53" s="1"/>
  <c r="BD37" i="53"/>
  <c r="DF37" i="53" s="1"/>
  <c r="BC37" i="53"/>
  <c r="DE37" i="53" s="1"/>
  <c r="BH36" i="53"/>
  <c r="DJ36" i="53" s="1"/>
  <c r="BG36" i="53"/>
  <c r="DI36" i="53" s="1"/>
  <c r="BF36" i="53"/>
  <c r="DH36" i="53" s="1"/>
  <c r="BE36" i="53"/>
  <c r="DG36" i="53" s="1"/>
  <c r="BD36" i="53"/>
  <c r="DF36" i="53" s="1"/>
  <c r="BC36" i="53"/>
  <c r="DE36" i="53" s="1"/>
  <c r="BH35" i="53"/>
  <c r="DJ35" i="53" s="1"/>
  <c r="BG35" i="53"/>
  <c r="DI35" i="53" s="1"/>
  <c r="BF35" i="53"/>
  <c r="DH35" i="53" s="1"/>
  <c r="BE35" i="53"/>
  <c r="DG35" i="53" s="1"/>
  <c r="BD35" i="53"/>
  <c r="DF35" i="53" s="1"/>
  <c r="BC35" i="53"/>
  <c r="DE35" i="53" s="1"/>
  <c r="BH34" i="53"/>
  <c r="DJ34" i="53" s="1"/>
  <c r="BG34" i="53"/>
  <c r="DI34" i="53" s="1"/>
  <c r="BF34" i="53"/>
  <c r="DH34" i="53" s="1"/>
  <c r="BE34" i="53"/>
  <c r="DG34" i="53" s="1"/>
  <c r="BD34" i="53"/>
  <c r="DF34" i="53" s="1"/>
  <c r="BC34" i="53"/>
  <c r="DE34" i="53" s="1"/>
  <c r="BH33" i="53"/>
  <c r="DJ33" i="53" s="1"/>
  <c r="BG33" i="53"/>
  <c r="DI33" i="53" s="1"/>
  <c r="BF33" i="53"/>
  <c r="DH33" i="53" s="1"/>
  <c r="BE33" i="53"/>
  <c r="DG33" i="53" s="1"/>
  <c r="BD33" i="53"/>
  <c r="DF33" i="53" s="1"/>
  <c r="BC33" i="53"/>
  <c r="DE33" i="53" s="1"/>
  <c r="BH32" i="53"/>
  <c r="DJ32" i="53" s="1"/>
  <c r="BG32" i="53"/>
  <c r="DI32" i="53" s="1"/>
  <c r="BF32" i="53"/>
  <c r="DH32" i="53" s="1"/>
  <c r="BE32" i="53"/>
  <c r="DG32" i="53" s="1"/>
  <c r="BD32" i="53"/>
  <c r="DF32" i="53" s="1"/>
  <c r="BC32" i="53"/>
  <c r="DE32" i="53" s="1"/>
  <c r="BH31" i="53"/>
  <c r="DJ31" i="53" s="1"/>
  <c r="BG31" i="53"/>
  <c r="DI31" i="53" s="1"/>
  <c r="BF31" i="53"/>
  <c r="DH31" i="53" s="1"/>
  <c r="BE31" i="53"/>
  <c r="DG31" i="53" s="1"/>
  <c r="BD31" i="53"/>
  <c r="DF31" i="53" s="1"/>
  <c r="BC31" i="53"/>
  <c r="DE31" i="53" s="1"/>
  <c r="BH30" i="53"/>
  <c r="DJ30" i="53" s="1"/>
  <c r="BG30" i="53"/>
  <c r="DI30" i="53" s="1"/>
  <c r="BF30" i="53"/>
  <c r="DH30" i="53" s="1"/>
  <c r="BE30" i="53"/>
  <c r="DG30" i="53" s="1"/>
  <c r="BD30" i="53"/>
  <c r="DF30" i="53" s="1"/>
  <c r="BC30" i="53"/>
  <c r="DE30" i="53" s="1"/>
  <c r="BH27" i="53"/>
  <c r="DJ27" i="53" s="1"/>
  <c r="BG27" i="53"/>
  <c r="DI27" i="53" s="1"/>
  <c r="BF27" i="53"/>
  <c r="DH27" i="53" s="1"/>
  <c r="BE27" i="53"/>
  <c r="DG27" i="53" s="1"/>
  <c r="BD27" i="53"/>
  <c r="DF27" i="53" s="1"/>
  <c r="BC27" i="53"/>
  <c r="DE27" i="53" s="1"/>
  <c r="BH26" i="53"/>
  <c r="DJ26" i="53" s="1"/>
  <c r="BG26" i="53"/>
  <c r="DI26" i="53" s="1"/>
  <c r="BF26" i="53"/>
  <c r="DH26" i="53" s="1"/>
  <c r="BE26" i="53"/>
  <c r="DG26" i="53" s="1"/>
  <c r="BD26" i="53"/>
  <c r="DF26" i="53" s="1"/>
  <c r="BC26" i="53"/>
  <c r="DE26" i="53" s="1"/>
  <c r="BH23" i="53"/>
  <c r="DJ23" i="53" s="1"/>
  <c r="BG23" i="53"/>
  <c r="DI23" i="53" s="1"/>
  <c r="BF23" i="53"/>
  <c r="DH23" i="53" s="1"/>
  <c r="BE23" i="53"/>
  <c r="DG23" i="53" s="1"/>
  <c r="BD23" i="53"/>
  <c r="DF23" i="53" s="1"/>
  <c r="BC23" i="53"/>
  <c r="DE23" i="53" s="1"/>
  <c r="BH22" i="53"/>
  <c r="DJ22" i="53" s="1"/>
  <c r="BG22" i="53"/>
  <c r="DI22" i="53" s="1"/>
  <c r="BF22" i="53"/>
  <c r="DH22" i="53" s="1"/>
  <c r="BE22" i="53"/>
  <c r="DG22" i="53" s="1"/>
  <c r="BD22" i="53"/>
  <c r="DF22" i="53" s="1"/>
  <c r="BC22" i="53"/>
  <c r="DE22" i="53" s="1"/>
  <c r="BH20" i="53"/>
  <c r="DJ20" i="53" s="1"/>
  <c r="BG20" i="53"/>
  <c r="DI20" i="53" s="1"/>
  <c r="BF20" i="53"/>
  <c r="DH20" i="53" s="1"/>
  <c r="BE20" i="53"/>
  <c r="DG20" i="53" s="1"/>
  <c r="BD20" i="53"/>
  <c r="DF20" i="53" s="1"/>
  <c r="BC20" i="53"/>
  <c r="DE20" i="53" s="1"/>
  <c r="BH19" i="53"/>
  <c r="DJ19" i="53" s="1"/>
  <c r="BG19" i="53"/>
  <c r="DI19" i="53" s="1"/>
  <c r="BF19" i="53"/>
  <c r="DH19" i="53" s="1"/>
  <c r="BE19" i="53"/>
  <c r="DG19" i="53" s="1"/>
  <c r="BD19" i="53"/>
  <c r="DF19" i="53" s="1"/>
  <c r="BC19" i="53"/>
  <c r="DE19" i="53" s="1"/>
  <c r="BH16" i="53"/>
  <c r="DJ16" i="53" s="1"/>
  <c r="BG16" i="53"/>
  <c r="DI16" i="53" s="1"/>
  <c r="BF16" i="53"/>
  <c r="DH16" i="53" s="1"/>
  <c r="BE16" i="53"/>
  <c r="DG16" i="53" s="1"/>
  <c r="BD16" i="53"/>
  <c r="DF16" i="53" s="1"/>
  <c r="BC16" i="53"/>
  <c r="DE16" i="53" s="1"/>
  <c r="BH15" i="53"/>
  <c r="DJ15" i="53" s="1"/>
  <c r="BG15" i="53"/>
  <c r="DI15" i="53" s="1"/>
  <c r="BF15" i="53"/>
  <c r="DH15" i="53" s="1"/>
  <c r="BE15" i="53"/>
  <c r="DG15" i="53" s="1"/>
  <c r="BD15" i="53"/>
  <c r="DF15" i="53" s="1"/>
  <c r="BC15" i="53"/>
  <c r="DE15" i="53" s="1"/>
  <c r="BH14" i="53"/>
  <c r="DJ14" i="53" s="1"/>
  <c r="BG14" i="53"/>
  <c r="DI14" i="53" s="1"/>
  <c r="BF14" i="53"/>
  <c r="DH14" i="53" s="1"/>
  <c r="BE14" i="53"/>
  <c r="DG14" i="53" s="1"/>
  <c r="BD14" i="53"/>
  <c r="DF14" i="53" s="1"/>
  <c r="BC14" i="53"/>
  <c r="DE14" i="53" s="1"/>
  <c r="BH13" i="53"/>
  <c r="DJ13" i="53" s="1"/>
  <c r="BG13" i="53"/>
  <c r="DI13" i="53" s="1"/>
  <c r="BF13" i="53"/>
  <c r="DH13" i="53" s="1"/>
  <c r="BE13" i="53"/>
  <c r="DG13" i="53" s="1"/>
  <c r="BD13" i="53"/>
  <c r="DF13" i="53" s="1"/>
  <c r="BC13" i="53"/>
  <c r="DE13" i="53" s="1"/>
  <c r="BB87" i="53"/>
  <c r="DD87" i="53" s="1"/>
  <c r="BA87" i="53"/>
  <c r="DC87" i="53" s="1"/>
  <c r="AZ87" i="53"/>
  <c r="DB87" i="53" s="1"/>
  <c r="AY87" i="53"/>
  <c r="DA87" i="53" s="1"/>
  <c r="AX87" i="53"/>
  <c r="CZ87" i="53" s="1"/>
  <c r="AW87" i="53"/>
  <c r="CY87" i="53" s="1"/>
  <c r="BB86" i="53"/>
  <c r="DD86" i="53" s="1"/>
  <c r="BA86" i="53"/>
  <c r="DC86" i="53" s="1"/>
  <c r="AZ86" i="53"/>
  <c r="DB86" i="53" s="1"/>
  <c r="AY86" i="53"/>
  <c r="DA86" i="53" s="1"/>
  <c r="AX86" i="53"/>
  <c r="CZ86" i="53" s="1"/>
  <c r="AW86" i="53"/>
  <c r="CY86" i="53" s="1"/>
  <c r="BB85" i="53"/>
  <c r="DD85" i="53" s="1"/>
  <c r="BA85" i="53"/>
  <c r="DC85" i="53" s="1"/>
  <c r="AZ85" i="53"/>
  <c r="DB85" i="53" s="1"/>
  <c r="AY85" i="53"/>
  <c r="DA85" i="53" s="1"/>
  <c r="AX85" i="53"/>
  <c r="CZ85" i="53" s="1"/>
  <c r="AW85" i="53"/>
  <c r="CY85" i="53" s="1"/>
  <c r="BB84" i="53"/>
  <c r="DD84" i="53" s="1"/>
  <c r="BA84" i="53"/>
  <c r="DC84" i="53" s="1"/>
  <c r="AZ84" i="53"/>
  <c r="DB84" i="53" s="1"/>
  <c r="AY84" i="53"/>
  <c r="DA84" i="53" s="1"/>
  <c r="AX84" i="53"/>
  <c r="CZ84" i="53" s="1"/>
  <c r="AW84" i="53"/>
  <c r="CY84" i="53" s="1"/>
  <c r="BB82" i="53"/>
  <c r="DD82" i="53" s="1"/>
  <c r="BA82" i="53"/>
  <c r="DC82" i="53" s="1"/>
  <c r="AZ82" i="53"/>
  <c r="DB82" i="53" s="1"/>
  <c r="AY82" i="53"/>
  <c r="DA82" i="53" s="1"/>
  <c r="AX82" i="53"/>
  <c r="CZ82" i="53" s="1"/>
  <c r="AW82" i="53"/>
  <c r="CY82" i="53" s="1"/>
  <c r="BB81" i="53"/>
  <c r="DD81" i="53" s="1"/>
  <c r="BA81" i="53"/>
  <c r="DC81" i="53" s="1"/>
  <c r="AZ81" i="53"/>
  <c r="DB81" i="53" s="1"/>
  <c r="AY81" i="53"/>
  <c r="DA81" i="53" s="1"/>
  <c r="AX81" i="53"/>
  <c r="CZ81" i="53" s="1"/>
  <c r="AW81" i="53"/>
  <c r="CY81" i="53" s="1"/>
  <c r="BB80" i="53"/>
  <c r="DD80" i="53" s="1"/>
  <c r="BA80" i="53"/>
  <c r="DC80" i="53" s="1"/>
  <c r="AZ80" i="53"/>
  <c r="DB80" i="53" s="1"/>
  <c r="AY80" i="53"/>
  <c r="DA80" i="53" s="1"/>
  <c r="AX80" i="53"/>
  <c r="CZ80" i="53" s="1"/>
  <c r="AW80" i="53"/>
  <c r="CY80" i="53" s="1"/>
  <c r="BB79" i="53"/>
  <c r="DD79" i="53" s="1"/>
  <c r="BA79" i="53"/>
  <c r="DC79" i="53" s="1"/>
  <c r="AZ79" i="53"/>
  <c r="DB79" i="53" s="1"/>
  <c r="AY79" i="53"/>
  <c r="DA79" i="53" s="1"/>
  <c r="AX79" i="53"/>
  <c r="CZ79" i="53" s="1"/>
  <c r="AW79" i="53"/>
  <c r="CY79" i="53" s="1"/>
  <c r="BB78" i="53"/>
  <c r="DD78" i="53" s="1"/>
  <c r="BA78" i="53"/>
  <c r="DC78" i="53" s="1"/>
  <c r="AZ78" i="53"/>
  <c r="DB78" i="53" s="1"/>
  <c r="AY78" i="53"/>
  <c r="DA78" i="53" s="1"/>
  <c r="AX78" i="53"/>
  <c r="CZ78" i="53" s="1"/>
  <c r="AW78" i="53"/>
  <c r="CY78" i="53" s="1"/>
  <c r="BB77" i="53"/>
  <c r="DD77" i="53" s="1"/>
  <c r="BA77" i="53"/>
  <c r="DC77" i="53" s="1"/>
  <c r="AZ77" i="53"/>
  <c r="DB77" i="53" s="1"/>
  <c r="AY77" i="53"/>
  <c r="DA77" i="53" s="1"/>
  <c r="AX77" i="53"/>
  <c r="CZ77" i="53" s="1"/>
  <c r="AW77" i="53"/>
  <c r="CY77" i="53" s="1"/>
  <c r="BB75" i="53"/>
  <c r="DD75" i="53" s="1"/>
  <c r="BA75" i="53"/>
  <c r="DC75" i="53" s="1"/>
  <c r="AZ75" i="53"/>
  <c r="DB75" i="53" s="1"/>
  <c r="AY75" i="53"/>
  <c r="DA75" i="53" s="1"/>
  <c r="AX75" i="53"/>
  <c r="CZ75" i="53" s="1"/>
  <c r="AW75" i="53"/>
  <c r="CY75" i="53" s="1"/>
  <c r="BB73" i="53"/>
  <c r="DD73" i="53" s="1"/>
  <c r="BA73" i="53"/>
  <c r="DC73" i="53" s="1"/>
  <c r="AZ73" i="53"/>
  <c r="DB73" i="53" s="1"/>
  <c r="AY73" i="53"/>
  <c r="DA73" i="53" s="1"/>
  <c r="AX73" i="53"/>
  <c r="CZ73" i="53" s="1"/>
  <c r="BB71" i="53"/>
  <c r="DD71" i="53" s="1"/>
  <c r="BA71" i="53"/>
  <c r="DC71" i="53" s="1"/>
  <c r="AZ71" i="53"/>
  <c r="DB71" i="53" s="1"/>
  <c r="AY71" i="53"/>
  <c r="DA71" i="53" s="1"/>
  <c r="AX71" i="53"/>
  <c r="CZ71" i="53" s="1"/>
  <c r="AW71" i="53"/>
  <c r="CY71" i="53" s="1"/>
  <c r="BB62" i="53"/>
  <c r="DD62" i="53" s="1"/>
  <c r="BA62" i="53"/>
  <c r="DC62" i="53" s="1"/>
  <c r="AZ62" i="53"/>
  <c r="DB62" i="53" s="1"/>
  <c r="AY62" i="53"/>
  <c r="DA62" i="53" s="1"/>
  <c r="AX62" i="53"/>
  <c r="CZ62" i="53" s="1"/>
  <c r="AW62" i="53"/>
  <c r="CY62" i="53" s="1"/>
  <c r="BB54" i="53"/>
  <c r="DD54" i="53" s="1"/>
  <c r="BA54" i="53"/>
  <c r="DC54" i="53" s="1"/>
  <c r="AZ54" i="53"/>
  <c r="DB54" i="53" s="1"/>
  <c r="AY54" i="53"/>
  <c r="DA54" i="53" s="1"/>
  <c r="AX54" i="53"/>
  <c r="CZ54" i="53" s="1"/>
  <c r="AW54" i="53"/>
  <c r="CY54" i="53" s="1"/>
  <c r="BB53" i="53"/>
  <c r="DD53" i="53" s="1"/>
  <c r="BA53" i="53"/>
  <c r="DC53" i="53" s="1"/>
  <c r="AZ53" i="53"/>
  <c r="DB53" i="53" s="1"/>
  <c r="AY53" i="53"/>
  <c r="DA53" i="53" s="1"/>
  <c r="AX53" i="53"/>
  <c r="CZ53" i="53" s="1"/>
  <c r="AW53" i="53"/>
  <c r="CY53" i="53" s="1"/>
  <c r="BB52" i="53"/>
  <c r="DD52" i="53" s="1"/>
  <c r="BA52" i="53"/>
  <c r="DC52" i="53" s="1"/>
  <c r="AZ52" i="53"/>
  <c r="DB52" i="53" s="1"/>
  <c r="AY52" i="53"/>
  <c r="DA52" i="53" s="1"/>
  <c r="AX52" i="53"/>
  <c r="CZ52" i="53" s="1"/>
  <c r="AW52" i="53"/>
  <c r="CY52" i="53" s="1"/>
  <c r="BB47" i="53"/>
  <c r="DD47" i="53" s="1"/>
  <c r="BA47" i="53"/>
  <c r="DC47" i="53" s="1"/>
  <c r="AZ47" i="53"/>
  <c r="DB47" i="53" s="1"/>
  <c r="AY47" i="53"/>
  <c r="DA47" i="53" s="1"/>
  <c r="AX47" i="53"/>
  <c r="CZ47" i="53" s="1"/>
  <c r="AW47" i="53"/>
  <c r="CY47" i="53" s="1"/>
  <c r="BB46" i="53"/>
  <c r="DD46" i="53" s="1"/>
  <c r="BA46" i="53"/>
  <c r="DC46" i="53" s="1"/>
  <c r="AZ46" i="53"/>
  <c r="DB46" i="53" s="1"/>
  <c r="AY46" i="53"/>
  <c r="DA46" i="53" s="1"/>
  <c r="AX46" i="53"/>
  <c r="CZ46" i="53" s="1"/>
  <c r="AW46" i="53"/>
  <c r="CY46" i="53" s="1"/>
  <c r="BB45" i="53"/>
  <c r="DD45" i="53" s="1"/>
  <c r="BA45" i="53"/>
  <c r="DC45" i="53" s="1"/>
  <c r="AZ45" i="53"/>
  <c r="DB45" i="53" s="1"/>
  <c r="AY45" i="53"/>
  <c r="DA45" i="53" s="1"/>
  <c r="AX45" i="53"/>
  <c r="CZ45" i="53" s="1"/>
  <c r="AW45" i="53"/>
  <c r="CY45" i="53" s="1"/>
  <c r="BB44" i="53"/>
  <c r="DD44" i="53" s="1"/>
  <c r="BA44" i="53"/>
  <c r="DC44" i="53" s="1"/>
  <c r="AZ44" i="53"/>
  <c r="DB44" i="53" s="1"/>
  <c r="AY44" i="53"/>
  <c r="DA44" i="53" s="1"/>
  <c r="AX44" i="53"/>
  <c r="CZ44" i="53" s="1"/>
  <c r="AW44" i="53"/>
  <c r="CY44" i="53" s="1"/>
  <c r="BB43" i="53"/>
  <c r="DD43" i="53" s="1"/>
  <c r="BA43" i="53"/>
  <c r="DC43" i="53" s="1"/>
  <c r="AZ43" i="53"/>
  <c r="DB43" i="53" s="1"/>
  <c r="AY43" i="53"/>
  <c r="DA43" i="53" s="1"/>
  <c r="AX43" i="53"/>
  <c r="CZ43" i="53" s="1"/>
  <c r="AW43" i="53"/>
  <c r="CY43" i="53" s="1"/>
  <c r="BB42" i="53"/>
  <c r="DD42" i="53" s="1"/>
  <c r="BA42" i="53"/>
  <c r="DC42" i="53" s="1"/>
  <c r="AZ42" i="53"/>
  <c r="DB42" i="53" s="1"/>
  <c r="AY42" i="53"/>
  <c r="DA42" i="53" s="1"/>
  <c r="AX42" i="53"/>
  <c r="CZ42" i="53" s="1"/>
  <c r="AW42" i="53"/>
  <c r="CY42" i="53" s="1"/>
  <c r="BB41" i="53"/>
  <c r="DD41" i="53" s="1"/>
  <c r="BA41" i="53"/>
  <c r="DC41" i="53" s="1"/>
  <c r="AZ41" i="53"/>
  <c r="DB41" i="53" s="1"/>
  <c r="AY41" i="53"/>
  <c r="DA41" i="53" s="1"/>
  <c r="AX41" i="53"/>
  <c r="CZ41" i="53" s="1"/>
  <c r="AW41" i="53"/>
  <c r="CY41" i="53" s="1"/>
  <c r="BB40" i="53"/>
  <c r="DD40" i="53" s="1"/>
  <c r="BA40" i="53"/>
  <c r="DC40" i="53" s="1"/>
  <c r="AZ40" i="53"/>
  <c r="DB40" i="53" s="1"/>
  <c r="AY40" i="53"/>
  <c r="DA40" i="53" s="1"/>
  <c r="AX40" i="53"/>
  <c r="CZ40" i="53" s="1"/>
  <c r="AW40" i="53"/>
  <c r="CY40" i="53" s="1"/>
  <c r="BB39" i="53"/>
  <c r="DD39" i="53" s="1"/>
  <c r="BA39" i="53"/>
  <c r="DC39" i="53" s="1"/>
  <c r="AZ39" i="53"/>
  <c r="DB39" i="53" s="1"/>
  <c r="AY39" i="53"/>
  <c r="DA39" i="53" s="1"/>
  <c r="AX39" i="53"/>
  <c r="CZ39" i="53" s="1"/>
  <c r="AW39" i="53"/>
  <c r="CY39" i="53" s="1"/>
  <c r="BB37" i="53"/>
  <c r="DD37" i="53" s="1"/>
  <c r="BA37" i="53"/>
  <c r="DC37" i="53" s="1"/>
  <c r="AZ37" i="53"/>
  <c r="DB37" i="53" s="1"/>
  <c r="AY37" i="53"/>
  <c r="DA37" i="53" s="1"/>
  <c r="AX37" i="53"/>
  <c r="CZ37" i="53" s="1"/>
  <c r="AW37" i="53"/>
  <c r="CY37" i="53" s="1"/>
  <c r="BB36" i="53"/>
  <c r="DD36" i="53" s="1"/>
  <c r="BA36" i="53"/>
  <c r="DC36" i="53" s="1"/>
  <c r="AZ36" i="53"/>
  <c r="DB36" i="53" s="1"/>
  <c r="AY36" i="53"/>
  <c r="DA36" i="53" s="1"/>
  <c r="AX36" i="53"/>
  <c r="CZ36" i="53" s="1"/>
  <c r="AW36" i="53"/>
  <c r="CY36" i="53" s="1"/>
  <c r="BB35" i="53"/>
  <c r="DD35" i="53" s="1"/>
  <c r="BA35" i="53"/>
  <c r="DC35" i="53" s="1"/>
  <c r="AZ35" i="53"/>
  <c r="DB35" i="53" s="1"/>
  <c r="AY35" i="53"/>
  <c r="DA35" i="53" s="1"/>
  <c r="AX35" i="53"/>
  <c r="CZ35" i="53" s="1"/>
  <c r="AW35" i="53"/>
  <c r="CY35" i="53" s="1"/>
  <c r="BB34" i="53"/>
  <c r="DD34" i="53" s="1"/>
  <c r="BA34" i="53"/>
  <c r="DC34" i="53" s="1"/>
  <c r="AZ34" i="53"/>
  <c r="DB34" i="53" s="1"/>
  <c r="AY34" i="53"/>
  <c r="DA34" i="53" s="1"/>
  <c r="AX34" i="53"/>
  <c r="CZ34" i="53" s="1"/>
  <c r="AW34" i="53"/>
  <c r="CY34" i="53" s="1"/>
  <c r="BB33" i="53"/>
  <c r="DD33" i="53" s="1"/>
  <c r="BA33" i="53"/>
  <c r="DC33" i="53" s="1"/>
  <c r="AZ33" i="53"/>
  <c r="DB33" i="53" s="1"/>
  <c r="AY33" i="53"/>
  <c r="DA33" i="53" s="1"/>
  <c r="AX33" i="53"/>
  <c r="CZ33" i="53" s="1"/>
  <c r="AW33" i="53"/>
  <c r="CY33" i="53" s="1"/>
  <c r="BB32" i="53"/>
  <c r="DD32" i="53" s="1"/>
  <c r="BA32" i="53"/>
  <c r="DC32" i="53" s="1"/>
  <c r="AZ32" i="53"/>
  <c r="DB32" i="53" s="1"/>
  <c r="AY32" i="53"/>
  <c r="DA32" i="53" s="1"/>
  <c r="AX32" i="53"/>
  <c r="CZ32" i="53" s="1"/>
  <c r="AW32" i="53"/>
  <c r="CY32" i="53" s="1"/>
  <c r="BB31" i="53"/>
  <c r="DD31" i="53" s="1"/>
  <c r="BA31" i="53"/>
  <c r="DC31" i="53" s="1"/>
  <c r="AZ31" i="53"/>
  <c r="DB31" i="53" s="1"/>
  <c r="AY31" i="53"/>
  <c r="DA31" i="53" s="1"/>
  <c r="AX31" i="53"/>
  <c r="CZ31" i="53" s="1"/>
  <c r="AW31" i="53"/>
  <c r="CY31" i="53" s="1"/>
  <c r="BB30" i="53"/>
  <c r="DD30" i="53" s="1"/>
  <c r="BA30" i="53"/>
  <c r="DC30" i="53" s="1"/>
  <c r="AZ30" i="53"/>
  <c r="DB30" i="53" s="1"/>
  <c r="AY30" i="53"/>
  <c r="DA30" i="53" s="1"/>
  <c r="AX30" i="53"/>
  <c r="CZ30" i="53" s="1"/>
  <c r="AW30" i="53"/>
  <c r="CY30" i="53" s="1"/>
  <c r="BB27" i="53"/>
  <c r="DD27" i="53" s="1"/>
  <c r="BA27" i="53"/>
  <c r="DC27" i="53" s="1"/>
  <c r="AZ27" i="53"/>
  <c r="DB27" i="53" s="1"/>
  <c r="AY27" i="53"/>
  <c r="DA27" i="53" s="1"/>
  <c r="AX27" i="53"/>
  <c r="CZ27" i="53" s="1"/>
  <c r="AW27" i="53"/>
  <c r="CY27" i="53" s="1"/>
  <c r="BB26" i="53"/>
  <c r="DD26" i="53" s="1"/>
  <c r="BA26" i="53"/>
  <c r="DC26" i="53" s="1"/>
  <c r="AZ26" i="53"/>
  <c r="DB26" i="53" s="1"/>
  <c r="AY26" i="53"/>
  <c r="DA26" i="53" s="1"/>
  <c r="AX26" i="53"/>
  <c r="CZ26" i="53" s="1"/>
  <c r="AW26" i="53"/>
  <c r="CY26" i="53" s="1"/>
  <c r="BB23" i="53"/>
  <c r="DD23" i="53" s="1"/>
  <c r="BA23" i="53"/>
  <c r="DC23" i="53" s="1"/>
  <c r="AZ23" i="53"/>
  <c r="DB23" i="53" s="1"/>
  <c r="AY23" i="53"/>
  <c r="DA23" i="53" s="1"/>
  <c r="AX23" i="53"/>
  <c r="CZ23" i="53" s="1"/>
  <c r="AW23" i="53"/>
  <c r="CY23" i="53" s="1"/>
  <c r="BB22" i="53"/>
  <c r="DD22" i="53" s="1"/>
  <c r="BA22" i="53"/>
  <c r="DC22" i="53" s="1"/>
  <c r="AZ22" i="53"/>
  <c r="DB22" i="53" s="1"/>
  <c r="AY22" i="53"/>
  <c r="DA22" i="53" s="1"/>
  <c r="AX22" i="53"/>
  <c r="CZ22" i="53" s="1"/>
  <c r="AW22" i="53"/>
  <c r="CY22" i="53" s="1"/>
  <c r="BB20" i="53"/>
  <c r="DD20" i="53" s="1"/>
  <c r="BA20" i="53"/>
  <c r="DC20" i="53" s="1"/>
  <c r="AZ20" i="53"/>
  <c r="DB20" i="53" s="1"/>
  <c r="AY20" i="53"/>
  <c r="DA20" i="53" s="1"/>
  <c r="AX20" i="53"/>
  <c r="CZ20" i="53" s="1"/>
  <c r="AW20" i="53"/>
  <c r="CY20" i="53" s="1"/>
  <c r="BB19" i="53"/>
  <c r="DD19" i="53" s="1"/>
  <c r="BA19" i="53"/>
  <c r="DC19" i="53" s="1"/>
  <c r="AZ19" i="53"/>
  <c r="DB19" i="53" s="1"/>
  <c r="AY19" i="53"/>
  <c r="DA19" i="53" s="1"/>
  <c r="AX19" i="53"/>
  <c r="CZ19" i="53" s="1"/>
  <c r="AW19" i="53"/>
  <c r="CY19" i="53" s="1"/>
  <c r="BB16" i="53"/>
  <c r="DD16" i="53" s="1"/>
  <c r="BA16" i="53"/>
  <c r="DC16" i="53" s="1"/>
  <c r="AZ16" i="53"/>
  <c r="DB16" i="53" s="1"/>
  <c r="AY16" i="53"/>
  <c r="DA16" i="53" s="1"/>
  <c r="AX16" i="53"/>
  <c r="CZ16" i="53" s="1"/>
  <c r="AW16" i="53"/>
  <c r="CY16" i="53" s="1"/>
  <c r="BB15" i="53"/>
  <c r="DD15" i="53" s="1"/>
  <c r="BA15" i="53"/>
  <c r="DC15" i="53" s="1"/>
  <c r="AZ15" i="53"/>
  <c r="DB15" i="53" s="1"/>
  <c r="AY15" i="53"/>
  <c r="DA15" i="53" s="1"/>
  <c r="AX15" i="53"/>
  <c r="CZ15" i="53" s="1"/>
  <c r="AW15" i="53"/>
  <c r="CY15" i="53" s="1"/>
  <c r="BB14" i="53"/>
  <c r="DD14" i="53" s="1"/>
  <c r="BA14" i="53"/>
  <c r="DC14" i="53" s="1"/>
  <c r="AZ14" i="53"/>
  <c r="DB14" i="53" s="1"/>
  <c r="AY14" i="53"/>
  <c r="DA14" i="53" s="1"/>
  <c r="AX14" i="53"/>
  <c r="CZ14" i="53" s="1"/>
  <c r="AW14" i="53"/>
  <c r="CY14" i="53" s="1"/>
  <c r="BB13" i="53"/>
  <c r="DD13" i="53" s="1"/>
  <c r="BA13" i="53"/>
  <c r="DC13" i="53" s="1"/>
  <c r="AZ13" i="53"/>
  <c r="DB13" i="53" s="1"/>
  <c r="AY13" i="53"/>
  <c r="DA13" i="53" s="1"/>
  <c r="AX13" i="53"/>
  <c r="CZ13" i="53" s="1"/>
  <c r="AW13" i="53"/>
  <c r="CY13" i="53" s="1"/>
  <c r="CO42" i="60" l="1"/>
  <c r="CM42" i="60"/>
  <c r="CN42" i="60"/>
  <c r="CP42" i="60"/>
  <c r="CQ42" i="60"/>
  <c r="CJ42" i="60"/>
  <c r="E57" i="83"/>
  <c r="AD13" i="84"/>
  <c r="AD12" i="84" s="1"/>
  <c r="AE4" i="84"/>
  <c r="F35" i="83"/>
  <c r="E52" i="83"/>
  <c r="AD8" i="84"/>
  <c r="AD7" i="84" s="1"/>
  <c r="AD8" i="78"/>
  <c r="AD8" i="83"/>
  <c r="G6" i="78"/>
  <c r="G6" i="83"/>
  <c r="M91" i="85"/>
  <c r="M93" i="85" s="1"/>
  <c r="G4" i="83"/>
  <c r="AE4" i="78"/>
  <c r="AE4" i="83"/>
  <c r="AE8" i="78"/>
  <c r="AE8" i="83"/>
  <c r="CM66" i="60"/>
  <c r="CJ66" i="60"/>
  <c r="AM69" i="60"/>
  <c r="CN66" i="60"/>
  <c r="CQ66" i="60"/>
  <c r="CP66" i="60"/>
  <c r="CO66" i="60"/>
  <c r="AW55" i="60"/>
  <c r="BG55" i="60"/>
  <c r="AU48" i="60"/>
  <c r="CJ48" i="60"/>
  <c r="AW60" i="60"/>
  <c r="BG60" i="60"/>
  <c r="AV53" i="60"/>
  <c r="BS53" i="60"/>
  <c r="AW57" i="60"/>
  <c r="BG57" i="60"/>
  <c r="AV56" i="60"/>
  <c r="BA56" i="60"/>
  <c r="AV60" i="60"/>
  <c r="BA60" i="60"/>
  <c r="AW58" i="60"/>
  <c r="BG58" i="60"/>
  <c r="AV58" i="60"/>
  <c r="AU68" i="60"/>
  <c r="AU67" i="60"/>
  <c r="AV57" i="60"/>
  <c r="AU66" i="60"/>
  <c r="AV55" i="60"/>
  <c r="AU17" i="60"/>
  <c r="AU21" i="60"/>
  <c r="AU31" i="60"/>
  <c r="AU35" i="60"/>
  <c r="AU40" i="60"/>
  <c r="AV61" i="60"/>
  <c r="AU11" i="60"/>
  <c r="AU16" i="60"/>
  <c r="AU20" i="60"/>
  <c r="AU30" i="60"/>
  <c r="AU34" i="60"/>
  <c r="AU38" i="60"/>
  <c r="AU46" i="60"/>
  <c r="AW54" i="60"/>
  <c r="AV59" i="60"/>
  <c r="AW59" i="60"/>
  <c r="AU15" i="60"/>
  <c r="AU19" i="60"/>
  <c r="AU23" i="60"/>
  <c r="AU33" i="60"/>
  <c r="AU37" i="60"/>
  <c r="AU44" i="60"/>
  <c r="AV54" i="60"/>
  <c r="AW56" i="60"/>
  <c r="AW53" i="60"/>
  <c r="AW61" i="60"/>
  <c r="AU18" i="60"/>
  <c r="AU22" i="60"/>
  <c r="AU32" i="60"/>
  <c r="AU36" i="60"/>
  <c r="AU42" i="60"/>
  <c r="BD83" i="53"/>
  <c r="DF83" i="53" s="1"/>
  <c r="AW38" i="53"/>
  <c r="CY38" i="53" s="1"/>
  <c r="AX38" i="53"/>
  <c r="CZ38" i="53" s="1"/>
  <c r="BH83" i="53"/>
  <c r="J92" i="74"/>
  <c r="J95" i="74"/>
  <c r="J59" i="74"/>
  <c r="J62" i="74"/>
  <c r="J15" i="1"/>
  <c r="K57" i="74"/>
  <c r="AC7" i="79"/>
  <c r="J23" i="74"/>
  <c r="J26" i="74"/>
  <c r="BG12" i="53"/>
  <c r="DI12" i="53" s="1"/>
  <c r="BE38" i="53"/>
  <c r="DG38" i="53" s="1"/>
  <c r="BC38" i="53"/>
  <c r="DE38" i="53" s="1"/>
  <c r="BG38" i="53"/>
  <c r="DI38" i="53" s="1"/>
  <c r="BC70" i="53"/>
  <c r="DE70" i="53" s="1"/>
  <c r="BG70" i="53"/>
  <c r="DI70" i="53" s="1"/>
  <c r="BE83" i="53"/>
  <c r="BC83" i="53"/>
  <c r="BG83" i="53"/>
  <c r="AX83" i="53"/>
  <c r="BB83" i="53"/>
  <c r="BF38" i="53"/>
  <c r="DH38" i="53" s="1"/>
  <c r="BD38" i="53"/>
  <c r="DF38" i="53" s="1"/>
  <c r="BH38" i="53"/>
  <c r="DJ38" i="53" s="1"/>
  <c r="BD70" i="53"/>
  <c r="DF70" i="53" s="1"/>
  <c r="BH70" i="53"/>
  <c r="DJ70" i="53" s="1"/>
  <c r="BF83" i="53"/>
  <c r="AW51" i="53"/>
  <c r="CY51" i="53" s="1"/>
  <c r="AM55" i="60"/>
  <c r="CJ55" i="60" s="1"/>
  <c r="AM59" i="60"/>
  <c r="CJ59" i="60" s="1"/>
  <c r="AD13" i="79"/>
  <c r="AD12" i="79" s="1"/>
  <c r="E57" i="78"/>
  <c r="R9" i="2"/>
  <c r="AD4" i="78"/>
  <c r="R22" i="2"/>
  <c r="AD17" i="78"/>
  <c r="BA51" i="53"/>
  <c r="DC51" i="53" s="1"/>
  <c r="BF70" i="53"/>
  <c r="DH70" i="53" s="1"/>
  <c r="AD8" i="79"/>
  <c r="AD7" i="79" s="1"/>
  <c r="E52" i="78"/>
  <c r="AX51" i="53"/>
  <c r="CZ51" i="53" s="1"/>
  <c r="BB51" i="53"/>
  <c r="DD51" i="53" s="1"/>
  <c r="G4" i="78"/>
  <c r="M91" i="67"/>
  <c r="M93" i="67" s="1"/>
  <c r="AE14" i="78"/>
  <c r="S19" i="2"/>
  <c r="E21" i="39"/>
  <c r="AD4" i="79"/>
  <c r="E35" i="78"/>
  <c r="S9" i="2"/>
  <c r="BF51" i="53"/>
  <c r="DH51" i="53" s="1"/>
  <c r="I19" i="2"/>
  <c r="AF14" i="83" s="1"/>
  <c r="J125" i="74"/>
  <c r="I14" i="1"/>
  <c r="I22" i="2" s="1"/>
  <c r="J127" i="74"/>
  <c r="J126" i="74"/>
  <c r="J10" i="1"/>
  <c r="K124" i="74"/>
  <c r="K125" i="74"/>
  <c r="I13" i="2"/>
  <c r="I9" i="2"/>
  <c r="AF4" i="83" s="1"/>
  <c r="AY70" i="53"/>
  <c r="DA70" i="53" s="1"/>
  <c r="BE70" i="53"/>
  <c r="DG70" i="53" s="1"/>
  <c r="AZ70" i="53"/>
  <c r="DB70" i="53" s="1"/>
  <c r="AW70" i="53"/>
  <c r="CY70" i="53" s="1"/>
  <c r="BA70" i="53"/>
  <c r="DC70" i="53" s="1"/>
  <c r="AX70" i="53"/>
  <c r="CZ70" i="53" s="1"/>
  <c r="BB70" i="53"/>
  <c r="DD70" i="53" s="1"/>
  <c r="AY38" i="53"/>
  <c r="DA38" i="53" s="1"/>
  <c r="BA38" i="53"/>
  <c r="DC38" i="53" s="1"/>
  <c r="BB38" i="53"/>
  <c r="DD38" i="53" s="1"/>
  <c r="AY51" i="53"/>
  <c r="DA51" i="53" s="1"/>
  <c r="AZ51" i="53"/>
  <c r="DB51" i="53" s="1"/>
  <c r="AM53" i="60"/>
  <c r="CJ53" i="60" s="1"/>
  <c r="I111" i="74"/>
  <c r="I114" i="74"/>
  <c r="H22" i="2"/>
  <c r="AE17" i="83" s="1"/>
  <c r="G55" i="65"/>
  <c r="I115" i="74"/>
  <c r="I112" i="74"/>
  <c r="G22" i="65"/>
  <c r="I110" i="74"/>
  <c r="I113" i="74"/>
  <c r="G50" i="65"/>
  <c r="AW12" i="53"/>
  <c r="CY12" i="53" s="1"/>
  <c r="BA12" i="53"/>
  <c r="DC12" i="53" s="1"/>
  <c r="BC12" i="53"/>
  <c r="DE12" i="53" s="1"/>
  <c r="AM54" i="60"/>
  <c r="CJ54" i="60" s="1"/>
  <c r="AM58" i="60"/>
  <c r="CJ58" i="60" s="1"/>
  <c r="AM60" i="60"/>
  <c r="CJ60" i="60" s="1"/>
  <c r="BD12" i="53"/>
  <c r="DF12" i="53" s="1"/>
  <c r="AM56" i="60"/>
  <c r="CJ56" i="60" s="1"/>
  <c r="AX12" i="53"/>
  <c r="CZ12" i="53" s="1"/>
  <c r="BF25" i="53"/>
  <c r="DH25" i="53" s="1"/>
  <c r="AM57" i="60"/>
  <c r="CJ57" i="60" s="1"/>
  <c r="AM61" i="60"/>
  <c r="CJ61" i="60" s="1"/>
  <c r="K58" i="74"/>
  <c r="K62" i="74" s="1"/>
  <c r="J71" i="74"/>
  <c r="J74" i="74" s="1"/>
  <c r="BB12" i="53"/>
  <c r="DD12" i="53" s="1"/>
  <c r="AZ25" i="53"/>
  <c r="DB25" i="53" s="1"/>
  <c r="AZ38" i="53"/>
  <c r="DB38" i="53" s="1"/>
  <c r="AM14" i="60"/>
  <c r="AP58" i="60"/>
  <c r="CM58" i="60" s="1"/>
  <c r="J12" i="1"/>
  <c r="H6" i="83" s="1"/>
  <c r="I16" i="1"/>
  <c r="AP53" i="60"/>
  <c r="CM53" i="60" s="1"/>
  <c r="J104" i="74"/>
  <c r="J107" i="74" s="1"/>
  <c r="K91" i="74"/>
  <c r="K22" i="74"/>
  <c r="J35" i="74"/>
  <c r="J39" i="74" s="1"/>
  <c r="H20" i="65" s="1"/>
  <c r="K90" i="74"/>
  <c r="AY25" i="53"/>
  <c r="DA25" i="53" s="1"/>
  <c r="AW25" i="53"/>
  <c r="CY25" i="53" s="1"/>
  <c r="BA25" i="53"/>
  <c r="DC25" i="53" s="1"/>
  <c r="AW83" i="53"/>
  <c r="BA83" i="53"/>
  <c r="AY83" i="53"/>
  <c r="BE25" i="53"/>
  <c r="DG25" i="53" s="1"/>
  <c r="BC25" i="53"/>
  <c r="DE25" i="53" s="1"/>
  <c r="BG25" i="53"/>
  <c r="DI25" i="53" s="1"/>
  <c r="AZ12" i="53"/>
  <c r="DB12" i="53" s="1"/>
  <c r="BD51" i="53"/>
  <c r="DF51" i="53" s="1"/>
  <c r="BH51" i="53"/>
  <c r="DJ51" i="53" s="1"/>
  <c r="AX25" i="53"/>
  <c r="CZ25" i="53" s="1"/>
  <c r="BB25" i="53"/>
  <c r="DD25" i="53" s="1"/>
  <c r="AZ83" i="53"/>
  <c r="BH12" i="53"/>
  <c r="DJ12" i="53" s="1"/>
  <c r="BD25" i="53"/>
  <c r="DF25" i="53" s="1"/>
  <c r="BH25" i="53"/>
  <c r="DJ25" i="53" s="1"/>
  <c r="AY12" i="53"/>
  <c r="DA12" i="53" s="1"/>
  <c r="BE12" i="53"/>
  <c r="DG12" i="53" s="1"/>
  <c r="BE51" i="53"/>
  <c r="DG51" i="53" s="1"/>
  <c r="BC51" i="53"/>
  <c r="DE51" i="53" s="1"/>
  <c r="BG51" i="53"/>
  <c r="DI51" i="53" s="1"/>
  <c r="BD76" i="53"/>
  <c r="DF76" i="53" s="1"/>
  <c r="BF12" i="53"/>
  <c r="DH12" i="53" s="1"/>
  <c r="M28" i="73"/>
  <c r="L28" i="73"/>
  <c r="BL28" i="73" s="1"/>
  <c r="K28" i="73"/>
  <c r="J28" i="73"/>
  <c r="BK28" i="73" s="1"/>
  <c r="I28" i="73"/>
  <c r="H28" i="73"/>
  <c r="BJ28" i="73" s="1"/>
  <c r="G28" i="73"/>
  <c r="F28" i="73"/>
  <c r="BI28" i="73" s="1"/>
  <c r="M27" i="73"/>
  <c r="L27" i="73"/>
  <c r="BL27" i="73" s="1"/>
  <c r="K27" i="73"/>
  <c r="J27" i="73"/>
  <c r="BK27" i="73" s="1"/>
  <c r="I27" i="73"/>
  <c r="H27" i="73"/>
  <c r="BJ27" i="73" s="1"/>
  <c r="G27" i="73"/>
  <c r="F27" i="73"/>
  <c r="BI27" i="73" s="1"/>
  <c r="M26" i="73"/>
  <c r="L26" i="73"/>
  <c r="BL26" i="73" s="1"/>
  <c r="K26" i="73"/>
  <c r="J26" i="73"/>
  <c r="BK26" i="73" s="1"/>
  <c r="I26" i="73"/>
  <c r="H26" i="73"/>
  <c r="BJ26" i="73" s="1"/>
  <c r="G26" i="73"/>
  <c r="F26" i="73"/>
  <c r="BI26" i="73" s="1"/>
  <c r="M23" i="73"/>
  <c r="L23" i="73"/>
  <c r="BL23" i="73" s="1"/>
  <c r="K23" i="73"/>
  <c r="J23" i="73"/>
  <c r="BK23" i="73" s="1"/>
  <c r="I23" i="73"/>
  <c r="H23" i="73"/>
  <c r="BJ23" i="73" s="1"/>
  <c r="G23" i="73"/>
  <c r="F23" i="73"/>
  <c r="BI23" i="73" s="1"/>
  <c r="M22" i="73"/>
  <c r="L22" i="73"/>
  <c r="BL22" i="73" s="1"/>
  <c r="K22" i="73"/>
  <c r="J22" i="73"/>
  <c r="BK22" i="73" s="1"/>
  <c r="I22" i="73"/>
  <c r="H22" i="73"/>
  <c r="BJ22" i="73" s="1"/>
  <c r="G22" i="73"/>
  <c r="F22" i="73"/>
  <c r="BI22" i="73" s="1"/>
  <c r="M20" i="73"/>
  <c r="L20" i="73"/>
  <c r="BL20" i="73" s="1"/>
  <c r="K20" i="73"/>
  <c r="J20" i="73"/>
  <c r="BK20" i="73" s="1"/>
  <c r="I20" i="73"/>
  <c r="H20" i="73"/>
  <c r="BJ20" i="73" s="1"/>
  <c r="G20" i="73"/>
  <c r="F20" i="73"/>
  <c r="BI20" i="73" s="1"/>
  <c r="M19" i="73"/>
  <c r="L19" i="73"/>
  <c r="BL19" i="73" s="1"/>
  <c r="K19" i="73"/>
  <c r="J19" i="73"/>
  <c r="BK19" i="73" s="1"/>
  <c r="I19" i="73"/>
  <c r="H19" i="73"/>
  <c r="BJ19" i="73" s="1"/>
  <c r="G19" i="73"/>
  <c r="F19" i="73"/>
  <c r="BI19" i="73" s="1"/>
  <c r="M16" i="73"/>
  <c r="L16" i="73"/>
  <c r="BL16" i="73" s="1"/>
  <c r="K16" i="73"/>
  <c r="J16" i="73"/>
  <c r="BK16" i="73" s="1"/>
  <c r="I16" i="73"/>
  <c r="H16" i="73"/>
  <c r="BJ16" i="73" s="1"/>
  <c r="G16" i="73"/>
  <c r="F16" i="73"/>
  <c r="BI16" i="73" s="1"/>
  <c r="M15" i="73"/>
  <c r="L15" i="73"/>
  <c r="BL15" i="73" s="1"/>
  <c r="K15" i="73"/>
  <c r="J15" i="73"/>
  <c r="BK15" i="73" s="1"/>
  <c r="I15" i="73"/>
  <c r="H15" i="73"/>
  <c r="BJ15" i="73" s="1"/>
  <c r="G15" i="73"/>
  <c r="F15" i="73"/>
  <c r="BI15" i="73" s="1"/>
  <c r="M14" i="73"/>
  <c r="L14" i="73"/>
  <c r="BL14" i="73" s="1"/>
  <c r="K14" i="73"/>
  <c r="J14" i="73"/>
  <c r="BK14" i="73" s="1"/>
  <c r="I14" i="73"/>
  <c r="H14" i="73"/>
  <c r="BJ14" i="73" s="1"/>
  <c r="G14" i="73"/>
  <c r="F14" i="73"/>
  <c r="BI14" i="73" s="1"/>
  <c r="M13" i="73"/>
  <c r="L13" i="73"/>
  <c r="BL13" i="73" s="1"/>
  <c r="K13" i="73"/>
  <c r="J13" i="73"/>
  <c r="BK13" i="73" s="1"/>
  <c r="I13" i="73"/>
  <c r="H13" i="73"/>
  <c r="BJ13" i="73" s="1"/>
  <c r="G13" i="73"/>
  <c r="F13" i="73"/>
  <c r="BI13" i="73" s="1"/>
  <c r="E22" i="73"/>
  <c r="E28" i="73"/>
  <c r="D28" i="73"/>
  <c r="BH28" i="73" s="1"/>
  <c r="E27" i="73"/>
  <c r="D27" i="73"/>
  <c r="BH27" i="73" s="1"/>
  <c r="E26" i="73"/>
  <c r="D26" i="73"/>
  <c r="BH26" i="73" s="1"/>
  <c r="E23" i="73"/>
  <c r="D23" i="73"/>
  <c r="BH23" i="73" s="1"/>
  <c r="D22" i="73"/>
  <c r="BH22" i="73" s="1"/>
  <c r="E20" i="73"/>
  <c r="D20" i="73"/>
  <c r="BH20" i="73" s="1"/>
  <c r="E19" i="73"/>
  <c r="D19" i="73"/>
  <c r="BH19" i="73" s="1"/>
  <c r="E16" i="73"/>
  <c r="D16" i="73"/>
  <c r="BH16" i="73" s="1"/>
  <c r="E15" i="73"/>
  <c r="D15" i="73"/>
  <c r="BH15" i="73" s="1"/>
  <c r="E14" i="73"/>
  <c r="D14" i="73"/>
  <c r="BH14" i="73" s="1"/>
  <c r="E13" i="73"/>
  <c r="D13" i="73"/>
  <c r="BH13" i="73" s="1"/>
  <c r="AH9" i="73"/>
  <c r="AH98" i="73" s="1"/>
  <c r="AV9" i="73"/>
  <c r="AK9" i="73"/>
  <c r="Z9" i="73"/>
  <c r="Z98" i="73" s="1"/>
  <c r="BD9" i="73"/>
  <c r="BB9" i="73"/>
  <c r="AZ9" i="73"/>
  <c r="AX9" i="73"/>
  <c r="AS9" i="73"/>
  <c r="AQ9" i="73"/>
  <c r="AO9" i="73"/>
  <c r="AM9" i="73"/>
  <c r="AG9" i="73"/>
  <c r="AF9" i="73"/>
  <c r="AF98" i="73" s="1"/>
  <c r="AD9" i="73"/>
  <c r="AD98" i="73" s="1"/>
  <c r="AB9" i="73"/>
  <c r="AB98" i="73" s="1"/>
  <c r="Q9" i="73"/>
  <c r="Q98" i="73" s="1"/>
  <c r="S9" i="73"/>
  <c r="S98" i="73" s="1"/>
  <c r="U9" i="73"/>
  <c r="U98" i="73" s="1"/>
  <c r="W9" i="73"/>
  <c r="W98" i="73" s="1"/>
  <c r="O9" i="73"/>
  <c r="O98" i="73" s="1"/>
  <c r="D9" i="73"/>
  <c r="BH9" i="73" s="1"/>
  <c r="C104" i="53"/>
  <c r="K105" i="53"/>
  <c r="L105" i="53"/>
  <c r="M105" i="53"/>
  <c r="N105" i="53"/>
  <c r="O105" i="53"/>
  <c r="P105" i="53"/>
  <c r="S108" i="53"/>
  <c r="T108" i="53"/>
  <c r="U108" i="53"/>
  <c r="V108" i="53"/>
  <c r="W108" i="53"/>
  <c r="X108" i="53"/>
  <c r="AF4" i="84" l="1"/>
  <c r="G35" i="83"/>
  <c r="AE13" i="84"/>
  <c r="AE12" i="84" s="1"/>
  <c r="F57" i="83"/>
  <c r="AF17" i="78"/>
  <c r="AF17" i="83"/>
  <c r="AE8" i="84"/>
  <c r="AE7" i="84" s="1"/>
  <c r="F52" i="83"/>
  <c r="AF8" i="78"/>
  <c r="AF8" i="83"/>
  <c r="N91" i="85"/>
  <c r="N93" i="85" s="1"/>
  <c r="H4" i="83"/>
  <c r="O91" i="85"/>
  <c r="O93" i="85" s="1"/>
  <c r="AZ76" i="53"/>
  <c r="DB76" i="53" s="1"/>
  <c r="DB83" i="53"/>
  <c r="AY76" i="53"/>
  <c r="DA76" i="53" s="1"/>
  <c r="DA83" i="53"/>
  <c r="BB76" i="53"/>
  <c r="DD76" i="53" s="1"/>
  <c r="DD83" i="53"/>
  <c r="BA76" i="53"/>
  <c r="DC76" i="53" s="1"/>
  <c r="DC83" i="53"/>
  <c r="AX76" i="53"/>
  <c r="CZ76" i="53" s="1"/>
  <c r="CZ83" i="53"/>
  <c r="AW76" i="53"/>
  <c r="CY76" i="53" s="1"/>
  <c r="CY83" i="53"/>
  <c r="BF76" i="53"/>
  <c r="DH76" i="53" s="1"/>
  <c r="DH83" i="53"/>
  <c r="BG76" i="53"/>
  <c r="DI76" i="53" s="1"/>
  <c r="DI83" i="53"/>
  <c r="BC76" i="53"/>
  <c r="DE76" i="53" s="1"/>
  <c r="DE83" i="53"/>
  <c r="BE76" i="53"/>
  <c r="DG76" i="53" s="1"/>
  <c r="DG83" i="53"/>
  <c r="BH76" i="53"/>
  <c r="DJ76" i="53" s="1"/>
  <c r="DJ83" i="53"/>
  <c r="AU53" i="60"/>
  <c r="AU58" i="60"/>
  <c r="D98" i="73"/>
  <c r="K92" i="74"/>
  <c r="K95" i="74"/>
  <c r="K23" i="74"/>
  <c r="K26" i="74"/>
  <c r="AE4" i="79"/>
  <c r="F35" i="78"/>
  <c r="T22" i="2"/>
  <c r="AE17" i="78"/>
  <c r="T9" i="2"/>
  <c r="AF4" i="78"/>
  <c r="N91" i="67"/>
  <c r="H4" i="78"/>
  <c r="AE8" i="79"/>
  <c r="AE7" i="79" s="1"/>
  <c r="F52" i="78"/>
  <c r="AF14" i="78"/>
  <c r="T19" i="2"/>
  <c r="J19" i="2"/>
  <c r="AG14" i="83" s="1"/>
  <c r="H6" i="78"/>
  <c r="AE13" i="79"/>
  <c r="AE12" i="79" s="1"/>
  <c r="F57" i="78"/>
  <c r="K71" i="74"/>
  <c r="K74" i="74" s="1"/>
  <c r="K59" i="74"/>
  <c r="J14" i="1"/>
  <c r="J22" i="2" s="1"/>
  <c r="K127" i="74"/>
  <c r="K126" i="74"/>
  <c r="J13" i="2"/>
  <c r="J9" i="2"/>
  <c r="AG4" i="83" s="1"/>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G17" i="78" l="1"/>
  <c r="AG17" i="83"/>
  <c r="AG4" i="84"/>
  <c r="H35" i="83"/>
  <c r="AF8" i="84"/>
  <c r="AF7" i="84" s="1"/>
  <c r="G52" i="83"/>
  <c r="AF13" i="84"/>
  <c r="AF12" i="84" s="1"/>
  <c r="G57" i="83"/>
  <c r="AG8" i="78"/>
  <c r="AG8" i="83"/>
  <c r="F98" i="73"/>
  <c r="BI9" i="73"/>
  <c r="H98" i="73"/>
  <c r="BJ9" i="73"/>
  <c r="J98" i="73"/>
  <c r="BK9" i="73"/>
  <c r="L98" i="73"/>
  <c r="BL9" i="73"/>
  <c r="C112" i="73"/>
  <c r="AF13" i="79"/>
  <c r="AF12" i="79" s="1"/>
  <c r="G57" i="78"/>
  <c r="U9" i="2"/>
  <c r="AG4" i="78"/>
  <c r="N93" i="67"/>
  <c r="O91" i="67"/>
  <c r="O93" i="67" s="1"/>
  <c r="AF4" i="79"/>
  <c r="G35" i="78"/>
  <c r="AF8" i="79"/>
  <c r="AF7" i="79" s="1"/>
  <c r="G52" i="78"/>
  <c r="AG14" i="78"/>
  <c r="U19" i="2"/>
  <c r="V19" i="2"/>
  <c r="V9" i="2"/>
  <c r="K114" i="74"/>
  <c r="K111" i="74"/>
  <c r="I55" i="65"/>
  <c r="K112" i="74"/>
  <c r="K115" i="74"/>
  <c r="I22" i="65"/>
  <c r="K113" i="74"/>
  <c r="K110" i="74"/>
  <c r="V22" i="2"/>
  <c r="U22" i="2"/>
  <c r="I50" i="65"/>
  <c r="AG13" i="84" l="1"/>
  <c r="AG12" i="84" s="1"/>
  <c r="H57" i="83"/>
  <c r="AG8" i="84"/>
  <c r="AG7" i="84" s="1"/>
  <c r="H52" i="83"/>
  <c r="AG4" i="79"/>
  <c r="H35" i="78"/>
  <c r="AG8" i="79"/>
  <c r="AG7" i="79" s="1"/>
  <c r="H52" i="78"/>
  <c r="AG13" i="79"/>
  <c r="AG12" i="79" s="1"/>
  <c r="H57" i="78"/>
  <c r="I81" i="39"/>
  <c r="R15" i="78" l="1"/>
  <c r="V81" i="39"/>
  <c r="R15" i="83" s="1"/>
  <c r="I92" i="39"/>
  <c r="V92" i="39" s="1"/>
  <c r="D102" i="39"/>
  <c r="E102" i="39"/>
  <c r="F102" i="39"/>
  <c r="G102" i="39"/>
  <c r="H102" i="39"/>
  <c r="C102" i="39"/>
  <c r="AV90" i="53" l="1"/>
  <c r="CX90" i="53" s="1"/>
  <c r="AU90" i="53"/>
  <c r="CW90" i="53" s="1"/>
  <c r="AT90" i="53"/>
  <c r="CV90" i="53" s="1"/>
  <c r="AS90" i="53"/>
  <c r="CU90" i="53" s="1"/>
  <c r="AR90" i="53"/>
  <c r="CT90" i="53" s="1"/>
  <c r="AQ90" i="53"/>
  <c r="CS90" i="53" s="1"/>
  <c r="AQ17" i="53" l="1"/>
  <c r="CS17" i="53" s="1"/>
  <c r="G35" i="48" l="1"/>
  <c r="N35" i="48" s="1"/>
  <c r="F35" i="48"/>
  <c r="M35" i="48" s="1"/>
  <c r="E35" i="48"/>
  <c r="L35" i="48" s="1"/>
  <c r="D35" i="48"/>
  <c r="K35" i="48" s="1"/>
  <c r="C35" i="48"/>
  <c r="J35" i="48" s="1"/>
  <c r="B35" i="48"/>
  <c r="B34" i="48" l="1"/>
  <c r="I34" i="48" s="1"/>
  <c r="I35" i="48"/>
  <c r="Y24" i="73"/>
  <c r="BS24" i="73" s="1"/>
  <c r="AN64" i="53"/>
  <c r="CQ64" i="53" s="1"/>
  <c r="AM64" i="53"/>
  <c r="CP64" i="53" s="1"/>
  <c r="AL64" i="53"/>
  <c r="CO64" i="53" s="1"/>
  <c r="AK64" i="53"/>
  <c r="CN64" i="53" s="1"/>
  <c r="AJ64" i="53"/>
  <c r="CM64" i="53" s="1"/>
  <c r="AF64" i="53"/>
  <c r="CJ64" i="53" s="1"/>
  <c r="AE64" i="53"/>
  <c r="CI64" i="53" s="1"/>
  <c r="AD64" i="53"/>
  <c r="CH64" i="53" s="1"/>
  <c r="AC64" i="53"/>
  <c r="CG64" i="53" s="1"/>
  <c r="AB64" i="53"/>
  <c r="CF64" i="53" s="1"/>
  <c r="AA64" i="53"/>
  <c r="CE64" i="53" s="1"/>
  <c r="X64" i="53"/>
  <c r="CC64" i="53" s="1"/>
  <c r="W64" i="53"/>
  <c r="CB64" i="53" s="1"/>
  <c r="V64" i="53"/>
  <c r="CA64" i="53" s="1"/>
  <c r="U64" i="53"/>
  <c r="BZ64" i="53" s="1"/>
  <c r="T64" i="53"/>
  <c r="BY64" i="53" s="1"/>
  <c r="S64" i="53"/>
  <c r="BX64" i="53" s="1"/>
  <c r="O64" i="53"/>
  <c r="BU64" i="53" s="1"/>
  <c r="N64" i="53"/>
  <c r="BT64" i="53" s="1"/>
  <c r="M64" i="53"/>
  <c r="BS64" i="53" s="1"/>
  <c r="L64" i="53"/>
  <c r="BR64" i="53" s="1"/>
  <c r="K64" i="53"/>
  <c r="BQ64" i="53" s="1"/>
  <c r="H64" i="53"/>
  <c r="BO64" i="53" s="1"/>
  <c r="AH64" i="53" l="1"/>
  <c r="AG64" i="53"/>
  <c r="CK64" i="53" s="1"/>
  <c r="R64" i="53"/>
  <c r="Q64" i="53"/>
  <c r="BW64" i="53" s="1"/>
  <c r="Z64" i="53"/>
  <c r="Y64" i="53"/>
  <c r="CD64" i="53" s="1"/>
  <c r="Y64" i="73"/>
  <c r="BS64" i="73" s="1"/>
  <c r="AJ64" i="73"/>
  <c r="BY64" i="73" s="1"/>
  <c r="N64" i="73"/>
  <c r="BM64" i="73" s="1"/>
  <c r="AI64" i="53"/>
  <c r="AG64" i="73"/>
  <c r="AF64" i="73"/>
  <c r="BW64" i="73" s="1"/>
  <c r="AA64" i="73"/>
  <c r="Z64" i="73"/>
  <c r="BT64" i="73" s="1"/>
  <c r="AT64" i="73"/>
  <c r="AS64" i="73"/>
  <c r="CD64" i="73" s="1"/>
  <c r="Q64" i="73"/>
  <c r="BO64" i="73" s="1"/>
  <c r="R64" i="73"/>
  <c r="AC64" i="73"/>
  <c r="AB64" i="73"/>
  <c r="BU64" i="73" s="1"/>
  <c r="AN64" i="73"/>
  <c r="AM64" i="73"/>
  <c r="CA64" i="73" s="1"/>
  <c r="AG24" i="73"/>
  <c r="AF24" i="73"/>
  <c r="BW24" i="73" s="1"/>
  <c r="U64" i="73"/>
  <c r="BQ64" i="73" s="1"/>
  <c r="V64" i="73"/>
  <c r="AQ64" i="73"/>
  <c r="CC64" i="73" s="1"/>
  <c r="AR64" i="73"/>
  <c r="AC24" i="73"/>
  <c r="AB24" i="73"/>
  <c r="BU24" i="73" s="1"/>
  <c r="P64" i="73"/>
  <c r="O64" i="73"/>
  <c r="BN64" i="73" s="1"/>
  <c r="AH64" i="73"/>
  <c r="BX64" i="73" s="1"/>
  <c r="AI64" i="73"/>
  <c r="AL64" i="73"/>
  <c r="AK64" i="73"/>
  <c r="BZ64" i="73" s="1"/>
  <c r="AD24" i="73"/>
  <c r="BV24" i="73" s="1"/>
  <c r="AE24" i="73"/>
  <c r="T64" i="73"/>
  <c r="S64" i="73"/>
  <c r="BP64" i="73" s="1"/>
  <c r="AD64" i="73"/>
  <c r="BV64" i="73" s="1"/>
  <c r="AE64" i="73"/>
  <c r="AP64" i="73"/>
  <c r="AO64" i="73"/>
  <c r="CB64" i="73" s="1"/>
  <c r="AA24" i="73"/>
  <c r="Z24" i="73"/>
  <c r="BT24" i="73" s="1"/>
  <c r="AH24" i="73"/>
  <c r="BX24" i="73" s="1"/>
  <c r="AI24" i="73"/>
  <c r="AM39" i="60"/>
  <c r="CJ39" i="60" s="1"/>
  <c r="AQ43" i="60"/>
  <c r="CN43" i="60" s="1"/>
  <c r="E64" i="53"/>
  <c r="BL64" i="53" s="1"/>
  <c r="AM43" i="60"/>
  <c r="CJ43" i="60" s="1"/>
  <c r="C64" i="53"/>
  <c r="BJ64" i="53" s="1"/>
  <c r="AS43" i="60"/>
  <c r="CP43" i="60" s="1"/>
  <c r="G64" i="53"/>
  <c r="BN64" i="53" s="1"/>
  <c r="AR39" i="60"/>
  <c r="CO39" i="60" s="1"/>
  <c r="AP43" i="60"/>
  <c r="CM43" i="60" s="1"/>
  <c r="D64" i="53"/>
  <c r="BK64" i="53" s="1"/>
  <c r="P64" i="53"/>
  <c r="BV64" i="53" s="1"/>
  <c r="AS39" i="60"/>
  <c r="CP39" i="60" s="1"/>
  <c r="AR43" i="60"/>
  <c r="CO43" i="60" s="1"/>
  <c r="F64" i="53"/>
  <c r="BM64" i="53" s="1"/>
  <c r="AT43" i="60"/>
  <c r="CQ43" i="60" s="1"/>
  <c r="AQ39" i="60"/>
  <c r="CN39" i="60" s="1"/>
  <c r="AP39" i="60"/>
  <c r="AT39" i="60"/>
  <c r="CQ39" i="60" s="1"/>
  <c r="BH64" i="53"/>
  <c r="DJ64" i="53" s="1"/>
  <c r="AV64" i="73" l="1"/>
  <c r="CF64" i="73" s="1"/>
  <c r="CL64" i="53"/>
  <c r="AU39" i="60"/>
  <c r="CM39" i="60"/>
  <c r="AP64" i="53"/>
  <c r="AO64" i="53"/>
  <c r="CR64" i="53" s="1"/>
  <c r="AU43" i="60"/>
  <c r="J64" i="53"/>
  <c r="I64" i="53"/>
  <c r="BP64" i="53" s="1"/>
  <c r="AU64" i="73"/>
  <c r="CE64" i="73" s="1"/>
  <c r="C64" i="73"/>
  <c r="BG64" i="73" s="1"/>
  <c r="BD64" i="73"/>
  <c r="CJ64" i="73" s="1"/>
  <c r="AZ64" i="73"/>
  <c r="CH64" i="73" s="1"/>
  <c r="AY64" i="73"/>
  <c r="BC64" i="73"/>
  <c r="AW64" i="73"/>
  <c r="AX64" i="73"/>
  <c r="CG64" i="73" s="1"/>
  <c r="BE64" i="73"/>
  <c r="BA64" i="73"/>
  <c r="BB64" i="73"/>
  <c r="CI64" i="73" s="1"/>
  <c r="BF64" i="53"/>
  <c r="DH64" i="53" s="1"/>
  <c r="I64" i="73"/>
  <c r="H64" i="73"/>
  <c r="BJ64" i="73" s="1"/>
  <c r="X64" i="73"/>
  <c r="W64" i="73"/>
  <c r="BR64" i="73" s="1"/>
  <c r="L64" i="73"/>
  <c r="BL64" i="73" s="1"/>
  <c r="BD64" i="53"/>
  <c r="DF64" i="53" s="1"/>
  <c r="E64" i="73"/>
  <c r="D64" i="73"/>
  <c r="BH64" i="73" s="1"/>
  <c r="BG64" i="53"/>
  <c r="DI64" i="53" s="1"/>
  <c r="K64" i="73"/>
  <c r="J64" i="73"/>
  <c r="BK64" i="73" s="1"/>
  <c r="BE64" i="53"/>
  <c r="DG64" i="53" s="1"/>
  <c r="G64" i="73"/>
  <c r="F64" i="73"/>
  <c r="BI64" i="73" s="1"/>
  <c r="M64" i="73"/>
  <c r="BB64" i="53"/>
  <c r="DD64" i="53" s="1"/>
  <c r="AW64" i="53"/>
  <c r="CY64" i="53" s="1"/>
  <c r="AX64" i="53"/>
  <c r="CZ64" i="53" s="1"/>
  <c r="BC64" i="53"/>
  <c r="DE64" i="53" s="1"/>
  <c r="AY64" i="53"/>
  <c r="DA64" i="53" s="1"/>
  <c r="BA64" i="53"/>
  <c r="DC64" i="53" s="1"/>
  <c r="AZ64" i="53"/>
  <c r="DB64" i="53" s="1"/>
  <c r="AH213" i="50" l="1"/>
  <c r="AA213" i="50"/>
  <c r="T213" i="50"/>
  <c r="M213" i="50"/>
  <c r="F213" i="50"/>
  <c r="AH212" i="50"/>
  <c r="AA212" i="50"/>
  <c r="T212" i="50"/>
  <c r="M212" i="50"/>
  <c r="AH211" i="50"/>
  <c r="AA211" i="50"/>
  <c r="T211" i="50"/>
  <c r="M211" i="50"/>
  <c r="AH210" i="50"/>
  <c r="AA210" i="50"/>
  <c r="M210" i="50"/>
  <c r="F210" i="50"/>
  <c r="AH209" i="50"/>
  <c r="AA209" i="50"/>
  <c r="T209" i="50"/>
  <c r="F209" i="50"/>
  <c r="AH208" i="50"/>
  <c r="AA208" i="50"/>
  <c r="T208" i="50"/>
  <c r="M208" i="50"/>
  <c r="AH207" i="50"/>
  <c r="AA207" i="50"/>
  <c r="T207" i="50"/>
  <c r="M207" i="50"/>
  <c r="AH206" i="50"/>
  <c r="AA206" i="50"/>
  <c r="T206" i="50"/>
  <c r="M206" i="50"/>
  <c r="F206" i="50"/>
  <c r="AH205" i="50"/>
  <c r="AA205" i="50"/>
  <c r="T205" i="50"/>
  <c r="M205" i="50"/>
  <c r="AH204" i="50"/>
  <c r="AA204" i="50"/>
  <c r="T204" i="50"/>
  <c r="M204" i="50"/>
  <c r="F204" i="50"/>
  <c r="AH203" i="50"/>
  <c r="AA203" i="50"/>
  <c r="T203" i="50"/>
  <c r="M203" i="50"/>
  <c r="AH202" i="50"/>
  <c r="AA202" i="50"/>
  <c r="T202" i="50"/>
  <c r="M202" i="50"/>
  <c r="AH201" i="50"/>
  <c r="AA201" i="50"/>
  <c r="T201" i="50"/>
  <c r="M201" i="50"/>
  <c r="AH200" i="50"/>
  <c r="AA200" i="50"/>
  <c r="T200" i="50"/>
  <c r="M200" i="50"/>
  <c r="F200" i="50"/>
  <c r="AH199" i="50"/>
  <c r="AA199" i="50"/>
  <c r="T199" i="50"/>
  <c r="M199" i="50"/>
  <c r="AH198" i="50"/>
  <c r="AA198" i="50"/>
  <c r="T198" i="50"/>
  <c r="M198" i="50"/>
  <c r="AH197" i="50"/>
  <c r="AA197" i="50"/>
  <c r="T197" i="50"/>
  <c r="M197" i="50"/>
  <c r="AH196" i="50"/>
  <c r="AA196" i="50"/>
  <c r="T196" i="50"/>
  <c r="M196" i="50"/>
  <c r="F196" i="50"/>
  <c r="AH195" i="50"/>
  <c r="AA195" i="50"/>
  <c r="T195" i="50"/>
  <c r="M195" i="50"/>
  <c r="F195" i="50"/>
  <c r="AH194" i="50"/>
  <c r="AA194" i="50"/>
  <c r="T194" i="50"/>
  <c r="M194" i="50"/>
  <c r="AH193" i="50"/>
  <c r="AA193" i="50"/>
  <c r="T193" i="50"/>
  <c r="M193" i="50"/>
  <c r="AN108" i="51"/>
  <c r="CE108" i="51" s="1"/>
  <c r="AN107" i="51"/>
  <c r="CE107" i="51" s="1"/>
  <c r="AN106" i="51"/>
  <c r="CE106" i="51" s="1"/>
  <c r="AN105" i="51"/>
  <c r="CE105" i="51" s="1"/>
  <c r="AN104" i="51"/>
  <c r="CE104" i="51" s="1"/>
  <c r="AN103" i="51"/>
  <c r="CE103" i="51" s="1"/>
  <c r="AN102" i="51"/>
  <c r="CE102" i="51" s="1"/>
  <c r="AN101" i="51"/>
  <c r="CE101" i="51" s="1"/>
  <c r="AN100" i="51"/>
  <c r="CE100" i="51" s="1"/>
  <c r="AN98" i="51"/>
  <c r="CE98" i="51" s="1"/>
  <c r="AN97" i="51"/>
  <c r="CE97" i="51" s="1"/>
  <c r="AN96" i="51"/>
  <c r="CE96" i="51" s="1"/>
  <c r="AN95" i="51"/>
  <c r="CE95" i="51" s="1"/>
  <c r="AN93" i="51"/>
  <c r="CE93" i="51" s="1"/>
  <c r="AN92" i="51"/>
  <c r="CE92" i="51" s="1"/>
  <c r="AN91" i="51"/>
  <c r="CE91" i="51" s="1"/>
  <c r="AN90" i="51"/>
  <c r="CE90" i="51" s="1"/>
  <c r="AN89" i="51"/>
  <c r="CE89" i="51" s="1"/>
  <c r="AN88" i="51"/>
  <c r="CE88" i="51" s="1"/>
  <c r="AN87" i="51"/>
  <c r="CE87" i="51" s="1"/>
  <c r="AN86" i="51"/>
  <c r="CE86" i="51" s="1"/>
  <c r="AN85" i="51"/>
  <c r="CE85" i="51" s="1"/>
  <c r="AN84" i="51"/>
  <c r="CE84" i="51" s="1"/>
  <c r="AN82" i="51"/>
  <c r="CE82" i="51" s="1"/>
  <c r="AN81" i="51"/>
  <c r="CE81" i="51" s="1"/>
  <c r="AN78" i="51"/>
  <c r="CE78" i="51" s="1"/>
  <c r="AN77" i="51"/>
  <c r="CE77" i="51" s="1"/>
  <c r="AN76" i="51"/>
  <c r="CE76" i="51" s="1"/>
  <c r="AN75" i="51"/>
  <c r="CE75" i="51" s="1"/>
  <c r="AN73" i="51"/>
  <c r="CE73" i="51" s="1"/>
  <c r="AN72" i="51"/>
  <c r="CE72" i="51" s="1"/>
  <c r="AN70" i="51"/>
  <c r="CE70" i="51" s="1"/>
  <c r="AN69" i="51"/>
  <c r="CE69" i="51" s="1"/>
  <c r="AN68" i="51"/>
  <c r="CE68" i="51" s="1"/>
  <c r="AN66" i="51"/>
  <c r="CE66" i="51" s="1"/>
  <c r="AN65" i="51"/>
  <c r="CE65" i="51" s="1"/>
  <c r="AN63" i="51"/>
  <c r="CE63" i="51" s="1"/>
  <c r="AN62" i="51"/>
  <c r="CE62" i="51" s="1"/>
  <c r="AN59" i="51"/>
  <c r="CE59" i="51" s="1"/>
  <c r="AN58" i="51"/>
  <c r="CE58" i="51" s="1"/>
  <c r="AN57" i="51"/>
  <c r="CE57" i="51" s="1"/>
  <c r="AN56" i="51"/>
  <c r="CE56" i="51" s="1"/>
  <c r="AN55" i="51"/>
  <c r="CE55" i="51" s="1"/>
  <c r="AN54" i="51"/>
  <c r="CE54" i="51" s="1"/>
  <c r="AN53" i="51"/>
  <c r="CE53" i="51" s="1"/>
  <c r="AN52" i="51"/>
  <c r="CE52" i="51" s="1"/>
  <c r="AN51" i="51"/>
  <c r="CE51" i="51" s="1"/>
  <c r="AN49" i="51"/>
  <c r="CE49" i="51" s="1"/>
  <c r="AN48" i="51"/>
  <c r="CE48" i="51" s="1"/>
  <c r="AN47" i="51"/>
  <c r="CE47" i="51" s="1"/>
  <c r="AN46" i="51"/>
  <c r="CE46" i="51" s="1"/>
  <c r="AN44" i="51"/>
  <c r="CE44" i="51" s="1"/>
  <c r="AN43" i="51"/>
  <c r="CE43" i="51" s="1"/>
  <c r="AN42" i="51"/>
  <c r="CE42" i="51" s="1"/>
  <c r="AN41" i="51"/>
  <c r="CE41" i="51" s="1"/>
  <c r="AN40" i="51"/>
  <c r="CE40" i="51" s="1"/>
  <c r="AN39" i="51"/>
  <c r="CE39" i="51" s="1"/>
  <c r="AN38" i="51"/>
  <c r="CE38" i="51" s="1"/>
  <c r="AN37" i="51"/>
  <c r="CE37" i="51" s="1"/>
  <c r="AN36" i="51"/>
  <c r="CE36" i="51" s="1"/>
  <c r="AN35" i="51"/>
  <c r="CE35" i="51" s="1"/>
  <c r="AN33" i="51"/>
  <c r="CE33" i="51" s="1"/>
  <c r="AN32" i="51"/>
  <c r="CE32" i="51" s="1"/>
  <c r="AN29" i="51"/>
  <c r="CE29" i="51" s="1"/>
  <c r="AN28" i="51"/>
  <c r="CE28" i="51" s="1"/>
  <c r="AN27" i="51"/>
  <c r="CE27" i="51" s="1"/>
  <c r="AN26" i="51"/>
  <c r="CE26" i="51" s="1"/>
  <c r="AN24" i="51"/>
  <c r="CE24" i="51" s="1"/>
  <c r="AN23" i="51"/>
  <c r="CE23" i="51" s="1"/>
  <c r="AN21" i="51"/>
  <c r="CE21" i="51" s="1"/>
  <c r="AN20" i="51"/>
  <c r="CE20" i="51" s="1"/>
  <c r="AN19" i="51"/>
  <c r="CE19" i="51" s="1"/>
  <c r="AN17" i="51"/>
  <c r="CE17" i="51" s="1"/>
  <c r="AN16" i="51"/>
  <c r="CE16" i="51" s="1"/>
  <c r="AN14" i="51"/>
  <c r="CE14" i="51" s="1"/>
  <c r="AN13" i="51"/>
  <c r="CE13" i="51" s="1"/>
  <c r="AG108" i="51"/>
  <c r="BX108" i="51" s="1"/>
  <c r="AG107" i="51"/>
  <c r="BX107" i="51" s="1"/>
  <c r="AG106" i="51"/>
  <c r="BX106" i="51" s="1"/>
  <c r="AG105" i="51"/>
  <c r="BX105" i="51" s="1"/>
  <c r="AG104" i="51"/>
  <c r="BX104" i="51" s="1"/>
  <c r="AG103" i="51"/>
  <c r="BX103" i="51" s="1"/>
  <c r="AG102" i="51"/>
  <c r="BX102" i="51" s="1"/>
  <c r="AG101" i="51"/>
  <c r="BX101" i="51" s="1"/>
  <c r="AG100" i="51"/>
  <c r="BX100" i="51" s="1"/>
  <c r="AG98" i="51"/>
  <c r="BX98" i="51" s="1"/>
  <c r="AG97" i="51"/>
  <c r="BX97" i="51" s="1"/>
  <c r="AG96" i="51"/>
  <c r="BX96" i="51" s="1"/>
  <c r="AG95" i="51"/>
  <c r="BX95" i="51" s="1"/>
  <c r="AG93" i="51"/>
  <c r="BX93" i="51" s="1"/>
  <c r="AG92" i="51"/>
  <c r="BX92" i="51" s="1"/>
  <c r="AG91" i="51"/>
  <c r="BX91" i="51" s="1"/>
  <c r="AG90" i="51"/>
  <c r="BX90" i="51" s="1"/>
  <c r="AG89" i="51"/>
  <c r="BX89" i="51" s="1"/>
  <c r="AG88" i="51"/>
  <c r="BX88" i="51" s="1"/>
  <c r="AG87" i="51"/>
  <c r="BX87" i="51" s="1"/>
  <c r="AG86" i="51"/>
  <c r="BX86" i="51" s="1"/>
  <c r="AG85" i="51"/>
  <c r="BX85" i="51" s="1"/>
  <c r="AG84" i="51"/>
  <c r="BX84" i="51" s="1"/>
  <c r="AG82" i="51"/>
  <c r="BX82" i="51" s="1"/>
  <c r="AG81" i="51"/>
  <c r="BX81" i="51" s="1"/>
  <c r="AG78" i="51"/>
  <c r="BX78" i="51" s="1"/>
  <c r="AG77" i="51"/>
  <c r="BX77" i="51" s="1"/>
  <c r="AG76" i="51"/>
  <c r="BX76" i="51" s="1"/>
  <c r="AG75" i="51"/>
  <c r="BX75" i="51" s="1"/>
  <c r="AG73" i="51"/>
  <c r="BX73" i="51" s="1"/>
  <c r="AG72" i="51"/>
  <c r="BX72" i="51" s="1"/>
  <c r="AG70" i="51"/>
  <c r="BX70" i="51" s="1"/>
  <c r="AG69" i="51"/>
  <c r="BX69" i="51" s="1"/>
  <c r="AG68" i="51"/>
  <c r="BX68" i="51" s="1"/>
  <c r="AG66" i="51"/>
  <c r="BX66" i="51" s="1"/>
  <c r="AG65" i="51"/>
  <c r="AG63" i="51"/>
  <c r="BX63" i="51" s="1"/>
  <c r="AG62" i="51"/>
  <c r="BX62" i="51" s="1"/>
  <c r="AG59" i="51"/>
  <c r="BX59" i="51" s="1"/>
  <c r="AG58" i="51"/>
  <c r="BX58" i="51" s="1"/>
  <c r="AG57" i="51"/>
  <c r="BX57" i="51" s="1"/>
  <c r="AG56" i="51"/>
  <c r="BX56" i="51" s="1"/>
  <c r="AG55" i="51"/>
  <c r="BX55" i="51" s="1"/>
  <c r="AG54" i="51"/>
  <c r="BX54" i="51" s="1"/>
  <c r="AG53" i="51"/>
  <c r="BX53" i="51" s="1"/>
  <c r="AG52" i="51"/>
  <c r="BX52" i="51" s="1"/>
  <c r="AG51" i="51"/>
  <c r="BX51" i="51" s="1"/>
  <c r="AG49" i="51"/>
  <c r="BX49" i="51" s="1"/>
  <c r="AG48" i="51"/>
  <c r="BX48" i="51" s="1"/>
  <c r="AG47" i="51"/>
  <c r="BX47" i="51" s="1"/>
  <c r="AG46" i="51"/>
  <c r="BX46" i="51" s="1"/>
  <c r="AG44" i="51"/>
  <c r="BX44" i="51" s="1"/>
  <c r="AG43" i="51"/>
  <c r="BX43" i="51" s="1"/>
  <c r="AG42" i="51"/>
  <c r="BX42" i="51" s="1"/>
  <c r="AG41" i="51"/>
  <c r="BX41" i="51" s="1"/>
  <c r="AG40" i="51"/>
  <c r="BX40" i="51" s="1"/>
  <c r="AG39" i="51"/>
  <c r="BX39" i="51" s="1"/>
  <c r="AG38" i="51"/>
  <c r="BX38" i="51" s="1"/>
  <c r="AG37" i="51"/>
  <c r="BX37" i="51" s="1"/>
  <c r="AG36" i="51"/>
  <c r="BX36" i="51" s="1"/>
  <c r="AG35" i="51"/>
  <c r="BX35" i="51" s="1"/>
  <c r="AG33" i="51"/>
  <c r="BX33" i="51" s="1"/>
  <c r="AG32" i="51"/>
  <c r="BX32" i="51" s="1"/>
  <c r="AG29" i="51"/>
  <c r="BX29" i="51" s="1"/>
  <c r="AG28" i="51"/>
  <c r="BX28" i="51" s="1"/>
  <c r="AG27" i="51"/>
  <c r="BX27" i="51" s="1"/>
  <c r="AG26" i="51"/>
  <c r="BX26" i="51" s="1"/>
  <c r="AG24" i="51"/>
  <c r="BX24" i="51" s="1"/>
  <c r="AG23" i="51"/>
  <c r="BX23" i="51" s="1"/>
  <c r="AG21" i="51"/>
  <c r="BX21" i="51" s="1"/>
  <c r="AG20" i="51"/>
  <c r="BX20" i="51" s="1"/>
  <c r="AG19" i="51"/>
  <c r="BX19" i="51" s="1"/>
  <c r="AG17" i="51"/>
  <c r="BX17" i="51" s="1"/>
  <c r="AG16" i="51"/>
  <c r="BX16" i="51" s="1"/>
  <c r="AG14" i="51"/>
  <c r="BX14" i="51" s="1"/>
  <c r="AG13" i="51"/>
  <c r="BX13" i="51" s="1"/>
  <c r="Z108" i="51"/>
  <c r="BQ108" i="51" s="1"/>
  <c r="Z107" i="51"/>
  <c r="BQ107" i="51" s="1"/>
  <c r="Z106" i="51"/>
  <c r="BQ106" i="51" s="1"/>
  <c r="Z105" i="51"/>
  <c r="BQ105" i="51" s="1"/>
  <c r="Z104" i="51"/>
  <c r="BQ104" i="51" s="1"/>
  <c r="Z103" i="51"/>
  <c r="BQ103" i="51" s="1"/>
  <c r="Z102" i="51"/>
  <c r="BQ102" i="51" s="1"/>
  <c r="Z101" i="51"/>
  <c r="BQ101" i="51" s="1"/>
  <c r="Z100" i="51"/>
  <c r="BQ100" i="51" s="1"/>
  <c r="Z98" i="51"/>
  <c r="BQ98" i="51" s="1"/>
  <c r="Z97" i="51"/>
  <c r="BQ97" i="51" s="1"/>
  <c r="Z96" i="51"/>
  <c r="BQ96" i="51" s="1"/>
  <c r="Z95" i="51"/>
  <c r="BQ95" i="51" s="1"/>
  <c r="Z93" i="51"/>
  <c r="BQ93" i="51" s="1"/>
  <c r="Z92" i="51"/>
  <c r="BQ92" i="51" s="1"/>
  <c r="Z91" i="51"/>
  <c r="BQ91" i="51" s="1"/>
  <c r="Z90" i="51"/>
  <c r="BQ90" i="51" s="1"/>
  <c r="Z89" i="51"/>
  <c r="BQ89" i="51" s="1"/>
  <c r="Z88" i="51"/>
  <c r="BQ88" i="51" s="1"/>
  <c r="Z87" i="51"/>
  <c r="BQ87" i="51" s="1"/>
  <c r="Z86" i="51"/>
  <c r="BQ86" i="51" s="1"/>
  <c r="Z85" i="51"/>
  <c r="BQ85" i="51" s="1"/>
  <c r="Z84" i="51"/>
  <c r="BQ84" i="51" s="1"/>
  <c r="Z82" i="51"/>
  <c r="BQ82" i="51" s="1"/>
  <c r="Z81" i="51"/>
  <c r="BQ81" i="51" s="1"/>
  <c r="Z78" i="51"/>
  <c r="BQ78" i="51" s="1"/>
  <c r="Z77" i="51"/>
  <c r="BQ77" i="51" s="1"/>
  <c r="Z76" i="51"/>
  <c r="BQ76" i="51" s="1"/>
  <c r="Z75" i="51"/>
  <c r="BQ75" i="51" s="1"/>
  <c r="Z73" i="51"/>
  <c r="BQ73" i="51" s="1"/>
  <c r="Z72" i="51"/>
  <c r="BQ72" i="51" s="1"/>
  <c r="Z70" i="51"/>
  <c r="BQ70" i="51" s="1"/>
  <c r="Z69" i="51"/>
  <c r="BQ69" i="51" s="1"/>
  <c r="Z68" i="51"/>
  <c r="BQ68" i="51" s="1"/>
  <c r="Z66" i="51"/>
  <c r="BQ66" i="51" s="1"/>
  <c r="Z65" i="51"/>
  <c r="BQ65" i="51" s="1"/>
  <c r="Z63" i="51"/>
  <c r="BQ63" i="51" s="1"/>
  <c r="Z62" i="51"/>
  <c r="BQ62" i="51" s="1"/>
  <c r="Z59" i="51"/>
  <c r="BQ59" i="51" s="1"/>
  <c r="Z58" i="51"/>
  <c r="BQ58" i="51" s="1"/>
  <c r="Z57" i="51"/>
  <c r="BQ57" i="51" s="1"/>
  <c r="Z56" i="51"/>
  <c r="BQ56" i="51" s="1"/>
  <c r="Z55" i="51"/>
  <c r="BQ55" i="51" s="1"/>
  <c r="Z54" i="51"/>
  <c r="BQ54" i="51" s="1"/>
  <c r="Z53" i="51"/>
  <c r="BQ53" i="51" s="1"/>
  <c r="Z52" i="51"/>
  <c r="BQ52" i="51" s="1"/>
  <c r="Z51" i="51"/>
  <c r="BQ51" i="51" s="1"/>
  <c r="Z49" i="51"/>
  <c r="BQ49" i="51" s="1"/>
  <c r="Z48" i="51"/>
  <c r="BQ48" i="51" s="1"/>
  <c r="Z47" i="51"/>
  <c r="BQ47" i="51" s="1"/>
  <c r="Z46" i="51"/>
  <c r="BQ46" i="51" s="1"/>
  <c r="Z44" i="51"/>
  <c r="BQ44" i="51" s="1"/>
  <c r="Z43" i="51"/>
  <c r="BQ43" i="51" s="1"/>
  <c r="Z42" i="51"/>
  <c r="BQ42" i="51" s="1"/>
  <c r="Z41" i="51"/>
  <c r="BQ41" i="51" s="1"/>
  <c r="Z40" i="51"/>
  <c r="BQ40" i="51" s="1"/>
  <c r="Z39" i="51"/>
  <c r="BQ39" i="51" s="1"/>
  <c r="Z38" i="51"/>
  <c r="BQ38" i="51" s="1"/>
  <c r="Z37" i="51"/>
  <c r="BQ37" i="51" s="1"/>
  <c r="Z36" i="51"/>
  <c r="BQ36" i="51" s="1"/>
  <c r="Z35" i="51"/>
  <c r="BQ35" i="51" s="1"/>
  <c r="Z33" i="51"/>
  <c r="BQ33" i="51" s="1"/>
  <c r="Z32" i="51"/>
  <c r="BQ32" i="51" s="1"/>
  <c r="Z29" i="51"/>
  <c r="BQ29" i="51" s="1"/>
  <c r="Z28" i="51"/>
  <c r="BQ28" i="51" s="1"/>
  <c r="Z27" i="51"/>
  <c r="BQ27" i="51" s="1"/>
  <c r="Z26" i="51"/>
  <c r="BQ26" i="51" s="1"/>
  <c r="Z24" i="51"/>
  <c r="BQ24" i="51" s="1"/>
  <c r="Z23" i="51"/>
  <c r="BQ23" i="51" s="1"/>
  <c r="Z21" i="51"/>
  <c r="BQ21" i="51" s="1"/>
  <c r="Z20" i="51"/>
  <c r="BQ20" i="51" s="1"/>
  <c r="Z19" i="51"/>
  <c r="BQ19" i="51" s="1"/>
  <c r="Z17" i="51"/>
  <c r="BQ17" i="51" s="1"/>
  <c r="Z16" i="51"/>
  <c r="BQ16" i="51" s="1"/>
  <c r="Z14" i="51"/>
  <c r="BQ14" i="51" s="1"/>
  <c r="Z13" i="51"/>
  <c r="BQ13" i="51" s="1"/>
  <c r="S108" i="51"/>
  <c r="BJ108" i="51" s="1"/>
  <c r="S107" i="51"/>
  <c r="BJ107" i="51" s="1"/>
  <c r="S106" i="51"/>
  <c r="BJ106" i="51" s="1"/>
  <c r="S105" i="51"/>
  <c r="BJ105" i="51" s="1"/>
  <c r="S104" i="51"/>
  <c r="BJ104" i="51" s="1"/>
  <c r="S103" i="51"/>
  <c r="BJ103" i="51" s="1"/>
  <c r="S102" i="51"/>
  <c r="BJ102" i="51" s="1"/>
  <c r="S101" i="51"/>
  <c r="BJ101" i="51" s="1"/>
  <c r="S100" i="51"/>
  <c r="BJ100" i="51" s="1"/>
  <c r="S98" i="51"/>
  <c r="BJ98" i="51" s="1"/>
  <c r="S97" i="51"/>
  <c r="BJ97" i="51" s="1"/>
  <c r="S96" i="51"/>
  <c r="BJ96" i="51" s="1"/>
  <c r="S95" i="51"/>
  <c r="BJ95" i="51" s="1"/>
  <c r="S93" i="51"/>
  <c r="BJ93" i="51" s="1"/>
  <c r="S92" i="51"/>
  <c r="BJ92" i="51" s="1"/>
  <c r="S91" i="51"/>
  <c r="BJ91" i="51" s="1"/>
  <c r="S90" i="51"/>
  <c r="BJ90" i="51" s="1"/>
  <c r="S89" i="51"/>
  <c r="BJ89" i="51" s="1"/>
  <c r="S88" i="51"/>
  <c r="BJ88" i="51" s="1"/>
  <c r="S87" i="51"/>
  <c r="BJ87" i="51" s="1"/>
  <c r="S86" i="51"/>
  <c r="BJ86" i="51" s="1"/>
  <c r="S85" i="51"/>
  <c r="BJ85" i="51" s="1"/>
  <c r="S84" i="51"/>
  <c r="BJ84" i="51" s="1"/>
  <c r="S82" i="51"/>
  <c r="BJ82" i="51" s="1"/>
  <c r="S81" i="51"/>
  <c r="BJ81" i="51" s="1"/>
  <c r="S78" i="51"/>
  <c r="BJ78" i="51" s="1"/>
  <c r="S77" i="51"/>
  <c r="BJ77" i="51" s="1"/>
  <c r="S76" i="51"/>
  <c r="BJ76" i="51" s="1"/>
  <c r="S75" i="51"/>
  <c r="BJ75" i="51" s="1"/>
  <c r="S73" i="51"/>
  <c r="BJ73" i="51" s="1"/>
  <c r="S72" i="51"/>
  <c r="BJ72" i="51" s="1"/>
  <c r="S70" i="51"/>
  <c r="BJ70" i="51" s="1"/>
  <c r="S69" i="51"/>
  <c r="BJ69" i="51" s="1"/>
  <c r="S68" i="51"/>
  <c r="BJ68" i="51" s="1"/>
  <c r="S66" i="51"/>
  <c r="BJ66" i="51" s="1"/>
  <c r="S65" i="51"/>
  <c r="BJ65" i="51" s="1"/>
  <c r="S63" i="51"/>
  <c r="BJ63" i="51" s="1"/>
  <c r="S62" i="51"/>
  <c r="BJ62" i="51" s="1"/>
  <c r="S59" i="51"/>
  <c r="BJ59" i="51" s="1"/>
  <c r="S58" i="51"/>
  <c r="BJ58" i="51" s="1"/>
  <c r="S57" i="51"/>
  <c r="BJ57" i="51" s="1"/>
  <c r="S56" i="51"/>
  <c r="BJ56" i="51" s="1"/>
  <c r="S55" i="51"/>
  <c r="BJ55" i="51" s="1"/>
  <c r="S54" i="51"/>
  <c r="BJ54" i="51" s="1"/>
  <c r="S53" i="51"/>
  <c r="BJ53" i="51" s="1"/>
  <c r="S52" i="51"/>
  <c r="BJ52" i="51" s="1"/>
  <c r="S51" i="51"/>
  <c r="BJ51" i="51" s="1"/>
  <c r="S49" i="51"/>
  <c r="BJ49" i="51" s="1"/>
  <c r="S48" i="51"/>
  <c r="BJ48" i="51" s="1"/>
  <c r="S47" i="51"/>
  <c r="BJ47" i="51" s="1"/>
  <c r="S46" i="51"/>
  <c r="BJ46" i="51" s="1"/>
  <c r="S44" i="51"/>
  <c r="BJ44" i="51" s="1"/>
  <c r="S43" i="51"/>
  <c r="BJ43" i="51" s="1"/>
  <c r="S42" i="51"/>
  <c r="BJ42" i="51" s="1"/>
  <c r="S41" i="51"/>
  <c r="BJ41" i="51" s="1"/>
  <c r="S40" i="51"/>
  <c r="BJ40" i="51" s="1"/>
  <c r="S39" i="51"/>
  <c r="BJ39" i="51" s="1"/>
  <c r="S38" i="51"/>
  <c r="BJ38" i="51" s="1"/>
  <c r="S37" i="51"/>
  <c r="BJ37" i="51" s="1"/>
  <c r="S36" i="51"/>
  <c r="BJ36" i="51" s="1"/>
  <c r="S35" i="51"/>
  <c r="BJ35" i="51" s="1"/>
  <c r="S33" i="51"/>
  <c r="BJ33" i="51" s="1"/>
  <c r="S32" i="51"/>
  <c r="BJ32" i="51" s="1"/>
  <c r="S29" i="51"/>
  <c r="BJ29" i="51" s="1"/>
  <c r="S28" i="51"/>
  <c r="BJ28" i="51" s="1"/>
  <c r="S27" i="51"/>
  <c r="BJ27" i="51" s="1"/>
  <c r="S26" i="51"/>
  <c r="BJ26" i="51" s="1"/>
  <c r="S24" i="51"/>
  <c r="BJ24" i="51" s="1"/>
  <c r="S23" i="51"/>
  <c r="BJ23" i="51" s="1"/>
  <c r="S21" i="51"/>
  <c r="BJ21" i="51" s="1"/>
  <c r="S20" i="51"/>
  <c r="BJ20" i="51" s="1"/>
  <c r="S19" i="51"/>
  <c r="BJ19" i="51" s="1"/>
  <c r="S17" i="51"/>
  <c r="BJ17" i="51" s="1"/>
  <c r="S16" i="51"/>
  <c r="BJ16" i="51" s="1"/>
  <c r="S14" i="51"/>
  <c r="BJ14" i="51" s="1"/>
  <c r="S13" i="51"/>
  <c r="BJ13" i="51" s="1"/>
  <c r="L108" i="51"/>
  <c r="BC108" i="51" s="1"/>
  <c r="L107" i="51"/>
  <c r="BC107" i="51" s="1"/>
  <c r="L106" i="51"/>
  <c r="BC106" i="51" s="1"/>
  <c r="L105" i="51"/>
  <c r="BC105" i="51" s="1"/>
  <c r="L104" i="51"/>
  <c r="BC104" i="51" s="1"/>
  <c r="L103" i="51"/>
  <c r="BC103" i="51" s="1"/>
  <c r="L102" i="51"/>
  <c r="BC102" i="51" s="1"/>
  <c r="L101" i="51"/>
  <c r="BC101" i="51" s="1"/>
  <c r="L100" i="51"/>
  <c r="BC100" i="51" s="1"/>
  <c r="L98" i="51"/>
  <c r="BC98" i="51" s="1"/>
  <c r="L97" i="51"/>
  <c r="BC97" i="51" s="1"/>
  <c r="L96" i="51"/>
  <c r="BC96" i="51" s="1"/>
  <c r="L95" i="51"/>
  <c r="BC95" i="51" s="1"/>
  <c r="L93" i="51"/>
  <c r="BC93" i="51" s="1"/>
  <c r="L92" i="51"/>
  <c r="BC92" i="51" s="1"/>
  <c r="L91" i="51"/>
  <c r="BC91" i="51" s="1"/>
  <c r="L90" i="51"/>
  <c r="BC90" i="51" s="1"/>
  <c r="L89" i="51"/>
  <c r="BC89" i="51" s="1"/>
  <c r="L88" i="51"/>
  <c r="BC88" i="51" s="1"/>
  <c r="L87" i="51"/>
  <c r="BC87" i="51" s="1"/>
  <c r="L86" i="51"/>
  <c r="BC86" i="51" s="1"/>
  <c r="L85" i="51"/>
  <c r="BC85" i="51" s="1"/>
  <c r="L84" i="51"/>
  <c r="BC84" i="51" s="1"/>
  <c r="L82" i="51"/>
  <c r="BC82" i="51" s="1"/>
  <c r="L81" i="51"/>
  <c r="BC81" i="51" s="1"/>
  <c r="L78" i="51"/>
  <c r="BC78" i="51" s="1"/>
  <c r="L77" i="51"/>
  <c r="BC77" i="51" s="1"/>
  <c r="L76" i="51"/>
  <c r="BC76" i="51" s="1"/>
  <c r="L75" i="51"/>
  <c r="BC75" i="51" s="1"/>
  <c r="L73" i="51"/>
  <c r="BC73" i="51" s="1"/>
  <c r="L72" i="51"/>
  <c r="BC72" i="51" s="1"/>
  <c r="L70" i="51"/>
  <c r="BC70" i="51" s="1"/>
  <c r="L69" i="51"/>
  <c r="BC69" i="51" s="1"/>
  <c r="L68" i="51"/>
  <c r="BC68" i="51" s="1"/>
  <c r="L66" i="51"/>
  <c r="BC66" i="51" s="1"/>
  <c r="L65" i="51"/>
  <c r="BC65" i="51" s="1"/>
  <c r="L63" i="51"/>
  <c r="BC63" i="51" s="1"/>
  <c r="L62" i="51"/>
  <c r="BC62" i="51" s="1"/>
  <c r="L59" i="51"/>
  <c r="BC59" i="51" s="1"/>
  <c r="L58" i="51"/>
  <c r="BC58" i="51" s="1"/>
  <c r="L57" i="51"/>
  <c r="BC57" i="51" s="1"/>
  <c r="L56" i="51"/>
  <c r="BC56" i="51" s="1"/>
  <c r="L55" i="51"/>
  <c r="BC55" i="51" s="1"/>
  <c r="L54" i="51"/>
  <c r="BC54" i="51" s="1"/>
  <c r="L53" i="51"/>
  <c r="BC53" i="51" s="1"/>
  <c r="L52" i="51"/>
  <c r="BC52" i="51" s="1"/>
  <c r="L51" i="51"/>
  <c r="BC51" i="51" s="1"/>
  <c r="L49" i="51"/>
  <c r="BC49" i="51" s="1"/>
  <c r="L48" i="51"/>
  <c r="BC48" i="51" s="1"/>
  <c r="L47" i="51"/>
  <c r="BC47" i="51" s="1"/>
  <c r="L46" i="51"/>
  <c r="BC46" i="51" s="1"/>
  <c r="L44" i="51"/>
  <c r="BC44" i="51" s="1"/>
  <c r="L43" i="51"/>
  <c r="BC43" i="51" s="1"/>
  <c r="L42" i="51"/>
  <c r="BC42" i="51" s="1"/>
  <c r="L41" i="51"/>
  <c r="BC41" i="51" s="1"/>
  <c r="L40" i="51"/>
  <c r="BC40" i="51" s="1"/>
  <c r="L39" i="51"/>
  <c r="BC39" i="51" s="1"/>
  <c r="L38" i="51"/>
  <c r="BC38" i="51" s="1"/>
  <c r="L37" i="51"/>
  <c r="BC37" i="51" s="1"/>
  <c r="L36" i="51"/>
  <c r="BC36" i="51" s="1"/>
  <c r="L35" i="51"/>
  <c r="BC35" i="51" s="1"/>
  <c r="L33" i="51"/>
  <c r="BC33" i="51" s="1"/>
  <c r="L32" i="51"/>
  <c r="BC32" i="51" s="1"/>
  <c r="L29" i="51"/>
  <c r="BC29" i="51" s="1"/>
  <c r="L28" i="51"/>
  <c r="BC28" i="51" s="1"/>
  <c r="L27" i="51"/>
  <c r="BC27" i="51" s="1"/>
  <c r="L26" i="51"/>
  <c r="BC26" i="51" s="1"/>
  <c r="L24" i="51"/>
  <c r="BC24" i="51" s="1"/>
  <c r="L23" i="51"/>
  <c r="BC23" i="51" s="1"/>
  <c r="L21" i="51"/>
  <c r="BC21" i="51" s="1"/>
  <c r="L20" i="51"/>
  <c r="BC20" i="51" s="1"/>
  <c r="L19" i="51"/>
  <c r="BC19" i="51" s="1"/>
  <c r="L17" i="51"/>
  <c r="BC17" i="51" s="1"/>
  <c r="L16" i="51"/>
  <c r="BC16" i="51" s="1"/>
  <c r="L14" i="51"/>
  <c r="BC14" i="51" s="1"/>
  <c r="L13" i="51"/>
  <c r="BC13" i="51" s="1"/>
  <c r="E108" i="51"/>
  <c r="AV108" i="51" s="1"/>
  <c r="E107" i="51"/>
  <c r="AV107" i="51" s="1"/>
  <c r="E106" i="51"/>
  <c r="AV106" i="51" s="1"/>
  <c r="E105" i="51"/>
  <c r="AV105" i="51" s="1"/>
  <c r="E104" i="51"/>
  <c r="AV104" i="51" s="1"/>
  <c r="E103" i="51"/>
  <c r="AV103" i="51" s="1"/>
  <c r="E102" i="51"/>
  <c r="AV102" i="51" s="1"/>
  <c r="E101" i="51"/>
  <c r="AV101" i="51" s="1"/>
  <c r="E100" i="51"/>
  <c r="AV100" i="51" s="1"/>
  <c r="E98" i="51"/>
  <c r="AV98" i="51" s="1"/>
  <c r="E97" i="51"/>
  <c r="AV97" i="51" s="1"/>
  <c r="E96" i="51"/>
  <c r="AV96" i="51" s="1"/>
  <c r="E95" i="51"/>
  <c r="AV95" i="51" s="1"/>
  <c r="E93" i="51"/>
  <c r="AV93" i="51" s="1"/>
  <c r="E92" i="51"/>
  <c r="AV92" i="51" s="1"/>
  <c r="E91" i="51"/>
  <c r="AV91" i="51" s="1"/>
  <c r="E90" i="51"/>
  <c r="AV90" i="51" s="1"/>
  <c r="E89" i="51"/>
  <c r="AV89" i="51" s="1"/>
  <c r="E88" i="51"/>
  <c r="AV88" i="51" s="1"/>
  <c r="E87" i="51"/>
  <c r="AV87" i="51" s="1"/>
  <c r="E86" i="51"/>
  <c r="AV86" i="51" s="1"/>
  <c r="E85" i="51"/>
  <c r="AV85" i="51" s="1"/>
  <c r="E84" i="51"/>
  <c r="AV84" i="51" s="1"/>
  <c r="E82" i="51"/>
  <c r="AV82" i="51" s="1"/>
  <c r="E81" i="51"/>
  <c r="AV81" i="51" s="1"/>
  <c r="E78" i="51"/>
  <c r="AV78" i="51" s="1"/>
  <c r="E77" i="51"/>
  <c r="AV77" i="51" s="1"/>
  <c r="E76" i="51"/>
  <c r="AV76" i="51" s="1"/>
  <c r="E75" i="51"/>
  <c r="AV75" i="51" s="1"/>
  <c r="E73" i="51"/>
  <c r="AV73" i="51" s="1"/>
  <c r="E72" i="51"/>
  <c r="AV72" i="51" s="1"/>
  <c r="E70" i="51"/>
  <c r="AV70" i="51" s="1"/>
  <c r="E69" i="51"/>
  <c r="AV69" i="51" s="1"/>
  <c r="E68" i="51"/>
  <c r="AV68" i="51" s="1"/>
  <c r="E66" i="51"/>
  <c r="AV66" i="51" s="1"/>
  <c r="E65" i="51"/>
  <c r="AV65" i="51" s="1"/>
  <c r="E63" i="51"/>
  <c r="AV63" i="51" s="1"/>
  <c r="E62" i="51"/>
  <c r="AV62" i="51" s="1"/>
  <c r="E59" i="51"/>
  <c r="AV59" i="51" s="1"/>
  <c r="E58" i="51"/>
  <c r="AV58" i="51" s="1"/>
  <c r="E57" i="51"/>
  <c r="AV57" i="51" s="1"/>
  <c r="E56" i="51"/>
  <c r="AV56" i="51" s="1"/>
  <c r="E55" i="51"/>
  <c r="AV55" i="51" s="1"/>
  <c r="E54" i="51"/>
  <c r="AV54" i="51" s="1"/>
  <c r="E53" i="51"/>
  <c r="AV53" i="51" s="1"/>
  <c r="E51" i="51"/>
  <c r="AV51" i="51" s="1"/>
  <c r="E49" i="51"/>
  <c r="AV49" i="51" s="1"/>
  <c r="E48" i="51"/>
  <c r="AV48" i="51" s="1"/>
  <c r="E47" i="51"/>
  <c r="AV47" i="51" s="1"/>
  <c r="E46" i="51"/>
  <c r="AV46" i="51" s="1"/>
  <c r="E44" i="51"/>
  <c r="AV44" i="51" s="1"/>
  <c r="E43" i="51"/>
  <c r="AV43" i="51" s="1"/>
  <c r="E42" i="51"/>
  <c r="AV42" i="51" s="1"/>
  <c r="E41" i="51"/>
  <c r="AV41" i="51" s="1"/>
  <c r="E40" i="51"/>
  <c r="AV40" i="51" s="1"/>
  <c r="E39" i="51"/>
  <c r="AV39" i="51" s="1"/>
  <c r="E38" i="51"/>
  <c r="AV38" i="51" s="1"/>
  <c r="E37" i="51"/>
  <c r="AV37" i="51" s="1"/>
  <c r="E36" i="51"/>
  <c r="AV36" i="51" s="1"/>
  <c r="E35" i="51"/>
  <c r="AV35" i="51" s="1"/>
  <c r="E33" i="51"/>
  <c r="AV33" i="51" s="1"/>
  <c r="E32" i="51"/>
  <c r="AV32" i="51" s="1"/>
  <c r="E28" i="51"/>
  <c r="AV28" i="51" s="1"/>
  <c r="E27" i="51"/>
  <c r="AV27" i="51" s="1"/>
  <c r="E26" i="51"/>
  <c r="AV26" i="51" s="1"/>
  <c r="E24" i="51"/>
  <c r="AV24" i="51" s="1"/>
  <c r="E23" i="51"/>
  <c r="AV23" i="51" s="1"/>
  <c r="E19" i="51"/>
  <c r="AV19" i="51" s="1"/>
  <c r="E17" i="51"/>
  <c r="AV17" i="51" s="1"/>
  <c r="E16" i="51"/>
  <c r="AV16" i="51" s="1"/>
  <c r="E14" i="51"/>
  <c r="AV14" i="51" s="1"/>
  <c r="E13" i="51"/>
  <c r="AV13" i="51" s="1"/>
  <c r="AH82" i="50"/>
  <c r="BT82" i="50" s="1"/>
  <c r="AH79" i="50"/>
  <c r="BT79" i="50" s="1"/>
  <c r="AD58" i="50"/>
  <c r="BP58" i="50" s="1"/>
  <c r="AD57" i="50"/>
  <c r="BP57" i="50" s="1"/>
  <c r="AD54" i="50"/>
  <c r="BP54" i="50" s="1"/>
  <c r="AC58" i="50"/>
  <c r="BO58" i="50" s="1"/>
  <c r="AC57" i="50"/>
  <c r="BO57" i="50" s="1"/>
  <c r="AC54" i="50"/>
  <c r="BO54" i="50" s="1"/>
  <c r="AB58" i="50"/>
  <c r="BN58" i="50" s="1"/>
  <c r="AB57" i="50"/>
  <c r="BN57" i="50" s="1"/>
  <c r="AB54" i="50"/>
  <c r="BN54" i="50" s="1"/>
  <c r="AA58" i="50"/>
  <c r="AA57" i="50"/>
  <c r="AA54" i="50"/>
  <c r="AE58" i="50"/>
  <c r="BQ58" i="50" s="1"/>
  <c r="AE57" i="50"/>
  <c r="BQ57" i="50" s="1"/>
  <c r="AE54" i="50"/>
  <c r="BQ54" i="50" s="1"/>
  <c r="AF58" i="50"/>
  <c r="BR58" i="50" s="1"/>
  <c r="AF57" i="50"/>
  <c r="BR57" i="50" s="1"/>
  <c r="AF54" i="50"/>
  <c r="BR54" i="50" s="1"/>
  <c r="AT59" i="51"/>
  <c r="CK59" i="51" s="1"/>
  <c r="AS59" i="51"/>
  <c r="CJ59" i="51" s="1"/>
  <c r="AR59" i="51"/>
  <c r="CI59" i="51" s="1"/>
  <c r="AQ59" i="51"/>
  <c r="CH59" i="51" s="1"/>
  <c r="AP59" i="51"/>
  <c r="CG59" i="51" s="1"/>
  <c r="AO59" i="51"/>
  <c r="CF59" i="51" s="1"/>
  <c r="AM59" i="51"/>
  <c r="CD59" i="51" s="1"/>
  <c r="AL59" i="51"/>
  <c r="CC59" i="51" s="1"/>
  <c r="AK59" i="51"/>
  <c r="CB59" i="51" s="1"/>
  <c r="AJ59" i="51"/>
  <c r="CA59" i="51" s="1"/>
  <c r="AI59" i="51"/>
  <c r="BZ59" i="51" s="1"/>
  <c r="AH59" i="51"/>
  <c r="AF59" i="51"/>
  <c r="BW59" i="51" s="1"/>
  <c r="AE59" i="51"/>
  <c r="BV59" i="51" s="1"/>
  <c r="AD59" i="51"/>
  <c r="BU59" i="51" s="1"/>
  <c r="AC59" i="51"/>
  <c r="BT59" i="51" s="1"/>
  <c r="AB59" i="51"/>
  <c r="BS59" i="51" s="1"/>
  <c r="AA59" i="51"/>
  <c r="Y59" i="51"/>
  <c r="BP59" i="51" s="1"/>
  <c r="X59" i="51"/>
  <c r="BO59" i="51" s="1"/>
  <c r="W59" i="51"/>
  <c r="BN59" i="51" s="1"/>
  <c r="V59" i="51"/>
  <c r="BM59" i="51" s="1"/>
  <c r="U59" i="51"/>
  <c r="BL59" i="51" s="1"/>
  <c r="T59" i="51"/>
  <c r="BK59" i="51" s="1"/>
  <c r="R59" i="51"/>
  <c r="BI59" i="51" s="1"/>
  <c r="Q59" i="51"/>
  <c r="BH59" i="51" s="1"/>
  <c r="P59" i="51"/>
  <c r="BG59" i="51" s="1"/>
  <c r="O59" i="51"/>
  <c r="BF59" i="51" s="1"/>
  <c r="N59" i="51"/>
  <c r="BE59" i="51" s="1"/>
  <c r="M59" i="51"/>
  <c r="BD59" i="51" s="1"/>
  <c r="K59" i="51"/>
  <c r="BB59" i="51" s="1"/>
  <c r="J59" i="51"/>
  <c r="BA59" i="51" s="1"/>
  <c r="I59" i="51"/>
  <c r="AZ59" i="51" s="1"/>
  <c r="H59" i="51"/>
  <c r="AY59" i="51" s="1"/>
  <c r="G59" i="51"/>
  <c r="AX59" i="51" s="1"/>
  <c r="F59" i="51"/>
  <c r="AW59" i="51" s="1"/>
  <c r="Y58" i="51"/>
  <c r="BP58" i="51" s="1"/>
  <c r="X58" i="51"/>
  <c r="BO58" i="51" s="1"/>
  <c r="W58" i="51"/>
  <c r="BN58" i="51" s="1"/>
  <c r="V58" i="51"/>
  <c r="BM58" i="51" s="1"/>
  <c r="U58" i="51"/>
  <c r="BL58" i="51" s="1"/>
  <c r="T58" i="51"/>
  <c r="BK58" i="51" s="1"/>
  <c r="AT57" i="51"/>
  <c r="CK57" i="51" s="1"/>
  <c r="AS57" i="51"/>
  <c r="CJ57" i="51" s="1"/>
  <c r="AR57" i="51"/>
  <c r="CI57" i="51" s="1"/>
  <c r="AQ57" i="51"/>
  <c r="CH57" i="51" s="1"/>
  <c r="AP57" i="51"/>
  <c r="CG57" i="51" s="1"/>
  <c r="AO57" i="51"/>
  <c r="CF57" i="51" s="1"/>
  <c r="AM57" i="51"/>
  <c r="CD57" i="51" s="1"/>
  <c r="AL57" i="51"/>
  <c r="CC57" i="51" s="1"/>
  <c r="AK57" i="51"/>
  <c r="CB57" i="51" s="1"/>
  <c r="AJ57" i="51"/>
  <c r="CA57" i="51" s="1"/>
  <c r="AI57" i="51"/>
  <c r="BZ57" i="51" s="1"/>
  <c r="AH57" i="51"/>
  <c r="AF57" i="51"/>
  <c r="BW57" i="51" s="1"/>
  <c r="AE57" i="51"/>
  <c r="BV57" i="51" s="1"/>
  <c r="AD57" i="51"/>
  <c r="BU57" i="51" s="1"/>
  <c r="AC57" i="51"/>
  <c r="BT57" i="51" s="1"/>
  <c r="AB57" i="51"/>
  <c r="BS57" i="51" s="1"/>
  <c r="AA57" i="51"/>
  <c r="Y57" i="51"/>
  <c r="BP57" i="51" s="1"/>
  <c r="X57" i="51"/>
  <c r="BO57" i="51" s="1"/>
  <c r="W57" i="51"/>
  <c r="BN57" i="51" s="1"/>
  <c r="V57" i="51"/>
  <c r="BM57" i="51" s="1"/>
  <c r="U57" i="51"/>
  <c r="BL57" i="51" s="1"/>
  <c r="T57" i="51"/>
  <c r="BK57" i="51" s="1"/>
  <c r="R57" i="51"/>
  <c r="BI57" i="51" s="1"/>
  <c r="Q57" i="51"/>
  <c r="BH57" i="51" s="1"/>
  <c r="P57" i="51"/>
  <c r="BG57" i="51" s="1"/>
  <c r="O57" i="51"/>
  <c r="BF57" i="51" s="1"/>
  <c r="N57" i="51"/>
  <c r="BE57" i="51" s="1"/>
  <c r="M57" i="51"/>
  <c r="BD57" i="51" s="1"/>
  <c r="K57" i="51"/>
  <c r="BB57" i="51" s="1"/>
  <c r="J57" i="51"/>
  <c r="BA57" i="51" s="1"/>
  <c r="I57" i="51"/>
  <c r="AZ57" i="51" s="1"/>
  <c r="H57" i="51"/>
  <c r="AY57" i="51" s="1"/>
  <c r="G57" i="51"/>
  <c r="AX57" i="51" s="1"/>
  <c r="F57" i="51"/>
  <c r="AW57" i="51" s="1"/>
  <c r="AM56" i="51"/>
  <c r="CD56" i="51" s="1"/>
  <c r="AL56" i="51"/>
  <c r="CC56" i="51" s="1"/>
  <c r="AK56" i="51"/>
  <c r="CB56" i="51" s="1"/>
  <c r="AJ56" i="51"/>
  <c r="CA56" i="51" s="1"/>
  <c r="AI56" i="51"/>
  <c r="BZ56" i="51" s="1"/>
  <c r="AH56" i="51"/>
  <c r="AF56" i="51"/>
  <c r="BW56" i="51" s="1"/>
  <c r="AE56" i="51"/>
  <c r="BV56" i="51" s="1"/>
  <c r="AD56" i="51"/>
  <c r="BU56" i="51" s="1"/>
  <c r="AC56" i="51"/>
  <c r="BT56" i="51" s="1"/>
  <c r="AB56" i="51"/>
  <c r="BS56" i="51" s="1"/>
  <c r="AA56" i="51"/>
  <c r="Y56" i="51"/>
  <c r="BP56" i="51" s="1"/>
  <c r="X56" i="51"/>
  <c r="BO56" i="51" s="1"/>
  <c r="W56" i="51"/>
  <c r="BN56" i="51" s="1"/>
  <c r="V56" i="51"/>
  <c r="BM56" i="51" s="1"/>
  <c r="U56" i="51"/>
  <c r="BL56" i="51" s="1"/>
  <c r="T56" i="51"/>
  <c r="BK56" i="51" s="1"/>
  <c r="R56" i="51"/>
  <c r="BI56" i="51" s="1"/>
  <c r="Q56" i="51"/>
  <c r="BH56" i="51" s="1"/>
  <c r="P56" i="51"/>
  <c r="BG56" i="51" s="1"/>
  <c r="O56" i="51"/>
  <c r="BF56" i="51" s="1"/>
  <c r="N56" i="51"/>
  <c r="BE56" i="51" s="1"/>
  <c r="M56" i="51"/>
  <c r="BD56" i="51" s="1"/>
  <c r="K56" i="51"/>
  <c r="BB56" i="51" s="1"/>
  <c r="J56" i="51"/>
  <c r="BA56" i="51" s="1"/>
  <c r="I56" i="51"/>
  <c r="AZ56" i="51" s="1"/>
  <c r="H56" i="51"/>
  <c r="AY56" i="51" s="1"/>
  <c r="G56" i="51"/>
  <c r="AX56" i="51" s="1"/>
  <c r="F56" i="51"/>
  <c r="AW56" i="51" s="1"/>
  <c r="AT55" i="51"/>
  <c r="CK55" i="51" s="1"/>
  <c r="AS55" i="51"/>
  <c r="CJ55" i="51" s="1"/>
  <c r="AR55" i="51"/>
  <c r="CI55" i="51" s="1"/>
  <c r="AQ55" i="51"/>
  <c r="CH55" i="51" s="1"/>
  <c r="AP55" i="51"/>
  <c r="CG55" i="51" s="1"/>
  <c r="AO55" i="51"/>
  <c r="CF55" i="51" s="1"/>
  <c r="AM55" i="51"/>
  <c r="CD55" i="51" s="1"/>
  <c r="AL55" i="51"/>
  <c r="CC55" i="51" s="1"/>
  <c r="AK55" i="51"/>
  <c r="CB55" i="51" s="1"/>
  <c r="AJ55" i="51"/>
  <c r="CA55" i="51" s="1"/>
  <c r="AI55" i="51"/>
  <c r="BZ55" i="51" s="1"/>
  <c r="AH55" i="51"/>
  <c r="AF55" i="51"/>
  <c r="BW55" i="51" s="1"/>
  <c r="AE55" i="51"/>
  <c r="BV55" i="51" s="1"/>
  <c r="AD55" i="51"/>
  <c r="BU55" i="51" s="1"/>
  <c r="AC55" i="51"/>
  <c r="BT55" i="51" s="1"/>
  <c r="AB55" i="51"/>
  <c r="BS55" i="51" s="1"/>
  <c r="AA55" i="51"/>
  <c r="Y55" i="51"/>
  <c r="BP55" i="51" s="1"/>
  <c r="X55" i="51"/>
  <c r="BO55" i="51" s="1"/>
  <c r="W55" i="51"/>
  <c r="BN55" i="51" s="1"/>
  <c r="V55" i="51"/>
  <c r="BM55" i="51" s="1"/>
  <c r="U55" i="51"/>
  <c r="BL55" i="51" s="1"/>
  <c r="T55" i="51"/>
  <c r="BK55" i="51" s="1"/>
  <c r="R55" i="51"/>
  <c r="BI55" i="51" s="1"/>
  <c r="Q55" i="51"/>
  <c r="BH55" i="51" s="1"/>
  <c r="P55" i="51"/>
  <c r="BG55" i="51" s="1"/>
  <c r="O55" i="51"/>
  <c r="BF55" i="51" s="1"/>
  <c r="N55" i="51"/>
  <c r="BE55" i="51" s="1"/>
  <c r="M55" i="51"/>
  <c r="BD55" i="51" s="1"/>
  <c r="K55" i="51"/>
  <c r="BB55" i="51" s="1"/>
  <c r="J55" i="51"/>
  <c r="BA55" i="51" s="1"/>
  <c r="I55" i="51"/>
  <c r="AZ55" i="51" s="1"/>
  <c r="H55" i="51"/>
  <c r="AY55" i="51" s="1"/>
  <c r="G55" i="51"/>
  <c r="AX55" i="51" s="1"/>
  <c r="F55" i="51"/>
  <c r="AW55" i="51" s="1"/>
  <c r="AM54" i="51"/>
  <c r="CD54" i="51" s="1"/>
  <c r="AL54" i="51"/>
  <c r="CC54" i="51" s="1"/>
  <c r="AK54" i="51"/>
  <c r="CB54" i="51" s="1"/>
  <c r="AJ54" i="51"/>
  <c r="CA54" i="51" s="1"/>
  <c r="AI54" i="51"/>
  <c r="BZ54" i="51" s="1"/>
  <c r="AH54" i="51"/>
  <c r="AF54" i="51"/>
  <c r="BW54" i="51" s="1"/>
  <c r="AE54" i="51"/>
  <c r="BV54" i="51" s="1"/>
  <c r="AD54" i="51"/>
  <c r="BU54" i="51" s="1"/>
  <c r="AC54" i="51"/>
  <c r="BT54" i="51" s="1"/>
  <c r="AB54" i="51"/>
  <c r="BS54" i="51" s="1"/>
  <c r="AA54" i="51"/>
  <c r="Y54" i="51"/>
  <c r="BP54" i="51" s="1"/>
  <c r="X54" i="51"/>
  <c r="BO54" i="51" s="1"/>
  <c r="W54" i="51"/>
  <c r="BN54" i="51" s="1"/>
  <c r="V54" i="51"/>
  <c r="BM54" i="51" s="1"/>
  <c r="U54" i="51"/>
  <c r="BL54" i="51" s="1"/>
  <c r="T54" i="51"/>
  <c r="BK54" i="51" s="1"/>
  <c r="R54" i="51"/>
  <c r="BI54" i="51" s="1"/>
  <c r="Q54" i="51"/>
  <c r="BH54" i="51" s="1"/>
  <c r="P54" i="51"/>
  <c r="BG54" i="51" s="1"/>
  <c r="O54" i="51"/>
  <c r="BF54" i="51" s="1"/>
  <c r="N54" i="51"/>
  <c r="BE54" i="51" s="1"/>
  <c r="M54" i="51"/>
  <c r="BD54" i="51" s="1"/>
  <c r="K54" i="51"/>
  <c r="BB54" i="51" s="1"/>
  <c r="J54" i="51"/>
  <c r="BA54" i="51" s="1"/>
  <c r="I54" i="51"/>
  <c r="AZ54" i="51" s="1"/>
  <c r="H54" i="51"/>
  <c r="AY54" i="51" s="1"/>
  <c r="G54" i="51"/>
  <c r="AX54" i="51" s="1"/>
  <c r="F54" i="51"/>
  <c r="AW54" i="51" s="1"/>
  <c r="AT53" i="51"/>
  <c r="CK53" i="51" s="1"/>
  <c r="AS53" i="51"/>
  <c r="CJ53" i="51" s="1"/>
  <c r="AR53" i="51"/>
  <c r="CI53" i="51" s="1"/>
  <c r="AQ53" i="51"/>
  <c r="CH53" i="51" s="1"/>
  <c r="AP53" i="51"/>
  <c r="CG53" i="51" s="1"/>
  <c r="AO53" i="51"/>
  <c r="CF53" i="51" s="1"/>
  <c r="AM53" i="51"/>
  <c r="CD53" i="51" s="1"/>
  <c r="AL53" i="51"/>
  <c r="CC53" i="51" s="1"/>
  <c r="AK53" i="51"/>
  <c r="CB53" i="51" s="1"/>
  <c r="AJ53" i="51"/>
  <c r="CA53" i="51" s="1"/>
  <c r="AI53" i="51"/>
  <c r="BZ53" i="51" s="1"/>
  <c r="AH53" i="51"/>
  <c r="AF53" i="51"/>
  <c r="BW53" i="51" s="1"/>
  <c r="AE53" i="51"/>
  <c r="BV53" i="51" s="1"/>
  <c r="AD53" i="51"/>
  <c r="BU53" i="51" s="1"/>
  <c r="AC53" i="51"/>
  <c r="BT53" i="51" s="1"/>
  <c r="AB53" i="51"/>
  <c r="BS53" i="51" s="1"/>
  <c r="AA53" i="51"/>
  <c r="Y53" i="51"/>
  <c r="BP53" i="51" s="1"/>
  <c r="X53" i="51"/>
  <c r="BO53" i="51" s="1"/>
  <c r="W53" i="51"/>
  <c r="BN53" i="51" s="1"/>
  <c r="V53" i="51"/>
  <c r="BM53" i="51" s="1"/>
  <c r="U53" i="51"/>
  <c r="BL53" i="51" s="1"/>
  <c r="T53" i="51"/>
  <c r="BK53" i="51" s="1"/>
  <c r="R53" i="51"/>
  <c r="BI53" i="51" s="1"/>
  <c r="Q53" i="51"/>
  <c r="BH53" i="51" s="1"/>
  <c r="P53" i="51"/>
  <c r="BG53" i="51" s="1"/>
  <c r="O53" i="51"/>
  <c r="BF53" i="51" s="1"/>
  <c r="N53" i="51"/>
  <c r="BE53" i="51" s="1"/>
  <c r="M53" i="51"/>
  <c r="BD53" i="51" s="1"/>
  <c r="K53" i="51"/>
  <c r="BB53" i="51" s="1"/>
  <c r="J53" i="51"/>
  <c r="BA53" i="51" s="1"/>
  <c r="I53" i="51"/>
  <c r="AZ53" i="51" s="1"/>
  <c r="H53" i="51"/>
  <c r="AY53" i="51" s="1"/>
  <c r="G53" i="51"/>
  <c r="AX53" i="51" s="1"/>
  <c r="F53" i="51"/>
  <c r="AW53" i="51" s="1"/>
  <c r="AT52" i="51"/>
  <c r="CK52" i="51" s="1"/>
  <c r="AS52" i="51"/>
  <c r="CJ52" i="51" s="1"/>
  <c r="AR52" i="51"/>
  <c r="CI52" i="51" s="1"/>
  <c r="AQ52" i="51"/>
  <c r="CH52" i="51" s="1"/>
  <c r="AP52" i="51"/>
  <c r="CG52" i="51" s="1"/>
  <c r="AO52" i="51"/>
  <c r="CF52" i="51" s="1"/>
  <c r="AM52" i="51"/>
  <c r="CD52" i="51" s="1"/>
  <c r="AL52" i="51"/>
  <c r="CC52" i="51" s="1"/>
  <c r="AK52" i="51"/>
  <c r="CB52" i="51" s="1"/>
  <c r="AJ52" i="51"/>
  <c r="CA52" i="51" s="1"/>
  <c r="AI52" i="51"/>
  <c r="BZ52" i="51" s="1"/>
  <c r="AH52" i="51"/>
  <c r="AF52" i="51"/>
  <c r="BW52" i="51" s="1"/>
  <c r="AE52" i="51"/>
  <c r="BV52" i="51" s="1"/>
  <c r="AD52" i="51"/>
  <c r="BU52" i="51" s="1"/>
  <c r="AC52" i="51"/>
  <c r="BT52" i="51" s="1"/>
  <c r="AB52" i="51"/>
  <c r="BS52" i="51" s="1"/>
  <c r="AA52" i="51"/>
  <c r="Y52" i="51"/>
  <c r="BP52" i="51" s="1"/>
  <c r="X52" i="51"/>
  <c r="BO52" i="51" s="1"/>
  <c r="W52" i="51"/>
  <c r="BN52" i="51" s="1"/>
  <c r="V52" i="51"/>
  <c r="BM52" i="51" s="1"/>
  <c r="U52" i="51"/>
  <c r="BL52" i="51" s="1"/>
  <c r="T52" i="51"/>
  <c r="BK52" i="51" s="1"/>
  <c r="R52" i="51"/>
  <c r="BI52" i="51" s="1"/>
  <c r="Q52" i="51"/>
  <c r="BH52" i="51" s="1"/>
  <c r="P52" i="51"/>
  <c r="BG52" i="51" s="1"/>
  <c r="O52" i="51"/>
  <c r="BF52" i="51" s="1"/>
  <c r="N52" i="51"/>
  <c r="BE52" i="51" s="1"/>
  <c r="M52" i="51"/>
  <c r="BD52" i="51" s="1"/>
  <c r="K52" i="51"/>
  <c r="BB52" i="51" s="1"/>
  <c r="J52" i="51"/>
  <c r="BA52" i="51" s="1"/>
  <c r="I52" i="51"/>
  <c r="AZ52" i="51" s="1"/>
  <c r="H52" i="51"/>
  <c r="AY52" i="51" s="1"/>
  <c r="G52" i="51"/>
  <c r="AX52" i="51" s="1"/>
  <c r="F52" i="51"/>
  <c r="AW52" i="51" s="1"/>
  <c r="AM51" i="51"/>
  <c r="CD51" i="51" s="1"/>
  <c r="AL51" i="51"/>
  <c r="CC51" i="51" s="1"/>
  <c r="AK51" i="51"/>
  <c r="CB51" i="51" s="1"/>
  <c r="AJ51" i="51"/>
  <c r="CA51" i="51" s="1"/>
  <c r="AI51" i="51"/>
  <c r="BZ51" i="51" s="1"/>
  <c r="AH51" i="51"/>
  <c r="AF51" i="51"/>
  <c r="BW51" i="51" s="1"/>
  <c r="AE51" i="51"/>
  <c r="BV51" i="51" s="1"/>
  <c r="AD51" i="51"/>
  <c r="BU51" i="51" s="1"/>
  <c r="AC51" i="51"/>
  <c r="BT51" i="51" s="1"/>
  <c r="AB51" i="51"/>
  <c r="BS51" i="51" s="1"/>
  <c r="AA51" i="51"/>
  <c r="Y51" i="51"/>
  <c r="BP51" i="51" s="1"/>
  <c r="X51" i="51"/>
  <c r="BO51" i="51" s="1"/>
  <c r="W51" i="51"/>
  <c r="BN51" i="51" s="1"/>
  <c r="V51" i="51"/>
  <c r="BM51" i="51" s="1"/>
  <c r="U51" i="51"/>
  <c r="BL51" i="51" s="1"/>
  <c r="T51" i="51"/>
  <c r="BK51" i="51" s="1"/>
  <c r="R51" i="51"/>
  <c r="BI51" i="51" s="1"/>
  <c r="Q51" i="51"/>
  <c r="BH51" i="51" s="1"/>
  <c r="P51" i="51"/>
  <c r="BG51" i="51" s="1"/>
  <c r="O51" i="51"/>
  <c r="BF51" i="51" s="1"/>
  <c r="N51" i="51"/>
  <c r="BE51" i="51" s="1"/>
  <c r="M51" i="51"/>
  <c r="BD51" i="51" s="1"/>
  <c r="K51" i="51"/>
  <c r="BB51" i="51" s="1"/>
  <c r="J51" i="51"/>
  <c r="BA51" i="51" s="1"/>
  <c r="I51" i="51"/>
  <c r="AZ51" i="51" s="1"/>
  <c r="H51" i="51"/>
  <c r="AY51" i="51" s="1"/>
  <c r="G51" i="51"/>
  <c r="AX51" i="51" s="1"/>
  <c r="F51" i="51"/>
  <c r="AW51" i="51" s="1"/>
  <c r="AT49" i="51"/>
  <c r="CK49" i="51" s="1"/>
  <c r="AS49" i="51"/>
  <c r="CJ49" i="51" s="1"/>
  <c r="AR49" i="51"/>
  <c r="CI49" i="51" s="1"/>
  <c r="AQ49" i="51"/>
  <c r="CH49" i="51" s="1"/>
  <c r="AP49" i="51"/>
  <c r="CG49" i="51" s="1"/>
  <c r="AO49" i="51"/>
  <c r="CF49" i="51" s="1"/>
  <c r="AM49" i="51"/>
  <c r="CD49" i="51" s="1"/>
  <c r="AL49" i="51"/>
  <c r="CC49" i="51" s="1"/>
  <c r="AK49" i="51"/>
  <c r="CB49" i="51" s="1"/>
  <c r="AJ49" i="51"/>
  <c r="CA49" i="51" s="1"/>
  <c r="AI49" i="51"/>
  <c r="BZ49" i="51" s="1"/>
  <c r="AH49" i="51"/>
  <c r="AF49" i="51"/>
  <c r="BW49" i="51" s="1"/>
  <c r="AE49" i="51"/>
  <c r="BV49" i="51" s="1"/>
  <c r="AD49" i="51"/>
  <c r="BU49" i="51" s="1"/>
  <c r="AC49" i="51"/>
  <c r="BT49" i="51" s="1"/>
  <c r="AB49" i="51"/>
  <c r="BS49" i="51" s="1"/>
  <c r="AA49" i="51"/>
  <c r="Y49" i="51"/>
  <c r="BP49" i="51" s="1"/>
  <c r="X49" i="51"/>
  <c r="BO49" i="51" s="1"/>
  <c r="W49" i="51"/>
  <c r="BN49" i="51" s="1"/>
  <c r="V49" i="51"/>
  <c r="BM49" i="51" s="1"/>
  <c r="U49" i="51"/>
  <c r="BL49" i="51" s="1"/>
  <c r="T49" i="51"/>
  <c r="BK49" i="51" s="1"/>
  <c r="R49" i="51"/>
  <c r="BI49" i="51" s="1"/>
  <c r="Q49" i="51"/>
  <c r="BH49" i="51" s="1"/>
  <c r="P49" i="51"/>
  <c r="BG49" i="51" s="1"/>
  <c r="O49" i="51"/>
  <c r="BF49" i="51" s="1"/>
  <c r="N49" i="51"/>
  <c r="BE49" i="51" s="1"/>
  <c r="M49" i="51"/>
  <c r="BD49" i="51" s="1"/>
  <c r="K49" i="51"/>
  <c r="BB49" i="51" s="1"/>
  <c r="J49" i="51"/>
  <c r="BA49" i="51" s="1"/>
  <c r="I49" i="51"/>
  <c r="AZ49" i="51" s="1"/>
  <c r="H49" i="51"/>
  <c r="AY49" i="51" s="1"/>
  <c r="G49" i="51"/>
  <c r="AX49" i="51" s="1"/>
  <c r="F49" i="51"/>
  <c r="AW49" i="51" s="1"/>
  <c r="AT44" i="51"/>
  <c r="CK44" i="51" s="1"/>
  <c r="AS44" i="51"/>
  <c r="CJ44" i="51" s="1"/>
  <c r="AR44" i="51"/>
  <c r="CI44" i="51" s="1"/>
  <c r="AQ44" i="51"/>
  <c r="CH44" i="51" s="1"/>
  <c r="AP44" i="51"/>
  <c r="CG44" i="51" s="1"/>
  <c r="AO44" i="51"/>
  <c r="CF44" i="51" s="1"/>
  <c r="AM44" i="51"/>
  <c r="CD44" i="51" s="1"/>
  <c r="AL44" i="51"/>
  <c r="CC44" i="51" s="1"/>
  <c r="AK44" i="51"/>
  <c r="CB44" i="51" s="1"/>
  <c r="AJ44" i="51"/>
  <c r="CA44" i="51" s="1"/>
  <c r="AI44" i="51"/>
  <c r="BZ44" i="51" s="1"/>
  <c r="AH44" i="51"/>
  <c r="AF44" i="51"/>
  <c r="BW44" i="51" s="1"/>
  <c r="AE44" i="51"/>
  <c r="BV44" i="51" s="1"/>
  <c r="AD44" i="51"/>
  <c r="BU44" i="51" s="1"/>
  <c r="AC44" i="51"/>
  <c r="BT44" i="51" s="1"/>
  <c r="AB44" i="51"/>
  <c r="BS44" i="51" s="1"/>
  <c r="AA44" i="51"/>
  <c r="Y44" i="51"/>
  <c r="BP44" i="51" s="1"/>
  <c r="X44" i="51"/>
  <c r="BO44" i="51" s="1"/>
  <c r="W44" i="51"/>
  <c r="BN44" i="51" s="1"/>
  <c r="V44" i="51"/>
  <c r="BM44" i="51" s="1"/>
  <c r="U44" i="51"/>
  <c r="BL44" i="51" s="1"/>
  <c r="T44" i="51"/>
  <c r="BK44" i="51" s="1"/>
  <c r="R44" i="51"/>
  <c r="BI44" i="51" s="1"/>
  <c r="Q44" i="51"/>
  <c r="BH44" i="51" s="1"/>
  <c r="P44" i="51"/>
  <c r="BG44" i="51" s="1"/>
  <c r="O44" i="51"/>
  <c r="BF44" i="51" s="1"/>
  <c r="N44" i="51"/>
  <c r="BE44" i="51" s="1"/>
  <c r="M44" i="51"/>
  <c r="BD44" i="51" s="1"/>
  <c r="K44" i="51"/>
  <c r="BB44" i="51" s="1"/>
  <c r="J44" i="51"/>
  <c r="BA44" i="51" s="1"/>
  <c r="I44" i="51"/>
  <c r="AZ44" i="51" s="1"/>
  <c r="H44" i="51"/>
  <c r="AY44" i="51" s="1"/>
  <c r="G44" i="51"/>
  <c r="AX44" i="51" s="1"/>
  <c r="F44" i="51"/>
  <c r="AW44" i="51" s="1"/>
  <c r="AT43" i="51"/>
  <c r="CK43" i="51" s="1"/>
  <c r="AS43" i="51"/>
  <c r="CJ43" i="51" s="1"/>
  <c r="AR43" i="51"/>
  <c r="CI43" i="51" s="1"/>
  <c r="AQ43" i="51"/>
  <c r="CH43" i="51" s="1"/>
  <c r="AP43" i="51"/>
  <c r="CG43" i="51" s="1"/>
  <c r="AO43" i="51"/>
  <c r="CF43" i="51" s="1"/>
  <c r="AM43" i="51"/>
  <c r="CD43" i="51" s="1"/>
  <c r="AL43" i="51"/>
  <c r="CC43" i="51" s="1"/>
  <c r="AK43" i="51"/>
  <c r="CB43" i="51" s="1"/>
  <c r="AJ43" i="51"/>
  <c r="CA43" i="51" s="1"/>
  <c r="AI43" i="51"/>
  <c r="BZ43" i="51" s="1"/>
  <c r="AH43" i="51"/>
  <c r="AF43" i="51"/>
  <c r="BW43" i="51" s="1"/>
  <c r="AE43" i="51"/>
  <c r="BV43" i="51" s="1"/>
  <c r="AD43" i="51"/>
  <c r="BU43" i="51" s="1"/>
  <c r="AC43" i="51"/>
  <c r="BT43" i="51" s="1"/>
  <c r="AB43" i="51"/>
  <c r="BS43" i="51" s="1"/>
  <c r="AA43" i="51"/>
  <c r="Y43" i="51"/>
  <c r="BP43" i="51" s="1"/>
  <c r="X43" i="51"/>
  <c r="BO43" i="51" s="1"/>
  <c r="W43" i="51"/>
  <c r="BN43" i="51" s="1"/>
  <c r="V43" i="51"/>
  <c r="BM43" i="51" s="1"/>
  <c r="U43" i="51"/>
  <c r="BL43" i="51" s="1"/>
  <c r="T43" i="51"/>
  <c r="BK43" i="51" s="1"/>
  <c r="R43" i="51"/>
  <c r="BI43" i="51" s="1"/>
  <c r="Q43" i="51"/>
  <c r="BH43" i="51" s="1"/>
  <c r="P43" i="51"/>
  <c r="BG43" i="51" s="1"/>
  <c r="O43" i="51"/>
  <c r="BF43" i="51" s="1"/>
  <c r="N43" i="51"/>
  <c r="BE43" i="51" s="1"/>
  <c r="M43" i="51"/>
  <c r="BD43" i="51" s="1"/>
  <c r="K43" i="51"/>
  <c r="BB43" i="51" s="1"/>
  <c r="J43" i="51"/>
  <c r="BA43" i="51" s="1"/>
  <c r="I43" i="51"/>
  <c r="AZ43" i="51" s="1"/>
  <c r="H43" i="51"/>
  <c r="AY43" i="51" s="1"/>
  <c r="G43" i="51"/>
  <c r="AX43" i="51" s="1"/>
  <c r="F43" i="51"/>
  <c r="AW43" i="51" s="1"/>
  <c r="AT42" i="51"/>
  <c r="CK42" i="51" s="1"/>
  <c r="AS42" i="51"/>
  <c r="CJ42" i="51" s="1"/>
  <c r="AR42" i="51"/>
  <c r="CI42" i="51" s="1"/>
  <c r="AQ42" i="51"/>
  <c r="CH42" i="51" s="1"/>
  <c r="AP42" i="51"/>
  <c r="CG42" i="51" s="1"/>
  <c r="AO42" i="51"/>
  <c r="CF42" i="51" s="1"/>
  <c r="AM42" i="51"/>
  <c r="CD42" i="51" s="1"/>
  <c r="AL42" i="51"/>
  <c r="CC42" i="51" s="1"/>
  <c r="AK42" i="51"/>
  <c r="CB42" i="51" s="1"/>
  <c r="AJ42" i="51"/>
  <c r="CA42" i="51" s="1"/>
  <c r="AI42" i="51"/>
  <c r="BZ42" i="51" s="1"/>
  <c r="AH42" i="51"/>
  <c r="AF42" i="51"/>
  <c r="BW42" i="51" s="1"/>
  <c r="AE42" i="51"/>
  <c r="BV42" i="51" s="1"/>
  <c r="AD42" i="51"/>
  <c r="BU42" i="51" s="1"/>
  <c r="AC42" i="51"/>
  <c r="BT42" i="51" s="1"/>
  <c r="AB42" i="51"/>
  <c r="BS42" i="51" s="1"/>
  <c r="AA42" i="51"/>
  <c r="Y42" i="51"/>
  <c r="BP42" i="51" s="1"/>
  <c r="X42" i="51"/>
  <c r="BO42" i="51" s="1"/>
  <c r="W42" i="51"/>
  <c r="BN42" i="51" s="1"/>
  <c r="V42" i="51"/>
  <c r="BM42" i="51" s="1"/>
  <c r="U42" i="51"/>
  <c r="BL42" i="51" s="1"/>
  <c r="T42" i="51"/>
  <c r="BK42" i="51" s="1"/>
  <c r="R42" i="51"/>
  <c r="BI42" i="51" s="1"/>
  <c r="Q42" i="51"/>
  <c r="BH42" i="51" s="1"/>
  <c r="P42" i="51"/>
  <c r="BG42" i="51" s="1"/>
  <c r="O42" i="51"/>
  <c r="BF42" i="51" s="1"/>
  <c r="N42" i="51"/>
  <c r="BE42" i="51" s="1"/>
  <c r="M42" i="51"/>
  <c r="BD42" i="51" s="1"/>
  <c r="K42" i="51"/>
  <c r="BB42" i="51" s="1"/>
  <c r="J42" i="51"/>
  <c r="BA42" i="51" s="1"/>
  <c r="I42" i="51"/>
  <c r="AZ42" i="51" s="1"/>
  <c r="H42" i="51"/>
  <c r="AY42" i="51" s="1"/>
  <c r="G42" i="51"/>
  <c r="AX42" i="51" s="1"/>
  <c r="F42" i="51"/>
  <c r="AW42" i="51" s="1"/>
  <c r="AT41" i="51"/>
  <c r="CK41" i="51" s="1"/>
  <c r="AS41" i="51"/>
  <c r="CJ41" i="51" s="1"/>
  <c r="AR41" i="51"/>
  <c r="CI41" i="51" s="1"/>
  <c r="AQ41" i="51"/>
  <c r="CH41" i="51" s="1"/>
  <c r="AP41" i="51"/>
  <c r="CG41" i="51" s="1"/>
  <c r="AO41" i="51"/>
  <c r="CF41" i="51" s="1"/>
  <c r="AT40" i="51"/>
  <c r="CK40" i="51" s="1"/>
  <c r="AS40" i="51"/>
  <c r="CJ40" i="51" s="1"/>
  <c r="AR40" i="51"/>
  <c r="CI40" i="51" s="1"/>
  <c r="AQ40" i="51"/>
  <c r="CH40" i="51" s="1"/>
  <c r="AP40" i="51"/>
  <c r="CG40" i="51" s="1"/>
  <c r="AO40" i="51"/>
  <c r="CF40" i="51" s="1"/>
  <c r="AM40" i="51"/>
  <c r="CD40" i="51" s="1"/>
  <c r="AL40" i="51"/>
  <c r="CC40" i="51" s="1"/>
  <c r="AK40" i="51"/>
  <c r="CB40" i="51" s="1"/>
  <c r="AJ40" i="51"/>
  <c r="CA40" i="51" s="1"/>
  <c r="AI40" i="51"/>
  <c r="BZ40" i="51" s="1"/>
  <c r="AH40" i="51"/>
  <c r="AF40" i="51"/>
  <c r="BW40" i="51" s="1"/>
  <c r="AE40" i="51"/>
  <c r="BV40" i="51" s="1"/>
  <c r="AD40" i="51"/>
  <c r="BU40" i="51" s="1"/>
  <c r="AC40" i="51"/>
  <c r="BT40" i="51" s="1"/>
  <c r="AB40" i="51"/>
  <c r="BS40" i="51" s="1"/>
  <c r="AA40" i="51"/>
  <c r="Y40" i="51"/>
  <c r="BP40" i="51" s="1"/>
  <c r="X40" i="51"/>
  <c r="BO40" i="51" s="1"/>
  <c r="W40" i="51"/>
  <c r="BN40" i="51" s="1"/>
  <c r="V40" i="51"/>
  <c r="BM40" i="51" s="1"/>
  <c r="U40" i="51"/>
  <c r="BL40" i="51" s="1"/>
  <c r="T40" i="51"/>
  <c r="BK40" i="51" s="1"/>
  <c r="K40" i="51"/>
  <c r="BB40" i="51" s="1"/>
  <c r="J40" i="51"/>
  <c r="BA40" i="51" s="1"/>
  <c r="I40" i="51"/>
  <c r="AZ40" i="51" s="1"/>
  <c r="H40" i="51"/>
  <c r="AY40" i="51" s="1"/>
  <c r="G40" i="51"/>
  <c r="AX40" i="51" s="1"/>
  <c r="F40" i="51"/>
  <c r="AW40" i="51" s="1"/>
  <c r="AT39" i="51"/>
  <c r="CK39" i="51" s="1"/>
  <c r="AS39" i="51"/>
  <c r="CJ39" i="51" s="1"/>
  <c r="AR39" i="51"/>
  <c r="CI39" i="51" s="1"/>
  <c r="AQ39" i="51"/>
  <c r="CH39" i="51" s="1"/>
  <c r="AP39" i="51"/>
  <c r="CG39" i="51" s="1"/>
  <c r="AO39" i="51"/>
  <c r="CF39" i="51" s="1"/>
  <c r="Y39" i="51"/>
  <c r="BP39" i="51" s="1"/>
  <c r="X39" i="51"/>
  <c r="BO39" i="51" s="1"/>
  <c r="W39" i="51"/>
  <c r="BN39" i="51" s="1"/>
  <c r="V39" i="51"/>
  <c r="BM39" i="51" s="1"/>
  <c r="U39" i="51"/>
  <c r="BL39" i="51" s="1"/>
  <c r="T39" i="51"/>
  <c r="BK39" i="51" s="1"/>
  <c r="R39" i="51"/>
  <c r="BI39" i="51" s="1"/>
  <c r="Q39" i="51"/>
  <c r="BH39" i="51" s="1"/>
  <c r="P39" i="51"/>
  <c r="BG39" i="51" s="1"/>
  <c r="O39" i="51"/>
  <c r="BF39" i="51" s="1"/>
  <c r="N39" i="51"/>
  <c r="BE39" i="51" s="1"/>
  <c r="M39" i="51"/>
  <c r="BD39" i="51" s="1"/>
  <c r="AT38" i="51"/>
  <c r="CK38" i="51" s="1"/>
  <c r="AS38" i="51"/>
  <c r="CJ38" i="51" s="1"/>
  <c r="AR38" i="51"/>
  <c r="CI38" i="51" s="1"/>
  <c r="AQ38" i="51"/>
  <c r="CH38" i="51" s="1"/>
  <c r="AP38" i="51"/>
  <c r="CG38" i="51" s="1"/>
  <c r="AO38" i="51"/>
  <c r="CF38" i="51" s="1"/>
  <c r="Y38" i="51"/>
  <c r="BP38" i="51" s="1"/>
  <c r="X38" i="51"/>
  <c r="BO38" i="51" s="1"/>
  <c r="W38" i="51"/>
  <c r="BN38" i="51" s="1"/>
  <c r="V38" i="51"/>
  <c r="BM38" i="51" s="1"/>
  <c r="U38" i="51"/>
  <c r="BL38" i="51" s="1"/>
  <c r="T38" i="51"/>
  <c r="BK38" i="51" s="1"/>
  <c r="R38" i="51"/>
  <c r="BI38" i="51" s="1"/>
  <c r="Q38" i="51"/>
  <c r="BH38" i="51" s="1"/>
  <c r="P38" i="51"/>
  <c r="BG38" i="51" s="1"/>
  <c r="O38" i="51"/>
  <c r="BF38" i="51" s="1"/>
  <c r="N38" i="51"/>
  <c r="BE38" i="51" s="1"/>
  <c r="M38" i="51"/>
  <c r="BD38" i="51" s="1"/>
  <c r="AT37" i="51"/>
  <c r="CK37" i="51" s="1"/>
  <c r="AS37" i="51"/>
  <c r="CJ37" i="51" s="1"/>
  <c r="AR37" i="51"/>
  <c r="CI37" i="51" s="1"/>
  <c r="AQ37" i="51"/>
  <c r="CH37" i="51" s="1"/>
  <c r="AP37" i="51"/>
  <c r="CG37" i="51" s="1"/>
  <c r="AO37" i="51"/>
  <c r="CF37" i="51" s="1"/>
  <c r="AM37" i="51"/>
  <c r="CD37" i="51" s="1"/>
  <c r="AL37" i="51"/>
  <c r="CC37" i="51" s="1"/>
  <c r="AK37" i="51"/>
  <c r="CB37" i="51" s="1"/>
  <c r="AJ37" i="51"/>
  <c r="CA37" i="51" s="1"/>
  <c r="AI37" i="51"/>
  <c r="BZ37" i="51" s="1"/>
  <c r="AH37" i="51"/>
  <c r="AF37" i="51"/>
  <c r="BW37" i="51" s="1"/>
  <c r="AE37" i="51"/>
  <c r="BV37" i="51" s="1"/>
  <c r="AD37" i="51"/>
  <c r="BU37" i="51" s="1"/>
  <c r="AC37" i="51"/>
  <c r="BT37" i="51" s="1"/>
  <c r="AB37" i="51"/>
  <c r="BS37" i="51" s="1"/>
  <c r="AA37" i="51"/>
  <c r="Y37" i="51"/>
  <c r="BP37" i="51" s="1"/>
  <c r="X37" i="51"/>
  <c r="BO37" i="51" s="1"/>
  <c r="W37" i="51"/>
  <c r="BN37" i="51" s="1"/>
  <c r="V37" i="51"/>
  <c r="BM37" i="51" s="1"/>
  <c r="U37" i="51"/>
  <c r="BL37" i="51" s="1"/>
  <c r="T37" i="51"/>
  <c r="BK37" i="51" s="1"/>
  <c r="R37" i="51"/>
  <c r="BI37" i="51" s="1"/>
  <c r="Q37" i="51"/>
  <c r="BH37" i="51" s="1"/>
  <c r="P37" i="51"/>
  <c r="BG37" i="51" s="1"/>
  <c r="O37" i="51"/>
  <c r="BF37" i="51" s="1"/>
  <c r="N37" i="51"/>
  <c r="BE37" i="51" s="1"/>
  <c r="M37" i="51"/>
  <c r="BD37" i="51" s="1"/>
  <c r="K37" i="51"/>
  <c r="BB37" i="51" s="1"/>
  <c r="J37" i="51"/>
  <c r="BA37" i="51" s="1"/>
  <c r="I37" i="51"/>
  <c r="AZ37" i="51" s="1"/>
  <c r="H37" i="51"/>
  <c r="AY37" i="51" s="1"/>
  <c r="G37" i="51"/>
  <c r="AX37" i="51" s="1"/>
  <c r="F37" i="51"/>
  <c r="AW37" i="51" s="1"/>
  <c r="AT36" i="51"/>
  <c r="CK36" i="51" s="1"/>
  <c r="AS36" i="51"/>
  <c r="CJ36" i="51" s="1"/>
  <c r="AR36" i="51"/>
  <c r="CI36" i="51" s="1"/>
  <c r="AQ36" i="51"/>
  <c r="CH36" i="51" s="1"/>
  <c r="AP36" i="51"/>
  <c r="CG36" i="51" s="1"/>
  <c r="AO36" i="51"/>
  <c r="CF36" i="51" s="1"/>
  <c r="Y36" i="51"/>
  <c r="BP36" i="51" s="1"/>
  <c r="X36" i="51"/>
  <c r="BO36" i="51" s="1"/>
  <c r="W36" i="51"/>
  <c r="BN36" i="51" s="1"/>
  <c r="V36" i="51"/>
  <c r="BM36" i="51" s="1"/>
  <c r="U36" i="51"/>
  <c r="BL36" i="51" s="1"/>
  <c r="T36" i="51"/>
  <c r="BK36" i="51" s="1"/>
  <c r="R36" i="51"/>
  <c r="BI36" i="51" s="1"/>
  <c r="Q36" i="51"/>
  <c r="BH36" i="51" s="1"/>
  <c r="P36" i="51"/>
  <c r="BG36" i="51" s="1"/>
  <c r="O36" i="51"/>
  <c r="BF36" i="51" s="1"/>
  <c r="N36" i="51"/>
  <c r="BE36" i="51" s="1"/>
  <c r="M36" i="51"/>
  <c r="BD36" i="51" s="1"/>
  <c r="AT35" i="51"/>
  <c r="CK35" i="51" s="1"/>
  <c r="AS35" i="51"/>
  <c r="CJ35" i="51" s="1"/>
  <c r="AR35" i="51"/>
  <c r="CI35" i="51" s="1"/>
  <c r="AQ35" i="51"/>
  <c r="CH35" i="51" s="1"/>
  <c r="AP35" i="51"/>
  <c r="CG35" i="51" s="1"/>
  <c r="AO35" i="51"/>
  <c r="CF35" i="51" s="1"/>
  <c r="Y35" i="51"/>
  <c r="BP35" i="51" s="1"/>
  <c r="X35" i="51"/>
  <c r="BO35" i="51" s="1"/>
  <c r="W35" i="51"/>
  <c r="BN35" i="51" s="1"/>
  <c r="V35" i="51"/>
  <c r="BM35" i="51" s="1"/>
  <c r="U35" i="51"/>
  <c r="BL35" i="51" s="1"/>
  <c r="T35" i="51"/>
  <c r="BK35" i="51" s="1"/>
  <c r="R35" i="51"/>
  <c r="BI35" i="51" s="1"/>
  <c r="Q35" i="51"/>
  <c r="BH35" i="51" s="1"/>
  <c r="P35" i="51"/>
  <c r="BG35" i="51" s="1"/>
  <c r="O35" i="51"/>
  <c r="BF35" i="51" s="1"/>
  <c r="N35" i="51"/>
  <c r="BE35" i="51" s="1"/>
  <c r="M35" i="51"/>
  <c r="BD35" i="51" s="1"/>
  <c r="AT33" i="51"/>
  <c r="CK33" i="51" s="1"/>
  <c r="AS33" i="51"/>
  <c r="CJ33" i="51" s="1"/>
  <c r="AR33" i="51"/>
  <c r="CI33" i="51" s="1"/>
  <c r="AQ33" i="51"/>
  <c r="CH33" i="51" s="1"/>
  <c r="AP33" i="51"/>
  <c r="CG33" i="51" s="1"/>
  <c r="AO33" i="51"/>
  <c r="CF33" i="51" s="1"/>
  <c r="AM33" i="51"/>
  <c r="CD33" i="51" s="1"/>
  <c r="AL33" i="51"/>
  <c r="CC33" i="51" s="1"/>
  <c r="AK33" i="51"/>
  <c r="CB33" i="51" s="1"/>
  <c r="AJ33" i="51"/>
  <c r="CA33" i="51" s="1"/>
  <c r="AI33" i="51"/>
  <c r="BZ33" i="51" s="1"/>
  <c r="AH33" i="51"/>
  <c r="AF33" i="51"/>
  <c r="BW33" i="51" s="1"/>
  <c r="AE33" i="51"/>
  <c r="BV33" i="51" s="1"/>
  <c r="AD33" i="51"/>
  <c r="BU33" i="51" s="1"/>
  <c r="AC33" i="51"/>
  <c r="BT33" i="51" s="1"/>
  <c r="AB33" i="51"/>
  <c r="BS33" i="51" s="1"/>
  <c r="AA33" i="51"/>
  <c r="Y33" i="51"/>
  <c r="BP33" i="51" s="1"/>
  <c r="X33" i="51"/>
  <c r="BO33" i="51" s="1"/>
  <c r="W33" i="51"/>
  <c r="BN33" i="51" s="1"/>
  <c r="V33" i="51"/>
  <c r="BM33" i="51" s="1"/>
  <c r="U33" i="51"/>
  <c r="BL33" i="51" s="1"/>
  <c r="T33" i="51"/>
  <c r="BK33" i="51" s="1"/>
  <c r="R33" i="51"/>
  <c r="BI33" i="51" s="1"/>
  <c r="Q33" i="51"/>
  <c r="BH33" i="51" s="1"/>
  <c r="P33" i="51"/>
  <c r="BG33" i="51" s="1"/>
  <c r="O33" i="51"/>
  <c r="BF33" i="51" s="1"/>
  <c r="N33" i="51"/>
  <c r="BE33" i="51" s="1"/>
  <c r="M33" i="51"/>
  <c r="BD33" i="51" s="1"/>
  <c r="K33" i="51"/>
  <c r="BB33" i="51" s="1"/>
  <c r="J33" i="51"/>
  <c r="BA33" i="51" s="1"/>
  <c r="I33" i="51"/>
  <c r="AZ33" i="51" s="1"/>
  <c r="H33" i="51"/>
  <c r="AY33" i="51" s="1"/>
  <c r="G33" i="51"/>
  <c r="AX33" i="51" s="1"/>
  <c r="F33" i="51"/>
  <c r="AW33" i="51" s="1"/>
  <c r="AT32" i="51"/>
  <c r="CK32" i="51" s="1"/>
  <c r="AS32" i="51"/>
  <c r="CJ32" i="51" s="1"/>
  <c r="AR32" i="51"/>
  <c r="CI32" i="51" s="1"/>
  <c r="AQ32" i="51"/>
  <c r="CH32" i="51" s="1"/>
  <c r="AP32" i="51"/>
  <c r="AO32" i="51"/>
  <c r="CF32" i="51" s="1"/>
  <c r="AM32" i="51"/>
  <c r="AL32" i="51"/>
  <c r="CC32" i="51" s="1"/>
  <c r="AK32" i="51"/>
  <c r="CB32" i="51" s="1"/>
  <c r="AJ32" i="51"/>
  <c r="CA32" i="51" s="1"/>
  <c r="AI32" i="51"/>
  <c r="BZ32" i="51" s="1"/>
  <c r="AH32" i="51"/>
  <c r="AF32" i="51"/>
  <c r="AE32" i="51"/>
  <c r="AD32" i="51"/>
  <c r="AC32" i="51"/>
  <c r="BT32" i="51" s="1"/>
  <c r="AB32" i="51"/>
  <c r="BS32" i="51" s="1"/>
  <c r="AA32" i="51"/>
  <c r="Y32" i="51"/>
  <c r="BP32" i="51" s="1"/>
  <c r="X32" i="51"/>
  <c r="BO32" i="51" s="1"/>
  <c r="W32" i="51"/>
  <c r="V32" i="51"/>
  <c r="U32" i="51"/>
  <c r="T32" i="51"/>
  <c r="BK32" i="51" s="1"/>
  <c r="R32" i="51"/>
  <c r="BI32" i="51" s="1"/>
  <c r="Q32" i="51"/>
  <c r="BH32" i="51" s="1"/>
  <c r="P32" i="51"/>
  <c r="BG32" i="51" s="1"/>
  <c r="O32" i="51"/>
  <c r="BF32" i="51" s="1"/>
  <c r="N32" i="51"/>
  <c r="M32" i="51"/>
  <c r="BD32" i="51" s="1"/>
  <c r="K32" i="51"/>
  <c r="J32" i="51"/>
  <c r="BA32" i="51" s="1"/>
  <c r="I32" i="51"/>
  <c r="AZ32" i="51" s="1"/>
  <c r="H32" i="51"/>
  <c r="AY32" i="51" s="1"/>
  <c r="G32" i="51"/>
  <c r="AX32" i="51" s="1"/>
  <c r="F32" i="51"/>
  <c r="AW32" i="51" s="1"/>
  <c r="AT28" i="51"/>
  <c r="CK28" i="51" s="1"/>
  <c r="AS28" i="51"/>
  <c r="CJ28" i="51" s="1"/>
  <c r="AR28" i="51"/>
  <c r="CI28" i="51" s="1"/>
  <c r="AQ28" i="51"/>
  <c r="CH28" i="51" s="1"/>
  <c r="AP28" i="51"/>
  <c r="CG28" i="51" s="1"/>
  <c r="AO28" i="51"/>
  <c r="CF28" i="51" s="1"/>
  <c r="AT27" i="51"/>
  <c r="CK27" i="51" s="1"/>
  <c r="AS27" i="51"/>
  <c r="CJ27" i="51" s="1"/>
  <c r="AR27" i="51"/>
  <c r="CI27" i="51" s="1"/>
  <c r="AQ27" i="51"/>
  <c r="CH27" i="51" s="1"/>
  <c r="AP27" i="51"/>
  <c r="CG27" i="51" s="1"/>
  <c r="AO27" i="51"/>
  <c r="CF27" i="51" s="1"/>
  <c r="Y27" i="51"/>
  <c r="BP27" i="51" s="1"/>
  <c r="X27" i="51"/>
  <c r="BO27" i="51" s="1"/>
  <c r="W27" i="51"/>
  <c r="BN27" i="51" s="1"/>
  <c r="V27" i="51"/>
  <c r="BM27" i="51" s="1"/>
  <c r="U27" i="51"/>
  <c r="BL27" i="51" s="1"/>
  <c r="T27" i="51"/>
  <c r="BK27" i="51" s="1"/>
  <c r="R27" i="51"/>
  <c r="BI27" i="51" s="1"/>
  <c r="Q27" i="51"/>
  <c r="BH27" i="51" s="1"/>
  <c r="P27" i="51"/>
  <c r="BG27" i="51" s="1"/>
  <c r="O27" i="51"/>
  <c r="BF27" i="51" s="1"/>
  <c r="N27" i="51"/>
  <c r="BE27" i="51" s="1"/>
  <c r="M27" i="51"/>
  <c r="BD27" i="51" s="1"/>
  <c r="Y26" i="51"/>
  <c r="BP26" i="51" s="1"/>
  <c r="X26" i="51"/>
  <c r="BO26" i="51" s="1"/>
  <c r="W26" i="51"/>
  <c r="BN26" i="51" s="1"/>
  <c r="V26" i="51"/>
  <c r="BM26" i="51" s="1"/>
  <c r="U26" i="51"/>
  <c r="BL26" i="51" s="1"/>
  <c r="T26" i="51"/>
  <c r="BK26" i="51" s="1"/>
  <c r="R26" i="51"/>
  <c r="BI26" i="51" s="1"/>
  <c r="Q26" i="51"/>
  <c r="BH26" i="51" s="1"/>
  <c r="P26" i="51"/>
  <c r="BG26" i="51" s="1"/>
  <c r="O26" i="51"/>
  <c r="BF26" i="51" s="1"/>
  <c r="N26" i="51"/>
  <c r="BE26" i="51" s="1"/>
  <c r="M26" i="51"/>
  <c r="BD26" i="51" s="1"/>
  <c r="AT24" i="51"/>
  <c r="CK24" i="51" s="1"/>
  <c r="AS24" i="51"/>
  <c r="CJ24" i="51" s="1"/>
  <c r="AR24" i="51"/>
  <c r="CI24" i="51" s="1"/>
  <c r="AQ24" i="51"/>
  <c r="CH24" i="51" s="1"/>
  <c r="AP24" i="51"/>
  <c r="CG24" i="51" s="1"/>
  <c r="AO24" i="51"/>
  <c r="CF24" i="51" s="1"/>
  <c r="AM24" i="51"/>
  <c r="CD24" i="51" s="1"/>
  <c r="AL24" i="51"/>
  <c r="CC24" i="51" s="1"/>
  <c r="AK24" i="51"/>
  <c r="CB24" i="51" s="1"/>
  <c r="AJ24" i="51"/>
  <c r="CA24" i="51" s="1"/>
  <c r="AI24" i="51"/>
  <c r="BZ24" i="51" s="1"/>
  <c r="AH24" i="51"/>
  <c r="AF24" i="51"/>
  <c r="BW24" i="51" s="1"/>
  <c r="AE24" i="51"/>
  <c r="BV24" i="51" s="1"/>
  <c r="AD24" i="51"/>
  <c r="BU24" i="51" s="1"/>
  <c r="AC24" i="51"/>
  <c r="BT24" i="51" s="1"/>
  <c r="AB24" i="51"/>
  <c r="BS24" i="51" s="1"/>
  <c r="AA24" i="51"/>
  <c r="Y24" i="51"/>
  <c r="BP24" i="51" s="1"/>
  <c r="X24" i="51"/>
  <c r="BO24" i="51" s="1"/>
  <c r="W24" i="51"/>
  <c r="BN24" i="51" s="1"/>
  <c r="V24" i="51"/>
  <c r="BM24" i="51" s="1"/>
  <c r="U24" i="51"/>
  <c r="BL24" i="51" s="1"/>
  <c r="T24" i="51"/>
  <c r="BK24" i="51" s="1"/>
  <c r="R24" i="51"/>
  <c r="BI24" i="51" s="1"/>
  <c r="Q24" i="51"/>
  <c r="BH24" i="51" s="1"/>
  <c r="P24" i="51"/>
  <c r="BG24" i="51" s="1"/>
  <c r="O24" i="51"/>
  <c r="BF24" i="51" s="1"/>
  <c r="N24" i="51"/>
  <c r="BE24" i="51" s="1"/>
  <c r="M24" i="51"/>
  <c r="BD24" i="51" s="1"/>
  <c r="K24" i="51"/>
  <c r="BB24" i="51" s="1"/>
  <c r="J24" i="51"/>
  <c r="BA24" i="51" s="1"/>
  <c r="I24" i="51"/>
  <c r="AZ24" i="51" s="1"/>
  <c r="H24" i="51"/>
  <c r="AY24" i="51" s="1"/>
  <c r="G24" i="51"/>
  <c r="AX24" i="51" s="1"/>
  <c r="F24" i="51"/>
  <c r="AW24" i="51" s="1"/>
  <c r="AT23" i="51"/>
  <c r="AS23" i="51"/>
  <c r="AR23" i="51"/>
  <c r="AQ23" i="51"/>
  <c r="CH23" i="51" s="1"/>
  <c r="AP23" i="51"/>
  <c r="CG23" i="51" s="1"/>
  <c r="AO23" i="51"/>
  <c r="CF23" i="51" s="1"/>
  <c r="Y23" i="51"/>
  <c r="X23" i="51"/>
  <c r="W23" i="51"/>
  <c r="V23" i="51"/>
  <c r="BM23" i="51" s="1"/>
  <c r="U23" i="51"/>
  <c r="T23" i="51"/>
  <c r="BK23" i="51" s="1"/>
  <c r="R23" i="51"/>
  <c r="Q23" i="51"/>
  <c r="BH23" i="51" s="1"/>
  <c r="P23" i="51"/>
  <c r="O23" i="51"/>
  <c r="N23" i="51"/>
  <c r="M23" i="51"/>
  <c r="BD23" i="51" s="1"/>
  <c r="AT20" i="51"/>
  <c r="CK20" i="51" s="1"/>
  <c r="AS20" i="51"/>
  <c r="CJ20" i="51" s="1"/>
  <c r="AR20" i="51"/>
  <c r="CI20" i="51" s="1"/>
  <c r="AQ20" i="51"/>
  <c r="CH20" i="51" s="1"/>
  <c r="AP20" i="51"/>
  <c r="CG20" i="51" s="1"/>
  <c r="AO20" i="51"/>
  <c r="CF20" i="51" s="1"/>
  <c r="R20" i="51"/>
  <c r="BI20" i="51" s="1"/>
  <c r="Q20" i="51"/>
  <c r="BH20" i="51" s="1"/>
  <c r="P20" i="51"/>
  <c r="BG20" i="51" s="1"/>
  <c r="O20" i="51"/>
  <c r="BF20" i="51" s="1"/>
  <c r="N20" i="51"/>
  <c r="BE20" i="51" s="1"/>
  <c r="M20" i="51"/>
  <c r="BD20" i="51" s="1"/>
  <c r="AT19" i="51"/>
  <c r="CK19" i="51" s="1"/>
  <c r="AS19" i="51"/>
  <c r="CJ19" i="51" s="1"/>
  <c r="AR19" i="51"/>
  <c r="CI19" i="51" s="1"/>
  <c r="AQ19" i="51"/>
  <c r="CH19" i="51" s="1"/>
  <c r="AP19" i="51"/>
  <c r="CG19" i="51" s="1"/>
  <c r="AO19" i="51"/>
  <c r="CF19" i="51" s="1"/>
  <c r="AM19" i="51"/>
  <c r="CD19" i="51" s="1"/>
  <c r="AL19" i="51"/>
  <c r="CC19" i="51" s="1"/>
  <c r="AK19" i="51"/>
  <c r="CB19" i="51" s="1"/>
  <c r="AJ19" i="51"/>
  <c r="CA19" i="51" s="1"/>
  <c r="AI19" i="51"/>
  <c r="BZ19" i="51" s="1"/>
  <c r="AH19" i="51"/>
  <c r="AF19" i="51"/>
  <c r="BW19" i="51" s="1"/>
  <c r="AE19" i="51"/>
  <c r="BV19" i="51" s="1"/>
  <c r="AD19" i="51"/>
  <c r="BU19" i="51" s="1"/>
  <c r="AC19" i="51"/>
  <c r="BT19" i="51" s="1"/>
  <c r="AB19" i="51"/>
  <c r="BS19" i="51" s="1"/>
  <c r="AA19" i="51"/>
  <c r="Y19" i="51"/>
  <c r="BP19" i="51" s="1"/>
  <c r="X19" i="51"/>
  <c r="BO19" i="51" s="1"/>
  <c r="W19" i="51"/>
  <c r="BN19" i="51" s="1"/>
  <c r="V19" i="51"/>
  <c r="BM19" i="51" s="1"/>
  <c r="U19" i="51"/>
  <c r="BL19" i="51" s="1"/>
  <c r="T19" i="51"/>
  <c r="BK19" i="51" s="1"/>
  <c r="R19" i="51"/>
  <c r="BI19" i="51" s="1"/>
  <c r="Q19" i="51"/>
  <c r="BH19" i="51" s="1"/>
  <c r="P19" i="51"/>
  <c r="BG19" i="51" s="1"/>
  <c r="O19" i="51"/>
  <c r="BF19" i="51" s="1"/>
  <c r="N19" i="51"/>
  <c r="BE19" i="51" s="1"/>
  <c r="M19" i="51"/>
  <c r="BD19" i="51" s="1"/>
  <c r="K19" i="51"/>
  <c r="BB19" i="51" s="1"/>
  <c r="J19" i="51"/>
  <c r="BA19" i="51" s="1"/>
  <c r="I19" i="51"/>
  <c r="AZ19" i="51" s="1"/>
  <c r="H19" i="51"/>
  <c r="AY19" i="51" s="1"/>
  <c r="G19" i="51"/>
  <c r="AX19" i="51" s="1"/>
  <c r="F19" i="51"/>
  <c r="AW19" i="51" s="1"/>
  <c r="AT17" i="51"/>
  <c r="CK17" i="51" s="1"/>
  <c r="AS17" i="51"/>
  <c r="CJ17" i="51" s="1"/>
  <c r="AR17" i="51"/>
  <c r="CI17" i="51" s="1"/>
  <c r="AQ17" i="51"/>
  <c r="CH17" i="51" s="1"/>
  <c r="AP17" i="51"/>
  <c r="CG17" i="51" s="1"/>
  <c r="AO17" i="51"/>
  <c r="CF17" i="51" s="1"/>
  <c r="Y17" i="51"/>
  <c r="BP17" i="51" s="1"/>
  <c r="X17" i="51"/>
  <c r="BO17" i="51" s="1"/>
  <c r="W17" i="51"/>
  <c r="BN17" i="51" s="1"/>
  <c r="V17" i="51"/>
  <c r="BM17" i="51" s="1"/>
  <c r="U17" i="51"/>
  <c r="BL17" i="51" s="1"/>
  <c r="T17" i="51"/>
  <c r="BK17" i="51" s="1"/>
  <c r="R17" i="51"/>
  <c r="BI17" i="51" s="1"/>
  <c r="Q17" i="51"/>
  <c r="BH17" i="51" s="1"/>
  <c r="P17" i="51"/>
  <c r="BG17" i="51" s="1"/>
  <c r="O17" i="51"/>
  <c r="BF17" i="51" s="1"/>
  <c r="N17" i="51"/>
  <c r="BE17" i="51" s="1"/>
  <c r="M17" i="51"/>
  <c r="BD17" i="51" s="1"/>
  <c r="AM16" i="51"/>
  <c r="CD16" i="51" s="1"/>
  <c r="AL16" i="51"/>
  <c r="CC16" i="51" s="1"/>
  <c r="AK16" i="51"/>
  <c r="CB16" i="51" s="1"/>
  <c r="AJ16" i="51"/>
  <c r="CA16" i="51" s="1"/>
  <c r="AI16" i="51"/>
  <c r="BZ16" i="51" s="1"/>
  <c r="AH16" i="51"/>
  <c r="AF16" i="51"/>
  <c r="BW16" i="51" s="1"/>
  <c r="AE16" i="51"/>
  <c r="BV16" i="51" s="1"/>
  <c r="AD16" i="51"/>
  <c r="BU16" i="51" s="1"/>
  <c r="AC16" i="51"/>
  <c r="BT16" i="51" s="1"/>
  <c r="AB16" i="51"/>
  <c r="BS16" i="51" s="1"/>
  <c r="AA16" i="51"/>
  <c r="Y16" i="51"/>
  <c r="X16" i="51"/>
  <c r="W16" i="51"/>
  <c r="V16" i="51"/>
  <c r="U16" i="51"/>
  <c r="T16" i="51"/>
  <c r="R16" i="51"/>
  <c r="Q16" i="51"/>
  <c r="P16" i="51"/>
  <c r="O16" i="51"/>
  <c r="N16" i="51"/>
  <c r="M16" i="51"/>
  <c r="BD16" i="51" s="1"/>
  <c r="K16" i="51"/>
  <c r="BB16" i="51" s="1"/>
  <c r="J16" i="51"/>
  <c r="BA16" i="51" s="1"/>
  <c r="I16" i="51"/>
  <c r="AZ16" i="51" s="1"/>
  <c r="H16" i="51"/>
  <c r="AY16" i="51" s="1"/>
  <c r="G16" i="51"/>
  <c r="AX16" i="51" s="1"/>
  <c r="F16" i="51"/>
  <c r="AW16" i="51" s="1"/>
  <c r="AT14" i="51"/>
  <c r="CK14" i="51" s="1"/>
  <c r="AS14" i="51"/>
  <c r="CJ14" i="51" s="1"/>
  <c r="AR14" i="51"/>
  <c r="CI14" i="51" s="1"/>
  <c r="AQ14" i="51"/>
  <c r="CH14" i="51" s="1"/>
  <c r="AP14" i="51"/>
  <c r="CG14" i="51" s="1"/>
  <c r="AO14" i="51"/>
  <c r="CF14" i="51" s="1"/>
  <c r="AM14" i="51"/>
  <c r="CD14" i="51" s="1"/>
  <c r="AL14" i="51"/>
  <c r="CC14" i="51" s="1"/>
  <c r="AK14" i="51"/>
  <c r="CB14" i="51" s="1"/>
  <c r="AJ14" i="51"/>
  <c r="CA14" i="51" s="1"/>
  <c r="AI14" i="51"/>
  <c r="BZ14" i="51" s="1"/>
  <c r="AH14" i="51"/>
  <c r="AF14" i="51"/>
  <c r="BW14" i="51" s="1"/>
  <c r="AE14" i="51"/>
  <c r="BV14" i="51" s="1"/>
  <c r="AD14" i="51"/>
  <c r="BU14" i="51" s="1"/>
  <c r="AC14" i="51"/>
  <c r="BT14" i="51" s="1"/>
  <c r="AB14" i="51"/>
  <c r="BS14" i="51" s="1"/>
  <c r="AA14" i="51"/>
  <c r="Y14" i="51"/>
  <c r="BP14" i="51" s="1"/>
  <c r="X14" i="51"/>
  <c r="BO14" i="51" s="1"/>
  <c r="W14" i="51"/>
  <c r="BN14" i="51" s="1"/>
  <c r="V14" i="51"/>
  <c r="BM14" i="51" s="1"/>
  <c r="U14" i="51"/>
  <c r="BL14" i="51" s="1"/>
  <c r="T14" i="51"/>
  <c r="BK14" i="51" s="1"/>
  <c r="R14" i="51"/>
  <c r="BI14" i="51" s="1"/>
  <c r="Q14" i="51"/>
  <c r="BH14" i="51" s="1"/>
  <c r="P14" i="51"/>
  <c r="BG14" i="51" s="1"/>
  <c r="O14" i="51"/>
  <c r="BF14" i="51" s="1"/>
  <c r="N14" i="51"/>
  <c r="BE14" i="51" s="1"/>
  <c r="M14" i="51"/>
  <c r="BD14" i="51" s="1"/>
  <c r="K14" i="51"/>
  <c r="BB14" i="51" s="1"/>
  <c r="J14" i="51"/>
  <c r="BA14" i="51" s="1"/>
  <c r="I14" i="51"/>
  <c r="AZ14" i="51" s="1"/>
  <c r="H14" i="51"/>
  <c r="AY14" i="51" s="1"/>
  <c r="G14" i="51"/>
  <c r="AX14" i="51" s="1"/>
  <c r="F14" i="51"/>
  <c r="AW14" i="51" s="1"/>
  <c r="AT13" i="51"/>
  <c r="CK13" i="51" s="1"/>
  <c r="AS13" i="51"/>
  <c r="CJ13" i="51" s="1"/>
  <c r="AR13" i="51"/>
  <c r="AQ13" i="51"/>
  <c r="AP13" i="51"/>
  <c r="AO13" i="51"/>
  <c r="CF13" i="51" s="1"/>
  <c r="AM13" i="51"/>
  <c r="CD13" i="51" s="1"/>
  <c r="AL13" i="51"/>
  <c r="CC13" i="51" s="1"/>
  <c r="AK13" i="51"/>
  <c r="CB13" i="51" s="1"/>
  <c r="AJ13" i="51"/>
  <c r="CA13" i="51" s="1"/>
  <c r="AI13" i="51"/>
  <c r="AH13" i="51"/>
  <c r="BY13" i="51" s="1"/>
  <c r="AF13" i="51"/>
  <c r="AE13" i="51"/>
  <c r="BV13" i="51" s="1"/>
  <c r="AD13" i="51"/>
  <c r="BU13" i="51" s="1"/>
  <c r="AC13" i="51"/>
  <c r="BT13" i="51" s="1"/>
  <c r="AB13" i="51"/>
  <c r="BS13" i="51" s="1"/>
  <c r="AA13" i="51"/>
  <c r="Y13" i="51"/>
  <c r="X13" i="51"/>
  <c r="W13" i="51"/>
  <c r="V13" i="51"/>
  <c r="BM13" i="51" s="1"/>
  <c r="U13" i="51"/>
  <c r="BL13" i="51" s="1"/>
  <c r="T13" i="51"/>
  <c r="BK13" i="51" s="1"/>
  <c r="R13" i="51"/>
  <c r="BI13" i="51" s="1"/>
  <c r="Q13" i="51"/>
  <c r="BH13" i="51" s="1"/>
  <c r="P13" i="51"/>
  <c r="O13" i="51"/>
  <c r="N13" i="51"/>
  <c r="M13" i="51"/>
  <c r="BD13" i="51" s="1"/>
  <c r="K13" i="51"/>
  <c r="BB13" i="51" s="1"/>
  <c r="J13" i="51"/>
  <c r="BA13" i="51" s="1"/>
  <c r="I13" i="51"/>
  <c r="AZ13" i="51" s="1"/>
  <c r="H13" i="51"/>
  <c r="AY13" i="51" s="1"/>
  <c r="G13" i="51"/>
  <c r="F13" i="51"/>
  <c r="K8" i="50"/>
  <c r="J8" i="50"/>
  <c r="I8" i="50"/>
  <c r="H8" i="50"/>
  <c r="G8" i="50"/>
  <c r="F8" i="50"/>
  <c r="AR8" i="50" s="1"/>
  <c r="AY8" i="50" s="1"/>
  <c r="BF8" i="50" s="1"/>
  <c r="BM8" i="50" s="1"/>
  <c r="BT8" i="50" s="1"/>
  <c r="K10" i="51"/>
  <c r="J10" i="51"/>
  <c r="I10" i="51"/>
  <c r="H10" i="51"/>
  <c r="G10" i="51"/>
  <c r="F10" i="51"/>
  <c r="K9" i="62"/>
  <c r="J9" i="62"/>
  <c r="I9" i="62"/>
  <c r="H9" i="62"/>
  <c r="G9" i="62"/>
  <c r="F9" i="62"/>
  <c r="AW9" i="62" s="1"/>
  <c r="BD9" i="62" s="1"/>
  <c r="BK9" i="62" s="1"/>
  <c r="BR9" i="62" s="1"/>
  <c r="BY9" i="62" s="1"/>
  <c r="B36" i="67"/>
  <c r="B96" i="67"/>
  <c r="B72" i="67"/>
  <c r="B54" i="67"/>
  <c r="T210" i="50"/>
  <c r="M209" i="50"/>
  <c r="F198" i="50"/>
  <c r="F197" i="50"/>
  <c r="F193" i="50"/>
  <c r="B94" i="67"/>
  <c r="B127" i="67" s="1"/>
  <c r="B70" i="67"/>
  <c r="B125" i="67" s="1"/>
  <c r="B91" i="67"/>
  <c r="B67" i="67"/>
  <c r="B49" i="67"/>
  <c r="B31" i="67"/>
  <c r="B13" i="67"/>
  <c r="B89" i="67"/>
  <c r="B65" i="67"/>
  <c r="B47" i="67"/>
  <c r="B29" i="67"/>
  <c r="B11" i="67"/>
  <c r="AH83" i="50"/>
  <c r="BT83" i="50" s="1"/>
  <c r="E7" i="51"/>
  <c r="AH175" i="62"/>
  <c r="AA175" i="62"/>
  <c r="BR175" i="62" s="1"/>
  <c r="T175" i="62"/>
  <c r="M175" i="62"/>
  <c r="BD175" i="62" s="1"/>
  <c r="F175" i="62"/>
  <c r="AH174" i="62"/>
  <c r="BY174" i="62" s="1"/>
  <c r="AA174" i="62"/>
  <c r="T174" i="62"/>
  <c r="BK174" i="62" s="1"/>
  <c r="M174" i="62"/>
  <c r="F174" i="62"/>
  <c r="AH173" i="62"/>
  <c r="AA173" i="62"/>
  <c r="BR173" i="62" s="1"/>
  <c r="T173" i="62"/>
  <c r="BK173" i="62" s="1"/>
  <c r="M173" i="62"/>
  <c r="BD173" i="62" s="1"/>
  <c r="F173" i="62"/>
  <c r="AH172" i="62"/>
  <c r="BY172" i="62" s="1"/>
  <c r="AA172" i="62"/>
  <c r="T172" i="62"/>
  <c r="BK172" i="62" s="1"/>
  <c r="M172" i="62"/>
  <c r="BD172" i="62" s="1"/>
  <c r="F172" i="62"/>
  <c r="AW172" i="62" s="1"/>
  <c r="AH171" i="62"/>
  <c r="AA171" i="62"/>
  <c r="BR171" i="62" s="1"/>
  <c r="T171" i="62"/>
  <c r="M171" i="62"/>
  <c r="F171" i="62"/>
  <c r="AH170" i="62"/>
  <c r="BY170" i="62" s="1"/>
  <c r="AA170" i="62"/>
  <c r="BR170" i="62" s="1"/>
  <c r="T170" i="62"/>
  <c r="BK170" i="62" s="1"/>
  <c r="M170" i="62"/>
  <c r="BD170" i="62" s="1"/>
  <c r="F170" i="62"/>
  <c r="AH169" i="62"/>
  <c r="AA169" i="62"/>
  <c r="BR169" i="62" s="1"/>
  <c r="T169" i="62"/>
  <c r="M169" i="62"/>
  <c r="BD169" i="62" s="1"/>
  <c r="F169" i="62"/>
  <c r="AH168" i="62"/>
  <c r="BY168" i="62" s="1"/>
  <c r="AA168" i="62"/>
  <c r="BR168" i="62" s="1"/>
  <c r="T168" i="62"/>
  <c r="BK168" i="62" s="1"/>
  <c r="M168" i="62"/>
  <c r="BD168" i="62" s="1"/>
  <c r="F168" i="62"/>
  <c r="AW168" i="62" s="1"/>
  <c r="AH167" i="62"/>
  <c r="AA167" i="62"/>
  <c r="BR167" i="62" s="1"/>
  <c r="T167" i="62"/>
  <c r="BK167" i="62" s="1"/>
  <c r="M167" i="62"/>
  <c r="BD167" i="62" s="1"/>
  <c r="F167" i="62"/>
  <c r="AH166" i="62"/>
  <c r="BY166" i="62" s="1"/>
  <c r="AA166" i="62"/>
  <c r="T166" i="62"/>
  <c r="BK166" i="62" s="1"/>
  <c r="M166" i="62"/>
  <c r="F166" i="62"/>
  <c r="AW166" i="62" s="1"/>
  <c r="AH165" i="62"/>
  <c r="BY165" i="62" s="1"/>
  <c r="AA165" i="62"/>
  <c r="BR165" i="62" s="1"/>
  <c r="T165" i="62"/>
  <c r="BK165" i="62" s="1"/>
  <c r="M165" i="62"/>
  <c r="BD165" i="62" s="1"/>
  <c r="F165" i="62"/>
  <c r="AH164" i="62"/>
  <c r="BY164" i="62" s="1"/>
  <c r="AA164" i="62"/>
  <c r="T164" i="62"/>
  <c r="BK164" i="62" s="1"/>
  <c r="M164" i="62"/>
  <c r="F164" i="62"/>
  <c r="AW164" i="62" s="1"/>
  <c r="AH163" i="62"/>
  <c r="AA163" i="62"/>
  <c r="BR163" i="62" s="1"/>
  <c r="T163" i="62"/>
  <c r="M163" i="62"/>
  <c r="BD163" i="62" s="1"/>
  <c r="F163" i="62"/>
  <c r="AH162" i="62"/>
  <c r="BY162" i="62" s="1"/>
  <c r="AA162" i="62"/>
  <c r="T162" i="62"/>
  <c r="BK162" i="62" s="1"/>
  <c r="M162" i="62"/>
  <c r="F162" i="62"/>
  <c r="AW162" i="62" s="1"/>
  <c r="AH161" i="62"/>
  <c r="BY161" i="62" s="1"/>
  <c r="AA161" i="62"/>
  <c r="BR161" i="62" s="1"/>
  <c r="T161" i="62"/>
  <c r="BK161" i="62" s="1"/>
  <c r="M161" i="62"/>
  <c r="BD161" i="62" s="1"/>
  <c r="F161" i="62"/>
  <c r="AH160" i="62"/>
  <c r="BY160" i="62" s="1"/>
  <c r="AA160" i="62"/>
  <c r="BR160" i="62" s="1"/>
  <c r="T160" i="62"/>
  <c r="BK160" i="62" s="1"/>
  <c r="M160" i="62"/>
  <c r="BD160" i="62" s="1"/>
  <c r="F160" i="62"/>
  <c r="AH159" i="62"/>
  <c r="AA159" i="62"/>
  <c r="BR159" i="62" s="1"/>
  <c r="T159" i="62"/>
  <c r="BK159" i="62" s="1"/>
  <c r="M159" i="62"/>
  <c r="BD159" i="62" s="1"/>
  <c r="F159" i="62"/>
  <c r="AH158" i="62"/>
  <c r="BY158" i="62" s="1"/>
  <c r="AA158" i="62"/>
  <c r="BR158" i="62" s="1"/>
  <c r="T158" i="62"/>
  <c r="BK158" i="62" s="1"/>
  <c r="M158" i="62"/>
  <c r="F158" i="62"/>
  <c r="AW158" i="62" s="1"/>
  <c r="AH157" i="62"/>
  <c r="AA157" i="62"/>
  <c r="T157" i="62"/>
  <c r="BK157" i="62" s="1"/>
  <c r="M157" i="62"/>
  <c r="BD157" i="62" s="1"/>
  <c r="F157" i="62"/>
  <c r="AW157" i="62" s="1"/>
  <c r="AH156" i="62"/>
  <c r="BY156" i="62" s="1"/>
  <c r="AA156" i="62"/>
  <c r="BR156" i="62" s="1"/>
  <c r="T156" i="62"/>
  <c r="M156" i="62"/>
  <c r="F156" i="62"/>
  <c r="AH155" i="62"/>
  <c r="BY155" i="62" s="1"/>
  <c r="AA155" i="62"/>
  <c r="BR155" i="62" s="1"/>
  <c r="T155" i="62"/>
  <c r="M155" i="62"/>
  <c r="BD155" i="62" s="1"/>
  <c r="F155" i="62"/>
  <c r="AT154" i="62"/>
  <c r="AS154" i="62"/>
  <c r="AR154" i="62"/>
  <c r="AQ154" i="62"/>
  <c r="AP154" i="62"/>
  <c r="AO154" i="62"/>
  <c r="AN154" i="62"/>
  <c r="AG154" i="62"/>
  <c r="Z154" i="62"/>
  <c r="S154" i="62"/>
  <c r="L154" i="62"/>
  <c r="E154" i="62"/>
  <c r="K132" i="62"/>
  <c r="BB132" i="62" s="1"/>
  <c r="Y132" i="62"/>
  <c r="BP132" i="62" s="1"/>
  <c r="I132" i="62"/>
  <c r="AZ132" i="62" s="1"/>
  <c r="AT132" i="62"/>
  <c r="AS132" i="62"/>
  <c r="AR132" i="62"/>
  <c r="AQ132" i="62"/>
  <c r="AP132" i="62"/>
  <c r="AO132" i="62"/>
  <c r="AN132" i="62"/>
  <c r="AM132" i="62"/>
  <c r="CD132" i="62" s="1"/>
  <c r="AL132" i="62"/>
  <c r="CC132" i="62" s="1"/>
  <c r="AK132" i="62"/>
  <c r="CB132" i="62" s="1"/>
  <c r="AJ132" i="62"/>
  <c r="CA132" i="62" s="1"/>
  <c r="AI132" i="62"/>
  <c r="BZ132" i="62" s="1"/>
  <c r="AH132" i="62"/>
  <c r="BY132" i="62" s="1"/>
  <c r="AG132" i="62"/>
  <c r="AF132" i="62"/>
  <c r="BW132" i="62" s="1"/>
  <c r="AE132" i="62"/>
  <c r="BV132" i="62" s="1"/>
  <c r="AD132" i="62"/>
  <c r="BU132" i="62" s="1"/>
  <c r="AC132" i="62"/>
  <c r="BT132" i="62" s="1"/>
  <c r="AB132" i="62"/>
  <c r="BS132" i="62" s="1"/>
  <c r="AA132" i="62"/>
  <c r="BR132" i="62" s="1"/>
  <c r="Z132" i="62"/>
  <c r="X132" i="62"/>
  <c r="BO132" i="62" s="1"/>
  <c r="W132" i="62"/>
  <c r="BN132" i="62" s="1"/>
  <c r="V132" i="62"/>
  <c r="BM132" i="62" s="1"/>
  <c r="U132" i="62"/>
  <c r="BL132" i="62" s="1"/>
  <c r="T132" i="62"/>
  <c r="BK132" i="62" s="1"/>
  <c r="S132" i="62"/>
  <c r="R132" i="62"/>
  <c r="BI132" i="62" s="1"/>
  <c r="Q132" i="62"/>
  <c r="BH132" i="62" s="1"/>
  <c r="P132" i="62"/>
  <c r="BG132" i="62" s="1"/>
  <c r="O132" i="62"/>
  <c r="BF132" i="62" s="1"/>
  <c r="N132" i="62"/>
  <c r="BE132" i="62" s="1"/>
  <c r="M132" i="62"/>
  <c r="BD132" i="62" s="1"/>
  <c r="L132" i="62"/>
  <c r="J132" i="62"/>
  <c r="BA132" i="62" s="1"/>
  <c r="H132" i="62"/>
  <c r="AY132" i="62" s="1"/>
  <c r="G132" i="62"/>
  <c r="AX132" i="62" s="1"/>
  <c r="F132" i="62"/>
  <c r="AW132" i="62" s="1"/>
  <c r="E132" i="62"/>
  <c r="AT110" i="62"/>
  <c r="AS110" i="62"/>
  <c r="AR110" i="62"/>
  <c r="AQ110" i="62"/>
  <c r="AP110" i="62"/>
  <c r="AO110" i="62"/>
  <c r="AN110" i="62"/>
  <c r="AM110" i="62"/>
  <c r="AL110" i="62"/>
  <c r="AK110" i="62"/>
  <c r="AJ110" i="62"/>
  <c r="AI110" i="62"/>
  <c r="AH110" i="62"/>
  <c r="BY110" i="62" s="1"/>
  <c r="AG110" i="62"/>
  <c r="AF110" i="62"/>
  <c r="AE110" i="62"/>
  <c r="AD110" i="62"/>
  <c r="AC110" i="62"/>
  <c r="AB110" i="62"/>
  <c r="AA110" i="62"/>
  <c r="BR110" i="62" s="1"/>
  <c r="Z110" i="62"/>
  <c r="Y110" i="62"/>
  <c r="X110" i="62"/>
  <c r="W110" i="62"/>
  <c r="V110" i="62"/>
  <c r="U110" i="62"/>
  <c r="T110" i="62"/>
  <c r="BK110" i="62" s="1"/>
  <c r="S110" i="62"/>
  <c r="R110" i="62"/>
  <c r="Q110" i="62"/>
  <c r="P110" i="62"/>
  <c r="O110" i="62"/>
  <c r="N110" i="62"/>
  <c r="M110" i="62"/>
  <c r="BD110" i="62" s="1"/>
  <c r="L110" i="62"/>
  <c r="K110" i="62"/>
  <c r="J110" i="62"/>
  <c r="I110" i="62"/>
  <c r="H110" i="62"/>
  <c r="G110" i="62"/>
  <c r="F110" i="62"/>
  <c r="AW110" i="62" s="1"/>
  <c r="E110" i="62"/>
  <c r="AH108" i="62"/>
  <c r="AA108" i="62"/>
  <c r="T108" i="62"/>
  <c r="M108" i="62"/>
  <c r="F108" i="62"/>
  <c r="AH107" i="62"/>
  <c r="AA107" i="62"/>
  <c r="T107" i="62"/>
  <c r="M107" i="62"/>
  <c r="F107" i="62"/>
  <c r="AH106" i="62"/>
  <c r="AA106" i="62"/>
  <c r="T106" i="62"/>
  <c r="M106" i="62"/>
  <c r="F106" i="62"/>
  <c r="AH105" i="62"/>
  <c r="AA105" i="62"/>
  <c r="T105" i="62"/>
  <c r="M105" i="62"/>
  <c r="F105" i="62"/>
  <c r="AH104" i="62"/>
  <c r="AA104" i="62"/>
  <c r="T104" i="62"/>
  <c r="M104" i="62"/>
  <c r="F104" i="62"/>
  <c r="AH103" i="62"/>
  <c r="AA103" i="62"/>
  <c r="T103" i="62"/>
  <c r="M103" i="62"/>
  <c r="F103" i="62"/>
  <c r="AW103" i="62" s="1"/>
  <c r="AH102" i="62"/>
  <c r="BY102" i="62" s="1"/>
  <c r="AA102" i="62"/>
  <c r="T102" i="62"/>
  <c r="M102" i="62"/>
  <c r="F102" i="62"/>
  <c r="AH101" i="62"/>
  <c r="AA101" i="62"/>
  <c r="BR101" i="62" s="1"/>
  <c r="T101" i="62"/>
  <c r="M101" i="62"/>
  <c r="BD101" i="62" s="1"/>
  <c r="AH100" i="62"/>
  <c r="AA100" i="62"/>
  <c r="T100" i="62"/>
  <c r="BK100" i="62" s="1"/>
  <c r="M100" i="62"/>
  <c r="F100" i="62"/>
  <c r="AN99" i="62"/>
  <c r="E99" i="62"/>
  <c r="AV99" i="62" s="1"/>
  <c r="AH98" i="62"/>
  <c r="AA98" i="62"/>
  <c r="T98" i="62"/>
  <c r="M98" i="62"/>
  <c r="F98" i="62"/>
  <c r="AH97" i="62"/>
  <c r="BY97" i="62" s="1"/>
  <c r="AA97" i="62"/>
  <c r="T97" i="62"/>
  <c r="M97" i="62"/>
  <c r="F97" i="62"/>
  <c r="AH96" i="62"/>
  <c r="AA96" i="62"/>
  <c r="BR96" i="62" s="1"/>
  <c r="T96" i="62"/>
  <c r="M96" i="62"/>
  <c r="F96" i="62"/>
  <c r="AW96" i="62" s="1"/>
  <c r="AH95" i="62"/>
  <c r="AA95" i="62"/>
  <c r="T95" i="62"/>
  <c r="BK95" i="62" s="1"/>
  <c r="M95" i="62"/>
  <c r="F95" i="62"/>
  <c r="AN94" i="62"/>
  <c r="E94" i="62"/>
  <c r="AV94" i="62" s="1"/>
  <c r="AH93" i="62"/>
  <c r="AA93" i="62"/>
  <c r="T93" i="62"/>
  <c r="M93" i="62"/>
  <c r="F93" i="62"/>
  <c r="AH92" i="62"/>
  <c r="AA92" i="62"/>
  <c r="T92" i="62"/>
  <c r="M92" i="62"/>
  <c r="F92" i="62"/>
  <c r="AH91" i="62"/>
  <c r="AA91" i="62"/>
  <c r="T91" i="62"/>
  <c r="M91" i="62"/>
  <c r="F91" i="62"/>
  <c r="AH90" i="62"/>
  <c r="AA90" i="62"/>
  <c r="T90" i="62"/>
  <c r="M90" i="62"/>
  <c r="F90" i="62"/>
  <c r="AH89" i="62"/>
  <c r="AA89" i="62"/>
  <c r="T89" i="62"/>
  <c r="M89" i="62"/>
  <c r="F89" i="62"/>
  <c r="AH88" i="62"/>
  <c r="AA88" i="62"/>
  <c r="T88" i="62"/>
  <c r="M88" i="62"/>
  <c r="F88" i="62"/>
  <c r="AH87" i="62"/>
  <c r="AA87" i="62"/>
  <c r="T87" i="62"/>
  <c r="M87" i="62"/>
  <c r="F87" i="62"/>
  <c r="AH86" i="62"/>
  <c r="BY86" i="62" s="1"/>
  <c r="AA86" i="62"/>
  <c r="T86" i="62"/>
  <c r="M86" i="62"/>
  <c r="F86" i="62"/>
  <c r="AH85" i="62"/>
  <c r="AA85" i="62"/>
  <c r="T85" i="62"/>
  <c r="M85" i="62"/>
  <c r="F85" i="62"/>
  <c r="AH84" i="62"/>
  <c r="AA84" i="62"/>
  <c r="T84" i="62"/>
  <c r="M84" i="62"/>
  <c r="BD84" i="62" s="1"/>
  <c r="F84" i="62"/>
  <c r="AN83" i="62"/>
  <c r="E83" i="62"/>
  <c r="AV83" i="62" s="1"/>
  <c r="AH82" i="62"/>
  <c r="AA82" i="62"/>
  <c r="BR82" i="62" s="1"/>
  <c r="T82" i="62"/>
  <c r="BK82" i="62" s="1"/>
  <c r="M82" i="62"/>
  <c r="F82" i="62"/>
  <c r="AH81" i="62"/>
  <c r="BY81" i="62" s="1"/>
  <c r="AA81" i="62"/>
  <c r="T81" i="62"/>
  <c r="M81" i="62"/>
  <c r="F81" i="62"/>
  <c r="AW81" i="62" s="1"/>
  <c r="AN80" i="62"/>
  <c r="AH78" i="62"/>
  <c r="AA78" i="62"/>
  <c r="T78" i="62"/>
  <c r="M78" i="62"/>
  <c r="AH77" i="62"/>
  <c r="AA77" i="62"/>
  <c r="T77" i="62"/>
  <c r="M77" i="62"/>
  <c r="F77" i="62"/>
  <c r="AH76" i="62"/>
  <c r="AA76" i="62"/>
  <c r="T76" i="62"/>
  <c r="M76" i="62"/>
  <c r="F76" i="62"/>
  <c r="AH75" i="62"/>
  <c r="BY75" i="62" s="1"/>
  <c r="AA75" i="62"/>
  <c r="T75" i="62"/>
  <c r="M75" i="62"/>
  <c r="BD75" i="62" s="1"/>
  <c r="F75" i="62"/>
  <c r="AW75" i="62" s="1"/>
  <c r="AN74" i="62"/>
  <c r="E74" i="62"/>
  <c r="AV74" i="62" s="1"/>
  <c r="AH73" i="62"/>
  <c r="AA73" i="62"/>
  <c r="T73" i="62"/>
  <c r="M73" i="62"/>
  <c r="F73" i="62"/>
  <c r="AH72" i="62"/>
  <c r="AA72" i="62"/>
  <c r="T72" i="62"/>
  <c r="M72" i="62"/>
  <c r="BD72" i="62" s="1"/>
  <c r="F72" i="62"/>
  <c r="AN71" i="62"/>
  <c r="E71" i="62"/>
  <c r="AH70" i="62"/>
  <c r="AA70" i="62"/>
  <c r="T70" i="62"/>
  <c r="M70" i="62"/>
  <c r="AH69" i="62"/>
  <c r="AA69" i="62"/>
  <c r="T69" i="62"/>
  <c r="M69" i="62"/>
  <c r="AH68" i="62"/>
  <c r="AA68" i="62"/>
  <c r="T68" i="62"/>
  <c r="M68" i="62"/>
  <c r="F68" i="62"/>
  <c r="AH66" i="62"/>
  <c r="AA66" i="62"/>
  <c r="BR66" i="62" s="1"/>
  <c r="T66" i="62"/>
  <c r="M66" i="62"/>
  <c r="G66" i="62"/>
  <c r="AH65" i="62"/>
  <c r="AA65" i="62"/>
  <c r="T65" i="62"/>
  <c r="M65" i="62"/>
  <c r="BD65" i="62" s="1"/>
  <c r="F65" i="62"/>
  <c r="AN64" i="62"/>
  <c r="E64" i="62"/>
  <c r="AV64" i="62" s="1"/>
  <c r="AH63" i="62"/>
  <c r="AA63" i="62"/>
  <c r="BR63" i="62" s="1"/>
  <c r="T63" i="62"/>
  <c r="M63" i="62"/>
  <c r="F63" i="62"/>
  <c r="AH62" i="62"/>
  <c r="AA62" i="62"/>
  <c r="T62" i="62"/>
  <c r="BK62" i="62" s="1"/>
  <c r="M62" i="62"/>
  <c r="BD62" i="62" s="1"/>
  <c r="F62" i="62"/>
  <c r="AN61" i="62"/>
  <c r="E61" i="62"/>
  <c r="AV61" i="62" s="1"/>
  <c r="AT60" i="62"/>
  <c r="AS60" i="62"/>
  <c r="AR60" i="62"/>
  <c r="AQ60" i="62"/>
  <c r="AP60" i="62"/>
  <c r="AO60" i="62"/>
  <c r="K50" i="62"/>
  <c r="BB50" i="62" s="1"/>
  <c r="AN50" i="62"/>
  <c r="AM50" i="62"/>
  <c r="CD50" i="62" s="1"/>
  <c r="AL50" i="62"/>
  <c r="CC50" i="62" s="1"/>
  <c r="AK50" i="62"/>
  <c r="CB50" i="62" s="1"/>
  <c r="AJ50" i="62"/>
  <c r="CA50" i="62" s="1"/>
  <c r="AI50" i="62"/>
  <c r="BZ50" i="62" s="1"/>
  <c r="AH50" i="62"/>
  <c r="BY50" i="62" s="1"/>
  <c r="AG50" i="62"/>
  <c r="BX50" i="62" s="1"/>
  <c r="AF50" i="62"/>
  <c r="BW50" i="62" s="1"/>
  <c r="AE50" i="62"/>
  <c r="BV50" i="62" s="1"/>
  <c r="AD50" i="62"/>
  <c r="BU50" i="62" s="1"/>
  <c r="AC50" i="62"/>
  <c r="BT50" i="62" s="1"/>
  <c r="AB50" i="62"/>
  <c r="BS50" i="62" s="1"/>
  <c r="AA50" i="62"/>
  <c r="BR50" i="62" s="1"/>
  <c r="Z50" i="62"/>
  <c r="BQ50" i="62" s="1"/>
  <c r="Y50" i="62"/>
  <c r="BP50" i="62" s="1"/>
  <c r="X50" i="62"/>
  <c r="BO50" i="62" s="1"/>
  <c r="W50" i="62"/>
  <c r="BN50" i="62" s="1"/>
  <c r="V50" i="62"/>
  <c r="BM50" i="62" s="1"/>
  <c r="U50" i="62"/>
  <c r="BL50" i="62" s="1"/>
  <c r="T50" i="62"/>
  <c r="BK50" i="62" s="1"/>
  <c r="S50" i="62"/>
  <c r="BJ50" i="62" s="1"/>
  <c r="R50" i="62"/>
  <c r="BI50" i="62" s="1"/>
  <c r="Q50" i="62"/>
  <c r="BH50" i="62" s="1"/>
  <c r="P50" i="62"/>
  <c r="BG50" i="62" s="1"/>
  <c r="O50" i="62"/>
  <c r="BF50" i="62" s="1"/>
  <c r="N50" i="62"/>
  <c r="BE50" i="62" s="1"/>
  <c r="M50" i="62"/>
  <c r="BD50" i="62" s="1"/>
  <c r="L50" i="62"/>
  <c r="BC50" i="62" s="1"/>
  <c r="J50" i="62"/>
  <c r="BA50" i="62" s="1"/>
  <c r="I50" i="62"/>
  <c r="AZ50" i="62" s="1"/>
  <c r="H50" i="62"/>
  <c r="AY50" i="62" s="1"/>
  <c r="G50" i="62"/>
  <c r="AX50" i="62" s="1"/>
  <c r="F50" i="62"/>
  <c r="AW50" i="62" s="1"/>
  <c r="AN45" i="62"/>
  <c r="AM45" i="62"/>
  <c r="CD45" i="62" s="1"/>
  <c r="AL45" i="62"/>
  <c r="CC45" i="62" s="1"/>
  <c r="AK45" i="62"/>
  <c r="CB45" i="62" s="1"/>
  <c r="AJ45" i="62"/>
  <c r="CA45" i="62" s="1"/>
  <c r="AI45" i="62"/>
  <c r="BZ45" i="62" s="1"/>
  <c r="AH45" i="62"/>
  <c r="BY45" i="62" s="1"/>
  <c r="AG45" i="62"/>
  <c r="BX45" i="62" s="1"/>
  <c r="AF45" i="62"/>
  <c r="BW45" i="62" s="1"/>
  <c r="AE45" i="62"/>
  <c r="BV45" i="62" s="1"/>
  <c r="AD45" i="62"/>
  <c r="BU45" i="62" s="1"/>
  <c r="AC45" i="62"/>
  <c r="BT45" i="62" s="1"/>
  <c r="AB45" i="62"/>
  <c r="BS45" i="62" s="1"/>
  <c r="AA45" i="62"/>
  <c r="BR45" i="62" s="1"/>
  <c r="Z45" i="62"/>
  <c r="BQ45" i="62" s="1"/>
  <c r="Y45" i="62"/>
  <c r="BP45" i="62" s="1"/>
  <c r="X45" i="62"/>
  <c r="BO45" i="62" s="1"/>
  <c r="W45" i="62"/>
  <c r="BN45" i="62" s="1"/>
  <c r="V45" i="62"/>
  <c r="BM45" i="62" s="1"/>
  <c r="U45" i="62"/>
  <c r="BL45" i="62" s="1"/>
  <c r="T45" i="62"/>
  <c r="BK45" i="62" s="1"/>
  <c r="S45" i="62"/>
  <c r="BJ45" i="62" s="1"/>
  <c r="R45" i="62"/>
  <c r="BI45" i="62" s="1"/>
  <c r="Q45" i="62"/>
  <c r="BH45" i="62" s="1"/>
  <c r="P45" i="62"/>
  <c r="BG45" i="62" s="1"/>
  <c r="O45" i="62"/>
  <c r="BF45" i="62" s="1"/>
  <c r="N45" i="62"/>
  <c r="BE45" i="62" s="1"/>
  <c r="M45" i="62"/>
  <c r="BD45" i="62" s="1"/>
  <c r="L45" i="62"/>
  <c r="BC45" i="62" s="1"/>
  <c r="K45" i="62"/>
  <c r="BB45" i="62" s="1"/>
  <c r="J45" i="62"/>
  <c r="BA45" i="62" s="1"/>
  <c r="I45" i="62"/>
  <c r="AZ45" i="62" s="1"/>
  <c r="H45" i="62"/>
  <c r="AY45" i="62" s="1"/>
  <c r="G45" i="62"/>
  <c r="AX45" i="62" s="1"/>
  <c r="F45" i="62"/>
  <c r="AW45" i="62" s="1"/>
  <c r="E45" i="62"/>
  <c r="AV45" i="62" s="1"/>
  <c r="AN34" i="62"/>
  <c r="AM34" i="62"/>
  <c r="CD34" i="62" s="1"/>
  <c r="AL34" i="62"/>
  <c r="CC34" i="62" s="1"/>
  <c r="AK34" i="62"/>
  <c r="CB34" i="62" s="1"/>
  <c r="AJ34" i="62"/>
  <c r="CA34" i="62" s="1"/>
  <c r="AI34" i="62"/>
  <c r="AH34" i="62"/>
  <c r="BY34" i="62" s="1"/>
  <c r="AG34" i="62"/>
  <c r="BX34" i="62" s="1"/>
  <c r="AF34" i="62"/>
  <c r="BW34" i="62" s="1"/>
  <c r="AE34" i="62"/>
  <c r="BV34" i="62" s="1"/>
  <c r="AD34" i="62"/>
  <c r="BU34" i="62" s="1"/>
  <c r="AC34" i="62"/>
  <c r="BT34" i="62" s="1"/>
  <c r="AB34" i="62"/>
  <c r="BS34" i="62" s="1"/>
  <c r="AA34" i="62"/>
  <c r="BR34" i="62" s="1"/>
  <c r="Z34" i="62"/>
  <c r="BQ34" i="62" s="1"/>
  <c r="Y34" i="62"/>
  <c r="BP34" i="62" s="1"/>
  <c r="X34" i="62"/>
  <c r="BO34" i="62" s="1"/>
  <c r="W34" i="62"/>
  <c r="BN34" i="62" s="1"/>
  <c r="V34" i="62"/>
  <c r="BM34" i="62" s="1"/>
  <c r="U34" i="62"/>
  <c r="BL34" i="62" s="1"/>
  <c r="T34" i="62"/>
  <c r="BK34" i="62" s="1"/>
  <c r="S34" i="62"/>
  <c r="BJ34" i="62" s="1"/>
  <c r="R34" i="62"/>
  <c r="BI34" i="62" s="1"/>
  <c r="Q34" i="62"/>
  <c r="BH34" i="62" s="1"/>
  <c r="P34" i="62"/>
  <c r="BG34" i="62" s="1"/>
  <c r="O34" i="62"/>
  <c r="BF34" i="62" s="1"/>
  <c r="N34" i="62"/>
  <c r="BE34" i="62" s="1"/>
  <c r="M34" i="62"/>
  <c r="BD34" i="62" s="1"/>
  <c r="L34" i="62"/>
  <c r="BC34" i="62" s="1"/>
  <c r="K34" i="62"/>
  <c r="BB34" i="62" s="1"/>
  <c r="J34" i="62"/>
  <c r="BA34" i="62" s="1"/>
  <c r="I34" i="62"/>
  <c r="AZ34" i="62" s="1"/>
  <c r="H34" i="62"/>
  <c r="AY34" i="62" s="1"/>
  <c r="G34" i="62"/>
  <c r="AX34" i="62" s="1"/>
  <c r="F34" i="62"/>
  <c r="AW34" i="62" s="1"/>
  <c r="E34" i="62"/>
  <c r="AV34" i="62" s="1"/>
  <c r="AN31" i="62"/>
  <c r="AM31" i="62"/>
  <c r="AL31" i="62"/>
  <c r="CC31" i="62" s="1"/>
  <c r="AK31" i="62"/>
  <c r="CB31" i="62" s="1"/>
  <c r="AJ31" i="62"/>
  <c r="CA31" i="62" s="1"/>
  <c r="AI31" i="62"/>
  <c r="BZ31" i="62" s="1"/>
  <c r="AH31" i="62"/>
  <c r="BY31" i="62" s="1"/>
  <c r="AG31" i="62"/>
  <c r="AF31" i="62"/>
  <c r="BW31" i="62" s="1"/>
  <c r="AE31" i="62"/>
  <c r="AD31" i="62"/>
  <c r="BU31" i="62" s="1"/>
  <c r="AC31" i="62"/>
  <c r="BT31" i="62" s="1"/>
  <c r="AB31" i="62"/>
  <c r="BS31" i="62" s="1"/>
  <c r="AA31" i="62"/>
  <c r="BR31" i="62" s="1"/>
  <c r="Z31" i="62"/>
  <c r="Y31" i="62"/>
  <c r="BP31" i="62" s="1"/>
  <c r="X31" i="62"/>
  <c r="BO31" i="62" s="1"/>
  <c r="W31" i="62"/>
  <c r="V31" i="62"/>
  <c r="BM31" i="62" s="1"/>
  <c r="U31" i="62"/>
  <c r="BL31" i="62" s="1"/>
  <c r="T31" i="62"/>
  <c r="BK31" i="62" s="1"/>
  <c r="S31" i="62"/>
  <c r="R31" i="62"/>
  <c r="BI31" i="62" s="1"/>
  <c r="Q31" i="62"/>
  <c r="BH31" i="62" s="1"/>
  <c r="P31" i="62"/>
  <c r="BG31" i="62" s="1"/>
  <c r="O31" i="62"/>
  <c r="N31" i="62"/>
  <c r="BE31" i="62" s="1"/>
  <c r="M31" i="62"/>
  <c r="BD31" i="62" s="1"/>
  <c r="L31" i="62"/>
  <c r="K31" i="62"/>
  <c r="BB31" i="62" s="1"/>
  <c r="J31" i="62"/>
  <c r="BA31" i="62" s="1"/>
  <c r="I31" i="62"/>
  <c r="AZ31" i="62" s="1"/>
  <c r="H31" i="62"/>
  <c r="AY31" i="62" s="1"/>
  <c r="G31" i="62"/>
  <c r="F31" i="62"/>
  <c r="AW31" i="62" s="1"/>
  <c r="E31" i="62"/>
  <c r="AN25" i="62"/>
  <c r="AM25" i="62"/>
  <c r="CD25" i="62" s="1"/>
  <c r="AL25" i="62"/>
  <c r="CC25" i="62" s="1"/>
  <c r="AK25" i="62"/>
  <c r="CB25" i="62" s="1"/>
  <c r="AJ25" i="62"/>
  <c r="CA25" i="62" s="1"/>
  <c r="AI25" i="62"/>
  <c r="BZ25" i="62" s="1"/>
  <c r="AH25" i="62"/>
  <c r="BY25" i="62" s="1"/>
  <c r="AG25" i="62"/>
  <c r="BX25" i="62" s="1"/>
  <c r="AF25" i="62"/>
  <c r="BW25" i="62" s="1"/>
  <c r="AE25" i="62"/>
  <c r="BV25" i="62" s="1"/>
  <c r="AD25" i="62"/>
  <c r="BU25" i="62" s="1"/>
  <c r="AC25" i="62"/>
  <c r="BT25" i="62" s="1"/>
  <c r="AB25" i="62"/>
  <c r="BS25" i="62" s="1"/>
  <c r="AA25" i="62"/>
  <c r="BR25" i="62" s="1"/>
  <c r="Z25" i="62"/>
  <c r="BQ25" i="62" s="1"/>
  <c r="Y25" i="62"/>
  <c r="BP25" i="62" s="1"/>
  <c r="X25" i="62"/>
  <c r="BO25" i="62" s="1"/>
  <c r="W25" i="62"/>
  <c r="BN25" i="62" s="1"/>
  <c r="V25" i="62"/>
  <c r="BM25" i="62" s="1"/>
  <c r="U25" i="62"/>
  <c r="BL25" i="62" s="1"/>
  <c r="T25" i="62"/>
  <c r="BK25" i="62" s="1"/>
  <c r="S25" i="62"/>
  <c r="BJ25" i="62" s="1"/>
  <c r="R25" i="62"/>
  <c r="BI25" i="62" s="1"/>
  <c r="Q25" i="62"/>
  <c r="BH25" i="62" s="1"/>
  <c r="P25" i="62"/>
  <c r="BG25" i="62" s="1"/>
  <c r="O25" i="62"/>
  <c r="BF25" i="62" s="1"/>
  <c r="N25" i="62"/>
  <c r="BE25" i="62" s="1"/>
  <c r="M25" i="62"/>
  <c r="BD25" i="62" s="1"/>
  <c r="L25" i="62"/>
  <c r="BC25" i="62" s="1"/>
  <c r="K25" i="62"/>
  <c r="BB25" i="62" s="1"/>
  <c r="J25" i="62"/>
  <c r="BA25" i="62" s="1"/>
  <c r="I25" i="62"/>
  <c r="AZ25" i="62" s="1"/>
  <c r="H25" i="62"/>
  <c r="AY25" i="62" s="1"/>
  <c r="G25" i="62"/>
  <c r="AX25" i="62" s="1"/>
  <c r="F25" i="62"/>
  <c r="AW25" i="62" s="1"/>
  <c r="E25" i="62"/>
  <c r="AV25" i="62" s="1"/>
  <c r="AN22" i="62"/>
  <c r="AM22" i="62"/>
  <c r="CD22" i="62" s="1"/>
  <c r="AL22" i="62"/>
  <c r="CC22" i="62" s="1"/>
  <c r="AK22" i="62"/>
  <c r="CB22" i="62" s="1"/>
  <c r="AJ22" i="62"/>
  <c r="CA22" i="62" s="1"/>
  <c r="AI22" i="62"/>
  <c r="BZ22" i="62" s="1"/>
  <c r="AH22" i="62"/>
  <c r="BY22" i="62" s="1"/>
  <c r="AG22" i="62"/>
  <c r="AF22" i="62"/>
  <c r="BW22" i="62" s="1"/>
  <c r="AE22" i="62"/>
  <c r="BV22" i="62" s="1"/>
  <c r="AD22" i="62"/>
  <c r="BU22" i="62" s="1"/>
  <c r="AC22" i="62"/>
  <c r="BT22" i="62" s="1"/>
  <c r="AB22" i="62"/>
  <c r="BS22" i="62" s="1"/>
  <c r="AA22" i="62"/>
  <c r="BR22" i="62" s="1"/>
  <c r="Z22" i="62"/>
  <c r="BQ22" i="62" s="1"/>
  <c r="Y22" i="62"/>
  <c r="X22" i="62"/>
  <c r="BO22" i="62" s="1"/>
  <c r="W22" i="62"/>
  <c r="BN22" i="62" s="1"/>
  <c r="V22" i="62"/>
  <c r="BM22" i="62" s="1"/>
  <c r="U22" i="62"/>
  <c r="BL22" i="62" s="1"/>
  <c r="T22" i="62"/>
  <c r="BK22" i="62" s="1"/>
  <c r="S22" i="62"/>
  <c r="BJ22" i="62" s="1"/>
  <c r="R22" i="62"/>
  <c r="BI22" i="62" s="1"/>
  <c r="Q22" i="62"/>
  <c r="P22" i="62"/>
  <c r="BG22" i="62" s="1"/>
  <c r="O22" i="62"/>
  <c r="BF22" i="62" s="1"/>
  <c r="N22" i="62"/>
  <c r="BE22" i="62" s="1"/>
  <c r="M22" i="62"/>
  <c r="BD22" i="62" s="1"/>
  <c r="L22" i="62"/>
  <c r="BC22" i="62" s="1"/>
  <c r="K22" i="62"/>
  <c r="BB22" i="62" s="1"/>
  <c r="J22" i="62"/>
  <c r="BA22" i="62" s="1"/>
  <c r="I22" i="62"/>
  <c r="AZ22" i="62" s="1"/>
  <c r="H22" i="62"/>
  <c r="AY22" i="62" s="1"/>
  <c r="G22" i="62"/>
  <c r="AX22" i="62" s="1"/>
  <c r="F22" i="62"/>
  <c r="AW22" i="62" s="1"/>
  <c r="E22" i="62"/>
  <c r="AV22" i="62" s="1"/>
  <c r="AN15" i="62"/>
  <c r="AM15" i="62"/>
  <c r="CD15" i="62" s="1"/>
  <c r="AL15" i="62"/>
  <c r="CC15" i="62" s="1"/>
  <c r="AK15" i="62"/>
  <c r="CB15" i="62" s="1"/>
  <c r="AJ15" i="62"/>
  <c r="CA15" i="62" s="1"/>
  <c r="AI15" i="62"/>
  <c r="BZ15" i="62" s="1"/>
  <c r="AH15" i="62"/>
  <c r="BY15" i="62" s="1"/>
  <c r="AG15" i="62"/>
  <c r="BX15" i="62" s="1"/>
  <c r="AF15" i="62"/>
  <c r="BW15" i="62" s="1"/>
  <c r="AE15" i="62"/>
  <c r="BV15" i="62" s="1"/>
  <c r="AD15" i="62"/>
  <c r="BU15" i="62" s="1"/>
  <c r="AC15" i="62"/>
  <c r="BT15" i="62" s="1"/>
  <c r="AB15" i="62"/>
  <c r="BS15" i="62" s="1"/>
  <c r="AA15" i="62"/>
  <c r="BR15" i="62" s="1"/>
  <c r="Z15" i="62"/>
  <c r="BQ15" i="62" s="1"/>
  <c r="Y15" i="62"/>
  <c r="BP15" i="62" s="1"/>
  <c r="X15" i="62"/>
  <c r="BO15" i="62" s="1"/>
  <c r="W15" i="62"/>
  <c r="BN15" i="62" s="1"/>
  <c r="V15" i="62"/>
  <c r="BM15" i="62" s="1"/>
  <c r="U15" i="62"/>
  <c r="BL15" i="62" s="1"/>
  <c r="T15" i="62"/>
  <c r="BK15" i="62" s="1"/>
  <c r="S15" i="62"/>
  <c r="BJ15" i="62" s="1"/>
  <c r="R15" i="62"/>
  <c r="BI15" i="62" s="1"/>
  <c r="Q15" i="62"/>
  <c r="BH15" i="62" s="1"/>
  <c r="P15" i="62"/>
  <c r="BG15" i="62" s="1"/>
  <c r="O15" i="62"/>
  <c r="BF15" i="62" s="1"/>
  <c r="N15" i="62"/>
  <c r="BE15" i="62" s="1"/>
  <c r="M15" i="62"/>
  <c r="BD15" i="62" s="1"/>
  <c r="L15" i="62"/>
  <c r="BC15" i="62" s="1"/>
  <c r="K15" i="62"/>
  <c r="BB15" i="62" s="1"/>
  <c r="J15" i="62"/>
  <c r="BA15" i="62" s="1"/>
  <c r="I15" i="62"/>
  <c r="AZ15" i="62" s="1"/>
  <c r="H15" i="62"/>
  <c r="AY15" i="62" s="1"/>
  <c r="G15" i="62"/>
  <c r="AX15" i="62" s="1"/>
  <c r="F15" i="62"/>
  <c r="AW15" i="62" s="1"/>
  <c r="E15" i="62"/>
  <c r="AV15" i="62" s="1"/>
  <c r="AN12" i="62"/>
  <c r="AM12" i="62"/>
  <c r="CD12" i="62" s="1"/>
  <c r="AL12" i="62"/>
  <c r="CC12" i="62" s="1"/>
  <c r="AK12" i="62"/>
  <c r="CB12" i="62" s="1"/>
  <c r="AJ12" i="62"/>
  <c r="CA12" i="62" s="1"/>
  <c r="AI12" i="62"/>
  <c r="BZ12" i="62" s="1"/>
  <c r="AH12" i="62"/>
  <c r="BY12" i="62" s="1"/>
  <c r="AG12" i="62"/>
  <c r="BX12" i="62" s="1"/>
  <c r="AF12" i="62"/>
  <c r="BW12" i="62" s="1"/>
  <c r="AE12" i="62"/>
  <c r="BV12" i="62" s="1"/>
  <c r="AD12" i="62"/>
  <c r="BU12" i="62" s="1"/>
  <c r="AC12" i="62"/>
  <c r="BT12" i="62" s="1"/>
  <c r="AB12" i="62"/>
  <c r="BS12" i="62" s="1"/>
  <c r="AA12" i="62"/>
  <c r="BR12" i="62" s="1"/>
  <c r="Z12" i="62"/>
  <c r="BQ12" i="62" s="1"/>
  <c r="Y12" i="62"/>
  <c r="BP12" i="62" s="1"/>
  <c r="X12" i="62"/>
  <c r="BO12" i="62" s="1"/>
  <c r="W12" i="62"/>
  <c r="BN12" i="62" s="1"/>
  <c r="V12" i="62"/>
  <c r="BM12" i="62" s="1"/>
  <c r="U12" i="62"/>
  <c r="BL12" i="62" s="1"/>
  <c r="T12" i="62"/>
  <c r="BK12" i="62" s="1"/>
  <c r="S12" i="62"/>
  <c r="BJ12" i="62" s="1"/>
  <c r="R12" i="62"/>
  <c r="BI12" i="62" s="1"/>
  <c r="Q12" i="62"/>
  <c r="BH12" i="62" s="1"/>
  <c r="P12" i="62"/>
  <c r="BG12" i="62" s="1"/>
  <c r="O12" i="62"/>
  <c r="BF12" i="62" s="1"/>
  <c r="N12" i="62"/>
  <c r="BE12" i="62" s="1"/>
  <c r="M12" i="62"/>
  <c r="BD12" i="62" s="1"/>
  <c r="L12" i="62"/>
  <c r="BC12" i="62" s="1"/>
  <c r="K12" i="62"/>
  <c r="BB12" i="62" s="1"/>
  <c r="J12" i="62"/>
  <c r="BA12" i="62" s="1"/>
  <c r="I12" i="62"/>
  <c r="AZ12" i="62" s="1"/>
  <c r="H12" i="62"/>
  <c r="AY12" i="62" s="1"/>
  <c r="G12" i="62"/>
  <c r="AX12" i="62" s="1"/>
  <c r="F12" i="62"/>
  <c r="AW12" i="62" s="1"/>
  <c r="E12" i="62"/>
  <c r="AV12" i="62" s="1"/>
  <c r="AT11" i="62"/>
  <c r="AS11" i="62"/>
  <c r="AR11" i="62"/>
  <c r="AQ11" i="62"/>
  <c r="AP11" i="62"/>
  <c r="AO11" i="62"/>
  <c r="Q10" i="51" l="1"/>
  <c r="X10" i="51" s="1"/>
  <c r="BA10" i="51"/>
  <c r="BH10" i="51" s="1"/>
  <c r="BO10" i="51" s="1"/>
  <c r="AH12" i="50"/>
  <c r="BT12" i="50" s="1"/>
  <c r="BY16" i="51"/>
  <c r="AH14" i="50"/>
  <c r="BT14" i="50" s="1"/>
  <c r="BY19" i="51"/>
  <c r="AA120" i="50"/>
  <c r="BM120" i="50" s="1"/>
  <c r="BR33" i="51"/>
  <c r="AH126" i="50"/>
  <c r="BT126" i="50" s="1"/>
  <c r="BY40" i="51"/>
  <c r="AA23" i="50"/>
  <c r="BM23" i="50" s="1"/>
  <c r="BR49" i="51"/>
  <c r="Y12" i="51"/>
  <c r="BP12" i="51" s="1"/>
  <c r="BP13" i="51"/>
  <c r="N22" i="51"/>
  <c r="BE22" i="51" s="1"/>
  <c r="BE23" i="51"/>
  <c r="AP31" i="51"/>
  <c r="CG31" i="51" s="1"/>
  <c r="CG32" i="51"/>
  <c r="AA11" i="50"/>
  <c r="BM11" i="50" s="1"/>
  <c r="BR13" i="51"/>
  <c r="Q15" i="51"/>
  <c r="BH15" i="51" s="1"/>
  <c r="BH16" i="51"/>
  <c r="AA12" i="50"/>
  <c r="BM12" i="50" s="1"/>
  <c r="BR16" i="51"/>
  <c r="AA14" i="50"/>
  <c r="BM14" i="50" s="1"/>
  <c r="BR19" i="51"/>
  <c r="O22" i="51"/>
  <c r="BF22" i="51" s="1"/>
  <c r="BF23" i="51"/>
  <c r="X22" i="51"/>
  <c r="BO22" i="51" s="1"/>
  <c r="BO23" i="51"/>
  <c r="AH115" i="50"/>
  <c r="BT115" i="50" s="1"/>
  <c r="BY24" i="51"/>
  <c r="AH119" i="50"/>
  <c r="BT119" i="50" s="1"/>
  <c r="BY32" i="51"/>
  <c r="AA126" i="50"/>
  <c r="BM126" i="50" s="1"/>
  <c r="BR40" i="51"/>
  <c r="AH128" i="50"/>
  <c r="BT128" i="50" s="1"/>
  <c r="BY42" i="51"/>
  <c r="AH129" i="50"/>
  <c r="BT129" i="50" s="1"/>
  <c r="BY44" i="51"/>
  <c r="AH25" i="50"/>
  <c r="BT25" i="50" s="1"/>
  <c r="BY51" i="51"/>
  <c r="AA26" i="50"/>
  <c r="BM26" i="50" s="1"/>
  <c r="BR52" i="51"/>
  <c r="AA24" i="50"/>
  <c r="BM24" i="50" s="1"/>
  <c r="BR54" i="51"/>
  <c r="AH30" i="50"/>
  <c r="BT30" i="50" s="1"/>
  <c r="BY56" i="51"/>
  <c r="AA31" i="50"/>
  <c r="BM31" i="50" s="1"/>
  <c r="BR57" i="51"/>
  <c r="AH34" i="50"/>
  <c r="BT34" i="50" s="1"/>
  <c r="BY59" i="51"/>
  <c r="F12" i="51"/>
  <c r="AW12" i="51" s="1"/>
  <c r="AW13" i="51"/>
  <c r="V31" i="51"/>
  <c r="BM31" i="51" s="1"/>
  <c r="BM32" i="51"/>
  <c r="AA28" i="50"/>
  <c r="BM28" i="50" s="1"/>
  <c r="BR55" i="51"/>
  <c r="AH31" i="50"/>
  <c r="BT31" i="50" s="1"/>
  <c r="BY57" i="51"/>
  <c r="G12" i="51"/>
  <c r="AX12" i="51" s="1"/>
  <c r="AX13" i="51"/>
  <c r="W22" i="51"/>
  <c r="BN22" i="51" s="1"/>
  <c r="BN23" i="51"/>
  <c r="N8" i="50"/>
  <c r="U8" i="50" s="1"/>
  <c r="AB8" i="50" s="1"/>
  <c r="AI8" i="50" s="1"/>
  <c r="AS8" i="50"/>
  <c r="AZ8" i="50" s="1"/>
  <c r="BG8" i="50" s="1"/>
  <c r="BN8" i="50" s="1"/>
  <c r="BU8" i="50" s="1"/>
  <c r="R15" i="51"/>
  <c r="BI15" i="51" s="1"/>
  <c r="BI16" i="51"/>
  <c r="P22" i="51"/>
  <c r="BG22" i="51" s="1"/>
  <c r="BG23" i="51"/>
  <c r="Y22" i="51"/>
  <c r="BP22" i="51" s="1"/>
  <c r="BP23" i="51"/>
  <c r="AE31" i="51"/>
  <c r="BV31" i="51" s="1"/>
  <c r="BV32" i="51"/>
  <c r="AA18" i="50"/>
  <c r="BM18" i="50" s="1"/>
  <c r="BR43" i="51"/>
  <c r="AH26" i="50"/>
  <c r="BT26" i="50" s="1"/>
  <c r="BY52" i="51"/>
  <c r="R10" i="51"/>
  <c r="Y10" i="51" s="1"/>
  <c r="AF10" i="51" s="1"/>
  <c r="AM10" i="51" s="1"/>
  <c r="BB10" i="51"/>
  <c r="BI10" i="51" s="1"/>
  <c r="BP10" i="51" s="1"/>
  <c r="AI12" i="51"/>
  <c r="BZ12" i="51" s="1"/>
  <c r="BZ13" i="51"/>
  <c r="N31" i="51"/>
  <c r="BE31" i="51" s="1"/>
  <c r="BE32" i="51"/>
  <c r="M10" i="51"/>
  <c r="T10" i="51" s="1"/>
  <c r="AW10" i="51"/>
  <c r="BD10" i="51" s="1"/>
  <c r="BK10" i="51" s="1"/>
  <c r="O8" i="50"/>
  <c r="V8" i="50" s="1"/>
  <c r="AC8" i="50" s="1"/>
  <c r="AJ8" i="50" s="1"/>
  <c r="AT8" i="50"/>
  <c r="BA8" i="50" s="1"/>
  <c r="BH8" i="50" s="1"/>
  <c r="BO8" i="50" s="1"/>
  <c r="BV8" i="50" s="1"/>
  <c r="AH112" i="50"/>
  <c r="BT112" i="50" s="1"/>
  <c r="BY14" i="51"/>
  <c r="T15" i="51"/>
  <c r="BK15" i="51" s="1"/>
  <c r="BK16" i="51"/>
  <c r="AA115" i="50"/>
  <c r="BM115" i="50" s="1"/>
  <c r="BR24" i="51"/>
  <c r="AA119" i="50"/>
  <c r="BM119" i="50" s="1"/>
  <c r="BR32" i="51"/>
  <c r="AA128" i="50"/>
  <c r="BM128" i="50" s="1"/>
  <c r="BR42" i="51"/>
  <c r="AA129" i="50"/>
  <c r="BM129" i="50" s="1"/>
  <c r="BR44" i="51"/>
  <c r="AA25" i="50"/>
  <c r="BM25" i="50" s="1"/>
  <c r="BR51" i="51"/>
  <c r="AH27" i="50"/>
  <c r="BT27" i="50" s="1"/>
  <c r="BY53" i="51"/>
  <c r="AA30" i="50"/>
  <c r="BM30" i="50" s="1"/>
  <c r="BR56" i="51"/>
  <c r="AA34" i="50"/>
  <c r="BM34" i="50" s="1"/>
  <c r="BR59" i="51"/>
  <c r="O12" i="51"/>
  <c r="BF12" i="51" s="1"/>
  <c r="BF13" i="51"/>
  <c r="X15" i="51"/>
  <c r="BO15" i="51" s="1"/>
  <c r="BO16" i="51"/>
  <c r="AS22" i="51"/>
  <c r="CJ22" i="51" s="1"/>
  <c r="CJ23" i="51"/>
  <c r="AR12" i="51"/>
  <c r="CI12" i="51" s="1"/>
  <c r="CI13" i="51"/>
  <c r="P15" i="51"/>
  <c r="BG15" i="51" s="1"/>
  <c r="BG16" i="51"/>
  <c r="AF31" i="51"/>
  <c r="BW31" i="51" s="1"/>
  <c r="BW32" i="51"/>
  <c r="N10" i="51"/>
  <c r="U10" i="51" s="1"/>
  <c r="AX10" i="51"/>
  <c r="BE10" i="51" s="1"/>
  <c r="BL10" i="51" s="1"/>
  <c r="P8" i="50"/>
  <c r="W8" i="50" s="1"/>
  <c r="AD8" i="50" s="1"/>
  <c r="AK8" i="50" s="1"/>
  <c r="AU8" i="50"/>
  <c r="BB8" i="50" s="1"/>
  <c r="BI8" i="50" s="1"/>
  <c r="BP8" i="50" s="1"/>
  <c r="BW8" i="50" s="1"/>
  <c r="U15" i="51"/>
  <c r="BL15" i="51" s="1"/>
  <c r="BL16" i="51"/>
  <c r="R22" i="51"/>
  <c r="BI22" i="51" s="1"/>
  <c r="BI23" i="51"/>
  <c r="X12" i="51"/>
  <c r="BO12" i="51" s="1"/>
  <c r="BO13" i="51"/>
  <c r="AH24" i="50"/>
  <c r="BT24" i="50" s="1"/>
  <c r="BY54" i="51"/>
  <c r="W31" i="51"/>
  <c r="BN31" i="51" s="1"/>
  <c r="BN32" i="51"/>
  <c r="O10" i="51"/>
  <c r="V10" i="51" s="1"/>
  <c r="AC10" i="51" s="1"/>
  <c r="AJ10" i="51" s="1"/>
  <c r="AY10" i="51"/>
  <c r="BF10" i="51" s="1"/>
  <c r="BM10" i="51" s="1"/>
  <c r="Q8" i="50"/>
  <c r="X8" i="50" s="1"/>
  <c r="AE8" i="50" s="1"/>
  <c r="AL8" i="50" s="1"/>
  <c r="AV8" i="50"/>
  <c r="BC8" i="50" s="1"/>
  <c r="BJ8" i="50" s="1"/>
  <c r="BQ8" i="50" s="1"/>
  <c r="BX8" i="50" s="1"/>
  <c r="AA112" i="50"/>
  <c r="BM112" i="50" s="1"/>
  <c r="BR14" i="51"/>
  <c r="V15" i="51"/>
  <c r="BM15" i="51" s="1"/>
  <c r="BM16" i="51"/>
  <c r="AH120" i="50"/>
  <c r="BT120" i="50" s="1"/>
  <c r="BY33" i="51"/>
  <c r="AH123" i="50"/>
  <c r="BT123" i="50" s="1"/>
  <c r="BY37" i="51"/>
  <c r="AH18" i="50"/>
  <c r="BT18" i="50" s="1"/>
  <c r="BY43" i="51"/>
  <c r="AH23" i="50"/>
  <c r="BT23" i="50" s="1"/>
  <c r="BY49" i="51"/>
  <c r="AA27" i="50"/>
  <c r="BM27" i="50" s="1"/>
  <c r="BR53" i="51"/>
  <c r="AH28" i="50"/>
  <c r="BT28" i="50" s="1"/>
  <c r="BY55" i="51"/>
  <c r="AQ12" i="51"/>
  <c r="CH12" i="51" s="1"/>
  <c r="CH13" i="51"/>
  <c r="O15" i="51"/>
  <c r="BF15" i="51" s="1"/>
  <c r="BF16" i="51"/>
  <c r="AA123" i="50"/>
  <c r="BM123" i="50" s="1"/>
  <c r="BR37" i="51"/>
  <c r="P12" i="51"/>
  <c r="BG12" i="51" s="1"/>
  <c r="BG13" i="51"/>
  <c r="Y15" i="51"/>
  <c r="BP15" i="51" s="1"/>
  <c r="BP16" i="51"/>
  <c r="AT22" i="51"/>
  <c r="CK22" i="51" s="1"/>
  <c r="CK23" i="51"/>
  <c r="P10" i="51"/>
  <c r="W10" i="51" s="1"/>
  <c r="AR10" i="51" s="1"/>
  <c r="AZ10" i="51"/>
  <c r="BG10" i="51" s="1"/>
  <c r="BN10" i="51" s="1"/>
  <c r="R8" i="50"/>
  <c r="Y8" i="50" s="1"/>
  <c r="AF8" i="50" s="1"/>
  <c r="AM8" i="50" s="1"/>
  <c r="AW8" i="50"/>
  <c r="BD8" i="50" s="1"/>
  <c r="BK8" i="50" s="1"/>
  <c r="BR8" i="50" s="1"/>
  <c r="BY8" i="50" s="1"/>
  <c r="N12" i="51"/>
  <c r="BE12" i="51" s="1"/>
  <c r="BE13" i="51"/>
  <c r="W12" i="51"/>
  <c r="BN12" i="51" s="1"/>
  <c r="BN13" i="51"/>
  <c r="AF12" i="51"/>
  <c r="BW12" i="51" s="1"/>
  <c r="BW13" i="51"/>
  <c r="AP12" i="51"/>
  <c r="CG12" i="51" s="1"/>
  <c r="CG13" i="51"/>
  <c r="N15" i="51"/>
  <c r="BE15" i="51" s="1"/>
  <c r="BE16" i="51"/>
  <c r="W15" i="51"/>
  <c r="BN15" i="51" s="1"/>
  <c r="BN16" i="51"/>
  <c r="U22" i="51"/>
  <c r="BL22" i="51" s="1"/>
  <c r="BL23" i="51"/>
  <c r="AR22" i="51"/>
  <c r="CI22" i="51" s="1"/>
  <c r="CI23" i="51"/>
  <c r="K31" i="51"/>
  <c r="BB31" i="51" s="1"/>
  <c r="BB32" i="51"/>
  <c r="U31" i="51"/>
  <c r="BL31" i="51" s="1"/>
  <c r="BL32" i="51"/>
  <c r="AD31" i="51"/>
  <c r="BU31" i="51" s="1"/>
  <c r="BU32" i="51"/>
  <c r="AM31" i="51"/>
  <c r="CD31" i="51" s="1"/>
  <c r="CD32" i="51"/>
  <c r="E80" i="62"/>
  <c r="AV80" i="62" s="1"/>
  <c r="AV31" i="62"/>
  <c r="AB68" i="62"/>
  <c r="BR68" i="62"/>
  <c r="AB70" i="62"/>
  <c r="BR70" i="62"/>
  <c r="AB76" i="62"/>
  <c r="BR76" i="62"/>
  <c r="U78" i="62"/>
  <c r="BK78" i="62"/>
  <c r="AB85" i="62"/>
  <c r="BR85" i="62"/>
  <c r="N87" i="62"/>
  <c r="BD87" i="62"/>
  <c r="U90" i="62"/>
  <c r="BK90" i="62"/>
  <c r="AB93" i="62"/>
  <c r="BR93" i="62"/>
  <c r="U97" i="62"/>
  <c r="BK97" i="62"/>
  <c r="AB104" i="62"/>
  <c r="BR104" i="62"/>
  <c r="C120" i="67"/>
  <c r="AX110" i="62"/>
  <c r="C120" i="85" s="1"/>
  <c r="E124" i="67"/>
  <c r="BN110" i="62"/>
  <c r="E124" i="85" s="1"/>
  <c r="G128" i="67"/>
  <c r="CD110" i="62"/>
  <c r="G128" i="85" s="1"/>
  <c r="T215" i="50"/>
  <c r="BF215" i="50" s="1"/>
  <c r="BK155" i="62"/>
  <c r="G165" i="62"/>
  <c r="AW165" i="62"/>
  <c r="T231" i="50"/>
  <c r="BK171" i="62"/>
  <c r="N197" i="50"/>
  <c r="AY197" i="50"/>
  <c r="AI200" i="50"/>
  <c r="BT200" i="50"/>
  <c r="U206" i="50"/>
  <c r="BF206" i="50"/>
  <c r="U208" i="50"/>
  <c r="BF208" i="50"/>
  <c r="AI70" i="62"/>
  <c r="BY70" i="62"/>
  <c r="AB78" i="62"/>
  <c r="BR78" i="62"/>
  <c r="AI85" i="62"/>
  <c r="BY85" i="62"/>
  <c r="AB90" i="62"/>
  <c r="BR90" i="62"/>
  <c r="G108" i="62"/>
  <c r="AW108" i="62"/>
  <c r="E122" i="67"/>
  <c r="BG110" i="62"/>
  <c r="E122" i="85" s="1"/>
  <c r="G170" i="62"/>
  <c r="AW170" i="62"/>
  <c r="U197" i="50"/>
  <c r="BF197" i="50"/>
  <c r="N201" i="50"/>
  <c r="AY201" i="50"/>
  <c r="AB206" i="50"/>
  <c r="BM206" i="50"/>
  <c r="AB210" i="50"/>
  <c r="BM210" i="50"/>
  <c r="W30" i="62"/>
  <c r="BN30" i="62" s="1"/>
  <c r="BN31" i="62"/>
  <c r="AB62" i="62"/>
  <c r="BR62" i="62"/>
  <c r="N69" i="62"/>
  <c r="BD69" i="62"/>
  <c r="N73" i="62"/>
  <c r="BD73" i="62"/>
  <c r="AI78" i="62"/>
  <c r="BY78" i="62"/>
  <c r="G86" i="62"/>
  <c r="AW86" i="62"/>
  <c r="AI90" i="62"/>
  <c r="BY90" i="62"/>
  <c r="U103" i="62"/>
  <c r="BK103" i="62"/>
  <c r="F122" i="67"/>
  <c r="BH110" i="62"/>
  <c r="F122" i="85" s="1"/>
  <c r="G159" i="62"/>
  <c r="AW159" i="62"/>
  <c r="AH223" i="50"/>
  <c r="BY163" i="62"/>
  <c r="G167" i="62"/>
  <c r="G227" i="50" s="1"/>
  <c r="AS227" i="50" s="1"/>
  <c r="AW167" i="62"/>
  <c r="AH231" i="50"/>
  <c r="BY171" i="62"/>
  <c r="N194" i="50"/>
  <c r="AY194" i="50"/>
  <c r="AB197" i="50"/>
  <c r="BM197" i="50"/>
  <c r="U203" i="50"/>
  <c r="BF203" i="50"/>
  <c r="AI206" i="50"/>
  <c r="BT206" i="50"/>
  <c r="AI212" i="50"/>
  <c r="BT212" i="50"/>
  <c r="U73" i="62"/>
  <c r="BK73" i="62"/>
  <c r="N77" i="62"/>
  <c r="BD77" i="62"/>
  <c r="AB84" i="62"/>
  <c r="BR84" i="62"/>
  <c r="U89" i="62"/>
  <c r="BK89" i="62"/>
  <c r="N100" i="62"/>
  <c r="BD100" i="62"/>
  <c r="AB103" i="62"/>
  <c r="BR103" i="62"/>
  <c r="U108" i="62"/>
  <c r="BK108" i="62"/>
  <c r="G122" i="67"/>
  <c r="BI110" i="62"/>
  <c r="G122" i="85" s="1"/>
  <c r="G156" i="62"/>
  <c r="G216" i="50" s="1"/>
  <c r="AS216" i="50" s="1"/>
  <c r="AW156" i="62"/>
  <c r="G196" i="50"/>
  <c r="AR196" i="50"/>
  <c r="AB201" i="50"/>
  <c r="BM201" i="50"/>
  <c r="U205" i="50"/>
  <c r="BF205" i="50"/>
  <c r="N207" i="50"/>
  <c r="AY207" i="50"/>
  <c r="N211" i="50"/>
  <c r="AY211" i="50"/>
  <c r="AG18" i="62"/>
  <c r="BX18" i="62" s="1"/>
  <c r="BX22" i="62"/>
  <c r="AI66" i="62"/>
  <c r="BY66" i="62"/>
  <c r="N102" i="62"/>
  <c r="BD102" i="62"/>
  <c r="AB108" i="62"/>
  <c r="BR108" i="62"/>
  <c r="C128" i="67"/>
  <c r="BZ110" i="62"/>
  <c r="C128" i="85" s="1"/>
  <c r="G161" i="62"/>
  <c r="AW161" i="62"/>
  <c r="AA79" i="50"/>
  <c r="BM79" i="50" s="1"/>
  <c r="BM54" i="50"/>
  <c r="N196" i="50"/>
  <c r="AY196" i="50"/>
  <c r="G200" i="50"/>
  <c r="AR200" i="50"/>
  <c r="AB205" i="50"/>
  <c r="BM205" i="50"/>
  <c r="N213" i="50"/>
  <c r="AY213" i="50"/>
  <c r="Z80" i="62"/>
  <c r="BQ31" i="62"/>
  <c r="N63" i="62"/>
  <c r="BD63" i="62"/>
  <c r="U65" i="62"/>
  <c r="BL65" i="62" s="1"/>
  <c r="BK65" i="62"/>
  <c r="G68" i="62"/>
  <c r="AW68" i="62"/>
  <c r="AI69" i="62"/>
  <c r="BY69" i="62"/>
  <c r="AI73" i="62"/>
  <c r="BY73" i="62"/>
  <c r="G76" i="62"/>
  <c r="AW76" i="62"/>
  <c r="AB77" i="62"/>
  <c r="BR77" i="62"/>
  <c r="N81" i="62"/>
  <c r="BE81" i="62" s="1"/>
  <c r="BD81" i="62"/>
  <c r="AI82" i="62"/>
  <c r="BY82" i="62"/>
  <c r="G85" i="62"/>
  <c r="AW85" i="62"/>
  <c r="AB86" i="62"/>
  <c r="BR86" i="62"/>
  <c r="N88" i="62"/>
  <c r="BD88" i="62"/>
  <c r="AI89" i="62"/>
  <c r="BY89" i="62"/>
  <c r="U91" i="62"/>
  <c r="BK91" i="62"/>
  <c r="G93" i="62"/>
  <c r="AW93" i="62"/>
  <c r="N95" i="62"/>
  <c r="BD95" i="62"/>
  <c r="AI96" i="62"/>
  <c r="BY96" i="62"/>
  <c r="U98" i="62"/>
  <c r="BK98" i="62"/>
  <c r="AB100" i="62"/>
  <c r="BR100" i="62"/>
  <c r="U102" i="62"/>
  <c r="BK102" i="62"/>
  <c r="G104" i="62"/>
  <c r="AW104" i="62"/>
  <c r="AB105" i="62"/>
  <c r="BR105" i="62"/>
  <c r="N107" i="62"/>
  <c r="BD107" i="62"/>
  <c r="AI108" i="62"/>
  <c r="BY108" i="62"/>
  <c r="C126" i="67"/>
  <c r="BS110" i="62"/>
  <c r="C126" i="85" s="1"/>
  <c r="D128" i="67"/>
  <c r="CA110" i="62"/>
  <c r="D128" i="85" s="1"/>
  <c r="T216" i="50"/>
  <c r="BK156" i="62"/>
  <c r="G174" i="62"/>
  <c r="AW174" i="62"/>
  <c r="G193" i="50"/>
  <c r="AR193" i="50"/>
  <c r="AA82" i="50"/>
  <c r="BM82" i="50" s="1"/>
  <c r="BM57" i="50"/>
  <c r="AI194" i="50"/>
  <c r="BT194" i="50"/>
  <c r="U196" i="50"/>
  <c r="BF196" i="50"/>
  <c r="U198" i="50"/>
  <c r="BF198" i="50"/>
  <c r="N200" i="50"/>
  <c r="AY200" i="50"/>
  <c r="N202" i="50"/>
  <c r="AY202" i="50"/>
  <c r="G204" i="50"/>
  <c r="AR204" i="50"/>
  <c r="AI205" i="50"/>
  <c r="BT205" i="50"/>
  <c r="AB207" i="50"/>
  <c r="BM207" i="50"/>
  <c r="AB209" i="50"/>
  <c r="BM209" i="50"/>
  <c r="AB211" i="50"/>
  <c r="BM211" i="50"/>
  <c r="U213" i="50"/>
  <c r="BF213" i="50"/>
  <c r="AI63" i="62"/>
  <c r="BY63" i="62"/>
  <c r="G84" i="62"/>
  <c r="AW84" i="62"/>
  <c r="G92" i="62"/>
  <c r="AW92" i="62"/>
  <c r="U101" i="62"/>
  <c r="BK101" i="62"/>
  <c r="AB193" i="50"/>
  <c r="BM193" i="50"/>
  <c r="AI202" i="50"/>
  <c r="BT202" i="50"/>
  <c r="N210" i="50"/>
  <c r="AY210" i="50"/>
  <c r="G73" i="62"/>
  <c r="AW73" i="62"/>
  <c r="G82" i="62"/>
  <c r="AW82" i="62"/>
  <c r="U87" i="62"/>
  <c r="BK87" i="62"/>
  <c r="N92" i="62"/>
  <c r="BD92" i="62"/>
  <c r="AB97" i="62"/>
  <c r="BR97" i="62"/>
  <c r="AI104" i="62"/>
  <c r="BY104" i="62"/>
  <c r="AI193" i="50"/>
  <c r="BT193" i="50"/>
  <c r="N203" i="50"/>
  <c r="AY203" i="50"/>
  <c r="AB212" i="50"/>
  <c r="BM212" i="50"/>
  <c r="O30" i="62"/>
  <c r="BF30" i="62" s="1"/>
  <c r="BF31" i="62"/>
  <c r="AM30" i="62"/>
  <c r="CD30" i="62" s="1"/>
  <c r="CD31" i="62"/>
  <c r="AI30" i="62"/>
  <c r="BZ30" i="62" s="1"/>
  <c r="BZ34" i="62"/>
  <c r="U66" i="62"/>
  <c r="BK66" i="62"/>
  <c r="U75" i="62"/>
  <c r="BL75" i="62" s="1"/>
  <c r="BK75" i="62"/>
  <c r="N82" i="62"/>
  <c r="BD82" i="62"/>
  <c r="AB87" i="62"/>
  <c r="BR87" i="62"/>
  <c r="G100" i="62"/>
  <c r="AX100" i="62" s="1"/>
  <c r="AW100" i="62"/>
  <c r="AB106" i="62"/>
  <c r="BR106" i="62"/>
  <c r="E120" i="67"/>
  <c r="AZ110" i="62"/>
  <c r="E120" i="85" s="1"/>
  <c r="M222" i="50"/>
  <c r="BD162" i="62"/>
  <c r="F235" i="50"/>
  <c r="AW175" i="62"/>
  <c r="Q9" i="62"/>
  <c r="X9" i="62" s="1"/>
  <c r="BA9" i="62"/>
  <c r="BH9" i="62" s="1"/>
  <c r="BO9" i="62" s="1"/>
  <c r="BV9" i="62" s="1"/>
  <c r="CC9" i="62" s="1"/>
  <c r="AB199" i="50"/>
  <c r="BM199" i="50"/>
  <c r="AI210" i="50"/>
  <c r="BT210" i="50"/>
  <c r="G65" i="62"/>
  <c r="AX65" i="62" s="1"/>
  <c r="AW65" i="62"/>
  <c r="AI87" i="62"/>
  <c r="BY87" i="62"/>
  <c r="AB92" i="62"/>
  <c r="BR92" i="62"/>
  <c r="G98" i="62"/>
  <c r="AW98" i="62"/>
  <c r="G102" i="62"/>
  <c r="AW102" i="62"/>
  <c r="AI106" i="62"/>
  <c r="BY106" i="62"/>
  <c r="F120" i="67"/>
  <c r="BA110" i="62"/>
  <c r="F120" i="85" s="1"/>
  <c r="R9" i="62"/>
  <c r="Y9" i="62" s="1"/>
  <c r="AT9" i="62" s="1"/>
  <c r="BB9" i="62"/>
  <c r="BI9" i="62" s="1"/>
  <c r="BP9" i="62" s="1"/>
  <c r="BW9" i="62" s="1"/>
  <c r="CD9" i="62" s="1"/>
  <c r="AI197" i="50"/>
  <c r="BT197" i="50"/>
  <c r="G209" i="50"/>
  <c r="AR209" i="50"/>
  <c r="Q18" i="62"/>
  <c r="BH18" i="62" s="1"/>
  <c r="BH22" i="62"/>
  <c r="AG80" i="62"/>
  <c r="BX31" i="62"/>
  <c r="G63" i="62"/>
  <c r="AW63" i="62"/>
  <c r="G72" i="62"/>
  <c r="AW72" i="62"/>
  <c r="U86" i="62"/>
  <c r="BK86" i="62"/>
  <c r="AB89" i="62"/>
  <c r="BR89" i="62"/>
  <c r="AI92" i="62"/>
  <c r="BY92" i="62"/>
  <c r="N98" i="62"/>
  <c r="BD98" i="62"/>
  <c r="U105" i="62"/>
  <c r="BK105" i="62"/>
  <c r="M216" i="50"/>
  <c r="BD156" i="62"/>
  <c r="AH217" i="50"/>
  <c r="BY157" i="62"/>
  <c r="AA222" i="50"/>
  <c r="BR162" i="62"/>
  <c r="G169" i="62"/>
  <c r="AW169" i="62"/>
  <c r="T235" i="50"/>
  <c r="BK175" i="62"/>
  <c r="AI201" i="50"/>
  <c r="BT201" i="50"/>
  <c r="U207" i="50"/>
  <c r="BF207" i="50"/>
  <c r="U211" i="50"/>
  <c r="BF211" i="50"/>
  <c r="S80" i="62"/>
  <c r="BJ31" i="62"/>
  <c r="U63" i="62"/>
  <c r="BK63" i="62"/>
  <c r="AB65" i="62"/>
  <c r="BR65" i="62"/>
  <c r="N68" i="62"/>
  <c r="BD68" i="62"/>
  <c r="N70" i="62"/>
  <c r="BD70" i="62"/>
  <c r="U72" i="62"/>
  <c r="BL72" i="62" s="1"/>
  <c r="BK72" i="62"/>
  <c r="N76" i="62"/>
  <c r="BD76" i="62"/>
  <c r="AI77" i="62"/>
  <c r="BY77" i="62"/>
  <c r="U81" i="62"/>
  <c r="BK81" i="62"/>
  <c r="N85" i="62"/>
  <c r="BD85" i="62"/>
  <c r="U88" i="62"/>
  <c r="BK88" i="62"/>
  <c r="G90" i="62"/>
  <c r="AW90" i="62"/>
  <c r="AB91" i="62"/>
  <c r="BR91" i="62"/>
  <c r="N93" i="62"/>
  <c r="BD93" i="62"/>
  <c r="G97" i="62"/>
  <c r="AW97" i="62"/>
  <c r="AB98" i="62"/>
  <c r="BR98" i="62"/>
  <c r="AI100" i="62"/>
  <c r="BZ100" i="62" s="1"/>
  <c r="BY100" i="62"/>
  <c r="AB102" i="62"/>
  <c r="BR102" i="62"/>
  <c r="N104" i="62"/>
  <c r="BD104" i="62"/>
  <c r="AI105" i="62"/>
  <c r="BY105" i="62"/>
  <c r="U107" i="62"/>
  <c r="BK107" i="62"/>
  <c r="C124" i="67"/>
  <c r="BL110" i="62"/>
  <c r="C124" i="85" s="1"/>
  <c r="D126" i="67"/>
  <c r="BT110" i="62"/>
  <c r="D126" i="85" s="1"/>
  <c r="E128" i="67"/>
  <c r="CB110" i="62"/>
  <c r="E128" i="85" s="1"/>
  <c r="F215" i="50"/>
  <c r="AR215" i="50" s="1"/>
  <c r="AW155" i="62"/>
  <c r="M218" i="50"/>
  <c r="BD158" i="62"/>
  <c r="AH219" i="50"/>
  <c r="BY159" i="62"/>
  <c r="G163" i="62"/>
  <c r="AX163" i="62" s="1"/>
  <c r="AW163" i="62"/>
  <c r="AA224" i="50"/>
  <c r="BR164" i="62"/>
  <c r="M226" i="50"/>
  <c r="BD166" i="62"/>
  <c r="AH227" i="50"/>
  <c r="BY167" i="62"/>
  <c r="T229" i="50"/>
  <c r="BK169" i="62"/>
  <c r="F231" i="50"/>
  <c r="AW171" i="62"/>
  <c r="AA232" i="50"/>
  <c r="BR172" i="62"/>
  <c r="M234" i="50"/>
  <c r="BD174" i="62"/>
  <c r="AH235" i="50"/>
  <c r="BY175" i="62"/>
  <c r="G197" i="50"/>
  <c r="AR197" i="50"/>
  <c r="AA83" i="50"/>
  <c r="BM83" i="50" s="1"/>
  <c r="BM58" i="50"/>
  <c r="AG64" i="51"/>
  <c r="BX64" i="51" s="1"/>
  <c r="BX65" i="51"/>
  <c r="N193" i="50"/>
  <c r="AY193" i="50"/>
  <c r="G195" i="50"/>
  <c r="AR195" i="50"/>
  <c r="AB196" i="50"/>
  <c r="BM196" i="50"/>
  <c r="AB198" i="50"/>
  <c r="BM198" i="50"/>
  <c r="U200" i="50"/>
  <c r="BF200" i="50"/>
  <c r="U202" i="50"/>
  <c r="BF202" i="50"/>
  <c r="N204" i="50"/>
  <c r="AY204" i="50"/>
  <c r="G206" i="50"/>
  <c r="AR206" i="50"/>
  <c r="AI207" i="50"/>
  <c r="BT207" i="50"/>
  <c r="AI209" i="50"/>
  <c r="BT209" i="50"/>
  <c r="AI211" i="50"/>
  <c r="BT211" i="50"/>
  <c r="AB213" i="50"/>
  <c r="BM213" i="50"/>
  <c r="H66" i="62"/>
  <c r="AX66" i="62"/>
  <c r="AI72" i="62"/>
  <c r="BZ72" i="62" s="1"/>
  <c r="BY72" i="62"/>
  <c r="AI88" i="62"/>
  <c r="BY88" i="62"/>
  <c r="AI95" i="62"/>
  <c r="BZ95" i="62" s="1"/>
  <c r="BY95" i="62"/>
  <c r="N106" i="62"/>
  <c r="BD106" i="62"/>
  <c r="AI107" i="62"/>
  <c r="BY107" i="62"/>
  <c r="D122" i="67"/>
  <c r="BF110" i="62"/>
  <c r="D122" i="85" s="1"/>
  <c r="F126" i="67"/>
  <c r="BV110" i="62"/>
  <c r="F126" i="85" s="1"/>
  <c r="T223" i="50"/>
  <c r="BK163" i="62"/>
  <c r="AA226" i="50"/>
  <c r="BR166" i="62"/>
  <c r="AH229" i="50"/>
  <c r="BY169" i="62"/>
  <c r="G173" i="62"/>
  <c r="G233" i="50" s="1"/>
  <c r="AS233" i="50" s="1"/>
  <c r="AW173" i="62"/>
  <c r="AA234" i="50"/>
  <c r="BR174" i="62"/>
  <c r="N209" i="50"/>
  <c r="AY209" i="50"/>
  <c r="O9" i="62"/>
  <c r="V9" i="62" s="1"/>
  <c r="AC9" i="62" s="1"/>
  <c r="AJ9" i="62" s="1"/>
  <c r="AY9" i="62"/>
  <c r="BF9" i="62" s="1"/>
  <c r="BM9" i="62" s="1"/>
  <c r="BT9" i="62" s="1"/>
  <c r="CA9" i="62" s="1"/>
  <c r="U195" i="50"/>
  <c r="BF195" i="50"/>
  <c r="N199" i="50"/>
  <c r="AY199" i="50"/>
  <c r="AB204" i="50"/>
  <c r="BM204" i="50"/>
  <c r="U212" i="50"/>
  <c r="BF212" i="50"/>
  <c r="N66" i="62"/>
  <c r="BD66" i="62"/>
  <c r="AI68" i="62"/>
  <c r="BY68" i="62"/>
  <c r="AI76" i="62"/>
  <c r="BY76" i="62"/>
  <c r="G89" i="62"/>
  <c r="AW89" i="62"/>
  <c r="AI93" i="62"/>
  <c r="BY93" i="62"/>
  <c r="N103" i="62"/>
  <c r="BD103" i="62"/>
  <c r="U106" i="62"/>
  <c r="BK106" i="62"/>
  <c r="D120" i="67"/>
  <c r="AY110" i="62"/>
  <c r="D120" i="85" s="1"/>
  <c r="F124" i="67"/>
  <c r="BO110" i="62"/>
  <c r="F124" i="85" s="1"/>
  <c r="G126" i="67"/>
  <c r="BW110" i="62"/>
  <c r="G126" i="85" s="1"/>
  <c r="U210" i="50"/>
  <c r="BF210" i="50"/>
  <c r="P9" i="62"/>
  <c r="W9" i="62" s="1"/>
  <c r="AD9" i="62" s="1"/>
  <c r="AK9" i="62" s="1"/>
  <c r="AZ9" i="62"/>
  <c r="BG9" i="62" s="1"/>
  <c r="BN9" i="62" s="1"/>
  <c r="BU9" i="62" s="1"/>
  <c r="CB9" i="62" s="1"/>
  <c r="AB195" i="50"/>
  <c r="BM195" i="50"/>
  <c r="U199" i="50"/>
  <c r="BF199" i="50"/>
  <c r="AI204" i="50"/>
  <c r="BT204" i="50"/>
  <c r="AB208" i="50"/>
  <c r="BM208" i="50"/>
  <c r="G30" i="62"/>
  <c r="AX30" i="62" s="1"/>
  <c r="AX31" i="62"/>
  <c r="AE30" i="62"/>
  <c r="BV30" i="62" s="1"/>
  <c r="BV31" i="62"/>
  <c r="E67" i="62"/>
  <c r="AV67" i="62" s="1"/>
  <c r="AV71" i="62"/>
  <c r="G77" i="62"/>
  <c r="AW77" i="62"/>
  <c r="U84" i="62"/>
  <c r="BL84" i="62" s="1"/>
  <c r="BK84" i="62"/>
  <c r="N89" i="62"/>
  <c r="BD89" i="62"/>
  <c r="U92" i="62"/>
  <c r="BK92" i="62"/>
  <c r="N96" i="62"/>
  <c r="BE96" i="62" s="1"/>
  <c r="BD96" i="62"/>
  <c r="AI101" i="62"/>
  <c r="BY101" i="62"/>
  <c r="G105" i="62"/>
  <c r="AW105" i="62"/>
  <c r="N108" i="62"/>
  <c r="BD108" i="62"/>
  <c r="G124" i="67"/>
  <c r="BP110" i="62"/>
  <c r="G124" i="85" s="1"/>
  <c r="AI195" i="50"/>
  <c r="BT195" i="50"/>
  <c r="U201" i="50"/>
  <c r="BF201" i="50"/>
  <c r="N205" i="50"/>
  <c r="AY205" i="50"/>
  <c r="AI208" i="50"/>
  <c r="BT208" i="50"/>
  <c r="AI62" i="62"/>
  <c r="BZ62" i="62" s="1"/>
  <c r="BY62" i="62"/>
  <c r="U69" i="62"/>
  <c r="BK69" i="62"/>
  <c r="AB75" i="62"/>
  <c r="BS75" i="62" s="1"/>
  <c r="BR75" i="62"/>
  <c r="N86" i="62"/>
  <c r="BD86" i="62"/>
  <c r="G91" i="62"/>
  <c r="AW91" i="62"/>
  <c r="U96" i="62"/>
  <c r="BK96" i="62"/>
  <c r="N105" i="62"/>
  <c r="BD105" i="62"/>
  <c r="AA217" i="50"/>
  <c r="BR157" i="62"/>
  <c r="U194" i="50"/>
  <c r="BF194" i="50"/>
  <c r="AI199" i="50"/>
  <c r="BT199" i="50"/>
  <c r="AB203" i="50"/>
  <c r="BM203" i="50"/>
  <c r="G213" i="50"/>
  <c r="AR213" i="50"/>
  <c r="Y18" i="62"/>
  <c r="BP18" i="62" s="1"/>
  <c r="BP22" i="62"/>
  <c r="AB69" i="62"/>
  <c r="BR69" i="62"/>
  <c r="AB73" i="62"/>
  <c r="BR73" i="62"/>
  <c r="U77" i="62"/>
  <c r="BK77" i="62"/>
  <c r="AI84" i="62"/>
  <c r="BY84" i="62"/>
  <c r="G88" i="62"/>
  <c r="AW88" i="62"/>
  <c r="N91" i="62"/>
  <c r="BD91" i="62"/>
  <c r="G95" i="62"/>
  <c r="AX95" i="62" s="1"/>
  <c r="AW95" i="62"/>
  <c r="AI103" i="62"/>
  <c r="BY103" i="62"/>
  <c r="G107" i="62"/>
  <c r="AW107" i="62"/>
  <c r="G120" i="67"/>
  <c r="BB110" i="62"/>
  <c r="G120" i="85" s="1"/>
  <c r="M224" i="50"/>
  <c r="BD164" i="62"/>
  <c r="AH233" i="50"/>
  <c r="BY173" i="62"/>
  <c r="AB194" i="50"/>
  <c r="BM194" i="50"/>
  <c r="N198" i="50"/>
  <c r="AY198" i="50"/>
  <c r="AI203" i="50"/>
  <c r="BT203" i="50"/>
  <c r="U209" i="50"/>
  <c r="BF209" i="50"/>
  <c r="L80" i="62"/>
  <c r="BC31" i="62"/>
  <c r="G62" i="62"/>
  <c r="AX62" i="62" s="1"/>
  <c r="AW62" i="62"/>
  <c r="AI65" i="62"/>
  <c r="BZ65" i="62" s="1"/>
  <c r="BY65" i="62"/>
  <c r="U68" i="62"/>
  <c r="BK68" i="62"/>
  <c r="U70" i="62"/>
  <c r="BK70" i="62"/>
  <c r="AB72" i="62"/>
  <c r="BS72" i="62" s="1"/>
  <c r="BR72" i="62"/>
  <c r="U76" i="62"/>
  <c r="BK76" i="62"/>
  <c r="N78" i="62"/>
  <c r="BD78" i="62"/>
  <c r="AB81" i="62"/>
  <c r="BS81" i="62" s="1"/>
  <c r="BR81" i="62"/>
  <c r="U85" i="62"/>
  <c r="BK85" i="62"/>
  <c r="G87" i="62"/>
  <c r="AW87" i="62"/>
  <c r="AB88" i="62"/>
  <c r="BR88" i="62"/>
  <c r="N90" i="62"/>
  <c r="BD90" i="62"/>
  <c r="AI91" i="62"/>
  <c r="BY91" i="62"/>
  <c r="U93" i="62"/>
  <c r="BK93" i="62"/>
  <c r="AB95" i="62"/>
  <c r="BR95" i="62"/>
  <c r="N97" i="62"/>
  <c r="BD97" i="62"/>
  <c r="AI98" i="62"/>
  <c r="BY98" i="62"/>
  <c r="U104" i="62"/>
  <c r="BK104" i="62"/>
  <c r="G106" i="62"/>
  <c r="AW106" i="62"/>
  <c r="AB107" i="62"/>
  <c r="BR107" i="62"/>
  <c r="C122" i="67"/>
  <c r="BE110" i="62"/>
  <c r="C122" i="85" s="1"/>
  <c r="D124" i="67"/>
  <c r="BM110" i="62"/>
  <c r="D124" i="85" s="1"/>
  <c r="E126" i="67"/>
  <c r="BU110" i="62"/>
  <c r="E126" i="85" s="1"/>
  <c r="F128" i="67"/>
  <c r="CC110" i="62"/>
  <c r="F128" i="85" s="1"/>
  <c r="G160" i="62"/>
  <c r="AW160" i="62"/>
  <c r="N171" i="62"/>
  <c r="N231" i="50" s="1"/>
  <c r="AZ231" i="50" s="1"/>
  <c r="BD171" i="62"/>
  <c r="G198" i="50"/>
  <c r="AR198" i="50"/>
  <c r="N9" i="62"/>
  <c r="U9" i="62" s="1"/>
  <c r="AP9" i="62" s="1"/>
  <c r="AX9" i="62"/>
  <c r="BE9" i="62" s="1"/>
  <c r="BL9" i="62" s="1"/>
  <c r="BS9" i="62" s="1"/>
  <c r="BZ9" i="62" s="1"/>
  <c r="U193" i="50"/>
  <c r="BF193" i="50"/>
  <c r="N195" i="50"/>
  <c r="AY195" i="50"/>
  <c r="AI196" i="50"/>
  <c r="BT196" i="50"/>
  <c r="AI198" i="50"/>
  <c r="BT198" i="50"/>
  <c r="AB200" i="50"/>
  <c r="BM200" i="50"/>
  <c r="AB202" i="50"/>
  <c r="BM202" i="50"/>
  <c r="U204" i="50"/>
  <c r="BF204" i="50"/>
  <c r="N206" i="50"/>
  <c r="AY206" i="50"/>
  <c r="N208" i="50"/>
  <c r="AY208" i="50"/>
  <c r="G210" i="50"/>
  <c r="AR210" i="50"/>
  <c r="N212" i="50"/>
  <c r="AY212" i="50"/>
  <c r="AI213" i="50"/>
  <c r="BT213" i="50"/>
  <c r="M22" i="51"/>
  <c r="BD22" i="51" s="1"/>
  <c r="AA30" i="62"/>
  <c r="BR30" i="62" s="1"/>
  <c r="R30" i="62"/>
  <c r="BI30" i="62" s="1"/>
  <c r="AH30" i="62"/>
  <c r="BY30" i="62" s="1"/>
  <c r="J30" i="62"/>
  <c r="BA30" i="62" s="1"/>
  <c r="Z30" i="62"/>
  <c r="BQ30" i="62" s="1"/>
  <c r="AD30" i="62"/>
  <c r="BU30" i="62" s="1"/>
  <c r="Z18" i="62"/>
  <c r="BQ18" i="62" s="1"/>
  <c r="AN30" i="62"/>
  <c r="V30" i="62"/>
  <c r="BM30" i="62" s="1"/>
  <c r="R18" i="62"/>
  <c r="BI18" i="62" s="1"/>
  <c r="AH18" i="62"/>
  <c r="BY18" i="62" s="1"/>
  <c r="H30" i="62"/>
  <c r="X30" i="62"/>
  <c r="BO30" i="62" s="1"/>
  <c r="AF30" i="62"/>
  <c r="BW30" i="62" s="1"/>
  <c r="K18" i="62"/>
  <c r="S18" i="62"/>
  <c r="BJ18" i="62" s="1"/>
  <c r="AA18" i="62"/>
  <c r="BR18" i="62" s="1"/>
  <c r="AI18" i="62"/>
  <c r="BZ18" i="62" s="1"/>
  <c r="I30" i="62"/>
  <c r="AZ30" i="62" s="1"/>
  <c r="Q30" i="62"/>
  <c r="BH30" i="62" s="1"/>
  <c r="Y30" i="62"/>
  <c r="BP30" i="62" s="1"/>
  <c r="AG30" i="62"/>
  <c r="M12" i="51"/>
  <c r="BD12" i="51" s="1"/>
  <c r="V12" i="51"/>
  <c r="BM12" i="51" s="1"/>
  <c r="AE12" i="51"/>
  <c r="BV12" i="51" s="1"/>
  <c r="AO12" i="51"/>
  <c r="CF12" i="51" s="1"/>
  <c r="AQ22" i="51"/>
  <c r="CH22" i="51" s="1"/>
  <c r="J31" i="51"/>
  <c r="BA31" i="51" s="1"/>
  <c r="T31" i="51"/>
  <c r="BK31" i="51" s="1"/>
  <c r="AC31" i="51"/>
  <c r="BT31" i="51" s="1"/>
  <c r="AL31" i="51"/>
  <c r="CC31" i="51" s="1"/>
  <c r="AL30" i="62"/>
  <c r="CC30" i="62" s="1"/>
  <c r="AJ30" i="62"/>
  <c r="CA30" i="62" s="1"/>
  <c r="T30" i="62"/>
  <c r="BK30" i="62" s="1"/>
  <c r="H18" i="62"/>
  <c r="AY18" i="62" s="1"/>
  <c r="P18" i="62"/>
  <c r="BG18" i="62" s="1"/>
  <c r="X18" i="62"/>
  <c r="BO18" i="62" s="1"/>
  <c r="AF18" i="62"/>
  <c r="BW18" i="62" s="1"/>
  <c r="AN18" i="62"/>
  <c r="U30" i="62"/>
  <c r="BL30" i="62" s="1"/>
  <c r="AC30" i="62"/>
  <c r="BT30" i="62" s="1"/>
  <c r="AK30" i="62"/>
  <c r="CB30" i="62" s="1"/>
  <c r="AB30" i="62"/>
  <c r="BS30" i="62" s="1"/>
  <c r="E185" i="62"/>
  <c r="S30" i="62"/>
  <c r="BJ30" i="62" s="1"/>
  <c r="AN80" i="51"/>
  <c r="CE80" i="51" s="1"/>
  <c r="S64" i="51"/>
  <c r="BJ64" i="51" s="1"/>
  <c r="Z64" i="51"/>
  <c r="BQ64" i="51" s="1"/>
  <c r="AN64" i="51"/>
  <c r="CE64" i="51" s="1"/>
  <c r="E80" i="51"/>
  <c r="AV80" i="51" s="1"/>
  <c r="L80" i="51"/>
  <c r="BC80" i="51" s="1"/>
  <c r="S74" i="51"/>
  <c r="BJ74" i="51" s="1"/>
  <c r="Z80" i="51"/>
  <c r="BQ80" i="51" s="1"/>
  <c r="AN99" i="51"/>
  <c r="CE99" i="51" s="1"/>
  <c r="E12" i="51"/>
  <c r="AV12" i="51" s="1"/>
  <c r="M8" i="50"/>
  <c r="T8" i="50" s="1"/>
  <c r="AA8" i="50" s="1"/>
  <c r="AH8" i="50" s="1"/>
  <c r="E8" i="50"/>
  <c r="E22" i="51"/>
  <c r="AV22" i="51" s="1"/>
  <c r="E25" i="51"/>
  <c r="AV25" i="51" s="1"/>
  <c r="L74" i="51"/>
  <c r="BC74" i="51" s="1"/>
  <c r="S80" i="51"/>
  <c r="BJ80" i="51" s="1"/>
  <c r="S99" i="51"/>
  <c r="BJ99" i="51" s="1"/>
  <c r="Z94" i="51"/>
  <c r="BQ94" i="51" s="1"/>
  <c r="AG80" i="51"/>
  <c r="BX80" i="51" s="1"/>
  <c r="AN74" i="51"/>
  <c r="CE74" i="51" s="1"/>
  <c r="AJ18" i="62"/>
  <c r="CA18" i="62" s="1"/>
  <c r="L30" i="62"/>
  <c r="BC30" i="62" s="1"/>
  <c r="T18" i="62"/>
  <c r="K30" i="62"/>
  <c r="BB30" i="62" s="1"/>
  <c r="H12" i="51"/>
  <c r="AY12" i="51" s="1"/>
  <c r="Q12" i="51"/>
  <c r="BH12" i="51" s="1"/>
  <c r="AJ12" i="51"/>
  <c r="CA12" i="51" s="1"/>
  <c r="AS12" i="51"/>
  <c r="CJ12" i="51" s="1"/>
  <c r="O31" i="51"/>
  <c r="BF31" i="51" s="1"/>
  <c r="X31" i="51"/>
  <c r="BO31" i="51" s="1"/>
  <c r="AQ31" i="51"/>
  <c r="CH31" i="51" s="1"/>
  <c r="M18" i="62"/>
  <c r="BD18" i="62" s="1"/>
  <c r="AK18" i="62"/>
  <c r="CB18" i="62" s="1"/>
  <c r="I12" i="51"/>
  <c r="AZ12" i="51" s="1"/>
  <c r="R12" i="51"/>
  <c r="BI12" i="51" s="1"/>
  <c r="AB12" i="51"/>
  <c r="BS12" i="51" s="1"/>
  <c r="AK12" i="51"/>
  <c r="CB12" i="51" s="1"/>
  <c r="AT12" i="51"/>
  <c r="CK12" i="51" s="1"/>
  <c r="P31" i="51"/>
  <c r="BG31" i="51" s="1"/>
  <c r="AI31" i="51"/>
  <c r="BZ31" i="51" s="1"/>
  <c r="AR31" i="51"/>
  <c r="CI31" i="51" s="1"/>
  <c r="U18" i="62"/>
  <c r="BL18" i="62" s="1"/>
  <c r="AC18" i="62"/>
  <c r="BT18" i="62" s="1"/>
  <c r="F18" i="62"/>
  <c r="AW18" i="62" s="1"/>
  <c r="N18" i="62"/>
  <c r="BE18" i="62" s="1"/>
  <c r="V18" i="62"/>
  <c r="BM18" i="62" s="1"/>
  <c r="AD18" i="62"/>
  <c r="BU18" i="62" s="1"/>
  <c r="AL18" i="62"/>
  <c r="CC18" i="62" s="1"/>
  <c r="E30" i="62"/>
  <c r="AV30" i="62" s="1"/>
  <c r="M30" i="62"/>
  <c r="AJ31" i="51"/>
  <c r="CA31" i="51" s="1"/>
  <c r="AS31" i="51"/>
  <c r="CJ31" i="51" s="1"/>
  <c r="O18" i="62"/>
  <c r="AE18" i="62"/>
  <c r="N30" i="62"/>
  <c r="BE30" i="62" s="1"/>
  <c r="K12" i="51"/>
  <c r="BB12" i="51" s="1"/>
  <c r="U12" i="51"/>
  <c r="BL12" i="51" s="1"/>
  <c r="AD12" i="51"/>
  <c r="BU12" i="51" s="1"/>
  <c r="AM12" i="51"/>
  <c r="CD12" i="51" s="1"/>
  <c r="AP22" i="51"/>
  <c r="CG22" i="51" s="1"/>
  <c r="I31" i="51"/>
  <c r="AZ31" i="51" s="1"/>
  <c r="R31" i="51"/>
  <c r="BI31" i="51" s="1"/>
  <c r="AB31" i="51"/>
  <c r="BS31" i="51" s="1"/>
  <c r="AK31" i="51"/>
  <c r="CB31" i="51" s="1"/>
  <c r="AT31" i="51"/>
  <c r="CK31" i="51" s="1"/>
  <c r="G18" i="62"/>
  <c r="W18" i="62"/>
  <c r="AM18" i="62"/>
  <c r="F30" i="62"/>
  <c r="AW30" i="62" s="1"/>
  <c r="M9" i="62"/>
  <c r="T9" i="62" s="1"/>
  <c r="AO9" i="62" s="1"/>
  <c r="E15" i="51"/>
  <c r="AV15" i="51" s="1"/>
  <c r="E31" i="51"/>
  <c r="AV31" i="51" s="1"/>
  <c r="E34" i="51"/>
  <c r="AV34" i="51" s="1"/>
  <c r="E45" i="51"/>
  <c r="AV45" i="51" s="1"/>
  <c r="E61" i="51"/>
  <c r="AV61" i="51" s="1"/>
  <c r="E71" i="51"/>
  <c r="AV71" i="51" s="1"/>
  <c r="L61" i="51"/>
  <c r="BC61" i="51" s="1"/>
  <c r="L71" i="51"/>
  <c r="BC71" i="51" s="1"/>
  <c r="L83" i="51"/>
  <c r="BC83" i="51" s="1"/>
  <c r="S61" i="51"/>
  <c r="BJ61" i="51" s="1"/>
  <c r="Z61" i="51"/>
  <c r="BQ61" i="51" s="1"/>
  <c r="Z71" i="51"/>
  <c r="BQ71" i="51" s="1"/>
  <c r="AG61" i="51"/>
  <c r="BX61" i="51" s="1"/>
  <c r="AG71" i="51"/>
  <c r="BX71" i="51" s="1"/>
  <c r="AG94" i="51"/>
  <c r="BX94" i="51" s="1"/>
  <c r="AN31" i="51"/>
  <c r="CE31" i="51" s="1"/>
  <c r="AN61" i="51"/>
  <c r="CE61" i="51" s="1"/>
  <c r="AN83" i="51"/>
  <c r="CE83" i="51" s="1"/>
  <c r="AB174" i="62"/>
  <c r="BS174" i="62" s="1"/>
  <c r="Y31" i="51"/>
  <c r="BP31" i="51" s="1"/>
  <c r="P30" i="62"/>
  <c r="BG30" i="62" s="1"/>
  <c r="Z83" i="51"/>
  <c r="BQ83" i="51" s="1"/>
  <c r="E94" i="51"/>
  <c r="AV94" i="51" s="1"/>
  <c r="L94" i="51"/>
  <c r="BC94" i="51" s="1"/>
  <c r="S94" i="51"/>
  <c r="BJ94" i="51" s="1"/>
  <c r="E64" i="51"/>
  <c r="AV64" i="51" s="1"/>
  <c r="E74" i="51"/>
  <c r="AV74" i="51" s="1"/>
  <c r="E83" i="51"/>
  <c r="AV83" i="51" s="1"/>
  <c r="E99" i="51"/>
  <c r="AV99" i="51" s="1"/>
  <c r="L64" i="51"/>
  <c r="BC64" i="51" s="1"/>
  <c r="L99" i="51"/>
  <c r="BC99" i="51" s="1"/>
  <c r="S71" i="51"/>
  <c r="BJ71" i="51" s="1"/>
  <c r="Z99" i="51"/>
  <c r="BQ99" i="51" s="1"/>
  <c r="AG74" i="51"/>
  <c r="BX74" i="51" s="1"/>
  <c r="AG99" i="51"/>
  <c r="BX99" i="51" s="1"/>
  <c r="AN71" i="51"/>
  <c r="CE71" i="51" s="1"/>
  <c r="B109" i="67"/>
  <c r="L31" i="51"/>
  <c r="BC31" i="51" s="1"/>
  <c r="AI112" i="50"/>
  <c r="AI12" i="50"/>
  <c r="AI14" i="50"/>
  <c r="AI126" i="50"/>
  <c r="AB18" i="50"/>
  <c r="AB23" i="50"/>
  <c r="AB25" i="50"/>
  <c r="AI26" i="50"/>
  <c r="AI27" i="50"/>
  <c r="AI24" i="50"/>
  <c r="AB28" i="50"/>
  <c r="AB30" i="50"/>
  <c r="AI31" i="50"/>
  <c r="AB34" i="50"/>
  <c r="B48" i="67"/>
  <c r="AB18" i="62"/>
  <c r="B95" i="67"/>
  <c r="M61" i="62"/>
  <c r="BD61" i="62" s="1"/>
  <c r="B107" i="67"/>
  <c r="B66" i="67"/>
  <c r="L18" i="62"/>
  <c r="BC18" i="62" s="1"/>
  <c r="B12" i="67"/>
  <c r="B90" i="67"/>
  <c r="B53" i="67"/>
  <c r="AB11" i="50"/>
  <c r="AB12" i="50"/>
  <c r="AB14" i="50"/>
  <c r="AI115" i="50"/>
  <c r="AI119" i="50"/>
  <c r="AI120" i="50"/>
  <c r="AI123" i="50"/>
  <c r="AI128" i="50"/>
  <c r="AI18" i="50"/>
  <c r="AI129" i="50"/>
  <c r="AI23" i="50"/>
  <c r="AI25" i="50"/>
  <c r="AB26" i="50"/>
  <c r="AB27" i="50"/>
  <c r="AB24" i="50"/>
  <c r="AI28" i="50"/>
  <c r="AI30" i="50"/>
  <c r="AB31" i="50"/>
  <c r="AI34" i="50"/>
  <c r="B30" i="67"/>
  <c r="B71" i="67"/>
  <c r="AH12" i="51"/>
  <c r="BY12" i="51" s="1"/>
  <c r="AH11" i="50"/>
  <c r="AI169" i="62"/>
  <c r="U169" i="62"/>
  <c r="U171" i="62"/>
  <c r="U231" i="50" s="1"/>
  <c r="N156" i="62"/>
  <c r="AG31" i="51"/>
  <c r="BX31" i="51" s="1"/>
  <c r="AH192" i="50"/>
  <c r="BT192" i="50" s="1"/>
  <c r="N62" i="62"/>
  <c r="AN67" i="62"/>
  <c r="U163" i="62"/>
  <c r="B8" i="67"/>
  <c r="AH91" i="51"/>
  <c r="Z31" i="51"/>
  <c r="BQ31" i="51" s="1"/>
  <c r="J12" i="51"/>
  <c r="BA12" i="51" s="1"/>
  <c r="AC12" i="51"/>
  <c r="BT12" i="51" s="1"/>
  <c r="AL12" i="51"/>
  <c r="CC12" i="51" s="1"/>
  <c r="AO22" i="51"/>
  <c r="CF22" i="51" s="1"/>
  <c r="H31" i="51"/>
  <c r="AY31" i="51" s="1"/>
  <c r="Q31" i="51"/>
  <c r="BH31" i="51" s="1"/>
  <c r="Q50" i="51"/>
  <c r="BH50" i="51" s="1"/>
  <c r="S31" i="51"/>
  <c r="BJ31" i="51" s="1"/>
  <c r="AN22" i="51"/>
  <c r="CE22" i="51" s="1"/>
  <c r="T64" i="62"/>
  <c r="BK64" i="62" s="1"/>
  <c r="AH71" i="62"/>
  <c r="BY71" i="62" s="1"/>
  <c r="G75" i="62"/>
  <c r="F74" i="62"/>
  <c r="AW74" i="62" s="1"/>
  <c r="AI97" i="62"/>
  <c r="AH94" i="62"/>
  <c r="BY94" i="62" s="1"/>
  <c r="AA220" i="50"/>
  <c r="AB160" i="62"/>
  <c r="AA230" i="50"/>
  <c r="AB170" i="62"/>
  <c r="BS170" i="62" s="1"/>
  <c r="N65" i="62"/>
  <c r="M64" i="62"/>
  <c r="BD64" i="62" s="1"/>
  <c r="AB82" i="62"/>
  <c r="AA80" i="62"/>
  <c r="BR80" i="62" s="1"/>
  <c r="F217" i="50"/>
  <c r="G157" i="62"/>
  <c r="AX157" i="62" s="1"/>
  <c r="AA218" i="50"/>
  <c r="AB158" i="62"/>
  <c r="BS158" i="62" s="1"/>
  <c r="B18" i="67"/>
  <c r="B114" i="67" s="1"/>
  <c r="G171" i="62"/>
  <c r="AB172" i="62"/>
  <c r="AI173" i="62"/>
  <c r="BZ173" i="62" s="1"/>
  <c r="N174" i="62"/>
  <c r="G155" i="62"/>
  <c r="AX155" i="62" s="1"/>
  <c r="U155" i="62"/>
  <c r="BL155" i="62" s="1"/>
  <c r="N158" i="62"/>
  <c r="AI159" i="62"/>
  <c r="N162" i="62"/>
  <c r="BE162" i="62" s="1"/>
  <c r="AB162" i="62"/>
  <c r="AB164" i="62"/>
  <c r="AI175" i="62"/>
  <c r="B62" i="67"/>
  <c r="AR34" i="51"/>
  <c r="CI34" i="51" s="1"/>
  <c r="I50" i="51"/>
  <c r="AZ50" i="51" s="1"/>
  <c r="N50" i="51"/>
  <c r="BE50" i="51" s="1"/>
  <c r="R50" i="51"/>
  <c r="BI50" i="51" s="1"/>
  <c r="W50" i="51"/>
  <c r="BN50" i="51" s="1"/>
  <c r="AB50" i="51"/>
  <c r="BS50" i="51" s="1"/>
  <c r="AF50" i="51"/>
  <c r="BW50" i="51" s="1"/>
  <c r="AK50" i="51"/>
  <c r="CB50" i="51" s="1"/>
  <c r="AI79" i="50"/>
  <c r="AN25" i="51"/>
  <c r="CE25" i="51" s="1"/>
  <c r="AN45" i="51"/>
  <c r="CE45" i="51" s="1"/>
  <c r="F71" i="62"/>
  <c r="AW71" i="62" s="1"/>
  <c r="M80" i="62"/>
  <c r="BD80" i="62" s="1"/>
  <c r="AN79" i="62"/>
  <c r="AI157" i="62"/>
  <c r="AI163" i="62"/>
  <c r="BZ163" i="62" s="1"/>
  <c r="N164" i="62"/>
  <c r="N166" i="62"/>
  <c r="BE166" i="62" s="1"/>
  <c r="AB166" i="62"/>
  <c r="AI167" i="62"/>
  <c r="AI171" i="62"/>
  <c r="BZ171" i="62" s="1"/>
  <c r="G175" i="62"/>
  <c r="AX175" i="62" s="1"/>
  <c r="U175" i="62"/>
  <c r="AA31" i="51"/>
  <c r="BR31" i="51" s="1"/>
  <c r="AO68" i="51"/>
  <c r="CF68" i="51" s="1"/>
  <c r="M75" i="51"/>
  <c r="BD75" i="51" s="1"/>
  <c r="F50" i="51"/>
  <c r="AW50" i="51" s="1"/>
  <c r="J50" i="51"/>
  <c r="BA50" i="51" s="1"/>
  <c r="O50" i="51"/>
  <c r="BF50" i="51" s="1"/>
  <c r="X50" i="51"/>
  <c r="BO50" i="51" s="1"/>
  <c r="AC50" i="51"/>
  <c r="BT50" i="51" s="1"/>
  <c r="AL50" i="51"/>
  <c r="CC50" i="51" s="1"/>
  <c r="G31" i="51"/>
  <c r="AX31" i="51" s="1"/>
  <c r="S12" i="51"/>
  <c r="BJ12" i="51" s="1"/>
  <c r="AN12" i="51"/>
  <c r="CE12" i="51" s="1"/>
  <c r="K68" i="51"/>
  <c r="BB68" i="51" s="1"/>
  <c r="L34" i="51"/>
  <c r="BC34" i="51" s="1"/>
  <c r="S50" i="51"/>
  <c r="BJ50" i="51" s="1"/>
  <c r="AG25" i="51"/>
  <c r="BX25" i="51" s="1"/>
  <c r="H50" i="51"/>
  <c r="AY50" i="51" s="1"/>
  <c r="V50" i="51"/>
  <c r="BM50" i="51" s="1"/>
  <c r="AE50" i="51"/>
  <c r="BV50" i="51" s="1"/>
  <c r="Z12" i="51"/>
  <c r="BQ12" i="51" s="1"/>
  <c r="AG12" i="51"/>
  <c r="BX12" i="51" s="1"/>
  <c r="AI83" i="50"/>
  <c r="B42" i="67"/>
  <c r="L15" i="51"/>
  <c r="BC15" i="51" s="1"/>
  <c r="L22" i="51"/>
  <c r="BC22" i="51" s="1"/>
  <c r="L25" i="51"/>
  <c r="BC25" i="51" s="1"/>
  <c r="L45" i="51"/>
  <c r="BC45" i="51" s="1"/>
  <c r="L50" i="51"/>
  <c r="BC50" i="51" s="1"/>
  <c r="S15" i="51"/>
  <c r="BJ15" i="51" s="1"/>
  <c r="S22" i="51"/>
  <c r="BJ22" i="51" s="1"/>
  <c r="S25" i="51"/>
  <c r="BJ25" i="51" s="1"/>
  <c r="S34" i="51"/>
  <c r="BJ34" i="51" s="1"/>
  <c r="S45" i="51"/>
  <c r="BJ45" i="51" s="1"/>
  <c r="Z15" i="51"/>
  <c r="BQ15" i="51" s="1"/>
  <c r="Z22" i="51"/>
  <c r="BQ22" i="51" s="1"/>
  <c r="Z25" i="51"/>
  <c r="BQ25" i="51" s="1"/>
  <c r="Z34" i="51"/>
  <c r="BQ34" i="51" s="1"/>
  <c r="Z45" i="51"/>
  <c r="BQ45" i="51" s="1"/>
  <c r="Z50" i="51"/>
  <c r="BQ50" i="51" s="1"/>
  <c r="AG15" i="51"/>
  <c r="BX15" i="51" s="1"/>
  <c r="AG22" i="51"/>
  <c r="BX22" i="51" s="1"/>
  <c r="AG34" i="51"/>
  <c r="BX34" i="51" s="1"/>
  <c r="AG45" i="51"/>
  <c r="BX45" i="51" s="1"/>
  <c r="AN15" i="51"/>
  <c r="CE15" i="51" s="1"/>
  <c r="AN34" i="51"/>
  <c r="CE34" i="51" s="1"/>
  <c r="AN50" i="51"/>
  <c r="CE50" i="51" s="1"/>
  <c r="X63" i="51"/>
  <c r="BO63" i="51" s="1"/>
  <c r="G50" i="51"/>
  <c r="AX50" i="51" s="1"/>
  <c r="K50" i="51"/>
  <c r="BB50" i="51" s="1"/>
  <c r="P50" i="51"/>
  <c r="BG50" i="51" s="1"/>
  <c r="U50" i="51"/>
  <c r="BL50" i="51" s="1"/>
  <c r="Y50" i="51"/>
  <c r="BP50" i="51" s="1"/>
  <c r="AD50" i="51"/>
  <c r="BU50" i="51" s="1"/>
  <c r="AI50" i="51"/>
  <c r="BZ50" i="51" s="1"/>
  <c r="AM50" i="51"/>
  <c r="CD50" i="51" s="1"/>
  <c r="AG50" i="51"/>
  <c r="BX50" i="51" s="1"/>
  <c r="AA50" i="51"/>
  <c r="BR50" i="51" s="1"/>
  <c r="AJ50" i="51"/>
  <c r="CA50" i="51" s="1"/>
  <c r="AI82" i="50"/>
  <c r="L12" i="51"/>
  <c r="BC12" i="51" s="1"/>
  <c r="G82" i="51"/>
  <c r="AX82" i="51" s="1"/>
  <c r="AQ34" i="51"/>
  <c r="CH34" i="51" s="1"/>
  <c r="AS34" i="51"/>
  <c r="CJ34" i="51" s="1"/>
  <c r="AP34" i="51"/>
  <c r="AT34" i="51"/>
  <c r="CK34" i="51" s="1"/>
  <c r="Q22" i="51"/>
  <c r="BH22" i="51" s="1"/>
  <c r="V22" i="51"/>
  <c r="BM22" i="51" s="1"/>
  <c r="U82" i="62"/>
  <c r="V82" i="62" s="1"/>
  <c r="T80" i="62"/>
  <c r="BK80" i="62" s="1"/>
  <c r="T217" i="50"/>
  <c r="U157" i="62"/>
  <c r="BL157" i="62" s="1"/>
  <c r="T233" i="50"/>
  <c r="U173" i="62"/>
  <c r="BL173" i="62" s="1"/>
  <c r="U62" i="62"/>
  <c r="T61" i="62"/>
  <c r="BK61" i="62" s="1"/>
  <c r="AI158" i="62"/>
  <c r="BZ158" i="62" s="1"/>
  <c r="AH218" i="50"/>
  <c r="T219" i="50"/>
  <c r="U159" i="62"/>
  <c r="BL159" i="62" s="1"/>
  <c r="U160" i="62"/>
  <c r="BL160" i="62" s="1"/>
  <c r="T220" i="50"/>
  <c r="AH221" i="50"/>
  <c r="AI161" i="62"/>
  <c r="BZ161" i="62" s="1"/>
  <c r="N163" i="62"/>
  <c r="BE163" i="62" s="1"/>
  <c r="M223" i="50"/>
  <c r="N165" i="62"/>
  <c r="BE165" i="62" s="1"/>
  <c r="M225" i="50"/>
  <c r="U172" i="62"/>
  <c r="BL172" i="62" s="1"/>
  <c r="T232" i="50"/>
  <c r="F201" i="50"/>
  <c r="AA216" i="50"/>
  <c r="AB156" i="62"/>
  <c r="M220" i="50"/>
  <c r="N160" i="62"/>
  <c r="BE160" i="62" s="1"/>
  <c r="M232" i="50"/>
  <c r="N172" i="62"/>
  <c r="BE172" i="62" s="1"/>
  <c r="AA71" i="62"/>
  <c r="BR71" i="62" s="1"/>
  <c r="F94" i="62"/>
  <c r="AW94" i="62" s="1"/>
  <c r="G96" i="62"/>
  <c r="M99" i="62"/>
  <c r="BD99" i="62" s="1"/>
  <c r="AA99" i="62"/>
  <c r="BR99" i="62" s="1"/>
  <c r="N167" i="62"/>
  <c r="BE167" i="62" s="1"/>
  <c r="M227" i="50"/>
  <c r="G219" i="50"/>
  <c r="AS219" i="50" s="1"/>
  <c r="F219" i="50"/>
  <c r="F233" i="50"/>
  <c r="AB167" i="62"/>
  <c r="BS167" i="62" s="1"/>
  <c r="AA227" i="50"/>
  <c r="AI172" i="62"/>
  <c r="BZ172" i="62" s="1"/>
  <c r="AH232" i="50"/>
  <c r="F227" i="50"/>
  <c r="AA64" i="62"/>
  <c r="BR64" i="62" s="1"/>
  <c r="AH215" i="50"/>
  <c r="AI155" i="62"/>
  <c r="BZ155" i="62" s="1"/>
  <c r="T221" i="50"/>
  <c r="U161" i="62"/>
  <c r="BL161" i="62" s="1"/>
  <c r="G168" i="62"/>
  <c r="AX168" i="62" s="1"/>
  <c r="F228" i="50"/>
  <c r="AB169" i="62"/>
  <c r="BS169" i="62" s="1"/>
  <c r="AA229" i="50"/>
  <c r="M230" i="50"/>
  <c r="N170" i="62"/>
  <c r="BE170" i="62" s="1"/>
  <c r="F203" i="50"/>
  <c r="I18" i="62"/>
  <c r="G103" i="62"/>
  <c r="AA61" i="62"/>
  <c r="BR61" i="62" s="1"/>
  <c r="M71" i="62"/>
  <c r="BD71" i="62" s="1"/>
  <c r="AH99" i="62"/>
  <c r="BY99" i="62" s="1"/>
  <c r="N155" i="62"/>
  <c r="M215" i="50"/>
  <c r="AY215" i="50" s="1"/>
  <c r="AB155" i="62"/>
  <c r="BS155" i="62" s="1"/>
  <c r="AA215" i="50"/>
  <c r="N157" i="62"/>
  <c r="BE157" i="62" s="1"/>
  <c r="M217" i="50"/>
  <c r="AI162" i="62"/>
  <c r="BZ162" i="62" s="1"/>
  <c r="AH222" i="50"/>
  <c r="U164" i="62"/>
  <c r="BL164" i="62" s="1"/>
  <c r="T224" i="50"/>
  <c r="AI164" i="62"/>
  <c r="BZ164" i="62" s="1"/>
  <c r="AH224" i="50"/>
  <c r="AI165" i="62"/>
  <c r="BZ165" i="62" s="1"/>
  <c r="AH225" i="50"/>
  <c r="U166" i="62"/>
  <c r="BL166" i="62" s="1"/>
  <c r="T226" i="50"/>
  <c r="AI166" i="62"/>
  <c r="BZ166" i="62" s="1"/>
  <c r="AH226" i="50"/>
  <c r="AB168" i="62"/>
  <c r="BS168" i="62" s="1"/>
  <c r="AA228" i="50"/>
  <c r="AB171" i="62"/>
  <c r="BS171" i="62" s="1"/>
  <c r="AA231" i="50"/>
  <c r="G172" i="62"/>
  <c r="AX172" i="62" s="1"/>
  <c r="F232" i="50"/>
  <c r="AI174" i="62"/>
  <c r="BZ174" i="62" s="1"/>
  <c r="AH234" i="50"/>
  <c r="N175" i="62"/>
  <c r="BE175" i="62" s="1"/>
  <c r="M235" i="50"/>
  <c r="G81" i="51"/>
  <c r="AX81" i="51" s="1"/>
  <c r="B34" i="67"/>
  <c r="B121" i="67" s="1"/>
  <c r="F211" i="50"/>
  <c r="AT66" i="51"/>
  <c r="CK66" i="51" s="1"/>
  <c r="J18" i="62"/>
  <c r="BA18" i="62" s="1"/>
  <c r="M74" i="62"/>
  <c r="BD74" i="62" s="1"/>
  <c r="M83" i="62"/>
  <c r="BD83" i="62" s="1"/>
  <c r="AI156" i="62"/>
  <c r="BZ156" i="62" s="1"/>
  <c r="AH216" i="50"/>
  <c r="AB159" i="62"/>
  <c r="BS159" i="62" s="1"/>
  <c r="AA219" i="50"/>
  <c r="N161" i="62"/>
  <c r="BE161" i="62" s="1"/>
  <c r="M221" i="50"/>
  <c r="AB161" i="62"/>
  <c r="BS161" i="62" s="1"/>
  <c r="AA221" i="50"/>
  <c r="U162" i="62"/>
  <c r="BL162" i="62" s="1"/>
  <c r="T222" i="50"/>
  <c r="G164" i="62"/>
  <c r="AX164" i="62" s="1"/>
  <c r="F224" i="50"/>
  <c r="U165" i="62"/>
  <c r="BL165" i="62" s="1"/>
  <c r="T225" i="50"/>
  <c r="N168" i="62"/>
  <c r="BE168" i="62" s="1"/>
  <c r="M228" i="50"/>
  <c r="AI168" i="62"/>
  <c r="BZ168" i="62" s="1"/>
  <c r="AH228" i="50"/>
  <c r="N169" i="62"/>
  <c r="BE169" i="62" s="1"/>
  <c r="M229" i="50"/>
  <c r="AI170" i="62"/>
  <c r="BZ170" i="62" s="1"/>
  <c r="AH230" i="50"/>
  <c r="U174" i="62"/>
  <c r="BL174" i="62" s="1"/>
  <c r="T234" i="50"/>
  <c r="AB175" i="62"/>
  <c r="BS175" i="62" s="1"/>
  <c r="AA235" i="50"/>
  <c r="AQ98" i="51"/>
  <c r="CH98" i="51" s="1"/>
  <c r="T86" i="51"/>
  <c r="BK86" i="51" s="1"/>
  <c r="AO77" i="51"/>
  <c r="CF77" i="51" s="1"/>
  <c r="AO82" i="51"/>
  <c r="CF82" i="51" s="1"/>
  <c r="F89" i="51"/>
  <c r="AW89" i="51" s="1"/>
  <c r="B6" i="67"/>
  <c r="F194" i="50"/>
  <c r="G158" i="62"/>
  <c r="AX158" i="62" s="1"/>
  <c r="F218" i="50"/>
  <c r="U158" i="62"/>
  <c r="BL158" i="62" s="1"/>
  <c r="T218" i="50"/>
  <c r="N159" i="62"/>
  <c r="BE159" i="62" s="1"/>
  <c r="M219" i="50"/>
  <c r="AI160" i="62"/>
  <c r="BZ160" i="62" s="1"/>
  <c r="AH220" i="50"/>
  <c r="G162" i="62"/>
  <c r="AX162" i="62" s="1"/>
  <c r="F222" i="50"/>
  <c r="AB163" i="62"/>
  <c r="BS163" i="62" s="1"/>
  <c r="AA223" i="50"/>
  <c r="AB165" i="62"/>
  <c r="BS165" i="62" s="1"/>
  <c r="AA225" i="50"/>
  <c r="G166" i="62"/>
  <c r="AX166" i="62" s="1"/>
  <c r="F226" i="50"/>
  <c r="U167" i="62"/>
  <c r="BL167" i="62" s="1"/>
  <c r="T227" i="50"/>
  <c r="U168" i="62"/>
  <c r="BL168" i="62" s="1"/>
  <c r="T228" i="50"/>
  <c r="U170" i="62"/>
  <c r="BL170" i="62" s="1"/>
  <c r="T230" i="50"/>
  <c r="N173" i="62"/>
  <c r="BE173" i="62" s="1"/>
  <c r="M233" i="50"/>
  <c r="AB173" i="62"/>
  <c r="BS173" i="62" s="1"/>
  <c r="AA233" i="50"/>
  <c r="F208" i="50"/>
  <c r="F220" i="50"/>
  <c r="M231" i="50"/>
  <c r="AT62" i="51"/>
  <c r="CK62" i="51" s="1"/>
  <c r="B24" i="67"/>
  <c r="AB82" i="50"/>
  <c r="F199" i="50"/>
  <c r="F205" i="50"/>
  <c r="F207" i="50"/>
  <c r="F212" i="50"/>
  <c r="G221" i="50"/>
  <c r="AS221" i="50" s="1"/>
  <c r="F221" i="50"/>
  <c r="F223" i="50"/>
  <c r="G229" i="50"/>
  <c r="AS229" i="50" s="1"/>
  <c r="F229" i="50"/>
  <c r="F234" i="50"/>
  <c r="B68" i="67"/>
  <c r="B50" i="67"/>
  <c r="F202" i="50"/>
  <c r="F216" i="50"/>
  <c r="F225" i="50"/>
  <c r="G230" i="50"/>
  <c r="AS230" i="50" s="1"/>
  <c r="F230" i="50"/>
  <c r="P68" i="51"/>
  <c r="BG68" i="51" s="1"/>
  <c r="AB63" i="51"/>
  <c r="BS63" i="51" s="1"/>
  <c r="AE68" i="51"/>
  <c r="BV68" i="51" s="1"/>
  <c r="AF65" i="51"/>
  <c r="BW65" i="51" s="1"/>
  <c r="AS9" i="62"/>
  <c r="AE9" i="62"/>
  <c r="AL9" i="62" s="1"/>
  <c r="R62" i="51"/>
  <c r="BI62" i="51" s="1"/>
  <c r="X65" i="51"/>
  <c r="BO65" i="51" s="1"/>
  <c r="AJ68" i="51"/>
  <c r="CA68" i="51" s="1"/>
  <c r="B73" i="67"/>
  <c r="U68" i="51"/>
  <c r="BL68" i="51" s="1"/>
  <c r="AD10" i="51"/>
  <c r="AK10" i="51" s="1"/>
  <c r="K62" i="51"/>
  <c r="BB62" i="51" s="1"/>
  <c r="V62" i="51"/>
  <c r="BM62" i="51" s="1"/>
  <c r="AL62" i="51"/>
  <c r="CC62" i="51" s="1"/>
  <c r="V73" i="51"/>
  <c r="BM73" i="51" s="1"/>
  <c r="B97" i="67"/>
  <c r="AB112" i="50"/>
  <c r="AB115" i="50"/>
  <c r="AB126" i="50"/>
  <c r="AB119" i="50"/>
  <c r="AB120" i="50"/>
  <c r="AB123" i="50"/>
  <c r="AB128" i="50"/>
  <c r="AB129" i="50"/>
  <c r="B32" i="67"/>
  <c r="B14" i="67"/>
  <c r="B92" i="67"/>
  <c r="B16" i="67"/>
  <c r="T192" i="50"/>
  <c r="BF192" i="50" s="1"/>
  <c r="B55" i="67"/>
  <c r="B52" i="67"/>
  <c r="B123" i="67" s="1"/>
  <c r="AA192" i="50"/>
  <c r="BM192" i="50" s="1"/>
  <c r="B37" i="67"/>
  <c r="M192" i="50"/>
  <c r="AY192" i="50" s="1"/>
  <c r="AB10" i="51"/>
  <c r="AI10" i="51" s="1"/>
  <c r="AP10" i="51"/>
  <c r="AO10" i="51"/>
  <c r="AA10" i="51"/>
  <c r="AH10" i="51" s="1"/>
  <c r="AS10" i="51"/>
  <c r="AE10" i="51"/>
  <c r="AL10" i="51" s="1"/>
  <c r="O63" i="51"/>
  <c r="BF63" i="51" s="1"/>
  <c r="R63" i="51"/>
  <c r="BI63" i="51" s="1"/>
  <c r="N63" i="51"/>
  <c r="BE63" i="51" s="1"/>
  <c r="Q63" i="51"/>
  <c r="BH63" i="51" s="1"/>
  <c r="M63" i="51"/>
  <c r="BD63" i="51" s="1"/>
  <c r="P69" i="51"/>
  <c r="BG69" i="51" s="1"/>
  <c r="R69" i="51"/>
  <c r="BI69" i="51" s="1"/>
  <c r="M69" i="51"/>
  <c r="BD69" i="51" s="1"/>
  <c r="Q69" i="51"/>
  <c r="BH69" i="51" s="1"/>
  <c r="O69" i="51"/>
  <c r="BF69" i="51" s="1"/>
  <c r="AR69" i="51"/>
  <c r="CI69" i="51" s="1"/>
  <c r="AQ69" i="51"/>
  <c r="CH69" i="51" s="1"/>
  <c r="AP69" i="51"/>
  <c r="CG69" i="51" s="1"/>
  <c r="AT69" i="51"/>
  <c r="CK69" i="51" s="1"/>
  <c r="AO69" i="51"/>
  <c r="CF69" i="51" s="1"/>
  <c r="P81" i="51"/>
  <c r="BG81" i="51" s="1"/>
  <c r="O81" i="51"/>
  <c r="BF81" i="51" s="1"/>
  <c r="N81" i="51"/>
  <c r="BE81" i="51" s="1"/>
  <c r="M81" i="51"/>
  <c r="BD81" i="51" s="1"/>
  <c r="R81" i="51"/>
  <c r="BI81" i="51" s="1"/>
  <c r="AR81" i="51"/>
  <c r="CI81" i="51" s="1"/>
  <c r="AT81" i="51"/>
  <c r="CK81" i="51" s="1"/>
  <c r="AO81" i="51"/>
  <c r="CF81" i="51" s="1"/>
  <c r="AS81" i="51"/>
  <c r="CJ81" i="51" s="1"/>
  <c r="AQ81" i="51"/>
  <c r="CH81" i="51" s="1"/>
  <c r="AP81" i="51"/>
  <c r="CG81" i="51" s="1"/>
  <c r="AD82" i="51"/>
  <c r="BU82" i="51" s="1"/>
  <c r="AC82" i="51"/>
  <c r="BT82" i="51" s="1"/>
  <c r="AB82" i="51"/>
  <c r="BS82" i="51" s="1"/>
  <c r="AF82" i="51"/>
  <c r="BW82" i="51" s="1"/>
  <c r="AE82" i="51"/>
  <c r="BV82" i="51" s="1"/>
  <c r="AA82" i="51"/>
  <c r="O84" i="51"/>
  <c r="BF84" i="51" s="1"/>
  <c r="R84" i="51"/>
  <c r="BI84" i="51" s="1"/>
  <c r="N84" i="51"/>
  <c r="BE84" i="51" s="1"/>
  <c r="Q84" i="51"/>
  <c r="BH84" i="51" s="1"/>
  <c r="M84" i="51"/>
  <c r="BD84" i="51" s="1"/>
  <c r="AQ84" i="51"/>
  <c r="CH84" i="51" s="1"/>
  <c r="AT84" i="51"/>
  <c r="CK84" i="51" s="1"/>
  <c r="AP84" i="51"/>
  <c r="CG84" i="51" s="1"/>
  <c r="AS84" i="51"/>
  <c r="CJ84" i="51" s="1"/>
  <c r="AR84" i="51"/>
  <c r="CI84" i="51" s="1"/>
  <c r="AO84" i="51"/>
  <c r="CF84" i="51" s="1"/>
  <c r="O86" i="51"/>
  <c r="BF86" i="51" s="1"/>
  <c r="R86" i="51"/>
  <c r="BI86" i="51" s="1"/>
  <c r="N86" i="51"/>
  <c r="BE86" i="51" s="1"/>
  <c r="Q86" i="51"/>
  <c r="BH86" i="51" s="1"/>
  <c r="P86" i="51"/>
  <c r="BG86" i="51" s="1"/>
  <c r="M86" i="51"/>
  <c r="BD86" i="51" s="1"/>
  <c r="AQ86" i="51"/>
  <c r="CH86" i="51" s="1"/>
  <c r="AT86" i="51"/>
  <c r="CK86" i="51" s="1"/>
  <c r="AP86" i="51"/>
  <c r="CG86" i="51" s="1"/>
  <c r="AS86" i="51"/>
  <c r="CJ86" i="51" s="1"/>
  <c r="AO86" i="51"/>
  <c r="CF86" i="51" s="1"/>
  <c r="O88" i="51"/>
  <c r="BF88" i="51" s="1"/>
  <c r="R88" i="51"/>
  <c r="BI88" i="51" s="1"/>
  <c r="N88" i="51"/>
  <c r="BE88" i="51" s="1"/>
  <c r="Q88" i="51"/>
  <c r="BH88" i="51" s="1"/>
  <c r="M88" i="51"/>
  <c r="BD88" i="51" s="1"/>
  <c r="AQ88" i="51"/>
  <c r="CH88" i="51" s="1"/>
  <c r="AT88" i="51"/>
  <c r="CK88" i="51" s="1"/>
  <c r="AP88" i="51"/>
  <c r="CG88" i="51" s="1"/>
  <c r="AS88" i="51"/>
  <c r="CJ88" i="51" s="1"/>
  <c r="AR88" i="51"/>
  <c r="CI88" i="51" s="1"/>
  <c r="AO88" i="51"/>
  <c r="CF88" i="51" s="1"/>
  <c r="AC89" i="51"/>
  <c r="BT89" i="51" s="1"/>
  <c r="AF89" i="51"/>
  <c r="BW89" i="51" s="1"/>
  <c r="AB89" i="51"/>
  <c r="BS89" i="51" s="1"/>
  <c r="AE89" i="51"/>
  <c r="BV89" i="51" s="1"/>
  <c r="AA89" i="51"/>
  <c r="AQ90" i="51"/>
  <c r="CH90" i="51" s="1"/>
  <c r="AT90" i="51"/>
  <c r="CK90" i="51" s="1"/>
  <c r="AP90" i="51"/>
  <c r="CG90" i="51" s="1"/>
  <c r="AS90" i="51"/>
  <c r="CJ90" i="51" s="1"/>
  <c r="AO90" i="51"/>
  <c r="CF90" i="51" s="1"/>
  <c r="AC91" i="51"/>
  <c r="BT91" i="51" s="1"/>
  <c r="AF91" i="51"/>
  <c r="BW91" i="51" s="1"/>
  <c r="AB91" i="51"/>
  <c r="BS91" i="51" s="1"/>
  <c r="AE91" i="51"/>
  <c r="BV91" i="51" s="1"/>
  <c r="AD91" i="51"/>
  <c r="BU91" i="51" s="1"/>
  <c r="AA91" i="51"/>
  <c r="O92" i="51"/>
  <c r="BF92" i="51" s="1"/>
  <c r="P92" i="51"/>
  <c r="BG92" i="51" s="1"/>
  <c r="N92" i="51"/>
  <c r="BE92" i="51" s="1"/>
  <c r="R92" i="51"/>
  <c r="BI92" i="51" s="1"/>
  <c r="M92" i="51"/>
  <c r="BD92" i="51" s="1"/>
  <c r="Q92" i="51"/>
  <c r="BH92" i="51" s="1"/>
  <c r="AQ92" i="51"/>
  <c r="CH92" i="51" s="1"/>
  <c r="AT92" i="51"/>
  <c r="CK92" i="51" s="1"/>
  <c r="AO92" i="51"/>
  <c r="CF92" i="51" s="1"/>
  <c r="AS92" i="51"/>
  <c r="CJ92" i="51" s="1"/>
  <c r="AR92" i="51"/>
  <c r="CI92" i="51" s="1"/>
  <c r="AD93" i="51"/>
  <c r="BU93" i="51" s="1"/>
  <c r="AC93" i="51"/>
  <c r="BT93" i="51" s="1"/>
  <c r="AE93" i="51"/>
  <c r="BV93" i="51" s="1"/>
  <c r="AB93" i="51"/>
  <c r="AA93" i="51"/>
  <c r="AF93" i="51"/>
  <c r="BW93" i="51" s="1"/>
  <c r="G62" i="51"/>
  <c r="AX62" i="51" s="1"/>
  <c r="N62" i="51"/>
  <c r="BE62" i="51" s="1"/>
  <c r="AP62" i="51"/>
  <c r="CG62" i="51" s="1"/>
  <c r="AB65" i="51"/>
  <c r="BS65" i="51" s="1"/>
  <c r="AP66" i="51"/>
  <c r="CG66" i="51" s="1"/>
  <c r="W81" i="51"/>
  <c r="BN81" i="51" s="1"/>
  <c r="P88" i="51"/>
  <c r="BG88" i="51" s="1"/>
  <c r="AR90" i="51"/>
  <c r="CI90" i="51" s="1"/>
  <c r="Y62" i="51"/>
  <c r="BP62" i="51" s="1"/>
  <c r="U62" i="51"/>
  <c r="BL62" i="51" s="1"/>
  <c r="X62" i="51"/>
  <c r="BO62" i="51" s="1"/>
  <c r="T62" i="51"/>
  <c r="BK62" i="51" s="1"/>
  <c r="K63" i="51"/>
  <c r="BB63" i="51" s="1"/>
  <c r="G63" i="51"/>
  <c r="AX63" i="51" s="1"/>
  <c r="J63" i="51"/>
  <c r="BA63" i="51" s="1"/>
  <c r="F63" i="51"/>
  <c r="AW63" i="51" s="1"/>
  <c r="I63" i="51"/>
  <c r="AZ63" i="51" s="1"/>
  <c r="AM63" i="51"/>
  <c r="CD63" i="51" s="1"/>
  <c r="AI63" i="51"/>
  <c r="AL63" i="51"/>
  <c r="CC63" i="51" s="1"/>
  <c r="AH63" i="51"/>
  <c r="AK63" i="51"/>
  <c r="CB63" i="51" s="1"/>
  <c r="K65" i="51"/>
  <c r="BB65" i="51" s="1"/>
  <c r="G65" i="51"/>
  <c r="AX65" i="51" s="1"/>
  <c r="J65" i="51"/>
  <c r="BA65" i="51" s="1"/>
  <c r="F65" i="51"/>
  <c r="AW65" i="51" s="1"/>
  <c r="I65" i="51"/>
  <c r="AZ65" i="51" s="1"/>
  <c r="AM65" i="51"/>
  <c r="CD65" i="51" s="1"/>
  <c r="AI65" i="51"/>
  <c r="AL65" i="51"/>
  <c r="CC65" i="51" s="1"/>
  <c r="AH65" i="51"/>
  <c r="BY65" i="51" s="1"/>
  <c r="AK65" i="51"/>
  <c r="CB65" i="51" s="1"/>
  <c r="Y66" i="51"/>
  <c r="BP66" i="51" s="1"/>
  <c r="U66" i="51"/>
  <c r="BL66" i="51" s="1"/>
  <c r="X66" i="51"/>
  <c r="BO66" i="51" s="1"/>
  <c r="T66" i="51"/>
  <c r="BK66" i="51" s="1"/>
  <c r="W66" i="51"/>
  <c r="BN66" i="51" s="1"/>
  <c r="V68" i="51"/>
  <c r="BM68" i="51" s="1"/>
  <c r="Y68" i="51"/>
  <c r="BP68" i="51" s="1"/>
  <c r="T68" i="51"/>
  <c r="BK68" i="51" s="1"/>
  <c r="X68" i="51"/>
  <c r="BO68" i="51" s="1"/>
  <c r="W68" i="51"/>
  <c r="BN68" i="51" s="1"/>
  <c r="V72" i="51"/>
  <c r="BM72" i="51" s="1"/>
  <c r="W72" i="51"/>
  <c r="BN72" i="51" s="1"/>
  <c r="U72" i="51"/>
  <c r="BL72" i="51" s="1"/>
  <c r="Y72" i="51"/>
  <c r="BP72" i="51" s="1"/>
  <c r="T72" i="51"/>
  <c r="BK72" i="51" s="1"/>
  <c r="H73" i="51"/>
  <c r="AY73" i="51" s="1"/>
  <c r="K73" i="51"/>
  <c r="BB73" i="51" s="1"/>
  <c r="F73" i="51"/>
  <c r="AW73" i="51" s="1"/>
  <c r="J73" i="51"/>
  <c r="BA73" i="51" s="1"/>
  <c r="I73" i="51"/>
  <c r="AZ73" i="51" s="1"/>
  <c r="AJ73" i="51"/>
  <c r="CA73" i="51" s="1"/>
  <c r="AK73" i="51"/>
  <c r="CB73" i="51" s="1"/>
  <c r="AI73" i="51"/>
  <c r="AM73" i="51"/>
  <c r="CD73" i="51" s="1"/>
  <c r="AH73" i="51"/>
  <c r="V76" i="51"/>
  <c r="BM76" i="51" s="1"/>
  <c r="Y76" i="51"/>
  <c r="BP76" i="51" s="1"/>
  <c r="U76" i="51"/>
  <c r="BL76" i="51" s="1"/>
  <c r="X76" i="51"/>
  <c r="BO76" i="51" s="1"/>
  <c r="W76" i="51"/>
  <c r="BN76" i="51" s="1"/>
  <c r="H81" i="51"/>
  <c r="AY81" i="51" s="1"/>
  <c r="K81" i="51"/>
  <c r="BB81" i="51" s="1"/>
  <c r="F81" i="51"/>
  <c r="AW81" i="51" s="1"/>
  <c r="J81" i="51"/>
  <c r="BA81" i="51" s="1"/>
  <c r="I81" i="51"/>
  <c r="AZ81" i="51" s="1"/>
  <c r="AJ81" i="51"/>
  <c r="CA81" i="51" s="1"/>
  <c r="AK81" i="51"/>
  <c r="CB81" i="51" s="1"/>
  <c r="AI81" i="51"/>
  <c r="BZ81" i="51" s="1"/>
  <c r="AM81" i="51"/>
  <c r="CD81" i="51" s="1"/>
  <c r="AL81" i="51"/>
  <c r="CC81" i="51" s="1"/>
  <c r="AH81" i="51"/>
  <c r="V82" i="51"/>
  <c r="BM82" i="51" s="1"/>
  <c r="Y82" i="51"/>
  <c r="BP82" i="51" s="1"/>
  <c r="T82" i="51"/>
  <c r="BK82" i="51" s="1"/>
  <c r="X82" i="51"/>
  <c r="BO82" i="51" s="1"/>
  <c r="W82" i="51"/>
  <c r="BN82" i="51" s="1"/>
  <c r="U82" i="51"/>
  <c r="BL82" i="51" s="1"/>
  <c r="V85" i="51"/>
  <c r="BM85" i="51" s="1"/>
  <c r="X100" i="51"/>
  <c r="BO100" i="51" s="1"/>
  <c r="T100" i="51"/>
  <c r="BK100" i="51" s="1"/>
  <c r="W100" i="51"/>
  <c r="BN100" i="51" s="1"/>
  <c r="V100" i="51"/>
  <c r="BM100" i="51" s="1"/>
  <c r="U100" i="51"/>
  <c r="BL100" i="51" s="1"/>
  <c r="Y100" i="51"/>
  <c r="BP100" i="51" s="1"/>
  <c r="T50" i="51"/>
  <c r="BK50" i="51" s="1"/>
  <c r="J101" i="51"/>
  <c r="BA101" i="51" s="1"/>
  <c r="F101" i="51"/>
  <c r="AW101" i="51" s="1"/>
  <c r="H101" i="51"/>
  <c r="AY101" i="51" s="1"/>
  <c r="G101" i="51"/>
  <c r="AX101" i="51" s="1"/>
  <c r="K101" i="51"/>
  <c r="BB101" i="51" s="1"/>
  <c r="I101" i="51"/>
  <c r="AZ101" i="51" s="1"/>
  <c r="AL101" i="51"/>
  <c r="CC101" i="51" s="1"/>
  <c r="AH101" i="51"/>
  <c r="BY101" i="51" s="1"/>
  <c r="AM101" i="51"/>
  <c r="CD101" i="51" s="1"/>
  <c r="AK101" i="51"/>
  <c r="CB101" i="51" s="1"/>
  <c r="AJ101" i="51"/>
  <c r="CA101" i="51" s="1"/>
  <c r="AI101" i="51"/>
  <c r="BZ101" i="51" s="1"/>
  <c r="X102" i="51"/>
  <c r="BO102" i="51" s="1"/>
  <c r="T102" i="51"/>
  <c r="BK102" i="51" s="1"/>
  <c r="V102" i="51"/>
  <c r="BM102" i="51" s="1"/>
  <c r="U102" i="51"/>
  <c r="BL102" i="51" s="1"/>
  <c r="Y102" i="51"/>
  <c r="BP102" i="51" s="1"/>
  <c r="W102" i="51"/>
  <c r="BN102" i="51" s="1"/>
  <c r="J103" i="51"/>
  <c r="BA103" i="51" s="1"/>
  <c r="F103" i="51"/>
  <c r="AW103" i="51" s="1"/>
  <c r="K103" i="51"/>
  <c r="BB103" i="51" s="1"/>
  <c r="I103" i="51"/>
  <c r="AZ103" i="51" s="1"/>
  <c r="G103" i="51"/>
  <c r="AX103" i="51" s="1"/>
  <c r="H103" i="51"/>
  <c r="AY103" i="51" s="1"/>
  <c r="AL103" i="51"/>
  <c r="CC103" i="51" s="1"/>
  <c r="AH103" i="51"/>
  <c r="BY103" i="51" s="1"/>
  <c r="AJ103" i="51"/>
  <c r="CA103" i="51" s="1"/>
  <c r="AI103" i="51"/>
  <c r="BZ103" i="51" s="1"/>
  <c r="AM103" i="51"/>
  <c r="CD103" i="51" s="1"/>
  <c r="AK103" i="51"/>
  <c r="CB103" i="51" s="1"/>
  <c r="X104" i="51"/>
  <c r="BO104" i="51" s="1"/>
  <c r="T104" i="51"/>
  <c r="BK104" i="51" s="1"/>
  <c r="Y104" i="51"/>
  <c r="BP104" i="51" s="1"/>
  <c r="W104" i="51"/>
  <c r="BN104" i="51" s="1"/>
  <c r="V104" i="51"/>
  <c r="BM104" i="51" s="1"/>
  <c r="U104" i="51"/>
  <c r="BL104" i="51" s="1"/>
  <c r="J105" i="51"/>
  <c r="BA105" i="51" s="1"/>
  <c r="F105" i="51"/>
  <c r="AW105" i="51" s="1"/>
  <c r="H105" i="51"/>
  <c r="AY105" i="51" s="1"/>
  <c r="G105" i="51"/>
  <c r="AX105" i="51" s="1"/>
  <c r="K105" i="51"/>
  <c r="BB105" i="51" s="1"/>
  <c r="I105" i="51"/>
  <c r="AZ105" i="51" s="1"/>
  <c r="AL105" i="51"/>
  <c r="CC105" i="51" s="1"/>
  <c r="AH105" i="51"/>
  <c r="BY105" i="51" s="1"/>
  <c r="AM105" i="51"/>
  <c r="CD105" i="51" s="1"/>
  <c r="AK105" i="51"/>
  <c r="CB105" i="51" s="1"/>
  <c r="AI105" i="51"/>
  <c r="BZ105" i="51" s="1"/>
  <c r="AJ105" i="51"/>
  <c r="CA105" i="51" s="1"/>
  <c r="X106" i="51"/>
  <c r="BO106" i="51" s="1"/>
  <c r="T106" i="51"/>
  <c r="BK106" i="51" s="1"/>
  <c r="V106" i="51"/>
  <c r="BM106" i="51" s="1"/>
  <c r="U106" i="51"/>
  <c r="BL106" i="51" s="1"/>
  <c r="Y106" i="51"/>
  <c r="BP106" i="51" s="1"/>
  <c r="W106" i="51"/>
  <c r="BN106" i="51" s="1"/>
  <c r="X108" i="51"/>
  <c r="BO108" i="51" s="1"/>
  <c r="T108" i="51"/>
  <c r="BK108" i="51" s="1"/>
  <c r="W108" i="51"/>
  <c r="BN108" i="51" s="1"/>
  <c r="V108" i="51"/>
  <c r="BM108" i="51" s="1"/>
  <c r="U108" i="51"/>
  <c r="BL108" i="51" s="1"/>
  <c r="Y108" i="51"/>
  <c r="BP108" i="51" s="1"/>
  <c r="J62" i="51"/>
  <c r="BA62" i="51" s="1"/>
  <c r="O62" i="51"/>
  <c r="BF62" i="51" s="1"/>
  <c r="W62" i="51"/>
  <c r="BN62" i="51" s="1"/>
  <c r="AH62" i="51"/>
  <c r="P63" i="51"/>
  <c r="BG63" i="51" s="1"/>
  <c r="AJ63" i="51"/>
  <c r="CA63" i="51" s="1"/>
  <c r="H65" i="51"/>
  <c r="AY65" i="51" s="1"/>
  <c r="T65" i="51"/>
  <c r="BK65" i="51" s="1"/>
  <c r="V66" i="51"/>
  <c r="BM66" i="51" s="1"/>
  <c r="X72" i="51"/>
  <c r="BO72" i="51" s="1"/>
  <c r="G73" i="51"/>
  <c r="AX73" i="51" s="1"/>
  <c r="AL73" i="51"/>
  <c r="CC73" i="51" s="1"/>
  <c r="AC62" i="51"/>
  <c r="BT62" i="51" s="1"/>
  <c r="AF62" i="51"/>
  <c r="BW62" i="51" s="1"/>
  <c r="AB62" i="51"/>
  <c r="BS62" i="51" s="1"/>
  <c r="AE62" i="51"/>
  <c r="BV62" i="51" s="1"/>
  <c r="AA62" i="51"/>
  <c r="BR62" i="51" s="1"/>
  <c r="AQ63" i="51"/>
  <c r="CH63" i="51" s="1"/>
  <c r="AT63" i="51"/>
  <c r="CK63" i="51" s="1"/>
  <c r="AP63" i="51"/>
  <c r="CG63" i="51" s="1"/>
  <c r="AS63" i="51"/>
  <c r="CJ63" i="51" s="1"/>
  <c r="AO63" i="51"/>
  <c r="CF63" i="51" s="1"/>
  <c r="P73" i="51"/>
  <c r="BG73" i="51" s="1"/>
  <c r="O73" i="51"/>
  <c r="BF73" i="51" s="1"/>
  <c r="N73" i="51"/>
  <c r="BE73" i="51" s="1"/>
  <c r="R73" i="51"/>
  <c r="BI73" i="51" s="1"/>
  <c r="M73" i="51"/>
  <c r="BD73" i="51" s="1"/>
  <c r="AR73" i="51"/>
  <c r="CI73" i="51" s="1"/>
  <c r="AQ73" i="51"/>
  <c r="CH73" i="51" s="1"/>
  <c r="AO73" i="51"/>
  <c r="CF73" i="51" s="1"/>
  <c r="AT73" i="51"/>
  <c r="CK73" i="51" s="1"/>
  <c r="AS73" i="51"/>
  <c r="CJ73" i="51" s="1"/>
  <c r="P75" i="51"/>
  <c r="BG75" i="51" s="1"/>
  <c r="O75" i="51"/>
  <c r="BF75" i="51" s="1"/>
  <c r="R75" i="51"/>
  <c r="BI75" i="51" s="1"/>
  <c r="Q75" i="51"/>
  <c r="BH75" i="51" s="1"/>
  <c r="N75" i="51"/>
  <c r="BE75" i="51" s="1"/>
  <c r="AE65" i="51"/>
  <c r="BV65" i="51" s="1"/>
  <c r="AA65" i="51"/>
  <c r="BR65" i="51" s="1"/>
  <c r="AD65" i="51"/>
  <c r="BU65" i="51" s="1"/>
  <c r="AC65" i="51"/>
  <c r="BT65" i="51" s="1"/>
  <c r="Q66" i="51"/>
  <c r="BH66" i="51" s="1"/>
  <c r="M66" i="51"/>
  <c r="BD66" i="51" s="1"/>
  <c r="P66" i="51"/>
  <c r="BG66" i="51" s="1"/>
  <c r="O66" i="51"/>
  <c r="BF66" i="51" s="1"/>
  <c r="AS66" i="51"/>
  <c r="CJ66" i="51" s="1"/>
  <c r="AO66" i="51"/>
  <c r="CF66" i="51" s="1"/>
  <c r="AR66" i="51"/>
  <c r="CI66" i="51" s="1"/>
  <c r="AQ66" i="51"/>
  <c r="CH66" i="51" s="1"/>
  <c r="R72" i="51"/>
  <c r="BI72" i="51" s="1"/>
  <c r="N72" i="51"/>
  <c r="BE72" i="51" s="1"/>
  <c r="Q72" i="51"/>
  <c r="BH72" i="51" s="1"/>
  <c r="P72" i="51"/>
  <c r="BG72" i="51" s="1"/>
  <c r="O72" i="51"/>
  <c r="BF72" i="51" s="1"/>
  <c r="AT72" i="51"/>
  <c r="CK72" i="51" s="1"/>
  <c r="AP72" i="51"/>
  <c r="CG72" i="51" s="1"/>
  <c r="AQ72" i="51"/>
  <c r="CH72" i="51" s="1"/>
  <c r="AO72" i="51"/>
  <c r="CF72" i="51" s="1"/>
  <c r="AS72" i="51"/>
  <c r="CJ72" i="51" s="1"/>
  <c r="AF73" i="51"/>
  <c r="BW73" i="51" s="1"/>
  <c r="AB73" i="51"/>
  <c r="BS73" i="51" s="1"/>
  <c r="AE73" i="51"/>
  <c r="BV73" i="51" s="1"/>
  <c r="AD73" i="51"/>
  <c r="BU73" i="51" s="1"/>
  <c r="AC73" i="51"/>
  <c r="BT73" i="51" s="1"/>
  <c r="M31" i="51"/>
  <c r="BD31" i="51" s="1"/>
  <c r="AO31" i="51"/>
  <c r="CF31" i="51" s="1"/>
  <c r="AF81" i="51"/>
  <c r="BW81" i="51" s="1"/>
  <c r="AB81" i="51"/>
  <c r="BS81" i="51" s="1"/>
  <c r="AE81" i="51"/>
  <c r="BV81" i="51" s="1"/>
  <c r="AD81" i="51"/>
  <c r="BU81" i="51" s="1"/>
  <c r="AC81" i="51"/>
  <c r="BT81" i="51" s="1"/>
  <c r="AA81" i="51"/>
  <c r="BR81" i="51" s="1"/>
  <c r="R82" i="51"/>
  <c r="BI82" i="51" s="1"/>
  <c r="N82" i="51"/>
  <c r="BE82" i="51" s="1"/>
  <c r="O82" i="51"/>
  <c r="BF82" i="51" s="1"/>
  <c r="M82" i="51"/>
  <c r="BD82" i="51" s="1"/>
  <c r="P82" i="51"/>
  <c r="BG82" i="51" s="1"/>
  <c r="AQ82" i="51"/>
  <c r="CH82" i="51" s="1"/>
  <c r="AT82" i="51"/>
  <c r="CK82" i="51" s="1"/>
  <c r="AP82" i="51"/>
  <c r="CG82" i="51" s="1"/>
  <c r="AS82" i="51"/>
  <c r="CJ82" i="51" s="1"/>
  <c r="AR82" i="51"/>
  <c r="CI82" i="51" s="1"/>
  <c r="Q85" i="51"/>
  <c r="BH85" i="51" s="1"/>
  <c r="M85" i="51"/>
  <c r="BD85" i="51" s="1"/>
  <c r="P85" i="51"/>
  <c r="BG85" i="51" s="1"/>
  <c r="R85" i="51"/>
  <c r="BI85" i="51" s="1"/>
  <c r="O85" i="51"/>
  <c r="BF85" i="51" s="1"/>
  <c r="N85" i="51"/>
  <c r="BE85" i="51" s="1"/>
  <c r="AS85" i="51"/>
  <c r="CJ85" i="51" s="1"/>
  <c r="AO85" i="51"/>
  <c r="CF85" i="51" s="1"/>
  <c r="AR85" i="51"/>
  <c r="CI85" i="51" s="1"/>
  <c r="AT85" i="51"/>
  <c r="CK85" i="51" s="1"/>
  <c r="AQ85" i="51"/>
  <c r="CH85" i="51" s="1"/>
  <c r="AP85" i="51"/>
  <c r="CG85" i="51" s="1"/>
  <c r="AE86" i="51"/>
  <c r="BV86" i="51" s="1"/>
  <c r="AA86" i="51"/>
  <c r="AD86" i="51"/>
  <c r="BU86" i="51" s="1"/>
  <c r="AF86" i="51"/>
  <c r="BW86" i="51" s="1"/>
  <c r="AC86" i="51"/>
  <c r="BT86" i="51" s="1"/>
  <c r="AB86" i="51"/>
  <c r="AJ86" i="51"/>
  <c r="CA86" i="51" s="1"/>
  <c r="Q87" i="51"/>
  <c r="BH87" i="51" s="1"/>
  <c r="M87" i="51"/>
  <c r="BD87" i="51" s="1"/>
  <c r="P87" i="51"/>
  <c r="BG87" i="51" s="1"/>
  <c r="R87" i="51"/>
  <c r="BI87" i="51" s="1"/>
  <c r="O87" i="51"/>
  <c r="BF87" i="51" s="1"/>
  <c r="N87" i="51"/>
  <c r="BE87" i="51" s="1"/>
  <c r="AS87" i="51"/>
  <c r="CJ87" i="51" s="1"/>
  <c r="AO87" i="51"/>
  <c r="CF87" i="51" s="1"/>
  <c r="AR87" i="51"/>
  <c r="CI87" i="51" s="1"/>
  <c r="AT87" i="51"/>
  <c r="CK87" i="51" s="1"/>
  <c r="AQ87" i="51"/>
  <c r="CH87" i="51" s="1"/>
  <c r="AP87" i="51"/>
  <c r="CG87" i="51" s="1"/>
  <c r="V89" i="51"/>
  <c r="BM89" i="51" s="1"/>
  <c r="AS89" i="51"/>
  <c r="CJ89" i="51" s="1"/>
  <c r="AO89" i="51"/>
  <c r="CF89" i="51" s="1"/>
  <c r="AR89" i="51"/>
  <c r="CI89" i="51" s="1"/>
  <c r="AT89" i="51"/>
  <c r="CK89" i="51" s="1"/>
  <c r="AQ89" i="51"/>
  <c r="CH89" i="51" s="1"/>
  <c r="AP89" i="51"/>
  <c r="CG89" i="51" s="1"/>
  <c r="N91" i="51"/>
  <c r="BE91" i="51" s="1"/>
  <c r="AF92" i="51"/>
  <c r="BW92" i="51" s="1"/>
  <c r="Y98" i="51"/>
  <c r="BP98" i="51" s="1"/>
  <c r="U98" i="51"/>
  <c r="BL98" i="51" s="1"/>
  <c r="V98" i="51"/>
  <c r="BM98" i="51" s="1"/>
  <c r="T98" i="51"/>
  <c r="BK98" i="51" s="1"/>
  <c r="X98" i="51"/>
  <c r="BO98" i="51" s="1"/>
  <c r="W98" i="51"/>
  <c r="BN98" i="51" s="1"/>
  <c r="P100" i="51"/>
  <c r="BG100" i="51" s="1"/>
  <c r="R100" i="51"/>
  <c r="BI100" i="51" s="1"/>
  <c r="M100" i="51"/>
  <c r="BD100" i="51" s="1"/>
  <c r="O100" i="51"/>
  <c r="BF100" i="51" s="1"/>
  <c r="N100" i="51"/>
  <c r="BE100" i="51" s="1"/>
  <c r="Q100" i="51"/>
  <c r="BH100" i="51" s="1"/>
  <c r="M50" i="51"/>
  <c r="BD50" i="51" s="1"/>
  <c r="AD101" i="51"/>
  <c r="BU101" i="51" s="1"/>
  <c r="AB101" i="51"/>
  <c r="BS101" i="51" s="1"/>
  <c r="AF101" i="51"/>
  <c r="BW101" i="51" s="1"/>
  <c r="AA101" i="51"/>
  <c r="AE101" i="51"/>
  <c r="BV101" i="51" s="1"/>
  <c r="AC101" i="51"/>
  <c r="BT101" i="51" s="1"/>
  <c r="P102" i="51"/>
  <c r="BG102" i="51" s="1"/>
  <c r="Q102" i="51"/>
  <c r="BH102" i="51" s="1"/>
  <c r="O102" i="51"/>
  <c r="BF102" i="51" s="1"/>
  <c r="N102" i="51"/>
  <c r="BE102" i="51" s="1"/>
  <c r="M102" i="51"/>
  <c r="BD102" i="51" s="1"/>
  <c r="R102" i="51"/>
  <c r="BI102" i="51" s="1"/>
  <c r="AR102" i="51"/>
  <c r="CI102" i="51" s="1"/>
  <c r="AP102" i="51"/>
  <c r="CG102" i="51" s="1"/>
  <c r="AT102" i="51"/>
  <c r="CK102" i="51" s="1"/>
  <c r="AO102" i="51"/>
  <c r="CF102" i="51" s="1"/>
  <c r="AS102" i="51"/>
  <c r="CJ102" i="51" s="1"/>
  <c r="AQ102" i="51"/>
  <c r="CH102" i="51" s="1"/>
  <c r="AD103" i="51"/>
  <c r="BU103" i="51" s="1"/>
  <c r="AE103" i="51"/>
  <c r="BV103" i="51" s="1"/>
  <c r="AC103" i="51"/>
  <c r="BT103" i="51" s="1"/>
  <c r="AF103" i="51"/>
  <c r="BW103" i="51" s="1"/>
  <c r="AB103" i="51"/>
  <c r="BS103" i="51" s="1"/>
  <c r="AA103" i="51"/>
  <c r="P104" i="51"/>
  <c r="BG104" i="51" s="1"/>
  <c r="N104" i="51"/>
  <c r="BE104" i="51" s="1"/>
  <c r="R104" i="51"/>
  <c r="BI104" i="51" s="1"/>
  <c r="M104" i="51"/>
  <c r="BD104" i="51" s="1"/>
  <c r="Q104" i="51"/>
  <c r="BH104" i="51" s="1"/>
  <c r="O104" i="51"/>
  <c r="BF104" i="51" s="1"/>
  <c r="AR104" i="51"/>
  <c r="CI104" i="51" s="1"/>
  <c r="AS104" i="51"/>
  <c r="CJ104" i="51" s="1"/>
  <c r="AQ104" i="51"/>
  <c r="CH104" i="51" s="1"/>
  <c r="AP104" i="51"/>
  <c r="CG104" i="51" s="1"/>
  <c r="AO104" i="51"/>
  <c r="CF104" i="51" s="1"/>
  <c r="AT104" i="51"/>
  <c r="CK104" i="51" s="1"/>
  <c r="AD105" i="51"/>
  <c r="BU105" i="51" s="1"/>
  <c r="AB105" i="51"/>
  <c r="AF105" i="51"/>
  <c r="BW105" i="51" s="1"/>
  <c r="AA105" i="51"/>
  <c r="AC105" i="51"/>
  <c r="BT105" i="51" s="1"/>
  <c r="AE105" i="51"/>
  <c r="BV105" i="51" s="1"/>
  <c r="P106" i="51"/>
  <c r="BG106" i="51" s="1"/>
  <c r="Q106" i="51"/>
  <c r="BH106" i="51" s="1"/>
  <c r="O106" i="51"/>
  <c r="BF106" i="51" s="1"/>
  <c r="R106" i="51"/>
  <c r="BI106" i="51" s="1"/>
  <c r="M106" i="51"/>
  <c r="BD106" i="51" s="1"/>
  <c r="N106" i="51"/>
  <c r="BE106" i="51" s="1"/>
  <c r="AR106" i="51"/>
  <c r="CI106" i="51" s="1"/>
  <c r="AQ106" i="51"/>
  <c r="CH106" i="51" s="1"/>
  <c r="AS106" i="51"/>
  <c r="CJ106" i="51" s="1"/>
  <c r="AP106" i="51"/>
  <c r="CG106" i="51" s="1"/>
  <c r="AO106" i="51"/>
  <c r="CF106" i="51" s="1"/>
  <c r="AT106" i="51"/>
  <c r="CK106" i="51" s="1"/>
  <c r="P108" i="51"/>
  <c r="BG108" i="51" s="1"/>
  <c r="O108" i="51"/>
  <c r="BF108" i="51" s="1"/>
  <c r="Q108" i="51"/>
  <c r="BH108" i="51" s="1"/>
  <c r="N108" i="51"/>
  <c r="BE108" i="51" s="1"/>
  <c r="M108" i="51"/>
  <c r="BD108" i="51" s="1"/>
  <c r="R108" i="51"/>
  <c r="BI108" i="51" s="1"/>
  <c r="AR108" i="51"/>
  <c r="CI108" i="51" s="1"/>
  <c r="AQ108" i="51"/>
  <c r="CH108" i="51" s="1"/>
  <c r="AS108" i="51"/>
  <c r="CJ108" i="51" s="1"/>
  <c r="AP108" i="51"/>
  <c r="CG108" i="51" s="1"/>
  <c r="AO108" i="51"/>
  <c r="CF108" i="51" s="1"/>
  <c r="AT108" i="51"/>
  <c r="CK108" i="51" s="1"/>
  <c r="N66" i="51"/>
  <c r="BE66" i="51" s="1"/>
  <c r="N69" i="51"/>
  <c r="BE69" i="51" s="1"/>
  <c r="AS69" i="51"/>
  <c r="CJ69" i="51" s="1"/>
  <c r="Q81" i="51"/>
  <c r="BH81" i="51" s="1"/>
  <c r="P84" i="51"/>
  <c r="BG84" i="51" s="1"/>
  <c r="S83" i="51"/>
  <c r="AR86" i="51"/>
  <c r="CI86" i="51" s="1"/>
  <c r="AD89" i="51"/>
  <c r="BU89" i="51" s="1"/>
  <c r="AP92" i="51"/>
  <c r="CG92" i="51" s="1"/>
  <c r="O65" i="51"/>
  <c r="BF65" i="51" s="1"/>
  <c r="R65" i="51"/>
  <c r="BI65" i="51" s="1"/>
  <c r="N65" i="51"/>
  <c r="BE65" i="51" s="1"/>
  <c r="Q65" i="51"/>
  <c r="BH65" i="51" s="1"/>
  <c r="M65" i="51"/>
  <c r="BD65" i="51" s="1"/>
  <c r="AD68" i="51"/>
  <c r="BU68" i="51" s="1"/>
  <c r="AC68" i="51"/>
  <c r="BT68" i="51" s="1"/>
  <c r="AB68" i="51"/>
  <c r="AF68" i="51"/>
  <c r="BW68" i="51" s="1"/>
  <c r="AA68" i="51"/>
  <c r="AR77" i="51"/>
  <c r="CI77" i="51" s="1"/>
  <c r="AQ77" i="51"/>
  <c r="CH77" i="51" s="1"/>
  <c r="AT77" i="51"/>
  <c r="CK77" i="51" s="1"/>
  <c r="AS77" i="51"/>
  <c r="CJ77" i="51" s="1"/>
  <c r="AP77" i="51"/>
  <c r="CG77" i="51" s="1"/>
  <c r="AA12" i="51"/>
  <c r="BR12" i="51" s="1"/>
  <c r="Q62" i="51"/>
  <c r="BH62" i="51" s="1"/>
  <c r="M62" i="51"/>
  <c r="BD62" i="51" s="1"/>
  <c r="P62" i="51"/>
  <c r="BG62" i="51" s="1"/>
  <c r="AS62" i="51"/>
  <c r="CJ62" i="51" s="1"/>
  <c r="AO62" i="51"/>
  <c r="CF62" i="51" s="1"/>
  <c r="AR62" i="51"/>
  <c r="CI62" i="51" s="1"/>
  <c r="AQ62" i="51"/>
  <c r="CH62" i="51" s="1"/>
  <c r="AE63" i="51"/>
  <c r="BV63" i="51" s="1"/>
  <c r="AA63" i="51"/>
  <c r="AD63" i="51"/>
  <c r="BU63" i="51" s="1"/>
  <c r="AC63" i="51"/>
  <c r="BT63" i="51" s="1"/>
  <c r="M15" i="51"/>
  <c r="BD15" i="51" s="1"/>
  <c r="R68" i="51"/>
  <c r="BI68" i="51" s="1"/>
  <c r="N68" i="51"/>
  <c r="BE68" i="51" s="1"/>
  <c r="O68" i="51"/>
  <c r="BF68" i="51" s="1"/>
  <c r="M68" i="51"/>
  <c r="BD68" i="51" s="1"/>
  <c r="Q68" i="51"/>
  <c r="BH68" i="51" s="1"/>
  <c r="AT68" i="51"/>
  <c r="CK68" i="51" s="1"/>
  <c r="AP68" i="51"/>
  <c r="CG68" i="51" s="1"/>
  <c r="AS68" i="51"/>
  <c r="CJ68" i="51" s="1"/>
  <c r="AR68" i="51"/>
  <c r="CI68" i="51" s="1"/>
  <c r="AQ68" i="51"/>
  <c r="CH68" i="51" s="1"/>
  <c r="R76" i="51"/>
  <c r="BI76" i="51" s="1"/>
  <c r="N76" i="51"/>
  <c r="BE76" i="51" s="1"/>
  <c r="Q76" i="51"/>
  <c r="BH76" i="51" s="1"/>
  <c r="M76" i="51"/>
  <c r="BD76" i="51" s="1"/>
  <c r="P76" i="51"/>
  <c r="BG76" i="51" s="1"/>
  <c r="O76" i="51"/>
  <c r="BF76" i="51" s="1"/>
  <c r="AT76" i="51"/>
  <c r="CK76" i="51" s="1"/>
  <c r="AP76" i="51"/>
  <c r="CG76" i="51" s="1"/>
  <c r="AS76" i="51"/>
  <c r="CJ76" i="51" s="1"/>
  <c r="AO76" i="51"/>
  <c r="CF76" i="51" s="1"/>
  <c r="AR76" i="51"/>
  <c r="CI76" i="51" s="1"/>
  <c r="AQ76" i="51"/>
  <c r="CH76" i="51" s="1"/>
  <c r="T12" i="51"/>
  <c r="BK12" i="51" s="1"/>
  <c r="I62" i="51"/>
  <c r="AZ62" i="51" s="1"/>
  <c r="H62" i="51"/>
  <c r="AY62" i="51" s="1"/>
  <c r="AK62" i="51"/>
  <c r="CB62" i="51" s="1"/>
  <c r="AJ62" i="51"/>
  <c r="CA62" i="51" s="1"/>
  <c r="AM62" i="51"/>
  <c r="CD62" i="51" s="1"/>
  <c r="AI62" i="51"/>
  <c r="W63" i="51"/>
  <c r="BN63" i="51" s="1"/>
  <c r="V63" i="51"/>
  <c r="BM63" i="51" s="1"/>
  <c r="Y63" i="51"/>
  <c r="BP63" i="51" s="1"/>
  <c r="U63" i="51"/>
  <c r="BL63" i="51" s="1"/>
  <c r="W65" i="51"/>
  <c r="BN65" i="51" s="1"/>
  <c r="V65" i="51"/>
  <c r="BM65" i="51" s="1"/>
  <c r="Y65" i="51"/>
  <c r="BP65" i="51" s="1"/>
  <c r="U65" i="51"/>
  <c r="BL65" i="51" s="1"/>
  <c r="J68" i="51"/>
  <c r="BA68" i="51" s="1"/>
  <c r="F68" i="51"/>
  <c r="AW68" i="51" s="1"/>
  <c r="I68" i="51"/>
  <c r="AZ68" i="51" s="1"/>
  <c r="H68" i="51"/>
  <c r="AY68" i="51" s="1"/>
  <c r="G68" i="51"/>
  <c r="AX68" i="51" s="1"/>
  <c r="AL68" i="51"/>
  <c r="CC68" i="51" s="1"/>
  <c r="AH68" i="51"/>
  <c r="AI68" i="51"/>
  <c r="BZ68" i="51" s="1"/>
  <c r="AM68" i="51"/>
  <c r="CD68" i="51" s="1"/>
  <c r="AK68" i="51"/>
  <c r="CB68" i="51" s="1"/>
  <c r="T22" i="51"/>
  <c r="BK22" i="51" s="1"/>
  <c r="X73" i="51"/>
  <c r="BO73" i="51" s="1"/>
  <c r="T73" i="51"/>
  <c r="BK73" i="51" s="1"/>
  <c r="U73" i="51"/>
  <c r="BL73" i="51" s="1"/>
  <c r="Y73" i="51"/>
  <c r="BP73" i="51" s="1"/>
  <c r="W73" i="51"/>
  <c r="BN73" i="51" s="1"/>
  <c r="X75" i="51"/>
  <c r="BO75" i="51" s="1"/>
  <c r="T75" i="51"/>
  <c r="BK75" i="51" s="1"/>
  <c r="W75" i="51"/>
  <c r="BN75" i="51" s="1"/>
  <c r="Y75" i="51"/>
  <c r="BP75" i="51" s="1"/>
  <c r="V75" i="51"/>
  <c r="BM75" i="51" s="1"/>
  <c r="U75" i="51"/>
  <c r="BL75" i="51" s="1"/>
  <c r="F31" i="51"/>
  <c r="AW31" i="51" s="1"/>
  <c r="AH31" i="51"/>
  <c r="BY31" i="51" s="1"/>
  <c r="X81" i="51"/>
  <c r="BO81" i="51" s="1"/>
  <c r="T81" i="51"/>
  <c r="BK81" i="51" s="1"/>
  <c r="U81" i="51"/>
  <c r="BL81" i="51" s="1"/>
  <c r="Y81" i="51"/>
  <c r="BP81" i="51" s="1"/>
  <c r="V81" i="51"/>
  <c r="BM81" i="51" s="1"/>
  <c r="J82" i="51"/>
  <c r="BA82" i="51" s="1"/>
  <c r="F82" i="51"/>
  <c r="AW82" i="51" s="1"/>
  <c r="I82" i="51"/>
  <c r="AZ82" i="51" s="1"/>
  <c r="H82" i="51"/>
  <c r="AY82" i="51" s="1"/>
  <c r="K82" i="51"/>
  <c r="BB82" i="51" s="1"/>
  <c r="AJ82" i="51"/>
  <c r="CA82" i="51" s="1"/>
  <c r="AO34" i="51"/>
  <c r="CF34" i="51" s="1"/>
  <c r="W84" i="51"/>
  <c r="BN84" i="51" s="1"/>
  <c r="V84" i="51"/>
  <c r="BM84" i="51" s="1"/>
  <c r="Y84" i="51"/>
  <c r="BP84" i="51" s="1"/>
  <c r="X84" i="51"/>
  <c r="BO84" i="51" s="1"/>
  <c r="U84" i="51"/>
  <c r="BL84" i="51" s="1"/>
  <c r="T84" i="51"/>
  <c r="BK84" i="51" s="1"/>
  <c r="W86" i="51"/>
  <c r="BN86" i="51" s="1"/>
  <c r="V86" i="51"/>
  <c r="BM86" i="51" s="1"/>
  <c r="Y86" i="51"/>
  <c r="BP86" i="51" s="1"/>
  <c r="X86" i="51"/>
  <c r="BO86" i="51" s="1"/>
  <c r="U86" i="51"/>
  <c r="BL86" i="51" s="1"/>
  <c r="W88" i="51"/>
  <c r="BN88" i="51" s="1"/>
  <c r="V88" i="51"/>
  <c r="BM88" i="51" s="1"/>
  <c r="Y88" i="51"/>
  <c r="BP88" i="51" s="1"/>
  <c r="X88" i="51"/>
  <c r="BO88" i="51" s="1"/>
  <c r="U88" i="51"/>
  <c r="BL88" i="51" s="1"/>
  <c r="T88" i="51"/>
  <c r="BK88" i="51" s="1"/>
  <c r="I89" i="51"/>
  <c r="AZ89" i="51" s="1"/>
  <c r="H89" i="51"/>
  <c r="AY89" i="51" s="1"/>
  <c r="K89" i="51"/>
  <c r="BB89" i="51" s="1"/>
  <c r="J89" i="51"/>
  <c r="BA89" i="51" s="1"/>
  <c r="G89" i="51"/>
  <c r="AX89" i="51" s="1"/>
  <c r="AK89" i="51"/>
  <c r="CB89" i="51" s="1"/>
  <c r="AJ89" i="51"/>
  <c r="CA89" i="51" s="1"/>
  <c r="AM89" i="51"/>
  <c r="CD89" i="51" s="1"/>
  <c r="AL89" i="51"/>
  <c r="CC89" i="51" s="1"/>
  <c r="AI89" i="51"/>
  <c r="AH89" i="51"/>
  <c r="I91" i="51"/>
  <c r="AZ91" i="51" s="1"/>
  <c r="H91" i="51"/>
  <c r="AY91" i="51" s="1"/>
  <c r="K91" i="51"/>
  <c r="BB91" i="51" s="1"/>
  <c r="J91" i="51"/>
  <c r="BA91" i="51" s="1"/>
  <c r="G91" i="51"/>
  <c r="AX91" i="51" s="1"/>
  <c r="F91" i="51"/>
  <c r="AW91" i="51" s="1"/>
  <c r="AK91" i="51"/>
  <c r="CB91" i="51" s="1"/>
  <c r="AJ91" i="51"/>
  <c r="CA91" i="51" s="1"/>
  <c r="AM91" i="51"/>
  <c r="CD91" i="51" s="1"/>
  <c r="AI91" i="51"/>
  <c r="BZ91" i="51" s="1"/>
  <c r="AL91" i="51"/>
  <c r="CC91" i="51" s="1"/>
  <c r="W92" i="51"/>
  <c r="BN92" i="51" s="1"/>
  <c r="Y92" i="51"/>
  <c r="BP92" i="51" s="1"/>
  <c r="T92" i="51"/>
  <c r="BK92" i="51" s="1"/>
  <c r="X92" i="51"/>
  <c r="BO92" i="51" s="1"/>
  <c r="V92" i="51"/>
  <c r="BM92" i="51" s="1"/>
  <c r="U92" i="51"/>
  <c r="BL92" i="51" s="1"/>
  <c r="J93" i="51"/>
  <c r="BA93" i="51" s="1"/>
  <c r="I93" i="51"/>
  <c r="AZ93" i="51" s="1"/>
  <c r="H93" i="51"/>
  <c r="AY93" i="51" s="1"/>
  <c r="G93" i="51"/>
  <c r="AX93" i="51" s="1"/>
  <c r="F93" i="51"/>
  <c r="AW93" i="51" s="1"/>
  <c r="K93" i="51"/>
  <c r="BB93" i="51" s="1"/>
  <c r="AL93" i="51"/>
  <c r="CC93" i="51" s="1"/>
  <c r="AH93" i="51"/>
  <c r="AK93" i="51"/>
  <c r="CB93" i="51" s="1"/>
  <c r="AJ93" i="51"/>
  <c r="CA93" i="51" s="1"/>
  <c r="AI93" i="51"/>
  <c r="AM93" i="51"/>
  <c r="CD93" i="51" s="1"/>
  <c r="Q98" i="51"/>
  <c r="BH98" i="51" s="1"/>
  <c r="M98" i="51"/>
  <c r="BD98" i="51" s="1"/>
  <c r="P98" i="51"/>
  <c r="BG98" i="51" s="1"/>
  <c r="O98" i="51"/>
  <c r="BF98" i="51" s="1"/>
  <c r="N98" i="51"/>
  <c r="BE98" i="51" s="1"/>
  <c r="R98" i="51"/>
  <c r="BI98" i="51" s="1"/>
  <c r="AS98" i="51"/>
  <c r="CJ98" i="51" s="1"/>
  <c r="AO98" i="51"/>
  <c r="CF98" i="51" s="1"/>
  <c r="AP98" i="51"/>
  <c r="CG98" i="51" s="1"/>
  <c r="AT98" i="51"/>
  <c r="CK98" i="51" s="1"/>
  <c r="AR98" i="51"/>
  <c r="CI98" i="51" s="1"/>
  <c r="AH50" i="51"/>
  <c r="BY50" i="51" s="1"/>
  <c r="F62" i="51"/>
  <c r="AW62" i="51" s="1"/>
  <c r="AD62" i="51"/>
  <c r="BU62" i="51" s="1"/>
  <c r="H63" i="51"/>
  <c r="AY63" i="51" s="1"/>
  <c r="T63" i="51"/>
  <c r="BK63" i="51" s="1"/>
  <c r="AF63" i="51"/>
  <c r="BW63" i="51" s="1"/>
  <c r="AR63" i="51"/>
  <c r="CI63" i="51" s="1"/>
  <c r="P65" i="51"/>
  <c r="BG65" i="51" s="1"/>
  <c r="AJ65" i="51"/>
  <c r="CA65" i="51" s="1"/>
  <c r="R66" i="51"/>
  <c r="BI66" i="51" s="1"/>
  <c r="M72" i="51"/>
  <c r="BD72" i="51" s="1"/>
  <c r="AR72" i="51"/>
  <c r="CI72" i="51" s="1"/>
  <c r="Q73" i="51"/>
  <c r="BH73" i="51" s="1"/>
  <c r="AA73" i="51"/>
  <c r="AP73" i="51"/>
  <c r="CG73" i="51" s="1"/>
  <c r="Z74" i="51"/>
  <c r="BQ74" i="51" s="1"/>
  <c r="T76" i="51"/>
  <c r="BK76" i="51" s="1"/>
  <c r="Q82" i="51"/>
  <c r="BH82" i="51" s="1"/>
  <c r="AL82" i="51"/>
  <c r="CC82" i="51" s="1"/>
  <c r="AH82" i="51"/>
  <c r="AI82" i="51"/>
  <c r="AM82" i="51"/>
  <c r="CD82" i="51" s="1"/>
  <c r="Y85" i="51"/>
  <c r="BP85" i="51" s="1"/>
  <c r="U85" i="51"/>
  <c r="BL85" i="51" s="1"/>
  <c r="X85" i="51"/>
  <c r="BO85" i="51" s="1"/>
  <c r="T85" i="51"/>
  <c r="BK85" i="51" s="1"/>
  <c r="W85" i="51"/>
  <c r="BN85" i="51" s="1"/>
  <c r="K86" i="51"/>
  <c r="BB86" i="51" s="1"/>
  <c r="G86" i="51"/>
  <c r="AX86" i="51" s="1"/>
  <c r="J86" i="51"/>
  <c r="BA86" i="51" s="1"/>
  <c r="F86" i="51"/>
  <c r="AW86" i="51" s="1"/>
  <c r="I86" i="51"/>
  <c r="AZ86" i="51" s="1"/>
  <c r="AM86" i="51"/>
  <c r="CD86" i="51" s="1"/>
  <c r="AI86" i="51"/>
  <c r="BZ86" i="51" s="1"/>
  <c r="AL86" i="51"/>
  <c r="CC86" i="51" s="1"/>
  <c r="AH86" i="51"/>
  <c r="AK86" i="51"/>
  <c r="CB86" i="51" s="1"/>
  <c r="Y87" i="51"/>
  <c r="BP87" i="51" s="1"/>
  <c r="U87" i="51"/>
  <c r="BL87" i="51" s="1"/>
  <c r="X87" i="51"/>
  <c r="BO87" i="51" s="1"/>
  <c r="T87" i="51"/>
  <c r="BK87" i="51" s="1"/>
  <c r="W87" i="51"/>
  <c r="BN87" i="51" s="1"/>
  <c r="Y89" i="51"/>
  <c r="BP89" i="51" s="1"/>
  <c r="U89" i="51"/>
  <c r="BL89" i="51" s="1"/>
  <c r="X89" i="51"/>
  <c r="BO89" i="51" s="1"/>
  <c r="T89" i="51"/>
  <c r="BK89" i="51" s="1"/>
  <c r="W89" i="51"/>
  <c r="BN89" i="51" s="1"/>
  <c r="Y91" i="51"/>
  <c r="BP91" i="51" s="1"/>
  <c r="U91" i="51"/>
  <c r="BL91" i="51" s="1"/>
  <c r="X91" i="51"/>
  <c r="BO91" i="51" s="1"/>
  <c r="T91" i="51"/>
  <c r="BK91" i="51" s="1"/>
  <c r="W91" i="51"/>
  <c r="BN91" i="51" s="1"/>
  <c r="K92" i="51"/>
  <c r="BB92" i="51" s="1"/>
  <c r="G92" i="51"/>
  <c r="AX92" i="51" s="1"/>
  <c r="J92" i="51"/>
  <c r="BA92" i="51" s="1"/>
  <c r="F92" i="51"/>
  <c r="AW92" i="51" s="1"/>
  <c r="I92" i="51"/>
  <c r="AZ92" i="51" s="1"/>
  <c r="H92" i="51"/>
  <c r="AY92" i="51" s="1"/>
  <c r="AM92" i="51"/>
  <c r="CD92" i="51" s="1"/>
  <c r="AI92" i="51"/>
  <c r="AJ92" i="51"/>
  <c r="CA92" i="51" s="1"/>
  <c r="AH92" i="51"/>
  <c r="BY92" i="51" s="1"/>
  <c r="AL92" i="51"/>
  <c r="CC92" i="51" s="1"/>
  <c r="AK92" i="51"/>
  <c r="CB92" i="51" s="1"/>
  <c r="V93" i="51"/>
  <c r="BM93" i="51" s="1"/>
  <c r="Y93" i="51"/>
  <c r="BP93" i="51" s="1"/>
  <c r="U93" i="51"/>
  <c r="BL93" i="51" s="1"/>
  <c r="X93" i="51"/>
  <c r="BO93" i="51" s="1"/>
  <c r="W93" i="51"/>
  <c r="BN93" i="51" s="1"/>
  <c r="T93" i="51"/>
  <c r="BK93" i="51" s="1"/>
  <c r="I98" i="51"/>
  <c r="AZ98" i="51" s="1"/>
  <c r="K98" i="51"/>
  <c r="BB98" i="51" s="1"/>
  <c r="F98" i="51"/>
  <c r="AW98" i="51" s="1"/>
  <c r="J98" i="51"/>
  <c r="BA98" i="51" s="1"/>
  <c r="H98" i="51"/>
  <c r="AY98" i="51" s="1"/>
  <c r="AK98" i="51"/>
  <c r="CB98" i="51" s="1"/>
  <c r="AJ98" i="51"/>
  <c r="CA98" i="51" s="1"/>
  <c r="AI98" i="51"/>
  <c r="BZ98" i="51" s="1"/>
  <c r="AM98" i="51"/>
  <c r="CD98" i="51" s="1"/>
  <c r="AL98" i="51"/>
  <c r="CC98" i="51" s="1"/>
  <c r="AH98" i="51"/>
  <c r="BY98" i="51" s="1"/>
  <c r="I100" i="51"/>
  <c r="AZ100" i="51" s="1"/>
  <c r="J100" i="51"/>
  <c r="BA100" i="51" s="1"/>
  <c r="H100" i="51"/>
  <c r="AY100" i="51" s="1"/>
  <c r="K100" i="51"/>
  <c r="BB100" i="51" s="1"/>
  <c r="G100" i="51"/>
  <c r="AX100" i="51" s="1"/>
  <c r="AJ100" i="51"/>
  <c r="CA100" i="51" s="1"/>
  <c r="AI100" i="51"/>
  <c r="BZ100" i="51" s="1"/>
  <c r="AM100" i="51"/>
  <c r="CD100" i="51" s="1"/>
  <c r="AH100" i="51"/>
  <c r="BY100" i="51" s="1"/>
  <c r="AL100" i="51"/>
  <c r="CC100" i="51" s="1"/>
  <c r="AK100" i="51"/>
  <c r="CB100" i="51" s="1"/>
  <c r="V101" i="51"/>
  <c r="BM101" i="51" s="1"/>
  <c r="X101" i="51"/>
  <c r="BO101" i="51" s="1"/>
  <c r="W101" i="51"/>
  <c r="BN101" i="51" s="1"/>
  <c r="U101" i="51"/>
  <c r="BL101" i="51" s="1"/>
  <c r="T101" i="51"/>
  <c r="BK101" i="51" s="1"/>
  <c r="Y101" i="51"/>
  <c r="BP101" i="51" s="1"/>
  <c r="H102" i="51"/>
  <c r="AY102" i="51" s="1"/>
  <c r="G102" i="51"/>
  <c r="AX102" i="51" s="1"/>
  <c r="K102" i="51"/>
  <c r="BB102" i="51" s="1"/>
  <c r="F102" i="51"/>
  <c r="AW102" i="51" s="1"/>
  <c r="I102" i="51"/>
  <c r="AZ102" i="51" s="1"/>
  <c r="J102" i="51"/>
  <c r="BA102" i="51" s="1"/>
  <c r="AJ102" i="51"/>
  <c r="CA102" i="51" s="1"/>
  <c r="AL102" i="51"/>
  <c r="CC102" i="51" s="1"/>
  <c r="AK102" i="51"/>
  <c r="CB102" i="51" s="1"/>
  <c r="AM102" i="51"/>
  <c r="CD102" i="51" s="1"/>
  <c r="AI102" i="51"/>
  <c r="BZ102" i="51" s="1"/>
  <c r="AH102" i="51"/>
  <c r="BY102" i="51" s="1"/>
  <c r="V103" i="51"/>
  <c r="BM103" i="51" s="1"/>
  <c r="U103" i="51"/>
  <c r="BL103" i="51" s="1"/>
  <c r="Y103" i="51"/>
  <c r="BP103" i="51" s="1"/>
  <c r="T103" i="51"/>
  <c r="BK103" i="51" s="1"/>
  <c r="X103" i="51"/>
  <c r="BO103" i="51" s="1"/>
  <c r="W103" i="51"/>
  <c r="BN103" i="51" s="1"/>
  <c r="H104" i="51"/>
  <c r="AY104" i="51" s="1"/>
  <c r="J104" i="51"/>
  <c r="BA104" i="51" s="1"/>
  <c r="I104" i="51"/>
  <c r="AZ104" i="51" s="1"/>
  <c r="G104" i="51"/>
  <c r="AX104" i="51" s="1"/>
  <c r="F104" i="51"/>
  <c r="AW104" i="51" s="1"/>
  <c r="K104" i="51"/>
  <c r="BB104" i="51" s="1"/>
  <c r="AJ104" i="51"/>
  <c r="CA104" i="51" s="1"/>
  <c r="AI104" i="51"/>
  <c r="AM104" i="51"/>
  <c r="CD104" i="51" s="1"/>
  <c r="AH104" i="51"/>
  <c r="BY104" i="51" s="1"/>
  <c r="AK104" i="51"/>
  <c r="CB104" i="51" s="1"/>
  <c r="AL104" i="51"/>
  <c r="CC104" i="51" s="1"/>
  <c r="V105" i="51"/>
  <c r="BM105" i="51" s="1"/>
  <c r="X105" i="51"/>
  <c r="BO105" i="51" s="1"/>
  <c r="W105" i="51"/>
  <c r="BN105" i="51" s="1"/>
  <c r="Y105" i="51"/>
  <c r="BP105" i="51" s="1"/>
  <c r="U105" i="51"/>
  <c r="BL105" i="51" s="1"/>
  <c r="H106" i="51"/>
  <c r="AY106" i="51" s="1"/>
  <c r="G106" i="51"/>
  <c r="AX106" i="51" s="1"/>
  <c r="K106" i="51"/>
  <c r="BB106" i="51" s="1"/>
  <c r="F106" i="51"/>
  <c r="AW106" i="51" s="1"/>
  <c r="J106" i="51"/>
  <c r="BA106" i="51" s="1"/>
  <c r="I106" i="51"/>
  <c r="AZ106" i="51" s="1"/>
  <c r="AJ106" i="51"/>
  <c r="CA106" i="51" s="1"/>
  <c r="AM106" i="51"/>
  <c r="CD106" i="51" s="1"/>
  <c r="AI106" i="51"/>
  <c r="AK106" i="51"/>
  <c r="CB106" i="51" s="1"/>
  <c r="AH106" i="51"/>
  <c r="BY106" i="51" s="1"/>
  <c r="AL106" i="51"/>
  <c r="CC106" i="51" s="1"/>
  <c r="V107" i="51"/>
  <c r="BM107" i="51" s="1"/>
  <c r="Y107" i="51"/>
  <c r="BP107" i="51" s="1"/>
  <c r="U107" i="51"/>
  <c r="BL107" i="51" s="1"/>
  <c r="X107" i="51"/>
  <c r="BO107" i="51" s="1"/>
  <c r="W107" i="51"/>
  <c r="BN107" i="51" s="1"/>
  <c r="T107" i="51"/>
  <c r="BK107" i="51" s="1"/>
  <c r="H108" i="51"/>
  <c r="AY108" i="51" s="1"/>
  <c r="K108" i="51"/>
  <c r="BB108" i="51" s="1"/>
  <c r="G108" i="51"/>
  <c r="AX108" i="51" s="1"/>
  <c r="J108" i="51"/>
  <c r="BA108" i="51" s="1"/>
  <c r="I108" i="51"/>
  <c r="AZ108" i="51" s="1"/>
  <c r="F108" i="51"/>
  <c r="AW108" i="51" s="1"/>
  <c r="AJ108" i="51"/>
  <c r="CA108" i="51" s="1"/>
  <c r="AM108" i="51"/>
  <c r="CD108" i="51" s="1"/>
  <c r="AI108" i="51"/>
  <c r="BZ108" i="51" s="1"/>
  <c r="AL108" i="51"/>
  <c r="CC108" i="51" s="1"/>
  <c r="AK108" i="51"/>
  <c r="CB108" i="51" s="1"/>
  <c r="AH108" i="51"/>
  <c r="BY108" i="51" s="1"/>
  <c r="AK82" i="51"/>
  <c r="CB82" i="51" s="1"/>
  <c r="AG83" i="51"/>
  <c r="BX83" i="51" s="1"/>
  <c r="G98" i="51"/>
  <c r="AX98" i="51" s="1"/>
  <c r="T105" i="51"/>
  <c r="BK105" i="51" s="1"/>
  <c r="Q91" i="51"/>
  <c r="BH91" i="51" s="1"/>
  <c r="M91" i="51"/>
  <c r="BD91" i="51" s="1"/>
  <c r="P91" i="51"/>
  <c r="BG91" i="51" s="1"/>
  <c r="R91" i="51"/>
  <c r="BI91" i="51" s="1"/>
  <c r="O91" i="51"/>
  <c r="BF91" i="51" s="1"/>
  <c r="AS91" i="51"/>
  <c r="CJ91" i="51" s="1"/>
  <c r="AO91" i="51"/>
  <c r="CF91" i="51" s="1"/>
  <c r="AR91" i="51"/>
  <c r="CI91" i="51" s="1"/>
  <c r="AQ91" i="51"/>
  <c r="CH91" i="51" s="1"/>
  <c r="AP91" i="51"/>
  <c r="CG91" i="51" s="1"/>
  <c r="AE92" i="51"/>
  <c r="BV92" i="51" s="1"/>
  <c r="AA92" i="51"/>
  <c r="AD92" i="51"/>
  <c r="BU92" i="51" s="1"/>
  <c r="AC92" i="51"/>
  <c r="BT92" i="51" s="1"/>
  <c r="AB92" i="51"/>
  <c r="BS92" i="51" s="1"/>
  <c r="R93" i="51"/>
  <c r="BI93" i="51" s="1"/>
  <c r="N93" i="51"/>
  <c r="BE93" i="51" s="1"/>
  <c r="Q93" i="51"/>
  <c r="BH93" i="51" s="1"/>
  <c r="M93" i="51"/>
  <c r="BD93" i="51" s="1"/>
  <c r="P93" i="51"/>
  <c r="BG93" i="51" s="1"/>
  <c r="O93" i="51"/>
  <c r="BF93" i="51" s="1"/>
  <c r="AT93" i="51"/>
  <c r="CK93" i="51" s="1"/>
  <c r="AP93" i="51"/>
  <c r="CG93" i="51" s="1"/>
  <c r="AS93" i="51"/>
  <c r="CJ93" i="51" s="1"/>
  <c r="AO93" i="51"/>
  <c r="CF93" i="51" s="1"/>
  <c r="AR93" i="51"/>
  <c r="CI93" i="51" s="1"/>
  <c r="AQ93" i="51"/>
  <c r="CH93" i="51" s="1"/>
  <c r="AC98" i="51"/>
  <c r="BT98" i="51" s="1"/>
  <c r="AF98" i="51"/>
  <c r="BW98" i="51" s="1"/>
  <c r="AA98" i="51"/>
  <c r="AE98" i="51"/>
  <c r="BV98" i="51" s="1"/>
  <c r="AD98" i="51"/>
  <c r="BU98" i="51" s="1"/>
  <c r="AB98" i="51"/>
  <c r="BS98" i="51" s="1"/>
  <c r="AF100" i="51"/>
  <c r="BW100" i="51" s="1"/>
  <c r="AB100" i="51"/>
  <c r="BS100" i="51" s="1"/>
  <c r="AD100" i="51"/>
  <c r="BU100" i="51" s="1"/>
  <c r="AC100" i="51"/>
  <c r="BT100" i="51" s="1"/>
  <c r="AE100" i="51"/>
  <c r="BV100" i="51" s="1"/>
  <c r="AA100" i="51"/>
  <c r="BR100" i="51" s="1"/>
  <c r="R101" i="51"/>
  <c r="BI101" i="51" s="1"/>
  <c r="N101" i="51"/>
  <c r="BE101" i="51" s="1"/>
  <c r="M101" i="51"/>
  <c r="BD101" i="51" s="1"/>
  <c r="Q101" i="51"/>
  <c r="BH101" i="51" s="1"/>
  <c r="O101" i="51"/>
  <c r="BF101" i="51" s="1"/>
  <c r="P101" i="51"/>
  <c r="BG101" i="51" s="1"/>
  <c r="AT101" i="51"/>
  <c r="CK101" i="51" s="1"/>
  <c r="AP101" i="51"/>
  <c r="CG101" i="51" s="1"/>
  <c r="AR101" i="51"/>
  <c r="CI101" i="51" s="1"/>
  <c r="AQ101" i="51"/>
  <c r="CH101" i="51" s="1"/>
  <c r="AS101" i="51"/>
  <c r="CJ101" i="51" s="1"/>
  <c r="AO101" i="51"/>
  <c r="CF101" i="51" s="1"/>
  <c r="AF102" i="51"/>
  <c r="BW102" i="51" s="1"/>
  <c r="AB102" i="51"/>
  <c r="AA102" i="51"/>
  <c r="AE102" i="51"/>
  <c r="BV102" i="51" s="1"/>
  <c r="AD102" i="51"/>
  <c r="BU102" i="51" s="1"/>
  <c r="AC102" i="51"/>
  <c r="BT102" i="51" s="1"/>
  <c r="R103" i="51"/>
  <c r="BI103" i="51" s="1"/>
  <c r="N103" i="51"/>
  <c r="BE103" i="51" s="1"/>
  <c r="P103" i="51"/>
  <c r="BG103" i="51" s="1"/>
  <c r="O103" i="51"/>
  <c r="BF103" i="51" s="1"/>
  <c r="Q103" i="51"/>
  <c r="BH103" i="51" s="1"/>
  <c r="M103" i="51"/>
  <c r="BD103" i="51" s="1"/>
  <c r="AF104" i="51"/>
  <c r="BW104" i="51" s="1"/>
  <c r="AB104" i="51"/>
  <c r="BS104" i="51" s="1"/>
  <c r="AD104" i="51"/>
  <c r="BU104" i="51" s="1"/>
  <c r="AC104" i="51"/>
  <c r="BT104" i="51" s="1"/>
  <c r="AE104" i="51"/>
  <c r="BV104" i="51" s="1"/>
  <c r="AA104" i="51"/>
  <c r="R105" i="51"/>
  <c r="BI105" i="51" s="1"/>
  <c r="N105" i="51"/>
  <c r="BE105" i="51" s="1"/>
  <c r="M105" i="51"/>
  <c r="BD105" i="51" s="1"/>
  <c r="Q105" i="51"/>
  <c r="BH105" i="51" s="1"/>
  <c r="P105" i="51"/>
  <c r="BG105" i="51" s="1"/>
  <c r="O105" i="51"/>
  <c r="BF105" i="51" s="1"/>
  <c r="AF106" i="51"/>
  <c r="BW106" i="51" s="1"/>
  <c r="AB106" i="51"/>
  <c r="AE106" i="51"/>
  <c r="BV106" i="51" s="1"/>
  <c r="AA106" i="51"/>
  <c r="AC106" i="51"/>
  <c r="BT106" i="51" s="1"/>
  <c r="AD106" i="51"/>
  <c r="BU106" i="51" s="1"/>
  <c r="AF108" i="51"/>
  <c r="BW108" i="51" s="1"/>
  <c r="AB108" i="51"/>
  <c r="BS108" i="51" s="1"/>
  <c r="AE108" i="51"/>
  <c r="BV108" i="51" s="1"/>
  <c r="AA108" i="51"/>
  <c r="AD108" i="51"/>
  <c r="BU108" i="51" s="1"/>
  <c r="AC108" i="51"/>
  <c r="BT108" i="51" s="1"/>
  <c r="H86" i="51"/>
  <c r="AY86" i="51" s="1"/>
  <c r="V87" i="51"/>
  <c r="BM87" i="51" s="1"/>
  <c r="V91" i="51"/>
  <c r="BM91" i="51" s="1"/>
  <c r="AT91" i="51"/>
  <c r="CK91" i="51" s="1"/>
  <c r="F100" i="51"/>
  <c r="AW100" i="51" s="1"/>
  <c r="AN94" i="51"/>
  <c r="CE94" i="51" s="1"/>
  <c r="AI61" i="62"/>
  <c r="BZ61" i="62" s="1"/>
  <c r="H65" i="62"/>
  <c r="AY65" i="62" s="1"/>
  <c r="G64" i="62"/>
  <c r="AX64" i="62" s="1"/>
  <c r="AH11" i="62"/>
  <c r="BY11" i="62" s="1"/>
  <c r="AF9" i="62"/>
  <c r="AM9" i="62" s="1"/>
  <c r="AI81" i="62"/>
  <c r="BZ81" i="62" s="1"/>
  <c r="AH80" i="62"/>
  <c r="H100" i="62"/>
  <c r="AY100" i="62" s="1"/>
  <c r="AA83" i="62"/>
  <c r="BR83" i="62" s="1"/>
  <c r="F61" i="62"/>
  <c r="AW61" i="62" s="1"/>
  <c r="AH61" i="62"/>
  <c r="BY61" i="62" s="1"/>
  <c r="AB63" i="62"/>
  <c r="BS63" i="62" s="1"/>
  <c r="F64" i="62"/>
  <c r="AW64" i="62" s="1"/>
  <c r="AH64" i="62"/>
  <c r="BY64" i="62" s="1"/>
  <c r="AB66" i="62"/>
  <c r="BS66" i="62" s="1"/>
  <c r="T71" i="62"/>
  <c r="BK71" i="62" s="1"/>
  <c r="N72" i="62"/>
  <c r="BE72" i="62" s="1"/>
  <c r="T74" i="62"/>
  <c r="BK74" i="62" s="1"/>
  <c r="AI75" i="62"/>
  <c r="BZ75" i="62" s="1"/>
  <c r="AH74" i="62"/>
  <c r="BY74" i="62" s="1"/>
  <c r="G81" i="62"/>
  <c r="AX81" i="62" s="1"/>
  <c r="F80" i="62"/>
  <c r="AW80" i="62" s="1"/>
  <c r="N84" i="62"/>
  <c r="BE84" i="62" s="1"/>
  <c r="N101" i="62"/>
  <c r="BE101" i="62" s="1"/>
  <c r="AI102" i="62"/>
  <c r="U156" i="62"/>
  <c r="T154" i="62"/>
  <c r="BK154" i="62" s="1"/>
  <c r="AB157" i="62"/>
  <c r="BS157" i="62" s="1"/>
  <c r="AA154" i="62"/>
  <c r="BR154" i="62" s="1"/>
  <c r="AA74" i="62"/>
  <c r="BR74" i="62" s="1"/>
  <c r="N75" i="62"/>
  <c r="BE75" i="62" s="1"/>
  <c r="T83" i="62"/>
  <c r="T94" i="62"/>
  <c r="BK94" i="62" s="1"/>
  <c r="U95" i="62"/>
  <c r="BL95" i="62" s="1"/>
  <c r="H163" i="62"/>
  <c r="AY163" i="62" s="1"/>
  <c r="AH83" i="62"/>
  <c r="BY83" i="62" s="1"/>
  <c r="AI86" i="62"/>
  <c r="M94" i="62"/>
  <c r="BD94" i="62" s="1"/>
  <c r="AJ95" i="62"/>
  <c r="CA95" i="62" s="1"/>
  <c r="AA94" i="62"/>
  <c r="BR94" i="62" s="1"/>
  <c r="AB96" i="62"/>
  <c r="BS96" i="62" s="1"/>
  <c r="AB101" i="62"/>
  <c r="BS101" i="62" s="1"/>
  <c r="T99" i="62"/>
  <c r="BK99" i="62" s="1"/>
  <c r="AH154" i="62"/>
  <c r="BY154" i="62" s="1"/>
  <c r="F83" i="62"/>
  <c r="AW83" i="62" s="1"/>
  <c r="U100" i="62"/>
  <c r="BL100" i="62" s="1"/>
  <c r="M154" i="62"/>
  <c r="BD154" i="62" s="1"/>
  <c r="F154" i="62"/>
  <c r="AW154" i="62" s="1"/>
  <c r="U64" i="62" l="1"/>
  <c r="BL64" i="62" s="1"/>
  <c r="V75" i="62"/>
  <c r="BM75" i="62" s="1"/>
  <c r="V65" i="62"/>
  <c r="BM65" i="62" s="1"/>
  <c r="V84" i="62"/>
  <c r="BM84" i="62" s="1"/>
  <c r="G71" i="62"/>
  <c r="AX71" i="62" s="1"/>
  <c r="E79" i="62"/>
  <c r="AB9" i="62"/>
  <c r="AI9" i="62" s="1"/>
  <c r="AT10" i="51"/>
  <c r="AQ10" i="51"/>
  <c r="BY80" i="62"/>
  <c r="AH79" i="62"/>
  <c r="AG11" i="62"/>
  <c r="BX11" i="62" s="1"/>
  <c r="X11" i="62"/>
  <c r="BO11" i="62" s="1"/>
  <c r="AB52" i="50"/>
  <c r="BN52" i="50" s="1"/>
  <c r="BS102" i="51"/>
  <c r="AC128" i="50"/>
  <c r="BN128" i="50"/>
  <c r="AJ112" i="50"/>
  <c r="BU112" i="50"/>
  <c r="AB55" i="50"/>
  <c r="BN55" i="50" s="1"/>
  <c r="BS105" i="51"/>
  <c r="AC120" i="50"/>
  <c r="BN120" i="50"/>
  <c r="AR9" i="62"/>
  <c r="AI64" i="62"/>
  <c r="BZ64" i="62" s="1"/>
  <c r="AH149" i="50"/>
  <c r="BY93" i="51"/>
  <c r="AA39" i="50"/>
  <c r="BM39" i="50" s="1"/>
  <c r="BR68" i="51"/>
  <c r="AB143" i="50"/>
  <c r="BN143" i="50" s="1"/>
  <c r="BS86" i="51"/>
  <c r="AH36" i="50"/>
  <c r="BT36" i="50" s="1"/>
  <c r="BY62" i="51"/>
  <c r="AI135" i="50"/>
  <c r="BU135" i="50" s="1"/>
  <c r="BZ73" i="51"/>
  <c r="AC119" i="50"/>
  <c r="BN119" i="50"/>
  <c r="Y11" i="62"/>
  <c r="BP11" i="62" s="1"/>
  <c r="AC27" i="50"/>
  <c r="BN27" i="50"/>
  <c r="AJ120" i="50"/>
  <c r="BU120" i="50"/>
  <c r="AC34" i="50"/>
  <c r="BN34" i="50"/>
  <c r="AC23" i="50"/>
  <c r="BN23" i="50"/>
  <c r="BU10" i="51"/>
  <c r="CB10" i="51" s="1"/>
  <c r="CI10" i="51"/>
  <c r="BT10" i="51"/>
  <c r="CA10" i="51" s="1"/>
  <c r="CH10" i="51"/>
  <c r="CK10" i="51"/>
  <c r="BW10" i="51"/>
  <c r="CD10" i="51" s="1"/>
  <c r="AI43" i="50"/>
  <c r="BU43" i="50" s="1"/>
  <c r="BZ92" i="51"/>
  <c r="AH140" i="50"/>
  <c r="AH160" i="50" s="1"/>
  <c r="BT160" i="50" s="1"/>
  <c r="BY82" i="51"/>
  <c r="AI149" i="50"/>
  <c r="BU149" i="50" s="1"/>
  <c r="BZ93" i="51"/>
  <c r="AJ27" i="50"/>
  <c r="BU27" i="50"/>
  <c r="AA149" i="50"/>
  <c r="AA169" i="50" s="1"/>
  <c r="BR93" i="51"/>
  <c r="AP30" i="51"/>
  <c r="CG30" i="51" s="1"/>
  <c r="CG34" i="51"/>
  <c r="AC26" i="50"/>
  <c r="BN26" i="50"/>
  <c r="AJ119" i="50"/>
  <c r="BU119" i="50"/>
  <c r="AJ31" i="50"/>
  <c r="BU31" i="50"/>
  <c r="AC18" i="50"/>
  <c r="BN18" i="50"/>
  <c r="G83" i="62"/>
  <c r="AX83" i="62" s="1"/>
  <c r="AA59" i="50"/>
  <c r="BR108" i="51"/>
  <c r="AC11" i="50"/>
  <c r="BN11" i="50"/>
  <c r="AA132" i="50"/>
  <c r="BM132" i="50" s="1"/>
  <c r="BR63" i="51"/>
  <c r="AA51" i="50"/>
  <c r="BR101" i="51"/>
  <c r="AA148" i="50"/>
  <c r="BR91" i="51"/>
  <c r="AC126" i="50"/>
  <c r="BN126" i="50"/>
  <c r="V72" i="62"/>
  <c r="BM72" i="62" s="1"/>
  <c r="AI146" i="50"/>
  <c r="BU146" i="50" s="1"/>
  <c r="BZ89" i="51"/>
  <c r="AH39" i="50"/>
  <c r="BT39" i="50" s="1"/>
  <c r="BY68" i="51"/>
  <c r="AB39" i="50"/>
  <c r="BN39" i="50" s="1"/>
  <c r="BS68" i="51"/>
  <c r="AI37" i="50"/>
  <c r="BU37" i="50" s="1"/>
  <c r="BZ65" i="51"/>
  <c r="AH132" i="50"/>
  <c r="AH152" i="50" s="1"/>
  <c r="BT152" i="50" s="1"/>
  <c r="BY63" i="51"/>
  <c r="AB149" i="50"/>
  <c r="BN149" i="50" s="1"/>
  <c r="BS93" i="51"/>
  <c r="AA140" i="50"/>
  <c r="BR82" i="51"/>
  <c r="AC115" i="50"/>
  <c r="BN115" i="50"/>
  <c r="AJ25" i="50"/>
  <c r="BU25" i="50"/>
  <c r="AJ115" i="50"/>
  <c r="BU115" i="50"/>
  <c r="AC30" i="50"/>
  <c r="BN30" i="50"/>
  <c r="AJ126" i="50"/>
  <c r="BU126" i="50"/>
  <c r="BR10" i="51"/>
  <c r="BY10" i="51" s="1"/>
  <c r="CF10" i="51"/>
  <c r="AH143" i="50"/>
  <c r="AH163" i="50" s="1"/>
  <c r="BT163" i="50" s="1"/>
  <c r="BY86" i="51"/>
  <c r="AA49" i="50"/>
  <c r="BR103" i="51"/>
  <c r="H95" i="62"/>
  <c r="AY95" i="62" s="1"/>
  <c r="AJ65" i="62"/>
  <c r="CA65" i="62" s="1"/>
  <c r="AI36" i="50"/>
  <c r="BU36" i="50" s="1"/>
  <c r="BZ62" i="51"/>
  <c r="AA56" i="50"/>
  <c r="AA81" i="50" s="1"/>
  <c r="BM81" i="50" s="1"/>
  <c r="BR106" i="51"/>
  <c r="AI56" i="50"/>
  <c r="BU56" i="50" s="1"/>
  <c r="BZ106" i="51"/>
  <c r="AA135" i="50"/>
  <c r="BM135" i="50" s="1"/>
  <c r="BR73" i="51"/>
  <c r="AH148" i="50"/>
  <c r="AH168" i="50" s="1"/>
  <c r="BT168" i="50" s="1"/>
  <c r="BY91" i="51"/>
  <c r="AJ34" i="50"/>
  <c r="BU34" i="50"/>
  <c r="AJ23" i="50"/>
  <c r="BU23" i="50"/>
  <c r="AC14" i="50"/>
  <c r="BN14" i="50"/>
  <c r="AC28" i="50"/>
  <c r="BN28" i="50"/>
  <c r="AJ14" i="50"/>
  <c r="BU14" i="50"/>
  <c r="AI53" i="50"/>
  <c r="BU53" i="50" s="1"/>
  <c r="BZ104" i="51"/>
  <c r="AJ30" i="50"/>
  <c r="BU30" i="50"/>
  <c r="AH146" i="50"/>
  <c r="AH166" i="50" s="1"/>
  <c r="BY89" i="51"/>
  <c r="AC112" i="50"/>
  <c r="BN112" i="50"/>
  <c r="AA52" i="50"/>
  <c r="BR102" i="51"/>
  <c r="AA48" i="50"/>
  <c r="AA73" i="50" s="1"/>
  <c r="BR98" i="51"/>
  <c r="AI140" i="50"/>
  <c r="BU140" i="50" s="1"/>
  <c r="BZ82" i="51"/>
  <c r="AA143" i="50"/>
  <c r="AA163" i="50" s="1"/>
  <c r="BM163" i="50" s="1"/>
  <c r="BR86" i="51"/>
  <c r="AI132" i="50"/>
  <c r="BU132" i="50" s="1"/>
  <c r="BZ63" i="51"/>
  <c r="AA146" i="50"/>
  <c r="BM146" i="50" s="1"/>
  <c r="BR89" i="51"/>
  <c r="AC129" i="50"/>
  <c r="BN129" i="50"/>
  <c r="AB83" i="50"/>
  <c r="BN83" i="50" s="1"/>
  <c r="AC31" i="50"/>
  <c r="BN31" i="50"/>
  <c r="AJ129" i="50"/>
  <c r="BU129" i="50"/>
  <c r="AC12" i="50"/>
  <c r="BN12" i="50"/>
  <c r="AJ24" i="50"/>
  <c r="BU24" i="50"/>
  <c r="AJ12" i="50"/>
  <c r="BU12" i="50"/>
  <c r="AA53" i="50"/>
  <c r="BR104" i="51"/>
  <c r="AJ18" i="50"/>
  <c r="BU18" i="50"/>
  <c r="O96" i="62"/>
  <c r="BF96" i="62" s="1"/>
  <c r="AA43" i="50"/>
  <c r="AA68" i="50" s="1"/>
  <c r="BR92" i="51"/>
  <c r="AH139" i="50"/>
  <c r="AH159" i="50" s="1"/>
  <c r="BT159" i="50" s="1"/>
  <c r="BY81" i="51"/>
  <c r="AH135" i="50"/>
  <c r="AH155" i="50" s="1"/>
  <c r="BY73" i="51"/>
  <c r="AC123" i="50"/>
  <c r="BN123" i="50"/>
  <c r="Q11" i="62"/>
  <c r="BH11" i="62" s="1"/>
  <c r="AJ28" i="50"/>
  <c r="BU28" i="50"/>
  <c r="AJ128" i="50"/>
  <c r="BU128" i="50"/>
  <c r="AJ26" i="50"/>
  <c r="BU26" i="50"/>
  <c r="L8" i="50"/>
  <c r="S8" i="50" s="1"/>
  <c r="Z8" i="50" s="1"/>
  <c r="AG8" i="50" s="1"/>
  <c r="AQ8" i="50"/>
  <c r="AX8" i="50" s="1"/>
  <c r="BE8" i="50" s="1"/>
  <c r="BL8" i="50" s="1"/>
  <c r="BS8" i="50" s="1"/>
  <c r="BS10" i="51"/>
  <c r="BZ10" i="51" s="1"/>
  <c r="CG10" i="51"/>
  <c r="CJ10" i="51"/>
  <c r="BV10" i="51"/>
  <c r="CC10" i="51" s="1"/>
  <c r="AB56" i="50"/>
  <c r="BN56" i="50" s="1"/>
  <c r="BS106" i="51"/>
  <c r="AA55" i="50"/>
  <c r="BR105" i="51"/>
  <c r="R11" i="62"/>
  <c r="BI11" i="62" s="1"/>
  <c r="AI11" i="50"/>
  <c r="BT11" i="50"/>
  <c r="AC24" i="50"/>
  <c r="BN24" i="50"/>
  <c r="AJ123" i="50"/>
  <c r="BU123" i="50"/>
  <c r="AC25" i="50"/>
  <c r="BN25" i="50"/>
  <c r="AI192" i="50"/>
  <c r="C94" i="67" s="1"/>
  <c r="C127" i="67" s="1"/>
  <c r="AB71" i="62"/>
  <c r="BS71" i="62" s="1"/>
  <c r="AJ62" i="62"/>
  <c r="CA62" i="62" s="1"/>
  <c r="AI49" i="50"/>
  <c r="BU49" i="50" s="1"/>
  <c r="AI51" i="50"/>
  <c r="BU51" i="50" s="1"/>
  <c r="AB37" i="50"/>
  <c r="BN37" i="50" s="1"/>
  <c r="AF11" i="62"/>
  <c r="BW11" i="62" s="1"/>
  <c r="U74" i="62"/>
  <c r="BL74" i="62" s="1"/>
  <c r="AC72" i="62"/>
  <c r="BT72" i="62" s="1"/>
  <c r="AC81" i="62"/>
  <c r="AB234" i="50"/>
  <c r="BN234" i="50" s="1"/>
  <c r="AB49" i="50"/>
  <c r="BN49" i="50" s="1"/>
  <c r="AB146" i="50"/>
  <c r="BN146" i="50" s="1"/>
  <c r="AB79" i="50"/>
  <c r="BN79" i="50" s="1"/>
  <c r="AC174" i="62"/>
  <c r="BT174" i="62" s="1"/>
  <c r="AQ9" i="62"/>
  <c r="AI71" i="62"/>
  <c r="BZ71" i="62" s="1"/>
  <c r="W82" i="62"/>
  <c r="BM82" i="62"/>
  <c r="AA80" i="50"/>
  <c r="BM80" i="50" s="1"/>
  <c r="BM55" i="50"/>
  <c r="F255" i="50"/>
  <c r="AR233" i="50"/>
  <c r="AH252" i="50"/>
  <c r="BT230" i="50"/>
  <c r="T246" i="50"/>
  <c r="BF224" i="50"/>
  <c r="O208" i="50"/>
  <c r="AZ208" i="50"/>
  <c r="O198" i="50"/>
  <c r="AZ198" i="50"/>
  <c r="O91" i="62"/>
  <c r="BE91" i="62"/>
  <c r="AC73" i="62"/>
  <c r="BS73" i="62"/>
  <c r="O105" i="62"/>
  <c r="BE105" i="62"/>
  <c r="O108" i="62"/>
  <c r="BE108" i="62"/>
  <c r="AC204" i="50"/>
  <c r="BN204" i="50"/>
  <c r="F253" i="50"/>
  <c r="AR231" i="50"/>
  <c r="T257" i="50"/>
  <c r="BF235" i="50"/>
  <c r="AC89" i="62"/>
  <c r="BS89" i="62"/>
  <c r="H98" i="62"/>
  <c r="AX98" i="62"/>
  <c r="AC211" i="50"/>
  <c r="BN211" i="50"/>
  <c r="O211" i="50"/>
  <c r="AZ211" i="50"/>
  <c r="V90" i="62"/>
  <c r="BL90" i="62"/>
  <c r="AJ72" i="62"/>
  <c r="AH254" i="50"/>
  <c r="BT254" i="50" s="1"/>
  <c r="BT232" i="50"/>
  <c r="F244" i="50"/>
  <c r="AR222" i="50"/>
  <c r="F254" i="50"/>
  <c r="AR232" i="50"/>
  <c r="M249" i="50"/>
  <c r="AY227" i="50"/>
  <c r="AJ198" i="50"/>
  <c r="BU198" i="50"/>
  <c r="L79" i="62"/>
  <c r="BC80" i="62"/>
  <c r="H107" i="62"/>
  <c r="AX107" i="62"/>
  <c r="AA256" i="50"/>
  <c r="BM234" i="50"/>
  <c r="AH257" i="50"/>
  <c r="BT235" i="50"/>
  <c r="AC98" i="62"/>
  <c r="AC48" i="50" s="1"/>
  <c r="BO48" i="50" s="1"/>
  <c r="BS98" i="62"/>
  <c r="H90" i="62"/>
  <c r="AX90" i="62"/>
  <c r="O68" i="62"/>
  <c r="BE68" i="62"/>
  <c r="V105" i="62"/>
  <c r="BL105" i="62"/>
  <c r="AJ193" i="50"/>
  <c r="BU193" i="50"/>
  <c r="V87" i="62"/>
  <c r="BL87" i="62"/>
  <c r="H84" i="62"/>
  <c r="AX84" i="62"/>
  <c r="AJ194" i="50"/>
  <c r="BU194" i="50"/>
  <c r="AC100" i="62"/>
  <c r="BS100" i="62"/>
  <c r="H68" i="62"/>
  <c r="AX68" i="62"/>
  <c r="AC197" i="50"/>
  <c r="BN197" i="50"/>
  <c r="AC104" i="62"/>
  <c r="BS104" i="62"/>
  <c r="M253" i="50"/>
  <c r="AY253" i="50" s="1"/>
  <c r="AY231" i="50"/>
  <c r="G212" i="50"/>
  <c r="AR212" i="50"/>
  <c r="AH242" i="50"/>
  <c r="BT220" i="50"/>
  <c r="T244" i="50"/>
  <c r="BF222" i="50"/>
  <c r="AH247" i="50"/>
  <c r="BT247" i="50" s="1"/>
  <c r="BT225" i="50"/>
  <c r="M252" i="50"/>
  <c r="AY230" i="50"/>
  <c r="F241" i="50"/>
  <c r="F263" i="50" s="1"/>
  <c r="AR263" i="50" s="1"/>
  <c r="AR219" i="50"/>
  <c r="M242" i="50"/>
  <c r="AY220" i="50"/>
  <c r="T241" i="50"/>
  <c r="BF219" i="50"/>
  <c r="AA240" i="50"/>
  <c r="BM218" i="50"/>
  <c r="AA252" i="50"/>
  <c r="BM230" i="50"/>
  <c r="H75" i="62"/>
  <c r="AX75" i="62"/>
  <c r="N216" i="50"/>
  <c r="BE156" i="62"/>
  <c r="T11" i="62"/>
  <c r="BK11" i="62" s="1"/>
  <c r="BK18" i="62"/>
  <c r="H11" i="62"/>
  <c r="AY11" i="62" s="1"/>
  <c r="AY30" i="62"/>
  <c r="O212" i="50"/>
  <c r="AZ212" i="50"/>
  <c r="V204" i="50"/>
  <c r="BG204" i="50"/>
  <c r="AJ196" i="50"/>
  <c r="BU196" i="50"/>
  <c r="H198" i="50"/>
  <c r="AS198" i="50"/>
  <c r="H106" i="62"/>
  <c r="AX106" i="62"/>
  <c r="AC95" i="62"/>
  <c r="BS95" i="62"/>
  <c r="AC88" i="62"/>
  <c r="BS88" i="62"/>
  <c r="O78" i="62"/>
  <c r="BE78" i="62"/>
  <c r="V68" i="62"/>
  <c r="BL68" i="62"/>
  <c r="V209" i="50"/>
  <c r="BG209" i="50"/>
  <c r="AH255" i="50"/>
  <c r="BT233" i="50"/>
  <c r="AJ103" i="62"/>
  <c r="AJ49" i="50" s="1"/>
  <c r="BV49" i="50" s="1"/>
  <c r="BZ103" i="62"/>
  <c r="AJ84" i="62"/>
  <c r="BZ84" i="62"/>
  <c r="V194" i="50"/>
  <c r="BG194" i="50"/>
  <c r="H91" i="62"/>
  <c r="AX91" i="62"/>
  <c r="AJ195" i="50"/>
  <c r="BU195" i="50"/>
  <c r="AJ101" i="62"/>
  <c r="AJ51" i="50" s="1"/>
  <c r="BV51" i="50" s="1"/>
  <c r="BZ101" i="62"/>
  <c r="AC195" i="50"/>
  <c r="BN195" i="50"/>
  <c r="AJ93" i="62"/>
  <c r="AJ149" i="50" s="1"/>
  <c r="BV149" i="50" s="1"/>
  <c r="BZ93" i="62"/>
  <c r="O66" i="62"/>
  <c r="BE66" i="62"/>
  <c r="V195" i="50"/>
  <c r="BG195" i="50"/>
  <c r="H173" i="62"/>
  <c r="AX173" i="62"/>
  <c r="AC213" i="50"/>
  <c r="BN213" i="50"/>
  <c r="H206" i="50"/>
  <c r="AS206" i="50"/>
  <c r="AC198" i="50"/>
  <c r="BN198" i="50"/>
  <c r="M256" i="50"/>
  <c r="AY234" i="50"/>
  <c r="AH249" i="50"/>
  <c r="BT227" i="50"/>
  <c r="AH241" i="50"/>
  <c r="BT219" i="50"/>
  <c r="O104" i="62"/>
  <c r="BE104" i="62"/>
  <c r="H97" i="62"/>
  <c r="AX97" i="62"/>
  <c r="V88" i="62"/>
  <c r="BL88" i="62"/>
  <c r="O76" i="62"/>
  <c r="BE76" i="62"/>
  <c r="AC65" i="62"/>
  <c r="AC37" i="50" s="1"/>
  <c r="BO37" i="50" s="1"/>
  <c r="BS65" i="62"/>
  <c r="V207" i="50"/>
  <c r="BG207" i="50"/>
  <c r="AA244" i="50"/>
  <c r="BM222" i="50"/>
  <c r="O98" i="62"/>
  <c r="BE98" i="62"/>
  <c r="H72" i="62"/>
  <c r="AX72" i="62"/>
  <c r="H209" i="50"/>
  <c r="AS209" i="50"/>
  <c r="AJ106" i="62"/>
  <c r="AJ56" i="50" s="1"/>
  <c r="BV56" i="50" s="1"/>
  <c r="BZ106" i="62"/>
  <c r="AJ87" i="62"/>
  <c r="BZ87" i="62"/>
  <c r="AC106" i="62"/>
  <c r="AC56" i="50" s="1"/>
  <c r="BO56" i="50" s="1"/>
  <c r="BS106" i="62"/>
  <c r="AJ104" i="62"/>
  <c r="AJ53" i="50" s="1"/>
  <c r="BV53" i="50" s="1"/>
  <c r="BZ104" i="62"/>
  <c r="H82" i="62"/>
  <c r="AX82" i="62"/>
  <c r="AC193" i="50"/>
  <c r="BN193" i="50"/>
  <c r="AJ63" i="62"/>
  <c r="BZ63" i="62"/>
  <c r="AC207" i="50"/>
  <c r="BN207" i="50"/>
  <c r="O200" i="50"/>
  <c r="AZ200" i="50"/>
  <c r="AC105" i="62"/>
  <c r="BS105" i="62"/>
  <c r="V98" i="62"/>
  <c r="BL98" i="62"/>
  <c r="V91" i="62"/>
  <c r="BL91" i="62"/>
  <c r="H85" i="62"/>
  <c r="AX85" i="62"/>
  <c r="H76" i="62"/>
  <c r="AX76" i="62"/>
  <c r="AC205" i="50"/>
  <c r="BN205" i="50"/>
  <c r="H161" i="62"/>
  <c r="AX161" i="62"/>
  <c r="AJ66" i="62"/>
  <c r="BZ66" i="62"/>
  <c r="V205" i="50"/>
  <c r="BG205" i="50"/>
  <c r="V89" i="62"/>
  <c r="BL89" i="62"/>
  <c r="AJ212" i="50"/>
  <c r="BU212" i="50"/>
  <c r="O194" i="50"/>
  <c r="AZ194" i="50"/>
  <c r="H159" i="62"/>
  <c r="AX159" i="62"/>
  <c r="H86" i="62"/>
  <c r="AX86" i="62"/>
  <c r="AC62" i="62"/>
  <c r="AC36" i="50" s="1"/>
  <c r="BO36" i="50" s="1"/>
  <c r="BS62" i="62"/>
  <c r="O201" i="50"/>
  <c r="AZ201" i="50"/>
  <c r="H108" i="62"/>
  <c r="AX108" i="62"/>
  <c r="AJ70" i="62"/>
  <c r="BZ70" i="62"/>
  <c r="O197" i="50"/>
  <c r="AZ197" i="50"/>
  <c r="V97" i="62"/>
  <c r="BL97" i="62"/>
  <c r="AC85" i="62"/>
  <c r="BS85" i="62"/>
  <c r="AC68" i="62"/>
  <c r="AC39" i="50" s="1"/>
  <c r="BO39" i="50" s="1"/>
  <c r="BS68" i="62"/>
  <c r="U216" i="50"/>
  <c r="BG216" i="50" s="1"/>
  <c r="BL156" i="62"/>
  <c r="AA84" i="50"/>
  <c r="BM84" i="50" s="1"/>
  <c r="BM59" i="50"/>
  <c r="AA78" i="50"/>
  <c r="BM78" i="50" s="1"/>
  <c r="BM53" i="50"/>
  <c r="AA74" i="50"/>
  <c r="BM74" i="50" s="1"/>
  <c r="BM49" i="50"/>
  <c r="G199" i="50"/>
  <c r="AR199" i="50"/>
  <c r="F250" i="50"/>
  <c r="AR228" i="50"/>
  <c r="G201" i="50"/>
  <c r="AR201" i="50"/>
  <c r="AC164" i="62"/>
  <c r="BS164" i="62"/>
  <c r="O62" i="62"/>
  <c r="BF62" i="62" s="1"/>
  <c r="BE62" i="62"/>
  <c r="AB11" i="62"/>
  <c r="BS11" i="62" s="1"/>
  <c r="BS18" i="62"/>
  <c r="AM11" i="62"/>
  <c r="CD11" i="62" s="1"/>
  <c r="CD18" i="62"/>
  <c r="AJ86" i="62"/>
  <c r="BZ86" i="62"/>
  <c r="T79" i="62"/>
  <c r="BK79" i="62" s="1"/>
  <c r="BK83" i="62"/>
  <c r="BM43" i="50"/>
  <c r="AC82" i="50"/>
  <c r="BN82" i="50"/>
  <c r="G208" i="50"/>
  <c r="AR208" i="50"/>
  <c r="AA245" i="50"/>
  <c r="BM223" i="50"/>
  <c r="T247" i="50"/>
  <c r="BF225" i="50"/>
  <c r="AH248" i="50"/>
  <c r="BT226" i="50"/>
  <c r="AH243" i="50"/>
  <c r="BT221" i="50"/>
  <c r="U61" i="62"/>
  <c r="BL61" i="62" s="1"/>
  <c r="BL62" i="62"/>
  <c r="AB222" i="50"/>
  <c r="BS162" i="62"/>
  <c r="AC82" i="62"/>
  <c r="AC140" i="50" s="1"/>
  <c r="BO140" i="50" s="1"/>
  <c r="BS82" i="62"/>
  <c r="V193" i="50"/>
  <c r="BG193" i="50"/>
  <c r="AC203" i="50"/>
  <c r="BN203" i="50"/>
  <c r="AJ204" i="50"/>
  <c r="BU204" i="50"/>
  <c r="AA248" i="50"/>
  <c r="BM226" i="50"/>
  <c r="AJ107" i="62"/>
  <c r="BZ107" i="62"/>
  <c r="V202" i="50"/>
  <c r="BG202" i="50"/>
  <c r="H197" i="50"/>
  <c r="AS197" i="50"/>
  <c r="V107" i="62"/>
  <c r="BL107" i="62"/>
  <c r="AC91" i="62"/>
  <c r="AC148" i="50" s="1"/>
  <c r="BO148" i="50" s="1"/>
  <c r="BS91" i="62"/>
  <c r="V81" i="62"/>
  <c r="V80" i="62" s="1"/>
  <c r="BM80" i="62" s="1"/>
  <c r="BL81" i="62"/>
  <c r="O70" i="62"/>
  <c r="BE70" i="62"/>
  <c r="S79" i="62"/>
  <c r="BJ80" i="62"/>
  <c r="M244" i="50"/>
  <c r="AY222" i="50"/>
  <c r="O210" i="50"/>
  <c r="AZ210" i="50"/>
  <c r="H204" i="50"/>
  <c r="AS204" i="50"/>
  <c r="H174" i="62"/>
  <c r="AX174" i="62"/>
  <c r="AJ108" i="62"/>
  <c r="AJ59" i="50" s="1"/>
  <c r="BV59" i="50" s="1"/>
  <c r="BZ108" i="62"/>
  <c r="V102" i="62"/>
  <c r="BL102" i="62"/>
  <c r="O95" i="62"/>
  <c r="BE95" i="62"/>
  <c r="O88" i="62"/>
  <c r="BE88" i="62"/>
  <c r="AJ69" i="62"/>
  <c r="BZ69" i="62"/>
  <c r="Z79" i="62"/>
  <c r="BQ80" i="62"/>
  <c r="AC108" i="62"/>
  <c r="BS108" i="62"/>
  <c r="V203" i="50"/>
  <c r="BG203" i="50"/>
  <c r="V103" i="62"/>
  <c r="BL103" i="62"/>
  <c r="O73" i="62"/>
  <c r="BE73" i="62"/>
  <c r="V206" i="50"/>
  <c r="BG206" i="50"/>
  <c r="AC76" i="62"/>
  <c r="BS76" i="62"/>
  <c r="AI148" i="50"/>
  <c r="BG231" i="50"/>
  <c r="T242" i="50"/>
  <c r="BF220" i="50"/>
  <c r="AC166" i="62"/>
  <c r="BT166" i="62" s="1"/>
  <c r="BS166" i="62"/>
  <c r="T249" i="50"/>
  <c r="BF227" i="50"/>
  <c r="M251" i="50"/>
  <c r="AY229" i="50"/>
  <c r="AA241" i="50"/>
  <c r="BM241" i="50" s="1"/>
  <c r="BM219" i="50"/>
  <c r="T248" i="50"/>
  <c r="BF226" i="50"/>
  <c r="T243" i="50"/>
  <c r="BF243" i="50" s="1"/>
  <c r="BF221" i="50"/>
  <c r="M254" i="50"/>
  <c r="AY254" i="50" s="1"/>
  <c r="AY232" i="50"/>
  <c r="AI219" i="50"/>
  <c r="BZ159" i="62"/>
  <c r="N64" i="62"/>
  <c r="BE64" i="62" s="1"/>
  <c r="BE65" i="62"/>
  <c r="BY79" i="62"/>
  <c r="BX30" i="62"/>
  <c r="O206" i="50"/>
  <c r="AZ206" i="50"/>
  <c r="AC107" i="62"/>
  <c r="BS107" i="62"/>
  <c r="O90" i="62"/>
  <c r="BE90" i="62"/>
  <c r="V70" i="62"/>
  <c r="BL70" i="62"/>
  <c r="AJ199" i="50"/>
  <c r="BU199" i="50"/>
  <c r="V96" i="62"/>
  <c r="BL96" i="62"/>
  <c r="V69" i="62"/>
  <c r="BL69" i="62"/>
  <c r="V199" i="50"/>
  <c r="BG199" i="50"/>
  <c r="O103" i="62"/>
  <c r="BE103" i="62"/>
  <c r="AJ68" i="62"/>
  <c r="AJ39" i="50" s="1"/>
  <c r="BV39" i="50" s="1"/>
  <c r="BZ68" i="62"/>
  <c r="O199" i="50"/>
  <c r="AZ199" i="50"/>
  <c r="AJ207" i="50"/>
  <c r="BU207" i="50"/>
  <c r="T251" i="50"/>
  <c r="BF229" i="50"/>
  <c r="AJ105" i="62"/>
  <c r="AJ55" i="50" s="1"/>
  <c r="BV55" i="50" s="1"/>
  <c r="BZ105" i="62"/>
  <c r="AJ77" i="62"/>
  <c r="BZ77" i="62"/>
  <c r="AC199" i="50"/>
  <c r="BN199" i="50"/>
  <c r="O82" i="62"/>
  <c r="BE82" i="62"/>
  <c r="AJ202" i="50"/>
  <c r="BU202" i="50"/>
  <c r="T238" i="50"/>
  <c r="BF216" i="50"/>
  <c r="O107" i="62"/>
  <c r="BE107" i="62"/>
  <c r="H93" i="62"/>
  <c r="AX93" i="62"/>
  <c r="AC86" i="62"/>
  <c r="AC143" i="50" s="1"/>
  <c r="BO143" i="50" s="1"/>
  <c r="BS86" i="62"/>
  <c r="AC77" i="62"/>
  <c r="BS77" i="62"/>
  <c r="O102" i="62"/>
  <c r="BE102" i="62"/>
  <c r="O207" i="50"/>
  <c r="AZ207" i="50"/>
  <c r="H156" i="62"/>
  <c r="AX156" i="62"/>
  <c r="O100" i="62"/>
  <c r="BE100" i="62"/>
  <c r="V73" i="62"/>
  <c r="BL73" i="62"/>
  <c r="AC206" i="50"/>
  <c r="BN206" i="50"/>
  <c r="AC78" i="62"/>
  <c r="BS78" i="62"/>
  <c r="AJ200" i="50"/>
  <c r="BU200" i="50"/>
  <c r="O87" i="62"/>
  <c r="BE87" i="62"/>
  <c r="O81" i="62"/>
  <c r="BF81" i="62" s="1"/>
  <c r="AD11" i="62"/>
  <c r="BU11" i="62" s="1"/>
  <c r="AB53" i="50"/>
  <c r="BN53" i="50" s="1"/>
  <c r="AI59" i="50"/>
  <c r="BU59" i="50" s="1"/>
  <c r="AI50" i="50"/>
  <c r="BU50" i="50" s="1"/>
  <c r="AI55" i="50"/>
  <c r="BU55" i="50" s="1"/>
  <c r="BM149" i="50"/>
  <c r="G234" i="50"/>
  <c r="AS234" i="50" s="1"/>
  <c r="AA257" i="50"/>
  <c r="BM235" i="50"/>
  <c r="AA249" i="50"/>
  <c r="BM227" i="50"/>
  <c r="O158" i="62"/>
  <c r="BF158" i="62" s="1"/>
  <c r="BE158" i="62"/>
  <c r="E60" i="62"/>
  <c r="AV60" i="62" s="1"/>
  <c r="AV79" i="62"/>
  <c r="N80" i="62"/>
  <c r="BE80" i="62" s="1"/>
  <c r="AI11" i="62"/>
  <c r="BZ11" i="62" s="1"/>
  <c r="U71" i="62"/>
  <c r="AA160" i="50"/>
  <c r="BM140" i="50"/>
  <c r="T237" i="50"/>
  <c r="F247" i="50"/>
  <c r="AR247" i="50" s="1"/>
  <c r="AR225" i="50"/>
  <c r="F245" i="50"/>
  <c r="AR245" i="50" s="1"/>
  <c r="AR223" i="50"/>
  <c r="M255" i="50"/>
  <c r="AY233" i="50"/>
  <c r="F248" i="50"/>
  <c r="AR226" i="50"/>
  <c r="G194" i="50"/>
  <c r="AR194" i="50"/>
  <c r="AH250" i="50"/>
  <c r="BT228" i="50"/>
  <c r="AH238" i="50"/>
  <c r="BT216" i="50"/>
  <c r="AA253" i="50"/>
  <c r="BM231" i="50"/>
  <c r="M239" i="50"/>
  <c r="AY239" i="50" s="1"/>
  <c r="AY217" i="50"/>
  <c r="AH237" i="50"/>
  <c r="BT215" i="50"/>
  <c r="AB74" i="62"/>
  <c r="BS74" i="62" s="1"/>
  <c r="AA11" i="62"/>
  <c r="BR11" i="62" s="1"/>
  <c r="G61" i="62"/>
  <c r="AX61" i="62" s="1"/>
  <c r="AB43" i="50"/>
  <c r="BN43" i="50" s="1"/>
  <c r="AI48" i="50"/>
  <c r="BU48" i="50" s="1"/>
  <c r="AA155" i="50"/>
  <c r="BM155" i="50" s="1"/>
  <c r="F252" i="50"/>
  <c r="AR230" i="50"/>
  <c r="G202" i="50"/>
  <c r="AR202" i="50"/>
  <c r="G223" i="50"/>
  <c r="AS223" i="50" s="1"/>
  <c r="G207" i="50"/>
  <c r="AR207" i="50"/>
  <c r="F242" i="50"/>
  <c r="AR242" i="50" s="1"/>
  <c r="AR220" i="50"/>
  <c r="T256" i="50"/>
  <c r="BF234" i="50"/>
  <c r="M257" i="50"/>
  <c r="AY257" i="50" s="1"/>
  <c r="AY235" i="50"/>
  <c r="H103" i="62"/>
  <c r="AX103" i="62"/>
  <c r="AA251" i="50"/>
  <c r="BM229" i="50"/>
  <c r="AB216" i="50"/>
  <c r="BN216" i="50" s="1"/>
  <c r="BS156" i="62"/>
  <c r="M245" i="50"/>
  <c r="AY223" i="50"/>
  <c r="AH240" i="50"/>
  <c r="BT218" i="50"/>
  <c r="V175" i="62"/>
  <c r="BM175" i="62" s="1"/>
  <c r="BL175" i="62"/>
  <c r="AI217" i="50"/>
  <c r="BZ157" i="62"/>
  <c r="U223" i="50"/>
  <c r="BL163" i="62"/>
  <c r="V171" i="62"/>
  <c r="BM171" i="62" s="1"/>
  <c r="BL171" i="62"/>
  <c r="AE11" i="62"/>
  <c r="BV11" i="62" s="1"/>
  <c r="BV18" i="62"/>
  <c r="S79" i="51"/>
  <c r="BJ79" i="51" s="1"/>
  <c r="BJ83" i="51"/>
  <c r="F238" i="50"/>
  <c r="AR238" i="50" s="1"/>
  <c r="AR216" i="50"/>
  <c r="AH256" i="50"/>
  <c r="BT234" i="50"/>
  <c r="G203" i="50"/>
  <c r="AR203" i="50"/>
  <c r="AA242" i="50"/>
  <c r="BM220" i="50"/>
  <c r="AJ169" i="62"/>
  <c r="CA169" i="62" s="1"/>
  <c r="BZ169" i="62"/>
  <c r="AJ102" i="62"/>
  <c r="BZ102" i="62"/>
  <c r="F251" i="50"/>
  <c r="F273" i="50" s="1"/>
  <c r="AR273" i="50" s="1"/>
  <c r="AR229" i="50"/>
  <c r="T250" i="50"/>
  <c r="BF228" i="50"/>
  <c r="T240" i="50"/>
  <c r="BF240" i="50" s="1"/>
  <c r="BF218" i="50"/>
  <c r="M243" i="50"/>
  <c r="AY221" i="50"/>
  <c r="U80" i="62"/>
  <c r="BL80" i="62" s="1"/>
  <c r="BL82" i="62"/>
  <c r="AJ167" i="62"/>
  <c r="CA167" i="62" s="1"/>
  <c r="BZ167" i="62"/>
  <c r="AB232" i="50"/>
  <c r="BS172" i="62"/>
  <c r="W11" i="62"/>
  <c r="BN11" i="62" s="1"/>
  <c r="BN18" i="62"/>
  <c r="AC200" i="50"/>
  <c r="BN200" i="50"/>
  <c r="H160" i="62"/>
  <c r="AX160" i="62"/>
  <c r="AJ98" i="62"/>
  <c r="AJ48" i="50" s="1"/>
  <c r="BV48" i="50" s="1"/>
  <c r="BZ98" i="62"/>
  <c r="AJ91" i="62"/>
  <c r="BZ91" i="62"/>
  <c r="V85" i="62"/>
  <c r="BL85" i="62"/>
  <c r="O205" i="50"/>
  <c r="AZ205" i="50"/>
  <c r="V92" i="62"/>
  <c r="BL92" i="62"/>
  <c r="V210" i="50"/>
  <c r="BG210" i="50"/>
  <c r="V106" i="62"/>
  <c r="BL106" i="62"/>
  <c r="AJ76" i="62"/>
  <c r="BZ76" i="62"/>
  <c r="O209" i="50"/>
  <c r="AZ209" i="50"/>
  <c r="AJ209" i="50"/>
  <c r="BU209" i="50"/>
  <c r="H195" i="50"/>
  <c r="AS195" i="50"/>
  <c r="AA246" i="50"/>
  <c r="BM224" i="50"/>
  <c r="M238" i="50"/>
  <c r="AY216" i="50"/>
  <c r="AG79" i="62"/>
  <c r="BX80" i="62"/>
  <c r="AJ210" i="50"/>
  <c r="BU210" i="50"/>
  <c r="AC87" i="62"/>
  <c r="BS87" i="62"/>
  <c r="O203" i="50"/>
  <c r="AZ203" i="50"/>
  <c r="O92" i="62"/>
  <c r="BE92" i="62"/>
  <c r="H92" i="62"/>
  <c r="AX92" i="62"/>
  <c r="V196" i="50"/>
  <c r="BG196" i="50"/>
  <c r="O196" i="50"/>
  <c r="AZ196" i="50"/>
  <c r="H196" i="50"/>
  <c r="AS196" i="50"/>
  <c r="AC103" i="62"/>
  <c r="BS103" i="62"/>
  <c r="O77" i="62"/>
  <c r="BE77" i="62"/>
  <c r="H167" i="62"/>
  <c r="AX167" i="62"/>
  <c r="AC210" i="50"/>
  <c r="BN210" i="50"/>
  <c r="H170" i="62"/>
  <c r="AX170" i="62"/>
  <c r="AJ85" i="62"/>
  <c r="BZ85" i="62"/>
  <c r="H165" i="62"/>
  <c r="AX165" i="62"/>
  <c r="AB59" i="50"/>
  <c r="AB135" i="50"/>
  <c r="BN135" i="50" s="1"/>
  <c r="F256" i="50"/>
  <c r="AR256" i="50" s="1"/>
  <c r="AR234" i="50"/>
  <c r="N215" i="50"/>
  <c r="AZ215" i="50" s="1"/>
  <c r="BE155" i="62"/>
  <c r="T254" i="50"/>
  <c r="BF254" i="50" s="1"/>
  <c r="BF232" i="50"/>
  <c r="G231" i="50"/>
  <c r="AX171" i="62"/>
  <c r="AJ97" i="62"/>
  <c r="BZ97" i="62"/>
  <c r="G11" i="62"/>
  <c r="AX11" i="62" s="1"/>
  <c r="AX18" i="62"/>
  <c r="M11" i="62"/>
  <c r="BD11" i="62" s="1"/>
  <c r="BD30" i="62"/>
  <c r="K11" i="62"/>
  <c r="BB11" i="62" s="1"/>
  <c r="BB18" i="62"/>
  <c r="AJ100" i="62"/>
  <c r="CA100" i="62" s="1"/>
  <c r="AH169" i="50"/>
  <c r="BT169" i="50" s="1"/>
  <c r="BT149" i="50"/>
  <c r="AA255" i="50"/>
  <c r="BM255" i="50" s="1"/>
  <c r="BM233" i="50"/>
  <c r="F240" i="50"/>
  <c r="AR218" i="50"/>
  <c r="F246" i="50"/>
  <c r="AR246" i="50" s="1"/>
  <c r="AR224" i="50"/>
  <c r="G211" i="50"/>
  <c r="AR211" i="50"/>
  <c r="AH244" i="50"/>
  <c r="BT222" i="50"/>
  <c r="H171" i="62"/>
  <c r="T255" i="50"/>
  <c r="BF233" i="50"/>
  <c r="AD81" i="62"/>
  <c r="AD139" i="50" s="1"/>
  <c r="BP139" i="50" s="1"/>
  <c r="BT81" i="62"/>
  <c r="AJ213" i="50"/>
  <c r="BU213" i="50"/>
  <c r="O97" i="62"/>
  <c r="BE97" i="62"/>
  <c r="AC194" i="50"/>
  <c r="BN194" i="50"/>
  <c r="H88" i="62"/>
  <c r="AX88" i="62"/>
  <c r="AC69" i="62"/>
  <c r="BS69" i="62"/>
  <c r="V201" i="50"/>
  <c r="BG201" i="50"/>
  <c r="H105" i="62"/>
  <c r="AX105" i="62"/>
  <c r="O89" i="62"/>
  <c r="BE89" i="62"/>
  <c r="T245" i="50"/>
  <c r="BF223" i="50"/>
  <c r="O106" i="62"/>
  <c r="BE106" i="62"/>
  <c r="I66" i="62"/>
  <c r="AY66" i="62"/>
  <c r="V200" i="50"/>
  <c r="BG200" i="50"/>
  <c r="O193" i="50"/>
  <c r="AZ193" i="50"/>
  <c r="V211" i="50"/>
  <c r="BG211" i="50"/>
  <c r="H169" i="62"/>
  <c r="AX169" i="62"/>
  <c r="V86" i="62"/>
  <c r="BL86" i="62"/>
  <c r="AC92" i="62"/>
  <c r="AC43" i="50" s="1"/>
  <c r="BO43" i="50" s="1"/>
  <c r="BS92" i="62"/>
  <c r="AC209" i="50"/>
  <c r="BN209" i="50"/>
  <c r="O202" i="50"/>
  <c r="AZ202" i="50"/>
  <c r="O213" i="50"/>
  <c r="AZ213" i="50"/>
  <c r="AH245" i="50"/>
  <c r="BT223" i="50"/>
  <c r="AJ90" i="62"/>
  <c r="BZ90" i="62"/>
  <c r="O69" i="62"/>
  <c r="BE69" i="62"/>
  <c r="AC70" i="62"/>
  <c r="BS70" i="62"/>
  <c r="AB48" i="50"/>
  <c r="BN48" i="50" s="1"/>
  <c r="AI39" i="50"/>
  <c r="BU39" i="50" s="1"/>
  <c r="AA76" i="50"/>
  <c r="BM76" i="50" s="1"/>
  <c r="BM51" i="50"/>
  <c r="AA168" i="50"/>
  <c r="BM148" i="50"/>
  <c r="F237" i="50"/>
  <c r="G220" i="50"/>
  <c r="AS220" i="50" s="1"/>
  <c r="F249" i="50"/>
  <c r="AR249" i="50" s="1"/>
  <c r="AR227" i="50"/>
  <c r="M247" i="50"/>
  <c r="AY225" i="50"/>
  <c r="O164" i="62"/>
  <c r="BF164" i="62" s="1"/>
  <c r="BE164" i="62"/>
  <c r="N94" i="62"/>
  <c r="BE94" i="62" s="1"/>
  <c r="AB83" i="62"/>
  <c r="BS83" i="62" s="1"/>
  <c r="U83" i="62"/>
  <c r="BL83" i="62" s="1"/>
  <c r="AC75" i="62"/>
  <c r="BT75" i="62" s="1"/>
  <c r="H62" i="62"/>
  <c r="AY62" i="62" s="1"/>
  <c r="AA77" i="50"/>
  <c r="BM77" i="50" s="1"/>
  <c r="BM52" i="50"/>
  <c r="BM48" i="50"/>
  <c r="AC135" i="50"/>
  <c r="BO135" i="50" s="1"/>
  <c r="AB148" i="50"/>
  <c r="BN148" i="50" s="1"/>
  <c r="AA166" i="50"/>
  <c r="G225" i="50"/>
  <c r="AS225" i="50" s="1"/>
  <c r="F243" i="50"/>
  <c r="AR243" i="50" s="1"/>
  <c r="AR221" i="50"/>
  <c r="G205" i="50"/>
  <c r="AR205" i="50"/>
  <c r="T252" i="50"/>
  <c r="BF230" i="50"/>
  <c r="AA247" i="50"/>
  <c r="BM225" i="50"/>
  <c r="M241" i="50"/>
  <c r="AY219" i="50"/>
  <c r="M250" i="50"/>
  <c r="AY228" i="50"/>
  <c r="AA243" i="50"/>
  <c r="BM221" i="50"/>
  <c r="AA250" i="50"/>
  <c r="BM228" i="50"/>
  <c r="AH246" i="50"/>
  <c r="BT224" i="50"/>
  <c r="AA237" i="50"/>
  <c r="BM237" i="50" s="1"/>
  <c r="BM215" i="50"/>
  <c r="I11" i="62"/>
  <c r="AZ11" i="62" s="1"/>
  <c r="AZ18" i="62"/>
  <c r="AK11" i="62"/>
  <c r="CB11" i="62" s="1"/>
  <c r="H96" i="62"/>
  <c r="AX96" i="62"/>
  <c r="AA238" i="50"/>
  <c r="BM238" i="50" s="1"/>
  <c r="BM216" i="50"/>
  <c r="T239" i="50"/>
  <c r="BF217" i="50"/>
  <c r="AJ175" i="62"/>
  <c r="CA175" i="62" s="1"/>
  <c r="BZ175" i="62"/>
  <c r="O174" i="62"/>
  <c r="BF174" i="62" s="1"/>
  <c r="BE174" i="62"/>
  <c r="F239" i="50"/>
  <c r="AR217" i="50"/>
  <c r="AB220" i="50"/>
  <c r="BN220" i="50" s="1"/>
  <c r="BS160" i="62"/>
  <c r="V169" i="62"/>
  <c r="V229" i="50" s="1"/>
  <c r="BH229" i="50" s="1"/>
  <c r="BL169" i="62"/>
  <c r="O11" i="62"/>
  <c r="BF11" i="62" s="1"/>
  <c r="BF18" i="62"/>
  <c r="H210" i="50"/>
  <c r="AS210" i="50"/>
  <c r="AC202" i="50"/>
  <c r="BN202" i="50"/>
  <c r="O195" i="50"/>
  <c r="AZ195" i="50"/>
  <c r="O171" i="62"/>
  <c r="BE171" i="62"/>
  <c r="V104" i="62"/>
  <c r="BL104" i="62"/>
  <c r="V93" i="62"/>
  <c r="BL93" i="62"/>
  <c r="H87" i="62"/>
  <c r="AX87" i="62"/>
  <c r="V76" i="62"/>
  <c r="BL76" i="62"/>
  <c r="AJ203" i="50"/>
  <c r="BU203" i="50"/>
  <c r="M246" i="50"/>
  <c r="AY224" i="50"/>
  <c r="V77" i="62"/>
  <c r="BL77" i="62"/>
  <c r="H213" i="50"/>
  <c r="AS213" i="50"/>
  <c r="AA239" i="50"/>
  <c r="BM217" i="50"/>
  <c r="O86" i="62"/>
  <c r="BE86" i="62"/>
  <c r="AJ208" i="50"/>
  <c r="BU208" i="50"/>
  <c r="H77" i="62"/>
  <c r="AX77" i="62"/>
  <c r="AC208" i="50"/>
  <c r="BN208" i="50"/>
  <c r="H89" i="62"/>
  <c r="AX89" i="62"/>
  <c r="V212" i="50"/>
  <c r="BG212" i="50"/>
  <c r="AH251" i="50"/>
  <c r="BT229" i="50"/>
  <c r="AJ88" i="62"/>
  <c r="BZ88" i="62"/>
  <c r="AJ211" i="50"/>
  <c r="BU211" i="50"/>
  <c r="O204" i="50"/>
  <c r="AZ204" i="50"/>
  <c r="AC196" i="50"/>
  <c r="BN196" i="50"/>
  <c r="AA254" i="50"/>
  <c r="BM232" i="50"/>
  <c r="M248" i="50"/>
  <c r="AY226" i="50"/>
  <c r="M240" i="50"/>
  <c r="AY218" i="50"/>
  <c r="AC102" i="62"/>
  <c r="AC52" i="50" s="1"/>
  <c r="BO52" i="50" s="1"/>
  <c r="BS102" i="62"/>
  <c r="O93" i="62"/>
  <c r="BE93" i="62"/>
  <c r="O85" i="62"/>
  <c r="BE85" i="62"/>
  <c r="V63" i="62"/>
  <c r="BL63" i="62"/>
  <c r="AJ201" i="50"/>
  <c r="BU201" i="50"/>
  <c r="AH239" i="50"/>
  <c r="BT217" i="50"/>
  <c r="AJ92" i="62"/>
  <c r="BZ92" i="62"/>
  <c r="H63" i="62"/>
  <c r="AX63" i="62"/>
  <c r="AJ197" i="50"/>
  <c r="BU197" i="50"/>
  <c r="H102" i="62"/>
  <c r="AX102" i="62"/>
  <c r="F257" i="50"/>
  <c r="AR235" i="50"/>
  <c r="V66" i="62"/>
  <c r="V64" i="62" s="1"/>
  <c r="BM64" i="62" s="1"/>
  <c r="BL66" i="62"/>
  <c r="AC212" i="50"/>
  <c r="BN212" i="50"/>
  <c r="AC97" i="62"/>
  <c r="BS97" i="62"/>
  <c r="H73" i="62"/>
  <c r="AX73" i="62"/>
  <c r="V101" i="62"/>
  <c r="BL101" i="62"/>
  <c r="V213" i="50"/>
  <c r="BG213" i="50"/>
  <c r="AJ205" i="50"/>
  <c r="BU205" i="50"/>
  <c r="V198" i="50"/>
  <c r="BG198" i="50"/>
  <c r="H193" i="50"/>
  <c r="AS193" i="50"/>
  <c r="H104" i="62"/>
  <c r="AX104" i="62"/>
  <c r="AJ96" i="62"/>
  <c r="BZ96" i="62"/>
  <c r="AJ89" i="62"/>
  <c r="BZ89" i="62"/>
  <c r="AJ82" i="62"/>
  <c r="BZ82" i="62"/>
  <c r="AJ73" i="62"/>
  <c r="AJ135" i="50" s="1"/>
  <c r="BV135" i="50" s="1"/>
  <c r="BZ73" i="62"/>
  <c r="O63" i="62"/>
  <c r="BE63" i="62"/>
  <c r="H200" i="50"/>
  <c r="AS200" i="50"/>
  <c r="AC201" i="50"/>
  <c r="BN201" i="50"/>
  <c r="V108" i="62"/>
  <c r="BL108" i="62"/>
  <c r="AC84" i="62"/>
  <c r="BS84" i="62"/>
  <c r="AJ206" i="50"/>
  <c r="BU206" i="50"/>
  <c r="AH253" i="50"/>
  <c r="BT231" i="50"/>
  <c r="AJ78" i="62"/>
  <c r="BZ78" i="62"/>
  <c r="V197" i="50"/>
  <c r="BG197" i="50"/>
  <c r="AC90" i="62"/>
  <c r="BS90" i="62"/>
  <c r="V208" i="50"/>
  <c r="BG208" i="50"/>
  <c r="T253" i="50"/>
  <c r="BF231" i="50"/>
  <c r="AC93" i="62"/>
  <c r="AC149" i="50" s="1"/>
  <c r="BO149" i="50" s="1"/>
  <c r="BS93" i="62"/>
  <c r="V78" i="62"/>
  <c r="BL78" i="62"/>
  <c r="AJ79" i="50"/>
  <c r="BU79" i="50"/>
  <c r="AJ83" i="50"/>
  <c r="BU83" i="50"/>
  <c r="AJ82" i="50"/>
  <c r="D71" i="49" s="1"/>
  <c r="J71" i="49" s="1"/>
  <c r="BU82" i="50"/>
  <c r="M64" i="51"/>
  <c r="BD64" i="51" s="1"/>
  <c r="AT30" i="51"/>
  <c r="CK30" i="51" s="1"/>
  <c r="AR30" i="51"/>
  <c r="CI30" i="51" s="1"/>
  <c r="Z11" i="62"/>
  <c r="BQ11" i="62" s="1"/>
  <c r="E79" i="51"/>
  <c r="AV79" i="51" s="1"/>
  <c r="Z79" i="51"/>
  <c r="BQ79" i="51" s="1"/>
  <c r="Z67" i="51"/>
  <c r="BQ67" i="51" s="1"/>
  <c r="P11" i="62"/>
  <c r="BG11" i="62" s="1"/>
  <c r="AL11" i="62"/>
  <c r="CC11" i="62" s="1"/>
  <c r="S11" i="62"/>
  <c r="BJ11" i="62" s="1"/>
  <c r="AN11" i="62"/>
  <c r="J11" i="62"/>
  <c r="BA11" i="62" s="1"/>
  <c r="AJ11" i="62"/>
  <c r="CA11" i="62" s="1"/>
  <c r="AC11" i="62"/>
  <c r="BT11" i="62" s="1"/>
  <c r="AS30" i="51"/>
  <c r="CJ30" i="51" s="1"/>
  <c r="AI229" i="50"/>
  <c r="V11" i="62"/>
  <c r="BM11" i="62" s="1"/>
  <c r="U11" i="62"/>
  <c r="BL11" i="62" s="1"/>
  <c r="AQ30" i="51"/>
  <c r="CH30" i="51" s="1"/>
  <c r="AI227" i="50"/>
  <c r="F11" i="62"/>
  <c r="AW11" i="62" s="1"/>
  <c r="AN79" i="51"/>
  <c r="CE79" i="51" s="1"/>
  <c r="AN67" i="51"/>
  <c r="CE67" i="51" s="1"/>
  <c r="L79" i="51"/>
  <c r="BC79" i="51" s="1"/>
  <c r="L30" i="51"/>
  <c r="BC30" i="51" s="1"/>
  <c r="AG79" i="51"/>
  <c r="BX79" i="51" s="1"/>
  <c r="AC156" i="62"/>
  <c r="S67" i="51"/>
  <c r="V62" i="62"/>
  <c r="W62" i="62" s="1"/>
  <c r="BN62" i="62" s="1"/>
  <c r="L11" i="62"/>
  <c r="BC11" i="62" s="1"/>
  <c r="O65" i="62"/>
  <c r="N11" i="62"/>
  <c r="BE11" i="62" s="1"/>
  <c r="G9" i="41"/>
  <c r="E9" i="62"/>
  <c r="AV9" i="62" s="1"/>
  <c r="BC9" i="62" s="1"/>
  <c r="BJ9" i="62" s="1"/>
  <c r="BQ9" i="62" s="1"/>
  <c r="BX9" i="62" s="1"/>
  <c r="F8" i="82"/>
  <c r="AJ159" i="62"/>
  <c r="CA159" i="62" s="1"/>
  <c r="AC162" i="62"/>
  <c r="AG67" i="51"/>
  <c r="BX67" i="51" s="1"/>
  <c r="E67" i="51"/>
  <c r="L67" i="51"/>
  <c r="BC67" i="51" s="1"/>
  <c r="E30" i="51"/>
  <c r="AV30" i="51" s="1"/>
  <c r="AB140" i="50"/>
  <c r="AC172" i="62"/>
  <c r="AI154" i="62"/>
  <c r="BZ154" i="62" s="1"/>
  <c r="M79" i="62"/>
  <c r="BD79" i="62" s="1"/>
  <c r="N61" i="62"/>
  <c r="BE61" i="62" s="1"/>
  <c r="AA79" i="62"/>
  <c r="BR79" i="62" s="1"/>
  <c r="G74" i="62"/>
  <c r="AX74" i="62" s="1"/>
  <c r="Q64" i="51"/>
  <c r="BH64" i="51" s="1"/>
  <c r="AA9" i="62"/>
  <c r="AH9" i="62" s="1"/>
  <c r="AB224" i="50"/>
  <c r="G94" i="62"/>
  <c r="AX94" i="62" s="1"/>
  <c r="AN30" i="51"/>
  <c r="CE30" i="51" s="1"/>
  <c r="Z30" i="51"/>
  <c r="BQ30" i="51" s="1"/>
  <c r="O156" i="62"/>
  <c r="O155" i="62"/>
  <c r="N218" i="50"/>
  <c r="S30" i="51"/>
  <c r="BJ30" i="51" s="1"/>
  <c r="U229" i="50"/>
  <c r="AI235" i="50"/>
  <c r="AN60" i="62"/>
  <c r="U235" i="50"/>
  <c r="Y80" i="51"/>
  <c r="BP80" i="51" s="1"/>
  <c r="W64" i="51"/>
  <c r="BN64" i="51" s="1"/>
  <c r="V163" i="62"/>
  <c r="V223" i="50" s="1"/>
  <c r="AC160" i="62"/>
  <c r="AC220" i="50" s="1"/>
  <c r="BO220" i="50" s="1"/>
  <c r="M61" i="51"/>
  <c r="BD61" i="51" s="1"/>
  <c r="AJ56" i="73"/>
  <c r="BY56" i="73" s="1"/>
  <c r="B108" i="67"/>
  <c r="AN18" i="51"/>
  <c r="CE18" i="51" s="1"/>
  <c r="AG30" i="51"/>
  <c r="BX30" i="51" s="1"/>
  <c r="T64" i="51"/>
  <c r="BK64" i="51" s="1"/>
  <c r="AI52" i="50"/>
  <c r="BU52" i="50" s="1"/>
  <c r="AJ36" i="50"/>
  <c r="BV36" i="50" s="1"/>
  <c r="B17" i="67"/>
  <c r="AJ37" i="50"/>
  <c r="BV37" i="50" s="1"/>
  <c r="B119" i="67"/>
  <c r="B129" i="67" s="1"/>
  <c r="B112" i="67"/>
  <c r="B44" i="67"/>
  <c r="AU57" i="73"/>
  <c r="CE57" i="73" s="1"/>
  <c r="T106" i="67"/>
  <c r="AJ57" i="73"/>
  <c r="BY57" i="73" s="1"/>
  <c r="T82" i="67"/>
  <c r="B110" i="67"/>
  <c r="B7" i="67"/>
  <c r="B86" i="67"/>
  <c r="B35" i="67"/>
  <c r="B60" i="67"/>
  <c r="B26" i="67"/>
  <c r="X61" i="51"/>
  <c r="BO61" i="51" s="1"/>
  <c r="AH56" i="50"/>
  <c r="B43" i="67"/>
  <c r="AH59" i="50"/>
  <c r="AH55" i="50"/>
  <c r="AH51" i="50"/>
  <c r="AH53" i="50"/>
  <c r="AH52" i="50"/>
  <c r="AH50" i="50"/>
  <c r="AH43" i="50"/>
  <c r="AH37" i="50"/>
  <c r="B85" i="67"/>
  <c r="AH48" i="50"/>
  <c r="AH49" i="50"/>
  <c r="B84" i="67"/>
  <c r="B25" i="67"/>
  <c r="B61" i="67"/>
  <c r="N154" i="62"/>
  <c r="BE154" i="62" s="1"/>
  <c r="N224" i="50"/>
  <c r="AI94" i="62"/>
  <c r="BZ94" i="62" s="1"/>
  <c r="G238" i="50"/>
  <c r="B19" i="67"/>
  <c r="B115" i="67" s="1"/>
  <c r="AG18" i="51"/>
  <c r="BX18" i="51" s="1"/>
  <c r="C71" i="49"/>
  <c r="I71" i="49" s="1"/>
  <c r="G235" i="50"/>
  <c r="H175" i="62"/>
  <c r="AY175" i="62" s="1"/>
  <c r="AH67" i="62"/>
  <c r="AA214" i="50"/>
  <c r="BM214" i="50" s="1"/>
  <c r="AH214" i="50"/>
  <c r="BT214" i="50" s="1"/>
  <c r="AB226" i="50"/>
  <c r="N234" i="50"/>
  <c r="AI231" i="50"/>
  <c r="AJ171" i="62"/>
  <c r="CA171" i="62" s="1"/>
  <c r="N226" i="50"/>
  <c r="O166" i="62"/>
  <c r="BF166" i="62" s="1"/>
  <c r="AI233" i="50"/>
  <c r="AJ173" i="62"/>
  <c r="CA173" i="62" s="1"/>
  <c r="AB218" i="50"/>
  <c r="AC158" i="62"/>
  <c r="BT158" i="62" s="1"/>
  <c r="AA67" i="62"/>
  <c r="BR67" i="62" s="1"/>
  <c r="B9" i="67"/>
  <c r="G154" i="62"/>
  <c r="AX154" i="62" s="1"/>
  <c r="U215" i="50"/>
  <c r="V155" i="62"/>
  <c r="BM155" i="62" s="1"/>
  <c r="AB230" i="50"/>
  <c r="AC170" i="62"/>
  <c r="BT170" i="62" s="1"/>
  <c r="T67" i="62"/>
  <c r="AJ157" i="62"/>
  <c r="T214" i="50"/>
  <c r="BF214" i="50" s="1"/>
  <c r="AI223" i="50"/>
  <c r="AJ163" i="62"/>
  <c r="CA163" i="62" s="1"/>
  <c r="N222" i="50"/>
  <c r="O162" i="62"/>
  <c r="BF162" i="62" s="1"/>
  <c r="G215" i="50"/>
  <c r="H155" i="62"/>
  <c r="AY155" i="62" s="1"/>
  <c r="G217" i="50"/>
  <c r="H157" i="62"/>
  <c r="AY157" i="62" s="1"/>
  <c r="AB80" i="62"/>
  <c r="AO61" i="51"/>
  <c r="CF61" i="51" s="1"/>
  <c r="L18" i="51"/>
  <c r="BC18" i="51" s="1"/>
  <c r="AQ61" i="51"/>
  <c r="CH61" i="51" s="1"/>
  <c r="N64" i="51"/>
  <c r="BE64" i="51" s="1"/>
  <c r="V80" i="51"/>
  <c r="BM80" i="51" s="1"/>
  <c r="Z18" i="51"/>
  <c r="BQ18" i="51" s="1"/>
  <c r="G80" i="51"/>
  <c r="AX80" i="51" s="1"/>
  <c r="X80" i="51"/>
  <c r="BO80" i="51" s="1"/>
  <c r="U64" i="51"/>
  <c r="BL64" i="51" s="1"/>
  <c r="O64" i="51"/>
  <c r="BF64" i="51" s="1"/>
  <c r="AT61" i="51"/>
  <c r="CK61" i="51" s="1"/>
  <c r="K61" i="51"/>
  <c r="BB61" i="51" s="1"/>
  <c r="V71" i="51"/>
  <c r="BM71" i="51" s="1"/>
  <c r="S18" i="51"/>
  <c r="BJ18" i="51" s="1"/>
  <c r="M71" i="51"/>
  <c r="BD71" i="51" s="1"/>
  <c r="Y64" i="51"/>
  <c r="BP64" i="51" s="1"/>
  <c r="I61" i="51"/>
  <c r="AZ61" i="51" s="1"/>
  <c r="O71" i="51"/>
  <c r="BF71" i="51" s="1"/>
  <c r="X64" i="51"/>
  <c r="BO64" i="51" s="1"/>
  <c r="AO80" i="51"/>
  <c r="CF80" i="51" s="1"/>
  <c r="T80" i="51"/>
  <c r="BK80" i="51" s="1"/>
  <c r="V64" i="51"/>
  <c r="BM64" i="51" s="1"/>
  <c r="V61" i="51"/>
  <c r="BM61" i="51" s="1"/>
  <c r="P61" i="51"/>
  <c r="BG61" i="51" s="1"/>
  <c r="O61" i="51"/>
  <c r="BF61" i="51" s="1"/>
  <c r="R61" i="51"/>
  <c r="BI61" i="51" s="1"/>
  <c r="AJ143" i="50"/>
  <c r="BV143" i="50" s="1"/>
  <c r="I163" i="62"/>
  <c r="AZ163" i="62" s="1"/>
  <c r="H223" i="50"/>
  <c r="AT223" i="50" s="1"/>
  <c r="AC157" i="62"/>
  <c r="BT157" i="62" s="1"/>
  <c r="AB217" i="50"/>
  <c r="AB51" i="50"/>
  <c r="N71" i="51"/>
  <c r="BE71" i="51" s="1"/>
  <c r="G99" i="51"/>
  <c r="AX99" i="51" s="1"/>
  <c r="AI143" i="50"/>
  <c r="G61" i="51"/>
  <c r="AX61" i="51" s="1"/>
  <c r="AI99" i="62"/>
  <c r="BZ99" i="62" s="1"/>
  <c r="AQ71" i="51"/>
  <c r="CH71" i="51" s="1"/>
  <c r="P71" i="51"/>
  <c r="BG71" i="51" s="1"/>
  <c r="AI139" i="50"/>
  <c r="AB132" i="50"/>
  <c r="BN132" i="50" s="1"/>
  <c r="AJ160" i="62"/>
  <c r="CA160" i="62" s="1"/>
  <c r="AI220" i="50"/>
  <c r="H158" i="62"/>
  <c r="AY158" i="62" s="1"/>
  <c r="G218" i="50"/>
  <c r="V174" i="62"/>
  <c r="BM174" i="62" s="1"/>
  <c r="U234" i="50"/>
  <c r="AC161" i="62"/>
  <c r="BT161" i="62" s="1"/>
  <c r="AB221" i="50"/>
  <c r="AC159" i="62"/>
  <c r="BT159" i="62" s="1"/>
  <c r="AB219" i="50"/>
  <c r="AJ156" i="62"/>
  <c r="CA156" i="62" s="1"/>
  <c r="AI216" i="50"/>
  <c r="AJ174" i="62"/>
  <c r="CA174" i="62" s="1"/>
  <c r="AI234" i="50"/>
  <c r="H172" i="62"/>
  <c r="AY172" i="62" s="1"/>
  <c r="G232" i="50"/>
  <c r="V161" i="62"/>
  <c r="BM161" i="62" s="1"/>
  <c r="U221" i="50"/>
  <c r="O167" i="62"/>
  <c r="BF167" i="62" s="1"/>
  <c r="N227" i="50"/>
  <c r="AC224" i="50"/>
  <c r="BO224" i="50" s="1"/>
  <c r="O165" i="62"/>
  <c r="BF165" i="62" s="1"/>
  <c r="N225" i="50"/>
  <c r="V160" i="62"/>
  <c r="BM160" i="62" s="1"/>
  <c r="U220" i="50"/>
  <c r="AJ158" i="62"/>
  <c r="CA158" i="62" s="1"/>
  <c r="AI218" i="50"/>
  <c r="U233" i="50"/>
  <c r="V173" i="62"/>
  <c r="BM173" i="62" s="1"/>
  <c r="O173" i="62"/>
  <c r="BF173" i="62" s="1"/>
  <c r="N233" i="50"/>
  <c r="AK167" i="62"/>
  <c r="CB167" i="62" s="1"/>
  <c r="AJ227" i="50"/>
  <c r="BV227" i="50" s="1"/>
  <c r="AC165" i="62"/>
  <c r="BT165" i="62" s="1"/>
  <c r="AB225" i="50"/>
  <c r="AK169" i="62"/>
  <c r="CB169" i="62" s="1"/>
  <c r="AJ229" i="50"/>
  <c r="BV229" i="50" s="1"/>
  <c r="AJ168" i="62"/>
  <c r="CA168" i="62" s="1"/>
  <c r="AI228" i="50"/>
  <c r="V165" i="62"/>
  <c r="BM165" i="62" s="1"/>
  <c r="U225" i="50"/>
  <c r="V162" i="62"/>
  <c r="BM162" i="62" s="1"/>
  <c r="U222" i="50"/>
  <c r="AC168" i="62"/>
  <c r="BT168" i="62" s="1"/>
  <c r="AB228" i="50"/>
  <c r="V166" i="62"/>
  <c r="BM166" i="62" s="1"/>
  <c r="U226" i="50"/>
  <c r="AI224" i="50"/>
  <c r="AJ164" i="62"/>
  <c r="CA164" i="62" s="1"/>
  <c r="AJ162" i="62"/>
  <c r="CA162" i="62" s="1"/>
  <c r="AI222" i="50"/>
  <c r="AC155" i="62"/>
  <c r="BT155" i="62" s="1"/>
  <c r="AB215" i="50"/>
  <c r="M67" i="62"/>
  <c r="BD67" i="62" s="1"/>
  <c r="AC169" i="62"/>
  <c r="BT169" i="62" s="1"/>
  <c r="AB229" i="50"/>
  <c r="AI215" i="50"/>
  <c r="BU215" i="50" s="1"/>
  <c r="AJ155" i="62"/>
  <c r="CA155" i="62" s="1"/>
  <c r="AJ172" i="62"/>
  <c r="CA172" i="62" s="1"/>
  <c r="AI232" i="50"/>
  <c r="AB227" i="50"/>
  <c r="AC167" i="62"/>
  <c r="BT167" i="62" s="1"/>
  <c r="AK159" i="62"/>
  <c r="CB159" i="62" s="1"/>
  <c r="AJ219" i="50"/>
  <c r="O234" i="50"/>
  <c r="BA234" i="50" s="1"/>
  <c r="N220" i="50"/>
  <c r="O160" i="62"/>
  <c r="BF160" i="62" s="1"/>
  <c r="AI221" i="50"/>
  <c r="AJ161" i="62"/>
  <c r="CA161" i="62" s="1"/>
  <c r="V159" i="62"/>
  <c r="BM159" i="62" s="1"/>
  <c r="U219" i="50"/>
  <c r="H162" i="62"/>
  <c r="AY162" i="62" s="1"/>
  <c r="G222" i="50"/>
  <c r="O159" i="62"/>
  <c r="BF159" i="62" s="1"/>
  <c r="N219" i="50"/>
  <c r="V158" i="62"/>
  <c r="BM158" i="62" s="1"/>
  <c r="U218" i="50"/>
  <c r="AC175" i="62"/>
  <c r="BT175" i="62" s="1"/>
  <c r="AB235" i="50"/>
  <c r="AJ170" i="62"/>
  <c r="CA170" i="62" s="1"/>
  <c r="AI230" i="50"/>
  <c r="O161" i="62"/>
  <c r="BF161" i="62" s="1"/>
  <c r="N221" i="50"/>
  <c r="O175" i="62"/>
  <c r="BF175" i="62" s="1"/>
  <c r="N235" i="50"/>
  <c r="AC171" i="62"/>
  <c r="BT171" i="62" s="1"/>
  <c r="AB231" i="50"/>
  <c r="AH269" i="50"/>
  <c r="BT269" i="50" s="1"/>
  <c r="M237" i="50"/>
  <c r="AY237" i="50" s="1"/>
  <c r="M214" i="50"/>
  <c r="AY214" i="50" s="1"/>
  <c r="N230" i="50"/>
  <c r="O170" i="62"/>
  <c r="BF170" i="62" s="1"/>
  <c r="N232" i="50"/>
  <c r="O172" i="62"/>
  <c r="BF172" i="62" s="1"/>
  <c r="V172" i="62"/>
  <c r="BM172" i="62" s="1"/>
  <c r="U232" i="50"/>
  <c r="O163" i="62"/>
  <c r="BF163" i="62" s="1"/>
  <c r="N223" i="50"/>
  <c r="U217" i="50"/>
  <c r="V157" i="62"/>
  <c r="BM157" i="62" s="1"/>
  <c r="AC173" i="62"/>
  <c r="BT173" i="62" s="1"/>
  <c r="AB233" i="50"/>
  <c r="V170" i="62"/>
  <c r="BM170" i="62" s="1"/>
  <c r="U230" i="50"/>
  <c r="V168" i="62"/>
  <c r="BM168" i="62" s="1"/>
  <c r="U228" i="50"/>
  <c r="V167" i="62"/>
  <c r="BM167" i="62" s="1"/>
  <c r="U227" i="50"/>
  <c r="G226" i="50"/>
  <c r="H166" i="62"/>
  <c r="AY166" i="62" s="1"/>
  <c r="AC163" i="62"/>
  <c r="BT163" i="62" s="1"/>
  <c r="AB223" i="50"/>
  <c r="N229" i="50"/>
  <c r="O169" i="62"/>
  <c r="BF169" i="62" s="1"/>
  <c r="O168" i="62"/>
  <c r="BF168" i="62" s="1"/>
  <c r="N228" i="50"/>
  <c r="H164" i="62"/>
  <c r="AY164" i="62" s="1"/>
  <c r="G224" i="50"/>
  <c r="AJ166" i="62"/>
  <c r="CA166" i="62" s="1"/>
  <c r="AI226" i="50"/>
  <c r="AI225" i="50"/>
  <c r="AJ165" i="62"/>
  <c r="CA165" i="62" s="1"/>
  <c r="V164" i="62"/>
  <c r="BM164" i="62" s="1"/>
  <c r="U224" i="50"/>
  <c r="O157" i="62"/>
  <c r="BF157" i="62" s="1"/>
  <c r="N217" i="50"/>
  <c r="G228" i="50"/>
  <c r="H168" i="62"/>
  <c r="AY168" i="62" s="1"/>
  <c r="AB99" i="51"/>
  <c r="BS99" i="51" s="1"/>
  <c r="AB50" i="50"/>
  <c r="BN50" i="50" s="1"/>
  <c r="I99" i="51"/>
  <c r="AZ99" i="51" s="1"/>
  <c r="AA175" i="50"/>
  <c r="BM175" i="50" s="1"/>
  <c r="AM61" i="51"/>
  <c r="CD61" i="51" s="1"/>
  <c r="AB80" i="50"/>
  <c r="AB74" i="50"/>
  <c r="AC80" i="51"/>
  <c r="BT80" i="51" s="1"/>
  <c r="AC139" i="50"/>
  <c r="BO139" i="50" s="1"/>
  <c r="AF80" i="51"/>
  <c r="BW80" i="51" s="1"/>
  <c r="AA37" i="50"/>
  <c r="AB168" i="50"/>
  <c r="AA99" i="51"/>
  <c r="BR99" i="51" s="1"/>
  <c r="AA50" i="50"/>
  <c r="AJ61" i="51"/>
  <c r="CA61" i="51" s="1"/>
  <c r="AA64" i="50"/>
  <c r="BM64" i="50" s="1"/>
  <c r="AD80" i="51"/>
  <c r="BU80" i="51" s="1"/>
  <c r="AB61" i="51"/>
  <c r="BS61" i="51" s="1"/>
  <c r="AB36" i="50"/>
  <c r="BN36" i="50" s="1"/>
  <c r="AQ80" i="51"/>
  <c r="CH80" i="51" s="1"/>
  <c r="AR80" i="51"/>
  <c r="CI80" i="51" s="1"/>
  <c r="O80" i="51"/>
  <c r="BF80" i="51" s="1"/>
  <c r="AD61" i="51"/>
  <c r="BU61" i="51" s="1"/>
  <c r="AK61" i="51"/>
  <c r="CB61" i="51" s="1"/>
  <c r="AA152" i="50"/>
  <c r="BM152" i="50" s="1"/>
  <c r="AE80" i="51"/>
  <c r="BV80" i="51" s="1"/>
  <c r="V99" i="51"/>
  <c r="BM99" i="51" s="1"/>
  <c r="AM80" i="51"/>
  <c r="CD80" i="51" s="1"/>
  <c r="H80" i="51"/>
  <c r="AY80" i="51" s="1"/>
  <c r="U71" i="51"/>
  <c r="BL71" i="51" s="1"/>
  <c r="AL61" i="51"/>
  <c r="CC61" i="51" s="1"/>
  <c r="AI61" i="51"/>
  <c r="BZ61" i="51" s="1"/>
  <c r="M99" i="51"/>
  <c r="BD99" i="51" s="1"/>
  <c r="AA80" i="51"/>
  <c r="BR80" i="51" s="1"/>
  <c r="AA139" i="50"/>
  <c r="AB80" i="51"/>
  <c r="BS80" i="51" s="1"/>
  <c r="AB139" i="50"/>
  <c r="BN139" i="50" s="1"/>
  <c r="AO71" i="51"/>
  <c r="CF71" i="51" s="1"/>
  <c r="R71" i="51"/>
  <c r="BI71" i="51" s="1"/>
  <c r="AA61" i="51"/>
  <c r="BR61" i="51" s="1"/>
  <c r="AA36" i="50"/>
  <c r="BM36" i="50" s="1"/>
  <c r="AH61" i="51"/>
  <c r="BY61" i="51" s="1"/>
  <c r="AC79" i="50"/>
  <c r="AB192" i="50"/>
  <c r="F192" i="50"/>
  <c r="AR192" i="50" s="1"/>
  <c r="F214" i="50"/>
  <c r="AR214" i="50" s="1"/>
  <c r="F260" i="50"/>
  <c r="AR260" i="50" s="1"/>
  <c r="AH99" i="51"/>
  <c r="BY99" i="51" s="1"/>
  <c r="I80" i="51"/>
  <c r="AZ80" i="51" s="1"/>
  <c r="T61" i="51"/>
  <c r="BK61" i="51" s="1"/>
  <c r="AS83" i="51"/>
  <c r="CJ83" i="51" s="1"/>
  <c r="AD99" i="51"/>
  <c r="BU99" i="51" s="1"/>
  <c r="X71" i="51"/>
  <c r="BO71" i="51" s="1"/>
  <c r="AM99" i="51"/>
  <c r="CD99" i="51" s="1"/>
  <c r="K99" i="51"/>
  <c r="BB99" i="51" s="1"/>
  <c r="P64" i="51"/>
  <c r="BG64" i="51" s="1"/>
  <c r="U80" i="51"/>
  <c r="BL80" i="51" s="1"/>
  <c r="AR61" i="51"/>
  <c r="CI61" i="51" s="1"/>
  <c r="R64" i="51"/>
  <c r="BI64" i="51" s="1"/>
  <c r="Q80" i="51"/>
  <c r="BH80" i="51" s="1"/>
  <c r="Q99" i="51"/>
  <c r="BH99" i="51" s="1"/>
  <c r="R99" i="51"/>
  <c r="BI99" i="51" s="1"/>
  <c r="AE61" i="51"/>
  <c r="BV61" i="51" s="1"/>
  <c r="W61" i="51"/>
  <c r="BN61" i="51" s="1"/>
  <c r="W99" i="51"/>
  <c r="BN99" i="51" s="1"/>
  <c r="AI80" i="51"/>
  <c r="BZ80" i="51" s="1"/>
  <c r="J80" i="51"/>
  <c r="BA80" i="51" s="1"/>
  <c r="W71" i="51"/>
  <c r="BN71" i="51" s="1"/>
  <c r="AP83" i="51"/>
  <c r="CG83" i="51" s="1"/>
  <c r="AS80" i="51"/>
  <c r="CJ80" i="51" s="1"/>
  <c r="R80" i="51"/>
  <c r="BI80" i="51" s="1"/>
  <c r="P80" i="51"/>
  <c r="BG80" i="51" s="1"/>
  <c r="AC61" i="51"/>
  <c r="BT61" i="51" s="1"/>
  <c r="AE99" i="51"/>
  <c r="BV99" i="51" s="1"/>
  <c r="AF99" i="51"/>
  <c r="BW99" i="51" s="1"/>
  <c r="AK99" i="51"/>
  <c r="CB99" i="51" s="1"/>
  <c r="AI99" i="51"/>
  <c r="BZ99" i="51" s="1"/>
  <c r="H99" i="51"/>
  <c r="AY99" i="51" s="1"/>
  <c r="AR71" i="51"/>
  <c r="CI71" i="51" s="1"/>
  <c r="Q61" i="51"/>
  <c r="BH61" i="51" s="1"/>
  <c r="N99" i="51"/>
  <c r="BE99" i="51" s="1"/>
  <c r="P99" i="51"/>
  <c r="BG99" i="51" s="1"/>
  <c r="AO30" i="51"/>
  <c r="CF30" i="51" s="1"/>
  <c r="AP71" i="51"/>
  <c r="CG71" i="51" s="1"/>
  <c r="Q71" i="51"/>
  <c r="BH71" i="51" s="1"/>
  <c r="Y99" i="51"/>
  <c r="BP99" i="51" s="1"/>
  <c r="T99" i="51"/>
  <c r="BK99" i="51" s="1"/>
  <c r="AH80" i="51"/>
  <c r="BY80" i="51" s="1"/>
  <c r="AK80" i="51"/>
  <c r="CB80" i="51" s="1"/>
  <c r="F80" i="51"/>
  <c r="AW80" i="51" s="1"/>
  <c r="T71" i="51"/>
  <c r="BK71" i="51" s="1"/>
  <c r="U61" i="51"/>
  <c r="BL61" i="51" s="1"/>
  <c r="W80" i="51"/>
  <c r="BN80" i="51" s="1"/>
  <c r="AP61" i="51"/>
  <c r="CG61" i="51" s="1"/>
  <c r="AO83" i="51"/>
  <c r="CF83" i="51" s="1"/>
  <c r="AT83" i="51"/>
  <c r="CK83" i="51" s="1"/>
  <c r="M80" i="51"/>
  <c r="BD80" i="51" s="1"/>
  <c r="F99" i="51"/>
  <c r="AW99" i="51" s="1"/>
  <c r="AC99" i="51"/>
  <c r="BT99" i="51" s="1"/>
  <c r="AL99" i="51"/>
  <c r="CC99" i="51" s="1"/>
  <c r="AJ99" i="51"/>
  <c r="CA99" i="51" s="1"/>
  <c r="J99" i="51"/>
  <c r="BA99" i="51" s="1"/>
  <c r="F61" i="51"/>
  <c r="AW61" i="51" s="1"/>
  <c r="H61" i="51"/>
  <c r="AY61" i="51" s="1"/>
  <c r="AS61" i="51"/>
  <c r="CJ61" i="51" s="1"/>
  <c r="O99" i="51"/>
  <c r="BF99" i="51" s="1"/>
  <c r="AS71" i="51"/>
  <c r="CJ71" i="51" s="1"/>
  <c r="AT71" i="51"/>
  <c r="CK71" i="51" s="1"/>
  <c r="AF61" i="51"/>
  <c r="BW61" i="51" s="1"/>
  <c r="J61" i="51"/>
  <c r="BA61" i="51" s="1"/>
  <c r="U99" i="51"/>
  <c r="BL99" i="51" s="1"/>
  <c r="X99" i="51"/>
  <c r="BO99" i="51" s="1"/>
  <c r="AL80" i="51"/>
  <c r="CC80" i="51" s="1"/>
  <c r="AJ80" i="51"/>
  <c r="CA80" i="51" s="1"/>
  <c r="K80" i="51"/>
  <c r="BB80" i="51" s="1"/>
  <c r="Y71" i="51"/>
  <c r="BP71" i="51" s="1"/>
  <c r="Y61" i="51"/>
  <c r="BP61" i="51" s="1"/>
  <c r="N61" i="51"/>
  <c r="BE61" i="51" s="1"/>
  <c r="AR83" i="51"/>
  <c r="CI83" i="51" s="1"/>
  <c r="AQ83" i="51"/>
  <c r="CH83" i="51" s="1"/>
  <c r="AP80" i="51"/>
  <c r="CG80" i="51" s="1"/>
  <c r="AT80" i="51"/>
  <c r="CK80" i="51" s="1"/>
  <c r="N80" i="51"/>
  <c r="BE80" i="51" s="1"/>
  <c r="O101" i="62"/>
  <c r="BF101" i="62" s="1"/>
  <c r="N99" i="62"/>
  <c r="BE99" i="62" s="1"/>
  <c r="AC71" i="62"/>
  <c r="BT71" i="62" s="1"/>
  <c r="AJ64" i="62"/>
  <c r="CA64" i="62" s="1"/>
  <c r="AK65" i="62"/>
  <c r="AJ75" i="62"/>
  <c r="CA75" i="62" s="1"/>
  <c r="AI74" i="62"/>
  <c r="AC63" i="62"/>
  <c r="AB61" i="62"/>
  <c r="BS61" i="62" s="1"/>
  <c r="AK62" i="62"/>
  <c r="N83" i="62"/>
  <c r="O84" i="62"/>
  <c r="BF84" i="62" s="1"/>
  <c r="F79" i="62"/>
  <c r="AW79" i="62" s="1"/>
  <c r="AC66" i="62"/>
  <c r="BT66" i="62" s="1"/>
  <c r="AB64" i="62"/>
  <c r="BS64" i="62" s="1"/>
  <c r="I100" i="62"/>
  <c r="AZ100" i="62" s="1"/>
  <c r="W84" i="62"/>
  <c r="BN84" i="62" s="1"/>
  <c r="O72" i="62"/>
  <c r="BF72" i="62" s="1"/>
  <c r="N71" i="62"/>
  <c r="BE71" i="62" s="1"/>
  <c r="AJ81" i="62"/>
  <c r="AI80" i="62"/>
  <c r="BZ80" i="62" s="1"/>
  <c r="W65" i="62"/>
  <c r="BN65" i="62" s="1"/>
  <c r="V156" i="62"/>
  <c r="U154" i="62"/>
  <c r="BL154" i="62" s="1"/>
  <c r="AB99" i="62"/>
  <c r="BS99" i="62" s="1"/>
  <c r="AC101" i="62"/>
  <c r="AK95" i="62"/>
  <c r="CB95" i="62" s="1"/>
  <c r="V100" i="62"/>
  <c r="BM100" i="62" s="1"/>
  <c r="U99" i="62"/>
  <c r="BL99" i="62" s="1"/>
  <c r="AB94" i="62"/>
  <c r="BS94" i="62" s="1"/>
  <c r="AC96" i="62"/>
  <c r="BT96" i="62" s="1"/>
  <c r="V95" i="62"/>
  <c r="BM95" i="62" s="1"/>
  <c r="U94" i="62"/>
  <c r="BL94" i="62" s="1"/>
  <c r="N74" i="62"/>
  <c r="BE74" i="62" s="1"/>
  <c r="O75" i="62"/>
  <c r="BF75" i="62" s="1"/>
  <c r="AB154" i="62"/>
  <c r="BS154" i="62" s="1"/>
  <c r="AI83" i="62"/>
  <c r="BZ83" i="62" s="1"/>
  <c r="H81" i="62"/>
  <c r="AY81" i="62" s="1"/>
  <c r="G80" i="62"/>
  <c r="P62" i="62"/>
  <c r="BG62" i="62" s="1"/>
  <c r="I65" i="62"/>
  <c r="AZ65" i="62" s="1"/>
  <c r="H64" i="62"/>
  <c r="AY64" i="62" s="1"/>
  <c r="W50" i="53"/>
  <c r="S50" i="53"/>
  <c r="BX50" i="53" s="1"/>
  <c r="T49" i="53"/>
  <c r="BY49" i="53" s="1"/>
  <c r="U49" i="53"/>
  <c r="V49" i="53"/>
  <c r="W49" i="53"/>
  <c r="S49" i="53"/>
  <c r="BX49" i="53" s="1"/>
  <c r="AU21" i="73"/>
  <c r="CE21" i="73" s="1"/>
  <c r="AJ65" i="73"/>
  <c r="BY65" i="73" s="1"/>
  <c r="AJ61" i="73"/>
  <c r="BY61" i="73" s="1"/>
  <c r="AJ48" i="73"/>
  <c r="BY48" i="73" s="1"/>
  <c r="AJ24" i="73"/>
  <c r="BY24" i="73" s="1"/>
  <c r="AJ21" i="73"/>
  <c r="BY21" i="73" s="1"/>
  <c r="Y65" i="73"/>
  <c r="BS65" i="73" s="1"/>
  <c r="Y61" i="73"/>
  <c r="BS61" i="73" s="1"/>
  <c r="Y48" i="73"/>
  <c r="BS48" i="73" s="1"/>
  <c r="Y21" i="73"/>
  <c r="BS21" i="73" s="1"/>
  <c r="N65" i="73"/>
  <c r="BM65" i="73" s="1"/>
  <c r="N61" i="73"/>
  <c r="BM61" i="73" s="1"/>
  <c r="N48" i="73"/>
  <c r="BM48" i="73" s="1"/>
  <c r="N24" i="73"/>
  <c r="BM24" i="73" s="1"/>
  <c r="N21" i="73"/>
  <c r="BM21" i="73" s="1"/>
  <c r="C65" i="73"/>
  <c r="BG65" i="73" s="1"/>
  <c r="C61" i="73"/>
  <c r="BG61" i="73" s="1"/>
  <c r="C48" i="73"/>
  <c r="BG48" i="73" s="1"/>
  <c r="C21" i="73"/>
  <c r="BG21" i="73" s="1"/>
  <c r="C24" i="73"/>
  <c r="BG24" i="73" s="1"/>
  <c r="W75" i="62" l="1"/>
  <c r="BN75" i="62" s="1"/>
  <c r="W72" i="62"/>
  <c r="BN72" i="62" s="1"/>
  <c r="P96" i="62"/>
  <c r="Q96" i="62" s="1"/>
  <c r="G256" i="50"/>
  <c r="AS256" i="50" s="1"/>
  <c r="G242" i="50"/>
  <c r="BT132" i="50"/>
  <c r="G249" i="50"/>
  <c r="BT140" i="50"/>
  <c r="H61" i="62"/>
  <c r="AY61" i="62" s="1"/>
  <c r="BU192" i="50"/>
  <c r="C94" i="85" s="1"/>
  <c r="C127" i="85" s="1"/>
  <c r="BA9" i="41"/>
  <c r="BJ9" i="41" s="1"/>
  <c r="AM20" i="84"/>
  <c r="BM143" i="50"/>
  <c r="BM56" i="50"/>
  <c r="AC83" i="50"/>
  <c r="AA277" i="50"/>
  <c r="BM277" i="50" s="1"/>
  <c r="BT143" i="50"/>
  <c r="H94" i="62"/>
  <c r="AY94" i="62" s="1"/>
  <c r="BT146" i="50"/>
  <c r="V231" i="50"/>
  <c r="AB169" i="50"/>
  <c r="AB189" i="50" s="1"/>
  <c r="BN189" i="50" s="1"/>
  <c r="BT148" i="50"/>
  <c r="AH64" i="50"/>
  <c r="BT64" i="50" s="1"/>
  <c r="BT139" i="50"/>
  <c r="BT155" i="50"/>
  <c r="AI155" i="50"/>
  <c r="BM73" i="50"/>
  <c r="AB73" i="50"/>
  <c r="AD24" i="50"/>
  <c r="BO24" i="50"/>
  <c r="AK126" i="50"/>
  <c r="BV126" i="50"/>
  <c r="AD115" i="50"/>
  <c r="BO115" i="50"/>
  <c r="I95" i="62"/>
  <c r="AZ95" i="62" s="1"/>
  <c r="AI169" i="50"/>
  <c r="O94" i="62"/>
  <c r="BF94" i="62" s="1"/>
  <c r="AK128" i="50"/>
  <c r="BV128" i="50"/>
  <c r="AK129" i="50"/>
  <c r="BV129" i="50"/>
  <c r="AD126" i="50"/>
  <c r="BO126" i="50"/>
  <c r="AD11" i="50"/>
  <c r="BO11" i="50"/>
  <c r="AD119" i="50"/>
  <c r="BO119" i="50"/>
  <c r="AK30" i="50"/>
  <c r="BV30" i="50"/>
  <c r="AD14" i="50"/>
  <c r="BO14" i="50"/>
  <c r="AK31" i="50"/>
  <c r="BV31" i="50"/>
  <c r="AD23" i="50"/>
  <c r="BO23" i="50"/>
  <c r="AJ235" i="50"/>
  <c r="BV235" i="50" s="1"/>
  <c r="AJ11" i="50"/>
  <c r="BU11" i="50"/>
  <c r="AK23" i="50"/>
  <c r="BV23" i="50"/>
  <c r="AD30" i="50"/>
  <c r="BO30" i="50"/>
  <c r="AK119" i="50"/>
  <c r="BV119" i="50"/>
  <c r="AK27" i="50"/>
  <c r="BV27" i="50"/>
  <c r="AD34" i="50"/>
  <c r="BO34" i="50"/>
  <c r="AK175" i="62"/>
  <c r="CB175" i="62" s="1"/>
  <c r="BT135" i="50"/>
  <c r="AK28" i="50"/>
  <c r="BV28" i="50"/>
  <c r="AK12" i="50"/>
  <c r="BV12" i="50"/>
  <c r="AD31" i="50"/>
  <c r="BO31" i="50"/>
  <c r="AK112" i="50"/>
  <c r="BV112" i="50"/>
  <c r="AA8" i="82"/>
  <c r="AE8" i="82" s="1"/>
  <c r="AI8" i="82" s="1"/>
  <c r="AM8" i="82" s="1"/>
  <c r="AQ8" i="82" s="1"/>
  <c r="G243" i="50"/>
  <c r="AJ94" i="62"/>
  <c r="CA94" i="62" s="1"/>
  <c r="AD25" i="50"/>
  <c r="BO25" i="50"/>
  <c r="AD112" i="50"/>
  <c r="BO112" i="50"/>
  <c r="AK14" i="50"/>
  <c r="BV14" i="50"/>
  <c r="AK34" i="50"/>
  <c r="BV34" i="50"/>
  <c r="AK115" i="50"/>
  <c r="BV115" i="50"/>
  <c r="AD26" i="50"/>
  <c r="BO26" i="50"/>
  <c r="AK120" i="50"/>
  <c r="BV120" i="50"/>
  <c r="AJ61" i="62"/>
  <c r="CA61" i="62" s="1"/>
  <c r="AK24" i="50"/>
  <c r="BV24" i="50"/>
  <c r="AD128" i="50"/>
  <c r="BO128" i="50"/>
  <c r="AK123" i="50"/>
  <c r="BV123" i="50"/>
  <c r="AD123" i="50"/>
  <c r="BO123" i="50"/>
  <c r="AD129" i="50"/>
  <c r="BO129" i="50"/>
  <c r="AD28" i="50"/>
  <c r="BO28" i="50"/>
  <c r="AK25" i="50"/>
  <c r="BV25" i="50"/>
  <c r="AD18" i="50"/>
  <c r="BO18" i="50"/>
  <c r="AD27" i="50"/>
  <c r="BO27" i="50"/>
  <c r="AH276" i="50"/>
  <c r="BT276" i="50" s="1"/>
  <c r="AK26" i="50"/>
  <c r="BV26" i="50"/>
  <c r="AK18" i="50"/>
  <c r="BV18" i="50"/>
  <c r="AD12" i="50"/>
  <c r="BO12" i="50"/>
  <c r="AD120" i="50"/>
  <c r="BO120" i="50"/>
  <c r="AZ49" i="53"/>
  <c r="DB49" i="53" s="1"/>
  <c r="CA49" i="53"/>
  <c r="AY49" i="53"/>
  <c r="DA49" i="53" s="1"/>
  <c r="BZ49" i="53"/>
  <c r="BA50" i="53"/>
  <c r="DC50" i="53" s="1"/>
  <c r="CB50" i="53"/>
  <c r="BA49" i="53"/>
  <c r="DC49" i="53" s="1"/>
  <c r="CB49" i="53"/>
  <c r="U238" i="50"/>
  <c r="F265" i="50"/>
  <c r="AR265" i="50" s="1"/>
  <c r="AB78" i="50"/>
  <c r="T276" i="50"/>
  <c r="BF276" i="50" s="1"/>
  <c r="AB81" i="50"/>
  <c r="BN81" i="50" s="1"/>
  <c r="AB163" i="50"/>
  <c r="AB183" i="50" s="1"/>
  <c r="BN183" i="50" s="1"/>
  <c r="F269" i="50"/>
  <c r="AR269" i="50" s="1"/>
  <c r="AB166" i="50"/>
  <c r="BN166" i="50" s="1"/>
  <c r="F271" i="50"/>
  <c r="AR271" i="50" s="1"/>
  <c r="AA263" i="50"/>
  <c r="BM263" i="50" s="1"/>
  <c r="T262" i="50"/>
  <c r="BF262" i="50" s="1"/>
  <c r="F264" i="50"/>
  <c r="AR264" i="50" s="1"/>
  <c r="M261" i="50"/>
  <c r="AY261" i="50" s="1"/>
  <c r="AA260" i="50"/>
  <c r="BM260" i="50" s="1"/>
  <c r="G245" i="50"/>
  <c r="H245" i="50" s="1"/>
  <c r="AC74" i="62"/>
  <c r="BT74" i="62" s="1"/>
  <c r="AD75" i="62"/>
  <c r="BU75" i="62" s="1"/>
  <c r="M275" i="50"/>
  <c r="AY275" i="50" s="1"/>
  <c r="G247" i="50"/>
  <c r="AS247" i="50" s="1"/>
  <c r="P174" i="62"/>
  <c r="BG174" i="62" s="1"/>
  <c r="N253" i="50"/>
  <c r="N275" i="50" s="1"/>
  <c r="AZ275" i="50" s="1"/>
  <c r="M279" i="50"/>
  <c r="AY279" i="50" s="1"/>
  <c r="AB77" i="50"/>
  <c r="AC77" i="50" s="1"/>
  <c r="AJ99" i="62"/>
  <c r="CA99" i="62" s="1"/>
  <c r="AI152" i="50"/>
  <c r="BU152" i="50" s="1"/>
  <c r="AK100" i="62"/>
  <c r="AL100" i="62" s="1"/>
  <c r="AD174" i="62"/>
  <c r="BU174" i="62" s="1"/>
  <c r="O218" i="50"/>
  <c r="BA218" i="50" s="1"/>
  <c r="AC226" i="50"/>
  <c r="BO226" i="50" s="1"/>
  <c r="F268" i="50"/>
  <c r="AR268" i="50" s="1"/>
  <c r="AC80" i="62"/>
  <c r="BT80" i="62" s="1"/>
  <c r="F278" i="50"/>
  <c r="AR278" i="50" s="1"/>
  <c r="AJ50" i="50"/>
  <c r="BV50" i="50" s="1"/>
  <c r="AB155" i="50"/>
  <c r="BN155" i="50" s="1"/>
  <c r="AC234" i="50"/>
  <c r="U79" i="62"/>
  <c r="BL79" i="62" s="1"/>
  <c r="AI160" i="50"/>
  <c r="I62" i="62"/>
  <c r="AZ62" i="62" s="1"/>
  <c r="AD72" i="62"/>
  <c r="BU72" i="62" s="1"/>
  <c r="F267" i="50"/>
  <c r="AR267" i="50" s="1"/>
  <c r="AA183" i="50"/>
  <c r="BM183" i="50" s="1"/>
  <c r="P158" i="62"/>
  <c r="BG158" i="62" s="1"/>
  <c r="AD166" i="62"/>
  <c r="BU166" i="62" s="1"/>
  <c r="G246" i="50"/>
  <c r="AS224" i="50"/>
  <c r="N243" i="50"/>
  <c r="AZ243" i="50" s="1"/>
  <c r="AZ221" i="50"/>
  <c r="AB241" i="50"/>
  <c r="BN241" i="50" s="1"/>
  <c r="BN219" i="50"/>
  <c r="AD90" i="62"/>
  <c r="BT90" i="62"/>
  <c r="W198" i="50"/>
  <c r="BH198" i="50"/>
  <c r="AR257" i="50"/>
  <c r="F279" i="50"/>
  <c r="AR279" i="50" s="1"/>
  <c r="P85" i="62"/>
  <c r="BF85" i="62"/>
  <c r="AY248" i="50"/>
  <c r="M270" i="50"/>
  <c r="AY270" i="50" s="1"/>
  <c r="T261" i="50"/>
  <c r="BF261" i="50" s="1"/>
  <c r="BF239" i="50"/>
  <c r="P202" i="50"/>
  <c r="BA202" i="50"/>
  <c r="I169" i="62"/>
  <c r="AY169" i="62"/>
  <c r="H229" i="50"/>
  <c r="AT229" i="50" s="1"/>
  <c r="J66" i="62"/>
  <c r="AZ66" i="62"/>
  <c r="I105" i="62"/>
  <c r="AY105" i="62"/>
  <c r="T277" i="50"/>
  <c r="BF277" i="50" s="1"/>
  <c r="BF255" i="50"/>
  <c r="AD82" i="50"/>
  <c r="BO82" i="50"/>
  <c r="AK194" i="50"/>
  <c r="BV194" i="50"/>
  <c r="W105" i="62"/>
  <c r="BM105" i="62"/>
  <c r="BT257" i="50"/>
  <c r="AH279" i="50"/>
  <c r="BT279" i="50" s="1"/>
  <c r="AC73" i="50"/>
  <c r="BN73" i="50"/>
  <c r="AC168" i="50"/>
  <c r="BN168" i="50"/>
  <c r="BN80" i="50"/>
  <c r="BN78" i="50"/>
  <c r="N254" i="50"/>
  <c r="AZ254" i="50" s="1"/>
  <c r="AZ232" i="50"/>
  <c r="U255" i="50"/>
  <c r="BG233" i="50"/>
  <c r="AI251" i="50"/>
  <c r="BU229" i="50"/>
  <c r="M272" i="50"/>
  <c r="AY272" i="50" s="1"/>
  <c r="AY250" i="50"/>
  <c r="BF237" i="50"/>
  <c r="T259" i="50"/>
  <c r="BF259" i="50" s="1"/>
  <c r="T236" i="50"/>
  <c r="BF236" i="50" s="1"/>
  <c r="AK199" i="50"/>
  <c r="BV199" i="50"/>
  <c r="W206" i="50"/>
  <c r="BH206" i="50"/>
  <c r="AD108" i="62"/>
  <c r="BT108" i="62"/>
  <c r="AC59" i="50"/>
  <c r="BO59" i="50" s="1"/>
  <c r="P95" i="62"/>
  <c r="BF95" i="62"/>
  <c r="I197" i="50"/>
  <c r="AT197" i="50"/>
  <c r="AK204" i="50"/>
  <c r="BV204" i="50"/>
  <c r="BM68" i="50"/>
  <c r="AB68" i="50"/>
  <c r="AA62" i="50"/>
  <c r="BM62" i="50" s="1"/>
  <c r="BM37" i="50"/>
  <c r="M276" i="50"/>
  <c r="AY276" i="50" s="1"/>
  <c r="U249" i="50"/>
  <c r="BG227" i="50"/>
  <c r="G257" i="50"/>
  <c r="AS235" i="50"/>
  <c r="AA275" i="50"/>
  <c r="BM275" i="50" s="1"/>
  <c r="BM253" i="50"/>
  <c r="F270" i="50"/>
  <c r="AR270" i="50" s="1"/>
  <c r="AR248" i="50"/>
  <c r="AB67" i="62"/>
  <c r="BS67" i="62" s="1"/>
  <c r="AI159" i="50"/>
  <c r="BU159" i="50" s="1"/>
  <c r="BU139" i="50"/>
  <c r="H203" i="50"/>
  <c r="AS203" i="50"/>
  <c r="W73" i="62"/>
  <c r="BM73" i="62"/>
  <c r="P102" i="62"/>
  <c r="BF102" i="62"/>
  <c r="P107" i="62"/>
  <c r="BF107" i="62"/>
  <c r="P210" i="50"/>
  <c r="BA210" i="50"/>
  <c r="BM81" i="62"/>
  <c r="W81" i="62"/>
  <c r="N257" i="50"/>
  <c r="AZ257" i="50" s="1"/>
  <c r="AZ235" i="50"/>
  <c r="T60" i="62"/>
  <c r="BK60" i="62" s="1"/>
  <c r="BK67" i="62"/>
  <c r="BM168" i="50"/>
  <c r="AA188" i="50"/>
  <c r="BM188" i="50" s="1"/>
  <c r="I170" i="62"/>
  <c r="AY170" i="62"/>
  <c r="H230" i="50"/>
  <c r="AT230" i="50" s="1"/>
  <c r="AD103" i="62"/>
  <c r="BT103" i="62"/>
  <c r="AC49" i="50"/>
  <c r="BO49" i="50" s="1"/>
  <c r="I92" i="62"/>
  <c r="AY92" i="62"/>
  <c r="AK210" i="50"/>
  <c r="BV210" i="50"/>
  <c r="I195" i="50"/>
  <c r="AT195" i="50"/>
  <c r="W106" i="62"/>
  <c r="BM106" i="62"/>
  <c r="W85" i="62"/>
  <c r="BM85" i="62"/>
  <c r="AD200" i="50"/>
  <c r="BO200" i="50"/>
  <c r="AR251" i="50"/>
  <c r="G251" i="50"/>
  <c r="BT238" i="50"/>
  <c r="AH260" i="50"/>
  <c r="BT260" i="50" s="1"/>
  <c r="M277" i="50"/>
  <c r="AY277" i="50" s="1"/>
  <c r="AY255" i="50"/>
  <c r="AD68" i="62"/>
  <c r="BT68" i="62"/>
  <c r="AK70" i="62"/>
  <c r="CA70" i="62"/>
  <c r="I86" i="62"/>
  <c r="AY86" i="62"/>
  <c r="W89" i="62"/>
  <c r="BM89" i="62"/>
  <c r="AD205" i="50"/>
  <c r="BO205" i="50"/>
  <c r="W98" i="62"/>
  <c r="BM98" i="62"/>
  <c r="AK63" i="62"/>
  <c r="CA63" i="62"/>
  <c r="AJ132" i="50"/>
  <c r="BV132" i="50" s="1"/>
  <c r="AD106" i="62"/>
  <c r="BT106" i="62"/>
  <c r="AY72" i="62"/>
  <c r="H71" i="62"/>
  <c r="AY71" i="62" s="1"/>
  <c r="I72" i="62"/>
  <c r="BT65" i="62"/>
  <c r="AD65" i="62"/>
  <c r="P104" i="62"/>
  <c r="BF104" i="62"/>
  <c r="AD198" i="50"/>
  <c r="BO198" i="50"/>
  <c r="W195" i="50"/>
  <c r="BH195" i="50"/>
  <c r="AK101" i="62"/>
  <c r="CA101" i="62"/>
  <c r="CA84" i="62"/>
  <c r="AK84" i="62"/>
  <c r="W68" i="62"/>
  <c r="BM68" i="62"/>
  <c r="I106" i="62"/>
  <c r="AY106" i="62"/>
  <c r="P212" i="50"/>
  <c r="BA212" i="50"/>
  <c r="I75" i="62"/>
  <c r="AY75" i="62"/>
  <c r="H74" i="62"/>
  <c r="AY74" i="62" s="1"/>
  <c r="M264" i="50"/>
  <c r="AY264" i="50" s="1"/>
  <c r="AY242" i="50"/>
  <c r="T266" i="50"/>
  <c r="BF266" i="50" s="1"/>
  <c r="BF244" i="50"/>
  <c r="P81" i="62"/>
  <c r="BG81" i="62" s="1"/>
  <c r="V83" i="62"/>
  <c r="BM83" i="62" s="1"/>
  <c r="N79" i="62"/>
  <c r="BE79" i="62" s="1"/>
  <c r="BE83" i="62"/>
  <c r="AA236" i="50"/>
  <c r="BM236" i="50" s="1"/>
  <c r="N252" i="50"/>
  <c r="AZ252" i="50" s="1"/>
  <c r="AZ230" i="50"/>
  <c r="U241" i="50"/>
  <c r="BG241" i="50" s="1"/>
  <c r="BG219" i="50"/>
  <c r="BV219" i="50"/>
  <c r="T265" i="50"/>
  <c r="BF265" i="50" s="1"/>
  <c r="V235" i="50"/>
  <c r="G237" i="50"/>
  <c r="AS237" i="50" s="1"/>
  <c r="AS215" i="50"/>
  <c r="BM257" i="50"/>
  <c r="AA279" i="50"/>
  <c r="BM279" i="50" s="1"/>
  <c r="BU148" i="50"/>
  <c r="AI168" i="50"/>
  <c r="AK86" i="62"/>
  <c r="CA86" i="62"/>
  <c r="BT164" i="62"/>
  <c r="AD164" i="62"/>
  <c r="BU164" i="62" s="1"/>
  <c r="CA72" i="62"/>
  <c r="AK72" i="62"/>
  <c r="CB72" i="62" s="1"/>
  <c r="AJ71" i="62"/>
  <c r="CA71" i="62" s="1"/>
  <c r="I98" i="62"/>
  <c r="AY98" i="62"/>
  <c r="AD204" i="50"/>
  <c r="BO204" i="50"/>
  <c r="P91" i="62"/>
  <c r="BF91" i="62"/>
  <c r="AH274" i="50"/>
  <c r="BT274" i="50" s="1"/>
  <c r="BT252" i="50"/>
  <c r="BN169" i="50"/>
  <c r="BN74" i="50"/>
  <c r="U243" i="50"/>
  <c r="BG243" i="50" s="1"/>
  <c r="BG221" i="50"/>
  <c r="AK206" i="50"/>
  <c r="BV206" i="50"/>
  <c r="AK89" i="62"/>
  <c r="CA89" i="62"/>
  <c r="AJ146" i="50"/>
  <c r="BV146" i="50" s="1"/>
  <c r="AD202" i="50"/>
  <c r="BO202" i="50"/>
  <c r="AR252" i="50"/>
  <c r="F274" i="50"/>
  <c r="AR274" i="50" s="1"/>
  <c r="G252" i="50"/>
  <c r="AK37" i="50"/>
  <c r="BW37" i="50" s="1"/>
  <c r="CB65" i="62"/>
  <c r="O64" i="62"/>
  <c r="BF64" i="62" s="1"/>
  <c r="BF65" i="62"/>
  <c r="BT166" i="50"/>
  <c r="AI166" i="50"/>
  <c r="AY171" i="62"/>
  <c r="H231" i="50"/>
  <c r="F262" i="50"/>
  <c r="AR262" i="50" s="1"/>
  <c r="AR240" i="50"/>
  <c r="AA264" i="50"/>
  <c r="BM264" i="50" s="1"/>
  <c r="BM242" i="50"/>
  <c r="AB242" i="50"/>
  <c r="AC242" i="50" s="1"/>
  <c r="AA273" i="50"/>
  <c r="BM273" i="50" s="1"/>
  <c r="BM251" i="50"/>
  <c r="P207" i="50"/>
  <c r="BA207" i="50"/>
  <c r="I93" i="62"/>
  <c r="AY93" i="62"/>
  <c r="P82" i="62"/>
  <c r="BF82" i="62"/>
  <c r="BF251" i="50"/>
  <c r="T273" i="50"/>
  <c r="BF273" i="50" s="1"/>
  <c r="P103" i="62"/>
  <c r="BF103" i="62"/>
  <c r="U248" i="50"/>
  <c r="BG248" i="50" s="1"/>
  <c r="BG226" i="50"/>
  <c r="AD83" i="50"/>
  <c r="BO83" i="50"/>
  <c r="AI163" i="50"/>
  <c r="BU163" i="50" s="1"/>
  <c r="BU143" i="50"/>
  <c r="BL71" i="62"/>
  <c r="U67" i="62"/>
  <c r="BL67" i="62" s="1"/>
  <c r="P87" i="62"/>
  <c r="BF87" i="62"/>
  <c r="AK207" i="50"/>
  <c r="BV207" i="50"/>
  <c r="AD203" i="50"/>
  <c r="BO203" i="50"/>
  <c r="V71" i="62"/>
  <c r="BM71" i="62" s="1"/>
  <c r="AI247" i="50"/>
  <c r="BU247" i="50" s="1"/>
  <c r="BU225" i="50"/>
  <c r="AB250" i="50"/>
  <c r="BN228" i="50"/>
  <c r="N246" i="50"/>
  <c r="AZ224" i="50"/>
  <c r="AB245" i="50"/>
  <c r="BN245" i="50" s="1"/>
  <c r="BN223" i="50"/>
  <c r="O224" i="50"/>
  <c r="BA224" i="50" s="1"/>
  <c r="G240" i="50"/>
  <c r="AS218" i="50"/>
  <c r="I193" i="50"/>
  <c r="AT193" i="50"/>
  <c r="I63" i="62"/>
  <c r="AY63" i="62"/>
  <c r="AY240" i="50"/>
  <c r="M262" i="50"/>
  <c r="AY262" i="50" s="1"/>
  <c r="AK208" i="50"/>
  <c r="BV208" i="50"/>
  <c r="W77" i="62"/>
  <c r="BM77" i="62"/>
  <c r="V74" i="62"/>
  <c r="BM74" i="62" s="1"/>
  <c r="I87" i="62"/>
  <c r="AY87" i="62"/>
  <c r="P213" i="50"/>
  <c r="BA213" i="50"/>
  <c r="W86" i="62"/>
  <c r="BM86" i="62"/>
  <c r="BU81" i="62"/>
  <c r="AE81" i="62"/>
  <c r="BN59" i="50"/>
  <c r="AB84" i="50"/>
  <c r="AD210" i="50"/>
  <c r="BO210" i="50"/>
  <c r="I196" i="50"/>
  <c r="AT196" i="50"/>
  <c r="P92" i="62"/>
  <c r="BF92" i="62"/>
  <c r="AG60" i="62"/>
  <c r="BX60" i="62" s="1"/>
  <c r="BX79" i="62"/>
  <c r="AK209" i="50"/>
  <c r="BV209" i="50"/>
  <c r="W210" i="50"/>
  <c r="BH210" i="50"/>
  <c r="AK91" i="62"/>
  <c r="CA91" i="62"/>
  <c r="AJ148" i="50"/>
  <c r="BV148" i="50" s="1"/>
  <c r="M265" i="50"/>
  <c r="AY265" i="50" s="1"/>
  <c r="AY243" i="50"/>
  <c r="AD85" i="62"/>
  <c r="BT85" i="62"/>
  <c r="I108" i="62"/>
  <c r="AY108" i="62"/>
  <c r="I159" i="62"/>
  <c r="AY159" i="62"/>
  <c r="H219" i="50"/>
  <c r="AT219" i="50" s="1"/>
  <c r="W205" i="50"/>
  <c r="BH205" i="50"/>
  <c r="I76" i="62"/>
  <c r="AY76" i="62"/>
  <c r="AD105" i="62"/>
  <c r="BT105" i="62"/>
  <c r="AC55" i="50"/>
  <c r="BO55" i="50" s="1"/>
  <c r="AD193" i="50"/>
  <c r="BO193" i="50"/>
  <c r="AK87" i="62"/>
  <c r="CA87" i="62"/>
  <c r="P98" i="62"/>
  <c r="BF98" i="62"/>
  <c r="P76" i="62"/>
  <c r="BF76" i="62"/>
  <c r="BT241" i="50"/>
  <c r="AH263" i="50"/>
  <c r="BT263" i="50" s="1"/>
  <c r="I206" i="50"/>
  <c r="AT206" i="50"/>
  <c r="P66" i="62"/>
  <c r="BF66" i="62"/>
  <c r="AK195" i="50"/>
  <c r="BV195" i="50"/>
  <c r="AK103" i="62"/>
  <c r="CA103" i="62"/>
  <c r="P78" i="62"/>
  <c r="BF78" i="62"/>
  <c r="I198" i="50"/>
  <c r="AT198" i="50"/>
  <c r="AA274" i="50"/>
  <c r="BM274" i="50" s="1"/>
  <c r="BM252" i="50"/>
  <c r="AR241" i="50"/>
  <c r="G241" i="50"/>
  <c r="G263" i="50" s="1"/>
  <c r="AS263" i="50" s="1"/>
  <c r="AH264" i="50"/>
  <c r="BT264" i="50" s="1"/>
  <c r="BT242" i="50"/>
  <c r="BT100" i="62"/>
  <c r="AD100" i="62"/>
  <c r="AC50" i="50"/>
  <c r="BO50" i="50" s="1"/>
  <c r="AK193" i="50"/>
  <c r="BV193" i="50"/>
  <c r="AD98" i="62"/>
  <c r="BT98" i="62"/>
  <c r="L60" i="62"/>
  <c r="BC60" i="62" s="1"/>
  <c r="BC79" i="62"/>
  <c r="F276" i="50"/>
  <c r="AR276" i="50" s="1"/>
  <c r="AR254" i="50"/>
  <c r="AB255" i="50"/>
  <c r="BN255" i="50" s="1"/>
  <c r="BN233" i="50"/>
  <c r="AI242" i="50"/>
  <c r="BU220" i="50"/>
  <c r="AS242" i="50"/>
  <c r="P156" i="62"/>
  <c r="BG156" i="62" s="1"/>
  <c r="BF156" i="62"/>
  <c r="W78" i="62"/>
  <c r="BM78" i="62"/>
  <c r="I200" i="50"/>
  <c r="AT200" i="50"/>
  <c r="I73" i="62"/>
  <c r="AY73" i="62"/>
  <c r="AK92" i="62"/>
  <c r="CA92" i="62"/>
  <c r="AK211" i="50"/>
  <c r="BV211" i="50"/>
  <c r="I89" i="62"/>
  <c r="AY89" i="62"/>
  <c r="P86" i="62"/>
  <c r="BF86" i="62"/>
  <c r="AY246" i="50"/>
  <c r="M268" i="50"/>
  <c r="AY268" i="50" s="1"/>
  <c r="W93" i="62"/>
  <c r="BM93" i="62"/>
  <c r="P69" i="62"/>
  <c r="BF69" i="62"/>
  <c r="AD194" i="50"/>
  <c r="BO194" i="50"/>
  <c r="AH270" i="50"/>
  <c r="BT270" i="50" s="1"/>
  <c r="BT248" i="50"/>
  <c r="AD104" i="62"/>
  <c r="BT104" i="62"/>
  <c r="AC53" i="50"/>
  <c r="BO53" i="50" s="1"/>
  <c r="AK198" i="50"/>
  <c r="BV198" i="50"/>
  <c r="F266" i="50"/>
  <c r="AR266" i="50" s="1"/>
  <c r="AR244" i="50"/>
  <c r="U246" i="50"/>
  <c r="BG224" i="50"/>
  <c r="G248" i="50"/>
  <c r="AS248" i="50" s="1"/>
  <c r="AS226" i="50"/>
  <c r="U257" i="50"/>
  <c r="BG235" i="50"/>
  <c r="AS249" i="50"/>
  <c r="E60" i="51"/>
  <c r="AV60" i="51" s="1"/>
  <c r="AV67" i="51"/>
  <c r="H205" i="50"/>
  <c r="AS205" i="50"/>
  <c r="AD206" i="50"/>
  <c r="BO206" i="50"/>
  <c r="P206" i="50"/>
  <c r="BA206" i="50"/>
  <c r="AY251" i="50"/>
  <c r="M273" i="50"/>
  <c r="AY273" i="50" s="1"/>
  <c r="I204" i="50"/>
  <c r="AT204" i="50"/>
  <c r="P70" i="62"/>
  <c r="BF70" i="62"/>
  <c r="AB244" i="50"/>
  <c r="BN222" i="50"/>
  <c r="AR255" i="50"/>
  <c r="G255" i="50"/>
  <c r="AK36" i="50"/>
  <c r="BW36" i="50" s="1"/>
  <c r="CB62" i="62"/>
  <c r="N250" i="50"/>
  <c r="AZ228" i="50"/>
  <c r="BH231" i="50"/>
  <c r="I171" i="62"/>
  <c r="AZ171" i="62" s="1"/>
  <c r="AI240" i="50"/>
  <c r="BU240" i="50" s="1"/>
  <c r="BU218" i="50"/>
  <c r="AI255" i="50"/>
  <c r="BU233" i="50"/>
  <c r="BT239" i="50"/>
  <c r="AH261" i="50"/>
  <c r="BT261" i="50" s="1"/>
  <c r="AR237" i="50"/>
  <c r="F259" i="50"/>
  <c r="AR259" i="50" s="1"/>
  <c r="BF247" i="50"/>
  <c r="T269" i="50"/>
  <c r="BF269" i="50" s="1"/>
  <c r="C70" i="67"/>
  <c r="C125" i="67" s="1"/>
  <c r="BN192" i="50"/>
  <c r="C70" i="85" s="1"/>
  <c r="C125" i="85" s="1"/>
  <c r="AA259" i="50"/>
  <c r="BM259" i="50" s="1"/>
  <c r="F236" i="50"/>
  <c r="AR236" i="50" s="1"/>
  <c r="AI250" i="50"/>
  <c r="BU250" i="50" s="1"/>
  <c r="BU228" i="50"/>
  <c r="G239" i="50"/>
  <c r="AS239" i="50" s="1"/>
  <c r="AS217" i="50"/>
  <c r="AJ217" i="50"/>
  <c r="CA157" i="62"/>
  <c r="AH236" i="50"/>
  <c r="BT236" i="50" s="1"/>
  <c r="AI257" i="50"/>
  <c r="BU235" i="50"/>
  <c r="AA180" i="50"/>
  <c r="BM180" i="50" s="1"/>
  <c r="BM160" i="50"/>
  <c r="AA271" i="50"/>
  <c r="BM271" i="50" s="1"/>
  <c r="BM249" i="50"/>
  <c r="AD199" i="50"/>
  <c r="BO199" i="50"/>
  <c r="W199" i="50"/>
  <c r="BH199" i="50"/>
  <c r="W70" i="62"/>
  <c r="BM70" i="62"/>
  <c r="T271" i="50"/>
  <c r="BF271" i="50" s="1"/>
  <c r="BF249" i="50"/>
  <c r="P73" i="62"/>
  <c r="BF73" i="62"/>
  <c r="Z60" i="62"/>
  <c r="BQ60" i="62" s="1"/>
  <c r="BQ79" i="62"/>
  <c r="W102" i="62"/>
  <c r="BM102" i="62"/>
  <c r="W202" i="50"/>
  <c r="BH202" i="50"/>
  <c r="O80" i="62"/>
  <c r="BF80" i="62" s="1"/>
  <c r="AJ83" i="62"/>
  <c r="CA83" i="62" s="1"/>
  <c r="G250" i="50"/>
  <c r="AS228" i="50"/>
  <c r="AB257" i="50"/>
  <c r="BN257" i="50" s="1"/>
  <c r="BN235" i="50"/>
  <c r="AB237" i="50"/>
  <c r="BN237" i="50" s="1"/>
  <c r="BN215" i="50"/>
  <c r="U256" i="50"/>
  <c r="BG234" i="50"/>
  <c r="N248" i="50"/>
  <c r="AZ226" i="50"/>
  <c r="AA159" i="50"/>
  <c r="BM159" i="50" s="1"/>
  <c r="BM139" i="50"/>
  <c r="U252" i="50"/>
  <c r="BG230" i="50"/>
  <c r="U254" i="50"/>
  <c r="BG254" i="50" s="1"/>
  <c r="BG232" i="50"/>
  <c r="U240" i="50"/>
  <c r="BG240" i="50" s="1"/>
  <c r="BG218" i="50"/>
  <c r="AI244" i="50"/>
  <c r="BU244" i="50" s="1"/>
  <c r="BU222" i="50"/>
  <c r="N247" i="50"/>
  <c r="AZ247" i="50" s="1"/>
  <c r="AZ225" i="50"/>
  <c r="W175" i="62"/>
  <c r="BN175" i="62" s="1"/>
  <c r="AI238" i="50"/>
  <c r="BU238" i="50" s="1"/>
  <c r="BU216" i="50"/>
  <c r="AB76" i="50"/>
  <c r="BN76" i="50" s="1"/>
  <c r="BN51" i="50"/>
  <c r="AJ169" i="50"/>
  <c r="BU169" i="50"/>
  <c r="W208" i="50"/>
  <c r="BH208" i="50"/>
  <c r="BT253" i="50"/>
  <c r="AH275" i="50"/>
  <c r="BT275" i="50" s="1"/>
  <c r="AD201" i="50"/>
  <c r="BO201" i="50"/>
  <c r="AK82" i="62"/>
  <c r="CA82" i="62"/>
  <c r="AJ140" i="50"/>
  <c r="BV140" i="50" s="1"/>
  <c r="W101" i="62"/>
  <c r="BM101" i="62"/>
  <c r="W66" i="62"/>
  <c r="BM66" i="62"/>
  <c r="W63" i="62"/>
  <c r="W61" i="62" s="1"/>
  <c r="BN61" i="62" s="1"/>
  <c r="BM63" i="62"/>
  <c r="P204" i="50"/>
  <c r="BA204" i="50"/>
  <c r="W212" i="50"/>
  <c r="BH212" i="50"/>
  <c r="P195" i="50"/>
  <c r="BA195" i="50"/>
  <c r="W169" i="62"/>
  <c r="BM169" i="62"/>
  <c r="AA186" i="50"/>
  <c r="BM186" i="50" s="1"/>
  <c r="BM166" i="50"/>
  <c r="AJ43" i="50"/>
  <c r="BV43" i="50" s="1"/>
  <c r="AD70" i="62"/>
  <c r="BT70" i="62"/>
  <c r="W200" i="50"/>
  <c r="BH200" i="50"/>
  <c r="P89" i="62"/>
  <c r="BF89" i="62"/>
  <c r="I88" i="62"/>
  <c r="AY88" i="62"/>
  <c r="F277" i="50"/>
  <c r="AR277" i="50" s="1"/>
  <c r="AJ155" i="50"/>
  <c r="BU155" i="50"/>
  <c r="P164" i="62"/>
  <c r="BG164" i="62" s="1"/>
  <c r="AA265" i="50"/>
  <c r="BM265" i="50" s="1"/>
  <c r="BM243" i="50"/>
  <c r="T274" i="50"/>
  <c r="BF274" i="50" s="1"/>
  <c r="BF252" i="50"/>
  <c r="AI239" i="50"/>
  <c r="BU217" i="50"/>
  <c r="BF256" i="50"/>
  <c r="T278" i="50"/>
  <c r="BF278" i="50" s="1"/>
  <c r="H201" i="50"/>
  <c r="AS201" i="50"/>
  <c r="W90" i="62"/>
  <c r="BM90" i="62"/>
  <c r="AD89" i="62"/>
  <c r="BT89" i="62"/>
  <c r="AC146" i="50"/>
  <c r="BO146" i="50" s="1"/>
  <c r="P108" i="62"/>
  <c r="BF108" i="62"/>
  <c r="P198" i="50"/>
  <c r="BA198" i="50"/>
  <c r="U251" i="50"/>
  <c r="BG229" i="50"/>
  <c r="AD162" i="62"/>
  <c r="BU162" i="62" s="1"/>
  <c r="BT162" i="62"/>
  <c r="V61" i="62"/>
  <c r="BM61" i="62" s="1"/>
  <c r="BM62" i="62"/>
  <c r="AD93" i="62"/>
  <c r="BT93" i="62"/>
  <c r="W197" i="50"/>
  <c r="BH197" i="50"/>
  <c r="BT84" i="62"/>
  <c r="AD84" i="62"/>
  <c r="AC83" i="62"/>
  <c r="BT83" i="62" s="1"/>
  <c r="P63" i="62"/>
  <c r="BF63" i="62"/>
  <c r="AK96" i="62"/>
  <c r="CA96" i="62"/>
  <c r="AK205" i="50"/>
  <c r="BV205" i="50"/>
  <c r="AD97" i="62"/>
  <c r="BT97" i="62"/>
  <c r="I102" i="62"/>
  <c r="AY102" i="62"/>
  <c r="P93" i="62"/>
  <c r="BF93" i="62"/>
  <c r="BM254" i="50"/>
  <c r="AA276" i="50"/>
  <c r="BM276" i="50" s="1"/>
  <c r="AD208" i="50"/>
  <c r="BO208" i="50"/>
  <c r="BM239" i="50"/>
  <c r="AA261" i="50"/>
  <c r="BM261" i="50" s="1"/>
  <c r="AK203" i="50"/>
  <c r="BV203" i="50"/>
  <c r="W104" i="62"/>
  <c r="BM104" i="62"/>
  <c r="I210" i="50"/>
  <c r="AT210" i="50"/>
  <c r="F261" i="50"/>
  <c r="AR261" i="50" s="1"/>
  <c r="AR239" i="50"/>
  <c r="AK90" i="62"/>
  <c r="CA90" i="62"/>
  <c r="AD209" i="50"/>
  <c r="BO209" i="50"/>
  <c r="W211" i="50"/>
  <c r="BH211" i="50"/>
  <c r="P106" i="62"/>
  <c r="BF106" i="62"/>
  <c r="W201" i="50"/>
  <c r="BH201" i="50"/>
  <c r="P97" i="62"/>
  <c r="BF97" i="62"/>
  <c r="AK102" i="62"/>
  <c r="CA102" i="62"/>
  <c r="AH278" i="50"/>
  <c r="BT278" i="50" s="1"/>
  <c r="BT256" i="50"/>
  <c r="AH262" i="50"/>
  <c r="BT262" i="50" s="1"/>
  <c r="BT240" i="50"/>
  <c r="I103" i="62"/>
  <c r="AY103" i="62"/>
  <c r="H207" i="50"/>
  <c r="AS207" i="50"/>
  <c r="T264" i="50"/>
  <c r="BF264" i="50" s="1"/>
  <c r="BF242" i="50"/>
  <c r="F272" i="50"/>
  <c r="AR272" i="50" s="1"/>
  <c r="AR250" i="50"/>
  <c r="AD197" i="50"/>
  <c r="BO197" i="50"/>
  <c r="AY84" i="62"/>
  <c r="I84" i="62"/>
  <c r="H83" i="62"/>
  <c r="AY83" i="62" s="1"/>
  <c r="P68" i="62"/>
  <c r="BF68" i="62"/>
  <c r="BM256" i="50"/>
  <c r="AA278" i="50"/>
  <c r="BM278" i="50" s="1"/>
  <c r="AC51" i="50"/>
  <c r="BO51" i="50" s="1"/>
  <c r="BT101" i="62"/>
  <c r="AJ139" i="50"/>
  <c r="BV139" i="50" s="1"/>
  <c r="CA81" i="62"/>
  <c r="BO234" i="50"/>
  <c r="AI248" i="50"/>
  <c r="BU248" i="50" s="1"/>
  <c r="BU226" i="50"/>
  <c r="U239" i="50"/>
  <c r="BG239" i="50" s="1"/>
  <c r="BG217" i="50"/>
  <c r="W171" i="62"/>
  <c r="BN171" i="62" s="1"/>
  <c r="N241" i="50"/>
  <c r="AZ241" i="50" s="1"/>
  <c r="AZ219" i="50"/>
  <c r="AI243" i="50"/>
  <c r="BU243" i="50" s="1"/>
  <c r="BU221" i="50"/>
  <c r="AB249" i="50"/>
  <c r="BN227" i="50"/>
  <c r="AB251" i="50"/>
  <c r="BN251" i="50" s="1"/>
  <c r="BN229" i="50"/>
  <c r="U244" i="50"/>
  <c r="BG244" i="50" s="1"/>
  <c r="BG222" i="50"/>
  <c r="U242" i="50"/>
  <c r="BG242" i="50" s="1"/>
  <c r="BG220" i="50"/>
  <c r="G254" i="50"/>
  <c r="AS232" i="50"/>
  <c r="AB243" i="50"/>
  <c r="BN243" i="50" s="1"/>
  <c r="BN221" i="50"/>
  <c r="U260" i="50"/>
  <c r="BG260" i="50" s="1"/>
  <c r="BG238" i="50"/>
  <c r="N244" i="50"/>
  <c r="AZ244" i="50" s="1"/>
  <c r="AZ222" i="50"/>
  <c r="AI253" i="50"/>
  <c r="BU231" i="50"/>
  <c r="AS243" i="50"/>
  <c r="W163" i="62"/>
  <c r="BN163" i="62" s="1"/>
  <c r="BM163" i="62"/>
  <c r="AB246" i="50"/>
  <c r="BN224" i="50"/>
  <c r="S60" i="51"/>
  <c r="BJ60" i="51" s="1"/>
  <c r="BJ67" i="51"/>
  <c r="AH268" i="50"/>
  <c r="BT268" i="50" s="1"/>
  <c r="BT246" i="50"/>
  <c r="M263" i="50"/>
  <c r="AY263" i="50" s="1"/>
  <c r="AY241" i="50"/>
  <c r="M269" i="50"/>
  <c r="AY269" i="50" s="1"/>
  <c r="AY247" i="50"/>
  <c r="AH266" i="50"/>
  <c r="BT266" i="50" s="1"/>
  <c r="BT244" i="50"/>
  <c r="AK97" i="62"/>
  <c r="CA97" i="62"/>
  <c r="I165" i="62"/>
  <c r="AY165" i="62"/>
  <c r="H225" i="50"/>
  <c r="AT225" i="50" s="1"/>
  <c r="I167" i="62"/>
  <c r="AY167" i="62"/>
  <c r="H227" i="50"/>
  <c r="AT227" i="50" s="1"/>
  <c r="P196" i="50"/>
  <c r="BA196" i="50"/>
  <c r="P203" i="50"/>
  <c r="BA203" i="50"/>
  <c r="AY238" i="50"/>
  <c r="M260" i="50"/>
  <c r="AY260" i="50" s="1"/>
  <c r="P209" i="50"/>
  <c r="BA209" i="50"/>
  <c r="W92" i="62"/>
  <c r="BM92" i="62"/>
  <c r="AK98" i="62"/>
  <c r="CA98" i="62"/>
  <c r="AB254" i="50"/>
  <c r="BN232" i="50"/>
  <c r="AH259" i="50"/>
  <c r="BT259" i="50" s="1"/>
  <c r="BT237" i="50"/>
  <c r="AH272" i="50"/>
  <c r="BT272" i="50" s="1"/>
  <c r="BT250" i="50"/>
  <c r="AK200" i="50"/>
  <c r="BV200" i="50"/>
  <c r="P100" i="62"/>
  <c r="BF100" i="62"/>
  <c r="AD77" i="62"/>
  <c r="BT77" i="62"/>
  <c r="BF238" i="50"/>
  <c r="T260" i="50"/>
  <c r="BF260" i="50" s="1"/>
  <c r="AK77" i="62"/>
  <c r="CA77" i="62"/>
  <c r="P199" i="50"/>
  <c r="BA199" i="50"/>
  <c r="W69" i="62"/>
  <c r="BM69" i="62"/>
  <c r="P90" i="62"/>
  <c r="BF90" i="62"/>
  <c r="T270" i="50"/>
  <c r="BF270" i="50" s="1"/>
  <c r="BF248" i="50"/>
  <c r="W103" i="62"/>
  <c r="BM103" i="62"/>
  <c r="AK69" i="62"/>
  <c r="CA69" i="62"/>
  <c r="AK108" i="62"/>
  <c r="CA108" i="62"/>
  <c r="AY244" i="50"/>
  <c r="M266" i="50"/>
  <c r="AY266" i="50" s="1"/>
  <c r="AD91" i="62"/>
  <c r="BT91" i="62"/>
  <c r="AK107" i="62"/>
  <c r="CA107" i="62"/>
  <c r="W193" i="50"/>
  <c r="BH193" i="50"/>
  <c r="AH265" i="50"/>
  <c r="BT265" i="50" s="1"/>
  <c r="BT243" i="50"/>
  <c r="AA267" i="50"/>
  <c r="BM267" i="50" s="1"/>
  <c r="BM245" i="50"/>
  <c r="W97" i="62"/>
  <c r="BM97" i="62"/>
  <c r="P201" i="50"/>
  <c r="BA201" i="50"/>
  <c r="P194" i="50"/>
  <c r="BA194" i="50"/>
  <c r="AK66" i="62"/>
  <c r="CA66" i="62"/>
  <c r="I85" i="62"/>
  <c r="AY85" i="62"/>
  <c r="P200" i="50"/>
  <c r="BA200" i="50"/>
  <c r="I82" i="62"/>
  <c r="AY82" i="62"/>
  <c r="AK106" i="62"/>
  <c r="CA106" i="62"/>
  <c r="BM244" i="50"/>
  <c r="AA266" i="50"/>
  <c r="BM266" i="50" s="1"/>
  <c r="W88" i="62"/>
  <c r="BM88" i="62"/>
  <c r="BT249" i="50"/>
  <c r="AH271" i="50"/>
  <c r="BT271" i="50" s="1"/>
  <c r="AD213" i="50"/>
  <c r="BO213" i="50"/>
  <c r="AK93" i="62"/>
  <c r="CA93" i="62"/>
  <c r="I91" i="62"/>
  <c r="AY91" i="62"/>
  <c r="BT255" i="50"/>
  <c r="AH277" i="50"/>
  <c r="BT277" i="50" s="1"/>
  <c r="AD88" i="62"/>
  <c r="BT88" i="62"/>
  <c r="AK196" i="50"/>
  <c r="BV196" i="50"/>
  <c r="AA262" i="50"/>
  <c r="BM262" i="50" s="1"/>
  <c r="BM240" i="50"/>
  <c r="M274" i="50"/>
  <c r="AY274" i="50" s="1"/>
  <c r="AY252" i="50"/>
  <c r="H212" i="50"/>
  <c r="AS212" i="50"/>
  <c r="P211" i="50"/>
  <c r="BA211" i="50"/>
  <c r="BF257" i="50"/>
  <c r="T279" i="50"/>
  <c r="BF279" i="50" s="1"/>
  <c r="P105" i="62"/>
  <c r="BF105" i="62"/>
  <c r="P208" i="50"/>
  <c r="BA208" i="50"/>
  <c r="AC81" i="50"/>
  <c r="U250" i="50"/>
  <c r="BG250" i="50" s="1"/>
  <c r="BG228" i="50"/>
  <c r="N249" i="50"/>
  <c r="AZ227" i="50"/>
  <c r="AB239" i="50"/>
  <c r="BN217" i="50"/>
  <c r="U237" i="50"/>
  <c r="BG237" i="50" s="1"/>
  <c r="BG215" i="50"/>
  <c r="N256" i="50"/>
  <c r="O256" i="50" s="1"/>
  <c r="AZ234" i="50"/>
  <c r="N240" i="50"/>
  <c r="AZ218" i="50"/>
  <c r="AD172" i="62"/>
  <c r="BU172" i="62" s="1"/>
  <c r="BT172" i="62"/>
  <c r="AC216" i="50"/>
  <c r="BO216" i="50" s="1"/>
  <c r="BT156" i="62"/>
  <c r="BF253" i="50"/>
  <c r="T275" i="50"/>
  <c r="BF275" i="50" s="1"/>
  <c r="AK78" i="62"/>
  <c r="CA78" i="62"/>
  <c r="W108" i="62"/>
  <c r="BM108" i="62"/>
  <c r="AK73" i="62"/>
  <c r="AK71" i="62" s="1"/>
  <c r="CB71" i="62" s="1"/>
  <c r="CA73" i="62"/>
  <c r="I104" i="62"/>
  <c r="AY104" i="62"/>
  <c r="W213" i="50"/>
  <c r="BH213" i="50"/>
  <c r="AD212" i="50"/>
  <c r="BO212" i="50"/>
  <c r="AK197" i="50"/>
  <c r="BV197" i="50"/>
  <c r="AK201" i="50"/>
  <c r="BV201" i="50"/>
  <c r="AD102" i="62"/>
  <c r="BT102" i="62"/>
  <c r="AD196" i="50"/>
  <c r="BO196" i="50"/>
  <c r="BT251" i="50"/>
  <c r="AH273" i="50"/>
  <c r="BT273" i="50" s="1"/>
  <c r="I77" i="62"/>
  <c r="AY77" i="62"/>
  <c r="I213" i="50"/>
  <c r="AT213" i="50"/>
  <c r="W76" i="62"/>
  <c r="BM76" i="62"/>
  <c r="P171" i="62"/>
  <c r="BF171" i="62"/>
  <c r="O231" i="50"/>
  <c r="BA231" i="50" s="1"/>
  <c r="I96" i="62"/>
  <c r="AY96" i="62"/>
  <c r="BT245" i="50"/>
  <c r="AH267" i="50"/>
  <c r="BT267" i="50" s="1"/>
  <c r="AD92" i="62"/>
  <c r="BT92" i="62"/>
  <c r="P193" i="50"/>
  <c r="BA193" i="50"/>
  <c r="BF245" i="50"/>
  <c r="T267" i="50"/>
  <c r="BF267" i="50" s="1"/>
  <c r="AD69" i="62"/>
  <c r="BT69" i="62"/>
  <c r="AK213" i="50"/>
  <c r="BV213" i="50"/>
  <c r="U245" i="50"/>
  <c r="V245" i="50" s="1"/>
  <c r="BH245" i="50" s="1"/>
  <c r="BG223" i="50"/>
  <c r="M267" i="50"/>
  <c r="AY267" i="50" s="1"/>
  <c r="AY245" i="50"/>
  <c r="U253" i="50"/>
  <c r="V253" i="50" s="1"/>
  <c r="H199" i="50"/>
  <c r="AS199" i="50"/>
  <c r="I68" i="62"/>
  <c r="AY68" i="62"/>
  <c r="W87" i="62"/>
  <c r="BM87" i="62"/>
  <c r="I90" i="62"/>
  <c r="AY90" i="62"/>
  <c r="I107" i="62"/>
  <c r="AY107" i="62"/>
  <c r="M271" i="50"/>
  <c r="AY271" i="50" s="1"/>
  <c r="AY249" i="50"/>
  <c r="AB252" i="50"/>
  <c r="BN230" i="50"/>
  <c r="AD160" i="62"/>
  <c r="BU160" i="62" s="1"/>
  <c r="BT160" i="62"/>
  <c r="AK88" i="62"/>
  <c r="CA88" i="62"/>
  <c r="O61" i="62"/>
  <c r="BF61" i="62" s="1"/>
  <c r="G79" i="62"/>
  <c r="AX79" i="62" s="1"/>
  <c r="AX80" i="62"/>
  <c r="AC132" i="50"/>
  <c r="BO132" i="50" s="1"/>
  <c r="BT63" i="62"/>
  <c r="AA75" i="50"/>
  <c r="BM75" i="50" s="1"/>
  <c r="BM50" i="50"/>
  <c r="N251" i="50"/>
  <c r="AZ251" i="50" s="1"/>
  <c r="AZ229" i="50"/>
  <c r="N245" i="50"/>
  <c r="AZ223" i="50"/>
  <c r="AB253" i="50"/>
  <c r="BN253" i="50" s="1"/>
  <c r="BN231" i="50"/>
  <c r="AI254" i="50"/>
  <c r="BU254" i="50" s="1"/>
  <c r="BU232" i="50"/>
  <c r="V216" i="50"/>
  <c r="BH216" i="50" s="1"/>
  <c r="BM156" i="62"/>
  <c r="AI67" i="62"/>
  <c r="BZ67" i="62" s="1"/>
  <c r="BZ74" i="62"/>
  <c r="AD79" i="50"/>
  <c r="BO79" i="50"/>
  <c r="BN163" i="50"/>
  <c r="N239" i="50"/>
  <c r="AZ239" i="50" s="1"/>
  <c r="AZ217" i="50"/>
  <c r="BH223" i="50"/>
  <c r="AI252" i="50"/>
  <c r="BU230" i="50"/>
  <c r="G244" i="50"/>
  <c r="AS244" i="50" s="1"/>
  <c r="AS222" i="50"/>
  <c r="N242" i="50"/>
  <c r="AZ220" i="50"/>
  <c r="AI246" i="50"/>
  <c r="BU224" i="50"/>
  <c r="U247" i="50"/>
  <c r="BG247" i="50" s="1"/>
  <c r="BG225" i="50"/>
  <c r="AB247" i="50"/>
  <c r="BN247" i="50" s="1"/>
  <c r="BN225" i="50"/>
  <c r="N255" i="50"/>
  <c r="AZ233" i="50"/>
  <c r="AC222" i="50"/>
  <c r="AI256" i="50"/>
  <c r="BU234" i="50"/>
  <c r="AB79" i="62"/>
  <c r="BS79" i="62" s="1"/>
  <c r="BS80" i="62"/>
  <c r="AI245" i="50"/>
  <c r="BU223" i="50"/>
  <c r="AB240" i="50"/>
  <c r="BN218" i="50"/>
  <c r="AB248" i="50"/>
  <c r="BN226" i="50"/>
  <c r="AH60" i="62"/>
  <c r="BY60" i="62" s="1"/>
  <c r="BY67" i="62"/>
  <c r="AB238" i="50"/>
  <c r="AS238" i="50"/>
  <c r="AJ52" i="50"/>
  <c r="BV52" i="50" s="1"/>
  <c r="O215" i="50"/>
  <c r="BA215" i="50" s="1"/>
  <c r="BF155" i="62"/>
  <c r="AB160" i="50"/>
  <c r="BN160" i="50" s="1"/>
  <c r="BN140" i="50"/>
  <c r="AI249" i="50"/>
  <c r="AJ249" i="50" s="1"/>
  <c r="BV249" i="50" s="1"/>
  <c r="BU227" i="50"/>
  <c r="AA272" i="50"/>
  <c r="BM272" i="50" s="1"/>
  <c r="BM250" i="50"/>
  <c r="AA269" i="50"/>
  <c r="BM269" i="50" s="1"/>
  <c r="BM247" i="50"/>
  <c r="H211" i="50"/>
  <c r="AS211" i="50"/>
  <c r="G253" i="50"/>
  <c r="AS231" i="50"/>
  <c r="AK85" i="62"/>
  <c r="CA85" i="62"/>
  <c r="P77" i="62"/>
  <c r="BF77" i="62"/>
  <c r="W196" i="50"/>
  <c r="BH196" i="50"/>
  <c r="AD87" i="62"/>
  <c r="BT87" i="62"/>
  <c r="AA268" i="50"/>
  <c r="BM268" i="50" s="1"/>
  <c r="BM246" i="50"/>
  <c r="AK76" i="62"/>
  <c r="CA76" i="62"/>
  <c r="P205" i="50"/>
  <c r="BA205" i="50"/>
  <c r="I160" i="62"/>
  <c r="AY160" i="62"/>
  <c r="H220" i="50"/>
  <c r="AT220" i="50" s="1"/>
  <c r="T272" i="50"/>
  <c r="BF272" i="50" s="1"/>
  <c r="BF250" i="50"/>
  <c r="H202" i="50"/>
  <c r="AS202" i="50"/>
  <c r="H194" i="50"/>
  <c r="AS194" i="50"/>
  <c r="AA189" i="50"/>
  <c r="BM189" i="50" s="1"/>
  <c r="BM169" i="50"/>
  <c r="AD78" i="62"/>
  <c r="BT78" i="62"/>
  <c r="I156" i="62"/>
  <c r="AY156" i="62"/>
  <c r="H216" i="50"/>
  <c r="AT216" i="50" s="1"/>
  <c r="AD86" i="62"/>
  <c r="BT86" i="62"/>
  <c r="AK202" i="50"/>
  <c r="BV202" i="50"/>
  <c r="AK105" i="62"/>
  <c r="CA105" i="62"/>
  <c r="AK68" i="62"/>
  <c r="CA68" i="62"/>
  <c r="W96" i="62"/>
  <c r="BM96" i="62"/>
  <c r="AD107" i="62"/>
  <c r="BT107" i="62"/>
  <c r="AI241" i="50"/>
  <c r="BU219" i="50"/>
  <c r="AD76" i="62"/>
  <c r="BT76" i="62"/>
  <c r="W203" i="50"/>
  <c r="BH203" i="50"/>
  <c r="P88" i="62"/>
  <c r="BF88" i="62"/>
  <c r="I174" i="62"/>
  <c r="AY174" i="62"/>
  <c r="H234" i="50"/>
  <c r="AT234" i="50" s="1"/>
  <c r="S60" i="62"/>
  <c r="BJ60" i="62" s="1"/>
  <c r="BJ79" i="62"/>
  <c r="W107" i="62"/>
  <c r="BM107" i="62"/>
  <c r="BM248" i="50"/>
  <c r="AA270" i="50"/>
  <c r="BM270" i="50" s="1"/>
  <c r="AD82" i="62"/>
  <c r="BT82" i="62"/>
  <c r="AB256" i="50"/>
  <c r="AC256" i="50" s="1"/>
  <c r="H208" i="50"/>
  <c r="AS208" i="50"/>
  <c r="P197" i="50"/>
  <c r="BA197" i="50"/>
  <c r="BT62" i="62"/>
  <c r="AD62" i="62"/>
  <c r="AK212" i="50"/>
  <c r="BV212" i="50"/>
  <c r="I161" i="62"/>
  <c r="AY161" i="62"/>
  <c r="H221" i="50"/>
  <c r="AT221" i="50" s="1"/>
  <c r="W91" i="62"/>
  <c r="BM91" i="62"/>
  <c r="AD207" i="50"/>
  <c r="BO207" i="50"/>
  <c r="AK104" i="62"/>
  <c r="CA104" i="62"/>
  <c r="I209" i="50"/>
  <c r="AT209" i="50"/>
  <c r="W207" i="50"/>
  <c r="BH207" i="50"/>
  <c r="I97" i="62"/>
  <c r="AY97" i="62"/>
  <c r="AY256" i="50"/>
  <c r="M278" i="50"/>
  <c r="AY278" i="50" s="1"/>
  <c r="I173" i="62"/>
  <c r="AY173" i="62"/>
  <c r="H233" i="50"/>
  <c r="AT233" i="50" s="1"/>
  <c r="AD195" i="50"/>
  <c r="BO195" i="50"/>
  <c r="W194" i="50"/>
  <c r="BH194" i="50"/>
  <c r="W209" i="50"/>
  <c r="BH209" i="50"/>
  <c r="AD95" i="62"/>
  <c r="BT95" i="62"/>
  <c r="W204" i="50"/>
  <c r="BH204" i="50"/>
  <c r="N238" i="50"/>
  <c r="AZ216" i="50"/>
  <c r="T263" i="50"/>
  <c r="BF263" i="50" s="1"/>
  <c r="BF241" i="50"/>
  <c r="AD211" i="50"/>
  <c r="BO211" i="50"/>
  <c r="F275" i="50"/>
  <c r="AR275" i="50" s="1"/>
  <c r="AR253" i="50"/>
  <c r="AD73" i="62"/>
  <c r="BT73" i="62"/>
  <c r="T268" i="50"/>
  <c r="BF268" i="50" s="1"/>
  <c r="BF246" i="50"/>
  <c r="X82" i="62"/>
  <c r="BN82" i="62"/>
  <c r="AH68" i="50"/>
  <c r="BT43" i="50"/>
  <c r="AH77" i="50"/>
  <c r="BT77" i="50" s="1"/>
  <c r="BT52" i="50"/>
  <c r="AH78" i="50"/>
  <c r="BT53" i="50"/>
  <c r="AK82" i="50"/>
  <c r="BV82" i="50"/>
  <c r="AH74" i="50"/>
  <c r="BT49" i="50"/>
  <c r="AH76" i="50"/>
  <c r="BT51" i="50"/>
  <c r="AH75" i="50"/>
  <c r="BT50" i="50"/>
  <c r="AH73" i="50"/>
  <c r="BT48" i="50"/>
  <c r="AH80" i="50"/>
  <c r="BT55" i="50"/>
  <c r="AK83" i="50"/>
  <c r="BV83" i="50"/>
  <c r="AH81" i="50"/>
  <c r="BT56" i="50"/>
  <c r="AH84" i="50"/>
  <c r="BT59" i="50"/>
  <c r="AH62" i="50"/>
  <c r="BT37" i="50"/>
  <c r="AK79" i="50"/>
  <c r="BV79" i="50"/>
  <c r="BZ9" i="41"/>
  <c r="BR9" i="41"/>
  <c r="Z60" i="51"/>
  <c r="BQ60" i="51" s="1"/>
  <c r="P65" i="62"/>
  <c r="P155" i="62"/>
  <c r="AN60" i="51"/>
  <c r="CE60" i="51" s="1"/>
  <c r="O216" i="50"/>
  <c r="L11" i="51"/>
  <c r="BC11" i="51" s="1"/>
  <c r="AD156" i="62"/>
  <c r="AE156" i="62" s="1"/>
  <c r="AC232" i="50"/>
  <c r="AG60" i="51"/>
  <c r="BX60" i="51" s="1"/>
  <c r="L60" i="51"/>
  <c r="BC60" i="51" s="1"/>
  <c r="G271" i="50"/>
  <c r="AS271" i="50" s="1"/>
  <c r="AX49" i="53"/>
  <c r="CZ49" i="53" s="1"/>
  <c r="Y49" i="53"/>
  <c r="CD49" i="53" s="1"/>
  <c r="Z49" i="53"/>
  <c r="AN9" i="60"/>
  <c r="CK9" i="60" s="1"/>
  <c r="C7" i="16"/>
  <c r="L7" i="16" s="1"/>
  <c r="D8" i="7"/>
  <c r="J8" i="82"/>
  <c r="N8" i="82" s="1"/>
  <c r="R8" i="82" s="1"/>
  <c r="V8" i="82" s="1"/>
  <c r="G8" i="82"/>
  <c r="AB8" i="82" s="1"/>
  <c r="AF8" i="82" s="1"/>
  <c r="AJ8" i="82" s="1"/>
  <c r="AN8" i="82" s="1"/>
  <c r="AR8" i="82" s="1"/>
  <c r="L9" i="62"/>
  <c r="S9" i="62" s="1"/>
  <c r="E186" i="62"/>
  <c r="AM20" i="79"/>
  <c r="AQ9" i="41"/>
  <c r="P9" i="41"/>
  <c r="S11" i="51"/>
  <c r="BJ11" i="51" s="1"/>
  <c r="AN11" i="51"/>
  <c r="CE11" i="51" s="1"/>
  <c r="AG11" i="51"/>
  <c r="BX11" i="51" s="1"/>
  <c r="M60" i="62"/>
  <c r="BD60" i="62" s="1"/>
  <c r="Z11" i="51"/>
  <c r="BQ11" i="51" s="1"/>
  <c r="AA60" i="62"/>
  <c r="BR60" i="62" s="1"/>
  <c r="T81" i="67"/>
  <c r="AC246" i="50"/>
  <c r="B113" i="67"/>
  <c r="B104" i="67"/>
  <c r="AU58" i="73"/>
  <c r="CE58" i="73" s="1"/>
  <c r="T107" i="67"/>
  <c r="AJ58" i="73"/>
  <c r="BY58" i="73" s="1"/>
  <c r="T83" i="67"/>
  <c r="Y50" i="73"/>
  <c r="BS50" i="73" s="1"/>
  <c r="AW50" i="53"/>
  <c r="CY50" i="53" s="1"/>
  <c r="S285" i="50"/>
  <c r="BE285" i="50" s="1"/>
  <c r="B45" i="67"/>
  <c r="Z285" i="50"/>
  <c r="BL285" i="50" s="1"/>
  <c r="B63" i="67"/>
  <c r="Y49" i="73"/>
  <c r="BS49" i="73" s="1"/>
  <c r="AW49" i="53"/>
  <c r="CY49" i="53" s="1"/>
  <c r="AG285" i="50"/>
  <c r="BS285" i="50" s="1"/>
  <c r="B87" i="67"/>
  <c r="B27" i="67"/>
  <c r="B102" i="67"/>
  <c r="AU56" i="73"/>
  <c r="CE56" i="73" s="1"/>
  <c r="T105" i="67"/>
  <c r="B103" i="67"/>
  <c r="G260" i="50"/>
  <c r="AS260" i="50" s="1"/>
  <c r="L285" i="50"/>
  <c r="AX285" i="50" s="1"/>
  <c r="E285" i="50"/>
  <c r="AQ285" i="50" s="1"/>
  <c r="N67" i="62"/>
  <c r="AC154" i="62"/>
  <c r="BT154" i="62" s="1"/>
  <c r="Z49" i="73"/>
  <c r="BT49" i="73" s="1"/>
  <c r="AA49" i="73"/>
  <c r="AF49" i="73"/>
  <c r="BW49" i="73" s="1"/>
  <c r="AG49" i="73"/>
  <c r="AD49" i="73"/>
  <c r="BV49" i="73" s="1"/>
  <c r="AE49" i="73"/>
  <c r="AF50" i="73"/>
  <c r="BW50" i="73" s="1"/>
  <c r="AG50" i="73"/>
  <c r="AB49" i="73"/>
  <c r="BU49" i="73" s="1"/>
  <c r="AC49" i="73"/>
  <c r="G48" i="73"/>
  <c r="F48" i="73"/>
  <c r="BI48" i="73" s="1"/>
  <c r="K61" i="73"/>
  <c r="J61" i="73"/>
  <c r="BK61" i="73" s="1"/>
  <c r="G65" i="73"/>
  <c r="F65" i="73"/>
  <c r="BI65" i="73" s="1"/>
  <c r="U21" i="73"/>
  <c r="BQ21" i="73" s="1"/>
  <c r="V21" i="73"/>
  <c r="R24" i="73"/>
  <c r="Q24" i="73"/>
  <c r="BO24" i="73" s="1"/>
  <c r="V48" i="73"/>
  <c r="U48" i="73"/>
  <c r="BQ48" i="73" s="1"/>
  <c r="K48" i="73"/>
  <c r="J48" i="73"/>
  <c r="BK48" i="73" s="1"/>
  <c r="G61" i="73"/>
  <c r="F61" i="73"/>
  <c r="BI61" i="73" s="1"/>
  <c r="K65" i="73"/>
  <c r="J65" i="73"/>
  <c r="BK65" i="73" s="1"/>
  <c r="Q21" i="73"/>
  <c r="BO21" i="73" s="1"/>
  <c r="R21" i="73"/>
  <c r="V24" i="73"/>
  <c r="U24" i="73"/>
  <c r="BQ24" i="73" s="1"/>
  <c r="R48" i="73"/>
  <c r="Q48" i="73"/>
  <c r="BO48" i="73" s="1"/>
  <c r="U61" i="73"/>
  <c r="BQ61" i="73" s="1"/>
  <c r="V61" i="73"/>
  <c r="Q65" i="73"/>
  <c r="BO65" i="73" s="1"/>
  <c r="R65" i="73"/>
  <c r="AF21" i="73"/>
  <c r="BW21" i="73" s="1"/>
  <c r="AG21" i="73"/>
  <c r="AC48" i="73"/>
  <c r="AB48" i="73"/>
  <c r="BU48" i="73" s="1"/>
  <c r="AF61" i="73"/>
  <c r="BW61" i="73" s="1"/>
  <c r="AG61" i="73"/>
  <c r="AB65" i="73"/>
  <c r="BU65" i="73" s="1"/>
  <c r="AC65" i="73"/>
  <c r="AR21" i="73"/>
  <c r="AQ21" i="73"/>
  <c r="CC21" i="73" s="1"/>
  <c r="AN24" i="73"/>
  <c r="AM24" i="73"/>
  <c r="CA24" i="73" s="1"/>
  <c r="AR48" i="73"/>
  <c r="AQ48" i="73"/>
  <c r="CC48" i="73" s="1"/>
  <c r="AN61" i="73"/>
  <c r="AM61" i="73"/>
  <c r="CA61" i="73" s="1"/>
  <c r="AR65" i="73"/>
  <c r="AQ65" i="73"/>
  <c r="CC65" i="73" s="1"/>
  <c r="AX21" i="73"/>
  <c r="CG21" i="73" s="1"/>
  <c r="AY21" i="73"/>
  <c r="I48" i="73"/>
  <c r="H48" i="73"/>
  <c r="BJ48" i="73" s="1"/>
  <c r="M61" i="73"/>
  <c r="L61" i="73"/>
  <c r="BL61" i="73" s="1"/>
  <c r="E61" i="73"/>
  <c r="D61" i="73"/>
  <c r="BH61" i="73" s="1"/>
  <c r="I65" i="73"/>
  <c r="H65" i="73"/>
  <c r="BJ65" i="73" s="1"/>
  <c r="W21" i="73"/>
  <c r="BR21" i="73" s="1"/>
  <c r="X21" i="73"/>
  <c r="O21" i="73"/>
  <c r="BN21" i="73" s="1"/>
  <c r="P21" i="73"/>
  <c r="T24" i="73"/>
  <c r="S24" i="73"/>
  <c r="BP24" i="73" s="1"/>
  <c r="X48" i="73"/>
  <c r="W48" i="73"/>
  <c r="BR48" i="73" s="1"/>
  <c r="P48" i="73"/>
  <c r="O48" i="73"/>
  <c r="BN48" i="73" s="1"/>
  <c r="S61" i="73"/>
  <c r="BP61" i="73" s="1"/>
  <c r="T61" i="73"/>
  <c r="X65" i="73"/>
  <c r="W65" i="73"/>
  <c r="BR65" i="73" s="1"/>
  <c r="O65" i="73"/>
  <c r="BN65" i="73" s="1"/>
  <c r="P65" i="73"/>
  <c r="AE21" i="73"/>
  <c r="AD21" i="73"/>
  <c r="BV21" i="73" s="1"/>
  <c r="AH48" i="73"/>
  <c r="BX48" i="73" s="1"/>
  <c r="AI48" i="73"/>
  <c r="Z48" i="73"/>
  <c r="BT48" i="73" s="1"/>
  <c r="AA48" i="73"/>
  <c r="AE61" i="73"/>
  <c r="AD61" i="73"/>
  <c r="BV61" i="73" s="1"/>
  <c r="AI65" i="73"/>
  <c r="AH65" i="73"/>
  <c r="BX65" i="73" s="1"/>
  <c r="AA65" i="73"/>
  <c r="Z65" i="73"/>
  <c r="BT65" i="73" s="1"/>
  <c r="AP21" i="73"/>
  <c r="AO21" i="73"/>
  <c r="CB21" i="73" s="1"/>
  <c r="AS24" i="73"/>
  <c r="CD24" i="73" s="1"/>
  <c r="AT24" i="73"/>
  <c r="AK24" i="73"/>
  <c r="BZ24" i="73" s="1"/>
  <c r="AL24" i="73"/>
  <c r="AO48" i="73"/>
  <c r="CB48" i="73" s="1"/>
  <c r="AP48" i="73"/>
  <c r="AS61" i="73"/>
  <c r="CD61" i="73" s="1"/>
  <c r="AT61" i="73"/>
  <c r="AK61" i="73"/>
  <c r="BZ61" i="73" s="1"/>
  <c r="AL61" i="73"/>
  <c r="AO65" i="73"/>
  <c r="CB65" i="73" s="1"/>
  <c r="AP65" i="73"/>
  <c r="BE21" i="73"/>
  <c r="BD21" i="73"/>
  <c r="CJ21" i="73" s="1"/>
  <c r="AW21" i="73"/>
  <c r="AV21" i="73"/>
  <c r="CF21" i="73" s="1"/>
  <c r="Q61" i="73"/>
  <c r="BO61" i="73" s="1"/>
  <c r="R61" i="73"/>
  <c r="U65" i="73"/>
  <c r="BQ65" i="73" s="1"/>
  <c r="V65" i="73"/>
  <c r="AB21" i="73"/>
  <c r="BU21" i="73" s="1"/>
  <c r="AC21" i="73"/>
  <c r="AG48" i="73"/>
  <c r="AF48" i="73"/>
  <c r="BW48" i="73" s="1"/>
  <c r="AB61" i="73"/>
  <c r="BU61" i="73" s="1"/>
  <c r="AC61" i="73"/>
  <c r="AG65" i="73"/>
  <c r="AF65" i="73"/>
  <c r="BW65" i="73" s="1"/>
  <c r="AM21" i="73"/>
  <c r="CA21" i="73" s="1"/>
  <c r="AN21" i="73"/>
  <c r="AR24" i="73"/>
  <c r="AQ24" i="73"/>
  <c r="CC24" i="73" s="1"/>
  <c r="AN48" i="73"/>
  <c r="AM48" i="73"/>
  <c r="CA48" i="73" s="1"/>
  <c r="AR61" i="73"/>
  <c r="AQ61" i="73"/>
  <c r="CC61" i="73" s="1"/>
  <c r="AN65" i="73"/>
  <c r="AM65" i="73"/>
  <c r="CA65" i="73" s="1"/>
  <c r="BB21" i="73"/>
  <c r="CI21" i="73" s="1"/>
  <c r="BC21" i="73"/>
  <c r="M48" i="73"/>
  <c r="L48" i="73"/>
  <c r="BL48" i="73" s="1"/>
  <c r="E48" i="73"/>
  <c r="D48" i="73"/>
  <c r="BH48" i="73" s="1"/>
  <c r="I61" i="73"/>
  <c r="H61" i="73"/>
  <c r="BJ61" i="73" s="1"/>
  <c r="M65" i="73"/>
  <c r="L65" i="73"/>
  <c r="BL65" i="73" s="1"/>
  <c r="E65" i="73"/>
  <c r="D65" i="73"/>
  <c r="BH65" i="73" s="1"/>
  <c r="S21" i="73"/>
  <c r="BP21" i="73" s="1"/>
  <c r="T21" i="73"/>
  <c r="X24" i="73"/>
  <c r="W24" i="73"/>
  <c r="BR24" i="73" s="1"/>
  <c r="P24" i="73"/>
  <c r="O24" i="73"/>
  <c r="BN24" i="73" s="1"/>
  <c r="S48" i="73"/>
  <c r="BP48" i="73" s="1"/>
  <c r="T48" i="73"/>
  <c r="W61" i="73"/>
  <c r="BR61" i="73" s="1"/>
  <c r="X61" i="73"/>
  <c r="O61" i="73"/>
  <c r="BN61" i="73" s="1"/>
  <c r="P61" i="73"/>
  <c r="S65" i="73"/>
  <c r="BP65" i="73" s="1"/>
  <c r="T65" i="73"/>
  <c r="AI21" i="73"/>
  <c r="AH21" i="73"/>
  <c r="BX21" i="73" s="1"/>
  <c r="AA21" i="73"/>
  <c r="Z21" i="73"/>
  <c r="BT21" i="73" s="1"/>
  <c r="AD48" i="73"/>
  <c r="BV48" i="73" s="1"/>
  <c r="AE48" i="73"/>
  <c r="AI61" i="73"/>
  <c r="AH61" i="73"/>
  <c r="BX61" i="73" s="1"/>
  <c r="AA61" i="73"/>
  <c r="Z61" i="73"/>
  <c r="BT61" i="73" s="1"/>
  <c r="AE65" i="73"/>
  <c r="AD65" i="73"/>
  <c r="BV65" i="73" s="1"/>
  <c r="AT21" i="73"/>
  <c r="AS21" i="73"/>
  <c r="CD21" i="73" s="1"/>
  <c r="AL21" i="73"/>
  <c r="AK21" i="73"/>
  <c r="BZ21" i="73" s="1"/>
  <c r="AP24" i="73"/>
  <c r="AO24" i="73"/>
  <c r="CB24" i="73" s="1"/>
  <c r="AT48" i="73"/>
  <c r="AS48" i="73"/>
  <c r="CD48" i="73" s="1"/>
  <c r="AL48" i="73"/>
  <c r="AK48" i="73"/>
  <c r="BZ48" i="73" s="1"/>
  <c r="AP61" i="73"/>
  <c r="AO61" i="73"/>
  <c r="CB61" i="73" s="1"/>
  <c r="AT65" i="73"/>
  <c r="AS65" i="73"/>
  <c r="CD65" i="73" s="1"/>
  <c r="AL65" i="73"/>
  <c r="AK65" i="73"/>
  <c r="BZ65" i="73" s="1"/>
  <c r="BA21" i="73"/>
  <c r="AZ21" i="73"/>
  <c r="CH21" i="73" s="1"/>
  <c r="V215" i="50"/>
  <c r="W155" i="62"/>
  <c r="BN155" i="62" s="1"/>
  <c r="H215" i="50"/>
  <c r="I155" i="62"/>
  <c r="AZ155" i="62" s="1"/>
  <c r="AK163" i="62"/>
  <c r="CB163" i="62" s="1"/>
  <c r="AJ223" i="50"/>
  <c r="AJ231" i="50"/>
  <c r="AK171" i="62"/>
  <c r="CB171" i="62" s="1"/>
  <c r="I157" i="62"/>
  <c r="AZ157" i="62" s="1"/>
  <c r="H217" i="50"/>
  <c r="P162" i="62"/>
  <c r="BG162" i="62" s="1"/>
  <c r="O222" i="50"/>
  <c r="AD170" i="62"/>
  <c r="BU170" i="62" s="1"/>
  <c r="AC230" i="50"/>
  <c r="AC218" i="50"/>
  <c r="AD158" i="62"/>
  <c r="BU158" i="62" s="1"/>
  <c r="P166" i="62"/>
  <c r="BG166" i="62" s="1"/>
  <c r="O226" i="50"/>
  <c r="H235" i="50"/>
  <c r="I175" i="62"/>
  <c r="AZ175" i="62" s="1"/>
  <c r="AK173" i="62"/>
  <c r="CB173" i="62" s="1"/>
  <c r="AJ233" i="50"/>
  <c r="AK157" i="62"/>
  <c r="AC67" i="62"/>
  <c r="BT67" i="62" s="1"/>
  <c r="F24" i="73"/>
  <c r="BI24" i="73" s="1"/>
  <c r="G24" i="73"/>
  <c r="BG21" i="53"/>
  <c r="DI21" i="53" s="1"/>
  <c r="BA21" i="53"/>
  <c r="DC21" i="53" s="1"/>
  <c r="J21" i="73"/>
  <c r="BK21" i="73" s="1"/>
  <c r="K21" i="73"/>
  <c r="M24" i="73"/>
  <c r="L24" i="73"/>
  <c r="BL24" i="73" s="1"/>
  <c r="BF21" i="53"/>
  <c r="DH21" i="53" s="1"/>
  <c r="AZ21" i="53"/>
  <c r="DB21" i="53" s="1"/>
  <c r="I21" i="73"/>
  <c r="H21" i="73"/>
  <c r="BJ21" i="73" s="1"/>
  <c r="J24" i="73"/>
  <c r="BK24" i="73" s="1"/>
  <c r="K24" i="73"/>
  <c r="BC21" i="53"/>
  <c r="DE21" i="53" s="1"/>
  <c r="AW21" i="53"/>
  <c r="CY21" i="53" s="1"/>
  <c r="BE21" i="53"/>
  <c r="DG21" i="53" s="1"/>
  <c r="AY21" i="53"/>
  <c r="DA21" i="53" s="1"/>
  <c r="F21" i="73"/>
  <c r="BI21" i="73" s="1"/>
  <c r="G21" i="73"/>
  <c r="I24" i="73"/>
  <c r="H24" i="73"/>
  <c r="BJ24" i="73" s="1"/>
  <c r="BH21" i="53"/>
  <c r="DJ21" i="53" s="1"/>
  <c r="BB21" i="53"/>
  <c r="DD21" i="53" s="1"/>
  <c r="M21" i="73"/>
  <c r="L21" i="73"/>
  <c r="BL21" i="73" s="1"/>
  <c r="BD21" i="53"/>
  <c r="DF21" i="53" s="1"/>
  <c r="AX21" i="53"/>
  <c r="CZ21" i="53" s="1"/>
  <c r="E24" i="73"/>
  <c r="D24" i="73"/>
  <c r="BH24" i="73" s="1"/>
  <c r="E21" i="73"/>
  <c r="D21" i="73"/>
  <c r="BH21" i="73" s="1"/>
  <c r="AO79" i="51"/>
  <c r="CF79" i="51" s="1"/>
  <c r="AQ79" i="51"/>
  <c r="CH79" i="51" s="1"/>
  <c r="AR79" i="51"/>
  <c r="CI79" i="51" s="1"/>
  <c r="AJ163" i="50"/>
  <c r="AT79" i="51"/>
  <c r="CK79" i="51" s="1"/>
  <c r="U272" i="50"/>
  <c r="BG272" i="50" s="1"/>
  <c r="U269" i="50"/>
  <c r="BG269" i="50" s="1"/>
  <c r="U264" i="50"/>
  <c r="BG264" i="50" s="1"/>
  <c r="M259" i="50"/>
  <c r="N237" i="50"/>
  <c r="AZ237" i="50" s="1"/>
  <c r="Q156" i="62"/>
  <c r="BH156" i="62" s="1"/>
  <c r="P216" i="50"/>
  <c r="BB216" i="50" s="1"/>
  <c r="AK170" i="62"/>
  <c r="CB170" i="62" s="1"/>
  <c r="AJ230" i="50"/>
  <c r="V218" i="50"/>
  <c r="W158" i="62"/>
  <c r="BN158" i="62" s="1"/>
  <c r="AI265" i="50"/>
  <c r="BU265" i="50" s="1"/>
  <c r="AD167" i="62"/>
  <c r="BU167" i="62" s="1"/>
  <c r="AC227" i="50"/>
  <c r="AK155" i="62"/>
  <c r="CB155" i="62" s="1"/>
  <c r="AJ215" i="50"/>
  <c r="BV215" i="50" s="1"/>
  <c r="AK162" i="62"/>
  <c r="CB162" i="62" s="1"/>
  <c r="AJ222" i="50"/>
  <c r="H232" i="50"/>
  <c r="I172" i="62"/>
  <c r="AZ172" i="62" s="1"/>
  <c r="AJ216" i="50"/>
  <c r="AK156" i="62"/>
  <c r="CB156" i="62" s="1"/>
  <c r="AC221" i="50"/>
  <c r="AD161" i="62"/>
  <c r="BU161" i="62" s="1"/>
  <c r="W174" i="62"/>
  <c r="BN174" i="62" s="1"/>
  <c r="V234" i="50"/>
  <c r="U214" i="50"/>
  <c r="BG214" i="50" s="1"/>
  <c r="C53" i="85" s="1"/>
  <c r="P168" i="62"/>
  <c r="BG168" i="62" s="1"/>
  <c r="O228" i="50"/>
  <c r="O221" i="50"/>
  <c r="P161" i="62"/>
  <c r="BG161" i="62" s="1"/>
  <c r="AD175" i="62"/>
  <c r="BU175" i="62" s="1"/>
  <c r="AC235" i="50"/>
  <c r="H222" i="50"/>
  <c r="I162" i="62"/>
  <c r="AZ162" i="62" s="1"/>
  <c r="W166" i="62"/>
  <c r="BN166" i="62" s="1"/>
  <c r="V226" i="50"/>
  <c r="W162" i="62"/>
  <c r="BN162" i="62" s="1"/>
  <c r="V222" i="50"/>
  <c r="AJ228" i="50"/>
  <c r="AK168" i="62"/>
  <c r="CB168" i="62" s="1"/>
  <c r="AE166" i="62"/>
  <c r="BV166" i="62" s="1"/>
  <c r="AD226" i="50"/>
  <c r="BP226" i="50" s="1"/>
  <c r="W173" i="62"/>
  <c r="BN173" i="62" s="1"/>
  <c r="V233" i="50"/>
  <c r="AE164" i="62"/>
  <c r="BV164" i="62" s="1"/>
  <c r="AD224" i="50"/>
  <c r="BP224" i="50" s="1"/>
  <c r="AJ154" i="62"/>
  <c r="CA154" i="62" s="1"/>
  <c r="O154" i="62"/>
  <c r="BF154" i="62" s="1"/>
  <c r="AB267" i="50"/>
  <c r="BN267" i="50" s="1"/>
  <c r="I168" i="62"/>
  <c r="AZ168" i="62" s="1"/>
  <c r="H228" i="50"/>
  <c r="N214" i="50"/>
  <c r="AZ214" i="50" s="1"/>
  <c r="C35" i="85" s="1"/>
  <c r="V224" i="50"/>
  <c r="W164" i="62"/>
  <c r="BN164" i="62" s="1"/>
  <c r="AK166" i="62"/>
  <c r="CB166" i="62" s="1"/>
  <c r="AJ226" i="50"/>
  <c r="O229" i="50"/>
  <c r="P169" i="62"/>
  <c r="BG169" i="62" s="1"/>
  <c r="AC223" i="50"/>
  <c r="AD163" i="62"/>
  <c r="BU163" i="62" s="1"/>
  <c r="W167" i="62"/>
  <c r="BN167" i="62" s="1"/>
  <c r="V227" i="50"/>
  <c r="V230" i="50"/>
  <c r="W170" i="62"/>
  <c r="BN170" i="62" s="1"/>
  <c r="U263" i="50"/>
  <c r="BG263" i="50" s="1"/>
  <c r="W172" i="62"/>
  <c r="BN172" i="62" s="1"/>
  <c r="V232" i="50"/>
  <c r="AI214" i="50"/>
  <c r="BU214" i="50" s="1"/>
  <c r="C95" i="85" s="1"/>
  <c r="AI237" i="50"/>
  <c r="BU237" i="50" s="1"/>
  <c r="P224" i="50"/>
  <c r="BB224" i="50" s="1"/>
  <c r="AB214" i="50"/>
  <c r="BN214" i="50" s="1"/>
  <c r="C71" i="85" s="1"/>
  <c r="AK164" i="62"/>
  <c r="CB164" i="62" s="1"/>
  <c r="AJ224" i="50"/>
  <c r="V220" i="50"/>
  <c r="W160" i="62"/>
  <c r="BN160" i="62" s="1"/>
  <c r="P165" i="62"/>
  <c r="BG165" i="62" s="1"/>
  <c r="O225" i="50"/>
  <c r="AK235" i="50"/>
  <c r="G214" i="50"/>
  <c r="AS214" i="50" s="1"/>
  <c r="J163" i="62"/>
  <c r="BA163" i="62" s="1"/>
  <c r="I223" i="50"/>
  <c r="AU223" i="50" s="1"/>
  <c r="AE174" i="62"/>
  <c r="BV174" i="62" s="1"/>
  <c r="AI79" i="62"/>
  <c r="M236" i="50"/>
  <c r="AY236" i="50" s="1"/>
  <c r="AK165" i="62"/>
  <c r="CB165" i="62" s="1"/>
  <c r="AJ225" i="50"/>
  <c r="I164" i="62"/>
  <c r="AZ164" i="62" s="1"/>
  <c r="H224" i="50"/>
  <c r="H226" i="50"/>
  <c r="I166" i="62"/>
  <c r="AZ166" i="62" s="1"/>
  <c r="O235" i="50"/>
  <c r="P175" i="62"/>
  <c r="BG175" i="62" s="1"/>
  <c r="P218" i="50"/>
  <c r="BB218" i="50" s="1"/>
  <c r="P159" i="62"/>
  <c r="BG159" i="62" s="1"/>
  <c r="O219" i="50"/>
  <c r="W159" i="62"/>
  <c r="BN159" i="62" s="1"/>
  <c r="V219" i="50"/>
  <c r="P160" i="62"/>
  <c r="BG160" i="62" s="1"/>
  <c r="O220" i="50"/>
  <c r="AC215" i="50"/>
  <c r="AD155" i="62"/>
  <c r="BU155" i="62" s="1"/>
  <c r="AD168" i="62"/>
  <c r="BU168" i="62" s="1"/>
  <c r="AC228" i="50"/>
  <c r="W165" i="62"/>
  <c r="BN165" i="62" s="1"/>
  <c r="V225" i="50"/>
  <c r="AL169" i="62"/>
  <c r="CC169" i="62" s="1"/>
  <c r="AK229" i="50"/>
  <c r="AC225" i="50"/>
  <c r="AD165" i="62"/>
  <c r="BU165" i="62" s="1"/>
  <c r="AL167" i="62"/>
  <c r="CC167" i="62" s="1"/>
  <c r="AK227" i="50"/>
  <c r="P173" i="62"/>
  <c r="BG173" i="62" s="1"/>
  <c r="O233" i="50"/>
  <c r="O227" i="50"/>
  <c r="P167" i="62"/>
  <c r="BG167" i="62" s="1"/>
  <c r="AK174" i="62"/>
  <c r="CB174" i="62" s="1"/>
  <c r="AJ234" i="50"/>
  <c r="AD159" i="62"/>
  <c r="BU159" i="62" s="1"/>
  <c r="AC219" i="50"/>
  <c r="H218" i="50"/>
  <c r="AT218" i="50" s="1"/>
  <c r="I158" i="62"/>
  <c r="AZ158" i="62" s="1"/>
  <c r="H154" i="62"/>
  <c r="AY154" i="62" s="1"/>
  <c r="AK160" i="62"/>
  <c r="CB160" i="62" s="1"/>
  <c r="AJ220" i="50"/>
  <c r="O217" i="50"/>
  <c r="P157" i="62"/>
  <c r="BG157" i="62" s="1"/>
  <c r="W168" i="62"/>
  <c r="BN168" i="62" s="1"/>
  <c r="V228" i="50"/>
  <c r="AC233" i="50"/>
  <c r="AD173" i="62"/>
  <c r="BU173" i="62" s="1"/>
  <c r="W157" i="62"/>
  <c r="BN157" i="62" s="1"/>
  <c r="V217" i="50"/>
  <c r="O223" i="50"/>
  <c r="P163" i="62"/>
  <c r="BG163" i="62" s="1"/>
  <c r="P172" i="62"/>
  <c r="BG172" i="62" s="1"/>
  <c r="O232" i="50"/>
  <c r="P170" i="62"/>
  <c r="BG170" i="62" s="1"/>
  <c r="O230" i="50"/>
  <c r="AD171" i="62"/>
  <c r="BU171" i="62" s="1"/>
  <c r="AC231" i="50"/>
  <c r="AK161" i="62"/>
  <c r="CB161" i="62" s="1"/>
  <c r="AJ221" i="50"/>
  <c r="AL159" i="62"/>
  <c r="CC159" i="62" s="1"/>
  <c r="AK219" i="50"/>
  <c r="AK172" i="62"/>
  <c r="CB172" i="62" s="1"/>
  <c r="AJ232" i="50"/>
  <c r="AD169" i="62"/>
  <c r="BU169" i="62" s="1"/>
  <c r="AC229" i="50"/>
  <c r="AJ218" i="50"/>
  <c r="AK158" i="62"/>
  <c r="CB158" i="62" s="1"/>
  <c r="W161" i="62"/>
  <c r="BN161" i="62" s="1"/>
  <c r="V221" i="50"/>
  <c r="AD157" i="62"/>
  <c r="BU157" i="62" s="1"/>
  <c r="AC217" i="50"/>
  <c r="AB188" i="50"/>
  <c r="BN188" i="50" s="1"/>
  <c r="AH61" i="50"/>
  <c r="BT61" i="50" s="1"/>
  <c r="AB64" i="50"/>
  <c r="BN64" i="50" s="1"/>
  <c r="AA61" i="50"/>
  <c r="BM61" i="50" s="1"/>
  <c r="AA172" i="50"/>
  <c r="BM172" i="50" s="1"/>
  <c r="AB152" i="50"/>
  <c r="BN152" i="50" s="1"/>
  <c r="AI64" i="50"/>
  <c r="BU64" i="50" s="1"/>
  <c r="AP79" i="51"/>
  <c r="CG79" i="51" s="1"/>
  <c r="AS79" i="51"/>
  <c r="CJ79" i="51" s="1"/>
  <c r="AB62" i="50"/>
  <c r="BN62" i="50" s="1"/>
  <c r="AC192" i="50"/>
  <c r="G269" i="50"/>
  <c r="AS269" i="50" s="1"/>
  <c r="G274" i="50"/>
  <c r="AS274" i="50" s="1"/>
  <c r="H256" i="50"/>
  <c r="AT256" i="50" s="1"/>
  <c r="G278" i="50"/>
  <c r="AS278" i="50" s="1"/>
  <c r="AJ192" i="50"/>
  <c r="U192" i="50"/>
  <c r="G264" i="50"/>
  <c r="AS264" i="50" s="1"/>
  <c r="N192" i="50"/>
  <c r="V192" i="50"/>
  <c r="G192" i="50"/>
  <c r="O192" i="50"/>
  <c r="G265" i="50"/>
  <c r="AS265" i="50" s="1"/>
  <c r="Q62" i="62"/>
  <c r="BH62" i="62" s="1"/>
  <c r="W95" i="62"/>
  <c r="BN95" i="62" s="1"/>
  <c r="V94" i="62"/>
  <c r="BM94" i="62" s="1"/>
  <c r="AF81" i="62"/>
  <c r="BW81" i="62" s="1"/>
  <c r="P75" i="62"/>
  <c r="BG75" i="62" s="1"/>
  <c r="O74" i="62"/>
  <c r="BF74" i="62" s="1"/>
  <c r="X72" i="62"/>
  <c r="BO72" i="62" s="1"/>
  <c r="W71" i="62"/>
  <c r="BN71" i="62" s="1"/>
  <c r="AK81" i="62"/>
  <c r="AJ80" i="62"/>
  <c r="P84" i="62"/>
  <c r="BG84" i="62" s="1"/>
  <c r="O83" i="62"/>
  <c r="H80" i="62"/>
  <c r="I81" i="62"/>
  <c r="AZ81" i="62" s="1"/>
  <c r="W100" i="62"/>
  <c r="BN100" i="62" s="1"/>
  <c r="V99" i="62"/>
  <c r="BM99" i="62" s="1"/>
  <c r="W156" i="62"/>
  <c r="V154" i="62"/>
  <c r="BM154" i="62" s="1"/>
  <c r="X65" i="62"/>
  <c r="BO65" i="62" s="1"/>
  <c r="J100" i="62"/>
  <c r="BA100" i="62" s="1"/>
  <c r="AL62" i="62"/>
  <c r="AK61" i="62"/>
  <c r="CB61" i="62" s="1"/>
  <c r="AL65" i="62"/>
  <c r="AK64" i="62"/>
  <c r="CB64" i="62" s="1"/>
  <c r="Q155" i="62"/>
  <c r="AL95" i="62"/>
  <c r="CC95" i="62" s="1"/>
  <c r="X84" i="62"/>
  <c r="BO84" i="62" s="1"/>
  <c r="AD71" i="62"/>
  <c r="BU71" i="62" s="1"/>
  <c r="AE72" i="62"/>
  <c r="BV72" i="62" s="1"/>
  <c r="AD101" i="62"/>
  <c r="AC99" i="62"/>
  <c r="BT99" i="62" s="1"/>
  <c r="O71" i="62"/>
  <c r="BF71" i="62" s="1"/>
  <c r="P72" i="62"/>
  <c r="BG72" i="62" s="1"/>
  <c r="AD66" i="62"/>
  <c r="BU66" i="62" s="1"/>
  <c r="AC64" i="62"/>
  <c r="BT64" i="62" s="1"/>
  <c r="AK75" i="62"/>
  <c r="CB75" i="62" s="1"/>
  <c r="AJ74" i="62"/>
  <c r="X62" i="62"/>
  <c r="BO62" i="62" s="1"/>
  <c r="J65" i="62"/>
  <c r="BA65" i="62" s="1"/>
  <c r="I64" i="62"/>
  <c r="AZ64" i="62" s="1"/>
  <c r="AD96" i="62"/>
  <c r="BU96" i="62" s="1"/>
  <c r="AC94" i="62"/>
  <c r="BT94" i="62" s="1"/>
  <c r="AL72" i="62"/>
  <c r="CC72" i="62" s="1"/>
  <c r="AE75" i="62"/>
  <c r="BV75" i="62" s="1"/>
  <c r="X75" i="62"/>
  <c r="BO75" i="62" s="1"/>
  <c r="AD63" i="62"/>
  <c r="AC61" i="62"/>
  <c r="BT61" i="62" s="1"/>
  <c r="P101" i="62"/>
  <c r="BG101" i="62" s="1"/>
  <c r="O99" i="62"/>
  <c r="BF99" i="62" s="1"/>
  <c r="BG96" i="62" l="1"/>
  <c r="Q81" i="62"/>
  <c r="BH81" i="62" s="1"/>
  <c r="J95" i="62"/>
  <c r="BA95" i="62" s="1"/>
  <c r="Q158" i="62"/>
  <c r="BH158" i="62" s="1"/>
  <c r="AL175" i="62"/>
  <c r="CC175" i="62" s="1"/>
  <c r="I231" i="50"/>
  <c r="AC169" i="50"/>
  <c r="J171" i="62"/>
  <c r="BA171" i="62" s="1"/>
  <c r="CB100" i="62"/>
  <c r="AB175" i="50"/>
  <c r="BN175" i="50" s="1"/>
  <c r="AK50" i="50"/>
  <c r="BW50" i="50" s="1"/>
  <c r="AC155" i="50"/>
  <c r="BO155" i="50" s="1"/>
  <c r="AK99" i="62"/>
  <c r="CB99" i="62" s="1"/>
  <c r="J132" i="85"/>
  <c r="C17" i="85"/>
  <c r="C113" i="85" s="1"/>
  <c r="AD232" i="50"/>
  <c r="AE172" i="62"/>
  <c r="BV172" i="62" s="1"/>
  <c r="W74" i="62"/>
  <c r="BN74" i="62" s="1"/>
  <c r="O240" i="50"/>
  <c r="Q164" i="62"/>
  <c r="BH164" i="62" s="1"/>
  <c r="AE123" i="50"/>
  <c r="BP123" i="50"/>
  <c r="AL129" i="50"/>
  <c r="BW129" i="50"/>
  <c r="AL18" i="50"/>
  <c r="BW18" i="50"/>
  <c r="AL120" i="50"/>
  <c r="BW120" i="50"/>
  <c r="AL14" i="50"/>
  <c r="BW14" i="50"/>
  <c r="AL28" i="50"/>
  <c r="BW28" i="50"/>
  <c r="AL119" i="50"/>
  <c r="BW119" i="50"/>
  <c r="AL126" i="50"/>
  <c r="BW126" i="50"/>
  <c r="U60" i="62"/>
  <c r="BL60" i="62" s="1"/>
  <c r="AL25" i="50"/>
  <c r="BW25" i="50"/>
  <c r="AL123" i="50"/>
  <c r="BW123" i="50"/>
  <c r="AE23" i="50"/>
  <c r="BP23" i="50"/>
  <c r="AE119" i="50"/>
  <c r="BP119" i="50"/>
  <c r="AL128" i="50"/>
  <c r="BW128" i="50"/>
  <c r="AE18" i="50"/>
  <c r="BP18" i="50"/>
  <c r="AL30" i="50"/>
  <c r="BW30" i="50"/>
  <c r="AC79" i="62"/>
  <c r="BT79" i="62" s="1"/>
  <c r="AL26" i="50"/>
  <c r="BW26" i="50"/>
  <c r="AE26" i="50"/>
  <c r="BP26" i="50"/>
  <c r="AE112" i="50"/>
  <c r="BP112" i="50"/>
  <c r="AL112" i="50"/>
  <c r="BW112" i="50"/>
  <c r="AE30" i="50"/>
  <c r="BP30" i="50"/>
  <c r="AE24" i="50"/>
  <c r="BP24" i="50"/>
  <c r="AB273" i="50"/>
  <c r="BN273" i="50" s="1"/>
  <c r="AE28" i="50"/>
  <c r="BP28" i="50"/>
  <c r="AE128" i="50"/>
  <c r="BP128" i="50"/>
  <c r="AL31" i="50"/>
  <c r="BW31" i="50"/>
  <c r="AE11" i="50"/>
  <c r="BP11" i="50"/>
  <c r="AE120" i="50"/>
  <c r="BP120" i="50"/>
  <c r="AL115" i="50"/>
  <c r="BW115" i="50"/>
  <c r="AE25" i="50"/>
  <c r="BP25" i="50"/>
  <c r="AE31" i="50"/>
  <c r="BP31" i="50"/>
  <c r="AE34" i="50"/>
  <c r="BP34" i="50"/>
  <c r="AL23" i="50"/>
  <c r="BW23" i="50"/>
  <c r="AE27" i="50"/>
  <c r="BP27" i="50"/>
  <c r="AE129" i="50"/>
  <c r="BP129" i="50"/>
  <c r="AL24" i="50"/>
  <c r="BW24" i="50"/>
  <c r="AE14" i="50"/>
  <c r="BP14" i="50"/>
  <c r="AE126" i="50"/>
  <c r="BP126" i="50"/>
  <c r="AE12" i="50"/>
  <c r="BP12" i="50"/>
  <c r="AL34" i="50"/>
  <c r="BW34" i="50"/>
  <c r="AL12" i="50"/>
  <c r="BW12" i="50"/>
  <c r="AL27" i="50"/>
  <c r="BW27" i="50"/>
  <c r="AK11" i="50"/>
  <c r="BV11" i="50"/>
  <c r="AE115" i="50"/>
  <c r="BP115" i="50"/>
  <c r="G267" i="50"/>
  <c r="AS267" i="50" s="1"/>
  <c r="H242" i="50"/>
  <c r="AC74" i="50"/>
  <c r="N261" i="50"/>
  <c r="AZ261" i="50" s="1"/>
  <c r="N266" i="50"/>
  <c r="AZ266" i="50" s="1"/>
  <c r="BN77" i="50"/>
  <c r="AB186" i="50"/>
  <c r="BN186" i="50" s="1"/>
  <c r="AC238" i="50"/>
  <c r="BO238" i="50" s="1"/>
  <c r="AS245" i="50"/>
  <c r="AJ160" i="50"/>
  <c r="N273" i="50"/>
  <c r="AZ273" i="50" s="1"/>
  <c r="H247" i="50"/>
  <c r="AT247" i="50" s="1"/>
  <c r="N263" i="50"/>
  <c r="AZ263" i="50" s="1"/>
  <c r="T258" i="50"/>
  <c r="BF258" i="50" s="1"/>
  <c r="AB277" i="50"/>
  <c r="BN277" i="50" s="1"/>
  <c r="AC163" i="50"/>
  <c r="AC183" i="50" s="1"/>
  <c r="BO183" i="50" s="1"/>
  <c r="U265" i="50"/>
  <c r="BG265" i="50" s="1"/>
  <c r="I61" i="62"/>
  <c r="AZ61" i="62" s="1"/>
  <c r="N265" i="50"/>
  <c r="AZ265" i="50" s="1"/>
  <c r="V238" i="50"/>
  <c r="V260" i="50" s="1"/>
  <c r="BH260" i="50" s="1"/>
  <c r="AZ253" i="50"/>
  <c r="AB259" i="50"/>
  <c r="BN259" i="50" s="1"/>
  <c r="AI262" i="50"/>
  <c r="BU262" i="50" s="1"/>
  <c r="P234" i="50"/>
  <c r="BB234" i="50" s="1"/>
  <c r="AI272" i="50"/>
  <c r="BU272" i="50" s="1"/>
  <c r="N269" i="50"/>
  <c r="AZ269" i="50" s="1"/>
  <c r="O246" i="50"/>
  <c r="BA246" i="50" s="1"/>
  <c r="BU160" i="50"/>
  <c r="AI270" i="50"/>
  <c r="BU270" i="50" s="1"/>
  <c r="AB236" i="50"/>
  <c r="C72" i="67" s="1"/>
  <c r="Q174" i="62"/>
  <c r="BH174" i="62" s="1"/>
  <c r="AE162" i="62"/>
  <c r="BV162" i="62" s="1"/>
  <c r="J62" i="62"/>
  <c r="BA62" i="62" s="1"/>
  <c r="AD222" i="50"/>
  <c r="V267" i="50"/>
  <c r="BH267" i="50" s="1"/>
  <c r="U259" i="50"/>
  <c r="BG259" i="50" s="1"/>
  <c r="U261" i="50"/>
  <c r="BG261" i="50" s="1"/>
  <c r="AD234" i="50"/>
  <c r="AD256" i="50" s="1"/>
  <c r="BP256" i="50" s="1"/>
  <c r="N279" i="50"/>
  <c r="AZ279" i="50" s="1"/>
  <c r="AC160" i="50"/>
  <c r="AC180" i="50" s="1"/>
  <c r="BO180" i="50" s="1"/>
  <c r="H243" i="50"/>
  <c r="H265" i="50" s="1"/>
  <c r="AT265" i="50" s="1"/>
  <c r="AC166" i="50"/>
  <c r="AC186" i="50" s="1"/>
  <c r="BO186" i="50" s="1"/>
  <c r="BH253" i="50"/>
  <c r="V275" i="50"/>
  <c r="BH275" i="50" s="1"/>
  <c r="O278" i="50"/>
  <c r="BA278" i="50" s="1"/>
  <c r="BA256" i="50"/>
  <c r="BO256" i="50"/>
  <c r="AC278" i="50"/>
  <c r="BO278" i="50" s="1"/>
  <c r="AD132" i="50"/>
  <c r="BP132" i="50" s="1"/>
  <c r="BU63" i="62"/>
  <c r="H79" i="62"/>
  <c r="AY79" i="62" s="1"/>
  <c r="AY80" i="62"/>
  <c r="AC251" i="50"/>
  <c r="BO251" i="50" s="1"/>
  <c r="BO229" i="50"/>
  <c r="O249" i="50"/>
  <c r="BA249" i="50" s="1"/>
  <c r="BA227" i="50"/>
  <c r="O242" i="50"/>
  <c r="BA242" i="50" s="1"/>
  <c r="BA220" i="50"/>
  <c r="V246" i="50"/>
  <c r="BH224" i="50"/>
  <c r="H254" i="50"/>
  <c r="AT232" i="50"/>
  <c r="AE69" i="62"/>
  <c r="BU69" i="62"/>
  <c r="Q195" i="50"/>
  <c r="BB195" i="50"/>
  <c r="X66" i="62"/>
  <c r="X64" i="62" s="1"/>
  <c r="BO64" i="62" s="1"/>
  <c r="BN66" i="62"/>
  <c r="AI277" i="50"/>
  <c r="BU277" i="50" s="1"/>
  <c r="BU255" i="50"/>
  <c r="J73" i="62"/>
  <c r="AZ73" i="62"/>
  <c r="X210" i="50"/>
  <c r="BI210" i="50"/>
  <c r="AL207" i="50"/>
  <c r="BW207" i="50"/>
  <c r="Q82" i="62"/>
  <c r="Q80" i="62" s="1"/>
  <c r="BH80" i="62" s="1"/>
  <c r="BG82" i="62"/>
  <c r="X195" i="50"/>
  <c r="BI195" i="50"/>
  <c r="AL70" i="62"/>
  <c r="CB70" i="62"/>
  <c r="R96" i="62"/>
  <c r="BI96" i="62" s="1"/>
  <c r="BH96" i="62"/>
  <c r="X106" i="62"/>
  <c r="BN106" i="62"/>
  <c r="I203" i="50"/>
  <c r="AT203" i="50"/>
  <c r="U277" i="50"/>
  <c r="BG277" i="50" s="1"/>
  <c r="BG255" i="50"/>
  <c r="BO168" i="50"/>
  <c r="D34" i="67"/>
  <c r="D121" i="67" s="1"/>
  <c r="BA192" i="50"/>
  <c r="D34" i="85" s="1"/>
  <c r="D121" i="85" s="1"/>
  <c r="C34" i="67"/>
  <c r="C121" i="67" s="1"/>
  <c r="AZ192" i="50"/>
  <c r="C34" i="85" s="1"/>
  <c r="C121" i="85" s="1"/>
  <c r="V239" i="50"/>
  <c r="BH239" i="50" s="1"/>
  <c r="BH217" i="50"/>
  <c r="AU231" i="50"/>
  <c r="AC245" i="50"/>
  <c r="BO245" i="50" s="1"/>
  <c r="BO223" i="50"/>
  <c r="H257" i="50"/>
  <c r="AT235" i="50"/>
  <c r="P215" i="50"/>
  <c r="BB215" i="50" s="1"/>
  <c r="BG155" i="62"/>
  <c r="AZ238" i="50"/>
  <c r="N260" i="50"/>
  <c r="AZ260" i="50" s="1"/>
  <c r="AE76" i="62"/>
  <c r="BU76" i="62"/>
  <c r="AL68" i="62"/>
  <c r="CB68" i="62"/>
  <c r="AK39" i="50"/>
  <c r="BW39" i="50" s="1"/>
  <c r="I211" i="50"/>
  <c r="AT211" i="50"/>
  <c r="J90" i="62"/>
  <c r="AZ90" i="62"/>
  <c r="X213" i="50"/>
  <c r="BI213" i="50"/>
  <c r="AL78" i="62"/>
  <c r="CB78" i="62"/>
  <c r="N262" i="50"/>
  <c r="AZ262" i="50" s="1"/>
  <c r="AZ240" i="50"/>
  <c r="N271" i="50"/>
  <c r="AZ271" i="50" s="1"/>
  <c r="AZ249" i="50"/>
  <c r="Q105" i="62"/>
  <c r="BG105" i="62"/>
  <c r="J82" i="62"/>
  <c r="AZ82" i="62"/>
  <c r="AL77" i="62"/>
  <c r="CB77" i="62"/>
  <c r="Q203" i="50"/>
  <c r="BB203" i="50"/>
  <c r="J165" i="62"/>
  <c r="AZ165" i="62"/>
  <c r="I225" i="50"/>
  <c r="AU225" i="50" s="1"/>
  <c r="AL203" i="50"/>
  <c r="BW203" i="50"/>
  <c r="Q93" i="62"/>
  <c r="BG93" i="62"/>
  <c r="X90" i="62"/>
  <c r="BN90" i="62"/>
  <c r="AE206" i="50"/>
  <c r="BP206" i="50"/>
  <c r="V257" i="50"/>
  <c r="BH235" i="50"/>
  <c r="H251" i="50"/>
  <c r="AS251" i="50"/>
  <c r="AE103" i="62"/>
  <c r="BU103" i="62"/>
  <c r="AD49" i="50"/>
  <c r="BP49" i="50" s="1"/>
  <c r="G279" i="50"/>
  <c r="AS279" i="50" s="1"/>
  <c r="AS257" i="50"/>
  <c r="AE108" i="62"/>
  <c r="BU108" i="62"/>
  <c r="AD59" i="50"/>
  <c r="BP59" i="50" s="1"/>
  <c r="AE90" i="62"/>
  <c r="BU90" i="62"/>
  <c r="P80" i="62"/>
  <c r="BG80" i="62" s="1"/>
  <c r="AL50" i="50"/>
  <c r="BX50" i="50" s="1"/>
  <c r="CC100" i="62"/>
  <c r="O255" i="50"/>
  <c r="BA233" i="50"/>
  <c r="H248" i="50"/>
  <c r="AT248" i="50" s="1"/>
  <c r="AT226" i="50"/>
  <c r="O243" i="50"/>
  <c r="BA243" i="50" s="1"/>
  <c r="BA221" i="50"/>
  <c r="V240" i="50"/>
  <c r="BH240" i="50" s="1"/>
  <c r="BH218" i="50"/>
  <c r="BV163" i="50"/>
  <c r="AH258" i="50"/>
  <c r="BT258" i="50" s="1"/>
  <c r="H237" i="50"/>
  <c r="AT237" i="50" s="1"/>
  <c r="AT215" i="50"/>
  <c r="AE207" i="50"/>
  <c r="BP207" i="50"/>
  <c r="BU62" i="62"/>
  <c r="AD36" i="50"/>
  <c r="BP36" i="50" s="1"/>
  <c r="AE62" i="62"/>
  <c r="AE82" i="62"/>
  <c r="BU82" i="62"/>
  <c r="AD140" i="50"/>
  <c r="BP140" i="50" s="1"/>
  <c r="J156" i="62"/>
  <c r="AZ156" i="62"/>
  <c r="I216" i="50"/>
  <c r="AU216" i="50" s="1"/>
  <c r="I202" i="50"/>
  <c r="AT202" i="50"/>
  <c r="AI274" i="50"/>
  <c r="BU274" i="50" s="1"/>
  <c r="BU252" i="50"/>
  <c r="AE79" i="50"/>
  <c r="BP79" i="50"/>
  <c r="J96" i="62"/>
  <c r="AZ96" i="62"/>
  <c r="BV160" i="50"/>
  <c r="Q68" i="62"/>
  <c r="BG68" i="62"/>
  <c r="AE93" i="62"/>
  <c r="BU93" i="62"/>
  <c r="AD149" i="50"/>
  <c r="BP149" i="50" s="1"/>
  <c r="Q69" i="62"/>
  <c r="BG69" i="62"/>
  <c r="X205" i="50"/>
  <c r="BI205" i="50"/>
  <c r="AL209" i="50"/>
  <c r="BW209" i="50"/>
  <c r="G262" i="50"/>
  <c r="AS262" i="50" s="1"/>
  <c r="AS240" i="50"/>
  <c r="Q87" i="62"/>
  <c r="BG87" i="62"/>
  <c r="AL86" i="62"/>
  <c r="CB86" i="62"/>
  <c r="AK143" i="50"/>
  <c r="BW143" i="50" s="1"/>
  <c r="X68" i="62"/>
  <c r="BN68" i="62"/>
  <c r="AE205" i="50"/>
  <c r="BP205" i="50"/>
  <c r="AE68" i="62"/>
  <c r="BU68" i="62"/>
  <c r="AD39" i="50"/>
  <c r="BP39" i="50" s="1"/>
  <c r="J195" i="50"/>
  <c r="AU195" i="50"/>
  <c r="AL204" i="50"/>
  <c r="BW204" i="50"/>
  <c r="BO73" i="50"/>
  <c r="AE82" i="50"/>
  <c r="BP82" i="50"/>
  <c r="W216" i="50"/>
  <c r="BI216" i="50" s="1"/>
  <c r="BN156" i="62"/>
  <c r="AK139" i="50"/>
  <c r="BW139" i="50" s="1"/>
  <c r="CB81" i="62"/>
  <c r="C52" i="67"/>
  <c r="C123" i="67" s="1"/>
  <c r="BG192" i="50"/>
  <c r="C52" i="85" s="1"/>
  <c r="C123" i="85" s="1"/>
  <c r="G236" i="50"/>
  <c r="AA179" i="50"/>
  <c r="BM179" i="50" s="1"/>
  <c r="O252" i="50"/>
  <c r="BA252" i="50" s="1"/>
  <c r="BA230" i="50"/>
  <c r="O257" i="50"/>
  <c r="BA257" i="50" s="1"/>
  <c r="BA235" i="50"/>
  <c r="O251" i="50"/>
  <c r="BA251" i="50" s="1"/>
  <c r="BA229" i="50"/>
  <c r="V248" i="50"/>
  <c r="BH248" i="50" s="1"/>
  <c r="BH226" i="50"/>
  <c r="AC254" i="50"/>
  <c r="AD254" i="50" s="1"/>
  <c r="BO232" i="50"/>
  <c r="X204" i="50"/>
  <c r="BI204" i="50"/>
  <c r="J174" i="62"/>
  <c r="AZ174" i="62"/>
  <c r="I234" i="50"/>
  <c r="AU234" i="50" s="1"/>
  <c r="Q200" i="50"/>
  <c r="BB200" i="50"/>
  <c r="Q196" i="50"/>
  <c r="BB196" i="50"/>
  <c r="Q106" i="62"/>
  <c r="BG106" i="62"/>
  <c r="J102" i="62"/>
  <c r="AZ102" i="62"/>
  <c r="I201" i="50"/>
  <c r="AT201" i="50"/>
  <c r="J88" i="62"/>
  <c r="AZ88" i="62"/>
  <c r="AC84" i="50"/>
  <c r="BN84" i="50"/>
  <c r="X206" i="50"/>
  <c r="BI206" i="50"/>
  <c r="AB60" i="62"/>
  <c r="BS60" i="62" s="1"/>
  <c r="I94" i="62"/>
  <c r="AZ94" i="62" s="1"/>
  <c r="AB159" i="50"/>
  <c r="BN159" i="50" s="1"/>
  <c r="BP222" i="50"/>
  <c r="AK249" i="50"/>
  <c r="BW249" i="50" s="1"/>
  <c r="BW227" i="50"/>
  <c r="O241" i="50"/>
  <c r="BA241" i="50" s="1"/>
  <c r="BA219" i="50"/>
  <c r="AI260" i="50"/>
  <c r="BU260" i="50" s="1"/>
  <c r="U262" i="50"/>
  <c r="BG262" i="50" s="1"/>
  <c r="AA258" i="50"/>
  <c r="BM258" i="50" s="1"/>
  <c r="AD216" i="50"/>
  <c r="BP216" i="50" s="1"/>
  <c r="BU156" i="62"/>
  <c r="Q108" i="62"/>
  <c r="BG108" i="62"/>
  <c r="U278" i="50"/>
  <c r="BG278" i="50" s="1"/>
  <c r="BG256" i="50"/>
  <c r="BO166" i="50"/>
  <c r="AS255" i="50"/>
  <c r="G277" i="50"/>
  <c r="AS277" i="50" s="1"/>
  <c r="H255" i="50"/>
  <c r="H277" i="50" s="1"/>
  <c r="AT277" i="50" s="1"/>
  <c r="AL193" i="50"/>
  <c r="BW193" i="50"/>
  <c r="Q103" i="62"/>
  <c r="BG103" i="62"/>
  <c r="AL210" i="50"/>
  <c r="BW210" i="50"/>
  <c r="J170" i="62"/>
  <c r="AZ170" i="62"/>
  <c r="I230" i="50"/>
  <c r="AU230" i="50" s="1"/>
  <c r="AJ152" i="50"/>
  <c r="Q102" i="62"/>
  <c r="BG102" i="62"/>
  <c r="AI273" i="50"/>
  <c r="BU273" i="50" s="1"/>
  <c r="BU251" i="50"/>
  <c r="U276" i="50"/>
  <c r="BG276" i="50" s="1"/>
  <c r="U236" i="50"/>
  <c r="AC188" i="50"/>
  <c r="BO188" i="50" s="1"/>
  <c r="V250" i="50"/>
  <c r="BH250" i="50" s="1"/>
  <c r="BH228" i="50"/>
  <c r="W235" i="50"/>
  <c r="X163" i="62"/>
  <c r="BO163" i="62" s="1"/>
  <c r="AJ247" i="50"/>
  <c r="BV247" i="50" s="1"/>
  <c r="BV225" i="50"/>
  <c r="V242" i="50"/>
  <c r="BH242" i="50" s="1"/>
  <c r="BH220" i="50"/>
  <c r="V252" i="50"/>
  <c r="BH252" i="50" s="1"/>
  <c r="BH230" i="50"/>
  <c r="AJ248" i="50"/>
  <c r="BV248" i="50" s="1"/>
  <c r="BV226" i="50"/>
  <c r="G266" i="50"/>
  <c r="AS266" i="50" s="1"/>
  <c r="AB265" i="50"/>
  <c r="BN265" i="50" s="1"/>
  <c r="AI266" i="50"/>
  <c r="BU266" i="50" s="1"/>
  <c r="AB275" i="50"/>
  <c r="BN275" i="50" s="1"/>
  <c r="AB269" i="50"/>
  <c r="BN269" i="50" s="1"/>
  <c r="AK217" i="50"/>
  <c r="CB157" i="62"/>
  <c r="AC240" i="50"/>
  <c r="BO218" i="50"/>
  <c r="V237" i="50"/>
  <c r="BH237" i="50" s="1"/>
  <c r="BH215" i="50"/>
  <c r="N60" i="62"/>
  <c r="BE60" i="62" s="1"/>
  <c r="BE67" i="62"/>
  <c r="V79" i="62"/>
  <c r="BM79" i="62" s="1"/>
  <c r="AI77" i="50"/>
  <c r="BU77" i="50" s="1"/>
  <c r="AJ251" i="50"/>
  <c r="AK251" i="50" s="1"/>
  <c r="BW251" i="50" s="1"/>
  <c r="Y82" i="62"/>
  <c r="BP82" i="62" s="1"/>
  <c r="BO82" i="62"/>
  <c r="AE211" i="50"/>
  <c r="BP211" i="50"/>
  <c r="BU95" i="62"/>
  <c r="AE95" i="62"/>
  <c r="Q197" i="50"/>
  <c r="BB197" i="50"/>
  <c r="Q88" i="62"/>
  <c r="BG88" i="62"/>
  <c r="AE107" i="62"/>
  <c r="BU107" i="62"/>
  <c r="AL202" i="50"/>
  <c r="BW202" i="50"/>
  <c r="AL85" i="62"/>
  <c r="CB85" i="62"/>
  <c r="AB262" i="50"/>
  <c r="BN262" i="50" s="1"/>
  <c r="BN240" i="50"/>
  <c r="J68" i="62"/>
  <c r="AZ68" i="62"/>
  <c r="Q171" i="62"/>
  <c r="BG171" i="62"/>
  <c r="P231" i="50"/>
  <c r="BB231" i="50" s="1"/>
  <c r="AL197" i="50"/>
  <c r="BW197" i="50"/>
  <c r="AL73" i="62"/>
  <c r="CB73" i="62"/>
  <c r="AK135" i="50"/>
  <c r="BW135" i="50" s="1"/>
  <c r="BO81" i="50"/>
  <c r="Q211" i="50"/>
  <c r="BB211" i="50"/>
  <c r="AL196" i="50"/>
  <c r="BW196" i="50"/>
  <c r="AL93" i="62"/>
  <c r="CB93" i="62"/>
  <c r="AK149" i="50"/>
  <c r="BW149" i="50" s="1"/>
  <c r="J85" i="62"/>
  <c r="AZ85" i="62"/>
  <c r="X97" i="62"/>
  <c r="BN97" i="62"/>
  <c r="AL107" i="62"/>
  <c r="CB107" i="62"/>
  <c r="AL69" i="62"/>
  <c r="CB69" i="62"/>
  <c r="X69" i="62"/>
  <c r="BN69" i="62"/>
  <c r="AE77" i="62"/>
  <c r="BU77" i="62"/>
  <c r="Q209" i="50"/>
  <c r="BB209" i="50"/>
  <c r="AI275" i="50"/>
  <c r="BU275" i="50" s="1"/>
  <c r="BU253" i="50"/>
  <c r="G276" i="50"/>
  <c r="AS276" i="50" s="1"/>
  <c r="AS254" i="50"/>
  <c r="AB271" i="50"/>
  <c r="BN271" i="50" s="1"/>
  <c r="BN249" i="50"/>
  <c r="I207" i="50"/>
  <c r="AT207" i="50"/>
  <c r="AL102" i="62"/>
  <c r="CB102" i="62"/>
  <c r="AK52" i="50"/>
  <c r="BW52" i="50" s="1"/>
  <c r="X211" i="50"/>
  <c r="BI211" i="50"/>
  <c r="J210" i="50"/>
  <c r="AU210" i="50"/>
  <c r="AE208" i="50"/>
  <c r="BP208" i="50"/>
  <c r="AE97" i="62"/>
  <c r="BU97" i="62"/>
  <c r="BU84" i="62"/>
  <c r="AE84" i="62"/>
  <c r="AD83" i="62"/>
  <c r="BU83" i="62" s="1"/>
  <c r="Q89" i="62"/>
  <c r="BG89" i="62"/>
  <c r="AL82" i="62"/>
  <c r="CB82" i="62"/>
  <c r="AK140" i="50"/>
  <c r="BW140" i="50" s="1"/>
  <c r="Q73" i="62"/>
  <c r="BG73" i="62"/>
  <c r="AE199" i="50"/>
  <c r="BP199" i="50"/>
  <c r="U268" i="50"/>
  <c r="BG268" i="50" s="1"/>
  <c r="BG246" i="50"/>
  <c r="AL195" i="50"/>
  <c r="BW195" i="50"/>
  <c r="Q76" i="62"/>
  <c r="BG76" i="62"/>
  <c r="J159" i="62"/>
  <c r="AZ159" i="62"/>
  <c r="I219" i="50"/>
  <c r="AU219" i="50" s="1"/>
  <c r="AE139" i="50"/>
  <c r="BQ139" i="50" s="1"/>
  <c r="BV81" i="62"/>
  <c r="J87" i="62"/>
  <c r="AZ87" i="62"/>
  <c r="AL206" i="50"/>
  <c r="BW206" i="50"/>
  <c r="BU65" i="62"/>
  <c r="AE65" i="62"/>
  <c r="AD37" i="50"/>
  <c r="BP37" i="50" s="1"/>
  <c r="BN81" i="62"/>
  <c r="W80" i="62"/>
  <c r="BN80" i="62" s="1"/>
  <c r="X81" i="62"/>
  <c r="AL199" i="50"/>
  <c r="BW199" i="50"/>
  <c r="Q202" i="50"/>
  <c r="BB202" i="50"/>
  <c r="V256" i="50"/>
  <c r="BH234" i="50"/>
  <c r="O262" i="50"/>
  <c r="BA262" i="50" s="1"/>
  <c r="BA240" i="50"/>
  <c r="BG253" i="50"/>
  <c r="U275" i="50"/>
  <c r="BG275" i="50" s="1"/>
  <c r="U273" i="50"/>
  <c r="BG273" i="50" s="1"/>
  <c r="BG251" i="50"/>
  <c r="AT242" i="50"/>
  <c r="J193" i="50"/>
  <c r="AU193" i="50"/>
  <c r="AE83" i="50"/>
  <c r="BP83" i="50"/>
  <c r="W64" i="62"/>
  <c r="BN64" i="62" s="1"/>
  <c r="O239" i="50"/>
  <c r="BA239" i="50" s="1"/>
  <c r="BA217" i="50"/>
  <c r="AI60" i="62"/>
  <c r="BZ60" i="62" s="1"/>
  <c r="BZ79" i="62"/>
  <c r="AL212" i="50"/>
  <c r="BW212" i="50"/>
  <c r="X196" i="50"/>
  <c r="BI196" i="50"/>
  <c r="AE102" i="62"/>
  <c r="BU102" i="62"/>
  <c r="AD52" i="50"/>
  <c r="BP52" i="50" s="1"/>
  <c r="AL200" i="50"/>
  <c r="BW200" i="50"/>
  <c r="X201" i="50"/>
  <c r="BI201" i="50"/>
  <c r="AL90" i="62"/>
  <c r="CB90" i="62"/>
  <c r="AL96" i="62"/>
  <c r="CB96" i="62"/>
  <c r="X102" i="62"/>
  <c r="BN102" i="62"/>
  <c r="BO77" i="50"/>
  <c r="Q70" i="62"/>
  <c r="BG70" i="62"/>
  <c r="U279" i="50"/>
  <c r="BG279" i="50" s="1"/>
  <c r="BG257" i="50"/>
  <c r="Q78" i="62"/>
  <c r="BG78" i="62"/>
  <c r="AE204" i="50"/>
  <c r="BP204" i="50"/>
  <c r="AJ79" i="62"/>
  <c r="CA79" i="62" s="1"/>
  <c r="CA80" i="62"/>
  <c r="V247" i="50"/>
  <c r="BH247" i="50" s="1"/>
  <c r="BH225" i="50"/>
  <c r="H250" i="50"/>
  <c r="AT250" i="50" s="1"/>
  <c r="AT228" i="50"/>
  <c r="O248" i="50"/>
  <c r="BA226" i="50"/>
  <c r="G272" i="50"/>
  <c r="AS272" i="50" s="1"/>
  <c r="AS250" i="50"/>
  <c r="J89" i="62"/>
  <c r="AZ89" i="62"/>
  <c r="AL208" i="50"/>
  <c r="BW208" i="50"/>
  <c r="AJ254" i="50"/>
  <c r="BV254" i="50" s="1"/>
  <c r="BV232" i="50"/>
  <c r="AJ252" i="50"/>
  <c r="BV252" i="50" s="1"/>
  <c r="BV230" i="50"/>
  <c r="AB180" i="50"/>
  <c r="BN180" i="50" s="1"/>
  <c r="AB270" i="50"/>
  <c r="BN270" i="50" s="1"/>
  <c r="BN248" i="50"/>
  <c r="X87" i="62"/>
  <c r="BN87" i="62"/>
  <c r="J77" i="62"/>
  <c r="AZ77" i="62"/>
  <c r="Q201" i="50"/>
  <c r="BB201" i="50"/>
  <c r="Q90" i="62"/>
  <c r="BG90" i="62"/>
  <c r="X92" i="62"/>
  <c r="BN92" i="62"/>
  <c r="Q63" i="62"/>
  <c r="BG63" i="62"/>
  <c r="X208" i="50"/>
  <c r="BI208" i="50"/>
  <c r="I205" i="50"/>
  <c r="AT205" i="50"/>
  <c r="AL103" i="62"/>
  <c r="CB103" i="62"/>
  <c r="AK49" i="50"/>
  <c r="BW49" i="50" s="1"/>
  <c r="Q213" i="50"/>
  <c r="BB213" i="50"/>
  <c r="J169" i="62"/>
  <c r="AZ169" i="62"/>
  <c r="I229" i="50"/>
  <c r="AU229" i="50" s="1"/>
  <c r="G259" i="50"/>
  <c r="AS259" i="50" s="1"/>
  <c r="AJ242" i="50"/>
  <c r="BV242" i="50" s="1"/>
  <c r="BV220" i="50"/>
  <c r="W223" i="50"/>
  <c r="Q204" i="50"/>
  <c r="BB204" i="50"/>
  <c r="AE104" i="62"/>
  <c r="BU104" i="62"/>
  <c r="AD53" i="50"/>
  <c r="BP53" i="50" s="1"/>
  <c r="X93" i="62"/>
  <c r="BN93" i="62"/>
  <c r="H253" i="50"/>
  <c r="I253" i="50" s="1"/>
  <c r="AT231" i="50"/>
  <c r="Q104" i="62"/>
  <c r="BG104" i="62"/>
  <c r="X89" i="62"/>
  <c r="BN89" i="62"/>
  <c r="BW219" i="50"/>
  <c r="AL36" i="50"/>
  <c r="BX36" i="50" s="1"/>
  <c r="CC62" i="62"/>
  <c r="AJ246" i="50"/>
  <c r="BV246" i="50" s="1"/>
  <c r="BV224" i="50"/>
  <c r="H244" i="50"/>
  <c r="AT244" i="50" s="1"/>
  <c r="AT222" i="50"/>
  <c r="AJ238" i="50"/>
  <c r="BV238" i="50" s="1"/>
  <c r="BV216" i="50"/>
  <c r="AC249" i="50"/>
  <c r="BO249" i="50" s="1"/>
  <c r="BO227" i="50"/>
  <c r="G270" i="50"/>
  <c r="AS270" i="50" s="1"/>
  <c r="U266" i="50"/>
  <c r="BG266" i="50" s="1"/>
  <c r="AJ255" i="50"/>
  <c r="BV255" i="50" s="1"/>
  <c r="BV233" i="50"/>
  <c r="AC252" i="50"/>
  <c r="BO230" i="50"/>
  <c r="AJ253" i="50"/>
  <c r="BV253" i="50" s="1"/>
  <c r="BV231" i="50"/>
  <c r="V67" i="62"/>
  <c r="BM67" i="62" s="1"/>
  <c r="O238" i="50"/>
  <c r="P238" i="50" s="1"/>
  <c r="BB238" i="50" s="1"/>
  <c r="BA216" i="50"/>
  <c r="J173" i="62"/>
  <c r="AZ173" i="62"/>
  <c r="I233" i="50"/>
  <c r="AU233" i="50" s="1"/>
  <c r="J209" i="50"/>
  <c r="AU209" i="50"/>
  <c r="X107" i="62"/>
  <c r="BN107" i="62"/>
  <c r="H238" i="50"/>
  <c r="H260" i="50" s="1"/>
  <c r="AT260" i="50" s="1"/>
  <c r="N277" i="50"/>
  <c r="AZ277" i="50" s="1"/>
  <c r="AZ255" i="50"/>
  <c r="N264" i="50"/>
  <c r="AZ264" i="50" s="1"/>
  <c r="AZ242" i="50"/>
  <c r="AL213" i="50"/>
  <c r="BW213" i="50"/>
  <c r="AE92" i="62"/>
  <c r="BU92" i="62"/>
  <c r="AD43" i="50"/>
  <c r="BP43" i="50" s="1"/>
  <c r="J167" i="62"/>
  <c r="AZ167" i="62"/>
  <c r="I227" i="50"/>
  <c r="AU227" i="50" s="1"/>
  <c r="BV155" i="50"/>
  <c r="BN169" i="62"/>
  <c r="X169" i="62"/>
  <c r="W229" i="50"/>
  <c r="BI229" i="50" s="1"/>
  <c r="X63" i="62"/>
  <c r="BN63" i="62"/>
  <c r="U274" i="50"/>
  <c r="BG274" i="50" s="1"/>
  <c r="BG252" i="50"/>
  <c r="AJ239" i="50"/>
  <c r="BV217" i="50"/>
  <c r="AL92" i="62"/>
  <c r="CB92" i="62"/>
  <c r="AK43" i="50"/>
  <c r="BW43" i="50" s="1"/>
  <c r="BU100" i="62"/>
  <c r="AE100" i="62"/>
  <c r="AD50" i="50"/>
  <c r="BP50" i="50" s="1"/>
  <c r="AE105" i="62"/>
  <c r="BU105" i="62"/>
  <c r="AD55" i="50"/>
  <c r="BP55" i="50" s="1"/>
  <c r="AL91" i="62"/>
  <c r="CB91" i="62"/>
  <c r="AK148" i="50"/>
  <c r="BW148" i="50" s="1"/>
  <c r="Q92" i="62"/>
  <c r="BG92" i="62"/>
  <c r="AD80" i="62"/>
  <c r="J63" i="62"/>
  <c r="AZ63" i="62"/>
  <c r="AE203" i="50"/>
  <c r="BP203" i="50"/>
  <c r="AJ166" i="50"/>
  <c r="BU166" i="50"/>
  <c r="Q212" i="50"/>
  <c r="BB212" i="50"/>
  <c r="AL101" i="62"/>
  <c r="CB101" i="62"/>
  <c r="AK51" i="50"/>
  <c r="BW51" i="50" s="1"/>
  <c r="AL63" i="62"/>
  <c r="CB63" i="62"/>
  <c r="AK132" i="50"/>
  <c r="BW132" i="50" s="1"/>
  <c r="J86" i="62"/>
  <c r="AZ86" i="62"/>
  <c r="X85" i="62"/>
  <c r="BN85" i="62"/>
  <c r="J92" i="62"/>
  <c r="AZ92" i="62"/>
  <c r="X73" i="62"/>
  <c r="X71" i="62" s="1"/>
  <c r="BO71" i="62" s="1"/>
  <c r="BN73" i="62"/>
  <c r="BG95" i="62"/>
  <c r="Q95" i="62"/>
  <c r="P94" i="62"/>
  <c r="BG94" i="62" s="1"/>
  <c r="O253" i="50"/>
  <c r="O275" i="50" s="1"/>
  <c r="BA275" i="50" s="1"/>
  <c r="AC80" i="50"/>
  <c r="X105" i="62"/>
  <c r="BN105" i="62"/>
  <c r="J105" i="62"/>
  <c r="AZ105" i="62"/>
  <c r="AC239" i="50"/>
  <c r="BO239" i="50" s="1"/>
  <c r="BO217" i="50"/>
  <c r="O245" i="50"/>
  <c r="BA245" i="50" s="1"/>
  <c r="BA223" i="50"/>
  <c r="BW229" i="50"/>
  <c r="BW235" i="50"/>
  <c r="AJ250" i="50"/>
  <c r="BV250" i="50" s="1"/>
  <c r="BV228" i="50"/>
  <c r="O244" i="50"/>
  <c r="BA222" i="50"/>
  <c r="AC264" i="50"/>
  <c r="BO264" i="50" s="1"/>
  <c r="BO242" i="50"/>
  <c r="AL104" i="62"/>
  <c r="CB104" i="62"/>
  <c r="AK53" i="50"/>
  <c r="BW53" i="50" s="1"/>
  <c r="BN256" i="50"/>
  <c r="AB278" i="50"/>
  <c r="BN278" i="50" s="1"/>
  <c r="I194" i="50"/>
  <c r="AT194" i="50"/>
  <c r="X197" i="50"/>
  <c r="BI197" i="50"/>
  <c r="AE194" i="50"/>
  <c r="BP194" i="50"/>
  <c r="Q86" i="62"/>
  <c r="BG86" i="62"/>
  <c r="J76" i="62"/>
  <c r="AZ76" i="62"/>
  <c r="J196" i="50"/>
  <c r="AU196" i="50"/>
  <c r="X77" i="62"/>
  <c r="BN77" i="62"/>
  <c r="AE202" i="50"/>
  <c r="BP202" i="50"/>
  <c r="J106" i="62"/>
  <c r="AZ106" i="62"/>
  <c r="X98" i="62"/>
  <c r="BN98" i="62"/>
  <c r="Q210" i="50"/>
  <c r="BB210" i="50"/>
  <c r="AL194" i="50"/>
  <c r="BW194" i="50"/>
  <c r="K66" i="62"/>
  <c r="BB66" i="62" s="1"/>
  <c r="BA66" i="62"/>
  <c r="Q215" i="50"/>
  <c r="BC215" i="50" s="1"/>
  <c r="BH155" i="62"/>
  <c r="AC253" i="50"/>
  <c r="BO253" i="50" s="1"/>
  <c r="BO231" i="50"/>
  <c r="AC241" i="50"/>
  <c r="BO241" i="50" s="1"/>
  <c r="BO219" i="50"/>
  <c r="V254" i="50"/>
  <c r="BH254" i="50" s="1"/>
  <c r="BH232" i="50"/>
  <c r="V244" i="50"/>
  <c r="BH244" i="50" s="1"/>
  <c r="BH222" i="50"/>
  <c r="AI276" i="50"/>
  <c r="BU276" i="50" s="1"/>
  <c r="M258" i="50"/>
  <c r="AY258" i="50" s="1"/>
  <c r="AY259" i="50"/>
  <c r="AC268" i="50"/>
  <c r="BO268" i="50" s="1"/>
  <c r="BO246" i="50"/>
  <c r="AE73" i="62"/>
  <c r="BU73" i="62"/>
  <c r="AD135" i="50"/>
  <c r="BP135" i="50" s="1"/>
  <c r="X194" i="50"/>
  <c r="BI194" i="50"/>
  <c r="Q205" i="50"/>
  <c r="BB205" i="50"/>
  <c r="J213" i="50"/>
  <c r="AU213" i="50"/>
  <c r="Q194" i="50"/>
  <c r="BB194" i="50"/>
  <c r="AL98" i="62"/>
  <c r="CB98" i="62"/>
  <c r="AK48" i="50"/>
  <c r="BW48" i="50" s="1"/>
  <c r="AE70" i="62"/>
  <c r="BU70" i="62"/>
  <c r="X70" i="62"/>
  <c r="BN70" i="62"/>
  <c r="AL198" i="50"/>
  <c r="BW198" i="50"/>
  <c r="J206" i="50"/>
  <c r="AU206" i="50"/>
  <c r="AL87" i="62"/>
  <c r="CB87" i="62"/>
  <c r="AE85" i="62"/>
  <c r="BU85" i="62"/>
  <c r="X86" i="62"/>
  <c r="BN86" i="62"/>
  <c r="AB272" i="50"/>
  <c r="BN272" i="50" s="1"/>
  <c r="BN250" i="50"/>
  <c r="V243" i="50"/>
  <c r="BH243" i="50" s="1"/>
  <c r="BH221" i="50"/>
  <c r="V241" i="50"/>
  <c r="BH241" i="50" s="1"/>
  <c r="BH219" i="50"/>
  <c r="O247" i="50"/>
  <c r="BA247" i="50" s="1"/>
  <c r="BA225" i="50"/>
  <c r="AJ244" i="50"/>
  <c r="BV244" i="50" s="1"/>
  <c r="BV222" i="50"/>
  <c r="AD220" i="50"/>
  <c r="BP220" i="50" s="1"/>
  <c r="H239" i="50"/>
  <c r="AT239" i="50" s="1"/>
  <c r="AT217" i="50"/>
  <c r="O268" i="50"/>
  <c r="BA268" i="50" s="1"/>
  <c r="Q65" i="62"/>
  <c r="BH65" i="62" s="1"/>
  <c r="BG65" i="62"/>
  <c r="J97" i="62"/>
  <c r="AZ97" i="62"/>
  <c r="Q198" i="50"/>
  <c r="BB198" i="50"/>
  <c r="X212" i="50"/>
  <c r="BI212" i="50"/>
  <c r="X101" i="62"/>
  <c r="BN101" i="62"/>
  <c r="N270" i="50"/>
  <c r="AZ270" i="50" s="1"/>
  <c r="AZ248" i="50"/>
  <c r="J200" i="50"/>
  <c r="AU200" i="50"/>
  <c r="AI264" i="50"/>
  <c r="BU264" i="50" s="1"/>
  <c r="BU242" i="50"/>
  <c r="AE98" i="62"/>
  <c r="BU98" i="62"/>
  <c r="AD48" i="50"/>
  <c r="BP48" i="50" s="1"/>
  <c r="H241" i="50"/>
  <c r="H263" i="50" s="1"/>
  <c r="AT263" i="50" s="1"/>
  <c r="AS241" i="50"/>
  <c r="AE210" i="50"/>
  <c r="BP210" i="50"/>
  <c r="J93" i="62"/>
  <c r="AZ93" i="62"/>
  <c r="AE198" i="50"/>
  <c r="BP198" i="50"/>
  <c r="Q107" i="62"/>
  <c r="BG107" i="62"/>
  <c r="AL37" i="50"/>
  <c r="BX37" i="50" s="1"/>
  <c r="CC65" i="62"/>
  <c r="C16" i="67"/>
  <c r="C119" i="67" s="1"/>
  <c r="AS192" i="50"/>
  <c r="C16" i="85" s="1"/>
  <c r="D70" i="67"/>
  <c r="D125" i="67" s="1"/>
  <c r="BO192" i="50"/>
  <c r="D70" i="85" s="1"/>
  <c r="D125" i="85" s="1"/>
  <c r="AJ256" i="50"/>
  <c r="BV234" i="50"/>
  <c r="H246" i="50"/>
  <c r="AT246" i="50" s="1"/>
  <c r="AT224" i="50"/>
  <c r="O250" i="50"/>
  <c r="BA250" i="50" s="1"/>
  <c r="BA228" i="50"/>
  <c r="AE160" i="62"/>
  <c r="BV160" i="62" s="1"/>
  <c r="G261" i="50"/>
  <c r="AS261" i="50" s="1"/>
  <c r="AE195" i="50"/>
  <c r="BP195" i="50"/>
  <c r="AI263" i="50"/>
  <c r="BU263" i="50" s="1"/>
  <c r="BU241" i="50"/>
  <c r="AL105" i="62"/>
  <c r="CB105" i="62"/>
  <c r="AK55" i="50"/>
  <c r="BW55" i="50" s="1"/>
  <c r="AL76" i="62"/>
  <c r="CB76" i="62"/>
  <c r="Q77" i="62"/>
  <c r="BG77" i="62"/>
  <c r="AI278" i="50"/>
  <c r="BU278" i="50" s="1"/>
  <c r="BU256" i="50"/>
  <c r="AB274" i="50"/>
  <c r="BN274" i="50" s="1"/>
  <c r="BN252" i="50"/>
  <c r="AL201" i="50"/>
  <c r="BW201" i="50"/>
  <c r="J104" i="62"/>
  <c r="AZ104" i="62"/>
  <c r="N278" i="50"/>
  <c r="AZ278" i="50" s="1"/>
  <c r="AZ256" i="50"/>
  <c r="J91" i="62"/>
  <c r="AZ91" i="62"/>
  <c r="X88" i="62"/>
  <c r="BN88" i="62"/>
  <c r="X193" i="50"/>
  <c r="BI193" i="50"/>
  <c r="AL108" i="62"/>
  <c r="CB108" i="62"/>
  <c r="AK59" i="50"/>
  <c r="BW59" i="50" s="1"/>
  <c r="AL97" i="62"/>
  <c r="CB97" i="62"/>
  <c r="X199" i="50"/>
  <c r="BI199" i="50"/>
  <c r="AI279" i="50"/>
  <c r="BU279" i="50" s="1"/>
  <c r="BU257" i="50"/>
  <c r="J204" i="50"/>
  <c r="AU204" i="50"/>
  <c r="AE193" i="50"/>
  <c r="BP193" i="50"/>
  <c r="AL89" i="62"/>
  <c r="CB89" i="62"/>
  <c r="AK146" i="50"/>
  <c r="BW146" i="50" s="1"/>
  <c r="AD169" i="50"/>
  <c r="BO169" i="50"/>
  <c r="J98" i="62"/>
  <c r="AZ98" i="62"/>
  <c r="AJ168" i="50"/>
  <c r="BU168" i="50"/>
  <c r="CB84" i="62"/>
  <c r="AL84" i="62"/>
  <c r="AK83" i="62"/>
  <c r="CB83" i="62" s="1"/>
  <c r="AE106" i="62"/>
  <c r="BU106" i="62"/>
  <c r="AD56" i="50"/>
  <c r="BP56" i="50" s="1"/>
  <c r="U271" i="50"/>
  <c r="BG271" i="50" s="1"/>
  <c r="BG249" i="50"/>
  <c r="Q85" i="62"/>
  <c r="BG85" i="62"/>
  <c r="AD74" i="62"/>
  <c r="BU74" i="62" s="1"/>
  <c r="AE216" i="50"/>
  <c r="BQ216" i="50" s="1"/>
  <c r="BV156" i="62"/>
  <c r="P61" i="62"/>
  <c r="BG61" i="62" s="1"/>
  <c r="F258" i="50"/>
  <c r="AR258" i="50" s="1"/>
  <c r="AC255" i="50"/>
  <c r="BO255" i="50" s="1"/>
  <c r="BO233" i="50"/>
  <c r="AC250" i="50"/>
  <c r="BO250" i="50" s="1"/>
  <c r="BO228" i="50"/>
  <c r="AC243" i="50"/>
  <c r="BO243" i="50" s="1"/>
  <c r="BO221" i="50"/>
  <c r="U270" i="50"/>
  <c r="BG270" i="50" s="1"/>
  <c r="AC189" i="50"/>
  <c r="BO189" i="50" s="1"/>
  <c r="G273" i="50"/>
  <c r="AS273" i="50" s="1"/>
  <c r="AC248" i="50"/>
  <c r="X207" i="50"/>
  <c r="BI207" i="50"/>
  <c r="X91" i="62"/>
  <c r="BN91" i="62"/>
  <c r="AE78" i="62"/>
  <c r="BU78" i="62"/>
  <c r="AC244" i="50"/>
  <c r="AD244" i="50" s="1"/>
  <c r="BO222" i="50"/>
  <c r="AI268" i="50"/>
  <c r="BU268" i="50" s="1"/>
  <c r="BU246" i="50"/>
  <c r="N267" i="50"/>
  <c r="AZ267" i="50" s="1"/>
  <c r="AZ245" i="50"/>
  <c r="BG245" i="50"/>
  <c r="U267" i="50"/>
  <c r="BG267" i="50" s="1"/>
  <c r="Q193" i="50"/>
  <c r="BB193" i="50"/>
  <c r="AZ84" i="62"/>
  <c r="I83" i="62"/>
  <c r="AZ83" i="62" s="1"/>
  <c r="J84" i="62"/>
  <c r="AL211" i="50"/>
  <c r="BW211" i="50"/>
  <c r="X78" i="62"/>
  <c r="BN78" i="62"/>
  <c r="Q207" i="50"/>
  <c r="BB207" i="50"/>
  <c r="H252" i="50"/>
  <c r="AS252" i="50"/>
  <c r="AJ241" i="50"/>
  <c r="AZ75" i="62"/>
  <c r="I74" i="62"/>
  <c r="AZ74" i="62" s="1"/>
  <c r="J75" i="62"/>
  <c r="AE200" i="50"/>
  <c r="BP200" i="50"/>
  <c r="J197" i="50"/>
  <c r="AU197" i="50"/>
  <c r="AC78" i="50"/>
  <c r="O254" i="50"/>
  <c r="BA254" i="50" s="1"/>
  <c r="BA232" i="50"/>
  <c r="AJ67" i="62"/>
  <c r="CA67" i="62" s="1"/>
  <c r="CA74" i="62"/>
  <c r="W83" i="62"/>
  <c r="O79" i="62"/>
  <c r="BF79" i="62" s="1"/>
  <c r="BF83" i="62"/>
  <c r="D52" i="67"/>
  <c r="D123" i="67" s="1"/>
  <c r="BH192" i="50"/>
  <c r="D52" i="85" s="1"/>
  <c r="D123" i="85" s="1"/>
  <c r="D94" i="67"/>
  <c r="D127" i="67" s="1"/>
  <c r="BV192" i="50"/>
  <c r="D94" i="85" s="1"/>
  <c r="D127" i="85" s="1"/>
  <c r="AJ271" i="50"/>
  <c r="BV271" i="50" s="1"/>
  <c r="X175" i="62"/>
  <c r="BO175" i="62" s="1"/>
  <c r="BP232" i="50"/>
  <c r="W231" i="50"/>
  <c r="V249" i="50"/>
  <c r="BH249" i="50" s="1"/>
  <c r="BH227" i="50"/>
  <c r="N276" i="50"/>
  <c r="AZ276" i="50" s="1"/>
  <c r="AB279" i="50"/>
  <c r="BN279" i="50" s="1"/>
  <c r="AD51" i="50"/>
  <c r="BP51" i="50" s="1"/>
  <c r="BU101" i="62"/>
  <c r="AK94" i="62"/>
  <c r="CB94" i="62" s="1"/>
  <c r="AB75" i="50"/>
  <c r="BN75" i="50" s="1"/>
  <c r="AJ240" i="50"/>
  <c r="BV240" i="50" s="1"/>
  <c r="BV218" i="50"/>
  <c r="AJ243" i="50"/>
  <c r="BV243" i="50" s="1"/>
  <c r="BV221" i="50"/>
  <c r="AB263" i="50"/>
  <c r="BN263" i="50" s="1"/>
  <c r="AC247" i="50"/>
  <c r="BO247" i="50" s="1"/>
  <c r="BO225" i="50"/>
  <c r="AC237" i="50"/>
  <c r="BO237" i="50" s="1"/>
  <c r="BO215" i="50"/>
  <c r="X171" i="62"/>
  <c r="BO171" i="62" s="1"/>
  <c r="AC76" i="50"/>
  <c r="BO76" i="50" s="1"/>
  <c r="N274" i="50"/>
  <c r="AZ274" i="50" s="1"/>
  <c r="V255" i="50"/>
  <c r="BH233" i="50"/>
  <c r="AC257" i="50"/>
  <c r="BO257" i="50" s="1"/>
  <c r="BO235" i="50"/>
  <c r="AI269" i="50"/>
  <c r="BU269" i="50" s="1"/>
  <c r="AJ159" i="50"/>
  <c r="BV159" i="50" s="1"/>
  <c r="AJ245" i="50"/>
  <c r="BV245" i="50" s="1"/>
  <c r="BV223" i="50"/>
  <c r="H267" i="50"/>
  <c r="AT267" i="50" s="1"/>
  <c r="AT245" i="50"/>
  <c r="V251" i="50"/>
  <c r="AJ257" i="50"/>
  <c r="AK257" i="50" s="1"/>
  <c r="BW257" i="50" s="1"/>
  <c r="X209" i="50"/>
  <c r="BI209" i="50"/>
  <c r="J161" i="62"/>
  <c r="AZ161" i="62"/>
  <c r="I221" i="50"/>
  <c r="AU221" i="50" s="1"/>
  <c r="I208" i="50"/>
  <c r="AT208" i="50"/>
  <c r="X203" i="50"/>
  <c r="BI203" i="50"/>
  <c r="X96" i="62"/>
  <c r="BN96" i="62"/>
  <c r="AE86" i="62"/>
  <c r="BU86" i="62"/>
  <c r="AD143" i="50"/>
  <c r="BP143" i="50" s="1"/>
  <c r="J160" i="62"/>
  <c r="AZ160" i="62"/>
  <c r="I220" i="50"/>
  <c r="AU220" i="50" s="1"/>
  <c r="AE87" i="62"/>
  <c r="BU87" i="62"/>
  <c r="AS253" i="50"/>
  <c r="G275" i="50"/>
  <c r="AS275" i="50" s="1"/>
  <c r="AI271" i="50"/>
  <c r="BU271" i="50" s="1"/>
  <c r="BU249" i="50"/>
  <c r="AB260" i="50"/>
  <c r="BN260" i="50" s="1"/>
  <c r="BN238" i="50"/>
  <c r="AI267" i="50"/>
  <c r="BU267" i="50" s="1"/>
  <c r="BU245" i="50"/>
  <c r="AL88" i="62"/>
  <c r="CB88" i="62"/>
  <c r="J107" i="62"/>
  <c r="AZ107" i="62"/>
  <c r="I199" i="50"/>
  <c r="AT199" i="50"/>
  <c r="X76" i="62"/>
  <c r="BN76" i="62"/>
  <c r="AE196" i="50"/>
  <c r="BP196" i="50"/>
  <c r="AE212" i="50"/>
  <c r="BP212" i="50"/>
  <c r="X108" i="62"/>
  <c r="BN108" i="62"/>
  <c r="AB261" i="50"/>
  <c r="BN261" i="50" s="1"/>
  <c r="BN239" i="50"/>
  <c r="Q208" i="50"/>
  <c r="BB208" i="50"/>
  <c r="I212" i="50"/>
  <c r="AT212" i="50"/>
  <c r="AE88" i="62"/>
  <c r="BU88" i="62"/>
  <c r="AE213" i="50"/>
  <c r="BP213" i="50"/>
  <c r="AL106" i="62"/>
  <c r="CB106" i="62"/>
  <c r="AK56" i="50"/>
  <c r="BW56" i="50" s="1"/>
  <c r="AL66" i="62"/>
  <c r="CB66" i="62"/>
  <c r="AE91" i="62"/>
  <c r="BU91" i="62"/>
  <c r="AD148" i="50"/>
  <c r="BP148" i="50" s="1"/>
  <c r="X103" i="62"/>
  <c r="BN103" i="62"/>
  <c r="Q199" i="50"/>
  <c r="BB199" i="50"/>
  <c r="BG100" i="62"/>
  <c r="Q100" i="62"/>
  <c r="BN254" i="50"/>
  <c r="AB276" i="50"/>
  <c r="BN276" i="50" s="1"/>
  <c r="AB268" i="50"/>
  <c r="BN268" i="50" s="1"/>
  <c r="BN246" i="50"/>
  <c r="AE197" i="50"/>
  <c r="BP197" i="50"/>
  <c r="J103" i="62"/>
  <c r="AZ103" i="62"/>
  <c r="Q97" i="62"/>
  <c r="BG97" i="62"/>
  <c r="AE209" i="50"/>
  <c r="BP209" i="50"/>
  <c r="X104" i="62"/>
  <c r="BN104" i="62"/>
  <c r="AL205" i="50"/>
  <c r="BW205" i="50"/>
  <c r="AE89" i="62"/>
  <c r="BU89" i="62"/>
  <c r="AD146" i="50"/>
  <c r="BP146" i="50" s="1"/>
  <c r="BU239" i="50"/>
  <c r="AI261" i="50"/>
  <c r="BU261" i="50" s="1"/>
  <c r="X200" i="50"/>
  <c r="BI200" i="50"/>
  <c r="AE201" i="50"/>
  <c r="BP201" i="50"/>
  <c r="BV169" i="50"/>
  <c r="X202" i="50"/>
  <c r="BI202" i="50"/>
  <c r="N272" i="50"/>
  <c r="AZ272" i="50" s="1"/>
  <c r="AZ250" i="50"/>
  <c r="BN244" i="50"/>
  <c r="AB266" i="50"/>
  <c r="BN266" i="50" s="1"/>
  <c r="Q206" i="50"/>
  <c r="BB206" i="50"/>
  <c r="H249" i="50"/>
  <c r="H271" i="50" s="1"/>
  <c r="AT271" i="50" s="1"/>
  <c r="J198" i="50"/>
  <c r="AU198" i="50"/>
  <c r="Q66" i="62"/>
  <c r="BG66" i="62"/>
  <c r="Q98" i="62"/>
  <c r="BG98" i="62"/>
  <c r="J108" i="62"/>
  <c r="AZ108" i="62"/>
  <c r="N268" i="50"/>
  <c r="AZ268" i="50" s="1"/>
  <c r="AZ246" i="50"/>
  <c r="AB264" i="50"/>
  <c r="BN264" i="50" s="1"/>
  <c r="BN242" i="50"/>
  <c r="Q91" i="62"/>
  <c r="BG91" i="62"/>
  <c r="AZ72" i="62"/>
  <c r="I71" i="62"/>
  <c r="AZ71" i="62" s="1"/>
  <c r="J72" i="62"/>
  <c r="AC68" i="50"/>
  <c r="BN68" i="50"/>
  <c r="X198" i="50"/>
  <c r="BI198" i="50"/>
  <c r="G268" i="50"/>
  <c r="AS268" i="50" s="1"/>
  <c r="AS246" i="50"/>
  <c r="AI84" i="50"/>
  <c r="BT84" i="50"/>
  <c r="AI73" i="50"/>
  <c r="BT73" i="50"/>
  <c r="AL82" i="50"/>
  <c r="BW82" i="50"/>
  <c r="E71" i="49"/>
  <c r="K71" i="49" s="1"/>
  <c r="AI81" i="50"/>
  <c r="BT81" i="50"/>
  <c r="AI75" i="50"/>
  <c r="BT75" i="50"/>
  <c r="AI78" i="50"/>
  <c r="BT78" i="50"/>
  <c r="AL79" i="50"/>
  <c r="BW79" i="50"/>
  <c r="AL83" i="50"/>
  <c r="BW83" i="50"/>
  <c r="AI76" i="50"/>
  <c r="BT76" i="50"/>
  <c r="AI62" i="50"/>
  <c r="BT62" i="50"/>
  <c r="AI80" i="50"/>
  <c r="BT80" i="50"/>
  <c r="AI74" i="50"/>
  <c r="BT74" i="50"/>
  <c r="AI68" i="50"/>
  <c r="BT68" i="50"/>
  <c r="L8" i="7"/>
  <c r="T8" i="7" s="1"/>
  <c r="AB8" i="7" s="1"/>
  <c r="AJ8" i="7" s="1"/>
  <c r="BA8" i="7"/>
  <c r="BI8" i="7" s="1"/>
  <c r="BQ8" i="7" s="1"/>
  <c r="BY8" i="7" s="1"/>
  <c r="CG8" i="7" s="1"/>
  <c r="CO8" i="7" s="1"/>
  <c r="P64" i="62"/>
  <c r="BG64" i="62" s="1"/>
  <c r="P240" i="50"/>
  <c r="BB240" i="50" s="1"/>
  <c r="AD246" i="50"/>
  <c r="BP246" i="50" s="1"/>
  <c r="AF9" i="41"/>
  <c r="X9" i="41"/>
  <c r="Z9" i="62"/>
  <c r="AG9" i="62" s="1"/>
  <c r="AN9" i="62"/>
  <c r="H8" i="82"/>
  <c r="AC8" i="82" s="1"/>
  <c r="AG8" i="82" s="1"/>
  <c r="AK8" i="82" s="1"/>
  <c r="AO8" i="82" s="1"/>
  <c r="AS8" i="82" s="1"/>
  <c r="K8" i="82"/>
  <c r="O8" i="82" s="1"/>
  <c r="S8" i="82" s="1"/>
  <c r="W8" i="82" s="1"/>
  <c r="D58" i="7"/>
  <c r="D36" i="7"/>
  <c r="AD154" i="62"/>
  <c r="BU154" i="62" s="1"/>
  <c r="B105" i="67"/>
  <c r="P246" i="50"/>
  <c r="F30" i="7"/>
  <c r="BC30" i="7" s="1"/>
  <c r="J132" i="67"/>
  <c r="C17" i="67"/>
  <c r="AD30" i="7"/>
  <c r="CA30" i="7" s="1"/>
  <c r="C71" i="67"/>
  <c r="V30" i="7"/>
  <c r="BS30" i="7" s="1"/>
  <c r="C53" i="67"/>
  <c r="AD248" i="50"/>
  <c r="AL30" i="7"/>
  <c r="CI30" i="7" s="1"/>
  <c r="C95" i="67"/>
  <c r="N30" i="7"/>
  <c r="BK30" i="7" s="1"/>
  <c r="C35" i="67"/>
  <c r="AL157" i="62"/>
  <c r="P154" i="62"/>
  <c r="BG154" i="62" s="1"/>
  <c r="I245" i="50"/>
  <c r="AK154" i="62"/>
  <c r="CB154" i="62" s="1"/>
  <c r="AK233" i="50"/>
  <c r="AL173" i="62"/>
  <c r="CC173" i="62" s="1"/>
  <c r="P226" i="50"/>
  <c r="Q166" i="62"/>
  <c r="BH166" i="62" s="1"/>
  <c r="AD230" i="50"/>
  <c r="AE170" i="62"/>
  <c r="BV170" i="62" s="1"/>
  <c r="I217" i="50"/>
  <c r="J157" i="62"/>
  <c r="BA157" i="62" s="1"/>
  <c r="H214" i="50"/>
  <c r="AT214" i="50" s="1"/>
  <c r="J175" i="62"/>
  <c r="BA175" i="62" s="1"/>
  <c r="I235" i="50"/>
  <c r="AD218" i="50"/>
  <c r="AE158" i="62"/>
  <c r="BV158" i="62" s="1"/>
  <c r="AL163" i="62"/>
  <c r="CC163" i="62" s="1"/>
  <c r="AK223" i="50"/>
  <c r="Q162" i="62"/>
  <c r="BH162" i="62" s="1"/>
  <c r="P222" i="50"/>
  <c r="AK231" i="50"/>
  <c r="AL171" i="62"/>
  <c r="CC171" i="62" s="1"/>
  <c r="I215" i="50"/>
  <c r="J155" i="62"/>
  <c r="BA155" i="62" s="1"/>
  <c r="W215" i="50"/>
  <c r="X155" i="62"/>
  <c r="BO155" i="62" s="1"/>
  <c r="AW18" i="53"/>
  <c r="CY18" i="53" s="1"/>
  <c r="AZ18" i="53"/>
  <c r="DB18" i="53" s="1"/>
  <c r="BA18" i="53"/>
  <c r="DC18" i="53" s="1"/>
  <c r="BC18" i="53"/>
  <c r="DE18" i="53" s="1"/>
  <c r="BF18" i="53"/>
  <c r="DH18" i="53" s="1"/>
  <c r="BG18" i="53"/>
  <c r="DI18" i="53" s="1"/>
  <c r="AX18" i="53"/>
  <c r="CZ18" i="53" s="1"/>
  <c r="BB18" i="53"/>
  <c r="DD18" i="53" s="1"/>
  <c r="AY18" i="53"/>
  <c r="DA18" i="53" s="1"/>
  <c r="BD18" i="53"/>
  <c r="DF18" i="53" s="1"/>
  <c r="BH18" i="53"/>
  <c r="DJ18" i="53" s="1"/>
  <c r="BE18" i="53"/>
  <c r="DG18" i="53" s="1"/>
  <c r="AJ264" i="50"/>
  <c r="BV264" i="50" s="1"/>
  <c r="AC267" i="50"/>
  <c r="BO267" i="50" s="1"/>
  <c r="O279" i="50"/>
  <c r="BA279" i="50" s="1"/>
  <c r="V262" i="50"/>
  <c r="BH262" i="50" s="1"/>
  <c r="AE169" i="62"/>
  <c r="BV169" i="62" s="1"/>
  <c r="AD229" i="50"/>
  <c r="AL172" i="62"/>
  <c r="CC172" i="62" s="1"/>
  <c r="AK232" i="50"/>
  <c r="AE171" i="62"/>
  <c r="BV171" i="62" s="1"/>
  <c r="AD231" i="50"/>
  <c r="Q172" i="62"/>
  <c r="BH172" i="62" s="1"/>
  <c r="P232" i="50"/>
  <c r="X157" i="62"/>
  <c r="BO157" i="62" s="1"/>
  <c r="W217" i="50"/>
  <c r="AE159" i="62"/>
  <c r="BV159" i="62" s="1"/>
  <c r="AD219" i="50"/>
  <c r="Q173" i="62"/>
  <c r="BH173" i="62" s="1"/>
  <c r="P233" i="50"/>
  <c r="X165" i="62"/>
  <c r="BO165" i="62" s="1"/>
  <c r="W225" i="50"/>
  <c r="AD215" i="50"/>
  <c r="AE155" i="62"/>
  <c r="BV155" i="62" s="1"/>
  <c r="H240" i="50"/>
  <c r="AF174" i="62"/>
  <c r="AE234" i="50"/>
  <c r="W220" i="50"/>
  <c r="X160" i="62"/>
  <c r="BO160" i="62" s="1"/>
  <c r="R164" i="62"/>
  <c r="Q224" i="50"/>
  <c r="BC224" i="50" s="1"/>
  <c r="X164" i="62"/>
  <c r="BO164" i="62" s="1"/>
  <c r="W224" i="50"/>
  <c r="J168" i="62"/>
  <c r="BA168" i="62" s="1"/>
  <c r="I228" i="50"/>
  <c r="AL168" i="62"/>
  <c r="CC168" i="62" s="1"/>
  <c r="AK228" i="50"/>
  <c r="Q168" i="62"/>
  <c r="BH168" i="62" s="1"/>
  <c r="P228" i="50"/>
  <c r="X174" i="62"/>
  <c r="BO174" i="62" s="1"/>
  <c r="W234" i="50"/>
  <c r="AJ214" i="50"/>
  <c r="BV214" i="50" s="1"/>
  <c r="D95" i="85" s="1"/>
  <c r="R156" i="62"/>
  <c r="Q216" i="50"/>
  <c r="AF139" i="50"/>
  <c r="BR139" i="50" s="1"/>
  <c r="X161" i="62"/>
  <c r="BO161" i="62" s="1"/>
  <c r="W221" i="50"/>
  <c r="AL161" i="62"/>
  <c r="CC161" i="62" s="1"/>
  <c r="AK221" i="50"/>
  <c r="P223" i="50"/>
  <c r="Q163" i="62"/>
  <c r="BH163" i="62" s="1"/>
  <c r="W228" i="50"/>
  <c r="X168" i="62"/>
  <c r="BO168" i="62" s="1"/>
  <c r="P217" i="50"/>
  <c r="Q157" i="62"/>
  <c r="BH157" i="62" s="1"/>
  <c r="AL160" i="62"/>
  <c r="CC160" i="62" s="1"/>
  <c r="AK220" i="50"/>
  <c r="P227" i="50"/>
  <c r="Q167" i="62"/>
  <c r="BH167" i="62" s="1"/>
  <c r="AC214" i="50"/>
  <c r="BO214" i="50" s="1"/>
  <c r="D71" i="85" s="1"/>
  <c r="X159" i="62"/>
  <c r="BO159" i="62" s="1"/>
  <c r="W219" i="50"/>
  <c r="R158" i="62"/>
  <c r="Q218" i="50"/>
  <c r="X223" i="50"/>
  <c r="Y163" i="62"/>
  <c r="AL235" i="50"/>
  <c r="AM175" i="62"/>
  <c r="AI259" i="50"/>
  <c r="AI236" i="50"/>
  <c r="AJ237" i="50"/>
  <c r="BV237" i="50" s="1"/>
  <c r="Q234" i="50"/>
  <c r="Q169" i="62"/>
  <c r="BH169" i="62" s="1"/>
  <c r="P229" i="50"/>
  <c r="AF164" i="62"/>
  <c r="AE224" i="50"/>
  <c r="BQ224" i="50" s="1"/>
  <c r="X166" i="62"/>
  <c r="BO166" i="62" s="1"/>
  <c r="W226" i="50"/>
  <c r="AK216" i="50"/>
  <c r="AL156" i="62"/>
  <c r="CC156" i="62" s="1"/>
  <c r="AL155" i="62"/>
  <c r="CC155" i="62" s="1"/>
  <c r="AK215" i="50"/>
  <c r="BW215" i="50" s="1"/>
  <c r="AK218" i="50"/>
  <c r="AL158" i="62"/>
  <c r="CC158" i="62" s="1"/>
  <c r="AM159" i="62"/>
  <c r="AL219" i="50"/>
  <c r="Q170" i="62"/>
  <c r="BH170" i="62" s="1"/>
  <c r="P230" i="50"/>
  <c r="AD233" i="50"/>
  <c r="AE173" i="62"/>
  <c r="BV173" i="62" s="1"/>
  <c r="O214" i="50"/>
  <c r="BA214" i="50" s="1"/>
  <c r="D35" i="85" s="1"/>
  <c r="AL174" i="62"/>
  <c r="CC174" i="62" s="1"/>
  <c r="AK234" i="50"/>
  <c r="AM167" i="62"/>
  <c r="AL227" i="50"/>
  <c r="AM169" i="62"/>
  <c r="AL229" i="50"/>
  <c r="AE168" i="62"/>
  <c r="BV168" i="62" s="1"/>
  <c r="AD228" i="50"/>
  <c r="Q175" i="62"/>
  <c r="BH175" i="62" s="1"/>
  <c r="P235" i="50"/>
  <c r="J166" i="62"/>
  <c r="BA166" i="62" s="1"/>
  <c r="I226" i="50"/>
  <c r="AL165" i="62"/>
  <c r="CC165" i="62" s="1"/>
  <c r="AK225" i="50"/>
  <c r="K163" i="62"/>
  <c r="J223" i="50"/>
  <c r="AV223" i="50" s="1"/>
  <c r="J231" i="50"/>
  <c r="K171" i="62"/>
  <c r="X167" i="62"/>
  <c r="BO167" i="62" s="1"/>
  <c r="W227" i="50"/>
  <c r="AE175" i="62"/>
  <c r="BV175" i="62" s="1"/>
  <c r="AD235" i="50"/>
  <c r="AL170" i="62"/>
  <c r="CC170" i="62" s="1"/>
  <c r="AK230" i="50"/>
  <c r="V214" i="50"/>
  <c r="BH214" i="50" s="1"/>
  <c r="D53" i="85" s="1"/>
  <c r="AE157" i="62"/>
  <c r="BV157" i="62" s="1"/>
  <c r="AD217" i="50"/>
  <c r="J158" i="62"/>
  <c r="BA158" i="62" s="1"/>
  <c r="I218" i="50"/>
  <c r="AU218" i="50" s="1"/>
  <c r="I154" i="62"/>
  <c r="AZ154" i="62" s="1"/>
  <c r="AE165" i="62"/>
  <c r="BV165" i="62" s="1"/>
  <c r="AD225" i="50"/>
  <c r="Q160" i="62"/>
  <c r="BH160" i="62" s="1"/>
  <c r="P220" i="50"/>
  <c r="Q159" i="62"/>
  <c r="BH159" i="62" s="1"/>
  <c r="P219" i="50"/>
  <c r="AE232" i="50"/>
  <c r="AF172" i="62"/>
  <c r="J164" i="62"/>
  <c r="BA164" i="62" s="1"/>
  <c r="I224" i="50"/>
  <c r="P225" i="50"/>
  <c r="Q165" i="62"/>
  <c r="BH165" i="62" s="1"/>
  <c r="AL164" i="62"/>
  <c r="CC164" i="62" s="1"/>
  <c r="AK224" i="50"/>
  <c r="AC271" i="50"/>
  <c r="BO271" i="50" s="1"/>
  <c r="X172" i="62"/>
  <c r="BO172" i="62" s="1"/>
  <c r="W232" i="50"/>
  <c r="W230" i="50"/>
  <c r="X170" i="62"/>
  <c r="BO170" i="62" s="1"/>
  <c r="AD223" i="50"/>
  <c r="AE163" i="62"/>
  <c r="BV163" i="62" s="1"/>
  <c r="AL166" i="62"/>
  <c r="CC166" i="62" s="1"/>
  <c r="AK226" i="50"/>
  <c r="X173" i="62"/>
  <c r="BO173" i="62" s="1"/>
  <c r="W233" i="50"/>
  <c r="AE226" i="50"/>
  <c r="BQ226" i="50" s="1"/>
  <c r="AF166" i="62"/>
  <c r="X162" i="62"/>
  <c r="BO162" i="62" s="1"/>
  <c r="W222" i="50"/>
  <c r="I222" i="50"/>
  <c r="J162" i="62"/>
  <c r="BA162" i="62" s="1"/>
  <c r="Q161" i="62"/>
  <c r="BH161" i="62" s="1"/>
  <c r="P221" i="50"/>
  <c r="AE161" i="62"/>
  <c r="BV161" i="62" s="1"/>
  <c r="AD221" i="50"/>
  <c r="I232" i="50"/>
  <c r="J172" i="62"/>
  <c r="BA172" i="62" s="1"/>
  <c r="AL162" i="62"/>
  <c r="CC162" i="62" s="1"/>
  <c r="AK222" i="50"/>
  <c r="AE167" i="62"/>
  <c r="BV167" i="62" s="1"/>
  <c r="AD227" i="50"/>
  <c r="X158" i="62"/>
  <c r="BO158" i="62" s="1"/>
  <c r="W218" i="50"/>
  <c r="N259" i="50"/>
  <c r="N236" i="50"/>
  <c r="O237" i="50"/>
  <c r="BA237" i="50" s="1"/>
  <c r="AC152" i="50"/>
  <c r="BO152" i="50" s="1"/>
  <c r="AB172" i="50"/>
  <c r="BN172" i="50" s="1"/>
  <c r="AJ64" i="50"/>
  <c r="BV64" i="50" s="1"/>
  <c r="AC62" i="50"/>
  <c r="BO62" i="50" s="1"/>
  <c r="AC175" i="50"/>
  <c r="BO175" i="50" s="1"/>
  <c r="AB61" i="50"/>
  <c r="BN61" i="50" s="1"/>
  <c r="AI61" i="50"/>
  <c r="BU61" i="50" s="1"/>
  <c r="AC64" i="50"/>
  <c r="BO64" i="50" s="1"/>
  <c r="H278" i="50"/>
  <c r="AT278" i="50" s="1"/>
  <c r="AD192" i="50"/>
  <c r="H264" i="50"/>
  <c r="AT264" i="50" s="1"/>
  <c r="V259" i="50"/>
  <c r="BH259" i="50" s="1"/>
  <c r="W192" i="50"/>
  <c r="H192" i="50"/>
  <c r="AK192" i="50"/>
  <c r="Y62" i="62"/>
  <c r="AM95" i="62"/>
  <c r="AM62" i="62"/>
  <c r="X156" i="62"/>
  <c r="W154" i="62"/>
  <c r="BN154" i="62" s="1"/>
  <c r="W67" i="62"/>
  <c r="BN67" i="62" s="1"/>
  <c r="AM100" i="62"/>
  <c r="AM72" i="62"/>
  <c r="AE101" i="62"/>
  <c r="AD99" i="62"/>
  <c r="BU99" i="62" s="1"/>
  <c r="Y84" i="62"/>
  <c r="AM65" i="62"/>
  <c r="AL64" i="62"/>
  <c r="CC64" i="62" s="1"/>
  <c r="Y65" i="62"/>
  <c r="Q75" i="62"/>
  <c r="BH75" i="62" s="1"/>
  <c r="P74" i="62"/>
  <c r="BG74" i="62" s="1"/>
  <c r="R62" i="62"/>
  <c r="AF75" i="62"/>
  <c r="P71" i="62"/>
  <c r="BG71" i="62" s="1"/>
  <c r="Q72" i="62"/>
  <c r="BH72" i="62" s="1"/>
  <c r="K100" i="62"/>
  <c r="BB100" i="62" s="1"/>
  <c r="J81" i="62"/>
  <c r="BA81" i="62" s="1"/>
  <c r="I80" i="62"/>
  <c r="R81" i="62"/>
  <c r="AL75" i="62"/>
  <c r="CC75" i="62" s="1"/>
  <c r="AK74" i="62"/>
  <c r="AF156" i="62"/>
  <c r="BW156" i="62" s="1"/>
  <c r="Q101" i="62"/>
  <c r="BH101" i="62" s="1"/>
  <c r="P99" i="62"/>
  <c r="BG99" i="62" s="1"/>
  <c r="Y75" i="62"/>
  <c r="AE66" i="62"/>
  <c r="BV66" i="62" s="1"/>
  <c r="AD64" i="62"/>
  <c r="BU64" i="62" s="1"/>
  <c r="Y72" i="62"/>
  <c r="AM157" i="62"/>
  <c r="CD157" i="62" s="1"/>
  <c r="AE63" i="62"/>
  <c r="AD61" i="62"/>
  <c r="BU61" i="62" s="1"/>
  <c r="AE96" i="62"/>
  <c r="BV96" i="62" s="1"/>
  <c r="AD94" i="62"/>
  <c r="BU94" i="62" s="1"/>
  <c r="K65" i="62"/>
  <c r="J64" i="62"/>
  <c r="BA64" i="62" s="1"/>
  <c r="O67" i="62"/>
  <c r="AF72" i="62"/>
  <c r="AE71" i="62"/>
  <c r="BV71" i="62" s="1"/>
  <c r="R155" i="62"/>
  <c r="BI155" i="62" s="1"/>
  <c r="W99" i="62"/>
  <c r="BN99" i="62" s="1"/>
  <c r="X100" i="62"/>
  <c r="BO100" i="62" s="1"/>
  <c r="K95" i="62"/>
  <c r="Q84" i="62"/>
  <c r="BH84" i="62" s="1"/>
  <c r="P83" i="62"/>
  <c r="AL81" i="62"/>
  <c r="AK80" i="62"/>
  <c r="W94" i="62"/>
  <c r="BN94" i="62" s="1"/>
  <c r="X95" i="62"/>
  <c r="BO95" i="62" s="1"/>
  <c r="F57" i="49"/>
  <c r="L57" i="49" s="1"/>
  <c r="E57" i="49"/>
  <c r="K57" i="49" s="1"/>
  <c r="D57" i="49"/>
  <c r="J57" i="49" s="1"/>
  <c r="C57" i="49"/>
  <c r="I57" i="49" s="1"/>
  <c r="V276" i="50" l="1"/>
  <c r="BH276" i="50" s="1"/>
  <c r="K132" i="85"/>
  <c r="D17" i="85"/>
  <c r="D113" i="85" s="1"/>
  <c r="C112" i="85"/>
  <c r="C119" i="85"/>
  <c r="C129" i="85" s="1"/>
  <c r="AD74" i="50"/>
  <c r="H269" i="50"/>
  <c r="AT269" i="50" s="1"/>
  <c r="BO74" i="50"/>
  <c r="AL99" i="62"/>
  <c r="CC99" i="62" s="1"/>
  <c r="BH238" i="50"/>
  <c r="AE74" i="62"/>
  <c r="BV74" i="62" s="1"/>
  <c r="AD67" i="62"/>
  <c r="BU67" i="62" s="1"/>
  <c r="AM12" i="50"/>
  <c r="BY12" i="50" s="1"/>
  <c r="BX12" i="50"/>
  <c r="AF14" i="50"/>
  <c r="BR14" i="50" s="1"/>
  <c r="BQ14" i="50"/>
  <c r="AM23" i="50"/>
  <c r="BY23" i="50" s="1"/>
  <c r="BX23" i="50"/>
  <c r="AM115" i="50"/>
  <c r="BY115" i="50" s="1"/>
  <c r="BX115" i="50"/>
  <c r="AF128" i="50"/>
  <c r="BR128" i="50" s="1"/>
  <c r="BQ128" i="50"/>
  <c r="AF119" i="50"/>
  <c r="BR119" i="50" s="1"/>
  <c r="BQ119" i="50"/>
  <c r="AB179" i="50"/>
  <c r="BN179" i="50" s="1"/>
  <c r="AM112" i="50"/>
  <c r="BY112" i="50" s="1"/>
  <c r="BX112" i="50"/>
  <c r="AM126" i="50"/>
  <c r="BY126" i="50" s="1"/>
  <c r="BX126" i="50"/>
  <c r="AM120" i="50"/>
  <c r="BY120" i="50" s="1"/>
  <c r="BX120" i="50"/>
  <c r="AF115" i="50"/>
  <c r="BR115" i="50" s="1"/>
  <c r="BQ115" i="50"/>
  <c r="AM34" i="50"/>
  <c r="BY34" i="50" s="1"/>
  <c r="BX34" i="50"/>
  <c r="AM24" i="50"/>
  <c r="BY24" i="50" s="1"/>
  <c r="BX24" i="50"/>
  <c r="AF34" i="50"/>
  <c r="BR34" i="50" s="1"/>
  <c r="BQ34" i="50"/>
  <c r="AF120" i="50"/>
  <c r="BR120" i="50" s="1"/>
  <c r="BQ120" i="50"/>
  <c r="AF28" i="50"/>
  <c r="BR28" i="50" s="1"/>
  <c r="BQ28" i="50"/>
  <c r="AM30" i="50"/>
  <c r="BY30" i="50" s="1"/>
  <c r="BX30" i="50"/>
  <c r="AF23" i="50"/>
  <c r="BR23" i="50" s="1"/>
  <c r="BQ23" i="50"/>
  <c r="AK159" i="50"/>
  <c r="BW159" i="50" s="1"/>
  <c r="AF112" i="50"/>
  <c r="BR112" i="50" s="1"/>
  <c r="BQ112" i="50"/>
  <c r="AM119" i="50"/>
  <c r="BY119" i="50" s="1"/>
  <c r="BX119" i="50"/>
  <c r="AM18" i="50"/>
  <c r="BY18" i="50" s="1"/>
  <c r="BX18" i="50"/>
  <c r="AL11" i="50"/>
  <c r="BW11" i="50"/>
  <c r="AF12" i="50"/>
  <c r="BR12" i="50" s="1"/>
  <c r="BQ12" i="50"/>
  <c r="AF129" i="50"/>
  <c r="BR129" i="50" s="1"/>
  <c r="BQ129" i="50"/>
  <c r="AF31" i="50"/>
  <c r="BR31" i="50" s="1"/>
  <c r="BQ31" i="50"/>
  <c r="AF11" i="50"/>
  <c r="BR11" i="50" s="1"/>
  <c r="BQ11" i="50"/>
  <c r="AF18" i="50"/>
  <c r="BR18" i="50" s="1"/>
  <c r="BQ18" i="50"/>
  <c r="AM123" i="50"/>
  <c r="BY123" i="50" s="1"/>
  <c r="BX123" i="50"/>
  <c r="X231" i="50"/>
  <c r="BJ231" i="50" s="1"/>
  <c r="AC60" i="62"/>
  <c r="BT60" i="62" s="1"/>
  <c r="P262" i="50"/>
  <c r="BB262" i="50" s="1"/>
  <c r="AC75" i="50"/>
  <c r="BO75" i="50" s="1"/>
  <c r="Y171" i="62"/>
  <c r="V269" i="50"/>
  <c r="BH269" i="50" s="1"/>
  <c r="AL94" i="62"/>
  <c r="CC94" i="62" s="1"/>
  <c r="X74" i="62"/>
  <c r="BO74" i="62" s="1"/>
  <c r="AF24" i="50"/>
  <c r="BR24" i="50" s="1"/>
  <c r="BQ24" i="50"/>
  <c r="AF26" i="50"/>
  <c r="BR26" i="50" s="1"/>
  <c r="BQ26" i="50"/>
  <c r="AM28" i="50"/>
  <c r="BY28" i="50" s="1"/>
  <c r="BX28" i="50"/>
  <c r="AM129" i="50"/>
  <c r="BY129" i="50" s="1"/>
  <c r="BX129" i="50"/>
  <c r="O267" i="50"/>
  <c r="BA267" i="50" s="1"/>
  <c r="AM27" i="50"/>
  <c r="BY27" i="50" s="1"/>
  <c r="BX27" i="50"/>
  <c r="AF126" i="50"/>
  <c r="BR126" i="50" s="1"/>
  <c r="BQ126" i="50"/>
  <c r="AF27" i="50"/>
  <c r="BR27" i="50" s="1"/>
  <c r="BQ27" i="50"/>
  <c r="AF25" i="50"/>
  <c r="BR25" i="50" s="1"/>
  <c r="BQ25" i="50"/>
  <c r="AM31" i="50"/>
  <c r="BY31" i="50" s="1"/>
  <c r="BX31" i="50"/>
  <c r="AM128" i="50"/>
  <c r="BY128" i="50" s="1"/>
  <c r="BX128" i="50"/>
  <c r="AM25" i="50"/>
  <c r="BY25" i="50" s="1"/>
  <c r="BX25" i="50"/>
  <c r="AC159" i="50"/>
  <c r="BO159" i="50" s="1"/>
  <c r="AF30" i="50"/>
  <c r="BR30" i="50" s="1"/>
  <c r="BQ30" i="50"/>
  <c r="AM26" i="50"/>
  <c r="BY26" i="50" s="1"/>
  <c r="BX26" i="50"/>
  <c r="AM14" i="50"/>
  <c r="BY14" i="50" s="1"/>
  <c r="BX14" i="50"/>
  <c r="AF123" i="50"/>
  <c r="BR123" i="50" s="1"/>
  <c r="BQ123" i="50"/>
  <c r="V261" i="50"/>
  <c r="BH261" i="50" s="1"/>
  <c r="AD242" i="50"/>
  <c r="AD264" i="50" s="1"/>
  <c r="BP264" i="50" s="1"/>
  <c r="AC260" i="50"/>
  <c r="BO260" i="50" s="1"/>
  <c r="AJ262" i="50"/>
  <c r="BV262" i="50" s="1"/>
  <c r="BN236" i="50"/>
  <c r="C72" i="85" s="1"/>
  <c r="AJ260" i="50"/>
  <c r="BV260" i="50" s="1"/>
  <c r="AC277" i="50"/>
  <c r="BO277" i="50" s="1"/>
  <c r="V265" i="50"/>
  <c r="BH265" i="50" s="1"/>
  <c r="O274" i="50"/>
  <c r="BA274" i="50" s="1"/>
  <c r="AJ77" i="50"/>
  <c r="AK77" i="50" s="1"/>
  <c r="C129" i="67"/>
  <c r="V266" i="50"/>
  <c r="BH266" i="50" s="1"/>
  <c r="AD77" i="50"/>
  <c r="BO163" i="50"/>
  <c r="AL192" i="50"/>
  <c r="F94" i="67" s="1"/>
  <c r="F127" i="67" s="1"/>
  <c r="AE222" i="50"/>
  <c r="BQ222" i="50" s="1"/>
  <c r="AC265" i="50"/>
  <c r="BO265" i="50" s="1"/>
  <c r="K62" i="62"/>
  <c r="BB62" i="62" s="1"/>
  <c r="AK271" i="50"/>
  <c r="BW271" i="50" s="1"/>
  <c r="AD155" i="50"/>
  <c r="BP155" i="50" s="1"/>
  <c r="X235" i="50"/>
  <c r="BJ235" i="50" s="1"/>
  <c r="AJ272" i="50"/>
  <c r="BV272" i="50" s="1"/>
  <c r="V60" i="62"/>
  <c r="BM60" i="62" s="1"/>
  <c r="BO160" i="50"/>
  <c r="AT243" i="50"/>
  <c r="Y175" i="62"/>
  <c r="Y235" i="50" s="1"/>
  <c r="BK235" i="50" s="1"/>
  <c r="AJ270" i="50"/>
  <c r="BV270" i="50" s="1"/>
  <c r="AD268" i="50"/>
  <c r="BP268" i="50" s="1"/>
  <c r="AK279" i="50"/>
  <c r="BW279" i="50" s="1"/>
  <c r="AJ267" i="50"/>
  <c r="BV267" i="50" s="1"/>
  <c r="P256" i="50"/>
  <c r="Q256" i="50" s="1"/>
  <c r="BC256" i="50" s="1"/>
  <c r="AD163" i="50"/>
  <c r="AD183" i="50" s="1"/>
  <c r="BP183" i="50" s="1"/>
  <c r="BP234" i="50"/>
  <c r="AC269" i="50"/>
  <c r="BO269" i="50" s="1"/>
  <c r="O273" i="50"/>
  <c r="BA273" i="50" s="1"/>
  <c r="AJ275" i="50"/>
  <c r="BV275" i="50" s="1"/>
  <c r="O272" i="50"/>
  <c r="BA272" i="50" s="1"/>
  <c r="AF162" i="62"/>
  <c r="AF222" i="50" s="1"/>
  <c r="BR222" i="50" s="1"/>
  <c r="O264" i="50"/>
  <c r="BA264" i="50" s="1"/>
  <c r="O271" i="50"/>
  <c r="BA271" i="50" s="1"/>
  <c r="AK160" i="50"/>
  <c r="BW160" i="50" s="1"/>
  <c r="AJ265" i="50"/>
  <c r="BV265" i="50" s="1"/>
  <c r="O261" i="50"/>
  <c r="BA261" i="50" s="1"/>
  <c r="H261" i="50"/>
  <c r="AT261" i="50" s="1"/>
  <c r="AC259" i="50"/>
  <c r="BO259" i="50" s="1"/>
  <c r="AJ274" i="50"/>
  <c r="BV274" i="50" s="1"/>
  <c r="R174" i="62"/>
  <c r="V270" i="50"/>
  <c r="BH270" i="50" s="1"/>
  <c r="AC272" i="50"/>
  <c r="BO272" i="50" s="1"/>
  <c r="AU253" i="50"/>
  <c r="I275" i="50"/>
  <c r="AU275" i="50" s="1"/>
  <c r="BP244" i="50"/>
  <c r="AD266" i="50"/>
  <c r="BP266" i="50" s="1"/>
  <c r="BP254" i="50"/>
  <c r="AD276" i="50"/>
  <c r="BP276" i="50" s="1"/>
  <c r="BI81" i="62"/>
  <c r="AM50" i="50"/>
  <c r="BY50" i="50" s="1"/>
  <c r="CD100" i="62"/>
  <c r="E52" i="67"/>
  <c r="E123" i="67" s="1"/>
  <c r="BI192" i="50"/>
  <c r="E52" i="85" s="1"/>
  <c r="E123" i="85" s="1"/>
  <c r="AK248" i="50"/>
  <c r="BW248" i="50" s="1"/>
  <c r="BW226" i="50"/>
  <c r="W249" i="50"/>
  <c r="BI249" i="50" s="1"/>
  <c r="BI227" i="50"/>
  <c r="AM229" i="50"/>
  <c r="BY229" i="50" s="1"/>
  <c r="CD169" i="62"/>
  <c r="AD255" i="50"/>
  <c r="BP255" i="50" s="1"/>
  <c r="BP233" i="50"/>
  <c r="AE256" i="50"/>
  <c r="BQ256" i="50" s="1"/>
  <c r="BQ234" i="50"/>
  <c r="P254" i="50"/>
  <c r="BB232" i="50"/>
  <c r="Y202" i="50"/>
  <c r="BK202" i="50" s="1"/>
  <c r="BJ202" i="50"/>
  <c r="W251" i="50"/>
  <c r="BH251" i="50"/>
  <c r="V273" i="50"/>
  <c r="BH273" i="50" s="1"/>
  <c r="AF78" i="62"/>
  <c r="BW78" i="62" s="1"/>
  <c r="BV78" i="62"/>
  <c r="AF198" i="50"/>
  <c r="BR198" i="50" s="1"/>
  <c r="BQ198" i="50"/>
  <c r="BP74" i="50"/>
  <c r="AF70" i="62"/>
  <c r="BW70" i="62" s="1"/>
  <c r="BV70" i="62"/>
  <c r="AM63" i="62"/>
  <c r="CC63" i="62"/>
  <c r="AL132" i="50"/>
  <c r="BX132" i="50" s="1"/>
  <c r="Y63" i="62"/>
  <c r="BP63" i="62" s="1"/>
  <c r="BO63" i="62"/>
  <c r="K167" i="62"/>
  <c r="BA167" i="62"/>
  <c r="J227" i="50"/>
  <c r="AV227" i="50" s="1"/>
  <c r="AC274" i="50"/>
  <c r="BO274" i="50" s="1"/>
  <c r="BO252" i="50"/>
  <c r="R63" i="62"/>
  <c r="BI63" i="62" s="1"/>
  <c r="BH63" i="62"/>
  <c r="Y196" i="50"/>
  <c r="BK196" i="50" s="1"/>
  <c r="BJ196" i="50"/>
  <c r="AD81" i="50"/>
  <c r="AM202" i="50"/>
  <c r="BY202" i="50" s="1"/>
  <c r="BX202" i="50"/>
  <c r="BV152" i="50"/>
  <c r="AK152" i="50"/>
  <c r="R196" i="50"/>
  <c r="BD196" i="50" s="1"/>
  <c r="BC196" i="50"/>
  <c r="Y68" i="62"/>
  <c r="BP68" i="62" s="1"/>
  <c r="BO68" i="62"/>
  <c r="AF93" i="62"/>
  <c r="BV93" i="62"/>
  <c r="AE149" i="50"/>
  <c r="BQ149" i="50" s="1"/>
  <c r="AF79" i="50"/>
  <c r="BR79" i="50" s="1"/>
  <c r="BQ79" i="50"/>
  <c r="K82" i="62"/>
  <c r="BB82" i="62" s="1"/>
  <c r="BA82" i="62"/>
  <c r="AM78" i="62"/>
  <c r="CD78" i="62" s="1"/>
  <c r="CC78" i="62"/>
  <c r="AL139" i="50"/>
  <c r="BX139" i="50" s="1"/>
  <c r="CC81" i="62"/>
  <c r="AE132" i="50"/>
  <c r="BQ132" i="50" s="1"/>
  <c r="BV63" i="62"/>
  <c r="AM37" i="50"/>
  <c r="BY37" i="50" s="1"/>
  <c r="CD65" i="62"/>
  <c r="X61" i="62"/>
  <c r="BO61" i="62" s="1"/>
  <c r="AK246" i="50"/>
  <c r="BW246" i="50" s="1"/>
  <c r="BW224" i="50"/>
  <c r="Y231" i="50"/>
  <c r="BK231" i="50" s="1"/>
  <c r="BP171" i="62"/>
  <c r="I248" i="50"/>
  <c r="AU248" i="50" s="1"/>
  <c r="AU226" i="50"/>
  <c r="P252" i="50"/>
  <c r="BB252" i="50" s="1"/>
  <c r="BB230" i="50"/>
  <c r="AL257" i="50"/>
  <c r="BX257" i="50" s="1"/>
  <c r="BX235" i="50"/>
  <c r="W243" i="50"/>
  <c r="BI243" i="50" s="1"/>
  <c r="BI221" i="50"/>
  <c r="W246" i="50"/>
  <c r="BI224" i="50"/>
  <c r="AF234" i="50"/>
  <c r="BR234" i="50" s="1"/>
  <c r="BW174" i="62"/>
  <c r="AJ266" i="50"/>
  <c r="BV266" i="50" s="1"/>
  <c r="AC279" i="50"/>
  <c r="BO279" i="50" s="1"/>
  <c r="AK253" i="50"/>
  <c r="BW253" i="50" s="1"/>
  <c r="BW231" i="50"/>
  <c r="AF209" i="50"/>
  <c r="BR209" i="50" s="1"/>
  <c r="BQ209" i="50"/>
  <c r="Y103" i="62"/>
  <c r="BP103" i="62" s="1"/>
  <c r="BO103" i="62"/>
  <c r="AM106" i="62"/>
  <c r="CC106" i="62"/>
  <c r="AL56" i="50"/>
  <c r="BX56" i="50" s="1"/>
  <c r="AF196" i="50"/>
  <c r="BR196" i="50" s="1"/>
  <c r="BQ196" i="50"/>
  <c r="AF86" i="62"/>
  <c r="BV86" i="62"/>
  <c r="AE143" i="50"/>
  <c r="BQ143" i="50" s="1"/>
  <c r="W253" i="50"/>
  <c r="BI231" i="50"/>
  <c r="AD78" i="50"/>
  <c r="BO78" i="50"/>
  <c r="BV241" i="50"/>
  <c r="AJ263" i="50"/>
  <c r="BV263" i="50" s="1"/>
  <c r="AM211" i="50"/>
  <c r="BY211" i="50" s="1"/>
  <c r="BX211" i="50"/>
  <c r="K98" i="62"/>
  <c r="BB98" i="62" s="1"/>
  <c r="BA98" i="62"/>
  <c r="K91" i="62"/>
  <c r="BB91" i="62" s="1"/>
  <c r="BA91" i="62"/>
  <c r="AM194" i="50"/>
  <c r="BY194" i="50" s="1"/>
  <c r="BX194" i="50"/>
  <c r="AF203" i="50"/>
  <c r="BR203" i="50" s="1"/>
  <c r="BQ203" i="50"/>
  <c r="AM91" i="62"/>
  <c r="CC91" i="62"/>
  <c r="AL148" i="50"/>
  <c r="BX148" i="50" s="1"/>
  <c r="K173" i="62"/>
  <c r="BA173" i="62"/>
  <c r="J233" i="50"/>
  <c r="AV233" i="50" s="1"/>
  <c r="AK241" i="50"/>
  <c r="AF204" i="50"/>
  <c r="BR204" i="50" s="1"/>
  <c r="BQ204" i="50"/>
  <c r="BP77" i="50"/>
  <c r="Y201" i="50"/>
  <c r="BK201" i="50" s="1"/>
  <c r="BJ201" i="50"/>
  <c r="AF83" i="50"/>
  <c r="BR83" i="50" s="1"/>
  <c r="BQ83" i="50"/>
  <c r="AM193" i="50"/>
  <c r="BY193" i="50" s="1"/>
  <c r="BX193" i="50"/>
  <c r="AF206" i="50"/>
  <c r="BR206" i="50" s="1"/>
  <c r="BQ206" i="50"/>
  <c r="AM68" i="62"/>
  <c r="CC68" i="62"/>
  <c r="AL39" i="50"/>
  <c r="BX39" i="50" s="1"/>
  <c r="H279" i="50"/>
  <c r="AT279" i="50" s="1"/>
  <c r="AT257" i="50"/>
  <c r="J203" i="50"/>
  <c r="AU203" i="50"/>
  <c r="Y195" i="50"/>
  <c r="BK195" i="50" s="1"/>
  <c r="BJ195" i="50"/>
  <c r="K73" i="62"/>
  <c r="BB73" i="62" s="1"/>
  <c r="BA73" i="62"/>
  <c r="AF69" i="62"/>
  <c r="BW69" i="62" s="1"/>
  <c r="BV69" i="62"/>
  <c r="P79" i="62"/>
  <c r="BG79" i="62" s="1"/>
  <c r="BG83" i="62"/>
  <c r="BW72" i="62"/>
  <c r="BP75" i="62"/>
  <c r="I79" i="62"/>
  <c r="AZ79" i="62" s="1"/>
  <c r="AZ80" i="62"/>
  <c r="BI62" i="62"/>
  <c r="BP84" i="62"/>
  <c r="BP62" i="62"/>
  <c r="V236" i="50"/>
  <c r="G258" i="50"/>
  <c r="C36" i="67"/>
  <c r="AZ236" i="50"/>
  <c r="C36" i="85" s="1"/>
  <c r="AF232" i="50"/>
  <c r="BR232" i="50" s="1"/>
  <c r="BW172" i="62"/>
  <c r="AF160" i="62"/>
  <c r="W250" i="50"/>
  <c r="BI250" i="50" s="1"/>
  <c r="BI228" i="50"/>
  <c r="H236" i="50"/>
  <c r="AT240" i="50"/>
  <c r="P244" i="50"/>
  <c r="BB222" i="50"/>
  <c r="AB258" i="50"/>
  <c r="AD270" i="50"/>
  <c r="BP270" i="50" s="1"/>
  <c r="BP248" i="50"/>
  <c r="P278" i="50"/>
  <c r="BB278" i="50" s="1"/>
  <c r="BB256" i="50"/>
  <c r="R206" i="50"/>
  <c r="BD206" i="50" s="1"/>
  <c r="BC206" i="50"/>
  <c r="AK169" i="50"/>
  <c r="BA84" i="62"/>
  <c r="K84" i="62"/>
  <c r="J83" i="62"/>
  <c r="BA83" i="62" s="1"/>
  <c r="Y91" i="62"/>
  <c r="BP91" i="62" s="1"/>
  <c r="BO91" i="62"/>
  <c r="AF106" i="62"/>
  <c r="BV106" i="62"/>
  <c r="AE56" i="50"/>
  <c r="BQ56" i="50" s="1"/>
  <c r="AM105" i="62"/>
  <c r="CC105" i="62"/>
  <c r="AL55" i="50"/>
  <c r="BX55" i="50" s="1"/>
  <c r="K206" i="50"/>
  <c r="AW206" i="50" s="1"/>
  <c r="AV206" i="50"/>
  <c r="O266" i="50"/>
  <c r="BA266" i="50" s="1"/>
  <c r="BA244" i="50"/>
  <c r="P253" i="50"/>
  <c r="BA253" i="50"/>
  <c r="AM103" i="62"/>
  <c r="CC103" i="62"/>
  <c r="AL49" i="50"/>
  <c r="BX49" i="50" s="1"/>
  <c r="Y92" i="62"/>
  <c r="BP92" i="62" s="1"/>
  <c r="BO92" i="62"/>
  <c r="Y87" i="62"/>
  <c r="BP87" i="62" s="1"/>
  <c r="BO87" i="62"/>
  <c r="AF211" i="50"/>
  <c r="BR211" i="50" s="1"/>
  <c r="BQ211" i="50"/>
  <c r="Y206" i="50"/>
  <c r="BK206" i="50" s="1"/>
  <c r="BJ206" i="50"/>
  <c r="K102" i="62"/>
  <c r="BB102" i="62" s="1"/>
  <c r="BA102" i="62"/>
  <c r="R68" i="62"/>
  <c r="BI68" i="62" s="1"/>
  <c r="BH68" i="62"/>
  <c r="AF82" i="62"/>
  <c r="BV82" i="62"/>
  <c r="AE140" i="50"/>
  <c r="BQ140" i="50" s="1"/>
  <c r="AE80" i="62"/>
  <c r="BA165" i="62"/>
  <c r="K165" i="62"/>
  <c r="J225" i="50"/>
  <c r="AV225" i="50" s="1"/>
  <c r="R105" i="62"/>
  <c r="BI105" i="62" s="1"/>
  <c r="BH105" i="62"/>
  <c r="Y213" i="50"/>
  <c r="BK213" i="50" s="1"/>
  <c r="BJ213" i="50"/>
  <c r="BP72" i="62"/>
  <c r="Q61" i="62"/>
  <c r="BH61" i="62" s="1"/>
  <c r="X83" i="62"/>
  <c r="I254" i="50"/>
  <c r="AU254" i="50" s="1"/>
  <c r="AU232" i="50"/>
  <c r="AE254" i="50"/>
  <c r="BQ254" i="50" s="1"/>
  <c r="BQ232" i="50"/>
  <c r="J253" i="50"/>
  <c r="AV253" i="50" s="1"/>
  <c r="AV231" i="50"/>
  <c r="AK256" i="50"/>
  <c r="BW256" i="50" s="1"/>
  <c r="BW234" i="50"/>
  <c r="AK238" i="50"/>
  <c r="BW238" i="50" s="1"/>
  <c r="BW216" i="50"/>
  <c r="R234" i="50"/>
  <c r="BD234" i="50" s="1"/>
  <c r="BI174" i="62"/>
  <c r="Y223" i="50"/>
  <c r="BK223" i="50" s="1"/>
  <c r="BP163" i="62"/>
  <c r="P249" i="50"/>
  <c r="BB249" i="50" s="1"/>
  <c r="BB227" i="50"/>
  <c r="P250" i="50"/>
  <c r="BB250" i="50" s="1"/>
  <c r="BB228" i="50"/>
  <c r="AK255" i="50"/>
  <c r="BW233" i="50"/>
  <c r="I267" i="50"/>
  <c r="AU267" i="50" s="1"/>
  <c r="AU245" i="50"/>
  <c r="R91" i="62"/>
  <c r="BI91" i="62" s="1"/>
  <c r="BH91" i="62"/>
  <c r="R98" i="62"/>
  <c r="BI98" i="62" s="1"/>
  <c r="BH98" i="62"/>
  <c r="AF89" i="62"/>
  <c r="BV89" i="62"/>
  <c r="AE146" i="50"/>
  <c r="BQ146" i="50" s="1"/>
  <c r="R97" i="62"/>
  <c r="BI97" i="62" s="1"/>
  <c r="BH97" i="62"/>
  <c r="Y76" i="62"/>
  <c r="BP76" i="62" s="1"/>
  <c r="BO76" i="62"/>
  <c r="Y96" i="62"/>
  <c r="BP96" i="62" s="1"/>
  <c r="BO96" i="62"/>
  <c r="K197" i="50"/>
  <c r="AW197" i="50" s="1"/>
  <c r="AV197" i="50"/>
  <c r="I252" i="50"/>
  <c r="I274" i="50" s="1"/>
  <c r="AU274" i="50" s="1"/>
  <c r="AT252" i="50"/>
  <c r="AE169" i="50"/>
  <c r="BP169" i="50"/>
  <c r="AD189" i="50"/>
  <c r="BP189" i="50" s="1"/>
  <c r="AM108" i="62"/>
  <c r="CC108" i="62"/>
  <c r="AL59" i="50"/>
  <c r="BX59" i="50" s="1"/>
  <c r="Y194" i="50"/>
  <c r="BK194" i="50" s="1"/>
  <c r="BJ194" i="50"/>
  <c r="R210" i="50"/>
  <c r="BD210" i="50" s="1"/>
  <c r="BC210" i="50"/>
  <c r="Y77" i="62"/>
  <c r="BP77" i="62" s="1"/>
  <c r="BO77" i="62"/>
  <c r="Y85" i="62"/>
  <c r="BP85" i="62" s="1"/>
  <c r="BO85" i="62"/>
  <c r="K63" i="62"/>
  <c r="BB63" i="62" s="1"/>
  <c r="BA63" i="62"/>
  <c r="AF92" i="62"/>
  <c r="BV92" i="62"/>
  <c r="AE43" i="50"/>
  <c r="BQ43" i="50" s="1"/>
  <c r="BA238" i="50"/>
  <c r="O260" i="50"/>
  <c r="BA260" i="50" s="1"/>
  <c r="Y89" i="62"/>
  <c r="BP89" i="62" s="1"/>
  <c r="BO89" i="62"/>
  <c r="AM200" i="50"/>
  <c r="BY200" i="50" s="1"/>
  <c r="BX200" i="50"/>
  <c r="K193" i="50"/>
  <c r="AW193" i="50" s="1"/>
  <c r="AV193" i="50"/>
  <c r="R202" i="50"/>
  <c r="BD202" i="50" s="1"/>
  <c r="BC202" i="50"/>
  <c r="R89" i="62"/>
  <c r="BI89" i="62" s="1"/>
  <c r="BH89" i="62"/>
  <c r="J207" i="50"/>
  <c r="AU207" i="50"/>
  <c r="R209" i="50"/>
  <c r="BD209" i="50" s="1"/>
  <c r="BC209" i="50"/>
  <c r="AM107" i="62"/>
  <c r="CD107" i="62" s="1"/>
  <c r="CC107" i="62"/>
  <c r="AM73" i="62"/>
  <c r="CC73" i="62"/>
  <c r="AL135" i="50"/>
  <c r="BX135" i="50" s="1"/>
  <c r="C18" i="67"/>
  <c r="AS236" i="50"/>
  <c r="C18" i="85" s="1"/>
  <c r="AF82" i="50"/>
  <c r="BQ82" i="50"/>
  <c r="AM86" i="62"/>
  <c r="CC86" i="62"/>
  <c r="AL143" i="50"/>
  <c r="BX143" i="50" s="1"/>
  <c r="Y205" i="50"/>
  <c r="BK205" i="50" s="1"/>
  <c r="BJ205" i="50"/>
  <c r="AE36" i="50"/>
  <c r="BQ36" i="50" s="1"/>
  <c r="BV62" i="62"/>
  <c r="AF62" i="62"/>
  <c r="AF90" i="62"/>
  <c r="BW90" i="62" s="1"/>
  <c r="BV90" i="62"/>
  <c r="AF103" i="62"/>
  <c r="BV103" i="62"/>
  <c r="AE49" i="50"/>
  <c r="BQ49" i="50" s="1"/>
  <c r="Y90" i="62"/>
  <c r="BP90" i="62" s="1"/>
  <c r="BO90" i="62"/>
  <c r="AF76" i="62"/>
  <c r="BW76" i="62" s="1"/>
  <c r="BV76" i="62"/>
  <c r="Y106" i="62"/>
  <c r="BP106" i="62" s="1"/>
  <c r="BO106" i="62"/>
  <c r="R82" i="62"/>
  <c r="BI82" i="62" s="1"/>
  <c r="BH82" i="62"/>
  <c r="H276" i="50"/>
  <c r="AT276" i="50" s="1"/>
  <c r="AT254" i="50"/>
  <c r="BB95" i="62"/>
  <c r="X216" i="50"/>
  <c r="BJ216" i="50" s="1"/>
  <c r="BO156" i="62"/>
  <c r="AC236" i="50"/>
  <c r="H274" i="50"/>
  <c r="AT274" i="50" s="1"/>
  <c r="W240" i="50"/>
  <c r="BI240" i="50" s="1"/>
  <c r="BI218" i="50"/>
  <c r="AD243" i="50"/>
  <c r="BP243" i="50" s="1"/>
  <c r="BP221" i="50"/>
  <c r="AF226" i="50"/>
  <c r="BR226" i="50" s="1"/>
  <c r="BW166" i="62"/>
  <c r="P247" i="50"/>
  <c r="BB247" i="50" s="1"/>
  <c r="BB225" i="50"/>
  <c r="P241" i="50"/>
  <c r="BB241" i="50" s="1"/>
  <c r="BB219" i="50"/>
  <c r="AK252" i="50"/>
  <c r="BW252" i="50" s="1"/>
  <c r="BW230" i="50"/>
  <c r="BX219" i="50"/>
  <c r="W248" i="50"/>
  <c r="BI248" i="50" s="1"/>
  <c r="BI226" i="50"/>
  <c r="BC234" i="50"/>
  <c r="BJ223" i="50"/>
  <c r="AK242" i="50"/>
  <c r="BW242" i="50" s="1"/>
  <c r="BW220" i="50"/>
  <c r="P245" i="50"/>
  <c r="BB245" i="50" s="1"/>
  <c r="BB223" i="50"/>
  <c r="R224" i="50"/>
  <c r="BD224" i="50" s="1"/>
  <c r="BI164" i="62"/>
  <c r="AD237" i="50"/>
  <c r="BP237" i="50" s="1"/>
  <c r="BP215" i="50"/>
  <c r="AD241" i="50"/>
  <c r="BP241" i="50" s="1"/>
  <c r="BP219" i="50"/>
  <c r="AK254" i="50"/>
  <c r="BW254" i="50" s="1"/>
  <c r="BW232" i="50"/>
  <c r="O276" i="50"/>
  <c r="BA276" i="50" s="1"/>
  <c r="V274" i="50"/>
  <c r="BH274" i="50" s="1"/>
  <c r="H266" i="50"/>
  <c r="AT266" i="50" s="1"/>
  <c r="AK245" i="50"/>
  <c r="BW223" i="50"/>
  <c r="P268" i="50"/>
  <c r="BB268" i="50" s="1"/>
  <c r="BB246" i="50"/>
  <c r="Y198" i="50"/>
  <c r="BK198" i="50" s="1"/>
  <c r="BJ198" i="50"/>
  <c r="AF201" i="50"/>
  <c r="BR201" i="50" s="1"/>
  <c r="BQ201" i="50"/>
  <c r="BH100" i="62"/>
  <c r="R100" i="62"/>
  <c r="BI100" i="62" s="1"/>
  <c r="AF91" i="62"/>
  <c r="BV91" i="62"/>
  <c r="AE148" i="50"/>
  <c r="BQ148" i="50" s="1"/>
  <c r="Y209" i="50"/>
  <c r="BK209" i="50" s="1"/>
  <c r="BJ209" i="50"/>
  <c r="W79" i="62"/>
  <c r="BN79" i="62" s="1"/>
  <c r="BN83" i="62"/>
  <c r="Y207" i="50"/>
  <c r="BK207" i="50" s="1"/>
  <c r="BJ207" i="50"/>
  <c r="CC84" i="62"/>
  <c r="AM84" i="62"/>
  <c r="AL83" i="62"/>
  <c r="CC83" i="62" s="1"/>
  <c r="AF210" i="50"/>
  <c r="BR210" i="50" s="1"/>
  <c r="BQ210" i="50"/>
  <c r="Y86" i="62"/>
  <c r="BP86" i="62" s="1"/>
  <c r="BO86" i="62"/>
  <c r="AM198" i="50"/>
  <c r="BY198" i="50" s="1"/>
  <c r="BX198" i="50"/>
  <c r="AM104" i="62"/>
  <c r="CC104" i="62"/>
  <c r="AL53" i="50"/>
  <c r="BX53" i="50" s="1"/>
  <c r="BH95" i="62"/>
  <c r="R95" i="62"/>
  <c r="Q94" i="62"/>
  <c r="BH94" i="62" s="1"/>
  <c r="BU80" i="62"/>
  <c r="AD79" i="62"/>
  <c r="BU79" i="62" s="1"/>
  <c r="AF105" i="62"/>
  <c r="BV105" i="62"/>
  <c r="AE55" i="50"/>
  <c r="BQ55" i="50" s="1"/>
  <c r="BV239" i="50"/>
  <c r="AJ261" i="50"/>
  <c r="BV261" i="50" s="1"/>
  <c r="Y107" i="62"/>
  <c r="BP107" i="62" s="1"/>
  <c r="BO107" i="62"/>
  <c r="AD84" i="50"/>
  <c r="BO84" i="50"/>
  <c r="R106" i="62"/>
  <c r="BI106" i="62" s="1"/>
  <c r="BH106" i="62"/>
  <c r="AF68" i="62"/>
  <c r="BV68" i="62"/>
  <c r="AE39" i="50"/>
  <c r="BQ39" i="50" s="1"/>
  <c r="J202" i="50"/>
  <c r="AU202" i="50"/>
  <c r="AK163" i="50"/>
  <c r="R203" i="50"/>
  <c r="BD203" i="50" s="1"/>
  <c r="BC203" i="50"/>
  <c r="K90" i="62"/>
  <c r="BB90" i="62" s="1"/>
  <c r="BA90" i="62"/>
  <c r="J94" i="62"/>
  <c r="BA94" i="62" s="1"/>
  <c r="K64" i="62"/>
  <c r="BB64" i="62" s="1"/>
  <c r="BB65" i="62"/>
  <c r="R65" i="62"/>
  <c r="AE51" i="50"/>
  <c r="BQ51" i="50" s="1"/>
  <c r="BV101" i="62"/>
  <c r="AL61" i="62"/>
  <c r="CC61" i="62" s="1"/>
  <c r="E94" i="67"/>
  <c r="E127" i="67" s="1"/>
  <c r="BW192" i="50"/>
  <c r="E94" i="85" s="1"/>
  <c r="E127" i="85" s="1"/>
  <c r="D16" i="67"/>
  <c r="D112" i="67" s="1"/>
  <c r="AT192" i="50"/>
  <c r="D16" i="85" s="1"/>
  <c r="E70" i="67"/>
  <c r="E125" i="67" s="1"/>
  <c r="BP192" i="50"/>
  <c r="E70" i="85" s="1"/>
  <c r="E125" i="85" s="1"/>
  <c r="I256" i="50"/>
  <c r="AU256" i="50" s="1"/>
  <c r="W252" i="50"/>
  <c r="BI252" i="50" s="1"/>
  <c r="BI230" i="50"/>
  <c r="H272" i="50"/>
  <c r="AT272" i="50" s="1"/>
  <c r="K223" i="50"/>
  <c r="AW223" i="50" s="1"/>
  <c r="BB163" i="62"/>
  <c r="AD250" i="50"/>
  <c r="BP250" i="50" s="1"/>
  <c r="BP228" i="50"/>
  <c r="AM219" i="50"/>
  <c r="BY219" i="50" s="1"/>
  <c r="CD159" i="62"/>
  <c r="Q240" i="50"/>
  <c r="BC240" i="50" s="1"/>
  <c r="BC218" i="50"/>
  <c r="AK243" i="50"/>
  <c r="BW243" i="50" s="1"/>
  <c r="BW221" i="50"/>
  <c r="AK250" i="50"/>
  <c r="BW250" i="50" s="1"/>
  <c r="BW228" i="50"/>
  <c r="W247" i="50"/>
  <c r="BI247" i="50" s="1"/>
  <c r="BI225" i="50"/>
  <c r="V271" i="50"/>
  <c r="BH271" i="50" s="1"/>
  <c r="AC275" i="50"/>
  <c r="BO275" i="50" s="1"/>
  <c r="AD278" i="50"/>
  <c r="BP278" i="50" s="1"/>
  <c r="V264" i="50"/>
  <c r="BH264" i="50" s="1"/>
  <c r="AJ268" i="50"/>
  <c r="BV268" i="50" s="1"/>
  <c r="V272" i="50"/>
  <c r="BH272" i="50" s="1"/>
  <c r="W237" i="50"/>
  <c r="BI237" i="50" s="1"/>
  <c r="BI215" i="50"/>
  <c r="I239" i="50"/>
  <c r="AU239" i="50" s="1"/>
  <c r="AU217" i="50"/>
  <c r="AL217" i="50"/>
  <c r="CC157" i="62"/>
  <c r="C112" i="67"/>
  <c r="AJ60" i="62"/>
  <c r="CA60" i="62" s="1"/>
  <c r="AD238" i="50"/>
  <c r="R66" i="62"/>
  <c r="BI66" i="62" s="1"/>
  <c r="BH66" i="62"/>
  <c r="AM205" i="50"/>
  <c r="BY205" i="50" s="1"/>
  <c r="BX205" i="50"/>
  <c r="K103" i="62"/>
  <c r="BB103" i="62" s="1"/>
  <c r="BA103" i="62"/>
  <c r="AF88" i="62"/>
  <c r="BW88" i="62" s="1"/>
  <c r="BV88" i="62"/>
  <c r="Y108" i="62"/>
  <c r="BP108" i="62" s="1"/>
  <c r="BO108" i="62"/>
  <c r="J199" i="50"/>
  <c r="AU199" i="50"/>
  <c r="Y203" i="50"/>
  <c r="BK203" i="50" s="1"/>
  <c r="BJ203" i="50"/>
  <c r="BV257" i="50"/>
  <c r="AJ279" i="50"/>
  <c r="BV279" i="50" s="1"/>
  <c r="AF200" i="50"/>
  <c r="BR200" i="50" s="1"/>
  <c r="BQ200" i="50"/>
  <c r="R207" i="50"/>
  <c r="BD207" i="50" s="1"/>
  <c r="BC207" i="50"/>
  <c r="AC270" i="50"/>
  <c r="BO270" i="50" s="1"/>
  <c r="BO248" i="50"/>
  <c r="R85" i="62"/>
  <c r="BI85" i="62" s="1"/>
  <c r="BH85" i="62"/>
  <c r="Y193" i="50"/>
  <c r="BK193" i="50" s="1"/>
  <c r="BJ193" i="50"/>
  <c r="K104" i="62"/>
  <c r="BB104" i="62" s="1"/>
  <c r="BA104" i="62"/>
  <c r="R77" i="62"/>
  <c r="BI77" i="62" s="1"/>
  <c r="BH77" i="62"/>
  <c r="K200" i="50"/>
  <c r="AW200" i="50" s="1"/>
  <c r="AV200" i="50"/>
  <c r="R198" i="50"/>
  <c r="BD198" i="50" s="1"/>
  <c r="BC198" i="50"/>
  <c r="R194" i="50"/>
  <c r="BD194" i="50" s="1"/>
  <c r="BC194" i="50"/>
  <c r="Y98" i="62"/>
  <c r="BP98" i="62" s="1"/>
  <c r="BO98" i="62"/>
  <c r="K196" i="50"/>
  <c r="AW196" i="50" s="1"/>
  <c r="AV196" i="50"/>
  <c r="Y197" i="50"/>
  <c r="BK197" i="50" s="1"/>
  <c r="BJ197" i="50"/>
  <c r="K86" i="62"/>
  <c r="BB86" i="62" s="1"/>
  <c r="BA86" i="62"/>
  <c r="R212" i="50"/>
  <c r="BD212" i="50" s="1"/>
  <c r="BC212" i="50"/>
  <c r="AK155" i="50"/>
  <c r="AM213" i="50"/>
  <c r="BY213" i="50" s="1"/>
  <c r="BX213" i="50"/>
  <c r="R104" i="62"/>
  <c r="BI104" i="62" s="1"/>
  <c r="BH104" i="62"/>
  <c r="K169" i="62"/>
  <c r="BA169" i="62"/>
  <c r="J229" i="50"/>
  <c r="AV229" i="50" s="1"/>
  <c r="K89" i="62"/>
  <c r="BB89" i="62" s="1"/>
  <c r="BA89" i="62"/>
  <c r="AM96" i="62"/>
  <c r="CD96" i="62" s="1"/>
  <c r="CC96" i="62"/>
  <c r="I242" i="50"/>
  <c r="I264" i="50" s="1"/>
  <c r="AU264" i="50" s="1"/>
  <c r="AM199" i="50"/>
  <c r="BY199" i="50" s="1"/>
  <c r="BX199" i="50"/>
  <c r="AM206" i="50"/>
  <c r="BY206" i="50" s="1"/>
  <c r="BX206" i="50"/>
  <c r="BV84" i="62"/>
  <c r="AF84" i="62"/>
  <c r="AE83" i="62"/>
  <c r="BV83" i="62" s="1"/>
  <c r="AF77" i="62"/>
  <c r="BW77" i="62" s="1"/>
  <c r="BV77" i="62"/>
  <c r="Y97" i="62"/>
  <c r="BP97" i="62" s="1"/>
  <c r="BO97" i="62"/>
  <c r="AM197" i="50"/>
  <c r="BY197" i="50" s="1"/>
  <c r="BX197" i="50"/>
  <c r="BV251" i="50"/>
  <c r="AJ273" i="50"/>
  <c r="BV273" i="50" s="1"/>
  <c r="AC262" i="50"/>
  <c r="BO262" i="50" s="1"/>
  <c r="BO240" i="50"/>
  <c r="AM210" i="50"/>
  <c r="BY210" i="50" s="1"/>
  <c r="BX210" i="50"/>
  <c r="K174" i="62"/>
  <c r="BA174" i="62"/>
  <c r="J234" i="50"/>
  <c r="AV234" i="50" s="1"/>
  <c r="AD73" i="50"/>
  <c r="R87" i="62"/>
  <c r="BI87" i="62" s="1"/>
  <c r="BH87" i="62"/>
  <c r="R69" i="62"/>
  <c r="BI69" i="62" s="1"/>
  <c r="BH69" i="62"/>
  <c r="I251" i="50"/>
  <c r="I273" i="50" s="1"/>
  <c r="AU273" i="50" s="1"/>
  <c r="AT251" i="50"/>
  <c r="H273" i="50"/>
  <c r="AT273" i="50" s="1"/>
  <c r="R93" i="62"/>
  <c r="BI93" i="62" s="1"/>
  <c r="BH93" i="62"/>
  <c r="AD168" i="50"/>
  <c r="AM207" i="50"/>
  <c r="BY207" i="50" s="1"/>
  <c r="BX207" i="50"/>
  <c r="Y66" i="62"/>
  <c r="BP66" i="62" s="1"/>
  <c r="BO66" i="62"/>
  <c r="V268" i="50"/>
  <c r="BH268" i="50" s="1"/>
  <c r="BH246" i="50"/>
  <c r="AK79" i="62"/>
  <c r="CB79" i="62" s="1"/>
  <c r="CB80" i="62"/>
  <c r="AK244" i="50"/>
  <c r="BW244" i="50" s="1"/>
  <c r="BW222" i="50"/>
  <c r="AD247" i="50"/>
  <c r="BP247" i="50" s="1"/>
  <c r="BP225" i="50"/>
  <c r="AM235" i="50"/>
  <c r="BY235" i="50" s="1"/>
  <c r="CD175" i="62"/>
  <c r="I257" i="50"/>
  <c r="AU235" i="50"/>
  <c r="I249" i="50"/>
  <c r="I271" i="50" s="1"/>
  <c r="AU271" i="50" s="1"/>
  <c r="AT249" i="50"/>
  <c r="AF193" i="50"/>
  <c r="BR193" i="50" s="1"/>
  <c r="BQ193" i="50"/>
  <c r="AM97" i="62"/>
  <c r="CD97" i="62" s="1"/>
  <c r="CC97" i="62"/>
  <c r="AM87" i="62"/>
  <c r="CD87" i="62" s="1"/>
  <c r="CC87" i="62"/>
  <c r="Y105" i="62"/>
  <c r="BP105" i="62" s="1"/>
  <c r="BO105" i="62"/>
  <c r="K77" i="62"/>
  <c r="BB77" i="62" s="1"/>
  <c r="BA77" i="62"/>
  <c r="AM195" i="50"/>
  <c r="BY195" i="50" s="1"/>
  <c r="BX195" i="50"/>
  <c r="AF97" i="62"/>
  <c r="BW97" i="62" s="1"/>
  <c r="BV97" i="62"/>
  <c r="R171" i="62"/>
  <c r="BH171" i="62"/>
  <c r="Q231" i="50"/>
  <c r="BC231" i="50" s="1"/>
  <c r="J201" i="50"/>
  <c r="AU201" i="50"/>
  <c r="I244" i="50"/>
  <c r="AU244" i="50" s="1"/>
  <c r="AU222" i="50"/>
  <c r="AL249" i="50"/>
  <c r="BX249" i="50" s="1"/>
  <c r="BX227" i="50"/>
  <c r="P251" i="50"/>
  <c r="BB251" i="50" s="1"/>
  <c r="BB229" i="50"/>
  <c r="W256" i="50"/>
  <c r="BI234" i="50"/>
  <c r="P248" i="50"/>
  <c r="BB248" i="50" s="1"/>
  <c r="BB226" i="50"/>
  <c r="BP242" i="50"/>
  <c r="K108" i="62"/>
  <c r="BB108" i="62" s="1"/>
  <c r="BA108" i="62"/>
  <c r="R208" i="50"/>
  <c r="BD208" i="50" s="1"/>
  <c r="BC208" i="50"/>
  <c r="AM88" i="62"/>
  <c r="CD88" i="62" s="1"/>
  <c r="CC88" i="62"/>
  <c r="AF98" i="62"/>
  <c r="BV98" i="62"/>
  <c r="AE48" i="50"/>
  <c r="BQ48" i="50" s="1"/>
  <c r="Y101" i="62"/>
  <c r="BP101" i="62" s="1"/>
  <c r="BO101" i="62"/>
  <c r="R205" i="50"/>
  <c r="BD205" i="50" s="1"/>
  <c r="BC205" i="50"/>
  <c r="AF202" i="50"/>
  <c r="BR202" i="50" s="1"/>
  <c r="BQ202" i="50"/>
  <c r="R86" i="62"/>
  <c r="BI86" i="62" s="1"/>
  <c r="BH86" i="62"/>
  <c r="AD80" i="50"/>
  <c r="BO80" i="50"/>
  <c r="K92" i="62"/>
  <c r="BB92" i="62" s="1"/>
  <c r="BA92" i="62"/>
  <c r="Y93" i="62"/>
  <c r="BP93" i="62" s="1"/>
  <c r="BO93" i="62"/>
  <c r="O270" i="50"/>
  <c r="BA270" i="50" s="1"/>
  <c r="BA248" i="50"/>
  <c r="AM82" i="62"/>
  <c r="CC82" i="62"/>
  <c r="AL140" i="50"/>
  <c r="BX140" i="50" s="1"/>
  <c r="AM102" i="62"/>
  <c r="CC102" i="62"/>
  <c r="AL52" i="50"/>
  <c r="BX52" i="50" s="1"/>
  <c r="AM69" i="62"/>
  <c r="CD69" i="62" s="1"/>
  <c r="CC69" i="62"/>
  <c r="AC276" i="50"/>
  <c r="BO276" i="50" s="1"/>
  <c r="BO254" i="50"/>
  <c r="K195" i="50"/>
  <c r="AW195" i="50" s="1"/>
  <c r="AV195" i="50"/>
  <c r="AM209" i="50"/>
  <c r="BY209" i="50" s="1"/>
  <c r="BX209" i="50"/>
  <c r="W244" i="50"/>
  <c r="BI244" i="50" s="1"/>
  <c r="BI222" i="50"/>
  <c r="K231" i="50"/>
  <c r="AW231" i="50" s="1"/>
  <c r="BB171" i="62"/>
  <c r="AM227" i="50"/>
  <c r="BY227" i="50" s="1"/>
  <c r="CD167" i="62"/>
  <c r="AD253" i="50"/>
  <c r="BP253" i="50" s="1"/>
  <c r="BP231" i="50"/>
  <c r="K161" i="62"/>
  <c r="BA161" i="62"/>
  <c r="J221" i="50"/>
  <c r="AV221" i="50" s="1"/>
  <c r="V277" i="50"/>
  <c r="BH277" i="50" s="1"/>
  <c r="BH255" i="50"/>
  <c r="K204" i="50"/>
  <c r="AW204" i="50" s="1"/>
  <c r="AV204" i="50"/>
  <c r="K93" i="62"/>
  <c r="BB93" i="62" s="1"/>
  <c r="BA93" i="62"/>
  <c r="AM92" i="62"/>
  <c r="CC92" i="62"/>
  <c r="AL43" i="50"/>
  <c r="BX43" i="50" s="1"/>
  <c r="BO169" i="62"/>
  <c r="Y169" i="62"/>
  <c r="X229" i="50"/>
  <c r="BJ229" i="50" s="1"/>
  <c r="I238" i="50"/>
  <c r="AT238" i="50"/>
  <c r="AM212" i="50"/>
  <c r="BY212" i="50" s="1"/>
  <c r="BX212" i="50"/>
  <c r="AE37" i="50"/>
  <c r="BQ37" i="50" s="1"/>
  <c r="BV65" i="62"/>
  <c r="AF65" i="62"/>
  <c r="AF208" i="50"/>
  <c r="BR208" i="50" s="1"/>
  <c r="BQ208" i="50"/>
  <c r="AM93" i="62"/>
  <c r="CC93" i="62"/>
  <c r="AL149" i="50"/>
  <c r="BX149" i="50" s="1"/>
  <c r="K68" i="62"/>
  <c r="BB68" i="62" s="1"/>
  <c r="BA68" i="62"/>
  <c r="AF107" i="62"/>
  <c r="BW107" i="62" s="1"/>
  <c r="BV107" i="62"/>
  <c r="C54" i="67"/>
  <c r="BG236" i="50"/>
  <c r="C54" i="85" s="1"/>
  <c r="AT255" i="50"/>
  <c r="I255" i="50"/>
  <c r="R108" i="62"/>
  <c r="BI108" i="62" s="1"/>
  <c r="BH108" i="62"/>
  <c r="R200" i="50"/>
  <c r="BD200" i="50" s="1"/>
  <c r="BC200" i="50"/>
  <c r="O60" i="62"/>
  <c r="BF60" i="62" s="1"/>
  <c r="BF67" i="62"/>
  <c r="P260" i="50"/>
  <c r="BB260" i="50" s="1"/>
  <c r="N258" i="50"/>
  <c r="AZ259" i="50"/>
  <c r="AD245" i="50"/>
  <c r="BP245" i="50" s="1"/>
  <c r="BP223" i="50"/>
  <c r="AE220" i="50"/>
  <c r="BQ220" i="50" s="1"/>
  <c r="P257" i="50"/>
  <c r="BB257" i="50" s="1"/>
  <c r="BB235" i="50"/>
  <c r="O265" i="50"/>
  <c r="BA265" i="50" s="1"/>
  <c r="O263" i="50"/>
  <c r="BA263" i="50" s="1"/>
  <c r="AF213" i="50"/>
  <c r="BR213" i="50" s="1"/>
  <c r="BQ213" i="50"/>
  <c r="AF87" i="62"/>
  <c r="BW87" i="62" s="1"/>
  <c r="BV87" i="62"/>
  <c r="Y212" i="50"/>
  <c r="BK212" i="50" s="1"/>
  <c r="BJ212" i="50"/>
  <c r="AM98" i="62"/>
  <c r="CC98" i="62"/>
  <c r="AL48" i="50"/>
  <c r="BX48" i="50" s="1"/>
  <c r="AF194" i="50"/>
  <c r="BR194" i="50" s="1"/>
  <c r="BQ194" i="50"/>
  <c r="AM101" i="62"/>
  <c r="CC101" i="62"/>
  <c r="AL51" i="50"/>
  <c r="BX51" i="50" s="1"/>
  <c r="AM208" i="50"/>
  <c r="BY208" i="50" s="1"/>
  <c r="BX208" i="50"/>
  <c r="R78" i="62"/>
  <c r="BI78" i="62" s="1"/>
  <c r="BH78" i="62"/>
  <c r="Y102" i="62"/>
  <c r="BP102" i="62" s="1"/>
  <c r="BO102" i="62"/>
  <c r="K170" i="62"/>
  <c r="BA170" i="62"/>
  <c r="J230" i="50"/>
  <c r="AV230" i="50" s="1"/>
  <c r="AF104" i="62"/>
  <c r="BV104" i="62"/>
  <c r="AE53" i="50"/>
  <c r="BQ53" i="50" s="1"/>
  <c r="K159" i="62"/>
  <c r="BA159" i="62"/>
  <c r="J219" i="50"/>
  <c r="AV219" i="50" s="1"/>
  <c r="J61" i="62"/>
  <c r="BA61" i="62" s="1"/>
  <c r="AD249" i="50"/>
  <c r="BP249" i="50" s="1"/>
  <c r="BP227" i="50"/>
  <c r="W254" i="50"/>
  <c r="BI254" i="50" s="1"/>
  <c r="BI232" i="50"/>
  <c r="AD239" i="50"/>
  <c r="BP239" i="50" s="1"/>
  <c r="BP217" i="50"/>
  <c r="AD257" i="50"/>
  <c r="BP257" i="50" s="1"/>
  <c r="BP235" i="50"/>
  <c r="AD76" i="50"/>
  <c r="BP76" i="50" s="1"/>
  <c r="AC263" i="50"/>
  <c r="BO263" i="50" s="1"/>
  <c r="C96" i="67"/>
  <c r="BU236" i="50"/>
  <c r="C96" i="85" s="1"/>
  <c r="R218" i="50"/>
  <c r="BD218" i="50" s="1"/>
  <c r="BI158" i="62"/>
  <c r="Q238" i="50"/>
  <c r="BC238" i="50" s="1"/>
  <c r="BC216" i="50"/>
  <c r="W242" i="50"/>
  <c r="BI242" i="50" s="1"/>
  <c r="BI220" i="50"/>
  <c r="W239" i="50"/>
  <c r="BI239" i="50" s="1"/>
  <c r="BI217" i="50"/>
  <c r="AD251" i="50"/>
  <c r="BP251" i="50" s="1"/>
  <c r="BP229" i="50"/>
  <c r="O269" i="50"/>
  <c r="BA269" i="50" s="1"/>
  <c r="AJ276" i="50"/>
  <c r="BV276" i="50" s="1"/>
  <c r="AJ269" i="50"/>
  <c r="BV269" i="50" s="1"/>
  <c r="V263" i="50"/>
  <c r="BH263" i="50" s="1"/>
  <c r="AC273" i="50"/>
  <c r="BO273" i="50" s="1"/>
  <c r="AD68" i="50"/>
  <c r="BO68" i="50"/>
  <c r="Y200" i="50"/>
  <c r="BK200" i="50" s="1"/>
  <c r="BJ200" i="50"/>
  <c r="AM66" i="62"/>
  <c r="CD66" i="62" s="1"/>
  <c r="CC66" i="62"/>
  <c r="K160" i="62"/>
  <c r="BA160" i="62"/>
  <c r="J220" i="50"/>
  <c r="AV220" i="50" s="1"/>
  <c r="BA75" i="62"/>
  <c r="K75" i="62"/>
  <c r="J74" i="62"/>
  <c r="BA74" i="62" s="1"/>
  <c r="R193" i="50"/>
  <c r="BD193" i="50" s="1"/>
  <c r="BC193" i="50"/>
  <c r="BO244" i="50"/>
  <c r="AC266" i="50"/>
  <c r="BO266" i="50" s="1"/>
  <c r="AM89" i="62"/>
  <c r="CC89" i="62"/>
  <c r="AL146" i="50"/>
  <c r="BX146" i="50" s="1"/>
  <c r="Y199" i="50"/>
  <c r="BK199" i="50" s="1"/>
  <c r="BJ199" i="50"/>
  <c r="AF195" i="50"/>
  <c r="BR195" i="50" s="1"/>
  <c r="BQ195" i="50"/>
  <c r="AJ278" i="50"/>
  <c r="BV278" i="50" s="1"/>
  <c r="BV256" i="50"/>
  <c r="R107" i="62"/>
  <c r="BI107" i="62" s="1"/>
  <c r="BH107" i="62"/>
  <c r="I241" i="50"/>
  <c r="I263" i="50" s="1"/>
  <c r="AU263" i="50" s="1"/>
  <c r="AT241" i="50"/>
  <c r="AF85" i="62"/>
  <c r="BW85" i="62" s="1"/>
  <c r="BV85" i="62"/>
  <c r="Y70" i="62"/>
  <c r="BP70" i="62" s="1"/>
  <c r="BO70" i="62"/>
  <c r="AF73" i="62"/>
  <c r="AF71" i="62" s="1"/>
  <c r="BW71" i="62" s="1"/>
  <c r="BV73" i="62"/>
  <c r="AE135" i="50"/>
  <c r="BQ135" i="50" s="1"/>
  <c r="AD160" i="50"/>
  <c r="K105" i="62"/>
  <c r="BB105" i="62" s="1"/>
  <c r="BA105" i="62"/>
  <c r="R92" i="62"/>
  <c r="BI92" i="62" s="1"/>
  <c r="BH92" i="62"/>
  <c r="AE50" i="50"/>
  <c r="BQ50" i="50" s="1"/>
  <c r="BV100" i="62"/>
  <c r="AF100" i="62"/>
  <c r="K209" i="50"/>
  <c r="AW209" i="50" s="1"/>
  <c r="AV209" i="50"/>
  <c r="R204" i="50"/>
  <c r="BD204" i="50" s="1"/>
  <c r="BC204" i="50"/>
  <c r="Y208" i="50"/>
  <c r="BK208" i="50" s="1"/>
  <c r="BJ208" i="50"/>
  <c r="R201" i="50"/>
  <c r="BD201" i="50" s="1"/>
  <c r="BC201" i="50"/>
  <c r="AF102" i="62"/>
  <c r="BV102" i="62"/>
  <c r="AE52" i="50"/>
  <c r="BQ52" i="50" s="1"/>
  <c r="BO81" i="62"/>
  <c r="Y81" i="62"/>
  <c r="X80" i="62"/>
  <c r="BO80" i="62" s="1"/>
  <c r="R76" i="62"/>
  <c r="BI76" i="62" s="1"/>
  <c r="BH76" i="62"/>
  <c r="R73" i="62"/>
  <c r="BI73" i="62" s="1"/>
  <c r="BH73" i="62"/>
  <c r="Y211" i="50"/>
  <c r="BK211" i="50" s="1"/>
  <c r="BJ211" i="50"/>
  <c r="R211" i="50"/>
  <c r="BD211" i="50" s="1"/>
  <c r="BC211" i="50"/>
  <c r="AM85" i="62"/>
  <c r="CD85" i="62" s="1"/>
  <c r="CC85" i="62"/>
  <c r="R197" i="50"/>
  <c r="BD197" i="50" s="1"/>
  <c r="BC197" i="50"/>
  <c r="W257" i="50"/>
  <c r="BI235" i="50"/>
  <c r="AD166" i="50"/>
  <c r="K88" i="62"/>
  <c r="BB88" i="62" s="1"/>
  <c r="BA88" i="62"/>
  <c r="I243" i="50"/>
  <c r="I265" i="50" s="1"/>
  <c r="AU265" i="50" s="1"/>
  <c r="AF205" i="50"/>
  <c r="BR205" i="50" s="1"/>
  <c r="BQ205" i="50"/>
  <c r="K96" i="62"/>
  <c r="BB96" i="62" s="1"/>
  <c r="BA96" i="62"/>
  <c r="O277" i="50"/>
  <c r="BA277" i="50" s="1"/>
  <c r="BA255" i="50"/>
  <c r="AF108" i="62"/>
  <c r="BV108" i="62"/>
  <c r="AE59" i="50"/>
  <c r="BQ59" i="50" s="1"/>
  <c r="AM77" i="62"/>
  <c r="CD77" i="62" s="1"/>
  <c r="CC77" i="62"/>
  <c r="J211" i="50"/>
  <c r="AU211" i="50"/>
  <c r="J205" i="50"/>
  <c r="AU205" i="50"/>
  <c r="R90" i="62"/>
  <c r="BI90" i="62" s="1"/>
  <c r="BH90" i="62"/>
  <c r="AF199" i="50"/>
  <c r="BR199" i="50" s="1"/>
  <c r="BQ199" i="50"/>
  <c r="K210" i="50"/>
  <c r="AW210" i="50" s="1"/>
  <c r="AV210" i="50"/>
  <c r="AM196" i="50"/>
  <c r="BY196" i="50" s="1"/>
  <c r="BX196" i="50"/>
  <c r="R88" i="62"/>
  <c r="BI88" i="62" s="1"/>
  <c r="BH88" i="62"/>
  <c r="Q64" i="62"/>
  <c r="BH64" i="62" s="1"/>
  <c r="AK67" i="62"/>
  <c r="CB67" i="62" s="1"/>
  <c r="CB74" i="62"/>
  <c r="AL71" i="62"/>
  <c r="CC71" i="62" s="1"/>
  <c r="AM36" i="50"/>
  <c r="BY36" i="50" s="1"/>
  <c r="CD62" i="62"/>
  <c r="AK273" i="50"/>
  <c r="BW273" i="50" s="1"/>
  <c r="H259" i="50"/>
  <c r="AT259" i="50" s="1"/>
  <c r="P243" i="50"/>
  <c r="BB243" i="50" s="1"/>
  <c r="BB221" i="50"/>
  <c r="W255" i="50"/>
  <c r="BI255" i="50" s="1"/>
  <c r="BI233" i="50"/>
  <c r="I246" i="50"/>
  <c r="AU246" i="50" s="1"/>
  <c r="AU224" i="50"/>
  <c r="P242" i="50"/>
  <c r="BB242" i="50" s="1"/>
  <c r="BB220" i="50"/>
  <c r="BW75" i="62"/>
  <c r="BP65" i="62"/>
  <c r="CD72" i="62"/>
  <c r="CD95" i="62"/>
  <c r="U258" i="50"/>
  <c r="I247" i="50"/>
  <c r="AU247" i="50" s="1"/>
  <c r="AK247" i="50"/>
  <c r="BW247" i="50" s="1"/>
  <c r="BW225" i="50"/>
  <c r="AL251" i="50"/>
  <c r="BX251" i="50" s="1"/>
  <c r="BX229" i="50"/>
  <c r="AK240" i="50"/>
  <c r="BW240" i="50" s="1"/>
  <c r="BW218" i="50"/>
  <c r="AF224" i="50"/>
  <c r="BR224" i="50" s="1"/>
  <c r="BW164" i="62"/>
  <c r="AI258" i="50"/>
  <c r="BU259" i="50"/>
  <c r="W241" i="50"/>
  <c r="BI241" i="50" s="1"/>
  <c r="BI219" i="50"/>
  <c r="P239" i="50"/>
  <c r="BB239" i="50" s="1"/>
  <c r="BB217" i="50"/>
  <c r="R216" i="50"/>
  <c r="BD216" i="50" s="1"/>
  <c r="BI156" i="62"/>
  <c r="I250" i="50"/>
  <c r="AU250" i="50" s="1"/>
  <c r="AU228" i="50"/>
  <c r="W238" i="50"/>
  <c r="P255" i="50"/>
  <c r="BB255" i="50" s="1"/>
  <c r="BB233" i="50"/>
  <c r="H270" i="50"/>
  <c r="AT270" i="50" s="1"/>
  <c r="H268" i="50"/>
  <c r="AT268" i="50" s="1"/>
  <c r="AC261" i="50"/>
  <c r="BO261" i="50" s="1"/>
  <c r="I237" i="50"/>
  <c r="AU237" i="50" s="1"/>
  <c r="AU215" i="50"/>
  <c r="AD240" i="50"/>
  <c r="BP218" i="50"/>
  <c r="AD252" i="50"/>
  <c r="BP230" i="50"/>
  <c r="AJ277" i="50"/>
  <c r="BV277" i="50" s="1"/>
  <c r="BA72" i="62"/>
  <c r="K72" i="62"/>
  <c r="J71" i="62"/>
  <c r="BA71" i="62" s="1"/>
  <c r="K198" i="50"/>
  <c r="AW198" i="50" s="1"/>
  <c r="AV198" i="50"/>
  <c r="Y104" i="62"/>
  <c r="BP104" i="62" s="1"/>
  <c r="BO104" i="62"/>
  <c r="AF197" i="50"/>
  <c r="BR197" i="50" s="1"/>
  <c r="BQ197" i="50"/>
  <c r="R199" i="50"/>
  <c r="BD199" i="50" s="1"/>
  <c r="BC199" i="50"/>
  <c r="J212" i="50"/>
  <c r="AU212" i="50"/>
  <c r="AF212" i="50"/>
  <c r="BR212" i="50" s="1"/>
  <c r="BQ212" i="50"/>
  <c r="K107" i="62"/>
  <c r="BB107" i="62" s="1"/>
  <c r="BA107" i="62"/>
  <c r="J208" i="50"/>
  <c r="AU208" i="50"/>
  <c r="Y78" i="62"/>
  <c r="BP78" i="62" s="1"/>
  <c r="BO78" i="62"/>
  <c r="AK168" i="50"/>
  <c r="BV168" i="50"/>
  <c r="Y88" i="62"/>
  <c r="BP88" i="62" s="1"/>
  <c r="BO88" i="62"/>
  <c r="AM201" i="50"/>
  <c r="BY201" i="50" s="1"/>
  <c r="BX201" i="50"/>
  <c r="AM76" i="62"/>
  <c r="CD76" i="62" s="1"/>
  <c r="CC76" i="62"/>
  <c r="K97" i="62"/>
  <c r="BB97" i="62" s="1"/>
  <c r="BA97" i="62"/>
  <c r="K213" i="50"/>
  <c r="AW213" i="50" s="1"/>
  <c r="AV213" i="50"/>
  <c r="K106" i="62"/>
  <c r="BB106" i="62" s="1"/>
  <c r="BA106" i="62"/>
  <c r="K76" i="62"/>
  <c r="BB76" i="62" s="1"/>
  <c r="BA76" i="62"/>
  <c r="J194" i="50"/>
  <c r="AU194" i="50"/>
  <c r="Y73" i="62"/>
  <c r="BP73" i="62" s="1"/>
  <c r="BO73" i="62"/>
  <c r="AK166" i="50"/>
  <c r="BV166" i="50"/>
  <c r="AT253" i="50"/>
  <c r="H275" i="50"/>
  <c r="AT275" i="50" s="1"/>
  <c r="W245" i="50"/>
  <c r="X245" i="50" s="1"/>
  <c r="BI223" i="50"/>
  <c r="R213" i="50"/>
  <c r="BD213" i="50" s="1"/>
  <c r="BC213" i="50"/>
  <c r="R70" i="62"/>
  <c r="BI70" i="62" s="1"/>
  <c r="BH70" i="62"/>
  <c r="AM90" i="62"/>
  <c r="CD90" i="62" s="1"/>
  <c r="CC90" i="62"/>
  <c r="V278" i="50"/>
  <c r="BH278" i="50" s="1"/>
  <c r="BH256" i="50"/>
  <c r="K87" i="62"/>
  <c r="BB87" i="62" s="1"/>
  <c r="BA87" i="62"/>
  <c r="Y69" i="62"/>
  <c r="BP69" i="62" s="1"/>
  <c r="BO69" i="62"/>
  <c r="K85" i="62"/>
  <c r="BB85" i="62" s="1"/>
  <c r="BA85" i="62"/>
  <c r="BV95" i="62"/>
  <c r="AF95" i="62"/>
  <c r="BW95" i="62" s="1"/>
  <c r="AK239" i="50"/>
  <c r="BW217" i="50"/>
  <c r="R102" i="62"/>
  <c r="BI102" i="62" s="1"/>
  <c r="BH102" i="62"/>
  <c r="R103" i="62"/>
  <c r="BI103" i="62" s="1"/>
  <c r="BH103" i="62"/>
  <c r="Y204" i="50"/>
  <c r="BK204" i="50" s="1"/>
  <c r="BJ204" i="50"/>
  <c r="AM204" i="50"/>
  <c r="BY204" i="50" s="1"/>
  <c r="BX204" i="50"/>
  <c r="K156" i="62"/>
  <c r="BA156" i="62"/>
  <c r="J216" i="50"/>
  <c r="AV216" i="50" s="1"/>
  <c r="AF207" i="50"/>
  <c r="BR207" i="50" s="1"/>
  <c r="BQ207" i="50"/>
  <c r="BH257" i="50"/>
  <c r="V279" i="50"/>
  <c r="BH279" i="50" s="1"/>
  <c r="AM203" i="50"/>
  <c r="BY203" i="50" s="1"/>
  <c r="BX203" i="50"/>
  <c r="AM70" i="62"/>
  <c r="CD70" i="62" s="1"/>
  <c r="CC70" i="62"/>
  <c r="Y210" i="50"/>
  <c r="BK210" i="50" s="1"/>
  <c r="BJ210" i="50"/>
  <c r="R195" i="50"/>
  <c r="BD195" i="50" s="1"/>
  <c r="BC195" i="50"/>
  <c r="AJ80" i="50"/>
  <c r="BU80" i="50"/>
  <c r="BU62" i="50"/>
  <c r="AJ62" i="50"/>
  <c r="AJ73" i="50"/>
  <c r="BU73" i="50"/>
  <c r="AJ68" i="50"/>
  <c r="BU68" i="50"/>
  <c r="BU76" i="50"/>
  <c r="AJ76" i="50"/>
  <c r="BU75" i="50"/>
  <c r="AJ75" i="50"/>
  <c r="AM79" i="50"/>
  <c r="BY79" i="50" s="1"/>
  <c r="BX79" i="50"/>
  <c r="AM82" i="50"/>
  <c r="BX82" i="50"/>
  <c r="F71" i="49"/>
  <c r="L71" i="49" s="1"/>
  <c r="AJ78" i="50"/>
  <c r="BU78" i="50"/>
  <c r="BU84" i="50"/>
  <c r="AJ84" i="50"/>
  <c r="BU74" i="50"/>
  <c r="AJ74" i="50"/>
  <c r="AM83" i="50"/>
  <c r="BY83" i="50" s="1"/>
  <c r="BX83" i="50"/>
  <c r="AJ81" i="50"/>
  <c r="BU81" i="50"/>
  <c r="L8" i="82"/>
  <c r="P8" i="82" s="1"/>
  <c r="T8" i="82" s="1"/>
  <c r="X8" i="82" s="1"/>
  <c r="E10" i="51"/>
  <c r="AE246" i="50"/>
  <c r="AE268" i="50" s="1"/>
  <c r="BQ268" i="50" s="1"/>
  <c r="Q246" i="50"/>
  <c r="L58" i="7"/>
  <c r="L36" i="7"/>
  <c r="D69" i="7"/>
  <c r="D47" i="7"/>
  <c r="AE248" i="50"/>
  <c r="BQ248" i="50" s="1"/>
  <c r="J245" i="50"/>
  <c r="AT30" i="7"/>
  <c r="CQ30" i="7" s="1"/>
  <c r="O30" i="7"/>
  <c r="BL30" i="7" s="1"/>
  <c r="D35" i="67"/>
  <c r="AM30" i="7"/>
  <c r="CJ30" i="7" s="1"/>
  <c r="D95" i="67"/>
  <c r="C113" i="67"/>
  <c r="W30" i="7"/>
  <c r="BT30" i="7" s="1"/>
  <c r="D53" i="67"/>
  <c r="AE30" i="7"/>
  <c r="CB30" i="7" s="1"/>
  <c r="D71" i="67"/>
  <c r="G30" i="7"/>
  <c r="BD30" i="7" s="1"/>
  <c r="K132" i="67"/>
  <c r="D17" i="67"/>
  <c r="AE154" i="62"/>
  <c r="BV154" i="62" s="1"/>
  <c r="AL154" i="62"/>
  <c r="CC154" i="62" s="1"/>
  <c r="Q154" i="62"/>
  <c r="BH154" i="62" s="1"/>
  <c r="AK275" i="50"/>
  <c r="BW275" i="50" s="1"/>
  <c r="I261" i="50"/>
  <c r="AU261" i="50" s="1"/>
  <c r="J215" i="50"/>
  <c r="K155" i="62"/>
  <c r="AF158" i="62"/>
  <c r="AE218" i="50"/>
  <c r="AF170" i="62"/>
  <c r="AE230" i="50"/>
  <c r="AL233" i="50"/>
  <c r="AM173" i="62"/>
  <c r="Q222" i="50"/>
  <c r="R162" i="62"/>
  <c r="X215" i="50"/>
  <c r="Y155" i="62"/>
  <c r="AM171" i="62"/>
  <c r="AL231" i="50"/>
  <c r="J217" i="50"/>
  <c r="K157" i="62"/>
  <c r="R166" i="62"/>
  <c r="Q226" i="50"/>
  <c r="AM163" i="62"/>
  <c r="AL223" i="50"/>
  <c r="J235" i="50"/>
  <c r="K175" i="62"/>
  <c r="W274" i="50"/>
  <c r="BI274" i="50" s="1"/>
  <c r="AL279" i="50"/>
  <c r="BX279" i="50" s="1"/>
  <c r="W265" i="50"/>
  <c r="BI265" i="50" s="1"/>
  <c r="AD261" i="50"/>
  <c r="BP261" i="50" s="1"/>
  <c r="AK274" i="50"/>
  <c r="BW274" i="50" s="1"/>
  <c r="W264" i="50"/>
  <c r="BI264" i="50" s="1"/>
  <c r="W261" i="50"/>
  <c r="BI261" i="50" s="1"/>
  <c r="O236" i="50"/>
  <c r="O259" i="50"/>
  <c r="P237" i="50"/>
  <c r="BB237" i="50" s="1"/>
  <c r="Y158" i="62"/>
  <c r="X218" i="50"/>
  <c r="AM162" i="62"/>
  <c r="AL222" i="50"/>
  <c r="AF161" i="62"/>
  <c r="AE221" i="50"/>
  <c r="AM166" i="62"/>
  <c r="AL226" i="50"/>
  <c r="R159" i="62"/>
  <c r="Q219" i="50"/>
  <c r="AF165" i="62"/>
  <c r="AE225" i="50"/>
  <c r="AF157" i="62"/>
  <c r="AE217" i="50"/>
  <c r="AM165" i="62"/>
  <c r="AL225" i="50"/>
  <c r="R175" i="62"/>
  <c r="Q235" i="50"/>
  <c r="AF173" i="62"/>
  <c r="AE233" i="50"/>
  <c r="AM158" i="62"/>
  <c r="AL218" i="50"/>
  <c r="AL215" i="50"/>
  <c r="BX215" i="50" s="1"/>
  <c r="AM155" i="62"/>
  <c r="Y166" i="62"/>
  <c r="X226" i="50"/>
  <c r="R167" i="62"/>
  <c r="Q227" i="50"/>
  <c r="R157" i="62"/>
  <c r="Q217" i="50"/>
  <c r="Y168" i="62"/>
  <c r="X228" i="50"/>
  <c r="R168" i="62"/>
  <c r="Q228" i="50"/>
  <c r="K168" i="62"/>
  <c r="J228" i="50"/>
  <c r="C72" i="49"/>
  <c r="C58" i="49"/>
  <c r="R215" i="50"/>
  <c r="BD215" i="50" s="1"/>
  <c r="AM217" i="50"/>
  <c r="AF216" i="50"/>
  <c r="K172" i="62"/>
  <c r="J232" i="50"/>
  <c r="AF163" i="62"/>
  <c r="AE223" i="50"/>
  <c r="Y167" i="62"/>
  <c r="X227" i="50"/>
  <c r="AM174" i="62"/>
  <c r="AL234" i="50"/>
  <c r="AM156" i="62"/>
  <c r="AL216" i="50"/>
  <c r="AK237" i="50"/>
  <c r="BW237" i="50" s="1"/>
  <c r="AJ259" i="50"/>
  <c r="AJ236" i="50"/>
  <c r="P214" i="50"/>
  <c r="BB214" i="50" s="1"/>
  <c r="E35" i="85" s="1"/>
  <c r="I240" i="50"/>
  <c r="H262" i="50"/>
  <c r="Y165" i="62"/>
  <c r="X225" i="50"/>
  <c r="AF159" i="62"/>
  <c r="AE219" i="50"/>
  <c r="Q232" i="50"/>
  <c r="R172" i="62"/>
  <c r="AM172" i="62"/>
  <c r="AL232" i="50"/>
  <c r="AE67" i="62"/>
  <c r="BV67" i="62" s="1"/>
  <c r="AF167" i="62"/>
  <c r="AE227" i="50"/>
  <c r="R161" i="62"/>
  <c r="Q221" i="50"/>
  <c r="Y162" i="62"/>
  <c r="X222" i="50"/>
  <c r="Y173" i="62"/>
  <c r="X233" i="50"/>
  <c r="Y172" i="62"/>
  <c r="X232" i="50"/>
  <c r="AM164" i="62"/>
  <c r="AL224" i="50"/>
  <c r="K164" i="62"/>
  <c r="J224" i="50"/>
  <c r="Q220" i="50"/>
  <c r="R160" i="62"/>
  <c r="I214" i="50"/>
  <c r="AU214" i="50" s="1"/>
  <c r="K166" i="62"/>
  <c r="J226" i="50"/>
  <c r="AF168" i="62"/>
  <c r="AE228" i="50"/>
  <c r="R169" i="62"/>
  <c r="Q229" i="50"/>
  <c r="Y159" i="62"/>
  <c r="X219" i="50"/>
  <c r="AM161" i="62"/>
  <c r="AL221" i="50"/>
  <c r="Y161" i="62"/>
  <c r="X221" i="50"/>
  <c r="Y174" i="62"/>
  <c r="X234" i="50"/>
  <c r="AM168" i="62"/>
  <c r="AL228" i="50"/>
  <c r="Y164" i="62"/>
  <c r="X224" i="50"/>
  <c r="Y160" i="62"/>
  <c r="X220" i="50"/>
  <c r="AF155" i="62"/>
  <c r="AE215" i="50"/>
  <c r="AM61" i="62"/>
  <c r="CD61" i="62" s="1"/>
  <c r="K162" i="62"/>
  <c r="J222" i="50"/>
  <c r="Y170" i="62"/>
  <c r="X230" i="50"/>
  <c r="R165" i="62"/>
  <c r="Q225" i="50"/>
  <c r="K158" i="62"/>
  <c r="BB158" i="62" s="1"/>
  <c r="J218" i="50"/>
  <c r="AV218" i="50" s="1"/>
  <c r="J154" i="62"/>
  <c r="BA154" i="62" s="1"/>
  <c r="W214" i="50"/>
  <c r="BI214" i="50" s="1"/>
  <c r="E53" i="85" s="1"/>
  <c r="AM170" i="62"/>
  <c r="AL230" i="50"/>
  <c r="AF175" i="62"/>
  <c r="AE235" i="50"/>
  <c r="R170" i="62"/>
  <c r="Q230" i="50"/>
  <c r="AK214" i="50"/>
  <c r="BW214" i="50" s="1"/>
  <c r="E95" i="85" s="1"/>
  <c r="AM160" i="62"/>
  <c r="AL220" i="50"/>
  <c r="R163" i="62"/>
  <c r="Q223" i="50"/>
  <c r="AD214" i="50"/>
  <c r="BP214" i="50" s="1"/>
  <c r="E71" i="85" s="1"/>
  <c r="R173" i="62"/>
  <c r="Q233" i="50"/>
  <c r="X217" i="50"/>
  <c r="Y157" i="62"/>
  <c r="AF171" i="62"/>
  <c r="AE231" i="50"/>
  <c r="AF169" i="62"/>
  <c r="AE229" i="50"/>
  <c r="AD62" i="50"/>
  <c r="BP62" i="50" s="1"/>
  <c r="AK64" i="50"/>
  <c r="BW64" i="50" s="1"/>
  <c r="AD64" i="50"/>
  <c r="BP64" i="50" s="1"/>
  <c r="AJ61" i="50"/>
  <c r="BV61" i="50" s="1"/>
  <c r="AC61" i="50"/>
  <c r="BO61" i="50" s="1"/>
  <c r="AD159" i="50"/>
  <c r="BP159" i="50" s="1"/>
  <c r="AC179" i="50"/>
  <c r="BO179" i="50" s="1"/>
  <c r="AC172" i="50"/>
  <c r="BO172" i="50" s="1"/>
  <c r="AD152" i="50"/>
  <c r="BP152" i="50" s="1"/>
  <c r="AD75" i="50"/>
  <c r="BP75" i="50" s="1"/>
  <c r="AD259" i="50"/>
  <c r="BP259" i="50" s="1"/>
  <c r="AE192" i="50"/>
  <c r="P192" i="50"/>
  <c r="I192" i="50"/>
  <c r="Q192" i="50"/>
  <c r="Q262" i="50"/>
  <c r="BC262" i="50" s="1"/>
  <c r="AF96" i="62"/>
  <c r="AE94" i="62"/>
  <c r="BV94" i="62" s="1"/>
  <c r="AM75" i="62"/>
  <c r="AL74" i="62"/>
  <c r="AF101" i="62"/>
  <c r="BW101" i="62" s="1"/>
  <c r="AE99" i="62"/>
  <c r="BV99" i="62" s="1"/>
  <c r="Y156" i="62"/>
  <c r="BP156" i="62" s="1"/>
  <c r="X154" i="62"/>
  <c r="BO154" i="62" s="1"/>
  <c r="X94" i="62"/>
  <c r="BO94" i="62" s="1"/>
  <c r="Y95" i="62"/>
  <c r="AM81" i="62"/>
  <c r="CD81" i="62" s="1"/>
  <c r="AL80" i="62"/>
  <c r="AF63" i="62"/>
  <c r="BW63" i="62" s="1"/>
  <c r="AE61" i="62"/>
  <c r="BV61" i="62" s="1"/>
  <c r="AF66" i="62"/>
  <c r="AE64" i="62"/>
  <c r="BV64" i="62" s="1"/>
  <c r="Q71" i="62"/>
  <c r="BH71" i="62" s="1"/>
  <c r="R72" i="62"/>
  <c r="Q83" i="62"/>
  <c r="R84" i="62"/>
  <c r="X99" i="62"/>
  <c r="BO99" i="62" s="1"/>
  <c r="Y100" i="62"/>
  <c r="R101" i="62"/>
  <c r="Q99" i="62"/>
  <c r="BH99" i="62" s="1"/>
  <c r="K81" i="62"/>
  <c r="J80" i="62"/>
  <c r="P67" i="62"/>
  <c r="Q74" i="62"/>
  <c r="BH74" i="62" s="1"/>
  <c r="R75" i="62"/>
  <c r="AU65" i="73"/>
  <c r="CE65" i="73" s="1"/>
  <c r="AU61" i="73"/>
  <c r="CE61" i="73" s="1"/>
  <c r="AU48" i="73"/>
  <c r="CE48" i="73" s="1"/>
  <c r="AU24" i="73"/>
  <c r="CE24" i="73" s="1"/>
  <c r="W60" i="62" l="1"/>
  <c r="BN60" i="62" s="1"/>
  <c r="J256" i="50"/>
  <c r="AV256" i="50" s="1"/>
  <c r="W269" i="50"/>
  <c r="BI269" i="50" s="1"/>
  <c r="J267" i="50"/>
  <c r="AV267" i="50" s="1"/>
  <c r="L132" i="85"/>
  <c r="E17" i="85"/>
  <c r="E113" i="85" s="1"/>
  <c r="D112" i="85"/>
  <c r="D119" i="85"/>
  <c r="D129" i="85" s="1"/>
  <c r="AD267" i="50"/>
  <c r="BP267" i="50" s="1"/>
  <c r="C114" i="85"/>
  <c r="AM99" i="62"/>
  <c r="CD99" i="62" s="1"/>
  <c r="BV77" i="50"/>
  <c r="BP175" i="62"/>
  <c r="AL39" i="67"/>
  <c r="I72" i="49"/>
  <c r="AL39" i="85" s="1"/>
  <c r="AD275" i="50"/>
  <c r="BP275" i="50" s="1"/>
  <c r="AD271" i="50"/>
  <c r="BP271" i="50" s="1"/>
  <c r="AL31" i="67"/>
  <c r="I58" i="49"/>
  <c r="AL31" i="85" s="1"/>
  <c r="AF74" i="62"/>
  <c r="BW74" i="62" s="1"/>
  <c r="L10" i="51"/>
  <c r="S10" i="51" s="1"/>
  <c r="Z10" i="51" s="1"/>
  <c r="AG10" i="51" s="1"/>
  <c r="AV10" i="51"/>
  <c r="BC10" i="51" s="1"/>
  <c r="BJ10" i="51" s="1"/>
  <c r="AE244" i="50"/>
  <c r="BQ244" i="50" s="1"/>
  <c r="AM11" i="50"/>
  <c r="BY11" i="50" s="1"/>
  <c r="BX11" i="50"/>
  <c r="X67" i="62"/>
  <c r="BO67" i="62" s="1"/>
  <c r="R238" i="50"/>
  <c r="BD238" i="50" s="1"/>
  <c r="Q260" i="50"/>
  <c r="BC260" i="50" s="1"/>
  <c r="AE270" i="50"/>
  <c r="BQ270" i="50" s="1"/>
  <c r="AF248" i="50"/>
  <c r="BP163" i="50"/>
  <c r="BX192" i="50"/>
  <c r="F94" i="85" s="1"/>
  <c r="F127" i="85" s="1"/>
  <c r="P264" i="50"/>
  <c r="BB264" i="50" s="1"/>
  <c r="AD265" i="50"/>
  <c r="BP265" i="50" s="1"/>
  <c r="AE163" i="50"/>
  <c r="AK268" i="50"/>
  <c r="BW268" i="50" s="1"/>
  <c r="AE278" i="50"/>
  <c r="BQ278" i="50" s="1"/>
  <c r="J275" i="50"/>
  <c r="AV275" i="50" s="1"/>
  <c r="AL159" i="50"/>
  <c r="BX159" i="50" s="1"/>
  <c r="AD263" i="50"/>
  <c r="BP263" i="50" s="1"/>
  <c r="AD279" i="50"/>
  <c r="BP279" i="50" s="1"/>
  <c r="K253" i="50"/>
  <c r="K275" i="50" s="1"/>
  <c r="AW275" i="50" s="1"/>
  <c r="BW162" i="62"/>
  <c r="AK272" i="50"/>
  <c r="BW272" i="50" s="1"/>
  <c r="P277" i="50"/>
  <c r="BB277" i="50" s="1"/>
  <c r="I268" i="50"/>
  <c r="AU268" i="50" s="1"/>
  <c r="AE242" i="50"/>
  <c r="BQ242" i="50" s="1"/>
  <c r="AD269" i="50"/>
  <c r="BP269" i="50" s="1"/>
  <c r="I272" i="50"/>
  <c r="AU272" i="50" s="1"/>
  <c r="P271" i="50"/>
  <c r="BB271" i="50" s="1"/>
  <c r="P270" i="50"/>
  <c r="BB270" i="50" s="1"/>
  <c r="K61" i="62"/>
  <c r="BB61" i="62" s="1"/>
  <c r="I259" i="50"/>
  <c r="AU259" i="50" s="1"/>
  <c r="I269" i="50"/>
  <c r="AU269" i="50" s="1"/>
  <c r="AL273" i="50"/>
  <c r="BX273" i="50" s="1"/>
  <c r="Y61" i="62"/>
  <c r="BP61" i="62" s="1"/>
  <c r="Y64" i="62"/>
  <c r="BP64" i="62" s="1"/>
  <c r="W266" i="50"/>
  <c r="BI266" i="50" s="1"/>
  <c r="AD272" i="50"/>
  <c r="BP272" i="50" s="1"/>
  <c r="I270" i="50"/>
  <c r="AU270" i="50" s="1"/>
  <c r="AE76" i="50"/>
  <c r="BQ76" i="50" s="1"/>
  <c r="P279" i="50"/>
  <c r="BB279" i="50" s="1"/>
  <c r="AL271" i="50"/>
  <c r="BX271" i="50" s="1"/>
  <c r="AD175" i="50"/>
  <c r="BP175" i="50" s="1"/>
  <c r="AK269" i="50"/>
  <c r="BW269" i="50" s="1"/>
  <c r="AM64" i="62"/>
  <c r="CD64" i="62" s="1"/>
  <c r="AD273" i="50"/>
  <c r="BP273" i="50" s="1"/>
  <c r="W263" i="50"/>
  <c r="BI263" i="50" s="1"/>
  <c r="W271" i="50"/>
  <c r="BI271" i="50" s="1"/>
  <c r="D119" i="67"/>
  <c r="D129" i="67" s="1"/>
  <c r="C114" i="67"/>
  <c r="BJ245" i="50"/>
  <c r="Y245" i="50"/>
  <c r="X267" i="50"/>
  <c r="BJ267" i="50" s="1"/>
  <c r="Y99" i="62"/>
  <c r="BP99" i="62" s="1"/>
  <c r="BP100" i="62"/>
  <c r="AF229" i="50"/>
  <c r="BR229" i="50" s="1"/>
  <c r="BW169" i="62"/>
  <c r="R230" i="50"/>
  <c r="BD230" i="50" s="1"/>
  <c r="BI170" i="62"/>
  <c r="J244" i="50"/>
  <c r="AV244" i="50" s="1"/>
  <c r="AV222" i="50"/>
  <c r="Y224" i="50"/>
  <c r="BK224" i="50" s="1"/>
  <c r="BP164" i="62"/>
  <c r="AM221" i="50"/>
  <c r="BY221" i="50" s="1"/>
  <c r="CD161" i="62"/>
  <c r="K226" i="50"/>
  <c r="AW226" i="50" s="1"/>
  <c r="BB166" i="62"/>
  <c r="AM224" i="50"/>
  <c r="BY224" i="50" s="1"/>
  <c r="CD164" i="62"/>
  <c r="R221" i="50"/>
  <c r="BD221" i="50" s="1"/>
  <c r="BI161" i="62"/>
  <c r="AL256" i="50"/>
  <c r="BX256" i="50" s="1"/>
  <c r="BX234" i="50"/>
  <c r="K228" i="50"/>
  <c r="AW228" i="50" s="1"/>
  <c r="BB168" i="62"/>
  <c r="AF225" i="50"/>
  <c r="BR225" i="50" s="1"/>
  <c r="BW165" i="62"/>
  <c r="AL255" i="50"/>
  <c r="BX233" i="50"/>
  <c r="AE166" i="50"/>
  <c r="BP166" i="50"/>
  <c r="AD186" i="50"/>
  <c r="BP186" i="50" s="1"/>
  <c r="Y80" i="62"/>
  <c r="BP80" i="62" s="1"/>
  <c r="BP81" i="62"/>
  <c r="AE68" i="50"/>
  <c r="BP68" i="50"/>
  <c r="BQ163" i="50"/>
  <c r="CD108" i="62"/>
  <c r="AM59" i="50"/>
  <c r="BY59" i="50" s="1"/>
  <c r="BW89" i="62"/>
  <c r="AF146" i="50"/>
  <c r="BR146" i="50" s="1"/>
  <c r="CD103" i="62"/>
  <c r="AM49" i="50"/>
  <c r="BY49" i="50" s="1"/>
  <c r="D54" i="67"/>
  <c r="BH236" i="50"/>
  <c r="D54" i="85" s="1"/>
  <c r="BW241" i="50"/>
  <c r="AK263" i="50"/>
  <c r="BW263" i="50" s="1"/>
  <c r="AE253" i="50"/>
  <c r="BQ253" i="50" s="1"/>
  <c r="BQ231" i="50"/>
  <c r="X241" i="50"/>
  <c r="BJ241" i="50" s="1"/>
  <c r="BJ219" i="50"/>
  <c r="AE249" i="50"/>
  <c r="BQ249" i="50" s="1"/>
  <c r="BQ227" i="50"/>
  <c r="AM232" i="50"/>
  <c r="BY232" i="50" s="1"/>
  <c r="CD172" i="62"/>
  <c r="I236" i="50"/>
  <c r="AU240" i="50"/>
  <c r="AM234" i="50"/>
  <c r="BY234" i="50" s="1"/>
  <c r="CD174" i="62"/>
  <c r="X248" i="50"/>
  <c r="BJ248" i="50" s="1"/>
  <c r="BJ226" i="50"/>
  <c r="Q241" i="50"/>
  <c r="BC241" i="50" s="1"/>
  <c r="BC219" i="50"/>
  <c r="AM222" i="50"/>
  <c r="BY222" i="50" s="1"/>
  <c r="CD162" i="62"/>
  <c r="AF256" i="50"/>
  <c r="Y215" i="50"/>
  <c r="BK215" i="50" s="1"/>
  <c r="BP155" i="62"/>
  <c r="C55" i="67"/>
  <c r="BG258" i="50"/>
  <c r="C55" i="85" s="1"/>
  <c r="K211" i="50"/>
  <c r="AV211" i="50"/>
  <c r="Y229" i="50"/>
  <c r="BK229" i="50" s="1"/>
  <c r="BP169" i="62"/>
  <c r="AL239" i="50"/>
  <c r="AM239" i="50" s="1"/>
  <c r="BX217" i="50"/>
  <c r="K202" i="50"/>
  <c r="AW202" i="50" s="1"/>
  <c r="AV202" i="50"/>
  <c r="BW105" i="62"/>
  <c r="AF55" i="50"/>
  <c r="BR55" i="50" s="1"/>
  <c r="CD104" i="62"/>
  <c r="AM53" i="50"/>
  <c r="BY53" i="50" s="1"/>
  <c r="BW82" i="62"/>
  <c r="AF140" i="50"/>
  <c r="BR140" i="50" s="1"/>
  <c r="AF80" i="62"/>
  <c r="BW86" i="62"/>
  <c r="AF143" i="50"/>
  <c r="BR143" i="50" s="1"/>
  <c r="AE74" i="50"/>
  <c r="AF231" i="50"/>
  <c r="BR231" i="50" s="1"/>
  <c r="BW171" i="62"/>
  <c r="R223" i="50"/>
  <c r="BD223" i="50" s="1"/>
  <c r="BI163" i="62"/>
  <c r="AM228" i="50"/>
  <c r="BY228" i="50" s="1"/>
  <c r="CD168" i="62"/>
  <c r="Y232" i="50"/>
  <c r="BK232" i="50" s="1"/>
  <c r="BP172" i="62"/>
  <c r="AF227" i="50"/>
  <c r="BR227" i="50" s="1"/>
  <c r="BW167" i="62"/>
  <c r="R232" i="50"/>
  <c r="BD232" i="50" s="1"/>
  <c r="BI172" i="62"/>
  <c r="X240" i="50"/>
  <c r="BJ240" i="50" s="1"/>
  <c r="BJ218" i="50"/>
  <c r="W272" i="50"/>
  <c r="BI272" i="50" s="1"/>
  <c r="AM223" i="50"/>
  <c r="BY223" i="50" s="1"/>
  <c r="CD163" i="62"/>
  <c r="W260" i="50"/>
  <c r="BI260" i="50" s="1"/>
  <c r="BI238" i="50"/>
  <c r="BI257" i="50"/>
  <c r="W279" i="50"/>
  <c r="BI279" i="50" s="1"/>
  <c r="K199" i="50"/>
  <c r="AW199" i="50" s="1"/>
  <c r="AV199" i="50"/>
  <c r="Q253" i="50"/>
  <c r="BB253" i="50"/>
  <c r="AL169" i="50"/>
  <c r="BW169" i="50"/>
  <c r="AF220" i="50"/>
  <c r="BR220" i="50" s="1"/>
  <c r="BW160" i="62"/>
  <c r="W268" i="50"/>
  <c r="BI268" i="50" s="1"/>
  <c r="BI246" i="50"/>
  <c r="Q79" i="62"/>
  <c r="BH79" i="62" s="1"/>
  <c r="BH83" i="62"/>
  <c r="F70" i="67"/>
  <c r="F125" i="67" s="1"/>
  <c r="BQ192" i="50"/>
  <c r="F70" i="85" s="1"/>
  <c r="F125" i="85" s="1"/>
  <c r="P275" i="50"/>
  <c r="BB275" i="50" s="1"/>
  <c r="AF270" i="50"/>
  <c r="BR270" i="50" s="1"/>
  <c r="BR248" i="50"/>
  <c r="Y217" i="50"/>
  <c r="BK217" i="50" s="1"/>
  <c r="BP157" i="62"/>
  <c r="P272" i="50"/>
  <c r="BB272" i="50" s="1"/>
  <c r="Q251" i="50"/>
  <c r="BC229" i="50"/>
  <c r="R220" i="50"/>
  <c r="BD220" i="50" s="1"/>
  <c r="BI160" i="62"/>
  <c r="Q254" i="50"/>
  <c r="BC254" i="50" s="1"/>
  <c r="BC232" i="50"/>
  <c r="D96" i="67"/>
  <c r="BV236" i="50"/>
  <c r="D96" i="85" s="1"/>
  <c r="Y227" i="50"/>
  <c r="BK227" i="50" s="1"/>
  <c r="BP167" i="62"/>
  <c r="X250" i="50"/>
  <c r="BJ250" i="50" s="1"/>
  <c r="BJ228" i="50"/>
  <c r="AM215" i="50"/>
  <c r="BY215" i="50" s="1"/>
  <c r="CD155" i="62"/>
  <c r="I276" i="50"/>
  <c r="AU276" i="50" s="1"/>
  <c r="Q248" i="50"/>
  <c r="BC248" i="50" s="1"/>
  <c r="BC226" i="50"/>
  <c r="K245" i="50"/>
  <c r="AV245" i="50"/>
  <c r="K201" i="50"/>
  <c r="AW201" i="50" s="1"/>
  <c r="AV201" i="50"/>
  <c r="BW91" i="62"/>
  <c r="AF148" i="50"/>
  <c r="BR148" i="50" s="1"/>
  <c r="BW103" i="62"/>
  <c r="AF49" i="50"/>
  <c r="BR49" i="50" s="1"/>
  <c r="P266" i="50"/>
  <c r="BB266" i="50" s="1"/>
  <c r="BB244" i="50"/>
  <c r="BW152" i="50"/>
  <c r="AL152" i="50"/>
  <c r="AL79" i="62"/>
  <c r="CC79" i="62" s="1"/>
  <c r="CC80" i="62"/>
  <c r="AL242" i="50"/>
  <c r="BX242" i="50" s="1"/>
  <c r="BX220" i="50"/>
  <c r="Q242" i="50"/>
  <c r="BC242" i="50" s="1"/>
  <c r="BC220" i="50"/>
  <c r="Y233" i="50"/>
  <c r="BK233" i="50" s="1"/>
  <c r="BP173" i="62"/>
  <c r="AK60" i="62"/>
  <c r="CB60" i="62" s="1"/>
  <c r="AE245" i="50"/>
  <c r="BQ245" i="50" s="1"/>
  <c r="BQ223" i="50"/>
  <c r="Y228" i="50"/>
  <c r="BK228" i="50" s="1"/>
  <c r="BP168" i="62"/>
  <c r="AM225" i="50"/>
  <c r="BY225" i="50" s="1"/>
  <c r="CD165" i="62"/>
  <c r="R226" i="50"/>
  <c r="BD226" i="50" s="1"/>
  <c r="BI166" i="62"/>
  <c r="AF218" i="50"/>
  <c r="BR218" i="50" s="1"/>
  <c r="BW158" i="62"/>
  <c r="Q268" i="50"/>
  <c r="BC268" i="50" s="1"/>
  <c r="BC246" i="50"/>
  <c r="C37" i="67"/>
  <c r="AZ258" i="50"/>
  <c r="C37" i="85" s="1"/>
  <c r="J255" i="50"/>
  <c r="J277" i="50" s="1"/>
  <c r="AV277" i="50" s="1"/>
  <c r="AU255" i="50"/>
  <c r="I277" i="50"/>
  <c r="AU277" i="50" s="1"/>
  <c r="AL241" i="50"/>
  <c r="BW106" i="62"/>
  <c r="AF56" i="50"/>
  <c r="BR56" i="50" s="1"/>
  <c r="F34" i="67"/>
  <c r="F121" i="67" s="1"/>
  <c r="BC192" i="50"/>
  <c r="F34" i="85" s="1"/>
  <c r="F121" i="85" s="1"/>
  <c r="AL254" i="50"/>
  <c r="BX254" i="50" s="1"/>
  <c r="BX232" i="50"/>
  <c r="H258" i="50"/>
  <c r="AT262" i="50"/>
  <c r="R227" i="50"/>
  <c r="BD227" i="50" s="1"/>
  <c r="BI167" i="62"/>
  <c r="AF233" i="50"/>
  <c r="BR233" i="50" s="1"/>
  <c r="BW173" i="62"/>
  <c r="K194" i="50"/>
  <c r="AV194" i="50"/>
  <c r="AL168" i="50"/>
  <c r="BW168" i="50"/>
  <c r="AK277" i="50"/>
  <c r="BW277" i="50" s="1"/>
  <c r="BW255" i="50"/>
  <c r="AL250" i="50"/>
  <c r="BX250" i="50" s="1"/>
  <c r="BX228" i="50"/>
  <c r="Q250" i="50"/>
  <c r="BC250" i="50" s="1"/>
  <c r="BC228" i="50"/>
  <c r="AL245" i="50"/>
  <c r="AM245" i="50" s="1"/>
  <c r="BX223" i="50"/>
  <c r="BB169" i="62"/>
  <c r="K229" i="50"/>
  <c r="AW229" i="50" s="1"/>
  <c r="CD84" i="62"/>
  <c r="AM83" i="62"/>
  <c r="CD83" i="62" s="1"/>
  <c r="X249" i="50"/>
  <c r="BJ249" i="50" s="1"/>
  <c r="BJ227" i="50"/>
  <c r="R228" i="50"/>
  <c r="BD228" i="50" s="1"/>
  <c r="BI168" i="62"/>
  <c r="Y226" i="50"/>
  <c r="BK226" i="50" s="1"/>
  <c r="BP166" i="62"/>
  <c r="R219" i="50"/>
  <c r="BD219" i="50" s="1"/>
  <c r="BI159" i="62"/>
  <c r="Q278" i="50"/>
  <c r="BC278" i="50" s="1"/>
  <c r="K212" i="50"/>
  <c r="AW212" i="50" s="1"/>
  <c r="AV212" i="50"/>
  <c r="X256" i="50"/>
  <c r="BJ234" i="50"/>
  <c r="CD98" i="62"/>
  <c r="AM48" i="50"/>
  <c r="BY48" i="50" s="1"/>
  <c r="AE73" i="50"/>
  <c r="BP73" i="50"/>
  <c r="BW92" i="62"/>
  <c r="AF43" i="50"/>
  <c r="BR43" i="50" s="1"/>
  <c r="BQ169" i="50"/>
  <c r="AE189" i="50"/>
  <c r="BQ189" i="50" s="1"/>
  <c r="X79" i="62"/>
  <c r="BO79" i="62" s="1"/>
  <c r="BO83" i="62"/>
  <c r="CD68" i="62"/>
  <c r="AM39" i="50"/>
  <c r="BY39" i="50" s="1"/>
  <c r="J79" i="62"/>
  <c r="BA79" i="62" s="1"/>
  <c r="BA80" i="62"/>
  <c r="AL67" i="62"/>
  <c r="CC67" i="62" s="1"/>
  <c r="CC74" i="62"/>
  <c r="AE257" i="50"/>
  <c r="BQ257" i="50" s="1"/>
  <c r="BQ235" i="50"/>
  <c r="AF215" i="50"/>
  <c r="BR215" i="50" s="1"/>
  <c r="BW155" i="62"/>
  <c r="R229" i="50"/>
  <c r="BD229" i="50" s="1"/>
  <c r="BI169" i="62"/>
  <c r="AF244" i="50"/>
  <c r="K208" i="50"/>
  <c r="AW208" i="50" s="1"/>
  <c r="AV208" i="50"/>
  <c r="BW102" i="62"/>
  <c r="AF52" i="50"/>
  <c r="BR52" i="50" s="1"/>
  <c r="CD73" i="62"/>
  <c r="AM135" i="50"/>
  <c r="BY135" i="50" s="1"/>
  <c r="K225" i="50"/>
  <c r="AW225" i="50" s="1"/>
  <c r="BB165" i="62"/>
  <c r="Y83" i="62"/>
  <c r="AM74" i="62"/>
  <c r="CD75" i="62"/>
  <c r="E34" i="67"/>
  <c r="E121" i="67" s="1"/>
  <c r="BB192" i="50"/>
  <c r="E34" i="85" s="1"/>
  <c r="E121" i="85" s="1"/>
  <c r="AE276" i="50"/>
  <c r="BQ276" i="50" s="1"/>
  <c r="AF235" i="50"/>
  <c r="BR235" i="50" s="1"/>
  <c r="BW175" i="62"/>
  <c r="R225" i="50"/>
  <c r="BD225" i="50" s="1"/>
  <c r="BI165" i="62"/>
  <c r="AE250" i="50"/>
  <c r="BQ250" i="50" s="1"/>
  <c r="BQ228" i="50"/>
  <c r="AL240" i="50"/>
  <c r="BX240" i="50" s="1"/>
  <c r="BX218" i="50"/>
  <c r="J241" i="50"/>
  <c r="AU241" i="50"/>
  <c r="AD260" i="50"/>
  <c r="BP260" i="50" s="1"/>
  <c r="BP238" i="50"/>
  <c r="AE238" i="50"/>
  <c r="R94" i="62"/>
  <c r="BI94" i="62" s="1"/>
  <c r="BI95" i="62"/>
  <c r="J252" i="50"/>
  <c r="J274" i="50" s="1"/>
  <c r="AV274" i="50" s="1"/>
  <c r="AU252" i="50"/>
  <c r="AE77" i="50"/>
  <c r="Y94" i="62"/>
  <c r="BP94" i="62" s="1"/>
  <c r="BP95" i="62"/>
  <c r="J247" i="50"/>
  <c r="AV247" i="50" s="1"/>
  <c r="W276" i="50"/>
  <c r="BI276" i="50" s="1"/>
  <c r="W259" i="50"/>
  <c r="BI259" i="50" s="1"/>
  <c r="AE155" i="50"/>
  <c r="BQ155" i="50" s="1"/>
  <c r="AK276" i="50"/>
  <c r="BW276" i="50" s="1"/>
  <c r="R233" i="50"/>
  <c r="BD233" i="50" s="1"/>
  <c r="BI173" i="62"/>
  <c r="AL252" i="50"/>
  <c r="BX252" i="50" s="1"/>
  <c r="BX230" i="50"/>
  <c r="X252" i="50"/>
  <c r="BJ230" i="50"/>
  <c r="Y220" i="50"/>
  <c r="BK220" i="50" s="1"/>
  <c r="BP160" i="62"/>
  <c r="Y221" i="50"/>
  <c r="BK221" i="50" s="1"/>
  <c r="BP161" i="62"/>
  <c r="AF228" i="50"/>
  <c r="BR228" i="50" s="1"/>
  <c r="BW168" i="62"/>
  <c r="K224" i="50"/>
  <c r="AW224" i="50" s="1"/>
  <c r="BB164" i="62"/>
  <c r="Y222" i="50"/>
  <c r="BK222" i="50" s="1"/>
  <c r="BP162" i="62"/>
  <c r="AD60" i="62"/>
  <c r="BU60" i="62" s="1"/>
  <c r="X247" i="50"/>
  <c r="BJ247" i="50" s="1"/>
  <c r="BJ225" i="50"/>
  <c r="AL238" i="50"/>
  <c r="BX238" i="50" s="1"/>
  <c r="BX216" i="50"/>
  <c r="J254" i="50"/>
  <c r="AV254" i="50" s="1"/>
  <c r="AV232" i="50"/>
  <c r="X238" i="50"/>
  <c r="R217" i="50"/>
  <c r="BD217" i="50" s="1"/>
  <c r="BI157" i="62"/>
  <c r="AM218" i="50"/>
  <c r="BY218" i="50" s="1"/>
  <c r="CD158" i="62"/>
  <c r="AF217" i="50"/>
  <c r="BR217" i="50" s="1"/>
  <c r="BW157" i="62"/>
  <c r="AE243" i="50"/>
  <c r="BQ243" i="50" s="1"/>
  <c r="BQ221" i="50"/>
  <c r="D36" i="67"/>
  <c r="BA236" i="50"/>
  <c r="D36" i="85" s="1"/>
  <c r="AK262" i="50"/>
  <c r="BW262" i="50" s="1"/>
  <c r="P269" i="50"/>
  <c r="BB269" i="50" s="1"/>
  <c r="AM257" i="50"/>
  <c r="W270" i="50"/>
  <c r="BI270" i="50" s="1"/>
  <c r="W262" i="50"/>
  <c r="BI262" i="50" s="1"/>
  <c r="J239" i="50"/>
  <c r="AV239" i="50" s="1"/>
  <c r="AV217" i="50"/>
  <c r="Q244" i="50"/>
  <c r="BC244" i="50" s="1"/>
  <c r="BC222" i="50"/>
  <c r="J237" i="50"/>
  <c r="AV237" i="50" s="1"/>
  <c r="AV215" i="50"/>
  <c r="V258" i="50"/>
  <c r="BW239" i="50"/>
  <c r="AK261" i="50"/>
  <c r="BW261" i="50" s="1"/>
  <c r="C97" i="67"/>
  <c r="BU258" i="50"/>
  <c r="C97" i="85" s="1"/>
  <c r="BW108" i="62"/>
  <c r="AF59" i="50"/>
  <c r="BR59" i="50" s="1"/>
  <c r="K74" i="62"/>
  <c r="BB74" i="62" s="1"/>
  <c r="BB75" i="62"/>
  <c r="CD101" i="62"/>
  <c r="AM51" i="50"/>
  <c r="BY51" i="50" s="1"/>
  <c r="CD93" i="62"/>
  <c r="AM149" i="50"/>
  <c r="BY149" i="50" s="1"/>
  <c r="BB161" i="62"/>
  <c r="K221" i="50"/>
  <c r="AW221" i="50" s="1"/>
  <c r="BI171" i="62"/>
  <c r="R231" i="50"/>
  <c r="BD231" i="50" s="1"/>
  <c r="J249" i="50"/>
  <c r="AU249" i="50"/>
  <c r="J251" i="50"/>
  <c r="AU251" i="50"/>
  <c r="BB174" i="62"/>
  <c r="K234" i="50"/>
  <c r="AW234" i="50" s="1"/>
  <c r="AL155" i="50"/>
  <c r="BW155" i="50"/>
  <c r="BW68" i="62"/>
  <c r="AF39" i="50"/>
  <c r="BR39" i="50" s="1"/>
  <c r="K94" i="62"/>
  <c r="BB94" i="62" s="1"/>
  <c r="AF36" i="50"/>
  <c r="BR36" i="50" s="1"/>
  <c r="BW62" i="62"/>
  <c r="Y71" i="62"/>
  <c r="BV80" i="62"/>
  <c r="AE79" i="62"/>
  <c r="BV79" i="62" s="1"/>
  <c r="R61" i="62"/>
  <c r="BI61" i="62" s="1"/>
  <c r="K203" i="50"/>
  <c r="AW203" i="50" s="1"/>
  <c r="AV203" i="50"/>
  <c r="CD91" i="62"/>
  <c r="AM148" i="50"/>
  <c r="BY148" i="50" s="1"/>
  <c r="BI253" i="50"/>
  <c r="W275" i="50"/>
  <c r="BI275" i="50" s="1"/>
  <c r="CD106" i="62"/>
  <c r="AM56" i="50"/>
  <c r="BY56" i="50" s="1"/>
  <c r="BW93" i="62"/>
  <c r="AF149" i="50"/>
  <c r="BR149" i="50" s="1"/>
  <c r="X253" i="50"/>
  <c r="R80" i="62"/>
  <c r="BI80" i="62" s="1"/>
  <c r="AL244" i="50"/>
  <c r="BX244" i="50" s="1"/>
  <c r="BX222" i="50"/>
  <c r="J257" i="50"/>
  <c r="AV257" i="50" s="1"/>
  <c r="AV235" i="50"/>
  <c r="AM231" i="50"/>
  <c r="BY231" i="50" s="1"/>
  <c r="CD171" i="62"/>
  <c r="BI245" i="50"/>
  <c r="W267" i="50"/>
  <c r="BI267" i="50" s="1"/>
  <c r="AD274" i="50"/>
  <c r="BP274" i="50" s="1"/>
  <c r="BP252" i="50"/>
  <c r="CD89" i="62"/>
  <c r="AM146" i="50"/>
  <c r="BY146" i="50" s="1"/>
  <c r="I279" i="50"/>
  <c r="AU279" i="50" s="1"/>
  <c r="AU257" i="50"/>
  <c r="K83" i="62"/>
  <c r="BB83" i="62" s="1"/>
  <c r="BB84" i="62"/>
  <c r="BB167" i="62"/>
  <c r="K227" i="50"/>
  <c r="AW227" i="50" s="1"/>
  <c r="BI251" i="50"/>
  <c r="X251" i="50"/>
  <c r="W273" i="50"/>
  <c r="BI273" i="50" s="1"/>
  <c r="R74" i="62"/>
  <c r="BI74" i="62" s="1"/>
  <c r="BI75" i="62"/>
  <c r="Q245" i="50"/>
  <c r="BC245" i="50" s="1"/>
  <c r="BC223" i="50"/>
  <c r="K222" i="50"/>
  <c r="AW222" i="50" s="1"/>
  <c r="BB162" i="62"/>
  <c r="X254" i="50"/>
  <c r="BJ254" i="50" s="1"/>
  <c r="BJ232" i="50"/>
  <c r="BR216" i="50"/>
  <c r="Q257" i="50"/>
  <c r="BC257" i="50" s="1"/>
  <c r="BC235" i="50"/>
  <c r="AE252" i="50"/>
  <c r="BQ252" i="50" s="1"/>
  <c r="BQ230" i="50"/>
  <c r="AF37" i="50"/>
  <c r="BR37" i="50" s="1"/>
  <c r="BW65" i="62"/>
  <c r="CD102" i="62"/>
  <c r="AM52" i="50"/>
  <c r="BY52" i="50" s="1"/>
  <c r="AE168" i="50"/>
  <c r="BP168" i="50"/>
  <c r="AD188" i="50"/>
  <c r="BP188" i="50" s="1"/>
  <c r="CD105" i="62"/>
  <c r="AM55" i="50"/>
  <c r="BY55" i="50" s="1"/>
  <c r="C73" i="67"/>
  <c r="BN258" i="50"/>
  <c r="C73" i="85" s="1"/>
  <c r="R83" i="62"/>
  <c r="BI84" i="62"/>
  <c r="Y219" i="50"/>
  <c r="BK219" i="50" s="1"/>
  <c r="BP159" i="62"/>
  <c r="BY217" i="50"/>
  <c r="R235" i="50"/>
  <c r="BD235" i="50" s="1"/>
  <c r="BI175" i="62"/>
  <c r="X237" i="50"/>
  <c r="BJ237" i="50" s="1"/>
  <c r="BJ215" i="50"/>
  <c r="AF230" i="50"/>
  <c r="BR230" i="50" s="1"/>
  <c r="BW170" i="62"/>
  <c r="AD262" i="50"/>
  <c r="BP262" i="50" s="1"/>
  <c r="BP240" i="50"/>
  <c r="BB160" i="62"/>
  <c r="K220" i="50"/>
  <c r="AW220" i="50" s="1"/>
  <c r="BW104" i="62"/>
  <c r="AF53" i="50"/>
  <c r="BR53" i="50" s="1"/>
  <c r="J242" i="50"/>
  <c r="AU242" i="50"/>
  <c r="AE84" i="50"/>
  <c r="BP84" i="50"/>
  <c r="D72" i="67"/>
  <c r="BO236" i="50"/>
  <c r="D72" i="85" s="1"/>
  <c r="K207" i="50"/>
  <c r="AV207" i="50"/>
  <c r="Y74" i="62"/>
  <c r="BP74" i="62" s="1"/>
  <c r="P60" i="62"/>
  <c r="BG60" i="62" s="1"/>
  <c r="BG67" i="62"/>
  <c r="AF67" i="62"/>
  <c r="BW67" i="62" s="1"/>
  <c r="E16" i="67"/>
  <c r="E119" i="67" s="1"/>
  <c r="AU192" i="50"/>
  <c r="E16" i="85" s="1"/>
  <c r="AE237" i="50"/>
  <c r="BQ237" i="50" s="1"/>
  <c r="BQ215" i="50"/>
  <c r="X255" i="50"/>
  <c r="BJ255" i="50" s="1"/>
  <c r="BJ233" i="50"/>
  <c r="AL247" i="50"/>
  <c r="BX247" i="50" s="1"/>
  <c r="BX225" i="50"/>
  <c r="Y218" i="50"/>
  <c r="BK218" i="50" s="1"/>
  <c r="BP158" i="62"/>
  <c r="R256" i="50"/>
  <c r="AE266" i="50"/>
  <c r="BQ266" i="50" s="1"/>
  <c r="P261" i="50"/>
  <c r="BB261" i="50" s="1"/>
  <c r="I266" i="50"/>
  <c r="AU266" i="50" s="1"/>
  <c r="AE240" i="50"/>
  <c r="AF240" i="50" s="1"/>
  <c r="BQ218" i="50"/>
  <c r="AM94" i="62"/>
  <c r="CD94" i="62" s="1"/>
  <c r="W278" i="50"/>
  <c r="BI278" i="50" s="1"/>
  <c r="BI256" i="50"/>
  <c r="AL160" i="50"/>
  <c r="BB173" i="62"/>
  <c r="K233" i="50"/>
  <c r="AW233" i="50" s="1"/>
  <c r="R71" i="62"/>
  <c r="BI71" i="62" s="1"/>
  <c r="BI72" i="62"/>
  <c r="X239" i="50"/>
  <c r="BJ239" i="50" s="1"/>
  <c r="BJ217" i="50"/>
  <c r="Q247" i="50"/>
  <c r="BC247" i="50" s="1"/>
  <c r="BC225" i="50"/>
  <c r="Y234" i="50"/>
  <c r="BK234" i="50" s="1"/>
  <c r="BP174" i="62"/>
  <c r="AE241" i="50"/>
  <c r="BQ241" i="50" s="1"/>
  <c r="BQ219" i="50"/>
  <c r="AJ258" i="50"/>
  <c r="BV259" i="50"/>
  <c r="AL248" i="50"/>
  <c r="BX248" i="50" s="1"/>
  <c r="BX226" i="50"/>
  <c r="P267" i="50"/>
  <c r="BB267" i="50" s="1"/>
  <c r="AD277" i="50"/>
  <c r="BP277" i="50" s="1"/>
  <c r="P263" i="50"/>
  <c r="BB263" i="50" s="1"/>
  <c r="R246" i="50"/>
  <c r="AK270" i="50"/>
  <c r="BW270" i="50" s="1"/>
  <c r="R240" i="50"/>
  <c r="AM251" i="50"/>
  <c r="BB156" i="62"/>
  <c r="K216" i="50"/>
  <c r="AW216" i="50" s="1"/>
  <c r="AL166" i="50"/>
  <c r="BW166" i="50"/>
  <c r="K71" i="62"/>
  <c r="BB71" i="62" s="1"/>
  <c r="BB72" i="62"/>
  <c r="AE160" i="50"/>
  <c r="BP160" i="50"/>
  <c r="AD180" i="50"/>
  <c r="BP180" i="50" s="1"/>
  <c r="CD82" i="62"/>
  <c r="AM140" i="50"/>
  <c r="BY140" i="50" s="1"/>
  <c r="AE80" i="50"/>
  <c r="BP80" i="50"/>
  <c r="AF83" i="62"/>
  <c r="BW83" i="62" s="1"/>
  <c r="BW84" i="62"/>
  <c r="AE78" i="50"/>
  <c r="BP78" i="50"/>
  <c r="P276" i="50"/>
  <c r="BB276" i="50" s="1"/>
  <c r="BB254" i="50"/>
  <c r="K80" i="62"/>
  <c r="BB81" i="62"/>
  <c r="Q255" i="50"/>
  <c r="BC255" i="50" s="1"/>
  <c r="BC233" i="50"/>
  <c r="AM220" i="50"/>
  <c r="BY220" i="50" s="1"/>
  <c r="CD160" i="62"/>
  <c r="X242" i="50"/>
  <c r="BJ242" i="50" s="1"/>
  <c r="BJ220" i="50"/>
  <c r="X243" i="50"/>
  <c r="BJ243" i="50" s="1"/>
  <c r="BJ221" i="50"/>
  <c r="J246" i="50"/>
  <c r="AV246" i="50" s="1"/>
  <c r="AV224" i="50"/>
  <c r="X244" i="50"/>
  <c r="BJ244" i="50" s="1"/>
  <c r="BJ222" i="50"/>
  <c r="AF219" i="50"/>
  <c r="BR219" i="50" s="1"/>
  <c r="BW159" i="62"/>
  <c r="AF223" i="50"/>
  <c r="BR223" i="50" s="1"/>
  <c r="BW163" i="62"/>
  <c r="Q239" i="50"/>
  <c r="BC239" i="50" s="1"/>
  <c r="BC217" i="50"/>
  <c r="AE239" i="50"/>
  <c r="BQ217" i="50"/>
  <c r="AM226" i="50"/>
  <c r="BY226" i="50" s="1"/>
  <c r="CD166" i="62"/>
  <c r="O258" i="50"/>
  <c r="BA259" i="50"/>
  <c r="AK260" i="50"/>
  <c r="BW260" i="50" s="1"/>
  <c r="P274" i="50"/>
  <c r="BB274" i="50" s="1"/>
  <c r="AK264" i="50"/>
  <c r="BW264" i="50" s="1"/>
  <c r="W277" i="50"/>
  <c r="BI277" i="50" s="1"/>
  <c r="AK265" i="50"/>
  <c r="BW265" i="50" s="1"/>
  <c r="K217" i="50"/>
  <c r="AW217" i="50" s="1"/>
  <c r="BB157" i="62"/>
  <c r="R222" i="50"/>
  <c r="BD222" i="50" s="1"/>
  <c r="BI162" i="62"/>
  <c r="K215" i="50"/>
  <c r="AW215" i="50" s="1"/>
  <c r="BB155" i="62"/>
  <c r="AC258" i="50"/>
  <c r="AM249" i="50"/>
  <c r="AF246" i="50"/>
  <c r="BQ246" i="50"/>
  <c r="AM71" i="62"/>
  <c r="CD71" i="62" s="1"/>
  <c r="J243" i="50"/>
  <c r="J265" i="50" s="1"/>
  <c r="AV265" i="50" s="1"/>
  <c r="AU243" i="50"/>
  <c r="AF50" i="50"/>
  <c r="BR50" i="50" s="1"/>
  <c r="BW100" i="62"/>
  <c r="BB170" i="62"/>
  <c r="K230" i="50"/>
  <c r="AW230" i="50" s="1"/>
  <c r="CD92" i="62"/>
  <c r="AM43" i="50"/>
  <c r="BY43" i="50" s="1"/>
  <c r="AK267" i="50"/>
  <c r="BW267" i="50" s="1"/>
  <c r="BW245" i="50"/>
  <c r="CD86" i="62"/>
  <c r="AM143" i="50"/>
  <c r="BY143" i="50" s="1"/>
  <c r="X257" i="50"/>
  <c r="CD63" i="62"/>
  <c r="AM132" i="50"/>
  <c r="BY132" i="50" s="1"/>
  <c r="R99" i="62"/>
  <c r="BI99" i="62" s="1"/>
  <c r="BI101" i="62"/>
  <c r="AF64" i="62"/>
  <c r="BW64" i="62" s="1"/>
  <c r="BW66" i="62"/>
  <c r="AF94" i="62"/>
  <c r="BW94" i="62" s="1"/>
  <c r="BW96" i="62"/>
  <c r="I278" i="50"/>
  <c r="AU278" i="50" s="1"/>
  <c r="W236" i="50"/>
  <c r="AE183" i="50"/>
  <c r="BQ183" i="50" s="1"/>
  <c r="AD236" i="50"/>
  <c r="AE251" i="50"/>
  <c r="BQ251" i="50" s="1"/>
  <c r="BQ229" i="50"/>
  <c r="Q252" i="50"/>
  <c r="BC252" i="50" s="1"/>
  <c r="BC230" i="50"/>
  <c r="AM230" i="50"/>
  <c r="BY230" i="50" s="1"/>
  <c r="CD170" i="62"/>
  <c r="Y230" i="50"/>
  <c r="BK230" i="50" s="1"/>
  <c r="BP170" i="62"/>
  <c r="X246" i="50"/>
  <c r="BJ224" i="50"/>
  <c r="AL243" i="50"/>
  <c r="BX243" i="50" s="1"/>
  <c r="BX221" i="50"/>
  <c r="J248" i="50"/>
  <c r="AV248" i="50" s="1"/>
  <c r="AV226" i="50"/>
  <c r="AL246" i="50"/>
  <c r="BX224" i="50"/>
  <c r="Q243" i="50"/>
  <c r="BC243" i="50" s="1"/>
  <c r="BC221" i="50"/>
  <c r="Y225" i="50"/>
  <c r="BK225" i="50" s="1"/>
  <c r="BP165" i="62"/>
  <c r="AM216" i="50"/>
  <c r="BY216" i="50" s="1"/>
  <c r="CD156" i="62"/>
  <c r="K232" i="50"/>
  <c r="AW232" i="50" s="1"/>
  <c r="BB172" i="62"/>
  <c r="J250" i="50"/>
  <c r="AV250" i="50" s="1"/>
  <c r="AV228" i="50"/>
  <c r="Q249" i="50"/>
  <c r="BC249" i="50" s="1"/>
  <c r="BC227" i="50"/>
  <c r="AE255" i="50"/>
  <c r="BQ255" i="50" s="1"/>
  <c r="BQ233" i="50"/>
  <c r="AE247" i="50"/>
  <c r="BQ225" i="50"/>
  <c r="AF221" i="50"/>
  <c r="BR221" i="50" s="1"/>
  <c r="BW161" i="62"/>
  <c r="AK278" i="50"/>
  <c r="BW278" i="50" s="1"/>
  <c r="AK266" i="50"/>
  <c r="BW266" i="50" s="1"/>
  <c r="P265" i="50"/>
  <c r="BB265" i="50" s="1"/>
  <c r="P273" i="50"/>
  <c r="BB273" i="50" s="1"/>
  <c r="K235" i="50"/>
  <c r="AW235" i="50" s="1"/>
  <c r="BB175" i="62"/>
  <c r="AL253" i="50"/>
  <c r="BX253" i="50" s="1"/>
  <c r="BX231" i="50"/>
  <c r="AM233" i="50"/>
  <c r="BY233" i="50" s="1"/>
  <c r="CD173" i="62"/>
  <c r="AF254" i="50"/>
  <c r="K205" i="50"/>
  <c r="AV205" i="50"/>
  <c r="BW73" i="62"/>
  <c r="AF135" i="50"/>
  <c r="BR135" i="50" s="1"/>
  <c r="BB159" i="62"/>
  <c r="K219" i="50"/>
  <c r="AW219" i="50" s="1"/>
  <c r="J238" i="50"/>
  <c r="AU238" i="50"/>
  <c r="I260" i="50"/>
  <c r="AU260" i="50" s="1"/>
  <c r="BW98" i="62"/>
  <c r="AF48" i="50"/>
  <c r="BR48" i="50" s="1"/>
  <c r="R64" i="62"/>
  <c r="BI64" i="62" s="1"/>
  <c r="BI65" i="62"/>
  <c r="AL163" i="50"/>
  <c r="BW163" i="50"/>
  <c r="BR82" i="50"/>
  <c r="G57" i="49"/>
  <c r="M57" i="49" s="1"/>
  <c r="D18" i="67"/>
  <c r="AT236" i="50"/>
  <c r="D18" i="85" s="1"/>
  <c r="C19" i="67"/>
  <c r="AS258" i="50"/>
  <c r="C19" i="85" s="1"/>
  <c r="AE81" i="50"/>
  <c r="BP81" i="50"/>
  <c r="AK68" i="50"/>
  <c r="BV68" i="50"/>
  <c r="BV84" i="50"/>
  <c r="AK84" i="50"/>
  <c r="AK73" i="50"/>
  <c r="BV73" i="50"/>
  <c r="AL77" i="50"/>
  <c r="BW77" i="50"/>
  <c r="AK75" i="50"/>
  <c r="BV75" i="50"/>
  <c r="AK62" i="50"/>
  <c r="BV62" i="50"/>
  <c r="BV74" i="50"/>
  <c r="AK74" i="50"/>
  <c r="BV76" i="50"/>
  <c r="AK76" i="50"/>
  <c r="G71" i="49"/>
  <c r="M71" i="49" s="1"/>
  <c r="BY82" i="50"/>
  <c r="AK81" i="50"/>
  <c r="BV81" i="50"/>
  <c r="AK78" i="50"/>
  <c r="BV78" i="50"/>
  <c r="AK80" i="50"/>
  <c r="BV80" i="50"/>
  <c r="AN10" i="51"/>
  <c r="T36" i="7"/>
  <c r="T58" i="7"/>
  <c r="L69" i="7"/>
  <c r="L47" i="7"/>
  <c r="AU30" i="7"/>
  <c r="CR30" i="7" s="1"/>
  <c r="AN30" i="7"/>
  <c r="CK30" i="7" s="1"/>
  <c r="E95" i="67"/>
  <c r="H30" i="7"/>
  <c r="BE30" i="7" s="1"/>
  <c r="L132" i="67"/>
  <c r="E17" i="67"/>
  <c r="D113" i="67"/>
  <c r="AF30" i="7"/>
  <c r="CC30" i="7" s="1"/>
  <c r="E71" i="67"/>
  <c r="P30" i="7"/>
  <c r="BM30" i="7" s="1"/>
  <c r="E35" i="67"/>
  <c r="X30" i="7"/>
  <c r="BU30" i="7" s="1"/>
  <c r="E53" i="67"/>
  <c r="AZ24" i="73"/>
  <c r="CH24" i="73" s="1"/>
  <c r="BA24" i="73"/>
  <c r="BD48" i="73"/>
  <c r="CJ48" i="73" s="1"/>
  <c r="BE48" i="73"/>
  <c r="AV65" i="73"/>
  <c r="CF65" i="73" s="1"/>
  <c r="AW65" i="73"/>
  <c r="BC24" i="73"/>
  <c r="BB24" i="73"/>
  <c r="CI24" i="73" s="1"/>
  <c r="AY48" i="73"/>
  <c r="AX48" i="73"/>
  <c r="CG48" i="73" s="1"/>
  <c r="BC61" i="73"/>
  <c r="BB61" i="73"/>
  <c r="CI61" i="73" s="1"/>
  <c r="AV24" i="73"/>
  <c r="CF24" i="73" s="1"/>
  <c r="AW24" i="73"/>
  <c r="AV61" i="73"/>
  <c r="CF61" i="73" s="1"/>
  <c r="AW61" i="73"/>
  <c r="AZ65" i="73"/>
  <c r="CH65" i="73" s="1"/>
  <c r="BA65" i="73"/>
  <c r="AV48" i="73"/>
  <c r="CF48" i="73" s="1"/>
  <c r="AW48" i="73"/>
  <c r="AZ61" i="73"/>
  <c r="CH61" i="73" s="1"/>
  <c r="BA61" i="73"/>
  <c r="BD65" i="73"/>
  <c r="CJ65" i="73" s="1"/>
  <c r="BE65" i="73"/>
  <c r="AY65" i="73"/>
  <c r="AX65" i="73"/>
  <c r="CG65" i="73" s="1"/>
  <c r="BD24" i="73"/>
  <c r="CJ24" i="73" s="1"/>
  <c r="BE24" i="73"/>
  <c r="AZ48" i="73"/>
  <c r="CH48" i="73" s="1"/>
  <c r="BA48" i="73"/>
  <c r="BD61" i="73"/>
  <c r="CJ61" i="73" s="1"/>
  <c r="BE61" i="73"/>
  <c r="AY24" i="73"/>
  <c r="AX24" i="73"/>
  <c r="CG24" i="73" s="1"/>
  <c r="BC48" i="73"/>
  <c r="BB48" i="73"/>
  <c r="CI48" i="73" s="1"/>
  <c r="AY61" i="73"/>
  <c r="AX61" i="73"/>
  <c r="CG61" i="73" s="1"/>
  <c r="BC65" i="73"/>
  <c r="BB65" i="73"/>
  <c r="CI65" i="73" s="1"/>
  <c r="J214" i="50"/>
  <c r="AV214" i="50" s="1"/>
  <c r="Q266" i="50"/>
  <c r="BC266" i="50" s="1"/>
  <c r="BC24" i="53"/>
  <c r="DE24" i="53" s="1"/>
  <c r="AW24" i="53"/>
  <c r="CY24" i="53" s="1"/>
  <c r="BG24" i="53"/>
  <c r="DI24" i="53" s="1"/>
  <c r="BA24" i="53"/>
  <c r="DC24" i="53" s="1"/>
  <c r="BE48" i="53"/>
  <c r="AY48" i="53"/>
  <c r="DA48" i="53" s="1"/>
  <c r="BC61" i="53"/>
  <c r="DE61" i="53" s="1"/>
  <c r="AW61" i="53"/>
  <c r="CY61" i="53" s="1"/>
  <c r="BG61" i="53"/>
  <c r="DI61" i="53" s="1"/>
  <c r="BA61" i="53"/>
  <c r="DC61" i="53" s="1"/>
  <c r="BE65" i="53"/>
  <c r="DG65" i="53" s="1"/>
  <c r="AY65" i="53"/>
  <c r="DA65" i="53" s="1"/>
  <c r="BD24" i="53"/>
  <c r="DF24" i="53" s="1"/>
  <c r="AX24" i="53"/>
  <c r="CZ24" i="53" s="1"/>
  <c r="BH24" i="53"/>
  <c r="DJ24" i="53" s="1"/>
  <c r="BB24" i="53"/>
  <c r="DD24" i="53" s="1"/>
  <c r="BF48" i="53"/>
  <c r="AZ48" i="53"/>
  <c r="DB48" i="53" s="1"/>
  <c r="BD61" i="53"/>
  <c r="DF61" i="53" s="1"/>
  <c r="AX61" i="53"/>
  <c r="CZ61" i="53" s="1"/>
  <c r="BH61" i="53"/>
  <c r="DJ61" i="53" s="1"/>
  <c r="BB61" i="53"/>
  <c r="DD61" i="53" s="1"/>
  <c r="BF65" i="53"/>
  <c r="DH65" i="53" s="1"/>
  <c r="AZ65" i="53"/>
  <c r="DB65" i="53" s="1"/>
  <c r="BE24" i="53"/>
  <c r="DG24" i="53" s="1"/>
  <c r="AY24" i="53"/>
  <c r="DA24" i="53" s="1"/>
  <c r="BC48" i="53"/>
  <c r="AW48" i="53"/>
  <c r="BG48" i="53"/>
  <c r="BA48" i="53"/>
  <c r="BE61" i="53"/>
  <c r="DG61" i="53" s="1"/>
  <c r="AY61" i="53"/>
  <c r="DA61" i="53" s="1"/>
  <c r="BC65" i="53"/>
  <c r="DE65" i="53" s="1"/>
  <c r="BG65" i="53"/>
  <c r="DI65" i="53" s="1"/>
  <c r="BA65" i="53"/>
  <c r="DC65" i="53" s="1"/>
  <c r="BF24" i="53"/>
  <c r="DH24" i="53" s="1"/>
  <c r="AZ24" i="53"/>
  <c r="DB24" i="53" s="1"/>
  <c r="BD48" i="53"/>
  <c r="AX48" i="53"/>
  <c r="CZ48" i="53" s="1"/>
  <c r="BH48" i="53"/>
  <c r="BB48" i="53"/>
  <c r="DD48" i="53" s="1"/>
  <c r="AZ61" i="53"/>
  <c r="DB61" i="53" s="1"/>
  <c r="BF61" i="53"/>
  <c r="DH61" i="53" s="1"/>
  <c r="BD65" i="53"/>
  <c r="DF65" i="53" s="1"/>
  <c r="BH65" i="53"/>
  <c r="DJ65" i="53" s="1"/>
  <c r="BB65" i="53"/>
  <c r="DD65" i="53" s="1"/>
  <c r="X270" i="50"/>
  <c r="BJ270" i="50" s="1"/>
  <c r="Q279" i="50"/>
  <c r="BC279" i="50" s="1"/>
  <c r="AF99" i="62"/>
  <c r="BW99" i="62" s="1"/>
  <c r="AF51" i="50"/>
  <c r="Q67" i="62"/>
  <c r="AM80" i="62"/>
  <c r="AM139" i="50"/>
  <c r="AE279" i="50"/>
  <c r="BQ279" i="50" s="1"/>
  <c r="X272" i="50"/>
  <c r="BJ272" i="50" s="1"/>
  <c r="AF61" i="62"/>
  <c r="BW61" i="62" s="1"/>
  <c r="AF132" i="50"/>
  <c r="BR132" i="50" s="1"/>
  <c r="X269" i="50"/>
  <c r="BJ269" i="50" s="1"/>
  <c r="AL270" i="50"/>
  <c r="BX270" i="50" s="1"/>
  <c r="AE214" i="50"/>
  <c r="BQ214" i="50" s="1"/>
  <c r="F71" i="85" s="1"/>
  <c r="J240" i="50"/>
  <c r="I262" i="50"/>
  <c r="X214" i="50"/>
  <c r="BJ214" i="50" s="1"/>
  <c r="F53" i="85" s="1"/>
  <c r="AM154" i="62"/>
  <c r="CD154" i="62" s="1"/>
  <c r="Q237" i="50"/>
  <c r="BC237" i="50" s="1"/>
  <c r="P236" i="50"/>
  <c r="P259" i="50"/>
  <c r="Y154" i="62"/>
  <c r="BP154" i="62" s="1"/>
  <c r="Y216" i="50"/>
  <c r="Q214" i="50"/>
  <c r="BC214" i="50" s="1"/>
  <c r="F35" i="85" s="1"/>
  <c r="AL214" i="50"/>
  <c r="BX214" i="50" s="1"/>
  <c r="F95" i="85" s="1"/>
  <c r="AM244" i="50"/>
  <c r="AL266" i="50"/>
  <c r="BX266" i="50" s="1"/>
  <c r="AM254" i="50"/>
  <c r="Q272" i="50"/>
  <c r="BC272" i="50" s="1"/>
  <c r="K218" i="50"/>
  <c r="K154" i="62"/>
  <c r="BB154" i="62" s="1"/>
  <c r="AK259" i="50"/>
  <c r="AL237" i="50"/>
  <c r="BX237" i="50" s="1"/>
  <c r="AK236" i="50"/>
  <c r="AF154" i="62"/>
  <c r="BW154" i="62" s="1"/>
  <c r="R154" i="62"/>
  <c r="BI154" i="62" s="1"/>
  <c r="AE75" i="50"/>
  <c r="BQ75" i="50" s="1"/>
  <c r="AE152" i="50"/>
  <c r="BQ152" i="50" s="1"/>
  <c r="AD172" i="50"/>
  <c r="BP172" i="50" s="1"/>
  <c r="AE64" i="50"/>
  <c r="BQ64" i="50" s="1"/>
  <c r="AL64" i="50"/>
  <c r="BX64" i="50" s="1"/>
  <c r="AE62" i="50"/>
  <c r="BQ62" i="50" s="1"/>
  <c r="AK61" i="50"/>
  <c r="BW61" i="50" s="1"/>
  <c r="AE159" i="50"/>
  <c r="BQ159" i="50" s="1"/>
  <c r="AD179" i="50"/>
  <c r="BP179" i="50" s="1"/>
  <c r="AD61" i="50"/>
  <c r="BP61" i="50" s="1"/>
  <c r="AM192" i="50"/>
  <c r="Y192" i="50"/>
  <c r="J192" i="50"/>
  <c r="AF192" i="50"/>
  <c r="J264" i="50"/>
  <c r="AV264" i="50" s="1"/>
  <c r="Q275" i="50"/>
  <c r="BC275" i="50" s="1"/>
  <c r="X192" i="50"/>
  <c r="R260" i="50"/>
  <c r="BD260" i="50" s="1"/>
  <c r="R192" i="50"/>
  <c r="J278" i="50"/>
  <c r="AV278" i="50" s="1"/>
  <c r="X259" i="50"/>
  <c r="BJ259" i="50" s="1"/>
  <c r="X60" i="62" l="1"/>
  <c r="BO60" i="62" s="1"/>
  <c r="X277" i="50"/>
  <c r="BJ277" i="50" s="1"/>
  <c r="Q269" i="50"/>
  <c r="BC269" i="50" s="1"/>
  <c r="D114" i="85"/>
  <c r="E112" i="85"/>
  <c r="E119" i="85"/>
  <c r="E129" i="85" s="1"/>
  <c r="R247" i="50"/>
  <c r="R269" i="50" s="1"/>
  <c r="BD269" i="50" s="1"/>
  <c r="F17" i="85"/>
  <c r="F113" i="85" s="1"/>
  <c r="C115" i="85"/>
  <c r="X266" i="50"/>
  <c r="BJ266" i="50" s="1"/>
  <c r="AE259" i="50"/>
  <c r="BQ259" i="50" s="1"/>
  <c r="Y243" i="50"/>
  <c r="BK243" i="50" s="1"/>
  <c r="AL265" i="50"/>
  <c r="BX265" i="50" s="1"/>
  <c r="AM248" i="50"/>
  <c r="AF169" i="50"/>
  <c r="AF189" i="50" s="1"/>
  <c r="BR189" i="50" s="1"/>
  <c r="Y256" i="50"/>
  <c r="BK256" i="50" s="1"/>
  <c r="Q274" i="50"/>
  <c r="BC274" i="50" s="1"/>
  <c r="BQ10" i="51"/>
  <c r="BX10" i="51" s="1"/>
  <c r="CE10" i="51"/>
  <c r="BC29" i="53"/>
  <c r="DE29" i="53" s="1"/>
  <c r="DE48" i="53"/>
  <c r="BD29" i="53"/>
  <c r="DF29" i="53" s="1"/>
  <c r="DF48" i="53"/>
  <c r="BG29" i="53"/>
  <c r="DI29" i="53" s="1"/>
  <c r="DI48" i="53"/>
  <c r="BE29" i="53"/>
  <c r="DG29" i="53" s="1"/>
  <c r="DG48" i="53"/>
  <c r="BF29" i="53"/>
  <c r="DH29" i="53" s="1"/>
  <c r="DH48" i="53"/>
  <c r="BH29" i="53"/>
  <c r="DJ29" i="53" s="1"/>
  <c r="DJ48" i="53"/>
  <c r="BA29" i="53"/>
  <c r="DC29" i="53" s="1"/>
  <c r="DC48" i="53"/>
  <c r="AW29" i="53"/>
  <c r="CY29" i="53" s="1"/>
  <c r="CY48" i="53"/>
  <c r="AF243" i="50"/>
  <c r="BR243" i="50" s="1"/>
  <c r="AF247" i="50"/>
  <c r="AF269" i="50" s="1"/>
  <c r="BR269" i="50" s="1"/>
  <c r="AW253" i="50"/>
  <c r="R243" i="50"/>
  <c r="R265" i="50" s="1"/>
  <c r="BD265" i="50" s="1"/>
  <c r="R252" i="50"/>
  <c r="R274" i="50" s="1"/>
  <c r="BD274" i="50" s="1"/>
  <c r="AE236" i="50"/>
  <c r="BQ236" i="50" s="1"/>
  <c r="F72" i="85" s="1"/>
  <c r="K250" i="50"/>
  <c r="K272" i="50" s="1"/>
  <c r="AW272" i="50" s="1"/>
  <c r="J272" i="50"/>
  <c r="AV272" i="50" s="1"/>
  <c r="Y248" i="50"/>
  <c r="BK248" i="50" s="1"/>
  <c r="J276" i="50"/>
  <c r="AV276" i="50" s="1"/>
  <c r="J279" i="50"/>
  <c r="AV279" i="50" s="1"/>
  <c r="AM243" i="50"/>
  <c r="BY243" i="50" s="1"/>
  <c r="Y241" i="50"/>
  <c r="BK241" i="50" s="1"/>
  <c r="AE275" i="50"/>
  <c r="BQ275" i="50" s="1"/>
  <c r="AL276" i="50"/>
  <c r="BX276" i="50" s="1"/>
  <c r="Y247" i="50"/>
  <c r="Y269" i="50" s="1"/>
  <c r="BK269" i="50" s="1"/>
  <c r="X271" i="50"/>
  <c r="BJ271" i="50" s="1"/>
  <c r="J266" i="50"/>
  <c r="AV266" i="50" s="1"/>
  <c r="AM242" i="50"/>
  <c r="AL274" i="50"/>
  <c r="BX274" i="50" s="1"/>
  <c r="Q276" i="50"/>
  <c r="BC276" i="50" s="1"/>
  <c r="AE264" i="50"/>
  <c r="BQ264" i="50" s="1"/>
  <c r="R248" i="50"/>
  <c r="BD248" i="50" s="1"/>
  <c r="AF214" i="50"/>
  <c r="BR214" i="50" s="1"/>
  <c r="G71" i="85" s="1"/>
  <c r="AE267" i="50"/>
  <c r="BQ267" i="50" s="1"/>
  <c r="AL264" i="50"/>
  <c r="BX264" i="50" s="1"/>
  <c r="AM238" i="50"/>
  <c r="BY238" i="50" s="1"/>
  <c r="X264" i="50"/>
  <c r="BJ264" i="50" s="1"/>
  <c r="AE274" i="50"/>
  <c r="BQ274" i="50" s="1"/>
  <c r="E129" i="67"/>
  <c r="AF163" i="50"/>
  <c r="BR163" i="50" s="1"/>
  <c r="X263" i="50"/>
  <c r="BJ263" i="50" s="1"/>
  <c r="AL260" i="50"/>
  <c r="BX260" i="50" s="1"/>
  <c r="K244" i="50"/>
  <c r="K266" i="50" s="1"/>
  <c r="AW266" i="50" s="1"/>
  <c r="Q267" i="50"/>
  <c r="BC267" i="50" s="1"/>
  <c r="AD258" i="50"/>
  <c r="E73" i="67" s="1"/>
  <c r="AF237" i="50"/>
  <c r="BR237" i="50" s="1"/>
  <c r="R67" i="62"/>
  <c r="BI67" i="62" s="1"/>
  <c r="X265" i="50"/>
  <c r="BJ265" i="50" s="1"/>
  <c r="AL269" i="50"/>
  <c r="BX269" i="50" s="1"/>
  <c r="Q265" i="50"/>
  <c r="BC265" i="50" s="1"/>
  <c r="Y254" i="50"/>
  <c r="Y276" i="50" s="1"/>
  <c r="BK276" i="50" s="1"/>
  <c r="D114" i="67"/>
  <c r="R251" i="50"/>
  <c r="R273" i="50" s="1"/>
  <c r="BD273" i="50" s="1"/>
  <c r="AF262" i="50"/>
  <c r="BR262" i="50" s="1"/>
  <c r="BR240" i="50"/>
  <c r="E72" i="67"/>
  <c r="BP236" i="50"/>
  <c r="E72" i="85" s="1"/>
  <c r="X260" i="50"/>
  <c r="BJ260" i="50" s="1"/>
  <c r="BJ238" i="50"/>
  <c r="K241" i="50"/>
  <c r="AV241" i="50"/>
  <c r="AM159" i="50"/>
  <c r="BY159" i="50" s="1"/>
  <c r="BY139" i="50"/>
  <c r="Y270" i="50"/>
  <c r="BK270" i="50" s="1"/>
  <c r="K246" i="50"/>
  <c r="J261" i="50"/>
  <c r="AV261" i="50" s="1"/>
  <c r="AL268" i="50"/>
  <c r="BX268" i="50" s="1"/>
  <c r="BX246" i="50"/>
  <c r="R268" i="50"/>
  <c r="BD268" i="50" s="1"/>
  <c r="BD246" i="50"/>
  <c r="K267" i="50"/>
  <c r="AW267" i="50" s="1"/>
  <c r="AW245" i="50"/>
  <c r="AF79" i="62"/>
  <c r="BW79" i="62" s="1"/>
  <c r="BW80" i="62"/>
  <c r="AF166" i="50"/>
  <c r="BQ166" i="50"/>
  <c r="AE186" i="50"/>
  <c r="BQ186" i="50" s="1"/>
  <c r="J263" i="50"/>
  <c r="AV263" i="50" s="1"/>
  <c r="K214" i="50"/>
  <c r="AW214" i="50" s="1"/>
  <c r="AW218" i="50"/>
  <c r="P258" i="50"/>
  <c r="BB259" i="50"/>
  <c r="J236" i="50"/>
  <c r="AV240" i="50"/>
  <c r="AM79" i="62"/>
  <c r="CD80" i="62"/>
  <c r="AL272" i="50"/>
  <c r="BX272" i="50" s="1"/>
  <c r="K257" i="50"/>
  <c r="Y242" i="50"/>
  <c r="K239" i="50"/>
  <c r="X261" i="50"/>
  <c r="BJ261" i="50" s="1"/>
  <c r="E54" i="67"/>
  <c r="BI236" i="50"/>
  <c r="E54" i="85" s="1"/>
  <c r="D55" i="67"/>
  <c r="BH258" i="50"/>
  <c r="D55" i="85" s="1"/>
  <c r="G70" i="67"/>
  <c r="G125" i="67" s="1"/>
  <c r="BR192" i="50"/>
  <c r="G70" i="85" s="1"/>
  <c r="G125" i="85" s="1"/>
  <c r="AM264" i="50"/>
  <c r="BY264" i="50" s="1"/>
  <c r="BY242" i="50"/>
  <c r="AM250" i="50"/>
  <c r="Y252" i="50"/>
  <c r="AL60" i="62"/>
  <c r="CC60" i="62" s="1"/>
  <c r="R254" i="50"/>
  <c r="AF276" i="50"/>
  <c r="BR276" i="50" s="1"/>
  <c r="BR254" i="50"/>
  <c r="AF268" i="50"/>
  <c r="BR268" i="50" s="1"/>
  <c r="BR246" i="50"/>
  <c r="R244" i="50"/>
  <c r="BJ257" i="50"/>
  <c r="X279" i="50"/>
  <c r="BJ279" i="50" s="1"/>
  <c r="Y257" i="50"/>
  <c r="BQ238" i="50"/>
  <c r="AE260" i="50"/>
  <c r="BQ260" i="50" s="1"/>
  <c r="AF278" i="50"/>
  <c r="BR278" i="50" s="1"/>
  <c r="BR256" i="50"/>
  <c r="AK258" i="50"/>
  <c r="BW259" i="50"/>
  <c r="AM276" i="50"/>
  <c r="BY276" i="50" s="1"/>
  <c r="BY254" i="50"/>
  <c r="K243" i="50"/>
  <c r="AV243" i="50"/>
  <c r="D97" i="67"/>
  <c r="BV258" i="50"/>
  <c r="D97" i="85" s="1"/>
  <c r="I258" i="50"/>
  <c r="AU262" i="50"/>
  <c r="Y265" i="50"/>
  <c r="BK265" i="50" s="1"/>
  <c r="Y250" i="50"/>
  <c r="AM260" i="50"/>
  <c r="BY260" i="50" s="1"/>
  <c r="AM265" i="50"/>
  <c r="BY265" i="50" s="1"/>
  <c r="J268" i="50"/>
  <c r="AV268" i="50" s="1"/>
  <c r="AE269" i="50"/>
  <c r="BQ269" i="50" s="1"/>
  <c r="BQ247" i="50"/>
  <c r="K249" i="50"/>
  <c r="AW249" i="50" s="1"/>
  <c r="AV249" i="50"/>
  <c r="J271" i="50"/>
  <c r="AV271" i="50" s="1"/>
  <c r="BR169" i="50"/>
  <c r="X278" i="50"/>
  <c r="BJ278" i="50" s="1"/>
  <c r="BJ256" i="50"/>
  <c r="AF76" i="50"/>
  <c r="BR76" i="50" s="1"/>
  <c r="BR51" i="50"/>
  <c r="AW205" i="50"/>
  <c r="K79" i="62"/>
  <c r="BB79" i="62" s="1"/>
  <c r="BB80" i="62"/>
  <c r="AF80" i="50"/>
  <c r="BR80" i="50" s="1"/>
  <c r="BQ80" i="50"/>
  <c r="AF84" i="50"/>
  <c r="BR84" i="50" s="1"/>
  <c r="BQ84" i="50"/>
  <c r="AM261" i="50"/>
  <c r="BY261" i="50" s="1"/>
  <c r="BY239" i="50"/>
  <c r="X236" i="50"/>
  <c r="G34" i="67"/>
  <c r="G121" i="67" s="1"/>
  <c r="BD192" i="50"/>
  <c r="G34" i="85" s="1"/>
  <c r="G121" i="85" s="1"/>
  <c r="W258" i="50"/>
  <c r="AE263" i="50"/>
  <c r="BQ263" i="50" s="1"/>
  <c r="E36" i="67"/>
  <c r="BB236" i="50"/>
  <c r="E36" i="85" s="1"/>
  <c r="AM270" i="50"/>
  <c r="BY270" i="50" s="1"/>
  <c r="BY248" i="50"/>
  <c r="AM247" i="50"/>
  <c r="AE60" i="62"/>
  <c r="BV60" i="62" s="1"/>
  <c r="K254" i="50"/>
  <c r="AM166" i="50"/>
  <c r="BY166" i="50" s="1"/>
  <c r="BX166" i="50"/>
  <c r="BX155" i="50"/>
  <c r="AM155" i="50"/>
  <c r="BY155" i="50" s="1"/>
  <c r="AM279" i="50"/>
  <c r="BY279" i="50" s="1"/>
  <c r="BY257" i="50"/>
  <c r="BX241" i="50"/>
  <c r="AL263" i="50"/>
  <c r="BX263" i="50" s="1"/>
  <c r="AM241" i="50"/>
  <c r="AF242" i="50"/>
  <c r="AM169" i="50"/>
  <c r="BY169" i="50" s="1"/>
  <c r="BX169" i="50"/>
  <c r="BX239" i="50"/>
  <c r="AL261" i="50"/>
  <c r="BX261" i="50" s="1"/>
  <c r="AL277" i="50"/>
  <c r="BX277" i="50" s="1"/>
  <c r="BX255" i="50"/>
  <c r="Y237" i="50"/>
  <c r="BK237" i="50" s="1"/>
  <c r="AF241" i="50"/>
  <c r="AM266" i="50"/>
  <c r="BY266" i="50" s="1"/>
  <c r="BY244" i="50"/>
  <c r="Q261" i="50"/>
  <c r="BC261" i="50" s="1"/>
  <c r="AE277" i="50"/>
  <c r="BQ277" i="50" s="1"/>
  <c r="Q60" i="62"/>
  <c r="BH60" i="62" s="1"/>
  <c r="BH67" i="62"/>
  <c r="Q277" i="50"/>
  <c r="BC277" i="50" s="1"/>
  <c r="AF252" i="50"/>
  <c r="K238" i="50"/>
  <c r="AW238" i="50" s="1"/>
  <c r="AV238" i="50"/>
  <c r="AM271" i="50"/>
  <c r="BY271" i="50" s="1"/>
  <c r="BY249" i="50"/>
  <c r="K242" i="50"/>
  <c r="AV242" i="50"/>
  <c r="AL267" i="50"/>
  <c r="BX267" i="50" s="1"/>
  <c r="BX245" i="50"/>
  <c r="AM168" i="50"/>
  <c r="BY168" i="50" s="1"/>
  <c r="BX168" i="50"/>
  <c r="D19" i="67"/>
  <c r="AT258" i="50"/>
  <c r="D19" i="85" s="1"/>
  <c r="AF68" i="50"/>
  <c r="BR68" i="50" s="1"/>
  <c r="BQ68" i="50"/>
  <c r="J260" i="50"/>
  <c r="AV260" i="50" s="1"/>
  <c r="K237" i="50"/>
  <c r="AW237" i="50" s="1"/>
  <c r="F16" i="67"/>
  <c r="F119" i="67" s="1"/>
  <c r="AV192" i="50"/>
  <c r="F16" i="85" s="1"/>
  <c r="X276" i="50"/>
  <c r="BJ276" i="50" s="1"/>
  <c r="AE175" i="50"/>
  <c r="BQ175" i="50" s="1"/>
  <c r="AM214" i="50"/>
  <c r="BY214" i="50" s="1"/>
  <c r="G95" i="85" s="1"/>
  <c r="R239" i="50"/>
  <c r="AF255" i="50"/>
  <c r="AF245" i="50"/>
  <c r="Y255" i="50"/>
  <c r="R245" i="50"/>
  <c r="X262" i="50"/>
  <c r="BJ262" i="50" s="1"/>
  <c r="R257" i="50"/>
  <c r="Y244" i="50"/>
  <c r="AM252" i="50"/>
  <c r="R241" i="50"/>
  <c r="AL275" i="50"/>
  <c r="BX275" i="50" s="1"/>
  <c r="AM246" i="50"/>
  <c r="R255" i="50"/>
  <c r="AF81" i="50"/>
  <c r="BR81" i="50" s="1"/>
  <c r="BQ81" i="50"/>
  <c r="AM163" i="50"/>
  <c r="BY163" i="50" s="1"/>
  <c r="BX163" i="50"/>
  <c r="D73" i="67"/>
  <c r="BO258" i="50"/>
  <c r="D73" i="85" s="1"/>
  <c r="AM160" i="50"/>
  <c r="BY160" i="50" s="1"/>
  <c r="BX160" i="50"/>
  <c r="AF168" i="50"/>
  <c r="BQ168" i="50"/>
  <c r="AE188" i="50"/>
  <c r="BQ188" i="50" s="1"/>
  <c r="AF73" i="50"/>
  <c r="BR73" i="50" s="1"/>
  <c r="BQ73" i="50"/>
  <c r="R253" i="50"/>
  <c r="BC253" i="50"/>
  <c r="K256" i="50"/>
  <c r="F52" i="67"/>
  <c r="F123" i="67" s="1"/>
  <c r="BJ192" i="50"/>
  <c r="F52" i="85" s="1"/>
  <c r="F123" i="85" s="1"/>
  <c r="J259" i="50"/>
  <c r="AV259" i="50" s="1"/>
  <c r="J269" i="50"/>
  <c r="AV269" i="50" s="1"/>
  <c r="AF155" i="50"/>
  <c r="E96" i="67"/>
  <c r="BW236" i="50"/>
  <c r="E96" i="85" s="1"/>
  <c r="R250" i="50"/>
  <c r="AE271" i="50"/>
  <c r="BQ271" i="50" s="1"/>
  <c r="Q264" i="50"/>
  <c r="BC264" i="50" s="1"/>
  <c r="Q271" i="50"/>
  <c r="BC271" i="50" s="1"/>
  <c r="J270" i="50"/>
  <c r="AV270" i="50" s="1"/>
  <c r="Q263" i="50"/>
  <c r="BC263" i="50" s="1"/>
  <c r="Y240" i="50"/>
  <c r="AL262" i="50"/>
  <c r="BX262" i="50" s="1"/>
  <c r="AE272" i="50"/>
  <c r="BQ272" i="50" s="1"/>
  <c r="AE273" i="50"/>
  <c r="BQ273" i="50" s="1"/>
  <c r="AM255" i="50"/>
  <c r="AF239" i="50"/>
  <c r="AM253" i="50"/>
  <c r="AF253" i="50"/>
  <c r="E112" i="67"/>
  <c r="AE261" i="50"/>
  <c r="BQ261" i="50" s="1"/>
  <c r="BQ239" i="50"/>
  <c r="AF78" i="50"/>
  <c r="BR78" i="50" s="1"/>
  <c r="BQ78" i="50"/>
  <c r="AM273" i="50"/>
  <c r="BY273" i="50" s="1"/>
  <c r="BY251" i="50"/>
  <c r="R278" i="50"/>
  <c r="BD278" i="50" s="1"/>
  <c r="BD256" i="50"/>
  <c r="AW207" i="50"/>
  <c r="R79" i="62"/>
  <c r="BI79" i="62" s="1"/>
  <c r="BI83" i="62"/>
  <c r="BJ253" i="50"/>
  <c r="Y253" i="50"/>
  <c r="X275" i="50"/>
  <c r="BJ275" i="50" s="1"/>
  <c r="AM67" i="62"/>
  <c r="CD67" i="62" s="1"/>
  <c r="CD74" i="62"/>
  <c r="AW194" i="50"/>
  <c r="K255" i="50"/>
  <c r="AW255" i="50" s="1"/>
  <c r="AV255" i="50"/>
  <c r="BX152" i="50"/>
  <c r="AM152" i="50"/>
  <c r="BY152" i="50" s="1"/>
  <c r="AF74" i="50"/>
  <c r="BR74" i="50" s="1"/>
  <c r="BQ74" i="50"/>
  <c r="E18" i="67"/>
  <c r="AU236" i="50"/>
  <c r="E18" i="85" s="1"/>
  <c r="Y267" i="50"/>
  <c r="BK267" i="50" s="1"/>
  <c r="BK245" i="50"/>
  <c r="Y214" i="50"/>
  <c r="BK214" i="50" s="1"/>
  <c r="G53" i="85" s="1"/>
  <c r="BK216" i="50"/>
  <c r="AF266" i="50"/>
  <c r="BR266" i="50" s="1"/>
  <c r="BR244" i="50"/>
  <c r="Y251" i="50"/>
  <c r="BJ251" i="50"/>
  <c r="X273" i="50"/>
  <c r="BJ273" i="50" s="1"/>
  <c r="K252" i="50"/>
  <c r="AV252" i="50"/>
  <c r="G52" i="67"/>
  <c r="G123" i="67" s="1"/>
  <c r="BK192" i="50"/>
  <c r="G52" i="85" s="1"/>
  <c r="G123" i="85" s="1"/>
  <c r="D37" i="67"/>
  <c r="BA258" i="50"/>
  <c r="D37" i="85" s="1"/>
  <c r="AE262" i="50"/>
  <c r="BQ262" i="50" s="1"/>
  <c r="BQ240" i="50"/>
  <c r="Q273" i="50"/>
  <c r="BC273" i="50" s="1"/>
  <c r="BC251" i="50"/>
  <c r="X274" i="50"/>
  <c r="BJ274" i="50" s="1"/>
  <c r="BJ252" i="50"/>
  <c r="G94" i="67"/>
  <c r="G127" i="67" s="1"/>
  <c r="BY192" i="50"/>
  <c r="G94" i="85" s="1"/>
  <c r="G127" i="85" s="1"/>
  <c r="BP71" i="62"/>
  <c r="Y67" i="62"/>
  <c r="K247" i="50"/>
  <c r="R214" i="50"/>
  <c r="BD214" i="50" s="1"/>
  <c r="G35" i="85" s="1"/>
  <c r="AF249" i="50"/>
  <c r="R242" i="50"/>
  <c r="R249" i="50"/>
  <c r="Y249" i="50"/>
  <c r="K248" i="50"/>
  <c r="AF257" i="50"/>
  <c r="AL278" i="50"/>
  <c r="BX278" i="50" s="1"/>
  <c r="AE265" i="50"/>
  <c r="BQ265" i="50" s="1"/>
  <c r="AM240" i="50"/>
  <c r="AF250" i="50"/>
  <c r="AF251" i="50"/>
  <c r="AM267" i="50"/>
  <c r="BY267" i="50" s="1"/>
  <c r="BY245" i="50"/>
  <c r="AM256" i="50"/>
  <c r="Q270" i="50"/>
  <c r="BC270" i="50" s="1"/>
  <c r="Y246" i="50"/>
  <c r="Y239" i="50"/>
  <c r="C115" i="67"/>
  <c r="X268" i="50"/>
  <c r="BJ268" i="50" s="1"/>
  <c r="BJ246" i="50"/>
  <c r="AF160" i="50"/>
  <c r="BQ160" i="50"/>
  <c r="AE180" i="50"/>
  <c r="BQ180" i="50" s="1"/>
  <c r="R262" i="50"/>
  <c r="BD262" i="50" s="1"/>
  <c r="BD240" i="50"/>
  <c r="AF238" i="50"/>
  <c r="K251" i="50"/>
  <c r="AW251" i="50" s="1"/>
  <c r="AV251" i="50"/>
  <c r="J273" i="50"/>
  <c r="AV273" i="50" s="1"/>
  <c r="AF77" i="50"/>
  <c r="BR77" i="50" s="1"/>
  <c r="BQ77" i="50"/>
  <c r="Y79" i="62"/>
  <c r="BP79" i="62" s="1"/>
  <c r="BP83" i="62"/>
  <c r="AW211" i="50"/>
  <c r="AM77" i="50"/>
  <c r="BY77" i="50" s="1"/>
  <c r="BX77" i="50"/>
  <c r="BW74" i="50"/>
  <c r="AL74" i="50"/>
  <c r="AL78" i="50"/>
  <c r="BW78" i="50"/>
  <c r="AL73" i="50"/>
  <c r="BW73" i="50"/>
  <c r="BW84" i="50"/>
  <c r="AL84" i="50"/>
  <c r="BW76" i="50"/>
  <c r="AL76" i="50"/>
  <c r="AL80" i="50"/>
  <c r="BW80" i="50"/>
  <c r="AL81" i="50"/>
  <c r="BW81" i="50"/>
  <c r="BW62" i="50"/>
  <c r="AL62" i="50"/>
  <c r="BW75" i="50"/>
  <c r="AL75" i="50"/>
  <c r="AL68" i="50"/>
  <c r="BW68" i="50"/>
  <c r="BD90" i="53"/>
  <c r="DF90" i="53" s="1"/>
  <c r="AB36" i="7"/>
  <c r="AB58" i="7"/>
  <c r="T69" i="7"/>
  <c r="T47" i="7"/>
  <c r="AF60" i="62"/>
  <c r="BW60" i="62" s="1"/>
  <c r="AV30" i="7"/>
  <c r="CS30" i="7" s="1"/>
  <c r="Q30" i="7"/>
  <c r="BN30" i="7" s="1"/>
  <c r="F35" i="67"/>
  <c r="I30" i="7"/>
  <c r="BF30" i="7" s="1"/>
  <c r="F17" i="67"/>
  <c r="M132" i="67"/>
  <c r="Y30" i="7"/>
  <c r="BV30" i="7" s="1"/>
  <c r="F53" i="67"/>
  <c r="AG30" i="7"/>
  <c r="CD30" i="7" s="1"/>
  <c r="F71" i="67"/>
  <c r="AO30" i="7"/>
  <c r="CL30" i="7" s="1"/>
  <c r="F95" i="67"/>
  <c r="E113" i="67"/>
  <c r="Y238" i="50"/>
  <c r="AL259" i="50"/>
  <c r="AL236" i="50"/>
  <c r="AM237" i="50"/>
  <c r="BY237" i="50" s="1"/>
  <c r="K240" i="50"/>
  <c r="J262" i="50"/>
  <c r="R237" i="50"/>
  <c r="BD237" i="50" s="1"/>
  <c r="Q236" i="50"/>
  <c r="Q259" i="50"/>
  <c r="D72" i="49"/>
  <c r="D58" i="49"/>
  <c r="AE61" i="50"/>
  <c r="BQ61" i="50" s="1"/>
  <c r="AE172" i="50"/>
  <c r="BQ172" i="50" s="1"/>
  <c r="AF152" i="50"/>
  <c r="BR152" i="50" s="1"/>
  <c r="AF159" i="50"/>
  <c r="AE179" i="50"/>
  <c r="BQ179" i="50" s="1"/>
  <c r="AL61" i="50"/>
  <c r="BX61" i="50" s="1"/>
  <c r="AF64" i="50"/>
  <c r="BR64" i="50" s="1"/>
  <c r="AF62" i="50"/>
  <c r="BR62" i="50" s="1"/>
  <c r="AM64" i="50"/>
  <c r="BY64" i="50" s="1"/>
  <c r="AF75" i="50"/>
  <c r="BR75" i="50" s="1"/>
  <c r="K192" i="50"/>
  <c r="AF259" i="50"/>
  <c r="AA83" i="53"/>
  <c r="CE83" i="53" s="1"/>
  <c r="AA51" i="53"/>
  <c r="AA38" i="53"/>
  <c r="AV18" i="53"/>
  <c r="CX18" i="53" s="1"/>
  <c r="AU18" i="53"/>
  <c r="CW18" i="53" s="1"/>
  <c r="AT18" i="53"/>
  <c r="CV18" i="53" s="1"/>
  <c r="AS18" i="53"/>
  <c r="CU18" i="53" s="1"/>
  <c r="AR18" i="53"/>
  <c r="CT18" i="53" s="1"/>
  <c r="AQ18" i="53"/>
  <c r="CS18" i="53" s="1"/>
  <c r="AQ25" i="53"/>
  <c r="CS25" i="53" s="1"/>
  <c r="AN25" i="53"/>
  <c r="CQ25" i="53" s="1"/>
  <c r="AM25" i="53"/>
  <c r="CP25" i="53" s="1"/>
  <c r="AL25" i="53"/>
  <c r="CO25" i="53" s="1"/>
  <c r="AK25" i="53"/>
  <c r="CN25" i="53" s="1"/>
  <c r="AJ25" i="53"/>
  <c r="CM25" i="53" s="1"/>
  <c r="AI25" i="53"/>
  <c r="AF25" i="53"/>
  <c r="CJ25" i="53" s="1"/>
  <c r="AE25" i="53"/>
  <c r="CI25" i="53" s="1"/>
  <c r="AD25" i="53"/>
  <c r="CH25" i="53" s="1"/>
  <c r="AC25" i="53"/>
  <c r="CG25" i="53" s="1"/>
  <c r="AB25" i="53"/>
  <c r="CF25" i="53" s="1"/>
  <c r="AA25" i="53"/>
  <c r="AN83" i="53"/>
  <c r="CQ83" i="53" s="1"/>
  <c r="AM83" i="53"/>
  <c r="CP83" i="53" s="1"/>
  <c r="AL83" i="53"/>
  <c r="CO83" i="53" s="1"/>
  <c r="AK83" i="53"/>
  <c r="CN83" i="53" s="1"/>
  <c r="AJ83" i="53"/>
  <c r="CM83" i="53" s="1"/>
  <c r="AI83" i="53"/>
  <c r="CL83" i="53" s="1"/>
  <c r="AF83" i="53"/>
  <c r="CJ83" i="53" s="1"/>
  <c r="AE83" i="53"/>
  <c r="CI83" i="53" s="1"/>
  <c r="AD83" i="53"/>
  <c r="CH83" i="53" s="1"/>
  <c r="AC83" i="53"/>
  <c r="CG83" i="53" s="1"/>
  <c r="AB83" i="53"/>
  <c r="CF83" i="53" s="1"/>
  <c r="AN70" i="53"/>
  <c r="AM70" i="53"/>
  <c r="AL70" i="53"/>
  <c r="AK70" i="53"/>
  <c r="AJ70" i="53"/>
  <c r="CM70" i="53" s="1"/>
  <c r="U110" i="85" s="1"/>
  <c r="AI70" i="53"/>
  <c r="CL70" i="53" s="1"/>
  <c r="T110" i="85" s="1"/>
  <c r="AF70" i="53"/>
  <c r="AE70" i="53"/>
  <c r="AD70" i="53"/>
  <c r="AC70" i="53"/>
  <c r="AB70" i="53"/>
  <c r="CF70" i="53" s="1"/>
  <c r="U86" i="85" s="1"/>
  <c r="Z86" i="85" s="1"/>
  <c r="AA70" i="53"/>
  <c r="CE70" i="53" s="1"/>
  <c r="T86" i="85" s="1"/>
  <c r="AI55" i="53"/>
  <c r="CL55" i="53" s="1"/>
  <c r="T104" i="85" s="1"/>
  <c r="AA55" i="53"/>
  <c r="CE55" i="53" s="1"/>
  <c r="T80" i="85" s="1"/>
  <c r="AN51" i="53"/>
  <c r="CQ51" i="53" s="1"/>
  <c r="AM51" i="53"/>
  <c r="CP51" i="53" s="1"/>
  <c r="AL51" i="53"/>
  <c r="CO51" i="53" s="1"/>
  <c r="AK51" i="53"/>
  <c r="CN51" i="53" s="1"/>
  <c r="AJ51" i="53"/>
  <c r="CM51" i="53" s="1"/>
  <c r="AI51" i="53"/>
  <c r="AF51" i="53"/>
  <c r="CJ51" i="53" s="1"/>
  <c r="AE51" i="53"/>
  <c r="CI51" i="53" s="1"/>
  <c r="AD51" i="53"/>
  <c r="CH51" i="53" s="1"/>
  <c r="AC51" i="53"/>
  <c r="CG51" i="53" s="1"/>
  <c r="AB51" i="53"/>
  <c r="CF51" i="53" s="1"/>
  <c r="AN38" i="53"/>
  <c r="CQ38" i="53" s="1"/>
  <c r="AM38" i="53"/>
  <c r="CP38" i="53" s="1"/>
  <c r="AL38" i="53"/>
  <c r="CO38" i="53" s="1"/>
  <c r="AK38" i="53"/>
  <c r="CN38" i="53" s="1"/>
  <c r="AJ38" i="53"/>
  <c r="CM38" i="53" s="1"/>
  <c r="AI38" i="53"/>
  <c r="AF38" i="53"/>
  <c r="CJ38" i="53" s="1"/>
  <c r="AE38" i="53"/>
  <c r="CI38" i="53" s="1"/>
  <c r="AD38" i="53"/>
  <c r="CH38" i="53" s="1"/>
  <c r="AC38" i="53"/>
  <c r="CG38" i="53" s="1"/>
  <c r="AB38" i="53"/>
  <c r="CF38" i="53" s="1"/>
  <c r="AN18" i="53"/>
  <c r="CQ18" i="53" s="1"/>
  <c r="AM18" i="53"/>
  <c r="CP18" i="53" s="1"/>
  <c r="AL18" i="53"/>
  <c r="CO18" i="53" s="1"/>
  <c r="AK18" i="53"/>
  <c r="CN18" i="53" s="1"/>
  <c r="AJ18" i="53"/>
  <c r="CM18" i="53" s="1"/>
  <c r="AI18" i="53"/>
  <c r="AF18" i="53"/>
  <c r="CJ18" i="53" s="1"/>
  <c r="AE18" i="53"/>
  <c r="CI18" i="53" s="1"/>
  <c r="AD18" i="53"/>
  <c r="CH18" i="53" s="1"/>
  <c r="AC18" i="53"/>
  <c r="CG18" i="53" s="1"/>
  <c r="AB18" i="53"/>
  <c r="CF18" i="53" s="1"/>
  <c r="AA18" i="53"/>
  <c r="AN12" i="53"/>
  <c r="CQ12" i="53" s="1"/>
  <c r="AM12" i="53"/>
  <c r="CP12" i="53" s="1"/>
  <c r="AL12" i="53"/>
  <c r="CO12" i="53" s="1"/>
  <c r="AK12" i="53"/>
  <c r="CN12" i="53" s="1"/>
  <c r="AJ12" i="53"/>
  <c r="CM12" i="53" s="1"/>
  <c r="AI12" i="53"/>
  <c r="AF12" i="53"/>
  <c r="CJ12" i="53" s="1"/>
  <c r="AE12" i="53"/>
  <c r="CI12" i="53" s="1"/>
  <c r="AD12" i="53"/>
  <c r="CH12" i="53" s="1"/>
  <c r="AC12" i="53"/>
  <c r="CG12" i="53" s="1"/>
  <c r="AB12" i="53"/>
  <c r="CF12" i="53" s="1"/>
  <c r="AA12" i="53"/>
  <c r="E114" i="85" l="1"/>
  <c r="AW244" i="50"/>
  <c r="BD247" i="50"/>
  <c r="BD243" i="50"/>
  <c r="Y278" i="50"/>
  <c r="BK278" i="50" s="1"/>
  <c r="BD252" i="50"/>
  <c r="Y263" i="50"/>
  <c r="BK263" i="50" s="1"/>
  <c r="F112" i="85"/>
  <c r="F119" i="85"/>
  <c r="F129" i="85" s="1"/>
  <c r="Z110" i="85"/>
  <c r="M132" i="85"/>
  <c r="N132" i="85"/>
  <c r="G17" i="85"/>
  <c r="G113" i="85" s="1"/>
  <c r="D115" i="85"/>
  <c r="AF265" i="50"/>
  <c r="BR265" i="50" s="1"/>
  <c r="BR247" i="50"/>
  <c r="AM39" i="67"/>
  <c r="J72" i="49"/>
  <c r="AM39" i="85" s="1"/>
  <c r="F72" i="67"/>
  <c r="AM31" i="67"/>
  <c r="J58" i="49"/>
  <c r="AM31" i="85" s="1"/>
  <c r="BK247" i="50"/>
  <c r="K271" i="50"/>
  <c r="AW271" i="50" s="1"/>
  <c r="W110" i="67"/>
  <c r="CO70" i="53"/>
  <c r="W110" i="85" s="1"/>
  <c r="AU18" i="73"/>
  <c r="CE18" i="73" s="1"/>
  <c r="CL18" i="53"/>
  <c r="V86" i="67"/>
  <c r="CG70" i="53"/>
  <c r="V86" i="85" s="1"/>
  <c r="X110" i="67"/>
  <c r="CP70" i="53"/>
  <c r="X110" i="85" s="1"/>
  <c r="AJ38" i="73"/>
  <c r="BY38" i="73" s="1"/>
  <c r="CE38" i="53"/>
  <c r="W86" i="67"/>
  <c r="CH70" i="53"/>
  <c r="W86" i="85" s="1"/>
  <c r="Y110" i="67"/>
  <c r="CQ70" i="53"/>
  <c r="Y110" i="85" s="1"/>
  <c r="AA110" i="85" s="1"/>
  <c r="AJ51" i="73"/>
  <c r="BY51" i="73" s="1"/>
  <c r="CE51" i="53"/>
  <c r="AJ18" i="73"/>
  <c r="BY18" i="73" s="1"/>
  <c r="CE18" i="53"/>
  <c r="X86" i="67"/>
  <c r="CI70" i="53"/>
  <c r="X86" i="85" s="1"/>
  <c r="AU38" i="73"/>
  <c r="CE38" i="73" s="1"/>
  <c r="CL38" i="53"/>
  <c r="Y86" i="67"/>
  <c r="CJ70" i="53"/>
  <c r="Y86" i="85" s="1"/>
  <c r="AA86" i="85" s="1"/>
  <c r="AU25" i="73"/>
  <c r="CE25" i="73" s="1"/>
  <c r="CL25" i="53"/>
  <c r="AJ25" i="73"/>
  <c r="BY25" i="73" s="1"/>
  <c r="CE25" i="53"/>
  <c r="AU12" i="73"/>
  <c r="CE12" i="73" s="1"/>
  <c r="CL12" i="53"/>
  <c r="AJ12" i="73"/>
  <c r="BY12" i="73" s="1"/>
  <c r="CE12" i="53"/>
  <c r="AU51" i="73"/>
  <c r="CE51" i="73" s="1"/>
  <c r="CL51" i="53"/>
  <c r="V110" i="67"/>
  <c r="CN70" i="53"/>
  <c r="V110" i="85" s="1"/>
  <c r="G71" i="67"/>
  <c r="AW250" i="50"/>
  <c r="R270" i="50"/>
  <c r="BD270" i="50" s="1"/>
  <c r="AH30" i="7"/>
  <c r="CE30" i="7" s="1"/>
  <c r="G17" i="67"/>
  <c r="J30" i="7"/>
  <c r="BG30" i="7" s="1"/>
  <c r="Y259" i="50"/>
  <c r="BK259" i="50" s="1"/>
  <c r="X258" i="50"/>
  <c r="F55" i="67" s="1"/>
  <c r="G95" i="67"/>
  <c r="BP258" i="50"/>
  <c r="E73" i="85" s="1"/>
  <c r="K260" i="50"/>
  <c r="AW260" i="50" s="1"/>
  <c r="AF183" i="50"/>
  <c r="BR183" i="50" s="1"/>
  <c r="R30" i="7"/>
  <c r="BO30" i="7" s="1"/>
  <c r="N132" i="67"/>
  <c r="O132" i="67" s="1"/>
  <c r="E114" i="67"/>
  <c r="F112" i="67"/>
  <c r="BK254" i="50"/>
  <c r="BD251" i="50"/>
  <c r="G53" i="67"/>
  <c r="K259" i="50"/>
  <c r="AW259" i="50" s="1"/>
  <c r="AE258" i="50"/>
  <c r="BQ258" i="50" s="1"/>
  <c r="F73" i="85" s="1"/>
  <c r="Z30" i="7"/>
  <c r="BW30" i="7" s="1"/>
  <c r="AF179" i="50"/>
  <c r="BR179" i="50" s="1"/>
  <c r="BR159" i="50"/>
  <c r="Y271" i="50"/>
  <c r="BK271" i="50" s="1"/>
  <c r="BK249" i="50"/>
  <c r="BK251" i="50"/>
  <c r="Y273" i="50"/>
  <c r="BK273" i="50" s="1"/>
  <c r="AF263" i="50"/>
  <c r="BR263" i="50" s="1"/>
  <c r="BR241" i="50"/>
  <c r="AM269" i="50"/>
  <c r="BY269" i="50" s="1"/>
  <c r="BY247" i="50"/>
  <c r="K277" i="50"/>
  <c r="AW277" i="50" s="1"/>
  <c r="R271" i="50"/>
  <c r="BD271" i="50" s="1"/>
  <c r="BD249" i="50"/>
  <c r="BR168" i="50"/>
  <c r="AF188" i="50"/>
  <c r="BR188" i="50" s="1"/>
  <c r="AM263" i="50"/>
  <c r="BY263" i="50" s="1"/>
  <c r="BY241" i="50"/>
  <c r="F54" i="67"/>
  <c r="BJ236" i="50"/>
  <c r="F54" i="85" s="1"/>
  <c r="F18" i="67"/>
  <c r="AV236" i="50"/>
  <c r="F18" i="85" s="1"/>
  <c r="F129" i="67"/>
  <c r="R264" i="50"/>
  <c r="BD264" i="50" s="1"/>
  <c r="BD242" i="50"/>
  <c r="K278" i="50"/>
  <c r="AW278" i="50" s="1"/>
  <c r="AW256" i="50"/>
  <c r="R277" i="50"/>
  <c r="BD277" i="50" s="1"/>
  <c r="BD255" i="50"/>
  <c r="R261" i="50"/>
  <c r="BD261" i="50" s="1"/>
  <c r="BD239" i="50"/>
  <c r="K262" i="50"/>
  <c r="AW262" i="50" s="1"/>
  <c r="AW240" i="50"/>
  <c r="AM262" i="50"/>
  <c r="BY262" i="50" s="1"/>
  <c r="BY240" i="50"/>
  <c r="Y279" i="50"/>
  <c r="BK279" i="50" s="1"/>
  <c r="BK257" i="50"/>
  <c r="R276" i="50"/>
  <c r="BD276" i="50" s="1"/>
  <c r="BD254" i="50"/>
  <c r="Y264" i="50"/>
  <c r="BK264" i="50" s="1"/>
  <c r="BK242" i="50"/>
  <c r="E37" i="67"/>
  <c r="BB258" i="50"/>
  <c r="E37" i="85" s="1"/>
  <c r="BR166" i="50"/>
  <c r="AF186" i="50"/>
  <c r="BR186" i="50" s="1"/>
  <c r="Y268" i="50"/>
  <c r="BK268" i="50" s="1"/>
  <c r="BK246" i="50"/>
  <c r="Y262" i="50"/>
  <c r="BK262" i="50" s="1"/>
  <c r="BK240" i="50"/>
  <c r="BD253" i="50"/>
  <c r="R275" i="50"/>
  <c r="BD275" i="50" s="1"/>
  <c r="E19" i="67"/>
  <c r="AU258" i="50"/>
  <c r="E19" i="85" s="1"/>
  <c r="E97" i="67"/>
  <c r="BW258" i="50"/>
  <c r="E97" i="85" s="1"/>
  <c r="K279" i="50"/>
  <c r="AW279" i="50" s="1"/>
  <c r="AW257" i="50"/>
  <c r="BR259" i="50"/>
  <c r="F96" i="67"/>
  <c r="BX236" i="50"/>
  <c r="F96" i="85" s="1"/>
  <c r="K269" i="50"/>
  <c r="AW269" i="50" s="1"/>
  <c r="AW247" i="50"/>
  <c r="AW252" i="50"/>
  <c r="K274" i="50"/>
  <c r="AW274" i="50" s="1"/>
  <c r="AF275" i="50"/>
  <c r="BR275" i="50" s="1"/>
  <c r="BR253" i="50"/>
  <c r="AF175" i="50"/>
  <c r="BR175" i="50" s="1"/>
  <c r="BR155" i="50"/>
  <c r="R263" i="50"/>
  <c r="BD263" i="50" s="1"/>
  <c r="BD241" i="50"/>
  <c r="Y277" i="50"/>
  <c r="BK277" i="50" s="1"/>
  <c r="BK255" i="50"/>
  <c r="D115" i="67"/>
  <c r="Y274" i="50"/>
  <c r="BK274" i="50" s="1"/>
  <c r="BK252" i="50"/>
  <c r="R60" i="62"/>
  <c r="BI60" i="62" s="1"/>
  <c r="K268" i="50"/>
  <c r="AW268" i="50" s="1"/>
  <c r="AW246" i="50"/>
  <c r="AW241" i="50"/>
  <c r="K263" i="50"/>
  <c r="AW263" i="50" s="1"/>
  <c r="AM277" i="50"/>
  <c r="BY277" i="50" s="1"/>
  <c r="BY255" i="50"/>
  <c r="R279" i="50"/>
  <c r="BD279" i="50" s="1"/>
  <c r="BD257" i="50"/>
  <c r="AF274" i="50"/>
  <c r="BR274" i="50" s="1"/>
  <c r="BR252" i="50"/>
  <c r="AF264" i="50"/>
  <c r="BR264" i="50" s="1"/>
  <c r="BR242" i="50"/>
  <c r="Y272" i="50"/>
  <c r="BK272" i="50" s="1"/>
  <c r="BK250" i="50"/>
  <c r="AW243" i="50"/>
  <c r="K265" i="50"/>
  <c r="AW265" i="50" s="1"/>
  <c r="AF273" i="50"/>
  <c r="BR273" i="50" s="1"/>
  <c r="BR251" i="50"/>
  <c r="J258" i="50"/>
  <c r="AV262" i="50"/>
  <c r="BR238" i="50"/>
  <c r="AF260" i="50"/>
  <c r="BR260" i="50" s="1"/>
  <c r="AF272" i="50"/>
  <c r="BR272" i="50" s="1"/>
  <c r="BR250" i="50"/>
  <c r="K273" i="50"/>
  <c r="AW273" i="50" s="1"/>
  <c r="R272" i="50"/>
  <c r="BD272" i="50" s="1"/>
  <c r="BD250" i="50"/>
  <c r="R267" i="50"/>
  <c r="BD267" i="50" s="1"/>
  <c r="BD245" i="50"/>
  <c r="K276" i="50"/>
  <c r="AW276" i="50" s="1"/>
  <c r="AW254" i="50"/>
  <c r="K261" i="50"/>
  <c r="AW261" i="50" s="1"/>
  <c r="AW239" i="50"/>
  <c r="Y261" i="50"/>
  <c r="BK261" i="50" s="1"/>
  <c r="BK239" i="50"/>
  <c r="AF271" i="50"/>
  <c r="BR271" i="50" s="1"/>
  <c r="BR249" i="50"/>
  <c r="AM268" i="50"/>
  <c r="BY268" i="50" s="1"/>
  <c r="BY246" i="50"/>
  <c r="AW242" i="50"/>
  <c r="K264" i="50"/>
  <c r="AW264" i="50" s="1"/>
  <c r="AP30" i="7"/>
  <c r="CM30" i="7" s="1"/>
  <c r="AF236" i="50"/>
  <c r="Q258" i="50"/>
  <c r="BC259" i="50"/>
  <c r="AL258" i="50"/>
  <c r="BX259" i="50"/>
  <c r="AM278" i="50"/>
  <c r="BY278" i="50" s="1"/>
  <c r="BY256" i="50"/>
  <c r="AF279" i="50"/>
  <c r="BR279" i="50" s="1"/>
  <c r="BR257" i="50"/>
  <c r="BP67" i="62"/>
  <c r="Y60" i="62"/>
  <c r="BP60" i="62" s="1"/>
  <c r="Y275" i="50"/>
  <c r="BK275" i="50" s="1"/>
  <c r="BK253" i="50"/>
  <c r="AM275" i="50"/>
  <c r="BY275" i="50" s="1"/>
  <c r="BY253" i="50"/>
  <c r="AM274" i="50"/>
  <c r="BY274" i="50" s="1"/>
  <c r="BY252" i="50"/>
  <c r="AF267" i="50"/>
  <c r="BR267" i="50" s="1"/>
  <c r="BR245" i="50"/>
  <c r="E55" i="67"/>
  <c r="BI258" i="50"/>
  <c r="E55" i="85" s="1"/>
  <c r="R266" i="50"/>
  <c r="BD266" i="50" s="1"/>
  <c r="BD244" i="50"/>
  <c r="AM272" i="50"/>
  <c r="BY272" i="50" s="1"/>
  <c r="BY250" i="50"/>
  <c r="G16" i="67"/>
  <c r="G112" i="67" s="1"/>
  <c r="AW192" i="50"/>
  <c r="G16" i="85" s="1"/>
  <c r="F36" i="67"/>
  <c r="BC236" i="50"/>
  <c r="F36" i="85" s="1"/>
  <c r="Y260" i="50"/>
  <c r="BK260" i="50" s="1"/>
  <c r="BK238" i="50"/>
  <c r="G35" i="67"/>
  <c r="BR160" i="50"/>
  <c r="AF180" i="50"/>
  <c r="BR180" i="50" s="1"/>
  <c r="K270" i="50"/>
  <c r="AW270" i="50" s="1"/>
  <c r="AW248" i="50"/>
  <c r="AF261" i="50"/>
  <c r="BR261" i="50" s="1"/>
  <c r="BR239" i="50"/>
  <c r="Y266" i="50"/>
  <c r="BK266" i="50" s="1"/>
  <c r="BK244" i="50"/>
  <c r="AF277" i="50"/>
  <c r="BR277" i="50" s="1"/>
  <c r="BR255" i="50"/>
  <c r="AM60" i="62"/>
  <c r="CD60" i="62" s="1"/>
  <c r="CD79" i="62"/>
  <c r="AM68" i="50"/>
  <c r="BY68" i="50" s="1"/>
  <c r="BX68" i="50"/>
  <c r="AM80" i="50"/>
  <c r="BY80" i="50" s="1"/>
  <c r="BX80" i="50"/>
  <c r="AM78" i="50"/>
  <c r="BY78" i="50" s="1"/>
  <c r="BX78" i="50"/>
  <c r="BX75" i="50"/>
  <c r="AM75" i="50"/>
  <c r="BY75" i="50" s="1"/>
  <c r="BX76" i="50"/>
  <c r="AM76" i="50"/>
  <c r="BY76" i="50" s="1"/>
  <c r="BX74" i="50"/>
  <c r="AM74" i="50"/>
  <c r="BY74" i="50" s="1"/>
  <c r="AM81" i="50"/>
  <c r="BY81" i="50" s="1"/>
  <c r="BX81" i="50"/>
  <c r="AM73" i="50"/>
  <c r="BY73" i="50" s="1"/>
  <c r="BX73" i="50"/>
  <c r="BX62" i="50"/>
  <c r="AM62" i="50"/>
  <c r="BY62" i="50" s="1"/>
  <c r="BX84" i="50"/>
  <c r="AM84" i="50"/>
  <c r="BY84" i="50" s="1"/>
  <c r="AH83" i="53"/>
  <c r="AG83" i="53"/>
  <c r="CK83" i="53" s="1"/>
  <c r="AH18" i="53"/>
  <c r="AG18" i="53"/>
  <c r="CK18" i="53" s="1"/>
  <c r="AP83" i="53"/>
  <c r="AO83" i="53"/>
  <c r="CR83" i="53" s="1"/>
  <c r="AO18" i="53"/>
  <c r="CR18" i="53" s="1"/>
  <c r="AP18" i="53"/>
  <c r="AP12" i="53"/>
  <c r="AO12" i="53"/>
  <c r="CR12" i="53" s="1"/>
  <c r="U110" i="67"/>
  <c r="AP70" i="53"/>
  <c r="AO70" i="53"/>
  <c r="CR70" i="53" s="1"/>
  <c r="AH38" i="53"/>
  <c r="AG38" i="53"/>
  <c r="CK38" i="53" s="1"/>
  <c r="AH25" i="53"/>
  <c r="AG25" i="53"/>
  <c r="CK25" i="53" s="1"/>
  <c r="AH51" i="53"/>
  <c r="AG51" i="53"/>
  <c r="CK51" i="53" s="1"/>
  <c r="AO38" i="53"/>
  <c r="CR38" i="53" s="1"/>
  <c r="AP38" i="53"/>
  <c r="AP25" i="53"/>
  <c r="AO25" i="53"/>
  <c r="CR25" i="53" s="1"/>
  <c r="AG12" i="53"/>
  <c r="CK12" i="53" s="1"/>
  <c r="AH12" i="53"/>
  <c r="AP51" i="53"/>
  <c r="AO51" i="53"/>
  <c r="CR51" i="53" s="1"/>
  <c r="U86" i="67"/>
  <c r="AG70" i="53"/>
  <c r="CK70" i="53" s="1"/>
  <c r="AH70" i="53"/>
  <c r="AR8" i="7"/>
  <c r="AJ36" i="7"/>
  <c r="AJ58" i="7"/>
  <c r="AB69" i="7"/>
  <c r="AB47" i="7"/>
  <c r="AW30" i="7"/>
  <c r="CT30" i="7" s="1"/>
  <c r="AJ70" i="73"/>
  <c r="BY70" i="73" s="1"/>
  <c r="T86" i="67"/>
  <c r="F113" i="67"/>
  <c r="AU70" i="73"/>
  <c r="CE70" i="73" s="1"/>
  <c r="T110" i="67"/>
  <c r="AU55" i="73"/>
  <c r="CE55" i="73" s="1"/>
  <c r="T104" i="67"/>
  <c r="AJ55" i="73"/>
  <c r="BY55" i="73" s="1"/>
  <c r="T80" i="67"/>
  <c r="K236" i="50"/>
  <c r="Y236" i="50"/>
  <c r="BA12" i="73"/>
  <c r="AZ12" i="73"/>
  <c r="CH12" i="73" s="1"/>
  <c r="AO12" i="73"/>
  <c r="CB12" i="73" s="1"/>
  <c r="AP12" i="73"/>
  <c r="BE12" i="73"/>
  <c r="BD12" i="73"/>
  <c r="CJ12" i="73" s="1"/>
  <c r="AR12" i="73"/>
  <c r="AQ12" i="73"/>
  <c r="CC12" i="73" s="1"/>
  <c r="AX12" i="73"/>
  <c r="CG12" i="73" s="1"/>
  <c r="AY12" i="73"/>
  <c r="AK38" i="73"/>
  <c r="BZ38" i="73" s="1"/>
  <c r="AL38" i="73"/>
  <c r="AS38" i="73"/>
  <c r="CD38" i="73" s="1"/>
  <c r="AT38" i="73"/>
  <c r="BA38" i="73"/>
  <c r="AZ38" i="73"/>
  <c r="CH38" i="73" s="1"/>
  <c r="AN51" i="73"/>
  <c r="AM51" i="73"/>
  <c r="CA51" i="73" s="1"/>
  <c r="BB51" i="73"/>
  <c r="CI51" i="73" s="1"/>
  <c r="BC51" i="73"/>
  <c r="AQ70" i="73"/>
  <c r="CC70" i="73" s="1"/>
  <c r="AR70" i="73"/>
  <c r="AY70" i="73"/>
  <c r="AX70" i="73"/>
  <c r="CG70" i="73" s="1"/>
  <c r="AB76" i="53"/>
  <c r="CF76" i="53" s="1"/>
  <c r="U87" i="85" s="1"/>
  <c r="AK83" i="73"/>
  <c r="BZ83" i="73" s="1"/>
  <c r="AL83" i="73"/>
  <c r="AS83" i="73"/>
  <c r="CD83" i="73" s="1"/>
  <c r="AT83" i="73"/>
  <c r="AL76" i="53"/>
  <c r="BA83" i="73"/>
  <c r="AZ83" i="73"/>
  <c r="CH83" i="73" s="1"/>
  <c r="AK25" i="73"/>
  <c r="BZ25" i="73" s="1"/>
  <c r="AL25" i="73"/>
  <c r="AS25" i="73"/>
  <c r="CD25" i="73" s="1"/>
  <c r="AT25" i="73"/>
  <c r="BA25" i="73"/>
  <c r="AZ25" i="73"/>
  <c r="CH25" i="73" s="1"/>
  <c r="AA76" i="53"/>
  <c r="CE76" i="53" s="1"/>
  <c r="T87" i="85" s="1"/>
  <c r="AJ83" i="73"/>
  <c r="BY83" i="73" s="1"/>
  <c r="AS12" i="73"/>
  <c r="CD12" i="73" s="1"/>
  <c r="AT12" i="73"/>
  <c r="BB38" i="73"/>
  <c r="CI38" i="73" s="1"/>
  <c r="BC38" i="73"/>
  <c r="AW51" i="73"/>
  <c r="AV51" i="73"/>
  <c r="CF51" i="73" s="1"/>
  <c r="BE51" i="73"/>
  <c r="BD51" i="73"/>
  <c r="CJ51" i="73" s="1"/>
  <c r="AL70" i="73"/>
  <c r="AK70" i="73"/>
  <c r="BZ70" i="73" s="1"/>
  <c r="AT70" i="73"/>
  <c r="AS70" i="73"/>
  <c r="CD70" i="73" s="1"/>
  <c r="AZ70" i="73"/>
  <c r="CH70" i="73" s="1"/>
  <c r="BA70" i="73"/>
  <c r="AC76" i="53"/>
  <c r="AN83" i="73"/>
  <c r="AM83" i="73"/>
  <c r="CA83" i="73" s="1"/>
  <c r="AI76" i="53"/>
  <c r="CL76" i="53" s="1"/>
  <c r="T111" i="85" s="1"/>
  <c r="AU83" i="73"/>
  <c r="CE83" i="73" s="1"/>
  <c r="AM76" i="53"/>
  <c r="BB83" i="73"/>
  <c r="CI83" i="73" s="1"/>
  <c r="BC83" i="73"/>
  <c r="AN25" i="73"/>
  <c r="AM25" i="73"/>
  <c r="CA25" i="73" s="1"/>
  <c r="BB25" i="73"/>
  <c r="CI25" i="73" s="1"/>
  <c r="BC25" i="73"/>
  <c r="AK12" i="73"/>
  <c r="BZ12" i="73" s="1"/>
  <c r="AL12" i="73"/>
  <c r="AN38" i="73"/>
  <c r="AM38" i="73"/>
  <c r="CA38" i="73" s="1"/>
  <c r="AO51" i="73"/>
  <c r="CB51" i="73" s="1"/>
  <c r="AP51" i="73"/>
  <c r="AN12" i="73"/>
  <c r="AM12" i="73"/>
  <c r="CA12" i="73" s="1"/>
  <c r="BB12" i="73"/>
  <c r="CI12" i="73" s="1"/>
  <c r="BC12" i="73"/>
  <c r="AO38" i="73"/>
  <c r="CB38" i="73" s="1"/>
  <c r="AP38" i="73"/>
  <c r="AW38" i="73"/>
  <c r="AV38" i="73"/>
  <c r="CF38" i="73" s="1"/>
  <c r="BE38" i="73"/>
  <c r="BD38" i="73"/>
  <c r="CJ38" i="73" s="1"/>
  <c r="AR51" i="73"/>
  <c r="AQ51" i="73"/>
  <c r="CC51" i="73" s="1"/>
  <c r="AX51" i="73"/>
  <c r="CG51" i="73" s="1"/>
  <c r="AY51" i="73"/>
  <c r="AM70" i="73"/>
  <c r="CA70" i="73" s="1"/>
  <c r="AN70" i="73"/>
  <c r="BC70" i="73"/>
  <c r="BB70" i="73"/>
  <c r="CI70" i="73" s="1"/>
  <c r="AD76" i="53"/>
  <c r="AO83" i="73"/>
  <c r="CB83" i="73" s="1"/>
  <c r="AP83" i="73"/>
  <c r="AJ76" i="53"/>
  <c r="CM76" i="53" s="1"/>
  <c r="U111" i="85" s="1"/>
  <c r="AW83" i="73"/>
  <c r="AV83" i="73"/>
  <c r="CF83" i="73" s="1"/>
  <c r="BE83" i="73"/>
  <c r="BD83" i="73"/>
  <c r="CJ83" i="73" s="1"/>
  <c r="AO25" i="73"/>
  <c r="CB25" i="73" s="1"/>
  <c r="AP25" i="73"/>
  <c r="AW25" i="73"/>
  <c r="AV25" i="73"/>
  <c r="CF25" i="73" s="1"/>
  <c r="BE25" i="73"/>
  <c r="BD25" i="73"/>
  <c r="CJ25" i="73" s="1"/>
  <c r="AW12" i="73"/>
  <c r="AV12" i="73"/>
  <c r="CF12" i="73" s="1"/>
  <c r="AR38" i="73"/>
  <c r="AQ38" i="73"/>
  <c r="CC38" i="73" s="1"/>
  <c r="AX38" i="73"/>
  <c r="CG38" i="73" s="1"/>
  <c r="AY38" i="73"/>
  <c r="AK51" i="73"/>
  <c r="BZ51" i="73" s="1"/>
  <c r="AL51" i="73"/>
  <c r="AS51" i="73"/>
  <c r="CD51" i="73" s="1"/>
  <c r="AT51" i="73"/>
  <c r="BA51" i="73"/>
  <c r="AZ51" i="73"/>
  <c r="CH51" i="73" s="1"/>
  <c r="AP70" i="73"/>
  <c r="AO70" i="73"/>
  <c r="CB70" i="73" s="1"/>
  <c r="AV70" i="73"/>
  <c r="CF70" i="73" s="1"/>
  <c r="AW70" i="73"/>
  <c r="BD70" i="73"/>
  <c r="CJ70" i="73" s="1"/>
  <c r="BE70" i="73"/>
  <c r="AE76" i="53"/>
  <c r="AR83" i="73"/>
  <c r="AQ83" i="73"/>
  <c r="CC83" i="73" s="1"/>
  <c r="AK76" i="53"/>
  <c r="AX83" i="73"/>
  <c r="CG83" i="73" s="1"/>
  <c r="AY83" i="73"/>
  <c r="AR25" i="73"/>
  <c r="AQ25" i="73"/>
  <c r="CC25" i="73" s="1"/>
  <c r="AX25" i="73"/>
  <c r="CG25" i="73" s="1"/>
  <c r="AY25" i="73"/>
  <c r="AN18" i="73"/>
  <c r="AM18" i="73"/>
  <c r="CA18" i="73" s="1"/>
  <c r="BC18" i="73"/>
  <c r="BB18" i="73"/>
  <c r="CI18" i="73" s="1"/>
  <c r="AO18" i="73"/>
  <c r="CB18" i="73" s="1"/>
  <c r="AP18" i="73"/>
  <c r="AV18" i="73"/>
  <c r="CF18" i="73" s="1"/>
  <c r="AW18" i="73"/>
  <c r="BD18" i="73"/>
  <c r="CJ18" i="73" s="1"/>
  <c r="BE18" i="73"/>
  <c r="AR18" i="73"/>
  <c r="AQ18" i="73"/>
  <c r="CC18" i="73" s="1"/>
  <c r="AY18" i="73"/>
  <c r="AX18" i="73"/>
  <c r="CG18" i="73" s="1"/>
  <c r="AL18" i="73"/>
  <c r="AK18" i="73"/>
  <c r="BZ18" i="73" s="1"/>
  <c r="AT18" i="73"/>
  <c r="AS18" i="73"/>
  <c r="CD18" i="73" s="1"/>
  <c r="AZ18" i="73"/>
  <c r="CH18" i="73" s="1"/>
  <c r="BA18" i="73"/>
  <c r="AN76" i="53"/>
  <c r="AF76" i="53"/>
  <c r="AM29" i="53"/>
  <c r="R236" i="50"/>
  <c r="R259" i="50"/>
  <c r="AM236" i="50"/>
  <c r="AM259" i="50"/>
  <c r="AM61" i="50"/>
  <c r="BY61" i="50" s="1"/>
  <c r="AF172" i="50"/>
  <c r="BR172" i="50" s="1"/>
  <c r="AF61" i="50"/>
  <c r="BR61" i="50" s="1"/>
  <c r="AJ29" i="53"/>
  <c r="CM29" i="53" s="1"/>
  <c r="U103" i="85" s="1"/>
  <c r="Z103" i="85" s="1"/>
  <c r="AF29" i="53"/>
  <c r="AN29" i="53"/>
  <c r="AC29" i="53"/>
  <c r="AI29" i="53"/>
  <c r="CL29" i="53" s="1"/>
  <c r="T103" i="85" s="1"/>
  <c r="AL29" i="53"/>
  <c r="AA29" i="53"/>
  <c r="CE29" i="53" s="1"/>
  <c r="T79" i="85" s="1"/>
  <c r="AD29" i="53"/>
  <c r="AE29" i="53"/>
  <c r="AB29" i="53"/>
  <c r="CF29" i="53" s="1"/>
  <c r="U79" i="85" s="1"/>
  <c r="AK29" i="53"/>
  <c r="Z79" i="85" l="1"/>
  <c r="Z87" i="85"/>
  <c r="F114" i="85"/>
  <c r="E115" i="85"/>
  <c r="Z111" i="85"/>
  <c r="O132" i="85"/>
  <c r="G112" i="85"/>
  <c r="G119" i="85"/>
  <c r="G129" i="85" s="1"/>
  <c r="G113" i="67"/>
  <c r="F73" i="67"/>
  <c r="Y111" i="67"/>
  <c r="CQ76" i="53"/>
  <c r="Y111" i="85" s="1"/>
  <c r="AA111" i="85" s="1"/>
  <c r="W111" i="67"/>
  <c r="CO76" i="53"/>
  <c r="W111" i="85" s="1"/>
  <c r="V103" i="67"/>
  <c r="CN29" i="53"/>
  <c r="V103" i="85" s="1"/>
  <c r="X79" i="67"/>
  <c r="CI29" i="53"/>
  <c r="X79" i="85" s="1"/>
  <c r="X103" i="67"/>
  <c r="CP29" i="53"/>
  <c r="X103" i="85" s="1"/>
  <c r="X87" i="67"/>
  <c r="CI76" i="53"/>
  <c r="X87" i="85" s="1"/>
  <c r="W87" i="67"/>
  <c r="CH76" i="53"/>
  <c r="W87" i="85" s="1"/>
  <c r="W103" i="67"/>
  <c r="CO29" i="53"/>
  <c r="W103" i="85" s="1"/>
  <c r="V87" i="67"/>
  <c r="CG76" i="53"/>
  <c r="V87" i="85" s="1"/>
  <c r="V79" i="67"/>
  <c r="CG29" i="53"/>
  <c r="V79" i="85" s="1"/>
  <c r="V111" i="67"/>
  <c r="CN76" i="53"/>
  <c r="V111" i="85" s="1"/>
  <c r="Y103" i="67"/>
  <c r="CQ29" i="53"/>
  <c r="Y103" i="85" s="1"/>
  <c r="AA103" i="85" s="1"/>
  <c r="Y79" i="67"/>
  <c r="CJ29" i="53"/>
  <c r="Y79" i="85" s="1"/>
  <c r="AA79" i="85" s="1"/>
  <c r="X111" i="67"/>
  <c r="CP76" i="53"/>
  <c r="X111" i="85" s="1"/>
  <c r="W79" i="67"/>
  <c r="CH29" i="53"/>
  <c r="W79" i="85" s="1"/>
  <c r="Y87" i="67"/>
  <c r="CJ76" i="53"/>
  <c r="Y87" i="85" s="1"/>
  <c r="AA87" i="85" s="1"/>
  <c r="AX30" i="7"/>
  <c r="CU30" i="7" s="1"/>
  <c r="F114" i="67"/>
  <c r="BJ258" i="50"/>
  <c r="F55" i="85" s="1"/>
  <c r="Y258" i="50"/>
  <c r="G55" i="67" s="1"/>
  <c r="G119" i="67"/>
  <c r="G129" i="67" s="1"/>
  <c r="R258" i="50"/>
  <c r="BD259" i="50"/>
  <c r="K258" i="50"/>
  <c r="G36" i="67"/>
  <c r="BD236" i="50"/>
  <c r="G36" i="85" s="1"/>
  <c r="F97" i="67"/>
  <c r="BX258" i="50"/>
  <c r="F97" i="85" s="1"/>
  <c r="E115" i="67"/>
  <c r="F37" i="67"/>
  <c r="BC258" i="50"/>
  <c r="F37" i="85" s="1"/>
  <c r="G72" i="67"/>
  <c r="BR236" i="50"/>
  <c r="G72" i="85" s="1"/>
  <c r="F19" i="67"/>
  <c r="AV258" i="50"/>
  <c r="F19" i="85" s="1"/>
  <c r="AF258" i="50"/>
  <c r="G96" i="67"/>
  <c r="BY236" i="50"/>
  <c r="G96" i="85" s="1"/>
  <c r="G54" i="67"/>
  <c r="BK236" i="50"/>
  <c r="G54" i="85" s="1"/>
  <c r="AM258" i="50"/>
  <c r="BY259" i="50"/>
  <c r="G18" i="67"/>
  <c r="AW236" i="50"/>
  <c r="G18" i="85" s="1"/>
  <c r="Z110" i="67"/>
  <c r="Z86" i="67"/>
  <c r="U111" i="67"/>
  <c r="AP76" i="53"/>
  <c r="AO76" i="53"/>
  <c r="CR76" i="53" s="1"/>
  <c r="U103" i="67"/>
  <c r="AP29" i="53"/>
  <c r="AO29" i="53"/>
  <c r="CR29" i="53" s="1"/>
  <c r="U79" i="67"/>
  <c r="AH29" i="53"/>
  <c r="AG29" i="53"/>
  <c r="CK29" i="53" s="1"/>
  <c r="U87" i="67"/>
  <c r="AG76" i="53"/>
  <c r="CK76" i="53" s="1"/>
  <c r="AH76" i="53"/>
  <c r="AJ69" i="7"/>
  <c r="AJ47" i="7"/>
  <c r="AR36" i="7"/>
  <c r="AR58" i="7"/>
  <c r="AA110" i="67"/>
  <c r="AJ76" i="73"/>
  <c r="BY76" i="73" s="1"/>
  <c r="T87" i="67"/>
  <c r="AA86" i="67"/>
  <c r="AU76" i="73"/>
  <c r="CE76" i="73" s="1"/>
  <c r="T111" i="67"/>
  <c r="AU29" i="73"/>
  <c r="CE29" i="73" s="1"/>
  <c r="T103" i="67"/>
  <c r="AJ29" i="73"/>
  <c r="BY29" i="73" s="1"/>
  <c r="T79" i="67"/>
  <c r="BC76" i="73"/>
  <c r="BB76" i="73"/>
  <c r="CI76" i="73" s="1"/>
  <c r="AQ76" i="73"/>
  <c r="CC76" i="73" s="1"/>
  <c r="AR76" i="73"/>
  <c r="AP76" i="73"/>
  <c r="AO76" i="73"/>
  <c r="CB76" i="73" s="1"/>
  <c r="AM76" i="73"/>
  <c r="CA76" i="73" s="1"/>
  <c r="AN76" i="73"/>
  <c r="AT76" i="73"/>
  <c r="AS76" i="73"/>
  <c r="CD76" i="73" s="1"/>
  <c r="AY76" i="73"/>
  <c r="AX76" i="73"/>
  <c r="CG76" i="73" s="1"/>
  <c r="AV76" i="73"/>
  <c r="CF76" i="73" s="1"/>
  <c r="AW76" i="73"/>
  <c r="AZ76" i="73"/>
  <c r="CH76" i="73" s="1"/>
  <c r="BA76" i="73"/>
  <c r="BD76" i="73"/>
  <c r="CJ76" i="73" s="1"/>
  <c r="BE76" i="73"/>
  <c r="AL76" i="73"/>
  <c r="AK76" i="73"/>
  <c r="BZ76" i="73" s="1"/>
  <c r="AL29" i="73"/>
  <c r="AK29" i="73"/>
  <c r="BZ29" i="73" s="1"/>
  <c r="BA29" i="73"/>
  <c r="AZ29" i="73"/>
  <c r="CH29" i="73" s="1"/>
  <c r="AT29" i="73"/>
  <c r="AS29" i="73"/>
  <c r="CD29" i="73" s="1"/>
  <c r="BB29" i="73"/>
  <c r="CI29" i="73" s="1"/>
  <c r="BC29" i="73"/>
  <c r="AQ29" i="73"/>
  <c r="CC29" i="73" s="1"/>
  <c r="AR29" i="73"/>
  <c r="AW29" i="73"/>
  <c r="AV29" i="73"/>
  <c r="CF29" i="73" s="1"/>
  <c r="AP29" i="73"/>
  <c r="AO29" i="73"/>
  <c r="CB29" i="73" s="1"/>
  <c r="AN29" i="73"/>
  <c r="AM29" i="73"/>
  <c r="CA29" i="73" s="1"/>
  <c r="AX29" i="73"/>
  <c r="CG29" i="73" s="1"/>
  <c r="AY29" i="73"/>
  <c r="BE29" i="73"/>
  <c r="BD29" i="73"/>
  <c r="CJ29" i="73" s="1"/>
  <c r="E72" i="49"/>
  <c r="E58" i="49"/>
  <c r="G114" i="85" l="1"/>
  <c r="F115" i="85"/>
  <c r="AN31" i="67"/>
  <c r="K58" i="49"/>
  <c r="AN31" i="85" s="1"/>
  <c r="AN39" i="67"/>
  <c r="K72" i="49"/>
  <c r="AN39" i="85" s="1"/>
  <c r="AA87" i="67"/>
  <c r="G114" i="67"/>
  <c r="BK258" i="50"/>
  <c r="G55" i="85" s="1"/>
  <c r="G73" i="67"/>
  <c r="BR258" i="50"/>
  <c r="G73" i="85" s="1"/>
  <c r="G97" i="67"/>
  <c r="BY258" i="50"/>
  <c r="G97" i="85" s="1"/>
  <c r="F115" i="67"/>
  <c r="G19" i="67"/>
  <c r="AW258" i="50"/>
  <c r="G19" i="85" s="1"/>
  <c r="G37" i="67"/>
  <c r="BD258" i="50"/>
  <c r="G37" i="85" s="1"/>
  <c r="Z111" i="67"/>
  <c r="Z79" i="67"/>
  <c r="Z103" i="67"/>
  <c r="AR47" i="7"/>
  <c r="AR69" i="7"/>
  <c r="Z87" i="67"/>
  <c r="AA111" i="67"/>
  <c r="AA79" i="67"/>
  <c r="AA103" i="67"/>
  <c r="F72" i="49"/>
  <c r="F58" i="49"/>
  <c r="H101" i="39"/>
  <c r="G101" i="39"/>
  <c r="F101" i="39"/>
  <c r="E101" i="39"/>
  <c r="D101" i="39"/>
  <c r="C101" i="39"/>
  <c r="H92" i="39"/>
  <c r="G92" i="39"/>
  <c r="F92" i="39"/>
  <c r="E92" i="39"/>
  <c r="D92" i="39"/>
  <c r="I91" i="39"/>
  <c r="V91" i="39" s="1"/>
  <c r="H91" i="39"/>
  <c r="G91" i="39"/>
  <c r="F91" i="39"/>
  <c r="E91" i="39"/>
  <c r="D91" i="39"/>
  <c r="C91" i="39"/>
  <c r="H90" i="39"/>
  <c r="G90" i="39"/>
  <c r="F90" i="39"/>
  <c r="E90" i="39"/>
  <c r="D90" i="39"/>
  <c r="I89" i="39"/>
  <c r="V89" i="39" s="1"/>
  <c r="D89" i="39"/>
  <c r="H81" i="39"/>
  <c r="Q15" i="83" s="1"/>
  <c r="G81" i="39"/>
  <c r="P15" i="83" s="1"/>
  <c r="F81" i="39"/>
  <c r="O15" i="83" s="1"/>
  <c r="E81" i="39"/>
  <c r="N15" i="83" s="1"/>
  <c r="D81" i="39"/>
  <c r="M15" i="83" s="1"/>
  <c r="M81" i="39"/>
  <c r="Z81" i="39" s="1"/>
  <c r="L81" i="39"/>
  <c r="Y81" i="39" s="1"/>
  <c r="N72" i="39"/>
  <c r="M72" i="39"/>
  <c r="L72" i="39"/>
  <c r="K72" i="39"/>
  <c r="J72" i="39"/>
  <c r="I72" i="39"/>
  <c r="I65" i="39"/>
  <c r="H65" i="39"/>
  <c r="Q13" i="83" s="1"/>
  <c r="G65" i="39"/>
  <c r="P13" i="83" s="1"/>
  <c r="F65" i="39"/>
  <c r="O13" i="83" s="1"/>
  <c r="E65" i="39"/>
  <c r="N13" i="83" s="1"/>
  <c r="D65" i="39"/>
  <c r="M13" i="83" s="1"/>
  <c r="C65" i="39"/>
  <c r="L13" i="83" s="1"/>
  <c r="N65" i="39"/>
  <c r="AA65" i="39" s="1"/>
  <c r="N56" i="39"/>
  <c r="M56" i="39"/>
  <c r="L56" i="39"/>
  <c r="K56" i="39"/>
  <c r="J56" i="39"/>
  <c r="I56" i="39"/>
  <c r="D49" i="39"/>
  <c r="M10" i="83" s="1"/>
  <c r="I34" i="39"/>
  <c r="H34" i="39"/>
  <c r="G34" i="39"/>
  <c r="F34" i="39"/>
  <c r="E34" i="39"/>
  <c r="D34" i="39"/>
  <c r="C34" i="39"/>
  <c r="H40" i="39"/>
  <c r="G40" i="39"/>
  <c r="F40" i="39"/>
  <c r="D40" i="39"/>
  <c r="C40" i="39"/>
  <c r="I18" i="39"/>
  <c r="V18" i="39" s="1"/>
  <c r="R5" i="83" s="1"/>
  <c r="H18" i="39"/>
  <c r="Q5" i="83" s="1"/>
  <c r="G18" i="39"/>
  <c r="P5" i="83" s="1"/>
  <c r="F18" i="39"/>
  <c r="O5" i="83" s="1"/>
  <c r="D18" i="39"/>
  <c r="L5" i="78"/>
  <c r="N92" i="39"/>
  <c r="AA92" i="39" s="1"/>
  <c r="M92" i="39"/>
  <c r="Z92" i="39" s="1"/>
  <c r="L92" i="39"/>
  <c r="Y92" i="39" s="1"/>
  <c r="K92" i="39"/>
  <c r="X92" i="39" s="1"/>
  <c r="J92" i="39"/>
  <c r="W92" i="39" s="1"/>
  <c r="N91" i="39"/>
  <c r="AA91" i="39" s="1"/>
  <c r="M91" i="39"/>
  <c r="Z91" i="39" s="1"/>
  <c r="L91" i="39"/>
  <c r="Y91" i="39" s="1"/>
  <c r="K91" i="39"/>
  <c r="X91" i="39" s="1"/>
  <c r="J91" i="39"/>
  <c r="W91" i="39" s="1"/>
  <c r="N9" i="39"/>
  <c r="M9" i="39"/>
  <c r="L9" i="39"/>
  <c r="K9" i="39"/>
  <c r="J9" i="39"/>
  <c r="I9" i="39"/>
  <c r="Q8" i="78" l="1"/>
  <c r="Q8" i="83"/>
  <c r="V15" i="83"/>
  <c r="Z82" i="39"/>
  <c r="V16" i="83" s="1"/>
  <c r="M5" i="78"/>
  <c r="M5" i="83"/>
  <c r="W13" i="83"/>
  <c r="P8" i="78"/>
  <c r="P8" i="83"/>
  <c r="L8" i="78"/>
  <c r="L8" i="83"/>
  <c r="L18" i="83" s="1"/>
  <c r="M8" i="78"/>
  <c r="M8" i="83"/>
  <c r="G115" i="85"/>
  <c r="U15" i="83"/>
  <c r="N8" i="78"/>
  <c r="N8" i="83"/>
  <c r="O8" i="78"/>
  <c r="O8" i="83"/>
  <c r="AO31" i="67"/>
  <c r="L58" i="49"/>
  <c r="AO31" i="85" s="1"/>
  <c r="AO39" i="67"/>
  <c r="L72" i="49"/>
  <c r="AO39" i="85" s="1"/>
  <c r="G115" i="67"/>
  <c r="Q9" i="39"/>
  <c r="AD9" i="39" s="1"/>
  <c r="X9" i="39"/>
  <c r="P72" i="39"/>
  <c r="AC72" i="39" s="1"/>
  <c r="W72" i="39"/>
  <c r="R9" i="39"/>
  <c r="AE9" i="39" s="1"/>
  <c r="Y9" i="39"/>
  <c r="O56" i="39"/>
  <c r="AB56" i="39" s="1"/>
  <c r="V56" i="39"/>
  <c r="S56" i="39"/>
  <c r="AF56" i="39" s="1"/>
  <c r="Z56" i="39"/>
  <c r="Q72" i="39"/>
  <c r="AD72" i="39" s="1"/>
  <c r="X72" i="39"/>
  <c r="P56" i="39"/>
  <c r="AC56" i="39" s="1"/>
  <c r="W56" i="39"/>
  <c r="T56" i="39"/>
  <c r="AG56" i="39" s="1"/>
  <c r="AA56" i="39"/>
  <c r="R13" i="78"/>
  <c r="V65" i="39"/>
  <c r="R13" i="83" s="1"/>
  <c r="R72" i="39"/>
  <c r="AE72" i="39" s="1"/>
  <c r="Y72" i="39"/>
  <c r="R56" i="39"/>
  <c r="AE56" i="39" s="1"/>
  <c r="Y56" i="39"/>
  <c r="T72" i="39"/>
  <c r="AG72" i="39" s="1"/>
  <c r="AA72" i="39"/>
  <c r="O9" i="39"/>
  <c r="AB9" i="39" s="1"/>
  <c r="V9" i="39"/>
  <c r="S9" i="39"/>
  <c r="AF9" i="39" s="1"/>
  <c r="Z9" i="39"/>
  <c r="P9" i="39"/>
  <c r="AC9" i="39" s="1"/>
  <c r="W9" i="39"/>
  <c r="T9" i="39"/>
  <c r="AG9" i="39" s="1"/>
  <c r="AA9" i="39"/>
  <c r="R8" i="78"/>
  <c r="V34" i="39"/>
  <c r="R8" i="83" s="1"/>
  <c r="R18" i="83" s="1"/>
  <c r="Q56" i="39"/>
  <c r="AD56" i="39" s="1"/>
  <c r="X56" i="39"/>
  <c r="O72" i="39"/>
  <c r="AB72" i="39" s="1"/>
  <c r="V72" i="39"/>
  <c r="S72" i="39"/>
  <c r="AF72" i="39" s="1"/>
  <c r="Z72" i="39"/>
  <c r="D93" i="39"/>
  <c r="C96" i="39"/>
  <c r="C93" i="39"/>
  <c r="Q15" i="78"/>
  <c r="H84" i="39"/>
  <c r="D84" i="39"/>
  <c r="N15" i="78"/>
  <c r="E84" i="39"/>
  <c r="O15" i="78"/>
  <c r="F84" i="39"/>
  <c r="P15" i="78"/>
  <c r="G84" i="39"/>
  <c r="P13" i="78"/>
  <c r="G68" i="39"/>
  <c r="O13" i="78"/>
  <c r="F68" i="39"/>
  <c r="Q13" i="78"/>
  <c r="H68" i="39"/>
  <c r="N13" i="78"/>
  <c r="E68" i="39"/>
  <c r="M13" i="78"/>
  <c r="D68" i="39"/>
  <c r="L13" i="78"/>
  <c r="C68" i="39"/>
  <c r="F21" i="39"/>
  <c r="O5" i="78"/>
  <c r="AM17" i="53"/>
  <c r="CP17" i="53" s="1"/>
  <c r="AV31" i="85" s="1"/>
  <c r="V15" i="78"/>
  <c r="AS17" i="53"/>
  <c r="CU17" i="53" s="1"/>
  <c r="T21" i="78"/>
  <c r="D82" i="39"/>
  <c r="M15" i="78"/>
  <c r="H21" i="39"/>
  <c r="Q5" i="78"/>
  <c r="G21" i="39"/>
  <c r="P5" i="78"/>
  <c r="C51" i="39"/>
  <c r="L10" i="78"/>
  <c r="AF17" i="53"/>
  <c r="CJ17" i="53" s="1"/>
  <c r="AW25" i="85" s="1"/>
  <c r="W13" i="78"/>
  <c r="D51" i="39"/>
  <c r="M10" i="78"/>
  <c r="C17" i="53"/>
  <c r="R5" i="78"/>
  <c r="AL17" i="53"/>
  <c r="CO17" i="53" s="1"/>
  <c r="AU31" i="85" s="1"/>
  <c r="U15" i="78"/>
  <c r="O89" i="39"/>
  <c r="AB89" i="39" s="1"/>
  <c r="D50" i="39"/>
  <c r="D19" i="39"/>
  <c r="E19" i="39"/>
  <c r="D35" i="39"/>
  <c r="D66" i="39"/>
  <c r="AI17" i="53"/>
  <c r="CL17" i="53" s="1"/>
  <c r="AA17" i="53"/>
  <c r="CE17" i="53" s="1"/>
  <c r="P91" i="39"/>
  <c r="AC91" i="39" s="1"/>
  <c r="T91" i="39"/>
  <c r="AG91" i="39" s="1"/>
  <c r="S91" i="39"/>
  <c r="AF91" i="39" s="1"/>
  <c r="D96" i="39"/>
  <c r="P92" i="39"/>
  <c r="AC92" i="39" s="1"/>
  <c r="T92" i="39"/>
  <c r="AG92" i="39" s="1"/>
  <c r="S92" i="39"/>
  <c r="AF92" i="39" s="1"/>
  <c r="R91" i="39"/>
  <c r="AE91" i="39" s="1"/>
  <c r="H35" i="39"/>
  <c r="F66" i="39"/>
  <c r="G82" i="39"/>
  <c r="O92" i="39"/>
  <c r="AB92" i="39" s="1"/>
  <c r="G35" i="39"/>
  <c r="Q92" i="39"/>
  <c r="AD92" i="39" s="1"/>
  <c r="K17" i="53"/>
  <c r="R92" i="39"/>
  <c r="AE92" i="39" s="1"/>
  <c r="O34" i="39"/>
  <c r="AB34" i="39" s="1"/>
  <c r="H66" i="39"/>
  <c r="G66" i="39"/>
  <c r="H82" i="39"/>
  <c r="T17" i="78"/>
  <c r="E89" i="39"/>
  <c r="E93" i="39" s="1"/>
  <c r="O65" i="39"/>
  <c r="AB65" i="39" s="1"/>
  <c r="E35" i="39"/>
  <c r="F49" i="39"/>
  <c r="O10" i="83" s="1"/>
  <c r="O18" i="83" s="1"/>
  <c r="O91" i="39"/>
  <c r="AB91" i="39" s="1"/>
  <c r="Q91" i="39"/>
  <c r="AD91" i="39" s="1"/>
  <c r="I90" i="39"/>
  <c r="J25" i="39"/>
  <c r="N25" i="39"/>
  <c r="K18" i="39"/>
  <c r="L18" i="39"/>
  <c r="M18" i="39"/>
  <c r="F19" i="39"/>
  <c r="G88" i="39"/>
  <c r="M40" i="39"/>
  <c r="K34" i="39"/>
  <c r="X34" i="39" s="1"/>
  <c r="T65" i="39"/>
  <c r="AG65" i="39" s="1"/>
  <c r="G19" i="39"/>
  <c r="D88" i="39"/>
  <c r="J40" i="39"/>
  <c r="H88" i="39"/>
  <c r="N40" i="39"/>
  <c r="L25" i="39"/>
  <c r="H19" i="39"/>
  <c r="O18" i="39"/>
  <c r="AB18" i="39" s="1"/>
  <c r="K25" i="39"/>
  <c r="E40" i="39"/>
  <c r="I25" i="39"/>
  <c r="M25" i="39"/>
  <c r="M34" i="39"/>
  <c r="Z34" i="39" s="1"/>
  <c r="C88" i="39"/>
  <c r="I40" i="39"/>
  <c r="F88" i="39"/>
  <c r="L40" i="39"/>
  <c r="J34" i="39"/>
  <c r="W34" i="39" s="1"/>
  <c r="N34" i="39"/>
  <c r="AA34" i="39" s="1"/>
  <c r="F35" i="39"/>
  <c r="K65" i="39"/>
  <c r="X65" i="39" s="1"/>
  <c r="E66" i="39"/>
  <c r="K81" i="39"/>
  <c r="L65" i="39"/>
  <c r="Y65" i="39" s="1"/>
  <c r="R81" i="39"/>
  <c r="AE81" i="39" s="1"/>
  <c r="L34" i="39"/>
  <c r="Y34" i="39" s="1"/>
  <c r="M65" i="39"/>
  <c r="Z65" i="39" s="1"/>
  <c r="AA66" i="39" s="1"/>
  <c r="W14" i="83" s="1"/>
  <c r="S81" i="39"/>
  <c r="AF81" i="39" s="1"/>
  <c r="M82" i="39"/>
  <c r="V16" i="78" s="1"/>
  <c r="E49" i="39"/>
  <c r="J65" i="39"/>
  <c r="W65" i="39" s="1"/>
  <c r="E82" i="39"/>
  <c r="J81" i="39"/>
  <c r="W81" i="39" s="1"/>
  <c r="N81" i="39"/>
  <c r="AA81" i="39" s="1"/>
  <c r="F82" i="39"/>
  <c r="O81" i="39"/>
  <c r="AB81" i="39" s="1"/>
  <c r="AF82" i="39" l="1"/>
  <c r="M18" i="83"/>
  <c r="M20" i="83" s="1"/>
  <c r="O20" i="83"/>
  <c r="T13" i="83"/>
  <c r="X66" i="39"/>
  <c r="T14" i="83" s="1"/>
  <c r="V8" i="83"/>
  <c r="Z35" i="39"/>
  <c r="V9" i="83" s="1"/>
  <c r="P14" i="78"/>
  <c r="P14" i="83"/>
  <c r="P16" i="78"/>
  <c r="P16" i="83"/>
  <c r="M6" i="78"/>
  <c r="M6" i="83"/>
  <c r="M12" i="78"/>
  <c r="M12" i="83"/>
  <c r="O9" i="78"/>
  <c r="O9" i="83"/>
  <c r="O6" i="78"/>
  <c r="O6" i="83"/>
  <c r="Q14" i="78"/>
  <c r="Q14" i="83"/>
  <c r="O14" i="78"/>
  <c r="O14" i="83"/>
  <c r="M11" i="78"/>
  <c r="M11" i="83"/>
  <c r="N6" i="78"/>
  <c r="N6" i="83"/>
  <c r="W8" i="83"/>
  <c r="AA35" i="39"/>
  <c r="W9" i="83" s="1"/>
  <c r="Q9" i="78"/>
  <c r="Q9" i="83"/>
  <c r="M16" i="78"/>
  <c r="M16" i="83"/>
  <c r="V13" i="83"/>
  <c r="Z66" i="39"/>
  <c r="V14" i="83" s="1"/>
  <c r="Y35" i="39"/>
  <c r="U9" i="83" s="1"/>
  <c r="U8" i="83"/>
  <c r="W35" i="39"/>
  <c r="S9" i="83" s="1"/>
  <c r="S8" i="83"/>
  <c r="N9" i="78"/>
  <c r="N9" i="83"/>
  <c r="N10" i="78"/>
  <c r="N18" i="78" s="1"/>
  <c r="N10" i="83"/>
  <c r="N18" i="83" s="1"/>
  <c r="O16" i="78"/>
  <c r="O16" i="83"/>
  <c r="P6" i="78"/>
  <c r="P6" i="83"/>
  <c r="L12" i="78"/>
  <c r="L12" i="83"/>
  <c r="N14" i="78"/>
  <c r="N14" i="83"/>
  <c r="Q16" i="78"/>
  <c r="Q16" i="83"/>
  <c r="AA82" i="39"/>
  <c r="W16" i="83" s="1"/>
  <c r="W15" i="83"/>
  <c r="N16" i="78"/>
  <c r="N16" i="83"/>
  <c r="M14" i="78"/>
  <c r="M14" i="83"/>
  <c r="W82" i="39"/>
  <c r="S16" i="83" s="1"/>
  <c r="S15" i="83"/>
  <c r="U13" i="83"/>
  <c r="Y66" i="39"/>
  <c r="U14" i="83" s="1"/>
  <c r="S13" i="83"/>
  <c r="W66" i="39"/>
  <c r="S14" i="83" s="1"/>
  <c r="Q6" i="78"/>
  <c r="Q6" i="83"/>
  <c r="X35" i="39"/>
  <c r="T9" i="83" s="1"/>
  <c r="T8" i="83"/>
  <c r="P9" i="78"/>
  <c r="P9" i="83"/>
  <c r="M9" i="78"/>
  <c r="M9" i="83"/>
  <c r="C17" i="73"/>
  <c r="BG17" i="73" s="1"/>
  <c r="BJ17" i="53"/>
  <c r="N17" i="73"/>
  <c r="BM17" i="73" s="1"/>
  <c r="BQ17" i="53"/>
  <c r="T25" i="39"/>
  <c r="AG25" i="39" s="1"/>
  <c r="AA25" i="39"/>
  <c r="T15" i="78"/>
  <c r="X81" i="39"/>
  <c r="O40" i="39"/>
  <c r="AB40" i="39" s="1"/>
  <c r="V40" i="39"/>
  <c r="O25" i="39"/>
  <c r="AB25" i="39" s="1"/>
  <c r="V25" i="39"/>
  <c r="P40" i="39"/>
  <c r="AC40" i="39" s="1"/>
  <c r="W40" i="39"/>
  <c r="V5" i="78"/>
  <c r="Z18" i="39"/>
  <c r="P25" i="39"/>
  <c r="AC25" i="39" s="1"/>
  <c r="W25" i="39"/>
  <c r="R25" i="39"/>
  <c r="AE25" i="39" s="1"/>
  <c r="Y25" i="39"/>
  <c r="S40" i="39"/>
  <c r="AF40" i="39" s="1"/>
  <c r="Z40" i="39"/>
  <c r="U5" i="78"/>
  <c r="Y18" i="39"/>
  <c r="O90" i="39"/>
  <c r="AB90" i="39" s="1"/>
  <c r="V90" i="39"/>
  <c r="S25" i="39"/>
  <c r="AF25" i="39" s="1"/>
  <c r="Z25" i="39"/>
  <c r="R40" i="39"/>
  <c r="AE40" i="39" s="1"/>
  <c r="Y40" i="39"/>
  <c r="Q25" i="39"/>
  <c r="AD25" i="39" s="1"/>
  <c r="X25" i="39"/>
  <c r="T40" i="39"/>
  <c r="AG40" i="39" s="1"/>
  <c r="AA40" i="39"/>
  <c r="T5" i="78"/>
  <c r="X18" i="39"/>
  <c r="AF89" i="53"/>
  <c r="AW25" i="67"/>
  <c r="AM11" i="53"/>
  <c r="AV31" i="67"/>
  <c r="AL89" i="53"/>
  <c r="AU31" i="67"/>
  <c r="AL11" i="53"/>
  <c r="I93" i="39"/>
  <c r="AF11" i="53"/>
  <c r="L18" i="78"/>
  <c r="AS17" i="73"/>
  <c r="CD17" i="73" s="1"/>
  <c r="AM89" i="53"/>
  <c r="M18" i="78"/>
  <c r="AU17" i="53"/>
  <c r="CW17" i="53" s="1"/>
  <c r="V21" i="78"/>
  <c r="AT17" i="53"/>
  <c r="CV17" i="53" s="1"/>
  <c r="U21" i="78"/>
  <c r="N17" i="53"/>
  <c r="U8" i="78"/>
  <c r="L17" i="53"/>
  <c r="S8" i="78"/>
  <c r="AV17" i="53"/>
  <c r="CX17" i="53" s="1"/>
  <c r="W21" i="78"/>
  <c r="AC17" i="53"/>
  <c r="CG17" i="53" s="1"/>
  <c r="AT25" i="85" s="1"/>
  <c r="T13" i="78"/>
  <c r="O17" i="53"/>
  <c r="V8" i="78"/>
  <c r="AR17" i="53"/>
  <c r="CT17" i="53" s="1"/>
  <c r="S21" i="78"/>
  <c r="AN17" i="53"/>
  <c r="CQ17" i="53" s="1"/>
  <c r="AW31" i="85" s="1"/>
  <c r="W15" i="78"/>
  <c r="AB17" i="53"/>
  <c r="CF17" i="53" s="1"/>
  <c r="AS25" i="85" s="1"/>
  <c r="S13" i="78"/>
  <c r="AD17" i="53"/>
  <c r="CH17" i="53" s="1"/>
  <c r="AU25" i="85" s="1"/>
  <c r="U13" i="78"/>
  <c r="F51" i="39"/>
  <c r="O10" i="78"/>
  <c r="O18" i="78" s="1"/>
  <c r="E96" i="39"/>
  <c r="AJ17" i="53"/>
  <c r="CM17" i="53" s="1"/>
  <c r="AS31" i="85" s="1"/>
  <c r="S15" i="78"/>
  <c r="S17" i="53"/>
  <c r="R10" i="78"/>
  <c r="R18" i="78" s="1"/>
  <c r="AE17" i="53"/>
  <c r="CI17" i="53" s="1"/>
  <c r="AV25" i="85" s="1"/>
  <c r="V13" i="78"/>
  <c r="P17" i="53"/>
  <c r="W8" i="78"/>
  <c r="M17" i="53"/>
  <c r="T8" i="78"/>
  <c r="G17" i="53"/>
  <c r="F17" i="53"/>
  <c r="E17" i="53"/>
  <c r="AA11" i="53"/>
  <c r="CE11" i="53" s="1"/>
  <c r="T78" i="85" s="1"/>
  <c r="E50" i="39"/>
  <c r="E51" i="39"/>
  <c r="AT17" i="73"/>
  <c r="AI89" i="53"/>
  <c r="CL89" i="53" s="1"/>
  <c r="T118" i="85" s="1"/>
  <c r="AU17" i="73"/>
  <c r="CE17" i="73" s="1"/>
  <c r="BB17" i="73"/>
  <c r="CI17" i="73" s="1"/>
  <c r="BA17" i="73"/>
  <c r="AJ17" i="73"/>
  <c r="BY17" i="73" s="1"/>
  <c r="BC17" i="73"/>
  <c r="AZ17" i="73"/>
  <c r="CH17" i="73" s="1"/>
  <c r="AI11" i="53"/>
  <c r="CL11" i="53" s="1"/>
  <c r="T102" i="85" s="1"/>
  <c r="J66" i="39"/>
  <c r="S14" i="78" s="1"/>
  <c r="J35" i="39"/>
  <c r="S9" i="78" s="1"/>
  <c r="AK17" i="53"/>
  <c r="K82" i="39"/>
  <c r="T16" i="78" s="1"/>
  <c r="J82" i="39"/>
  <c r="S16" i="78" s="1"/>
  <c r="I96" i="39"/>
  <c r="AA89" i="53"/>
  <c r="CE89" i="53" s="1"/>
  <c r="T94" i="85" s="1"/>
  <c r="BC17" i="53"/>
  <c r="S82" i="39"/>
  <c r="U17" i="78"/>
  <c r="W17" i="78"/>
  <c r="V17" i="78"/>
  <c r="S17" i="78"/>
  <c r="G72" i="49"/>
  <c r="G58" i="49"/>
  <c r="L82" i="39"/>
  <c r="U16" i="78" s="1"/>
  <c r="F89" i="39"/>
  <c r="F93" i="39" s="1"/>
  <c r="P81" i="39"/>
  <c r="S18" i="39"/>
  <c r="AF18" i="39" s="1"/>
  <c r="M19" i="39"/>
  <c r="V6" i="78" s="1"/>
  <c r="T34" i="39"/>
  <c r="AG34" i="39" s="1"/>
  <c r="N35" i="39"/>
  <c r="W9" i="78" s="1"/>
  <c r="P34" i="39"/>
  <c r="L19" i="39"/>
  <c r="U6" i="78" s="1"/>
  <c r="R18" i="39"/>
  <c r="AE18" i="39" s="1"/>
  <c r="N82" i="39"/>
  <c r="W16" i="78" s="1"/>
  <c r="T81" i="39"/>
  <c r="L35" i="39"/>
  <c r="U9" i="78" s="1"/>
  <c r="R34" i="39"/>
  <c r="AE34" i="39" s="1"/>
  <c r="P65" i="39"/>
  <c r="J49" i="39"/>
  <c r="S65" i="39"/>
  <c r="AF65" i="39" s="1"/>
  <c r="AG66" i="39" s="1"/>
  <c r="M66" i="39"/>
  <c r="V14" i="78" s="1"/>
  <c r="Q81" i="39"/>
  <c r="Q65" i="39"/>
  <c r="AD65" i="39" s="1"/>
  <c r="K66" i="39"/>
  <c r="T14" i="78" s="1"/>
  <c r="J89" i="39"/>
  <c r="W89" i="39" s="1"/>
  <c r="D100" i="39"/>
  <c r="J88" i="39"/>
  <c r="O49" i="39"/>
  <c r="AB49" i="39" s="1"/>
  <c r="L66" i="39"/>
  <c r="U14" i="78" s="1"/>
  <c r="R65" i="39"/>
  <c r="AE65" i="39" s="1"/>
  <c r="AE66" i="39" s="1"/>
  <c r="N90" i="39"/>
  <c r="N66" i="39"/>
  <c r="W14" i="78" s="1"/>
  <c r="K35" i="39"/>
  <c r="T9" i="78" s="1"/>
  <c r="Q34" i="39"/>
  <c r="AD34" i="39" s="1"/>
  <c r="L90" i="39"/>
  <c r="C100" i="39"/>
  <c r="I88" i="39"/>
  <c r="H100" i="39"/>
  <c r="N88" i="39"/>
  <c r="J90" i="39"/>
  <c r="Q18" i="39"/>
  <c r="AD18" i="39" s="1"/>
  <c r="F50" i="39"/>
  <c r="F100" i="39"/>
  <c r="L88" i="39"/>
  <c r="M35" i="39"/>
  <c r="V9" i="78" s="1"/>
  <c r="S34" i="39"/>
  <c r="AF34" i="39" s="1"/>
  <c r="E88" i="39"/>
  <c r="K40" i="39"/>
  <c r="N18" i="39"/>
  <c r="G100" i="39"/>
  <c r="M88" i="39"/>
  <c r="M90" i="39"/>
  <c r="J18" i="39"/>
  <c r="K89" i="39"/>
  <c r="X89" i="39" s="1"/>
  <c r="AF35" i="39" l="1"/>
  <c r="BS17" i="53"/>
  <c r="BV17" i="53"/>
  <c r="AW13" i="85" s="1"/>
  <c r="BR17" i="53"/>
  <c r="BL17" i="53"/>
  <c r="AT7" i="85" s="1"/>
  <c r="M19" i="83"/>
  <c r="BM17" i="53"/>
  <c r="AU7" i="85" s="1"/>
  <c r="BU17" i="53"/>
  <c r="AV13" i="85" s="1"/>
  <c r="BT17" i="53"/>
  <c r="AE35" i="39"/>
  <c r="AG35" i="39"/>
  <c r="O12" i="78"/>
  <c r="O12" i="83"/>
  <c r="AS13" i="85"/>
  <c r="N20" i="83"/>
  <c r="N19" i="83"/>
  <c r="U5" i="83"/>
  <c r="Y19" i="39"/>
  <c r="U6" i="83" s="1"/>
  <c r="Z19" i="39"/>
  <c r="V6" i="83" s="1"/>
  <c r="V5" i="83"/>
  <c r="T15" i="83"/>
  <c r="X82" i="39"/>
  <c r="T16" i="83" s="1"/>
  <c r="Y82" i="39"/>
  <c r="U16" i="83" s="1"/>
  <c r="AF19" i="39"/>
  <c r="AU13" i="85"/>
  <c r="N11" i="78"/>
  <c r="N11" i="83"/>
  <c r="O11" i="78"/>
  <c r="O11" i="83"/>
  <c r="AE19" i="39"/>
  <c r="AF66" i="39"/>
  <c r="AT13" i="85"/>
  <c r="T5" i="83"/>
  <c r="O19" i="83"/>
  <c r="N12" i="78"/>
  <c r="N12" i="83"/>
  <c r="AP31" i="67"/>
  <c r="M58" i="49"/>
  <c r="AP31" i="85" s="1"/>
  <c r="AP39" i="67"/>
  <c r="M72" i="49"/>
  <c r="AP39" i="85" s="1"/>
  <c r="AT31" i="67"/>
  <c r="CN17" i="53"/>
  <c r="AT31" i="85" s="1"/>
  <c r="Y17" i="73"/>
  <c r="BS17" i="73" s="1"/>
  <c r="BX17" i="53"/>
  <c r="Y78" i="67"/>
  <c r="CJ11" i="53"/>
  <c r="Y78" i="85" s="1"/>
  <c r="AA78" i="85" s="1"/>
  <c r="W102" i="67"/>
  <c r="CO11" i="53"/>
  <c r="W102" i="85" s="1"/>
  <c r="X102" i="67"/>
  <c r="CP11" i="53"/>
  <c r="X102" i="85" s="1"/>
  <c r="AV7" i="67"/>
  <c r="BN17" i="53"/>
  <c r="Y94" i="67"/>
  <c r="CJ89" i="53"/>
  <c r="Y94" i="85" s="1"/>
  <c r="AA94" i="85" s="1"/>
  <c r="BC89" i="53"/>
  <c r="DE89" i="53" s="1"/>
  <c r="DE17" i="53"/>
  <c r="X118" i="67"/>
  <c r="CP89" i="53"/>
  <c r="X118" i="85" s="1"/>
  <c r="W118" i="67"/>
  <c r="CO89" i="53"/>
  <c r="W118" i="85" s="1"/>
  <c r="S90" i="39"/>
  <c r="AF90" i="39" s="1"/>
  <c r="Z90" i="39"/>
  <c r="R88" i="39"/>
  <c r="AE88" i="39" s="1"/>
  <c r="Y88" i="39"/>
  <c r="O93" i="39"/>
  <c r="AB93" i="39" s="1"/>
  <c r="V93" i="39"/>
  <c r="S88" i="39"/>
  <c r="AF88" i="39" s="1"/>
  <c r="Z88" i="39"/>
  <c r="T88" i="39"/>
  <c r="AG88" i="39" s="1"/>
  <c r="AA88" i="39"/>
  <c r="R90" i="39"/>
  <c r="AE90" i="39" s="1"/>
  <c r="Y90" i="39"/>
  <c r="T90" i="39"/>
  <c r="AG90" i="39" s="1"/>
  <c r="AA90" i="39"/>
  <c r="P88" i="39"/>
  <c r="AC88" i="39" s="1"/>
  <c r="W88" i="39"/>
  <c r="S10" i="78"/>
  <c r="W49" i="39"/>
  <c r="T82" i="39"/>
  <c r="AG81" i="39"/>
  <c r="AG82" i="39" s="1"/>
  <c r="P35" i="39"/>
  <c r="AC34" i="39"/>
  <c r="AC35" i="39" s="1"/>
  <c r="Q40" i="39"/>
  <c r="AD40" i="39" s="1"/>
  <c r="X40" i="39"/>
  <c r="R82" i="39"/>
  <c r="AD81" i="39"/>
  <c r="P66" i="39"/>
  <c r="AC65" i="39"/>
  <c r="AC66" i="39" s="1"/>
  <c r="P82" i="39"/>
  <c r="AC81" i="39"/>
  <c r="AC82" i="39" s="1"/>
  <c r="O96" i="39"/>
  <c r="AB96" i="39" s="1"/>
  <c r="V96" i="39"/>
  <c r="P90" i="39"/>
  <c r="AC90" i="39" s="1"/>
  <c r="W90" i="39"/>
  <c r="S5" i="78"/>
  <c r="W18" i="39"/>
  <c r="W5" i="78"/>
  <c r="AA18" i="39"/>
  <c r="O88" i="39"/>
  <c r="AB88" i="39" s="1"/>
  <c r="V88" i="39"/>
  <c r="R17" i="53"/>
  <c r="Q17" i="53"/>
  <c r="BW17" i="53" s="1"/>
  <c r="AP17" i="53"/>
  <c r="AO17" i="53"/>
  <c r="CR17" i="53" s="1"/>
  <c r="AH17" i="53"/>
  <c r="AG17" i="53"/>
  <c r="CK17" i="53" s="1"/>
  <c r="G17" i="73"/>
  <c r="AT7" i="67"/>
  <c r="Q17" i="73"/>
  <c r="BO17" i="73" s="1"/>
  <c r="AT13" i="67"/>
  <c r="AE89" i="53"/>
  <c r="AV25" i="67"/>
  <c r="AW17" i="73"/>
  <c r="AS31" i="67"/>
  <c r="BD17" i="73"/>
  <c r="CJ17" i="73" s="1"/>
  <c r="AW31" i="67"/>
  <c r="U17" i="73"/>
  <c r="BQ17" i="73" s="1"/>
  <c r="AV13" i="67"/>
  <c r="X17" i="73"/>
  <c r="AW13" i="67"/>
  <c r="I17" i="73"/>
  <c r="AU7" i="67"/>
  <c r="AO17" i="73"/>
  <c r="CB17" i="73" s="1"/>
  <c r="AU25" i="67"/>
  <c r="S17" i="73"/>
  <c r="BP17" i="73" s="1"/>
  <c r="AU13" i="67"/>
  <c r="AK17" i="73"/>
  <c r="BZ17" i="73" s="1"/>
  <c r="AS25" i="67"/>
  <c r="AN17" i="73"/>
  <c r="AT25" i="67"/>
  <c r="O17" i="73"/>
  <c r="BN17" i="73" s="1"/>
  <c r="AS13" i="67"/>
  <c r="AT11" i="73"/>
  <c r="BE17" i="73"/>
  <c r="M20" i="78"/>
  <c r="N20" i="78"/>
  <c r="J93" i="39"/>
  <c r="T17" i="73"/>
  <c r="W17" i="73"/>
  <c r="BR17" i="73" s="1"/>
  <c r="P17" i="73"/>
  <c r="N19" i="78"/>
  <c r="AC11" i="53"/>
  <c r="AM17" i="73"/>
  <c r="CA17" i="73" s="1"/>
  <c r="AD89" i="53"/>
  <c r="AP17" i="73"/>
  <c r="M19" i="78"/>
  <c r="AN11" i="53"/>
  <c r="AJ89" i="53"/>
  <c r="CM89" i="53" s="1"/>
  <c r="U118" i="85" s="1"/>
  <c r="Z118" i="85" s="1"/>
  <c r="AC89" i="53"/>
  <c r="AE11" i="53"/>
  <c r="AB89" i="53"/>
  <c r="CF89" i="53" s="1"/>
  <c r="U94" i="85" s="1"/>
  <c r="Z94" i="85" s="1"/>
  <c r="AQ17" i="73"/>
  <c r="CC17" i="73" s="1"/>
  <c r="H17" i="73"/>
  <c r="BJ17" i="73" s="1"/>
  <c r="AR17" i="73"/>
  <c r="AN89" i="53"/>
  <c r="AD11" i="53"/>
  <c r="AW17" i="53"/>
  <c r="AJ11" i="53"/>
  <c r="CM11" i="53" s="1"/>
  <c r="U102" i="85" s="1"/>
  <c r="AB11" i="53"/>
  <c r="CF11" i="53" s="1"/>
  <c r="U78" i="85" s="1"/>
  <c r="F17" i="73"/>
  <c r="BI17" i="73" s="1"/>
  <c r="R17" i="73"/>
  <c r="AU89" i="73"/>
  <c r="CE89" i="73" s="1"/>
  <c r="T118" i="67"/>
  <c r="AL17" i="73"/>
  <c r="V17" i="73"/>
  <c r="AV17" i="73"/>
  <c r="CF17" i="73" s="1"/>
  <c r="AT89" i="73"/>
  <c r="T94" i="67"/>
  <c r="AA94" i="67" s="1"/>
  <c r="O19" i="78"/>
  <c r="O20" i="78"/>
  <c r="BG17" i="53"/>
  <c r="AJ11" i="73"/>
  <c r="BY11" i="73" s="1"/>
  <c r="T78" i="67"/>
  <c r="AU11" i="73"/>
  <c r="CE11" i="73" s="1"/>
  <c r="T102" i="67"/>
  <c r="BF17" i="53"/>
  <c r="K17" i="73"/>
  <c r="J17" i="73"/>
  <c r="BK17" i="73" s="1"/>
  <c r="J19" i="39"/>
  <c r="S6" i="78" s="1"/>
  <c r="H17" i="53"/>
  <c r="AS11" i="73"/>
  <c r="CD11" i="73" s="1"/>
  <c r="AJ89" i="73"/>
  <c r="BY89" i="73" s="1"/>
  <c r="AS89" i="73"/>
  <c r="CD89" i="73" s="1"/>
  <c r="AK11" i="53"/>
  <c r="CN11" i="53" s="1"/>
  <c r="V102" i="85" s="1"/>
  <c r="AY17" i="73"/>
  <c r="AX17" i="73"/>
  <c r="CG17" i="73" s="1"/>
  <c r="BC11" i="73"/>
  <c r="AZ11" i="73"/>
  <c r="CH11" i="73" s="1"/>
  <c r="BA89" i="73"/>
  <c r="BB89" i="73"/>
  <c r="CI89" i="73" s="1"/>
  <c r="BB11" i="73"/>
  <c r="CI11" i="73" s="1"/>
  <c r="BA11" i="73"/>
  <c r="AZ89" i="73"/>
  <c r="CH89" i="73" s="1"/>
  <c r="BC89" i="73"/>
  <c r="J96" i="39"/>
  <c r="AK89" i="53"/>
  <c r="BC11" i="53"/>
  <c r="DE11" i="53" s="1"/>
  <c r="BE17" i="53"/>
  <c r="T17" i="53"/>
  <c r="J50" i="39"/>
  <c r="S11" i="78" s="1"/>
  <c r="F96" i="39"/>
  <c r="L49" i="39"/>
  <c r="Y49" i="39" s="1"/>
  <c r="R66" i="39"/>
  <c r="Q35" i="39"/>
  <c r="G89" i="39"/>
  <c r="G93" i="39" s="1"/>
  <c r="G49" i="39"/>
  <c r="P10" i="83" s="1"/>
  <c r="P18" i="83" s="1"/>
  <c r="K19" i="39"/>
  <c r="T6" i="78" s="1"/>
  <c r="D17" i="53"/>
  <c r="L89" i="39"/>
  <c r="Q66" i="39"/>
  <c r="Q82" i="39"/>
  <c r="S35" i="39"/>
  <c r="J100" i="39"/>
  <c r="W100" i="39" s="1"/>
  <c r="S19" i="39"/>
  <c r="Q89" i="39"/>
  <c r="AD89" i="39" s="1"/>
  <c r="E100" i="39"/>
  <c r="K88" i="39"/>
  <c r="N100" i="39"/>
  <c r="AA100" i="39" s="1"/>
  <c r="P89" i="39"/>
  <c r="AC89" i="39" s="1"/>
  <c r="S66" i="39"/>
  <c r="P49" i="39"/>
  <c r="R19" i="39"/>
  <c r="M100" i="39"/>
  <c r="Z100" i="39" s="1"/>
  <c r="L100" i="39"/>
  <c r="Y100" i="39" s="1"/>
  <c r="T66" i="39"/>
  <c r="T35" i="39"/>
  <c r="P18" i="39"/>
  <c r="N19" i="39"/>
  <c r="W6" i="78" s="1"/>
  <c r="T18" i="39"/>
  <c r="I100" i="39"/>
  <c r="V100" i="39" s="1"/>
  <c r="K90" i="39"/>
  <c r="K49" i="39"/>
  <c r="X49" i="39" s="1"/>
  <c r="R35" i="39"/>
  <c r="BO17" i="53" l="1"/>
  <c r="AW7" i="85" s="1"/>
  <c r="BK17" i="53"/>
  <c r="BY17" i="53"/>
  <c r="AS19" i="85" s="1"/>
  <c r="AS7" i="85"/>
  <c r="P20" i="83"/>
  <c r="P19" i="83"/>
  <c r="Z102" i="85"/>
  <c r="AD82" i="39"/>
  <c r="AE82" i="39"/>
  <c r="S10" i="83"/>
  <c r="W50" i="39"/>
  <c r="S11" i="83" s="1"/>
  <c r="AD66" i="39"/>
  <c r="U18" i="83"/>
  <c r="X50" i="39"/>
  <c r="T11" i="83" s="1"/>
  <c r="T10" i="83"/>
  <c r="T18" i="83" s="1"/>
  <c r="T20" i="83" s="1"/>
  <c r="S5" i="83"/>
  <c r="W19" i="39"/>
  <c r="S6" i="83" s="1"/>
  <c r="Z78" i="85"/>
  <c r="AV7" i="85"/>
  <c r="AD35" i="39"/>
  <c r="U10" i="83"/>
  <c r="Y50" i="39"/>
  <c r="U11" i="83" s="1"/>
  <c r="AA19" i="39"/>
  <c r="W6" i="83" s="1"/>
  <c r="W5" i="83"/>
  <c r="X19" i="39"/>
  <c r="T6" i="83" s="1"/>
  <c r="BF89" i="53"/>
  <c r="DH89" i="53" s="1"/>
  <c r="DH17" i="53"/>
  <c r="W94" i="67"/>
  <c r="CH89" i="53"/>
  <c r="W94" i="85" s="1"/>
  <c r="X94" i="67"/>
  <c r="CI89" i="53"/>
  <c r="X94" i="85" s="1"/>
  <c r="AW11" i="53"/>
  <c r="CY11" i="53" s="1"/>
  <c r="CY17" i="53"/>
  <c r="V118" i="67"/>
  <c r="CN89" i="53"/>
  <c r="V118" i="85" s="1"/>
  <c r="Y118" i="67"/>
  <c r="CQ89" i="53"/>
  <c r="Y118" i="85" s="1"/>
  <c r="AA118" i="85" s="1"/>
  <c r="BE89" i="53"/>
  <c r="DG89" i="53" s="1"/>
  <c r="DG17" i="53"/>
  <c r="X78" i="67"/>
  <c r="CI11" i="53"/>
  <c r="X78" i="85" s="1"/>
  <c r="V78" i="67"/>
  <c r="CG11" i="53"/>
  <c r="V78" i="85" s="1"/>
  <c r="V94" i="67"/>
  <c r="CG89" i="53"/>
  <c r="V94" i="85" s="1"/>
  <c r="W78" i="67"/>
  <c r="CH11" i="53"/>
  <c r="W78" i="85" s="1"/>
  <c r="BG11" i="53"/>
  <c r="DI11" i="53" s="1"/>
  <c r="DI17" i="53"/>
  <c r="Y102" i="67"/>
  <c r="AA102" i="67" s="1"/>
  <c r="CQ11" i="53"/>
  <c r="Y102" i="85" s="1"/>
  <c r="S18" i="78"/>
  <c r="S19" i="78" s="1"/>
  <c r="P19" i="39"/>
  <c r="AC18" i="39"/>
  <c r="Q88" i="39"/>
  <c r="AD88" i="39" s="1"/>
  <c r="X88" i="39"/>
  <c r="L93" i="39"/>
  <c r="Y93" i="39" s="1"/>
  <c r="Y89" i="39"/>
  <c r="Q90" i="39"/>
  <c r="AD90" i="39" s="1"/>
  <c r="X90" i="39"/>
  <c r="P96" i="39"/>
  <c r="AC96" i="39" s="1"/>
  <c r="W96" i="39"/>
  <c r="T19" i="39"/>
  <c r="AG18" i="39"/>
  <c r="AG19" i="39" s="1"/>
  <c r="P50" i="39"/>
  <c r="AC49" i="39"/>
  <c r="AC50" i="39" s="1"/>
  <c r="P93" i="39"/>
  <c r="AC93" i="39" s="1"/>
  <c r="W93" i="39"/>
  <c r="AR89" i="73"/>
  <c r="AQ89" i="73"/>
  <c r="CC89" i="73" s="1"/>
  <c r="AS19" i="67"/>
  <c r="Z17" i="53"/>
  <c r="Y17" i="53"/>
  <c r="CD17" i="53" s="1"/>
  <c r="AS7" i="67"/>
  <c r="I17" i="53"/>
  <c r="BP17" i="53" s="1"/>
  <c r="J17" i="53"/>
  <c r="U118" i="67"/>
  <c r="Z118" i="67" s="1"/>
  <c r="AP89" i="53"/>
  <c r="AO89" i="53"/>
  <c r="CR89" i="53" s="1"/>
  <c r="U78" i="67"/>
  <c r="Z78" i="67" s="1"/>
  <c r="AH11" i="53"/>
  <c r="AG11" i="53"/>
  <c r="CK11" i="53" s="1"/>
  <c r="U102" i="67"/>
  <c r="Z102" i="67" s="1"/>
  <c r="AP11" i="53"/>
  <c r="AO11" i="53"/>
  <c r="CR11" i="53" s="1"/>
  <c r="U94" i="67"/>
  <c r="Z94" i="67" s="1"/>
  <c r="AH89" i="53"/>
  <c r="AG89" i="53"/>
  <c r="CK89" i="53" s="1"/>
  <c r="BH17" i="53"/>
  <c r="AW7" i="67"/>
  <c r="AV89" i="73"/>
  <c r="CF89" i="73" s="1"/>
  <c r="K93" i="39"/>
  <c r="AL89" i="73"/>
  <c r="AN11" i="73"/>
  <c r="AM11" i="73"/>
  <c r="CA11" i="73" s="1"/>
  <c r="AA118" i="67"/>
  <c r="AQ11" i="73"/>
  <c r="CC11" i="73" s="1"/>
  <c r="AR11" i="73"/>
  <c r="AO89" i="73"/>
  <c r="CB89" i="73" s="1"/>
  <c r="AP89" i="73"/>
  <c r="AM89" i="73"/>
  <c r="CA89" i="73" s="1"/>
  <c r="AN89" i="73"/>
  <c r="BE11" i="73"/>
  <c r="BD11" i="73"/>
  <c r="CJ11" i="73" s="1"/>
  <c r="AW89" i="73"/>
  <c r="BG89" i="53"/>
  <c r="DI89" i="53" s="1"/>
  <c r="AL11" i="73"/>
  <c r="AK11" i="73"/>
  <c r="BZ11" i="73" s="1"/>
  <c r="AK89" i="73"/>
  <c r="BZ89" i="73" s="1"/>
  <c r="M17" i="73"/>
  <c r="AW89" i="53"/>
  <c r="CY89" i="53" s="1"/>
  <c r="L17" i="73"/>
  <c r="BL17" i="73" s="1"/>
  <c r="AP11" i="73"/>
  <c r="AO11" i="73"/>
  <c r="CB11" i="73" s="1"/>
  <c r="BE89" i="73"/>
  <c r="AV11" i="73"/>
  <c r="CF11" i="73" s="1"/>
  <c r="BD89" i="73"/>
  <c r="CJ89" i="73" s="1"/>
  <c r="V17" i="53"/>
  <c r="U10" i="78"/>
  <c r="U18" i="78" s="1"/>
  <c r="BF11" i="53"/>
  <c r="DH11" i="53" s="1"/>
  <c r="G51" i="39"/>
  <c r="P10" i="78"/>
  <c r="P18" i="78" s="1"/>
  <c r="U17" i="53"/>
  <c r="T10" i="78"/>
  <c r="T18" i="78" s="1"/>
  <c r="L96" i="39"/>
  <c r="AW11" i="73"/>
  <c r="AA78" i="67"/>
  <c r="AY11" i="73"/>
  <c r="V102" i="67"/>
  <c r="AX11" i="73"/>
  <c r="CG11" i="73" s="1"/>
  <c r="Z17" i="73"/>
  <c r="BT17" i="73" s="1"/>
  <c r="AA17" i="73"/>
  <c r="AY89" i="73"/>
  <c r="AX89" i="73"/>
  <c r="CG89" i="73" s="1"/>
  <c r="BE11" i="53"/>
  <c r="DG11" i="53" s="1"/>
  <c r="K96" i="39"/>
  <c r="R49" i="39"/>
  <c r="AE49" i="39" s="1"/>
  <c r="G96" i="39"/>
  <c r="R89" i="39"/>
  <c r="AE89" i="39" s="1"/>
  <c r="BD17" i="53"/>
  <c r="DF17" i="53" s="1"/>
  <c r="AX17" i="53"/>
  <c r="CZ17" i="53" s="1"/>
  <c r="E17" i="73"/>
  <c r="D17" i="73"/>
  <c r="BH17" i="73" s="1"/>
  <c r="H89" i="39"/>
  <c r="H93" i="39" s="1"/>
  <c r="H49" i="39"/>
  <c r="Q10" i="83" s="1"/>
  <c r="Q18" i="83" s="1"/>
  <c r="G50" i="39"/>
  <c r="M89" i="39"/>
  <c r="M49" i="39"/>
  <c r="K50" i="39"/>
  <c r="T11" i="78" s="1"/>
  <c r="Q49" i="39"/>
  <c r="L50" i="39"/>
  <c r="U11" i="78" s="1"/>
  <c r="Q19" i="39"/>
  <c r="K100" i="39"/>
  <c r="X100" i="39" s="1"/>
  <c r="BZ17" i="53" l="1"/>
  <c r="CA17" i="53"/>
  <c r="S18" i="83"/>
  <c r="S20" i="83" s="1"/>
  <c r="AU19" i="85"/>
  <c r="AC19" i="39"/>
  <c r="AD19" i="39"/>
  <c r="AT19" i="85"/>
  <c r="U19" i="83"/>
  <c r="U20" i="83"/>
  <c r="P11" i="78"/>
  <c r="P11" i="83"/>
  <c r="AA102" i="85"/>
  <c r="P12" i="78"/>
  <c r="P12" i="83"/>
  <c r="Q19" i="83"/>
  <c r="Q20" i="83"/>
  <c r="S20" i="78"/>
  <c r="R93" i="39"/>
  <c r="AE93" i="39" s="1"/>
  <c r="BH11" i="53"/>
  <c r="DJ11" i="53" s="1"/>
  <c r="DJ17" i="53"/>
  <c r="Q93" i="39"/>
  <c r="AD93" i="39" s="1"/>
  <c r="X93" i="39"/>
  <c r="V10" i="78"/>
  <c r="V18" i="78" s="1"/>
  <c r="V19" i="78" s="1"/>
  <c r="Z49" i="39"/>
  <c r="Q96" i="39"/>
  <c r="AD96" i="39" s="1"/>
  <c r="X96" i="39"/>
  <c r="M93" i="39"/>
  <c r="Z93" i="39" s="1"/>
  <c r="Z89" i="39"/>
  <c r="R96" i="39"/>
  <c r="AE96" i="39" s="1"/>
  <c r="Y96" i="39"/>
  <c r="Q50" i="39"/>
  <c r="AD49" i="39"/>
  <c r="AD50" i="39" s="1"/>
  <c r="BH89" i="53"/>
  <c r="DJ89" i="53" s="1"/>
  <c r="AZ17" i="53"/>
  <c r="AU19" i="67"/>
  <c r="AY17" i="53"/>
  <c r="AT19" i="67"/>
  <c r="AE17" i="73"/>
  <c r="AB17" i="73"/>
  <c r="BU17" i="73" s="1"/>
  <c r="AD17" i="73"/>
  <c r="BV17" i="73" s="1"/>
  <c r="H51" i="39"/>
  <c r="Q10" i="78"/>
  <c r="Q18" i="78" s="1"/>
  <c r="P19" i="78"/>
  <c r="P20" i="78"/>
  <c r="M96" i="39"/>
  <c r="AC17" i="73"/>
  <c r="T20" i="78"/>
  <c r="T19" i="78"/>
  <c r="U20" i="78"/>
  <c r="U19" i="78"/>
  <c r="H96" i="39"/>
  <c r="BD11" i="53"/>
  <c r="DF11" i="53" s="1"/>
  <c r="BD89" i="53"/>
  <c r="DF89" i="53" s="1"/>
  <c r="AX11" i="53"/>
  <c r="CZ11" i="53" s="1"/>
  <c r="H50" i="39"/>
  <c r="S89" i="39"/>
  <c r="AF89" i="39" s="1"/>
  <c r="W17" i="53"/>
  <c r="S49" i="39"/>
  <c r="M50" i="39"/>
  <c r="V11" i="78" s="1"/>
  <c r="N49" i="39"/>
  <c r="N89" i="39"/>
  <c r="R50" i="39"/>
  <c r="T19" i="83" l="1"/>
  <c r="S19" i="83"/>
  <c r="V10" i="83"/>
  <c r="V18" i="83" s="1"/>
  <c r="Z50" i="39"/>
  <c r="V11" i="83" s="1"/>
  <c r="Q12" i="78"/>
  <c r="Q12" i="83"/>
  <c r="Q11" i="78"/>
  <c r="Q11" i="83"/>
  <c r="AE50" i="39"/>
  <c r="V20" i="78"/>
  <c r="AV19" i="67"/>
  <c r="CB17" i="53"/>
  <c r="AZ11" i="53"/>
  <c r="DB11" i="53" s="1"/>
  <c r="DB17" i="53"/>
  <c r="AY11" i="53"/>
  <c r="DA11" i="53" s="1"/>
  <c r="DA17" i="53"/>
  <c r="S93" i="39"/>
  <c r="AF93" i="39" s="1"/>
  <c r="W10" i="78"/>
  <c r="W18" i="78" s="1"/>
  <c r="W20" i="78" s="1"/>
  <c r="AA49" i="39"/>
  <c r="N93" i="39"/>
  <c r="AA93" i="39" s="1"/>
  <c r="AA89" i="39"/>
  <c r="S50" i="39"/>
  <c r="AF49" i="39"/>
  <c r="AF50" i="39" s="1"/>
  <c r="S96" i="39"/>
  <c r="AF96" i="39" s="1"/>
  <c r="Z96" i="39"/>
  <c r="Q19" i="78"/>
  <c r="Q20" i="78"/>
  <c r="BA17" i="53"/>
  <c r="AF17" i="73"/>
  <c r="BW17" i="73" s="1"/>
  <c r="AG17" i="73"/>
  <c r="N96" i="39"/>
  <c r="T89" i="39"/>
  <c r="AG89" i="39" s="1"/>
  <c r="X17" i="53"/>
  <c r="T49" i="39"/>
  <c r="N50" i="39"/>
  <c r="W11" i="78" s="1"/>
  <c r="AM29" i="51"/>
  <c r="CD29" i="51" s="1"/>
  <c r="AL29" i="51"/>
  <c r="CC29" i="51" s="1"/>
  <c r="AK29" i="51"/>
  <c r="CB29" i="51" s="1"/>
  <c r="AJ29" i="51"/>
  <c r="CA29" i="51" s="1"/>
  <c r="AI29" i="51"/>
  <c r="BZ29" i="51" s="1"/>
  <c r="AH29" i="51"/>
  <c r="AM21" i="51"/>
  <c r="CD21" i="51" s="1"/>
  <c r="AL21" i="51"/>
  <c r="CC21" i="51" s="1"/>
  <c r="AK21" i="51"/>
  <c r="CB21" i="51" s="1"/>
  <c r="AJ21" i="51"/>
  <c r="CA21" i="51" s="1"/>
  <c r="AI21" i="51"/>
  <c r="BZ21" i="51" s="1"/>
  <c r="AH21" i="51"/>
  <c r="AM48" i="51"/>
  <c r="CD48" i="51" s="1"/>
  <c r="AL48" i="51"/>
  <c r="CC48" i="51" s="1"/>
  <c r="AK48" i="51"/>
  <c r="CB48" i="51" s="1"/>
  <c r="AJ48" i="51"/>
  <c r="CA48" i="51" s="1"/>
  <c r="AI48" i="51"/>
  <c r="BZ48" i="51" s="1"/>
  <c r="AH48" i="51"/>
  <c r="AM46" i="51"/>
  <c r="CD46" i="51" s="1"/>
  <c r="AL46" i="51"/>
  <c r="CC46" i="51" s="1"/>
  <c r="AK46" i="51"/>
  <c r="CB46" i="51" s="1"/>
  <c r="AJ46" i="51"/>
  <c r="CA46" i="51" s="1"/>
  <c r="AI46" i="51"/>
  <c r="BZ46" i="51" s="1"/>
  <c r="AH46" i="51"/>
  <c r="AM47" i="51"/>
  <c r="CD47" i="51" s="1"/>
  <c r="AL47" i="51"/>
  <c r="CC47" i="51" s="1"/>
  <c r="AK47" i="51"/>
  <c r="CB47" i="51" s="1"/>
  <c r="AJ47" i="51"/>
  <c r="CA47" i="51" s="1"/>
  <c r="AI47" i="51"/>
  <c r="BZ47" i="51" s="1"/>
  <c r="AH47" i="51"/>
  <c r="AM20" i="51"/>
  <c r="CD20" i="51" s="1"/>
  <c r="AL20" i="51"/>
  <c r="CC20" i="51" s="1"/>
  <c r="AK20" i="51"/>
  <c r="CB20" i="51" s="1"/>
  <c r="AJ20" i="51"/>
  <c r="CA20" i="51" s="1"/>
  <c r="AI20" i="51"/>
  <c r="BZ20" i="51" s="1"/>
  <c r="AH20" i="51"/>
  <c r="AM28" i="51"/>
  <c r="CD28" i="51" s="1"/>
  <c r="AL28" i="51"/>
  <c r="CC28" i="51" s="1"/>
  <c r="AK28" i="51"/>
  <c r="CB28" i="51" s="1"/>
  <c r="AJ28" i="51"/>
  <c r="CA28" i="51" s="1"/>
  <c r="AI28" i="51"/>
  <c r="BZ28" i="51" s="1"/>
  <c r="AH28" i="51"/>
  <c r="AM58" i="51"/>
  <c r="CD58" i="51" s="1"/>
  <c r="AL58" i="51"/>
  <c r="CC58" i="51" s="1"/>
  <c r="AK58" i="51"/>
  <c r="CB58" i="51" s="1"/>
  <c r="AJ58" i="51"/>
  <c r="CA58" i="51" s="1"/>
  <c r="AI58" i="51"/>
  <c r="BZ58" i="51" s="1"/>
  <c r="AH58" i="51"/>
  <c r="AK26" i="51"/>
  <c r="CB26" i="51" s="1"/>
  <c r="AL27" i="51"/>
  <c r="CC27" i="51" s="1"/>
  <c r="AH27" i="51"/>
  <c r="AM23" i="51"/>
  <c r="AL23" i="51"/>
  <c r="AK23" i="51"/>
  <c r="AJ23" i="51"/>
  <c r="AI23" i="51"/>
  <c r="AH23" i="51"/>
  <c r="AK39" i="51"/>
  <c r="CB39" i="51" s="1"/>
  <c r="AM17" i="51"/>
  <c r="AL17" i="51"/>
  <c r="AK17" i="51"/>
  <c r="AJ17" i="51"/>
  <c r="AI17" i="51"/>
  <c r="AH17" i="51"/>
  <c r="AM38" i="51"/>
  <c r="CD38" i="51" s="1"/>
  <c r="AL38" i="51"/>
  <c r="CC38" i="51" s="1"/>
  <c r="AK38" i="51"/>
  <c r="CB38" i="51" s="1"/>
  <c r="AJ38" i="51"/>
  <c r="CA38" i="51" s="1"/>
  <c r="AI38" i="51"/>
  <c r="BZ38" i="51" s="1"/>
  <c r="AH38" i="51"/>
  <c r="AM36" i="51"/>
  <c r="CD36" i="51" s="1"/>
  <c r="AL36" i="51"/>
  <c r="CC36" i="51" s="1"/>
  <c r="AK36" i="51"/>
  <c r="CB36" i="51" s="1"/>
  <c r="AJ36" i="51"/>
  <c r="CA36" i="51" s="1"/>
  <c r="AI36" i="51"/>
  <c r="BZ36" i="51" s="1"/>
  <c r="AH36" i="51"/>
  <c r="AM35" i="51"/>
  <c r="CD35" i="51" s="1"/>
  <c r="AL35" i="51"/>
  <c r="CC35" i="51" s="1"/>
  <c r="AK35" i="51"/>
  <c r="CB35" i="51" s="1"/>
  <c r="AJ35" i="51"/>
  <c r="CA35" i="51" s="1"/>
  <c r="AI35" i="51"/>
  <c r="BZ35" i="51" s="1"/>
  <c r="AH35" i="51"/>
  <c r="AF29" i="51"/>
  <c r="BW29" i="51" s="1"/>
  <c r="AE29" i="51"/>
  <c r="BV29" i="51" s="1"/>
  <c r="AD29" i="51"/>
  <c r="BU29" i="51" s="1"/>
  <c r="AC29" i="51"/>
  <c r="BT29" i="51" s="1"/>
  <c r="AB29" i="51"/>
  <c r="BS29" i="51" s="1"/>
  <c r="AA29" i="51"/>
  <c r="AF21" i="51"/>
  <c r="BW21" i="51" s="1"/>
  <c r="AE21" i="51"/>
  <c r="BV21" i="51" s="1"/>
  <c r="AD21" i="51"/>
  <c r="BU21" i="51" s="1"/>
  <c r="AC21" i="51"/>
  <c r="BT21" i="51" s="1"/>
  <c r="AB21" i="51"/>
  <c r="BS21" i="51" s="1"/>
  <c r="AA21" i="51"/>
  <c r="AF48" i="51"/>
  <c r="BW48" i="51" s="1"/>
  <c r="AE48" i="51"/>
  <c r="BV48" i="51" s="1"/>
  <c r="AD48" i="51"/>
  <c r="BU48" i="51" s="1"/>
  <c r="AC48" i="51"/>
  <c r="BT48" i="51" s="1"/>
  <c r="AB48" i="51"/>
  <c r="BS48" i="51" s="1"/>
  <c r="AA48" i="51"/>
  <c r="AF46" i="51"/>
  <c r="BW46" i="51" s="1"/>
  <c r="AE46" i="51"/>
  <c r="BV46" i="51" s="1"/>
  <c r="AD46" i="51"/>
  <c r="BU46" i="51" s="1"/>
  <c r="AC46" i="51"/>
  <c r="BT46" i="51" s="1"/>
  <c r="AB46" i="51"/>
  <c r="BS46" i="51" s="1"/>
  <c r="AA46" i="51"/>
  <c r="AF47" i="51"/>
  <c r="BW47" i="51" s="1"/>
  <c r="AE47" i="51"/>
  <c r="BV47" i="51" s="1"/>
  <c r="AD47" i="51"/>
  <c r="BU47" i="51" s="1"/>
  <c r="AC47" i="51"/>
  <c r="BT47" i="51" s="1"/>
  <c r="AB47" i="51"/>
  <c r="BS47" i="51" s="1"/>
  <c r="AA47" i="51"/>
  <c r="AF20" i="51"/>
  <c r="BW20" i="51" s="1"/>
  <c r="AE20" i="51"/>
  <c r="BV20" i="51" s="1"/>
  <c r="AD20" i="51"/>
  <c r="BU20" i="51" s="1"/>
  <c r="AC20" i="51"/>
  <c r="BT20" i="51" s="1"/>
  <c r="AB20" i="51"/>
  <c r="BS20" i="51" s="1"/>
  <c r="AA20" i="51"/>
  <c r="AF28" i="51"/>
  <c r="BW28" i="51" s="1"/>
  <c r="AE28" i="51"/>
  <c r="BV28" i="51" s="1"/>
  <c r="AD28" i="51"/>
  <c r="BU28" i="51" s="1"/>
  <c r="AC28" i="51"/>
  <c r="BT28" i="51" s="1"/>
  <c r="AB28" i="51"/>
  <c r="BS28" i="51" s="1"/>
  <c r="AA28" i="51"/>
  <c r="BR28" i="51" s="1"/>
  <c r="AF58" i="51"/>
  <c r="BW58" i="51" s="1"/>
  <c r="AE58" i="51"/>
  <c r="BV58" i="51" s="1"/>
  <c r="AD58" i="51"/>
  <c r="BU58" i="51" s="1"/>
  <c r="AC58" i="51"/>
  <c r="BT58" i="51" s="1"/>
  <c r="AB58" i="51"/>
  <c r="BS58" i="51" s="1"/>
  <c r="AA58" i="51"/>
  <c r="BR58" i="51" s="1"/>
  <c r="AA26" i="51"/>
  <c r="BR26" i="51" s="1"/>
  <c r="AF27" i="51"/>
  <c r="BW27" i="51" s="1"/>
  <c r="AB27" i="51"/>
  <c r="BS27" i="51" s="1"/>
  <c r="AF23" i="51"/>
  <c r="AE23" i="51"/>
  <c r="AD23" i="51"/>
  <c r="AC23" i="51"/>
  <c r="AB23" i="51"/>
  <c r="AA23" i="51"/>
  <c r="BR23" i="51" s="1"/>
  <c r="AE39" i="51"/>
  <c r="BV39" i="51" s="1"/>
  <c r="AD39" i="51"/>
  <c r="BU39" i="51" s="1"/>
  <c r="AF17" i="51"/>
  <c r="AE17" i="51"/>
  <c r="AD17" i="51"/>
  <c r="AC17" i="51"/>
  <c r="AB17" i="51"/>
  <c r="AA17" i="51"/>
  <c r="BR17" i="51" s="1"/>
  <c r="AF38" i="51"/>
  <c r="BW38" i="51" s="1"/>
  <c r="AE38" i="51"/>
  <c r="BV38" i="51" s="1"/>
  <c r="AD38" i="51"/>
  <c r="BU38" i="51" s="1"/>
  <c r="AC38" i="51"/>
  <c r="BT38" i="51" s="1"/>
  <c r="AB38" i="51"/>
  <c r="BS38" i="51" s="1"/>
  <c r="AA38" i="51"/>
  <c r="BR38" i="51" s="1"/>
  <c r="AF36" i="51"/>
  <c r="BW36" i="51" s="1"/>
  <c r="AE36" i="51"/>
  <c r="BV36" i="51" s="1"/>
  <c r="AD36" i="51"/>
  <c r="BU36" i="51" s="1"/>
  <c r="AC36" i="51"/>
  <c r="BT36" i="51" s="1"/>
  <c r="AB36" i="51"/>
  <c r="BS36" i="51" s="1"/>
  <c r="AA36" i="51"/>
  <c r="BR36" i="51" s="1"/>
  <c r="AF35" i="51"/>
  <c r="BW35" i="51" s="1"/>
  <c r="AE35" i="51"/>
  <c r="BV35" i="51" s="1"/>
  <c r="AD35" i="51"/>
  <c r="BU35" i="51" s="1"/>
  <c r="AC35" i="51"/>
  <c r="BT35" i="51" s="1"/>
  <c r="AB35" i="51"/>
  <c r="BS35" i="51" s="1"/>
  <c r="AA35" i="51"/>
  <c r="BR35" i="51" s="1"/>
  <c r="AO21" i="51"/>
  <c r="CF21" i="51" s="1"/>
  <c r="AP21" i="51"/>
  <c r="CG21" i="51" s="1"/>
  <c r="AQ21" i="51"/>
  <c r="CH21" i="51" s="1"/>
  <c r="AR21" i="51"/>
  <c r="CI21" i="51" s="1"/>
  <c r="AS21" i="51"/>
  <c r="CJ21" i="51" s="1"/>
  <c r="AT21" i="51"/>
  <c r="CK21" i="51" s="1"/>
  <c r="AO29" i="51"/>
  <c r="CF29" i="51" s="1"/>
  <c r="AP29" i="51"/>
  <c r="CG29" i="51" s="1"/>
  <c r="AQ29" i="51"/>
  <c r="CH29" i="51" s="1"/>
  <c r="AR29" i="51"/>
  <c r="CI29" i="51" s="1"/>
  <c r="AS29" i="51"/>
  <c r="CJ29" i="51" s="1"/>
  <c r="AT29" i="51"/>
  <c r="CK29" i="51" s="1"/>
  <c r="AV19" i="85" l="1"/>
  <c r="AA50" i="39"/>
  <c r="W11" i="83" s="1"/>
  <c r="W10" i="83"/>
  <c r="W18" i="83" s="1"/>
  <c r="V19" i="83"/>
  <c r="V20" i="83"/>
  <c r="AJ22" i="51"/>
  <c r="CA22" i="51" s="1"/>
  <c r="CA23" i="51"/>
  <c r="AF15" i="51"/>
  <c r="BW15" i="51" s="1"/>
  <c r="BW17" i="51"/>
  <c r="AF22" i="51"/>
  <c r="BW22" i="51" s="1"/>
  <c r="BW23" i="51"/>
  <c r="AA15" i="50"/>
  <c r="BM15" i="50" s="1"/>
  <c r="BR20" i="51"/>
  <c r="AA16" i="50"/>
  <c r="BM16" i="50" s="1"/>
  <c r="BR21" i="51"/>
  <c r="AH124" i="50"/>
  <c r="BT124" i="50" s="1"/>
  <c r="BY38" i="51"/>
  <c r="AJ15" i="51"/>
  <c r="CA15" i="51" s="1"/>
  <c r="CA17" i="51"/>
  <c r="AK22" i="51"/>
  <c r="CB22" i="51" s="1"/>
  <c r="CB23" i="51"/>
  <c r="AH21" i="50"/>
  <c r="BT21" i="50" s="1"/>
  <c r="BY47" i="51"/>
  <c r="AH17" i="50"/>
  <c r="BT17" i="50" s="1"/>
  <c r="BY29" i="51"/>
  <c r="AE15" i="51"/>
  <c r="BV15" i="51" s="1"/>
  <c r="BV17" i="51"/>
  <c r="AK15" i="51"/>
  <c r="CB15" i="51" s="1"/>
  <c r="CB17" i="51"/>
  <c r="AL22" i="51"/>
  <c r="CC22" i="51" s="1"/>
  <c r="CC23" i="51"/>
  <c r="AA22" i="50"/>
  <c r="BM22" i="50" s="1"/>
  <c r="BR48" i="51"/>
  <c r="AH122" i="50"/>
  <c r="BT122" i="50" s="1"/>
  <c r="BY36" i="51"/>
  <c r="AL15" i="51"/>
  <c r="CC15" i="51" s="1"/>
  <c r="CC17" i="51"/>
  <c r="AM22" i="51"/>
  <c r="CD22" i="51" s="1"/>
  <c r="CD23" i="51"/>
  <c r="AH15" i="50"/>
  <c r="BT15" i="50" s="1"/>
  <c r="BY20" i="51"/>
  <c r="AH16" i="50"/>
  <c r="BT16" i="50" s="1"/>
  <c r="BY21" i="51"/>
  <c r="AM15" i="51"/>
  <c r="CD15" i="51" s="1"/>
  <c r="CD17" i="51"/>
  <c r="AH117" i="50"/>
  <c r="BT117" i="50" s="1"/>
  <c r="BY27" i="51"/>
  <c r="AB15" i="51"/>
  <c r="BS15" i="51" s="1"/>
  <c r="BS17" i="51"/>
  <c r="AB22" i="51"/>
  <c r="BS22" i="51" s="1"/>
  <c r="BS23" i="51"/>
  <c r="AA20" i="50"/>
  <c r="BM20" i="50" s="1"/>
  <c r="BR46" i="51"/>
  <c r="AH121" i="50"/>
  <c r="BT121" i="50" s="1"/>
  <c r="BY35" i="51"/>
  <c r="AH118" i="50"/>
  <c r="BT118" i="50" s="1"/>
  <c r="BY28" i="51"/>
  <c r="AH22" i="50"/>
  <c r="BT22" i="50" s="1"/>
  <c r="BY48" i="51"/>
  <c r="AE22" i="51"/>
  <c r="BV22" i="51" s="1"/>
  <c r="BV23" i="51"/>
  <c r="AC15" i="51"/>
  <c r="BT15" i="51" s="1"/>
  <c r="BT17" i="51"/>
  <c r="AC22" i="51"/>
  <c r="BT22" i="51" s="1"/>
  <c r="BT23" i="51"/>
  <c r="AH114" i="50"/>
  <c r="BT114" i="50" s="1"/>
  <c r="BY23" i="51"/>
  <c r="AI15" i="51"/>
  <c r="BZ15" i="51" s="1"/>
  <c r="BZ17" i="51"/>
  <c r="AD15" i="51"/>
  <c r="BU15" i="51" s="1"/>
  <c r="BU17" i="51"/>
  <c r="AD22" i="51"/>
  <c r="BU22" i="51" s="1"/>
  <c r="BU23" i="51"/>
  <c r="AA21" i="50"/>
  <c r="BM21" i="50" s="1"/>
  <c r="BR47" i="51"/>
  <c r="AA17" i="50"/>
  <c r="BM17" i="50" s="1"/>
  <c r="BR29" i="51"/>
  <c r="AH113" i="50"/>
  <c r="BT113" i="50" s="1"/>
  <c r="BY17" i="51"/>
  <c r="AI22" i="51"/>
  <c r="BZ22" i="51" s="1"/>
  <c r="BZ23" i="51"/>
  <c r="AH130" i="50"/>
  <c r="BT130" i="50" s="1"/>
  <c r="BY58" i="51"/>
  <c r="AH20" i="50"/>
  <c r="BT20" i="50" s="1"/>
  <c r="BY46" i="51"/>
  <c r="AW19" i="67"/>
  <c r="CC17" i="53"/>
  <c r="BA89" i="53"/>
  <c r="DC89" i="53" s="1"/>
  <c r="DC17" i="53"/>
  <c r="W19" i="78"/>
  <c r="T93" i="39"/>
  <c r="AG93" i="39" s="1"/>
  <c r="T50" i="39"/>
  <c r="AG49" i="39"/>
  <c r="AG50" i="39" s="1"/>
  <c r="T96" i="39"/>
  <c r="AG96" i="39" s="1"/>
  <c r="AA96" i="39"/>
  <c r="BA11" i="53"/>
  <c r="DC11" i="53" s="1"/>
  <c r="AB15" i="50"/>
  <c r="AI114" i="50"/>
  <c r="BB17" i="53"/>
  <c r="AH17" i="73"/>
  <c r="BX17" i="73" s="1"/>
  <c r="AI17" i="73"/>
  <c r="AA27" i="51"/>
  <c r="BR27" i="51" s="1"/>
  <c r="AE27" i="51"/>
  <c r="BV27" i="51" s="1"/>
  <c r="AH41" i="51"/>
  <c r="BY41" i="51" s="1"/>
  <c r="AL41" i="51"/>
  <c r="CC41" i="51" s="1"/>
  <c r="AK27" i="51"/>
  <c r="AH26" i="51"/>
  <c r="BY26" i="51" s="1"/>
  <c r="AL26" i="51"/>
  <c r="AH39" i="51"/>
  <c r="AL39" i="51"/>
  <c r="CC39" i="51" s="1"/>
  <c r="AI27" i="51"/>
  <c r="AM27" i="51"/>
  <c r="CD27" i="51" s="1"/>
  <c r="AE26" i="51"/>
  <c r="BV26" i="51" s="1"/>
  <c r="AJ26" i="51"/>
  <c r="CA26" i="51" s="1"/>
  <c r="AC39" i="51"/>
  <c r="BT39" i="51" s="1"/>
  <c r="AK45" i="51"/>
  <c r="CB45" i="51" s="1"/>
  <c r="AH22" i="51"/>
  <c r="BY22" i="51" s="1"/>
  <c r="AM72" i="51"/>
  <c r="CD72" i="51" s="1"/>
  <c r="AJ72" i="51"/>
  <c r="CA72" i="51" s="1"/>
  <c r="AL72" i="51"/>
  <c r="CC72" i="51" s="1"/>
  <c r="AI72" i="51"/>
  <c r="BZ72" i="51" s="1"/>
  <c r="AH72" i="51"/>
  <c r="BY72" i="51" s="1"/>
  <c r="AK72" i="51"/>
  <c r="CB72" i="51" s="1"/>
  <c r="AM77" i="51"/>
  <c r="AI77" i="51"/>
  <c r="AH77" i="51"/>
  <c r="AL77" i="51"/>
  <c r="AJ77" i="51"/>
  <c r="AK77" i="51"/>
  <c r="AI97" i="51"/>
  <c r="AH97" i="51"/>
  <c r="BY97" i="51" s="1"/>
  <c r="AL97" i="51"/>
  <c r="AK97" i="51"/>
  <c r="AM97" i="51"/>
  <c r="AJ97" i="51"/>
  <c r="AC26" i="51"/>
  <c r="BT26" i="51" s="1"/>
  <c r="AB45" i="51"/>
  <c r="BS45" i="51" s="1"/>
  <c r="AH84" i="51"/>
  <c r="BY84" i="51" s="1"/>
  <c r="AJ84" i="51"/>
  <c r="CA84" i="51" s="1"/>
  <c r="AM84" i="51"/>
  <c r="CD84" i="51" s="1"/>
  <c r="AK84" i="51"/>
  <c r="CB84" i="51" s="1"/>
  <c r="AI84" i="51"/>
  <c r="BZ84" i="51" s="1"/>
  <c r="AL84" i="51"/>
  <c r="CC84" i="51" s="1"/>
  <c r="AI41" i="51"/>
  <c r="BZ41" i="51" s="1"/>
  <c r="AM41" i="51"/>
  <c r="CD41" i="51" s="1"/>
  <c r="AH76" i="51"/>
  <c r="AI26" i="51"/>
  <c r="BZ26" i="51" s="1"/>
  <c r="AM26" i="51"/>
  <c r="CD26" i="51" s="1"/>
  <c r="AL107" i="51"/>
  <c r="AI107" i="51"/>
  <c r="AH107" i="51"/>
  <c r="AM107" i="51"/>
  <c r="AK107" i="51"/>
  <c r="AJ107" i="51"/>
  <c r="AL95" i="51"/>
  <c r="AM95" i="51"/>
  <c r="AH95" i="51"/>
  <c r="AJ95" i="51"/>
  <c r="AK95" i="51"/>
  <c r="AH45" i="51"/>
  <c r="BY45" i="51" s="1"/>
  <c r="AI95" i="51"/>
  <c r="AL45" i="51"/>
  <c r="CC45" i="51" s="1"/>
  <c r="AJ85" i="51"/>
  <c r="AH85" i="51"/>
  <c r="AM85" i="51"/>
  <c r="AL85" i="51"/>
  <c r="AK85" i="51"/>
  <c r="AI85" i="51"/>
  <c r="AT70" i="51"/>
  <c r="CK70" i="51" s="1"/>
  <c r="AS70" i="51"/>
  <c r="CJ70" i="51" s="1"/>
  <c r="AP70" i="51"/>
  <c r="CG70" i="51" s="1"/>
  <c r="AQ70" i="51"/>
  <c r="CH70" i="51" s="1"/>
  <c r="AR70" i="51"/>
  <c r="CI70" i="51" s="1"/>
  <c r="AO70" i="51"/>
  <c r="CF70" i="51" s="1"/>
  <c r="AT78" i="51"/>
  <c r="CK78" i="51" s="1"/>
  <c r="AR78" i="51"/>
  <c r="CI78" i="51" s="1"/>
  <c r="AP78" i="51"/>
  <c r="CG78" i="51" s="1"/>
  <c r="AQ78" i="51"/>
  <c r="CH78" i="51" s="1"/>
  <c r="AS78" i="51"/>
  <c r="CJ78" i="51" s="1"/>
  <c r="AO78" i="51"/>
  <c r="CF78" i="51" s="1"/>
  <c r="AB39" i="51"/>
  <c r="BS39" i="51" s="1"/>
  <c r="AL66" i="51"/>
  <c r="CC66" i="51" s="1"/>
  <c r="AM66" i="51"/>
  <c r="CD66" i="51" s="1"/>
  <c r="AH15" i="51"/>
  <c r="BY15" i="51" s="1"/>
  <c r="AI66" i="51"/>
  <c r="BZ66" i="51" s="1"/>
  <c r="AH66" i="51"/>
  <c r="BY66" i="51" s="1"/>
  <c r="AK66" i="51"/>
  <c r="CB66" i="51" s="1"/>
  <c r="AJ66" i="51"/>
  <c r="CA66" i="51" s="1"/>
  <c r="AI39" i="51"/>
  <c r="BZ39" i="51" s="1"/>
  <c r="AM39" i="51"/>
  <c r="CD39" i="51" s="1"/>
  <c r="AJ41" i="51"/>
  <c r="CA41" i="51" s="1"/>
  <c r="AI96" i="51"/>
  <c r="AK96" i="51"/>
  <c r="AJ96" i="51"/>
  <c r="AH96" i="51"/>
  <c r="BY96" i="51" s="1"/>
  <c r="AM96" i="51"/>
  <c r="AL96" i="51"/>
  <c r="AI45" i="51"/>
  <c r="BZ45" i="51" s="1"/>
  <c r="AM45" i="51"/>
  <c r="CD45" i="51" s="1"/>
  <c r="AH78" i="51"/>
  <c r="BY78" i="51" s="1"/>
  <c r="AI78" i="51"/>
  <c r="AK78" i="51"/>
  <c r="AM78" i="51"/>
  <c r="AL78" i="51"/>
  <c r="AJ78" i="51"/>
  <c r="AD41" i="51"/>
  <c r="AD27" i="51"/>
  <c r="BU27" i="51" s="1"/>
  <c r="AD69" i="51"/>
  <c r="AD45" i="51"/>
  <c r="BU45" i="51" s="1"/>
  <c r="AH87" i="51"/>
  <c r="AK87" i="51"/>
  <c r="AI87" i="51"/>
  <c r="AJ87" i="51"/>
  <c r="AM87" i="51"/>
  <c r="AL87" i="51"/>
  <c r="AJ39" i="51"/>
  <c r="CA39" i="51" s="1"/>
  <c r="AK41" i="51"/>
  <c r="AJ27" i="51"/>
  <c r="CA27" i="51" s="1"/>
  <c r="AI69" i="51"/>
  <c r="AL69" i="51"/>
  <c r="AJ69" i="51"/>
  <c r="AK69" i="51"/>
  <c r="AM69" i="51"/>
  <c r="AH69" i="51"/>
  <c r="AJ45" i="51"/>
  <c r="CA45" i="51" s="1"/>
  <c r="AM70" i="51"/>
  <c r="AK70" i="51"/>
  <c r="AJ70" i="51"/>
  <c r="AL70" i="51"/>
  <c r="AI70" i="51"/>
  <c r="AH70" i="51"/>
  <c r="BY70" i="51" s="1"/>
  <c r="AA124" i="50"/>
  <c r="AF87" i="51"/>
  <c r="AA87" i="51"/>
  <c r="AB87" i="51"/>
  <c r="AE87" i="51"/>
  <c r="AC87" i="51"/>
  <c r="AD87" i="51"/>
  <c r="AA122" i="50"/>
  <c r="AF85" i="51"/>
  <c r="AB85" i="51"/>
  <c r="AE85" i="51"/>
  <c r="AC85" i="51"/>
  <c r="AA85" i="51"/>
  <c r="AD85" i="51"/>
  <c r="AA41" i="51"/>
  <c r="BR41" i="51" s="1"/>
  <c r="AE41" i="51"/>
  <c r="AA114" i="50"/>
  <c r="AA72" i="51"/>
  <c r="BR72" i="51" s="1"/>
  <c r="AE72" i="51"/>
  <c r="BV72" i="51" s="1"/>
  <c r="AA22" i="51"/>
  <c r="BR22" i="51" s="1"/>
  <c r="AD72" i="51"/>
  <c r="BU72" i="51" s="1"/>
  <c r="AC72" i="51"/>
  <c r="BT72" i="51" s="1"/>
  <c r="AF72" i="51"/>
  <c r="BW72" i="51" s="1"/>
  <c r="AB72" i="51"/>
  <c r="BS72" i="51" s="1"/>
  <c r="AB26" i="51"/>
  <c r="AF26" i="51"/>
  <c r="AA130" i="50"/>
  <c r="BM130" i="50" s="1"/>
  <c r="AD107" i="51"/>
  <c r="AA107" i="51"/>
  <c r="AC107" i="51"/>
  <c r="AF107" i="51"/>
  <c r="AE107" i="51"/>
  <c r="AB107" i="51"/>
  <c r="AB95" i="51"/>
  <c r="BS95" i="51" s="1"/>
  <c r="AE95" i="51"/>
  <c r="BV95" i="51" s="1"/>
  <c r="AA95" i="51"/>
  <c r="BR95" i="51" s="1"/>
  <c r="AD95" i="51"/>
  <c r="BU95" i="51" s="1"/>
  <c r="AF95" i="51"/>
  <c r="BW95" i="51" s="1"/>
  <c r="AC95" i="51"/>
  <c r="BT95" i="51" s="1"/>
  <c r="AA45" i="51"/>
  <c r="BR45" i="51" s="1"/>
  <c r="AE45" i="51"/>
  <c r="BV45" i="51" s="1"/>
  <c r="AA39" i="51"/>
  <c r="BR39" i="51" s="1"/>
  <c r="AB41" i="51"/>
  <c r="BS41" i="51" s="1"/>
  <c r="AF41" i="51"/>
  <c r="BW41" i="51" s="1"/>
  <c r="AE96" i="51"/>
  <c r="AA96" i="51"/>
  <c r="AF96" i="51"/>
  <c r="AC96" i="51"/>
  <c r="AD96" i="51"/>
  <c r="AB96" i="51"/>
  <c r="AF45" i="51"/>
  <c r="BW45" i="51" s="1"/>
  <c r="AF78" i="51"/>
  <c r="AE78" i="51"/>
  <c r="AD78" i="51"/>
  <c r="AB78" i="51"/>
  <c r="AA78" i="51"/>
  <c r="AC78" i="51"/>
  <c r="AA121" i="50"/>
  <c r="AD84" i="51"/>
  <c r="BU84" i="51" s="1"/>
  <c r="AF84" i="51"/>
  <c r="BW84" i="51" s="1"/>
  <c r="AE84" i="51"/>
  <c r="BV84" i="51" s="1"/>
  <c r="AC84" i="51"/>
  <c r="BT84" i="51" s="1"/>
  <c r="AA84" i="51"/>
  <c r="BR84" i="51" s="1"/>
  <c r="AB84" i="51"/>
  <c r="BS84" i="51" s="1"/>
  <c r="AA113" i="50"/>
  <c r="BM113" i="50" s="1"/>
  <c r="AE66" i="51"/>
  <c r="BV66" i="51" s="1"/>
  <c r="AC66" i="51"/>
  <c r="BT66" i="51" s="1"/>
  <c r="AA66" i="51"/>
  <c r="BR66" i="51" s="1"/>
  <c r="AD66" i="51"/>
  <c r="BU66" i="51" s="1"/>
  <c r="AA15" i="51"/>
  <c r="BR15" i="51" s="1"/>
  <c r="AF66" i="51"/>
  <c r="BW66" i="51" s="1"/>
  <c r="AB66" i="51"/>
  <c r="BS66" i="51" s="1"/>
  <c r="AF39" i="51"/>
  <c r="BW39" i="51" s="1"/>
  <c r="AC41" i="51"/>
  <c r="BT41" i="51" s="1"/>
  <c r="AC27" i="51"/>
  <c r="BT27" i="51" s="1"/>
  <c r="AD26" i="51"/>
  <c r="BU26" i="51" s="1"/>
  <c r="AF69" i="51"/>
  <c r="AE69" i="51"/>
  <c r="AB69" i="51"/>
  <c r="AC69" i="51"/>
  <c r="AA69" i="51"/>
  <c r="AC45" i="51"/>
  <c r="BT45" i="51" s="1"/>
  <c r="AD70" i="51"/>
  <c r="AC70" i="51"/>
  <c r="AF70" i="51"/>
  <c r="AB70" i="51"/>
  <c r="AA70" i="51"/>
  <c r="AE70" i="51"/>
  <c r="AA116" i="50"/>
  <c r="BM116" i="50" s="1"/>
  <c r="AA75" i="51"/>
  <c r="BR75" i="51" s="1"/>
  <c r="AA118" i="50"/>
  <c r="AA77" i="51"/>
  <c r="AF77" i="51"/>
  <c r="AD77" i="51"/>
  <c r="AB77" i="51"/>
  <c r="AC77" i="51"/>
  <c r="AE77" i="51"/>
  <c r="AF97" i="51"/>
  <c r="AE97" i="51"/>
  <c r="AD97" i="51"/>
  <c r="AA97" i="51"/>
  <c r="AC97" i="51"/>
  <c r="AB97" i="51"/>
  <c r="AI21" i="50" l="1"/>
  <c r="AI124" i="50"/>
  <c r="AB17" i="50"/>
  <c r="AW19" i="85"/>
  <c r="AI121" i="50"/>
  <c r="AJ121" i="50" s="1"/>
  <c r="AI113" i="50"/>
  <c r="W19" i="83"/>
  <c r="W20" i="83"/>
  <c r="AB21" i="50"/>
  <c r="AI17" i="50"/>
  <c r="AB22" i="50"/>
  <c r="AI20" i="50"/>
  <c r="AB16" i="50"/>
  <c r="BN16" i="50" s="1"/>
  <c r="AB144" i="50"/>
  <c r="BN144" i="50" s="1"/>
  <c r="BS87" i="51"/>
  <c r="AB118" i="50"/>
  <c r="BN118" i="50" s="1"/>
  <c r="BM118" i="50"/>
  <c r="AD41" i="50"/>
  <c r="BP41" i="50" s="1"/>
  <c r="BU70" i="51"/>
  <c r="AH144" i="50"/>
  <c r="AH164" i="50" s="1"/>
  <c r="BT164" i="50" s="1"/>
  <c r="BY87" i="51"/>
  <c r="CB78" i="51"/>
  <c r="CA96" i="51"/>
  <c r="AJ150" i="50"/>
  <c r="BV150" i="50" s="1"/>
  <c r="CA107" i="51"/>
  <c r="AH137" i="50"/>
  <c r="AH157" i="50" s="1"/>
  <c r="BY76" i="51"/>
  <c r="AI47" i="50"/>
  <c r="BU47" i="50" s="1"/>
  <c r="BZ97" i="51"/>
  <c r="AK25" i="51"/>
  <c r="CB27" i="51"/>
  <c r="AJ114" i="50"/>
  <c r="BU114" i="50"/>
  <c r="CC95" i="51"/>
  <c r="AE47" i="50"/>
  <c r="BQ47" i="50" s="1"/>
  <c r="BV97" i="51"/>
  <c r="AE142" i="50"/>
  <c r="BQ142" i="50" s="1"/>
  <c r="BV85" i="51"/>
  <c r="AA144" i="50"/>
  <c r="BR87" i="51"/>
  <c r="CD70" i="51"/>
  <c r="AF47" i="50"/>
  <c r="BR47" i="50" s="1"/>
  <c r="BW97" i="51"/>
  <c r="AB121" i="50"/>
  <c r="BN121" i="50" s="1"/>
  <c r="BM121" i="50"/>
  <c r="AB46" i="50"/>
  <c r="BN46" i="50" s="1"/>
  <c r="BS96" i="51"/>
  <c r="AF25" i="51"/>
  <c r="BW26" i="51"/>
  <c r="AB142" i="50"/>
  <c r="BN142" i="50" s="1"/>
  <c r="BS85" i="51"/>
  <c r="AF144" i="50"/>
  <c r="BR144" i="50" s="1"/>
  <c r="BW87" i="51"/>
  <c r="AK34" i="51"/>
  <c r="CB41" i="51"/>
  <c r="AI42" i="50"/>
  <c r="BU42" i="50" s="1"/>
  <c r="BZ78" i="51"/>
  <c r="CB96" i="51"/>
  <c r="AI45" i="50"/>
  <c r="BU45" i="50" s="1"/>
  <c r="BZ95" i="51"/>
  <c r="AK150" i="50"/>
  <c r="BW150" i="50" s="1"/>
  <c r="CB107" i="51"/>
  <c r="AK138" i="50"/>
  <c r="BW138" i="50" s="1"/>
  <c r="CB77" i="51"/>
  <c r="AB20" i="50"/>
  <c r="AI16" i="50"/>
  <c r="AD47" i="50"/>
  <c r="BP47" i="50" s="1"/>
  <c r="BU97" i="51"/>
  <c r="AF42" i="50"/>
  <c r="BR42" i="50" s="1"/>
  <c r="BW78" i="51"/>
  <c r="CB70" i="51"/>
  <c r="AA40" i="50"/>
  <c r="BM40" i="50" s="1"/>
  <c r="BR69" i="51"/>
  <c r="AC42" i="50"/>
  <c r="BO42" i="50" s="1"/>
  <c r="BT78" i="51"/>
  <c r="AB124" i="50"/>
  <c r="BN124" i="50" s="1"/>
  <c r="BM124" i="50"/>
  <c r="BY69" i="51"/>
  <c r="AD40" i="50"/>
  <c r="BP40" i="50" s="1"/>
  <c r="BU69" i="51"/>
  <c r="AI46" i="50"/>
  <c r="BU46" i="50" s="1"/>
  <c r="BZ96" i="51"/>
  <c r="AI142" i="50"/>
  <c r="BU142" i="50" s="1"/>
  <c r="BZ85" i="51"/>
  <c r="AM150" i="50"/>
  <c r="BY150" i="50" s="1"/>
  <c r="CD107" i="51"/>
  <c r="AJ138" i="50"/>
  <c r="BV138" i="50" s="1"/>
  <c r="CA77" i="51"/>
  <c r="AJ17" i="50"/>
  <c r="BU17" i="50"/>
  <c r="AC15" i="50"/>
  <c r="BN15" i="50"/>
  <c r="AJ20" i="50"/>
  <c r="BU20" i="50"/>
  <c r="CD78" i="51"/>
  <c r="AC22" i="50"/>
  <c r="BN22" i="50"/>
  <c r="AD46" i="50"/>
  <c r="BP46" i="50" s="1"/>
  <c r="BU96" i="51"/>
  <c r="AB150" i="50"/>
  <c r="BN150" i="50" s="1"/>
  <c r="BS107" i="51"/>
  <c r="AF142" i="50"/>
  <c r="BR142" i="50" s="1"/>
  <c r="BW85" i="51"/>
  <c r="AC138" i="50"/>
  <c r="BO138" i="50" s="1"/>
  <c r="BT77" i="51"/>
  <c r="AE41" i="50"/>
  <c r="BQ41" i="50" s="1"/>
  <c r="BV70" i="51"/>
  <c r="AC40" i="50"/>
  <c r="BO40" i="50" s="1"/>
  <c r="BT69" i="51"/>
  <c r="AA42" i="50"/>
  <c r="BR78" i="51"/>
  <c r="AC46" i="50"/>
  <c r="BO46" i="50" s="1"/>
  <c r="BT96" i="51"/>
  <c r="AE150" i="50"/>
  <c r="BQ150" i="50" s="1"/>
  <c r="BV107" i="51"/>
  <c r="AE34" i="51"/>
  <c r="BV41" i="51"/>
  <c r="AB122" i="50"/>
  <c r="BN122" i="50" s="1"/>
  <c r="BM122" i="50"/>
  <c r="AM40" i="50"/>
  <c r="BY40" i="50" s="1"/>
  <c r="CD69" i="51"/>
  <c r="AL144" i="50"/>
  <c r="BX144" i="50" s="1"/>
  <c r="CC87" i="51"/>
  <c r="AK142" i="50"/>
  <c r="BW142" i="50" s="1"/>
  <c r="CB85" i="51"/>
  <c r="CB95" i="51"/>
  <c r="AH150" i="50"/>
  <c r="AH170" i="50" s="1"/>
  <c r="BY107" i="51"/>
  <c r="CA97" i="51"/>
  <c r="AL138" i="50"/>
  <c r="BX138" i="50" s="1"/>
  <c r="CC77" i="51"/>
  <c r="AI76" i="51"/>
  <c r="BZ27" i="51"/>
  <c r="AI22" i="50"/>
  <c r="AI130" i="50"/>
  <c r="AI15" i="50"/>
  <c r="AC142" i="50"/>
  <c r="BO142" i="50" s="1"/>
  <c r="BT85" i="51"/>
  <c r="AB25" i="51"/>
  <c r="BS26" i="51"/>
  <c r="AB47" i="50"/>
  <c r="BN47" i="50" s="1"/>
  <c r="BS97" i="51"/>
  <c r="AB42" i="50"/>
  <c r="BN42" i="50" s="1"/>
  <c r="BS78" i="51"/>
  <c r="AI41" i="50"/>
  <c r="BU41" i="50" s="1"/>
  <c r="BZ70" i="51"/>
  <c r="AM144" i="50"/>
  <c r="BY144" i="50" s="1"/>
  <c r="CD87" i="51"/>
  <c r="CA95" i="51"/>
  <c r="AH138" i="50"/>
  <c r="BT138" i="50" s="1"/>
  <c r="BY77" i="51"/>
  <c r="AJ21" i="50"/>
  <c r="BU21" i="50"/>
  <c r="AJ113" i="50"/>
  <c r="BU113" i="50"/>
  <c r="AC21" i="50"/>
  <c r="BN21" i="50"/>
  <c r="AA138" i="50"/>
  <c r="BM138" i="50" s="1"/>
  <c r="BR77" i="51"/>
  <c r="AD150" i="50"/>
  <c r="BP150" i="50" s="1"/>
  <c r="BU107" i="51"/>
  <c r="AK144" i="50"/>
  <c r="BW144" i="50" s="1"/>
  <c r="CB87" i="51"/>
  <c r="AJ142" i="50"/>
  <c r="BV142" i="50" s="1"/>
  <c r="CA85" i="51"/>
  <c r="AE138" i="50"/>
  <c r="BQ138" i="50" s="1"/>
  <c r="BV77" i="51"/>
  <c r="AB114" i="50"/>
  <c r="BN114" i="50" s="1"/>
  <c r="BM114" i="50"/>
  <c r="AB138" i="50"/>
  <c r="BN138" i="50" s="1"/>
  <c r="BS77" i="51"/>
  <c r="AA41" i="50"/>
  <c r="AA66" i="50" s="1"/>
  <c r="BM66" i="50" s="1"/>
  <c r="BR70" i="51"/>
  <c r="AB40" i="50"/>
  <c r="BN40" i="50" s="1"/>
  <c r="BS69" i="51"/>
  <c r="AF46" i="50"/>
  <c r="BR46" i="50" s="1"/>
  <c r="BW96" i="51"/>
  <c r="AF150" i="50"/>
  <c r="BR150" i="50" s="1"/>
  <c r="BW107" i="51"/>
  <c r="AD144" i="50"/>
  <c r="BP144" i="50" s="1"/>
  <c r="BU87" i="51"/>
  <c r="AK40" i="50"/>
  <c r="BW40" i="50" s="1"/>
  <c r="CB69" i="51"/>
  <c r="AD34" i="51"/>
  <c r="BU41" i="51"/>
  <c r="AL142" i="50"/>
  <c r="BX142" i="50" s="1"/>
  <c r="CC85" i="51"/>
  <c r="AI150" i="50"/>
  <c r="BU150" i="50" s="1"/>
  <c r="BZ107" i="51"/>
  <c r="CD97" i="51"/>
  <c r="AC47" i="50"/>
  <c r="BO47" i="50" s="1"/>
  <c r="BT97" i="51"/>
  <c r="AD138" i="50"/>
  <c r="BP138" i="50" s="1"/>
  <c r="BU77" i="51"/>
  <c r="AB41" i="50"/>
  <c r="BN41" i="50" s="1"/>
  <c r="BS70" i="51"/>
  <c r="AE40" i="50"/>
  <c r="BQ40" i="50" s="1"/>
  <c r="BV69" i="51"/>
  <c r="AD42" i="50"/>
  <c r="BP42" i="50" s="1"/>
  <c r="BU78" i="51"/>
  <c r="AA46" i="50"/>
  <c r="BR96" i="51"/>
  <c r="AC150" i="50"/>
  <c r="BO150" i="50" s="1"/>
  <c r="BT107" i="51"/>
  <c r="AD142" i="50"/>
  <c r="BP142" i="50" s="1"/>
  <c r="BU85" i="51"/>
  <c r="AC144" i="50"/>
  <c r="BO144" i="50" s="1"/>
  <c r="BT87" i="51"/>
  <c r="CC70" i="51"/>
  <c r="AJ40" i="50"/>
  <c r="BV40" i="50" s="1"/>
  <c r="CA69" i="51"/>
  <c r="AJ144" i="50"/>
  <c r="BV144" i="50" s="1"/>
  <c r="CA87" i="51"/>
  <c r="CA78" i="51"/>
  <c r="CC96" i="51"/>
  <c r="AM142" i="50"/>
  <c r="BY142" i="50" s="1"/>
  <c r="CD85" i="51"/>
  <c r="BY95" i="51"/>
  <c r="AL150" i="50"/>
  <c r="BX150" i="50" s="1"/>
  <c r="CC107" i="51"/>
  <c r="CB97" i="51"/>
  <c r="AI138" i="50"/>
  <c r="BU138" i="50" s="1"/>
  <c r="BZ77" i="51"/>
  <c r="AH125" i="50"/>
  <c r="BT125" i="50" s="1"/>
  <c r="BY39" i="51"/>
  <c r="AI118" i="50"/>
  <c r="AI122" i="50"/>
  <c r="AC41" i="50"/>
  <c r="BO41" i="50" s="1"/>
  <c r="BT70" i="51"/>
  <c r="AI40" i="50"/>
  <c r="BU40" i="50" s="1"/>
  <c r="BZ69" i="51"/>
  <c r="AA47" i="50"/>
  <c r="AA72" i="50" s="1"/>
  <c r="BM72" i="50" s="1"/>
  <c r="BR97" i="51"/>
  <c r="AF138" i="50"/>
  <c r="BR138" i="50" s="1"/>
  <c r="BW77" i="51"/>
  <c r="AF41" i="50"/>
  <c r="BR41" i="50" s="1"/>
  <c r="BW70" i="51"/>
  <c r="AF40" i="50"/>
  <c r="BR40" i="50" s="1"/>
  <c r="BW69" i="51"/>
  <c r="AE42" i="50"/>
  <c r="BQ42" i="50" s="1"/>
  <c r="BV78" i="51"/>
  <c r="AE46" i="50"/>
  <c r="BQ46" i="50" s="1"/>
  <c r="BV96" i="51"/>
  <c r="AA150" i="50"/>
  <c r="BM150" i="50" s="1"/>
  <c r="BR107" i="51"/>
  <c r="AA142" i="50"/>
  <c r="BM142" i="50" s="1"/>
  <c r="BR85" i="51"/>
  <c r="AE144" i="50"/>
  <c r="BQ144" i="50" s="1"/>
  <c r="BV87" i="51"/>
  <c r="CA70" i="51"/>
  <c r="AL40" i="50"/>
  <c r="BX40" i="50" s="1"/>
  <c r="CC69" i="51"/>
  <c r="AI144" i="50"/>
  <c r="BU144" i="50" s="1"/>
  <c r="BZ87" i="51"/>
  <c r="CC78" i="51"/>
  <c r="CD96" i="51"/>
  <c r="AH142" i="50"/>
  <c r="AH162" i="50" s="1"/>
  <c r="BT162" i="50" s="1"/>
  <c r="BY85" i="51"/>
  <c r="CD95" i="51"/>
  <c r="CC97" i="51"/>
  <c r="AM138" i="50"/>
  <c r="BY138" i="50" s="1"/>
  <c r="CD77" i="51"/>
  <c r="AL25" i="51"/>
  <c r="CC26" i="51"/>
  <c r="AJ124" i="50"/>
  <c r="BU124" i="50"/>
  <c r="AC17" i="50"/>
  <c r="BN17" i="50"/>
  <c r="BB11" i="53"/>
  <c r="DD11" i="53" s="1"/>
  <c r="DD17" i="53"/>
  <c r="AA67" i="50"/>
  <c r="BM67" i="50" s="1"/>
  <c r="BM42" i="50"/>
  <c r="BT150" i="50"/>
  <c r="AH158" i="50"/>
  <c r="BT158" i="50" s="1"/>
  <c r="AA71" i="50"/>
  <c r="BM71" i="50" s="1"/>
  <c r="BM46" i="50"/>
  <c r="BT142" i="50"/>
  <c r="AA164" i="50"/>
  <c r="BM164" i="50" s="1"/>
  <c r="BM144" i="50"/>
  <c r="AA162" i="50"/>
  <c r="BM162" i="50" s="1"/>
  <c r="AB34" i="51"/>
  <c r="AJ76" i="51"/>
  <c r="AC34" i="51"/>
  <c r="AA117" i="50"/>
  <c r="AE76" i="51"/>
  <c r="AA76" i="51"/>
  <c r="AC76" i="51"/>
  <c r="AB76" i="51"/>
  <c r="AD76" i="51"/>
  <c r="AF76" i="51"/>
  <c r="AH25" i="51"/>
  <c r="AH116" i="50"/>
  <c r="AI117" i="50"/>
  <c r="AH90" i="51"/>
  <c r="AH127" i="50"/>
  <c r="AA25" i="51"/>
  <c r="AD25" i="51"/>
  <c r="AI25" i="51"/>
  <c r="AM25" i="51"/>
  <c r="AB75" i="51"/>
  <c r="AE25" i="51"/>
  <c r="AH34" i="51"/>
  <c r="AL34" i="51"/>
  <c r="AH88" i="51"/>
  <c r="AC75" i="51"/>
  <c r="AF34" i="51"/>
  <c r="AD75" i="51"/>
  <c r="AJ34" i="51"/>
  <c r="AH75" i="51"/>
  <c r="AD38" i="50"/>
  <c r="BP38" i="50" s="1"/>
  <c r="AM34" i="51"/>
  <c r="AA34" i="51"/>
  <c r="AE75" i="51"/>
  <c r="BV75" i="51" s="1"/>
  <c r="AF75" i="51"/>
  <c r="BW75" i="51" s="1"/>
  <c r="AC25" i="51"/>
  <c r="AJ88" i="51"/>
  <c r="AI34" i="51"/>
  <c r="AJ90" i="51"/>
  <c r="C75" i="49"/>
  <c r="D75" i="49"/>
  <c r="AI133" i="50"/>
  <c r="BU133" i="50" s="1"/>
  <c r="AI64" i="51"/>
  <c r="BZ64" i="51" s="1"/>
  <c r="AI94" i="51"/>
  <c r="BZ94" i="51" s="1"/>
  <c r="AH94" i="51"/>
  <c r="BY94" i="51" s="1"/>
  <c r="AK76" i="51"/>
  <c r="AL76" i="51"/>
  <c r="AM88" i="51"/>
  <c r="AI88" i="51"/>
  <c r="AL141" i="50"/>
  <c r="BX141" i="50" s="1"/>
  <c r="AJ141" i="50"/>
  <c r="BV141" i="50" s="1"/>
  <c r="AK75" i="51"/>
  <c r="CB75" i="51" s="1"/>
  <c r="AI75" i="51"/>
  <c r="BZ75" i="51" s="1"/>
  <c r="AK71" i="51"/>
  <c r="CB71" i="51" s="1"/>
  <c r="AK134" i="50"/>
  <c r="BW134" i="50" s="1"/>
  <c r="AJ134" i="50"/>
  <c r="BV134" i="50" s="1"/>
  <c r="AJ71" i="51"/>
  <c r="CA71" i="51" s="1"/>
  <c r="AI90" i="51"/>
  <c r="G75" i="49"/>
  <c r="AJ133" i="50"/>
  <c r="BV133" i="50" s="1"/>
  <c r="AJ64" i="51"/>
  <c r="CA64" i="51" s="1"/>
  <c r="AM94" i="51"/>
  <c r="CD94" i="51" s="1"/>
  <c r="AM76" i="51"/>
  <c r="AI141" i="50"/>
  <c r="BU141" i="50" s="1"/>
  <c r="AH141" i="50"/>
  <c r="AJ75" i="51"/>
  <c r="CA75" i="51" s="1"/>
  <c r="AH71" i="51"/>
  <c r="BY71" i="51" s="1"/>
  <c r="AH134" i="50"/>
  <c r="AM134" i="50"/>
  <c r="BY134" i="50" s="1"/>
  <c r="AM71" i="51"/>
  <c r="CD71" i="51" s="1"/>
  <c r="AK90" i="51"/>
  <c r="AL90" i="51"/>
  <c r="AK133" i="50"/>
  <c r="BW133" i="50" s="1"/>
  <c r="AK64" i="51"/>
  <c r="CB64" i="51" s="1"/>
  <c r="AM133" i="50"/>
  <c r="BY133" i="50" s="1"/>
  <c r="AM64" i="51"/>
  <c r="CD64" i="51" s="1"/>
  <c r="AK94" i="51"/>
  <c r="CB94" i="51" s="1"/>
  <c r="AL94" i="51"/>
  <c r="CC94" i="51" s="1"/>
  <c r="AK141" i="50"/>
  <c r="BW141" i="50" s="1"/>
  <c r="AM75" i="51"/>
  <c r="CD75" i="51" s="1"/>
  <c r="AI71" i="51"/>
  <c r="BZ71" i="51" s="1"/>
  <c r="AI134" i="50"/>
  <c r="BU134" i="50" s="1"/>
  <c r="AM90" i="51"/>
  <c r="E75" i="49"/>
  <c r="AJ25" i="51"/>
  <c r="AH133" i="50"/>
  <c r="BT133" i="50" s="1"/>
  <c r="AH64" i="51"/>
  <c r="BY64" i="51" s="1"/>
  <c r="AL133" i="50"/>
  <c r="BX133" i="50" s="1"/>
  <c r="AL64" i="51"/>
  <c r="CC64" i="51" s="1"/>
  <c r="AJ94" i="51"/>
  <c r="CA94" i="51" s="1"/>
  <c r="AK88" i="51"/>
  <c r="AL88" i="51"/>
  <c r="AM141" i="50"/>
  <c r="BY141" i="50" s="1"/>
  <c r="AL75" i="51"/>
  <c r="CC75" i="51" s="1"/>
  <c r="AL71" i="51"/>
  <c r="CC71" i="51" s="1"/>
  <c r="AL134" i="50"/>
  <c r="BX134" i="50" s="1"/>
  <c r="AA136" i="50"/>
  <c r="AB133" i="50"/>
  <c r="BN133" i="50" s="1"/>
  <c r="AB64" i="51"/>
  <c r="BS64" i="51" s="1"/>
  <c r="AA133" i="50"/>
  <c r="BM133" i="50" s="1"/>
  <c r="AA64" i="51"/>
  <c r="BR64" i="51" s="1"/>
  <c r="AB141" i="50"/>
  <c r="BN141" i="50" s="1"/>
  <c r="AF141" i="50"/>
  <c r="BR141" i="50" s="1"/>
  <c r="AA125" i="50"/>
  <c r="BM125" i="50" s="1"/>
  <c r="AE88" i="51"/>
  <c r="AC88" i="51"/>
  <c r="AA88" i="51"/>
  <c r="AB88" i="51"/>
  <c r="AD88" i="51"/>
  <c r="AF88" i="51"/>
  <c r="AA45" i="50"/>
  <c r="BM45" i="50" s="1"/>
  <c r="AA94" i="51"/>
  <c r="BR94" i="51" s="1"/>
  <c r="AB71" i="51"/>
  <c r="BS71" i="51" s="1"/>
  <c r="AB134" i="50"/>
  <c r="BN134" i="50" s="1"/>
  <c r="F61" i="49"/>
  <c r="C61" i="49"/>
  <c r="AC118" i="50"/>
  <c r="BO118" i="50" s="1"/>
  <c r="AB116" i="50"/>
  <c r="BN116" i="50" s="1"/>
  <c r="AA65" i="50"/>
  <c r="BM65" i="50" s="1"/>
  <c r="AA38" i="50"/>
  <c r="BM38" i="50" s="1"/>
  <c r="AF133" i="50"/>
  <c r="BR133" i="50" s="1"/>
  <c r="AF64" i="51"/>
  <c r="BW64" i="51" s="1"/>
  <c r="AC133" i="50"/>
  <c r="BO133" i="50" s="1"/>
  <c r="AC64" i="51"/>
  <c r="BT64" i="51" s="1"/>
  <c r="AA141" i="50"/>
  <c r="AD141" i="50"/>
  <c r="BP141" i="50" s="1"/>
  <c r="AC45" i="50"/>
  <c r="AC94" i="51"/>
  <c r="BT94" i="51" s="1"/>
  <c r="AE45" i="50"/>
  <c r="AE94" i="51"/>
  <c r="BV94" i="51" s="1"/>
  <c r="AF134" i="50"/>
  <c r="BR134" i="50" s="1"/>
  <c r="AF71" i="51"/>
  <c r="BW71" i="51" s="1"/>
  <c r="AE134" i="50"/>
  <c r="BQ134" i="50" s="1"/>
  <c r="AE71" i="51"/>
  <c r="BV71" i="51" s="1"/>
  <c r="AA127" i="50"/>
  <c r="BM127" i="50" s="1"/>
  <c r="AE90" i="51"/>
  <c r="AC90" i="51"/>
  <c r="AB90" i="51"/>
  <c r="AA90" i="51"/>
  <c r="AD90" i="51"/>
  <c r="AF90" i="51"/>
  <c r="AA182" i="50"/>
  <c r="BM182" i="50" s="1"/>
  <c r="E61" i="49"/>
  <c r="AE133" i="50"/>
  <c r="BQ133" i="50" s="1"/>
  <c r="AE64" i="51"/>
  <c r="BV64" i="51" s="1"/>
  <c r="AC141" i="50"/>
  <c r="BO141" i="50" s="1"/>
  <c r="AF45" i="50"/>
  <c r="AF94" i="51"/>
  <c r="BW94" i="51" s="1"/>
  <c r="AB45" i="50"/>
  <c r="AB94" i="51"/>
  <c r="BS94" i="51" s="1"/>
  <c r="AB130" i="50"/>
  <c r="BN130" i="50" s="1"/>
  <c r="AC134" i="50"/>
  <c r="BO134" i="50" s="1"/>
  <c r="AC71" i="51"/>
  <c r="BT71" i="51" s="1"/>
  <c r="AA134" i="50"/>
  <c r="AA71" i="51"/>
  <c r="BR71" i="51" s="1"/>
  <c r="AC124" i="50"/>
  <c r="BO124" i="50" s="1"/>
  <c r="AD133" i="50"/>
  <c r="BP133" i="50" s="1"/>
  <c r="AD64" i="51"/>
  <c r="BU64" i="51" s="1"/>
  <c r="AB113" i="50"/>
  <c r="BN113" i="50" s="1"/>
  <c r="AC122" i="50"/>
  <c r="BO122" i="50" s="1"/>
  <c r="AE141" i="50"/>
  <c r="BQ141" i="50" s="1"/>
  <c r="AD45" i="50"/>
  <c r="AD94" i="51"/>
  <c r="BU94" i="51" s="1"/>
  <c r="AD71" i="51"/>
  <c r="BU71" i="51" s="1"/>
  <c r="AD134" i="50"/>
  <c r="BP134" i="50" s="1"/>
  <c r="AC114" i="50"/>
  <c r="BO114" i="50" s="1"/>
  <c r="D61" i="49"/>
  <c r="F75" i="49"/>
  <c r="G61" i="49"/>
  <c r="AI38" i="50" l="1"/>
  <c r="BU38" i="50" s="1"/>
  <c r="BU121" i="50"/>
  <c r="AC16" i="50"/>
  <c r="AA170" i="50"/>
  <c r="BM170" i="50" s="1"/>
  <c r="AC38" i="50"/>
  <c r="BO38" i="50" s="1"/>
  <c r="BM41" i="50"/>
  <c r="AB162" i="50"/>
  <c r="AA190" i="50"/>
  <c r="BM190" i="50" s="1"/>
  <c r="AF38" i="50"/>
  <c r="BR38" i="50" s="1"/>
  <c r="AB170" i="50"/>
  <c r="BT170" i="50"/>
  <c r="AI170" i="50"/>
  <c r="BU170" i="50" s="1"/>
  <c r="BT157" i="50"/>
  <c r="AK147" i="50"/>
  <c r="BW147" i="50" s="1"/>
  <c r="CB90" i="51"/>
  <c r="AI145" i="50"/>
  <c r="BU145" i="50" s="1"/>
  <c r="BZ88" i="51"/>
  <c r="AC30" i="51"/>
  <c r="BT30" i="51" s="1"/>
  <c r="BT34" i="51"/>
  <c r="AB38" i="50"/>
  <c r="BN38" i="50" s="1"/>
  <c r="AE147" i="50"/>
  <c r="BQ147" i="50" s="1"/>
  <c r="BV90" i="51"/>
  <c r="AA145" i="50"/>
  <c r="BR88" i="51"/>
  <c r="AF137" i="50"/>
  <c r="BR137" i="50" s="1"/>
  <c r="BW76" i="51"/>
  <c r="AK17" i="50"/>
  <c r="BV17" i="50"/>
  <c r="AD16" i="50"/>
  <c r="BO16" i="50"/>
  <c r="AC145" i="50"/>
  <c r="BO145" i="50" s="1"/>
  <c r="BT88" i="51"/>
  <c r="AL137" i="50"/>
  <c r="BX137" i="50" s="1"/>
  <c r="CC76" i="51"/>
  <c r="AM40" i="67"/>
  <c r="J75" i="49"/>
  <c r="AM40" i="85" s="1"/>
  <c r="AC18" i="51"/>
  <c r="BT25" i="51"/>
  <c r="AJ30" i="51"/>
  <c r="CA30" i="51" s="1"/>
  <c r="CA34" i="51"/>
  <c r="AB136" i="50"/>
  <c r="BN136" i="50" s="1"/>
  <c r="BS75" i="51"/>
  <c r="AJ117" i="50"/>
  <c r="BU117" i="50"/>
  <c r="AD137" i="50"/>
  <c r="BP137" i="50" s="1"/>
  <c r="BU76" i="51"/>
  <c r="AB30" i="51"/>
  <c r="BS30" i="51" s="1"/>
  <c r="BS34" i="51"/>
  <c r="AA158" i="50"/>
  <c r="AK124" i="50"/>
  <c r="BV124" i="50"/>
  <c r="AD21" i="50"/>
  <c r="BO21" i="50"/>
  <c r="AJ16" i="50"/>
  <c r="BU16" i="50"/>
  <c r="AD17" i="50"/>
  <c r="BO17" i="50"/>
  <c r="AM145" i="50"/>
  <c r="BY145" i="50" s="1"/>
  <c r="CD88" i="51"/>
  <c r="AI125" i="50"/>
  <c r="AL145" i="50"/>
  <c r="BX145" i="50" s="1"/>
  <c r="CC88" i="51"/>
  <c r="AJ18" i="51"/>
  <c r="CA18" i="51" s="1"/>
  <c r="CA25" i="51"/>
  <c r="AP32" i="67"/>
  <c r="M61" i="49"/>
  <c r="AP32" i="85" s="1"/>
  <c r="AC121" i="50"/>
  <c r="BO121" i="50" s="1"/>
  <c r="AE145" i="50"/>
  <c r="BQ145" i="50" s="1"/>
  <c r="BV88" i="51"/>
  <c r="AE38" i="50"/>
  <c r="BQ38" i="50" s="1"/>
  <c r="AK145" i="50"/>
  <c r="BW145" i="50" s="1"/>
  <c r="CB88" i="51"/>
  <c r="AK137" i="50"/>
  <c r="BW137" i="50" s="1"/>
  <c r="CB76" i="51"/>
  <c r="AL40" i="67"/>
  <c r="I75" i="49"/>
  <c r="AL40" i="85" s="1"/>
  <c r="AD136" i="50"/>
  <c r="BP136" i="50" s="1"/>
  <c r="BU75" i="51"/>
  <c r="AM18" i="51"/>
  <c r="CD18" i="51" s="1"/>
  <c r="CD25" i="51"/>
  <c r="AB137" i="50"/>
  <c r="BN137" i="50" s="1"/>
  <c r="BS76" i="51"/>
  <c r="BT137" i="50"/>
  <c r="AI137" i="50"/>
  <c r="BU137" i="50" s="1"/>
  <c r="BZ76" i="51"/>
  <c r="BN20" i="50"/>
  <c r="AC20" i="50"/>
  <c r="AK114" i="50"/>
  <c r="BV114" i="50"/>
  <c r="AB145" i="50"/>
  <c r="BN145" i="50" s="1"/>
  <c r="BS88" i="51"/>
  <c r="AM137" i="50"/>
  <c r="BY137" i="50" s="1"/>
  <c r="CD76" i="51"/>
  <c r="AH30" i="51"/>
  <c r="BY30" i="51" s="1"/>
  <c r="BY34" i="51"/>
  <c r="AH136" i="50"/>
  <c r="AH156" i="50" s="1"/>
  <c r="BT156" i="50" s="1"/>
  <c r="BY75" i="51"/>
  <c r="AJ22" i="50"/>
  <c r="BU22" i="50"/>
  <c r="AJ147" i="50"/>
  <c r="BV147" i="50" s="1"/>
  <c r="CA90" i="51"/>
  <c r="AF30" i="51"/>
  <c r="BW34" i="51"/>
  <c r="AI18" i="51"/>
  <c r="BZ18" i="51" s="1"/>
  <c r="BZ25" i="51"/>
  <c r="AC137" i="50"/>
  <c r="BO137" i="50" s="1"/>
  <c r="BT76" i="51"/>
  <c r="AL18" i="51"/>
  <c r="CC18" i="51" s="1"/>
  <c r="CC25" i="51"/>
  <c r="AK113" i="50"/>
  <c r="BV113" i="50"/>
  <c r="AB18" i="51"/>
  <c r="BS25" i="51"/>
  <c r="AN32" i="67"/>
  <c r="K61" i="49"/>
  <c r="AN32" i="85" s="1"/>
  <c r="AO40" i="67"/>
  <c r="L75" i="49"/>
  <c r="AO40" i="85" s="1"/>
  <c r="AF147" i="50"/>
  <c r="BR147" i="50" s="1"/>
  <c r="BW90" i="51"/>
  <c r="AM32" i="67"/>
  <c r="J61" i="49"/>
  <c r="AM32" i="85" s="1"/>
  <c r="AD147" i="50"/>
  <c r="BP147" i="50" s="1"/>
  <c r="BU90" i="51"/>
  <c r="AB67" i="50"/>
  <c r="AI30" i="51"/>
  <c r="BZ30" i="51" s="1"/>
  <c r="BZ34" i="51"/>
  <c r="AA30" i="51"/>
  <c r="BR30" i="51" s="1"/>
  <c r="BR34" i="51"/>
  <c r="AC136" i="50"/>
  <c r="BO136" i="50" s="1"/>
  <c r="BT75" i="51"/>
  <c r="AD18" i="51"/>
  <c r="BU25" i="51"/>
  <c r="AA137" i="50"/>
  <c r="BM137" i="50" s="1"/>
  <c r="BR76" i="51"/>
  <c r="BM47" i="50"/>
  <c r="BT144" i="50"/>
  <c r="AJ122" i="50"/>
  <c r="BU122" i="50"/>
  <c r="AE30" i="51"/>
  <c r="BV30" i="51" s="1"/>
  <c r="BV34" i="51"/>
  <c r="AK20" i="50"/>
  <c r="BV20" i="50"/>
  <c r="AF18" i="51"/>
  <c r="BW18" i="51" s="1"/>
  <c r="BW25" i="51"/>
  <c r="AK121" i="50"/>
  <c r="BV121" i="50"/>
  <c r="AK18" i="51"/>
  <c r="CB25" i="51"/>
  <c r="AH147" i="50"/>
  <c r="AH167" i="50" s="1"/>
  <c r="BT167" i="50" s="1"/>
  <c r="BY90" i="51"/>
  <c r="AE18" i="51"/>
  <c r="BV25" i="51"/>
  <c r="AA147" i="50"/>
  <c r="AA167" i="50" s="1"/>
  <c r="BR90" i="51"/>
  <c r="AF145" i="50"/>
  <c r="BR145" i="50" s="1"/>
  <c r="BW88" i="51"/>
  <c r="AN40" i="67"/>
  <c r="K75" i="49"/>
  <c r="AN40" i="85" s="1"/>
  <c r="AP40" i="67"/>
  <c r="M75" i="49"/>
  <c r="AP40" i="85" s="1"/>
  <c r="AI44" i="50"/>
  <c r="BU44" i="50" s="1"/>
  <c r="AB66" i="50"/>
  <c r="AC66" i="50" s="1"/>
  <c r="AH145" i="50"/>
  <c r="AH165" i="50" s="1"/>
  <c r="BY88" i="51"/>
  <c r="AA18" i="51"/>
  <c r="BR18" i="51" s="1"/>
  <c r="BR25" i="51"/>
  <c r="AI116" i="50"/>
  <c r="BT116" i="50"/>
  <c r="AE137" i="50"/>
  <c r="BQ137" i="50" s="1"/>
  <c r="BV76" i="51"/>
  <c r="AJ118" i="50"/>
  <c r="BU118" i="50"/>
  <c r="AD30" i="51"/>
  <c r="BU30" i="51" s="1"/>
  <c r="BU34" i="51"/>
  <c r="AK21" i="50"/>
  <c r="BV21" i="50"/>
  <c r="AC147" i="50"/>
  <c r="BO147" i="50" s="1"/>
  <c r="BT90" i="51"/>
  <c r="AO32" i="67"/>
  <c r="L61" i="49"/>
  <c r="AO32" i="85" s="1"/>
  <c r="AJ130" i="50"/>
  <c r="BU130" i="50"/>
  <c r="AJ137" i="50"/>
  <c r="BV137" i="50" s="1"/>
  <c r="CA76" i="51"/>
  <c r="AD22" i="50"/>
  <c r="BO22" i="50"/>
  <c r="AB147" i="50"/>
  <c r="BN147" i="50" s="1"/>
  <c r="BS90" i="51"/>
  <c r="AL32" i="67"/>
  <c r="I61" i="49"/>
  <c r="AL32" i="85" s="1"/>
  <c r="AD145" i="50"/>
  <c r="BP145" i="50" s="1"/>
  <c r="BU88" i="51"/>
  <c r="AM147" i="50"/>
  <c r="BY147" i="50" s="1"/>
  <c r="CD90" i="51"/>
  <c r="AL147" i="50"/>
  <c r="BX147" i="50" s="1"/>
  <c r="CC90" i="51"/>
  <c r="AI147" i="50"/>
  <c r="BU147" i="50" s="1"/>
  <c r="BZ90" i="51"/>
  <c r="AJ145" i="50"/>
  <c r="BV145" i="50" s="1"/>
  <c r="CA88" i="51"/>
  <c r="AM30" i="51"/>
  <c r="CD30" i="51" s="1"/>
  <c r="CD34" i="51"/>
  <c r="AL30" i="51"/>
  <c r="CC34" i="51"/>
  <c r="AI127" i="50"/>
  <c r="BT127" i="50"/>
  <c r="AH18" i="51"/>
  <c r="BY18" i="51" s="1"/>
  <c r="BY25" i="51"/>
  <c r="AB117" i="50"/>
  <c r="BM117" i="50"/>
  <c r="AJ15" i="50"/>
  <c r="BU15" i="50"/>
  <c r="AD15" i="50"/>
  <c r="BO15" i="50"/>
  <c r="AK30" i="51"/>
  <c r="CB30" i="51" s="1"/>
  <c r="CB34" i="51"/>
  <c r="AI162" i="50"/>
  <c r="BU162" i="50" s="1"/>
  <c r="AB72" i="50"/>
  <c r="BN72" i="50" s="1"/>
  <c r="AA161" i="50"/>
  <c r="BM161" i="50" s="1"/>
  <c r="BM141" i="50"/>
  <c r="AC170" i="50"/>
  <c r="BN170" i="50"/>
  <c r="AC72" i="50"/>
  <c r="AH154" i="50"/>
  <c r="BT154" i="50" s="1"/>
  <c r="BT134" i="50"/>
  <c r="AC67" i="50"/>
  <c r="BN67" i="50"/>
  <c r="AI164" i="50"/>
  <c r="AD44" i="50"/>
  <c r="BP44" i="50" s="1"/>
  <c r="BP45" i="50"/>
  <c r="AC44" i="50"/>
  <c r="BO44" i="50" s="1"/>
  <c r="BO45" i="50"/>
  <c r="AA184" i="50"/>
  <c r="BM184" i="50" s="1"/>
  <c r="AI158" i="50"/>
  <c r="AF44" i="50"/>
  <c r="BR44" i="50" s="1"/>
  <c r="BR45" i="50"/>
  <c r="AA156" i="50"/>
  <c r="BM136" i="50"/>
  <c r="AE44" i="50"/>
  <c r="BQ44" i="50" s="1"/>
  <c r="BQ45" i="50"/>
  <c r="AB164" i="50"/>
  <c r="AB184" i="50" s="1"/>
  <c r="BN184" i="50" s="1"/>
  <c r="AH161" i="50"/>
  <c r="BT161" i="50" s="1"/>
  <c r="BT141" i="50"/>
  <c r="AA157" i="50"/>
  <c r="BM157" i="50" s="1"/>
  <c r="BT145" i="50"/>
  <c r="AB71" i="50"/>
  <c r="AC162" i="50"/>
  <c r="BN162" i="50"/>
  <c r="AJ170" i="50"/>
  <c r="AB44" i="50"/>
  <c r="BN44" i="50" s="1"/>
  <c r="BN45" i="50"/>
  <c r="AA165" i="50"/>
  <c r="BM165" i="50" s="1"/>
  <c r="BM145" i="50"/>
  <c r="AA154" i="50"/>
  <c r="BM154" i="50" s="1"/>
  <c r="BM134" i="50"/>
  <c r="AE74" i="51"/>
  <c r="AC74" i="51"/>
  <c r="AA74" i="51"/>
  <c r="AF74" i="51"/>
  <c r="AH83" i="51"/>
  <c r="AJ11" i="51"/>
  <c r="CA11" i="51" s="1"/>
  <c r="AH74" i="51"/>
  <c r="AD35" i="50"/>
  <c r="BP35" i="50" s="1"/>
  <c r="E61" i="85" s="1"/>
  <c r="AD74" i="51"/>
  <c r="AB74" i="51"/>
  <c r="AJ83" i="51"/>
  <c r="AE136" i="50"/>
  <c r="AA111" i="50"/>
  <c r="BM111" i="50" s="1"/>
  <c r="AF136" i="50"/>
  <c r="AC83" i="51"/>
  <c r="AI83" i="51"/>
  <c r="AB182" i="50"/>
  <c r="BN182" i="50" s="1"/>
  <c r="AK83" i="51"/>
  <c r="AI136" i="50"/>
  <c r="AI74" i="51"/>
  <c r="AE83" i="51"/>
  <c r="AL136" i="50"/>
  <c r="AL74" i="51"/>
  <c r="AK136" i="50"/>
  <c r="AK74" i="51"/>
  <c r="AL83" i="51"/>
  <c r="AJ136" i="50"/>
  <c r="AJ74" i="51"/>
  <c r="AM83" i="51"/>
  <c r="AH153" i="50"/>
  <c r="BT153" i="50" s="1"/>
  <c r="AM136" i="50"/>
  <c r="AM74" i="51"/>
  <c r="AD83" i="51"/>
  <c r="AC116" i="50"/>
  <c r="BO116" i="50" s="1"/>
  <c r="AD118" i="50"/>
  <c r="BP118" i="50" s="1"/>
  <c r="AA153" i="50"/>
  <c r="BM153" i="50" s="1"/>
  <c r="AD121" i="50"/>
  <c r="BP121" i="50" s="1"/>
  <c r="AD114" i="50"/>
  <c r="BP114" i="50" s="1"/>
  <c r="AC113" i="50"/>
  <c r="BO113" i="50" s="1"/>
  <c r="AB127" i="50"/>
  <c r="BN127" i="50" s="1"/>
  <c r="AB125" i="50"/>
  <c r="BN125" i="50" s="1"/>
  <c r="AB83" i="51"/>
  <c r="AD124" i="50"/>
  <c r="BP124" i="50" s="1"/>
  <c r="AC130" i="50"/>
  <c r="BO130" i="50" s="1"/>
  <c r="AB190" i="50"/>
  <c r="BN190" i="50" s="1"/>
  <c r="AA83" i="51"/>
  <c r="AB65" i="50"/>
  <c r="BN65" i="50" s="1"/>
  <c r="AA63" i="50"/>
  <c r="BM63" i="50" s="1"/>
  <c r="AA70" i="50"/>
  <c r="BM70" i="50" s="1"/>
  <c r="AA44" i="50"/>
  <c r="AD122" i="50"/>
  <c r="BP122" i="50" s="1"/>
  <c r="AA181" i="50"/>
  <c r="BM181" i="50" s="1"/>
  <c r="AF83" i="51"/>
  <c r="AT54" i="51"/>
  <c r="CK54" i="51" s="1"/>
  <c r="AS54" i="51"/>
  <c r="CJ54" i="51" s="1"/>
  <c r="AR54" i="51"/>
  <c r="CI54" i="51" s="1"/>
  <c r="AQ54" i="51"/>
  <c r="CH54" i="51" s="1"/>
  <c r="AP54" i="51"/>
  <c r="CG54" i="51" s="1"/>
  <c r="AO54" i="51"/>
  <c r="CF54" i="51" s="1"/>
  <c r="AT56" i="51"/>
  <c r="CK56" i="51" s="1"/>
  <c r="AS56" i="51"/>
  <c r="CJ56" i="51" s="1"/>
  <c r="AR56" i="51"/>
  <c r="CI56" i="51" s="1"/>
  <c r="AQ56" i="51"/>
  <c r="CH56" i="51" s="1"/>
  <c r="AP56" i="51"/>
  <c r="CG56" i="51" s="1"/>
  <c r="AO56" i="51"/>
  <c r="CF56" i="51" s="1"/>
  <c r="AT48" i="51"/>
  <c r="CK48" i="51" s="1"/>
  <c r="AS48" i="51"/>
  <c r="CJ48" i="51" s="1"/>
  <c r="AR48" i="51"/>
  <c r="CI48" i="51" s="1"/>
  <c r="AQ48" i="51"/>
  <c r="CH48" i="51" s="1"/>
  <c r="AP48" i="51"/>
  <c r="CG48" i="51" s="1"/>
  <c r="AO48" i="51"/>
  <c r="CF48" i="51" s="1"/>
  <c r="AT47" i="51"/>
  <c r="CK47" i="51" s="1"/>
  <c r="AS47" i="51"/>
  <c r="CJ47" i="51" s="1"/>
  <c r="AR47" i="51"/>
  <c r="CI47" i="51" s="1"/>
  <c r="AQ47" i="51"/>
  <c r="CH47" i="51" s="1"/>
  <c r="AP47" i="51"/>
  <c r="CG47" i="51" s="1"/>
  <c r="AO47" i="51"/>
  <c r="CF47" i="51" s="1"/>
  <c r="AT51" i="51"/>
  <c r="AS51" i="51"/>
  <c r="AR51" i="51"/>
  <c r="AQ51" i="51"/>
  <c r="AP51" i="51"/>
  <c r="AO51" i="51"/>
  <c r="CF51" i="51" s="1"/>
  <c r="AT16" i="51"/>
  <c r="AS16" i="51"/>
  <c r="AR16" i="51"/>
  <c r="AQ16" i="51"/>
  <c r="AP16" i="51"/>
  <c r="AO16" i="51"/>
  <c r="CF16" i="51" s="1"/>
  <c r="Y29" i="51"/>
  <c r="BP29" i="51" s="1"/>
  <c r="X29" i="51"/>
  <c r="BO29" i="51" s="1"/>
  <c r="W29" i="51"/>
  <c r="BN29" i="51" s="1"/>
  <c r="V29" i="51"/>
  <c r="BM29" i="51" s="1"/>
  <c r="U29" i="51"/>
  <c r="BL29" i="51" s="1"/>
  <c r="T29" i="51"/>
  <c r="BK29" i="51" s="1"/>
  <c r="Y21" i="51"/>
  <c r="BP21" i="51" s="1"/>
  <c r="X21" i="51"/>
  <c r="BO21" i="51" s="1"/>
  <c r="W21" i="51"/>
  <c r="BN21" i="51" s="1"/>
  <c r="V21" i="51"/>
  <c r="BM21" i="51" s="1"/>
  <c r="U21" i="51"/>
  <c r="BL21" i="51" s="1"/>
  <c r="T21" i="51"/>
  <c r="BK21" i="51" s="1"/>
  <c r="Y48" i="51"/>
  <c r="BP48" i="51" s="1"/>
  <c r="X48" i="51"/>
  <c r="BO48" i="51" s="1"/>
  <c r="W48" i="51"/>
  <c r="BN48" i="51" s="1"/>
  <c r="V48" i="51"/>
  <c r="BM48" i="51" s="1"/>
  <c r="U48" i="51"/>
  <c r="BL48" i="51" s="1"/>
  <c r="T48" i="51"/>
  <c r="BK48" i="51" s="1"/>
  <c r="Y46" i="51"/>
  <c r="BP46" i="51" s="1"/>
  <c r="X46" i="51"/>
  <c r="BO46" i="51" s="1"/>
  <c r="W46" i="51"/>
  <c r="BN46" i="51" s="1"/>
  <c r="V46" i="51"/>
  <c r="BM46" i="51" s="1"/>
  <c r="U46" i="51"/>
  <c r="BL46" i="51" s="1"/>
  <c r="T46" i="51"/>
  <c r="BK46" i="51" s="1"/>
  <c r="Y47" i="51"/>
  <c r="BP47" i="51" s="1"/>
  <c r="X47" i="51"/>
  <c r="BO47" i="51" s="1"/>
  <c r="W47" i="51"/>
  <c r="BN47" i="51" s="1"/>
  <c r="V47" i="51"/>
  <c r="BM47" i="51" s="1"/>
  <c r="U47" i="51"/>
  <c r="BL47" i="51" s="1"/>
  <c r="T47" i="51"/>
  <c r="BK47" i="51" s="1"/>
  <c r="Y28" i="51"/>
  <c r="X28" i="51"/>
  <c r="W28" i="51"/>
  <c r="V28" i="51"/>
  <c r="U28" i="51"/>
  <c r="T28" i="51"/>
  <c r="BK28" i="51" s="1"/>
  <c r="Y20" i="51"/>
  <c r="BP20" i="51" s="1"/>
  <c r="X20" i="51"/>
  <c r="BO20" i="51" s="1"/>
  <c r="W20" i="51"/>
  <c r="BN20" i="51" s="1"/>
  <c r="V20" i="51"/>
  <c r="BM20" i="51" s="1"/>
  <c r="U20" i="51"/>
  <c r="BL20" i="51" s="1"/>
  <c r="T20" i="51"/>
  <c r="BK20" i="51" s="1"/>
  <c r="Y41" i="51"/>
  <c r="X41" i="51"/>
  <c r="W41" i="51"/>
  <c r="V41" i="51"/>
  <c r="U41" i="51"/>
  <c r="T41" i="51"/>
  <c r="BK41" i="51" s="1"/>
  <c r="R29" i="51"/>
  <c r="BI29" i="51" s="1"/>
  <c r="Q29" i="51"/>
  <c r="BH29" i="51" s="1"/>
  <c r="P29" i="51"/>
  <c r="BG29" i="51" s="1"/>
  <c r="O29" i="51"/>
  <c r="BF29" i="51" s="1"/>
  <c r="N29" i="51"/>
  <c r="BE29" i="51" s="1"/>
  <c r="M29" i="51"/>
  <c r="BD29" i="51" s="1"/>
  <c r="R21" i="51"/>
  <c r="BI21" i="51" s="1"/>
  <c r="Q21" i="51"/>
  <c r="BH21" i="51" s="1"/>
  <c r="P21" i="51"/>
  <c r="BG21" i="51" s="1"/>
  <c r="O21" i="51"/>
  <c r="BF21" i="51" s="1"/>
  <c r="N21" i="51"/>
  <c r="BE21" i="51" s="1"/>
  <c r="M21" i="51"/>
  <c r="BD21" i="51" s="1"/>
  <c r="R48" i="51"/>
  <c r="BI48" i="51" s="1"/>
  <c r="Q48" i="51"/>
  <c r="BH48" i="51" s="1"/>
  <c r="P48" i="51"/>
  <c r="BG48" i="51" s="1"/>
  <c r="O48" i="51"/>
  <c r="BF48" i="51" s="1"/>
  <c r="N48" i="51"/>
  <c r="BE48" i="51" s="1"/>
  <c r="M48" i="51"/>
  <c r="BD48" i="51" s="1"/>
  <c r="R46" i="51"/>
  <c r="BI46" i="51" s="1"/>
  <c r="Q46" i="51"/>
  <c r="BH46" i="51" s="1"/>
  <c r="P46" i="51"/>
  <c r="BG46" i="51" s="1"/>
  <c r="O46" i="51"/>
  <c r="BF46" i="51" s="1"/>
  <c r="N46" i="51"/>
  <c r="BE46" i="51" s="1"/>
  <c r="M46" i="51"/>
  <c r="BD46" i="51" s="1"/>
  <c r="R47" i="51"/>
  <c r="BI47" i="51" s="1"/>
  <c r="Q47" i="51"/>
  <c r="BH47" i="51" s="1"/>
  <c r="P47" i="51"/>
  <c r="BG47" i="51" s="1"/>
  <c r="O47" i="51"/>
  <c r="BF47" i="51" s="1"/>
  <c r="N47" i="51"/>
  <c r="BE47" i="51" s="1"/>
  <c r="M47" i="51"/>
  <c r="BD47" i="51" s="1"/>
  <c r="R58" i="51"/>
  <c r="BI58" i="51" s="1"/>
  <c r="Q58" i="51"/>
  <c r="BH58" i="51" s="1"/>
  <c r="P58" i="51"/>
  <c r="BG58" i="51" s="1"/>
  <c r="O58" i="51"/>
  <c r="BF58" i="51" s="1"/>
  <c r="N58" i="51"/>
  <c r="BE58" i="51" s="1"/>
  <c r="M58" i="51"/>
  <c r="BD58" i="51" s="1"/>
  <c r="R28" i="51"/>
  <c r="Q28" i="51"/>
  <c r="P28" i="51"/>
  <c r="O28" i="51"/>
  <c r="N28" i="51"/>
  <c r="M28" i="51"/>
  <c r="BD28" i="51" s="1"/>
  <c r="R41" i="51"/>
  <c r="BI41" i="51" s="1"/>
  <c r="Q41" i="51"/>
  <c r="BH41" i="51" s="1"/>
  <c r="P41" i="51"/>
  <c r="BG41" i="51" s="1"/>
  <c r="O41" i="51"/>
  <c r="BF41" i="51" s="1"/>
  <c r="N41" i="51"/>
  <c r="BE41" i="51" s="1"/>
  <c r="M41" i="51"/>
  <c r="BD41" i="51" s="1"/>
  <c r="K29" i="51"/>
  <c r="BB29" i="51" s="1"/>
  <c r="J29" i="51"/>
  <c r="BA29" i="51" s="1"/>
  <c r="I29" i="51"/>
  <c r="AZ29" i="51" s="1"/>
  <c r="H29" i="51"/>
  <c r="AY29" i="51" s="1"/>
  <c r="G29" i="51"/>
  <c r="AX29" i="51" s="1"/>
  <c r="F29" i="51"/>
  <c r="AW29" i="51" s="1"/>
  <c r="K21" i="51"/>
  <c r="BB21" i="51" s="1"/>
  <c r="J21" i="51"/>
  <c r="BA21" i="51" s="1"/>
  <c r="I21" i="51"/>
  <c r="AZ21" i="51" s="1"/>
  <c r="H21" i="51"/>
  <c r="AY21" i="51" s="1"/>
  <c r="G21" i="51"/>
  <c r="AX21" i="51" s="1"/>
  <c r="F21" i="51"/>
  <c r="AW21" i="51" s="1"/>
  <c r="K48" i="51"/>
  <c r="BB48" i="51" s="1"/>
  <c r="J48" i="51"/>
  <c r="BA48" i="51" s="1"/>
  <c r="I48" i="51"/>
  <c r="AZ48" i="51" s="1"/>
  <c r="H48" i="51"/>
  <c r="AY48" i="51" s="1"/>
  <c r="G48" i="51"/>
  <c r="AX48" i="51" s="1"/>
  <c r="F48" i="51"/>
  <c r="AW48" i="51" s="1"/>
  <c r="K46" i="51"/>
  <c r="BB46" i="51" s="1"/>
  <c r="J46" i="51"/>
  <c r="BA46" i="51" s="1"/>
  <c r="I46" i="51"/>
  <c r="AZ46" i="51" s="1"/>
  <c r="H46" i="51"/>
  <c r="AY46" i="51" s="1"/>
  <c r="G46" i="51"/>
  <c r="AX46" i="51" s="1"/>
  <c r="F46" i="51"/>
  <c r="AW46" i="51" s="1"/>
  <c r="K47" i="51"/>
  <c r="BB47" i="51" s="1"/>
  <c r="J47" i="51"/>
  <c r="BA47" i="51" s="1"/>
  <c r="I47" i="51"/>
  <c r="AZ47" i="51" s="1"/>
  <c r="H47" i="51"/>
  <c r="AY47" i="51" s="1"/>
  <c r="G47" i="51"/>
  <c r="AX47" i="51" s="1"/>
  <c r="F47" i="51"/>
  <c r="AW47" i="51" s="1"/>
  <c r="K28" i="51"/>
  <c r="BB28" i="51" s="1"/>
  <c r="J28" i="51"/>
  <c r="BA28" i="51" s="1"/>
  <c r="I28" i="51"/>
  <c r="AZ28" i="51" s="1"/>
  <c r="H28" i="51"/>
  <c r="AY28" i="51" s="1"/>
  <c r="G28" i="51"/>
  <c r="AX28" i="51" s="1"/>
  <c r="F28" i="51"/>
  <c r="AW28" i="51" s="1"/>
  <c r="K58" i="51"/>
  <c r="BB58" i="51" s="1"/>
  <c r="J58" i="51"/>
  <c r="BA58" i="51" s="1"/>
  <c r="I58" i="51"/>
  <c r="AZ58" i="51" s="1"/>
  <c r="H58" i="51"/>
  <c r="AY58" i="51" s="1"/>
  <c r="G58" i="51"/>
  <c r="AX58" i="51" s="1"/>
  <c r="F58" i="51"/>
  <c r="AW58" i="51" s="1"/>
  <c r="J27" i="51"/>
  <c r="BA27" i="51" s="1"/>
  <c r="F27" i="51"/>
  <c r="AW27" i="51" s="1"/>
  <c r="K23" i="51"/>
  <c r="J23" i="51"/>
  <c r="I23" i="51"/>
  <c r="H23" i="51"/>
  <c r="G23" i="51"/>
  <c r="F23" i="51"/>
  <c r="AW23" i="51" s="1"/>
  <c r="K17" i="51"/>
  <c r="J17" i="51"/>
  <c r="I17" i="51"/>
  <c r="H17" i="51"/>
  <c r="G17" i="51"/>
  <c r="F17" i="51"/>
  <c r="AW17" i="51" s="1"/>
  <c r="K38" i="51"/>
  <c r="BB38" i="51" s="1"/>
  <c r="J38" i="51"/>
  <c r="BA38" i="51" s="1"/>
  <c r="I38" i="51"/>
  <c r="AZ38" i="51" s="1"/>
  <c r="H38" i="51"/>
  <c r="AY38" i="51" s="1"/>
  <c r="G38" i="51"/>
  <c r="AX38" i="51" s="1"/>
  <c r="F38" i="51"/>
  <c r="AW38" i="51" s="1"/>
  <c r="K36" i="51"/>
  <c r="BB36" i="51" s="1"/>
  <c r="J36" i="51"/>
  <c r="BA36" i="51" s="1"/>
  <c r="I36" i="51"/>
  <c r="AZ36" i="51" s="1"/>
  <c r="H36" i="51"/>
  <c r="AY36" i="51" s="1"/>
  <c r="G36" i="51"/>
  <c r="AX36" i="51" s="1"/>
  <c r="F36" i="51"/>
  <c r="AW36" i="51" s="1"/>
  <c r="BN66" i="50" l="1"/>
  <c r="AA131" i="50"/>
  <c r="BM131" i="50" s="1"/>
  <c r="AA11" i="51"/>
  <c r="BR11" i="51" s="1"/>
  <c r="AB161" i="50"/>
  <c r="BN161" i="50" s="1"/>
  <c r="AH131" i="50"/>
  <c r="BT131" i="50" s="1"/>
  <c r="AI35" i="50"/>
  <c r="BT147" i="50"/>
  <c r="AC131" i="50"/>
  <c r="BO131" i="50" s="1"/>
  <c r="D66" i="85" s="1"/>
  <c r="BM147" i="50"/>
  <c r="BM167" i="50"/>
  <c r="AB167" i="50"/>
  <c r="BT165" i="50"/>
  <c r="AI165" i="50"/>
  <c r="BU165" i="50" s="1"/>
  <c r="I15" i="51"/>
  <c r="AZ15" i="51" s="1"/>
  <c r="AZ17" i="51"/>
  <c r="R25" i="51"/>
  <c r="BI25" i="51" s="1"/>
  <c r="BI28" i="51"/>
  <c r="AF67" i="51"/>
  <c r="BW67" i="51" s="1"/>
  <c r="BW74" i="51"/>
  <c r="AL21" i="50"/>
  <c r="BW21" i="50"/>
  <c r="AJ116" i="50"/>
  <c r="BU116" i="50"/>
  <c r="BS18" i="51"/>
  <c r="AB11" i="51"/>
  <c r="BS11" i="51" s="1"/>
  <c r="AL114" i="50"/>
  <c r="BW114" i="50"/>
  <c r="BM158" i="50"/>
  <c r="AB158" i="50"/>
  <c r="AT50" i="51"/>
  <c r="CK50" i="51" s="1"/>
  <c r="CK51" i="51"/>
  <c r="J15" i="51"/>
  <c r="BA15" i="51" s="1"/>
  <c r="BA17" i="51"/>
  <c r="AS15" i="51"/>
  <c r="CJ15" i="51" s="1"/>
  <c r="CJ16" i="51"/>
  <c r="AF79" i="51"/>
  <c r="BW79" i="51" s="1"/>
  <c r="BW83" i="51"/>
  <c r="AI154" i="50"/>
  <c r="BU154" i="50" s="1"/>
  <c r="AH11" i="51"/>
  <c r="BY11" i="51" s="1"/>
  <c r="AE11" i="51"/>
  <c r="BV11" i="51" s="1"/>
  <c r="BV18" i="51"/>
  <c r="AD20" i="50"/>
  <c r="BO20" i="50"/>
  <c r="AE17" i="50"/>
  <c r="BP17" i="50"/>
  <c r="K22" i="51"/>
  <c r="BB22" i="51" s="1"/>
  <c r="BB23" i="51"/>
  <c r="AC79" i="51"/>
  <c r="BT79" i="51" s="1"/>
  <c r="BT83" i="51"/>
  <c r="X34" i="51"/>
  <c r="BO41" i="51"/>
  <c r="Y34" i="51"/>
  <c r="BP41" i="51"/>
  <c r="U25" i="51"/>
  <c r="BL25" i="51" s="1"/>
  <c r="BL28" i="51"/>
  <c r="AT15" i="51"/>
  <c r="CK15" i="51" s="1"/>
  <c r="CK16" i="51"/>
  <c r="AA79" i="51"/>
  <c r="BR79" i="51" s="1"/>
  <c r="BR83" i="51"/>
  <c r="AD79" i="51"/>
  <c r="BU79" i="51" s="1"/>
  <c r="BU83" i="51"/>
  <c r="AM79" i="51"/>
  <c r="CD79" i="51" s="1"/>
  <c r="CD83" i="51"/>
  <c r="AL67" i="51"/>
  <c r="CC67" i="51" s="1"/>
  <c r="CC74" i="51"/>
  <c r="AK79" i="51"/>
  <c r="CB79" i="51" s="1"/>
  <c r="CB83" i="51"/>
  <c r="AA67" i="51"/>
  <c r="BR67" i="51" s="1"/>
  <c r="BR74" i="51"/>
  <c r="AE15" i="50"/>
  <c r="BP15" i="50"/>
  <c r="AJ127" i="50"/>
  <c r="BU127" i="50"/>
  <c r="AK130" i="50"/>
  <c r="BV130" i="50"/>
  <c r="AL113" i="50"/>
  <c r="BW113" i="50"/>
  <c r="AF11" i="51"/>
  <c r="BW11" i="51" s="1"/>
  <c r="BW30" i="51"/>
  <c r="AD67" i="51"/>
  <c r="BU67" i="51" s="1"/>
  <c r="BU74" i="51"/>
  <c r="K15" i="51"/>
  <c r="BB15" i="51" s="1"/>
  <c r="BB17" i="51"/>
  <c r="V25" i="51"/>
  <c r="BM25" i="51" s="1"/>
  <c r="BM28" i="51"/>
  <c r="AH67" i="51"/>
  <c r="BY67" i="51" s="1"/>
  <c r="BY74" i="51"/>
  <c r="AC67" i="51"/>
  <c r="BT67" i="51" s="1"/>
  <c r="BT74" i="51"/>
  <c r="AL20" i="50"/>
  <c r="BW20" i="50"/>
  <c r="AK16" i="50"/>
  <c r="BV16" i="50"/>
  <c r="W25" i="51"/>
  <c r="BN25" i="51" s="1"/>
  <c r="BN28" i="51"/>
  <c r="AE67" i="51"/>
  <c r="BV67" i="51" s="1"/>
  <c r="BV74" i="51"/>
  <c r="BT136" i="50"/>
  <c r="AA178" i="50"/>
  <c r="BM178" i="50" s="1"/>
  <c r="AK15" i="50"/>
  <c r="BV15" i="50"/>
  <c r="AL11" i="51"/>
  <c r="CC11" i="51" s="1"/>
  <c r="CC30" i="51"/>
  <c r="AK118" i="50"/>
  <c r="BV118" i="50"/>
  <c r="AC11" i="51"/>
  <c r="BT11" i="51" s="1"/>
  <c r="BT18" i="51"/>
  <c r="AE16" i="50"/>
  <c r="BP16" i="50"/>
  <c r="AI157" i="50"/>
  <c r="G22" i="51"/>
  <c r="AX22" i="51" s="1"/>
  <c r="AX23" i="51"/>
  <c r="N25" i="51"/>
  <c r="BE25" i="51" s="1"/>
  <c r="BE28" i="51"/>
  <c r="AP50" i="51"/>
  <c r="CG50" i="51" s="1"/>
  <c r="CG51" i="51"/>
  <c r="AJ67" i="51"/>
  <c r="CA67" i="51" s="1"/>
  <c r="CA74" i="51"/>
  <c r="AE79" i="51"/>
  <c r="BV79" i="51" s="1"/>
  <c r="BV83" i="51"/>
  <c r="AD131" i="50"/>
  <c r="BP131" i="50" s="1"/>
  <c r="E66" i="85" s="1"/>
  <c r="AI11" i="51"/>
  <c r="BZ11" i="51" s="1"/>
  <c r="H22" i="51"/>
  <c r="AY22" i="51" s="1"/>
  <c r="AY23" i="51"/>
  <c r="O25" i="51"/>
  <c r="BF25" i="51" s="1"/>
  <c r="BF28" i="51"/>
  <c r="X25" i="51"/>
  <c r="BO25" i="51" s="1"/>
  <c r="BO28" i="51"/>
  <c r="AQ50" i="51"/>
  <c r="CH50" i="51" s="1"/>
  <c r="CH51" i="51"/>
  <c r="AM67" i="51"/>
  <c r="CD67" i="51" s="1"/>
  <c r="CD74" i="51"/>
  <c r="AM11" i="51"/>
  <c r="CD11" i="51" s="1"/>
  <c r="AB157" i="50"/>
  <c r="BN157" i="50" s="1"/>
  <c r="CB18" i="51"/>
  <c r="AK11" i="51"/>
  <c r="CB11" i="51" s="1"/>
  <c r="AD11" i="51"/>
  <c r="BU11" i="51" s="1"/>
  <c r="BU18" i="51"/>
  <c r="AJ125" i="50"/>
  <c r="BU125" i="50"/>
  <c r="AE21" i="50"/>
  <c r="BP21" i="50"/>
  <c r="W34" i="51"/>
  <c r="BN41" i="51"/>
  <c r="AR15" i="51"/>
  <c r="CI15" i="51" s="1"/>
  <c r="CI16" i="51"/>
  <c r="AK67" i="51"/>
  <c r="CB67" i="51" s="1"/>
  <c r="CB74" i="51"/>
  <c r="G15" i="51"/>
  <c r="AX15" i="51" s="1"/>
  <c r="AX17" i="51"/>
  <c r="P25" i="51"/>
  <c r="BG25" i="51" s="1"/>
  <c r="BG28" i="51"/>
  <c r="U34" i="51"/>
  <c r="BL41" i="51"/>
  <c r="Y25" i="51"/>
  <c r="BP25" i="51" s="1"/>
  <c r="BP28" i="51"/>
  <c r="AP15" i="51"/>
  <c r="CG15" i="51" s="1"/>
  <c r="CG16" i="51"/>
  <c r="AR50" i="51"/>
  <c r="CI50" i="51" s="1"/>
  <c r="CI51" i="51"/>
  <c r="AB79" i="51"/>
  <c r="BS79" i="51" s="1"/>
  <c r="BS83" i="51"/>
  <c r="AI79" i="51"/>
  <c r="BZ79" i="51" s="1"/>
  <c r="BZ83" i="51"/>
  <c r="AJ79" i="51"/>
  <c r="CA79" i="51" s="1"/>
  <c r="CA83" i="51"/>
  <c r="BN117" i="50"/>
  <c r="AC117" i="50"/>
  <c r="AE22" i="50"/>
  <c r="BP22" i="50"/>
  <c r="AK22" i="50"/>
  <c r="BV22" i="50"/>
  <c r="AK117" i="50"/>
  <c r="BV117" i="50"/>
  <c r="AL17" i="50"/>
  <c r="BW17" i="50"/>
  <c r="I22" i="51"/>
  <c r="AZ22" i="51" s="1"/>
  <c r="AZ23" i="51"/>
  <c r="H15" i="51"/>
  <c r="AY15" i="51" s="1"/>
  <c r="AY17" i="51"/>
  <c r="J22" i="51"/>
  <c r="BA22" i="51" s="1"/>
  <c r="BA23" i="51"/>
  <c r="Q25" i="51"/>
  <c r="BH25" i="51" s="1"/>
  <c r="BH28" i="51"/>
  <c r="V34" i="51"/>
  <c r="BM41" i="51"/>
  <c r="AQ15" i="51"/>
  <c r="CH15" i="51" s="1"/>
  <c r="CH16" i="51"/>
  <c r="AS50" i="51"/>
  <c r="CJ50" i="51" s="1"/>
  <c r="CJ51" i="51"/>
  <c r="AB131" i="50"/>
  <c r="BN131" i="50" s="1"/>
  <c r="C66" i="85" s="1"/>
  <c r="AL79" i="51"/>
  <c r="CC79" i="51" s="1"/>
  <c r="CC83" i="51"/>
  <c r="AI67" i="51"/>
  <c r="BZ67" i="51" s="1"/>
  <c r="BZ74" i="51"/>
  <c r="AB67" i="51"/>
  <c r="BS67" i="51" s="1"/>
  <c r="BS74" i="51"/>
  <c r="AH79" i="51"/>
  <c r="BY79" i="51" s="1"/>
  <c r="BY83" i="51"/>
  <c r="AL121" i="50"/>
  <c r="BW121" i="50"/>
  <c r="AK122" i="50"/>
  <c r="BV122" i="50"/>
  <c r="AL124" i="50"/>
  <c r="BW124" i="50"/>
  <c r="AB154" i="50"/>
  <c r="BN154" i="50" s="1"/>
  <c r="AA187" i="50"/>
  <c r="BM187" i="50" s="1"/>
  <c r="AC35" i="50"/>
  <c r="BO35" i="50" s="1"/>
  <c r="D61" i="85" s="1"/>
  <c r="AJ162" i="50"/>
  <c r="AK162" i="50" s="1"/>
  <c r="AI161" i="50"/>
  <c r="AJ161" i="50" s="1"/>
  <c r="AI167" i="50"/>
  <c r="AF131" i="50"/>
  <c r="BR131" i="50" s="1"/>
  <c r="G66" i="85" s="1"/>
  <c r="BR136" i="50"/>
  <c r="AD162" i="50"/>
  <c r="BO162" i="50"/>
  <c r="AA176" i="50"/>
  <c r="BM176" i="50" s="1"/>
  <c r="BM156" i="50"/>
  <c r="AC182" i="50"/>
  <c r="BO182" i="50" s="1"/>
  <c r="AA174" i="50"/>
  <c r="BM174" i="50" s="1"/>
  <c r="AD67" i="50"/>
  <c r="BO67" i="50"/>
  <c r="AJ154" i="50"/>
  <c r="AA35" i="50"/>
  <c r="BM35" i="50" s="1"/>
  <c r="BM44" i="50"/>
  <c r="AC167" i="50"/>
  <c r="BN167" i="50"/>
  <c r="AL131" i="50"/>
  <c r="BX131" i="50" s="1"/>
  <c r="F90" i="85" s="1"/>
  <c r="BX136" i="50"/>
  <c r="AJ131" i="50"/>
  <c r="BV131" i="50" s="1"/>
  <c r="D90" i="85" s="1"/>
  <c r="BV136" i="50"/>
  <c r="AJ165" i="50"/>
  <c r="AC164" i="50"/>
  <c r="BN164" i="50"/>
  <c r="AE35" i="50"/>
  <c r="BQ35" i="50" s="1"/>
  <c r="F61" i="85" s="1"/>
  <c r="AF35" i="50"/>
  <c r="BR35" i="50" s="1"/>
  <c r="G61" i="85" s="1"/>
  <c r="AM131" i="50"/>
  <c r="BY131" i="50" s="1"/>
  <c r="G90" i="85" s="1"/>
  <c r="BY136" i="50"/>
  <c r="AB35" i="50"/>
  <c r="AA177" i="50"/>
  <c r="BM177" i="50" s="1"/>
  <c r="AD170" i="50"/>
  <c r="BO170" i="50"/>
  <c r="AK131" i="50"/>
  <c r="BW131" i="50" s="1"/>
  <c r="E90" i="85" s="1"/>
  <c r="BW136" i="50"/>
  <c r="AI156" i="50"/>
  <c r="BU156" i="50" s="1"/>
  <c r="BU136" i="50"/>
  <c r="AD66" i="50"/>
  <c r="BO66" i="50"/>
  <c r="AE131" i="50"/>
  <c r="BQ131" i="50" s="1"/>
  <c r="F66" i="85" s="1"/>
  <c r="BQ136" i="50"/>
  <c r="AC71" i="50"/>
  <c r="BN71" i="50"/>
  <c r="AD72" i="50"/>
  <c r="BO72" i="50"/>
  <c r="AA185" i="50"/>
  <c r="BM185" i="50" s="1"/>
  <c r="AB165" i="50"/>
  <c r="AB185" i="50" s="1"/>
  <c r="BN185" i="50" s="1"/>
  <c r="AK170" i="50"/>
  <c r="BV170" i="50"/>
  <c r="AB156" i="50"/>
  <c r="AJ158" i="50"/>
  <c r="BU158" i="50"/>
  <c r="AJ164" i="50"/>
  <c r="BU164" i="50"/>
  <c r="C85" i="67"/>
  <c r="BU35" i="50"/>
  <c r="C85" i="85" s="1"/>
  <c r="AJ60" i="51"/>
  <c r="CA60" i="51" s="1"/>
  <c r="AC157" i="50"/>
  <c r="BO157" i="50" s="1"/>
  <c r="AB177" i="50"/>
  <c r="BN177" i="50" s="1"/>
  <c r="AF26" i="7"/>
  <c r="E61" i="67"/>
  <c r="AD56" i="53"/>
  <c r="AJ56" i="53"/>
  <c r="CM56" i="53" s="1"/>
  <c r="U105" i="85" s="1"/>
  <c r="Z105" i="85" s="1"/>
  <c r="AL26" i="7"/>
  <c r="AK60" i="51"/>
  <c r="CB60" i="51" s="1"/>
  <c r="AA60" i="51"/>
  <c r="BR60" i="51" s="1"/>
  <c r="AI60" i="51"/>
  <c r="BZ60" i="51" s="1"/>
  <c r="AM60" i="51"/>
  <c r="CD60" i="51" s="1"/>
  <c r="J39" i="51"/>
  <c r="BA39" i="51" s="1"/>
  <c r="G26" i="51"/>
  <c r="AX26" i="51" s="1"/>
  <c r="K26" i="51"/>
  <c r="BB26" i="51" s="1"/>
  <c r="J45" i="51"/>
  <c r="BA45" i="51" s="1"/>
  <c r="N40" i="51"/>
  <c r="R40" i="51"/>
  <c r="P45" i="51"/>
  <c r="BG45" i="51" s="1"/>
  <c r="U18" i="51"/>
  <c r="BL18" i="51" s="1"/>
  <c r="Y18" i="51"/>
  <c r="BP18" i="51" s="1"/>
  <c r="W45" i="51"/>
  <c r="BN45" i="51" s="1"/>
  <c r="AR26" i="51"/>
  <c r="AQ58" i="51"/>
  <c r="CH58" i="51" s="1"/>
  <c r="AF60" i="51"/>
  <c r="BW60" i="51" s="1"/>
  <c r="F39" i="51"/>
  <c r="F35" i="51"/>
  <c r="AW35" i="51" s="1"/>
  <c r="J35" i="51"/>
  <c r="BA35" i="51" s="1"/>
  <c r="H35" i="51"/>
  <c r="AY35" i="51" s="1"/>
  <c r="F20" i="51"/>
  <c r="J20" i="51"/>
  <c r="BA20" i="51" s="1"/>
  <c r="I35" i="51"/>
  <c r="AZ35" i="51" s="1"/>
  <c r="I39" i="51"/>
  <c r="AZ39" i="51" s="1"/>
  <c r="F41" i="51"/>
  <c r="J41" i="51"/>
  <c r="BA41" i="51" s="1"/>
  <c r="I27" i="51"/>
  <c r="AZ27" i="51" s="1"/>
  <c r="F26" i="51"/>
  <c r="J26" i="51"/>
  <c r="G20" i="51"/>
  <c r="AX20" i="51" s="1"/>
  <c r="K20" i="51"/>
  <c r="BB20" i="51" s="1"/>
  <c r="M40" i="51"/>
  <c r="Q40" i="51"/>
  <c r="AQ26" i="51"/>
  <c r="AP58" i="51"/>
  <c r="CG58" i="51" s="1"/>
  <c r="AT58" i="51"/>
  <c r="CK58" i="51" s="1"/>
  <c r="H20" i="51"/>
  <c r="AY20" i="51" s="1"/>
  <c r="G35" i="51"/>
  <c r="AX35" i="51" s="1"/>
  <c r="K35" i="51"/>
  <c r="BB35" i="51" s="1"/>
  <c r="G27" i="51"/>
  <c r="K27" i="51"/>
  <c r="BB27" i="51" s="1"/>
  <c r="F69" i="62"/>
  <c r="AW69" i="62" s="1"/>
  <c r="I20" i="51"/>
  <c r="AZ20" i="51" s="1"/>
  <c r="G41" i="51"/>
  <c r="AX41" i="51" s="1"/>
  <c r="I107" i="51"/>
  <c r="AZ107" i="51" s="1"/>
  <c r="H107" i="51"/>
  <c r="AY107" i="51" s="1"/>
  <c r="J107" i="51"/>
  <c r="BA107" i="51" s="1"/>
  <c r="G107" i="51"/>
  <c r="AX107" i="51" s="1"/>
  <c r="F107" i="51"/>
  <c r="AW107" i="51" s="1"/>
  <c r="K107" i="51"/>
  <c r="BB107" i="51" s="1"/>
  <c r="G39" i="51"/>
  <c r="AX39" i="51" s="1"/>
  <c r="K39" i="51"/>
  <c r="BB39" i="51" s="1"/>
  <c r="H41" i="51"/>
  <c r="AY41" i="51" s="1"/>
  <c r="H26" i="51"/>
  <c r="AY26" i="51" s="1"/>
  <c r="H96" i="51"/>
  <c r="AY96" i="51" s="1"/>
  <c r="F96" i="51"/>
  <c r="AW96" i="51" s="1"/>
  <c r="K96" i="51"/>
  <c r="BB96" i="51" s="1"/>
  <c r="AH46" i="50" s="1"/>
  <c r="J96" i="51"/>
  <c r="BA96" i="51" s="1"/>
  <c r="G96" i="51"/>
  <c r="AX96" i="51" s="1"/>
  <c r="I96" i="51"/>
  <c r="AZ96" i="51" s="1"/>
  <c r="G45" i="51"/>
  <c r="AX45" i="51" s="1"/>
  <c r="K45" i="51"/>
  <c r="BB45" i="51" s="1"/>
  <c r="E21" i="51"/>
  <c r="AV21" i="51" s="1"/>
  <c r="F70" i="62"/>
  <c r="K78" i="51"/>
  <c r="BB78" i="51" s="1"/>
  <c r="AH42" i="50" s="1"/>
  <c r="J78" i="51"/>
  <c r="BA78" i="51" s="1"/>
  <c r="H78" i="51"/>
  <c r="AY78" i="51" s="1"/>
  <c r="F78" i="51"/>
  <c r="AW78" i="51" s="1"/>
  <c r="G78" i="51"/>
  <c r="AX78" i="51" s="1"/>
  <c r="I78" i="51"/>
  <c r="AZ78" i="51" s="1"/>
  <c r="O40" i="51"/>
  <c r="M45" i="51"/>
  <c r="BD45" i="51" s="1"/>
  <c r="P95" i="51"/>
  <c r="BG95" i="51" s="1"/>
  <c r="AM45" i="50" s="1"/>
  <c r="Q95" i="51"/>
  <c r="BH95" i="51" s="1"/>
  <c r="M95" i="51"/>
  <c r="BD95" i="51" s="1"/>
  <c r="AJ45" i="50" s="1"/>
  <c r="R95" i="51"/>
  <c r="BI95" i="51" s="1"/>
  <c r="O95" i="51"/>
  <c r="BF95" i="51" s="1"/>
  <c r="AL45" i="50" s="1"/>
  <c r="N95" i="51"/>
  <c r="BE95" i="51" s="1"/>
  <c r="AK45" i="50" s="1"/>
  <c r="Q45" i="51"/>
  <c r="BH45" i="51" s="1"/>
  <c r="P97" i="51"/>
  <c r="BG97" i="51" s="1"/>
  <c r="AM47" i="50" s="1"/>
  <c r="BY47" i="50" s="1"/>
  <c r="Y90" i="51"/>
  <c r="T34" i="51"/>
  <c r="X90" i="51"/>
  <c r="T90" i="51"/>
  <c r="W90" i="51"/>
  <c r="U90" i="51"/>
  <c r="V90" i="51"/>
  <c r="T45" i="51"/>
  <c r="BK45" i="51" s="1"/>
  <c r="U95" i="51"/>
  <c r="BL95" i="51" s="1"/>
  <c r="W95" i="51"/>
  <c r="BN95" i="51" s="1"/>
  <c r="V95" i="51"/>
  <c r="BM95" i="51" s="1"/>
  <c r="T95" i="51"/>
  <c r="BK95" i="51" s="1"/>
  <c r="Y95" i="51"/>
  <c r="BP95" i="51" s="1"/>
  <c r="X95" i="51"/>
  <c r="BO95" i="51" s="1"/>
  <c r="X45" i="51"/>
  <c r="BO45" i="51" s="1"/>
  <c r="AO26" i="51"/>
  <c r="CF26" i="51" s="1"/>
  <c r="AS26" i="51"/>
  <c r="E52" i="51"/>
  <c r="F101" i="62"/>
  <c r="AW101" i="62" s="1"/>
  <c r="E50" i="62"/>
  <c r="AV50" i="62" s="1"/>
  <c r="AQ96" i="51"/>
  <c r="CH96" i="51" s="1"/>
  <c r="AS96" i="51"/>
  <c r="CJ96" i="51" s="1"/>
  <c r="AP96" i="51"/>
  <c r="CG96" i="51" s="1"/>
  <c r="AO96" i="51"/>
  <c r="CF96" i="51" s="1"/>
  <c r="AR96" i="51"/>
  <c r="CI96" i="51" s="1"/>
  <c r="AT96" i="51"/>
  <c r="CK96" i="51" s="1"/>
  <c r="AR58" i="51"/>
  <c r="CI58" i="51" s="1"/>
  <c r="AI131" i="50"/>
  <c r="BU131" i="50" s="1"/>
  <c r="C90" i="85" s="1"/>
  <c r="K41" i="51"/>
  <c r="BB41" i="51" s="1"/>
  <c r="F76" i="51"/>
  <c r="AW76" i="51" s="1"/>
  <c r="G95" i="51"/>
  <c r="AX95" i="51" s="1"/>
  <c r="J95" i="51"/>
  <c r="BA95" i="51" s="1"/>
  <c r="K95" i="51"/>
  <c r="BB95" i="51" s="1"/>
  <c r="AH45" i="50" s="1"/>
  <c r="F95" i="51"/>
  <c r="AW95" i="51" s="1"/>
  <c r="H95" i="51"/>
  <c r="AY95" i="51" s="1"/>
  <c r="I95" i="51"/>
  <c r="AZ95" i="51" s="1"/>
  <c r="F45" i="51"/>
  <c r="AW45" i="51" s="1"/>
  <c r="J66" i="51"/>
  <c r="F15" i="51"/>
  <c r="AW15" i="51" s="1"/>
  <c r="K66" i="51"/>
  <c r="G66" i="51"/>
  <c r="F66" i="51"/>
  <c r="I66" i="51"/>
  <c r="H66" i="51"/>
  <c r="K87" i="51"/>
  <c r="BB87" i="51" s="1"/>
  <c r="J87" i="51"/>
  <c r="BA87" i="51" s="1"/>
  <c r="I87" i="51"/>
  <c r="AZ87" i="51" s="1"/>
  <c r="G87" i="51"/>
  <c r="AX87" i="51" s="1"/>
  <c r="H87" i="51"/>
  <c r="AY87" i="51" s="1"/>
  <c r="F87" i="51"/>
  <c r="AW87" i="51" s="1"/>
  <c r="H39" i="51"/>
  <c r="AY39" i="51" s="1"/>
  <c r="I41" i="51"/>
  <c r="AZ41" i="51" s="1"/>
  <c r="H27" i="51"/>
  <c r="AY27" i="51" s="1"/>
  <c r="I26" i="51"/>
  <c r="AZ26" i="51" s="1"/>
  <c r="H45" i="51"/>
  <c r="AY45" i="51" s="1"/>
  <c r="H70" i="51"/>
  <c r="AY70" i="51" s="1"/>
  <c r="K70" i="51"/>
  <c r="BB70" i="51" s="1"/>
  <c r="AH41" i="50" s="1"/>
  <c r="J70" i="51"/>
  <c r="BA70" i="51" s="1"/>
  <c r="I70" i="51"/>
  <c r="AZ70" i="51" s="1"/>
  <c r="F70" i="51"/>
  <c r="AW70" i="51" s="1"/>
  <c r="G70" i="51"/>
  <c r="AX70" i="51" s="1"/>
  <c r="P40" i="51"/>
  <c r="M96" i="51"/>
  <c r="BD96" i="51" s="1"/>
  <c r="AJ46" i="50" s="1"/>
  <c r="BV46" i="50" s="1"/>
  <c r="P96" i="51"/>
  <c r="BG96" i="51" s="1"/>
  <c r="AM46" i="50" s="1"/>
  <c r="BY46" i="50" s="1"/>
  <c r="R96" i="51"/>
  <c r="BI96" i="51" s="1"/>
  <c r="O96" i="51"/>
  <c r="BF96" i="51" s="1"/>
  <c r="AL46" i="50" s="1"/>
  <c r="BX46" i="50" s="1"/>
  <c r="Q96" i="51"/>
  <c r="BH96" i="51" s="1"/>
  <c r="N96" i="51"/>
  <c r="BE96" i="51" s="1"/>
  <c r="AK46" i="50" s="1"/>
  <c r="BW46" i="50" s="1"/>
  <c r="N45" i="51"/>
  <c r="BE45" i="51" s="1"/>
  <c r="R45" i="51"/>
  <c r="BI45" i="51" s="1"/>
  <c r="Q78" i="51"/>
  <c r="BH78" i="51" s="1"/>
  <c r="M78" i="51"/>
  <c r="BD78" i="51" s="1"/>
  <c r="AJ42" i="50" s="1"/>
  <c r="BV42" i="50" s="1"/>
  <c r="R78" i="51"/>
  <c r="BI78" i="51" s="1"/>
  <c r="P78" i="51"/>
  <c r="BG78" i="51" s="1"/>
  <c r="AM42" i="50" s="1"/>
  <c r="BY42" i="50" s="1"/>
  <c r="N78" i="51"/>
  <c r="BE78" i="51" s="1"/>
  <c r="AK42" i="50" s="1"/>
  <c r="BW42" i="50" s="1"/>
  <c r="O78" i="51"/>
  <c r="BF78" i="51" s="1"/>
  <c r="AL42" i="50" s="1"/>
  <c r="BX42" i="50" s="1"/>
  <c r="T96" i="51"/>
  <c r="BK96" i="51" s="1"/>
  <c r="V96" i="51"/>
  <c r="BM96" i="51" s="1"/>
  <c r="W96" i="51"/>
  <c r="BN96" i="51" s="1"/>
  <c r="U96" i="51"/>
  <c r="BL96" i="51" s="1"/>
  <c r="X96" i="51"/>
  <c r="BO96" i="51" s="1"/>
  <c r="Y96" i="51"/>
  <c r="BP96" i="51" s="1"/>
  <c r="U45" i="51"/>
  <c r="BL45" i="51" s="1"/>
  <c r="Y45" i="51"/>
  <c r="BP45" i="51" s="1"/>
  <c r="V78" i="51"/>
  <c r="BM78" i="51" s="1"/>
  <c r="W78" i="51"/>
  <c r="BN78" i="51" s="1"/>
  <c r="Y78" i="51"/>
  <c r="BP78" i="51" s="1"/>
  <c r="T78" i="51"/>
  <c r="BK78" i="51" s="1"/>
  <c r="U78" i="51"/>
  <c r="BL78" i="51" s="1"/>
  <c r="X78" i="51"/>
  <c r="BO78" i="51" s="1"/>
  <c r="AP26" i="51"/>
  <c r="AT26" i="51"/>
  <c r="AQ100" i="51"/>
  <c r="AO50" i="51"/>
  <c r="CF50" i="51" s="1"/>
  <c r="AT100" i="51"/>
  <c r="AR100" i="51"/>
  <c r="AO100" i="51"/>
  <c r="AS100" i="51"/>
  <c r="AP100" i="51"/>
  <c r="AO58" i="51"/>
  <c r="CF58" i="51" s="1"/>
  <c r="AS58" i="51"/>
  <c r="CJ58" i="51" s="1"/>
  <c r="F22" i="51"/>
  <c r="AW22" i="51" s="1"/>
  <c r="H72" i="51"/>
  <c r="J72" i="51"/>
  <c r="I72" i="51"/>
  <c r="F72" i="51"/>
  <c r="G72" i="51"/>
  <c r="K72" i="51"/>
  <c r="G77" i="51"/>
  <c r="AX77" i="51" s="1"/>
  <c r="F77" i="51"/>
  <c r="AW77" i="51" s="1"/>
  <c r="J77" i="51"/>
  <c r="BA77" i="51" s="1"/>
  <c r="H77" i="51"/>
  <c r="AY77" i="51" s="1"/>
  <c r="I77" i="51"/>
  <c r="AZ77" i="51" s="1"/>
  <c r="K77" i="51"/>
  <c r="BB77" i="51" s="1"/>
  <c r="I45" i="51"/>
  <c r="AZ45" i="51" s="1"/>
  <c r="G97" i="51"/>
  <c r="AX97" i="51" s="1"/>
  <c r="J97" i="51"/>
  <c r="BA97" i="51" s="1"/>
  <c r="K97" i="51"/>
  <c r="BB97" i="51" s="1"/>
  <c r="AH47" i="50" s="1"/>
  <c r="F97" i="51"/>
  <c r="AW97" i="51" s="1"/>
  <c r="H97" i="51"/>
  <c r="AY97" i="51" s="1"/>
  <c r="I97" i="51"/>
  <c r="AZ97" i="51" s="1"/>
  <c r="M107" i="51"/>
  <c r="BD107" i="51" s="1"/>
  <c r="R107" i="51"/>
  <c r="BI107" i="51" s="1"/>
  <c r="P107" i="51"/>
  <c r="BG107" i="51" s="1"/>
  <c r="N107" i="51"/>
  <c r="BE107" i="51" s="1"/>
  <c r="O107" i="51"/>
  <c r="BF107" i="51" s="1"/>
  <c r="Q107" i="51"/>
  <c r="BH107" i="51" s="1"/>
  <c r="O45" i="51"/>
  <c r="BF45" i="51" s="1"/>
  <c r="M70" i="51"/>
  <c r="BD70" i="51" s="1"/>
  <c r="AJ41" i="50" s="1"/>
  <c r="R70" i="51"/>
  <c r="BI70" i="51" s="1"/>
  <c r="O70" i="51"/>
  <c r="BF70" i="51" s="1"/>
  <c r="AL41" i="50" s="1"/>
  <c r="N70" i="51"/>
  <c r="BE70" i="51" s="1"/>
  <c r="AK41" i="50" s="1"/>
  <c r="Q70" i="51"/>
  <c r="BH70" i="51" s="1"/>
  <c r="P70" i="51"/>
  <c r="BG70" i="51" s="1"/>
  <c r="AM41" i="50" s="1"/>
  <c r="T77" i="51"/>
  <c r="U77" i="51"/>
  <c r="T25" i="51"/>
  <c r="W77" i="51"/>
  <c r="Y77" i="51"/>
  <c r="X77" i="51"/>
  <c r="V77" i="51"/>
  <c r="V45" i="51"/>
  <c r="BM45" i="51" s="1"/>
  <c r="X70" i="51"/>
  <c r="BO70" i="51" s="1"/>
  <c r="U70" i="51"/>
  <c r="BL70" i="51" s="1"/>
  <c r="Y70" i="51"/>
  <c r="BP70" i="51" s="1"/>
  <c r="V70" i="51"/>
  <c r="BM70" i="51" s="1"/>
  <c r="T70" i="51"/>
  <c r="BK70" i="51" s="1"/>
  <c r="W70" i="51"/>
  <c r="BN70" i="51" s="1"/>
  <c r="AQ65" i="51"/>
  <c r="AO65" i="51"/>
  <c r="AR65" i="51"/>
  <c r="AT65" i="51"/>
  <c r="AO15" i="51"/>
  <c r="CF15" i="51" s="1"/>
  <c r="AP65" i="51"/>
  <c r="AS65" i="51"/>
  <c r="AQ105" i="51"/>
  <c r="CH105" i="51" s="1"/>
  <c r="AT105" i="51"/>
  <c r="CK105" i="51" s="1"/>
  <c r="AS105" i="51"/>
  <c r="CJ105" i="51" s="1"/>
  <c r="AR105" i="51"/>
  <c r="CI105" i="51" s="1"/>
  <c r="AP105" i="51"/>
  <c r="CG105" i="51" s="1"/>
  <c r="AO105" i="51"/>
  <c r="CF105" i="51" s="1"/>
  <c r="K85" i="51"/>
  <c r="BB85" i="51" s="1"/>
  <c r="J85" i="51"/>
  <c r="BA85" i="51" s="1"/>
  <c r="I85" i="51"/>
  <c r="AZ85" i="51" s="1"/>
  <c r="G85" i="51"/>
  <c r="AX85" i="51" s="1"/>
  <c r="F85" i="51"/>
  <c r="AW85" i="51" s="1"/>
  <c r="H85" i="51"/>
  <c r="AY85" i="51" s="1"/>
  <c r="E29" i="51"/>
  <c r="AV29" i="51" s="1"/>
  <c r="F78" i="62"/>
  <c r="O90" i="51"/>
  <c r="BF90" i="51" s="1"/>
  <c r="P90" i="51"/>
  <c r="BG90" i="51" s="1"/>
  <c r="R90" i="51"/>
  <c r="BI90" i="51" s="1"/>
  <c r="N90" i="51"/>
  <c r="BE90" i="51" s="1"/>
  <c r="Q90" i="51"/>
  <c r="BH90" i="51" s="1"/>
  <c r="M90" i="51"/>
  <c r="BD90" i="51" s="1"/>
  <c r="P77" i="51"/>
  <c r="N77" i="51"/>
  <c r="R77" i="51"/>
  <c r="Q77" i="51"/>
  <c r="M25" i="51"/>
  <c r="M77" i="51"/>
  <c r="O77" i="51"/>
  <c r="R97" i="51"/>
  <c r="BI97" i="51" s="1"/>
  <c r="O97" i="51"/>
  <c r="BF97" i="51" s="1"/>
  <c r="AL47" i="50" s="1"/>
  <c r="BX47" i="50" s="1"/>
  <c r="N97" i="51"/>
  <c r="BE97" i="51" s="1"/>
  <c r="AK47" i="50" s="1"/>
  <c r="BW47" i="50" s="1"/>
  <c r="Q97" i="51"/>
  <c r="BH97" i="51" s="1"/>
  <c r="M97" i="51"/>
  <c r="BD97" i="51" s="1"/>
  <c r="AJ47" i="50" s="1"/>
  <c r="BV47" i="50" s="1"/>
  <c r="Y69" i="51"/>
  <c r="BP69" i="51" s="1"/>
  <c r="X69" i="51"/>
  <c r="BO69" i="51" s="1"/>
  <c r="U69" i="51"/>
  <c r="BL69" i="51" s="1"/>
  <c r="T69" i="51"/>
  <c r="BK69" i="51" s="1"/>
  <c r="W69" i="51"/>
  <c r="BN69" i="51" s="1"/>
  <c r="V69" i="51"/>
  <c r="BM69" i="51" s="1"/>
  <c r="W97" i="51"/>
  <c r="BN97" i="51" s="1"/>
  <c r="T97" i="51"/>
  <c r="BK97" i="51" s="1"/>
  <c r="V97" i="51"/>
  <c r="BM97" i="51" s="1"/>
  <c r="Y97" i="51"/>
  <c r="BP97" i="51" s="1"/>
  <c r="U97" i="51"/>
  <c r="BL97" i="51" s="1"/>
  <c r="X97" i="51"/>
  <c r="BO97" i="51" s="1"/>
  <c r="AT97" i="51"/>
  <c r="CK97" i="51" s="1"/>
  <c r="AS97" i="51"/>
  <c r="CJ97" i="51" s="1"/>
  <c r="AQ97" i="51"/>
  <c r="CH97" i="51" s="1"/>
  <c r="AR97" i="51"/>
  <c r="CI97" i="51" s="1"/>
  <c r="AO97" i="51"/>
  <c r="CF97" i="51" s="1"/>
  <c r="AP97" i="51"/>
  <c r="CG97" i="51" s="1"/>
  <c r="AP103" i="51"/>
  <c r="CG103" i="51" s="1"/>
  <c r="AR103" i="51"/>
  <c r="CI103" i="51" s="1"/>
  <c r="AO103" i="51"/>
  <c r="CF103" i="51" s="1"/>
  <c r="AQ103" i="51"/>
  <c r="CH103" i="51" s="1"/>
  <c r="AS103" i="51"/>
  <c r="CJ103" i="51" s="1"/>
  <c r="AT103" i="51"/>
  <c r="CK103" i="51" s="1"/>
  <c r="AI153" i="50"/>
  <c r="BU153" i="50" s="1"/>
  <c r="AH151" i="50"/>
  <c r="BT151" i="50" s="1"/>
  <c r="AE121" i="50"/>
  <c r="BQ121" i="50" s="1"/>
  <c r="AC161" i="50"/>
  <c r="BO161" i="50" s="1"/>
  <c r="AB181" i="50"/>
  <c r="BN181" i="50" s="1"/>
  <c r="AC65" i="50"/>
  <c r="BO65" i="50" s="1"/>
  <c r="AB63" i="50"/>
  <c r="BN63" i="50" s="1"/>
  <c r="AE124" i="50"/>
  <c r="BQ124" i="50" s="1"/>
  <c r="AE118" i="50"/>
  <c r="BQ118" i="50" s="1"/>
  <c r="AA69" i="50"/>
  <c r="AB70" i="50"/>
  <c r="BN70" i="50" s="1"/>
  <c r="AD113" i="50"/>
  <c r="BP113" i="50" s="1"/>
  <c r="AE114" i="50"/>
  <c r="BQ114" i="50" s="1"/>
  <c r="AE122" i="50"/>
  <c r="BQ122" i="50" s="1"/>
  <c r="AD182" i="50"/>
  <c r="BP182" i="50" s="1"/>
  <c r="AD130" i="50"/>
  <c r="BP130" i="50" s="1"/>
  <c r="AC190" i="50"/>
  <c r="BO190" i="50" s="1"/>
  <c r="AC125" i="50"/>
  <c r="BO125" i="50" s="1"/>
  <c r="AC127" i="50"/>
  <c r="BO127" i="50" s="1"/>
  <c r="AB187" i="50"/>
  <c r="BN187" i="50" s="1"/>
  <c r="AB111" i="50"/>
  <c r="AB153" i="50"/>
  <c r="BN153" i="50" s="1"/>
  <c r="AA151" i="50"/>
  <c r="BM151" i="50" s="1"/>
  <c r="AA173" i="50"/>
  <c r="AD116" i="50"/>
  <c r="BP116" i="50" s="1"/>
  <c r="AC154" i="50"/>
  <c r="BO154" i="50" s="1"/>
  <c r="AB174" i="50"/>
  <c r="BN174" i="50" s="1"/>
  <c r="C14" i="60"/>
  <c r="C5" i="84" s="1"/>
  <c r="W18" i="51" l="1"/>
  <c r="BN18" i="51" s="1"/>
  <c r="V18" i="51"/>
  <c r="BM18" i="51" s="1"/>
  <c r="O18" i="51"/>
  <c r="BF18" i="51" s="1"/>
  <c r="AC60" i="51"/>
  <c r="BT60" i="51" s="1"/>
  <c r="D66" i="67"/>
  <c r="AC57" i="53"/>
  <c r="AE28" i="7"/>
  <c r="CB28" i="7" s="1"/>
  <c r="AJ156" i="50"/>
  <c r="AH60" i="51"/>
  <c r="BY60" i="51" s="1"/>
  <c r="X18" i="51"/>
  <c r="BO18" i="51" s="1"/>
  <c r="P18" i="51"/>
  <c r="BG18" i="51" s="1"/>
  <c r="AB57" i="53"/>
  <c r="CF57" i="53" s="1"/>
  <c r="U82" i="85" s="1"/>
  <c r="Z82" i="85" s="1"/>
  <c r="Q18" i="51"/>
  <c r="BH18" i="51" s="1"/>
  <c r="F61" i="67"/>
  <c r="AD28" i="7"/>
  <c r="CA28" i="7" s="1"/>
  <c r="C66" i="67"/>
  <c r="AS25" i="51"/>
  <c r="CJ26" i="51"/>
  <c r="AR25" i="51"/>
  <c r="CI26" i="51"/>
  <c r="Y83" i="51"/>
  <c r="BP90" i="51"/>
  <c r="F25" i="51"/>
  <c r="AW25" i="51" s="1"/>
  <c r="AW26" i="51"/>
  <c r="BY41" i="50"/>
  <c r="AM38" i="50"/>
  <c r="BT47" i="50"/>
  <c r="AH72" i="50"/>
  <c r="AS99" i="51"/>
  <c r="CJ99" i="51" s="1"/>
  <c r="CJ100" i="51"/>
  <c r="H64" i="51"/>
  <c r="AY64" i="51" s="1"/>
  <c r="AY66" i="51"/>
  <c r="AD281" i="50"/>
  <c r="BP281" i="50" s="1"/>
  <c r="AM17" i="50"/>
  <c r="BY17" i="50" s="1"/>
  <c r="BX17" i="50"/>
  <c r="W30" i="51"/>
  <c r="BN30" i="51" s="1"/>
  <c r="BN34" i="51"/>
  <c r="P34" i="51"/>
  <c r="BG40" i="51"/>
  <c r="AF22" i="50"/>
  <c r="BR22" i="50" s="1"/>
  <c r="BQ22" i="50"/>
  <c r="AO64" i="51"/>
  <c r="CF64" i="51" s="1"/>
  <c r="CF65" i="51"/>
  <c r="AP25" i="51"/>
  <c r="CG26" i="51"/>
  <c r="AM121" i="50"/>
  <c r="BY121" i="50" s="1"/>
  <c r="BX121" i="50"/>
  <c r="AL118" i="50"/>
  <c r="BW118" i="50"/>
  <c r="M74" i="51"/>
  <c r="BD74" i="51" s="1"/>
  <c r="BD77" i="51"/>
  <c r="AQ64" i="51"/>
  <c r="CH64" i="51" s="1"/>
  <c r="CH65" i="51"/>
  <c r="I64" i="51"/>
  <c r="AZ64" i="51" s="1"/>
  <c r="AZ66" i="51"/>
  <c r="V83" i="51"/>
  <c r="BM90" i="51"/>
  <c r="R18" i="51"/>
  <c r="BI18" i="51" s="1"/>
  <c r="AH67" i="50"/>
  <c r="BT42" i="50"/>
  <c r="AH71" i="50"/>
  <c r="BT46" i="50"/>
  <c r="AQ25" i="51"/>
  <c r="CH26" i="51"/>
  <c r="AB60" i="51"/>
  <c r="BS60" i="51" s="1"/>
  <c r="D61" i="67"/>
  <c r="BU157" i="50"/>
  <c r="AJ157" i="50"/>
  <c r="AF15" i="50"/>
  <c r="BR15" i="50" s="1"/>
  <c r="BQ15" i="50"/>
  <c r="AK116" i="50"/>
  <c r="BV116" i="50"/>
  <c r="U74" i="51"/>
  <c r="BL74" i="51" s="1"/>
  <c r="BL77" i="51"/>
  <c r="J71" i="51"/>
  <c r="BA71" i="51" s="1"/>
  <c r="BA72" i="51"/>
  <c r="J25" i="51"/>
  <c r="BA25" i="51" s="1"/>
  <c r="BA26" i="51"/>
  <c r="V30" i="51"/>
  <c r="BM30" i="51" s="1"/>
  <c r="BM34" i="51"/>
  <c r="U30" i="51"/>
  <c r="BL30" i="51" s="1"/>
  <c r="BL34" i="51"/>
  <c r="BY45" i="50"/>
  <c r="AM44" i="50"/>
  <c r="BY44" i="50" s="1"/>
  <c r="BO117" i="50"/>
  <c r="AD117" i="50"/>
  <c r="AK127" i="50"/>
  <c r="BV127" i="50"/>
  <c r="C65" i="67"/>
  <c r="BN111" i="50"/>
  <c r="C65" i="85" s="1"/>
  <c r="M18" i="51"/>
  <c r="BD18" i="51" s="1"/>
  <c r="BD25" i="51"/>
  <c r="V74" i="51"/>
  <c r="BM74" i="51" s="1"/>
  <c r="BM77" i="51"/>
  <c r="AL60" i="51"/>
  <c r="CC60" i="51" s="1"/>
  <c r="AO99" i="51"/>
  <c r="CF99" i="51" s="1"/>
  <c r="CF100" i="51"/>
  <c r="Q74" i="51"/>
  <c r="BH74" i="51" s="1"/>
  <c r="BH77" i="51"/>
  <c r="AS64" i="51"/>
  <c r="CJ64" i="51" s="1"/>
  <c r="CJ65" i="51"/>
  <c r="X74" i="51"/>
  <c r="BO74" i="51" s="1"/>
  <c r="BO77" i="51"/>
  <c r="BW41" i="50"/>
  <c r="AK38" i="50"/>
  <c r="K71" i="51"/>
  <c r="BB71" i="51" s="1"/>
  <c r="BB72" i="51"/>
  <c r="AR99" i="51"/>
  <c r="CI99" i="51" s="1"/>
  <c r="CI100" i="51"/>
  <c r="F64" i="51"/>
  <c r="AW64" i="51" s="1"/>
  <c r="AW66" i="51"/>
  <c r="U83" i="51"/>
  <c r="BL90" i="51"/>
  <c r="BW45" i="50"/>
  <c r="AK44" i="50"/>
  <c r="BW44" i="50" s="1"/>
  <c r="N18" i="51"/>
  <c r="BE18" i="51" s="1"/>
  <c r="Q34" i="51"/>
  <c r="BH40" i="51"/>
  <c r="F90" i="51"/>
  <c r="AW90" i="51" s="1"/>
  <c r="AW41" i="51"/>
  <c r="F88" i="51"/>
  <c r="AW88" i="51" s="1"/>
  <c r="AW39" i="51"/>
  <c r="AE26" i="7"/>
  <c r="AL117" i="50"/>
  <c r="BW117" i="50"/>
  <c r="AF21" i="50"/>
  <c r="BR21" i="50" s="1"/>
  <c r="BQ21" i="50"/>
  <c r="AB178" i="50"/>
  <c r="BN178" i="50" s="1"/>
  <c r="AC158" i="50"/>
  <c r="BN158" i="50"/>
  <c r="AR64" i="51"/>
  <c r="CI64" i="51" s="1"/>
  <c r="CI65" i="51"/>
  <c r="J64" i="51"/>
  <c r="BA64" i="51" s="1"/>
  <c r="BA66" i="51"/>
  <c r="R74" i="51"/>
  <c r="BI74" i="51" s="1"/>
  <c r="BI77" i="51"/>
  <c r="AP64" i="51"/>
  <c r="CG64" i="51" s="1"/>
  <c r="CG65" i="51"/>
  <c r="Y74" i="51"/>
  <c r="BP74" i="51" s="1"/>
  <c r="BP77" i="51"/>
  <c r="AT99" i="51"/>
  <c r="CK99" i="51" s="1"/>
  <c r="CK100" i="51"/>
  <c r="AH66" i="50"/>
  <c r="BT41" i="50"/>
  <c r="G64" i="51"/>
  <c r="AX64" i="51" s="1"/>
  <c r="AX66" i="51"/>
  <c r="BT45" i="50"/>
  <c r="AH44" i="50"/>
  <c r="BT44" i="50" s="1"/>
  <c r="AH70" i="50"/>
  <c r="W83" i="51"/>
  <c r="BN90" i="51"/>
  <c r="BX45" i="50"/>
  <c r="AL44" i="50"/>
  <c r="BX44" i="50" s="1"/>
  <c r="O34" i="51"/>
  <c r="BF40" i="51"/>
  <c r="G76" i="51"/>
  <c r="AX76" i="51" s="1"/>
  <c r="AX27" i="51"/>
  <c r="M34" i="51"/>
  <c r="BD40" i="51"/>
  <c r="AD57" i="53"/>
  <c r="AO57" i="73" s="1"/>
  <c r="CB57" i="73" s="1"/>
  <c r="AM124" i="50"/>
  <c r="BY124" i="50" s="1"/>
  <c r="BX124" i="50"/>
  <c r="AF16" i="50"/>
  <c r="BR16" i="50" s="1"/>
  <c r="BQ16" i="50"/>
  <c r="AL15" i="50"/>
  <c r="BW15" i="50"/>
  <c r="AL16" i="50"/>
  <c r="BW16" i="50"/>
  <c r="AM113" i="50"/>
  <c r="BY113" i="50" s="1"/>
  <c r="BX113" i="50"/>
  <c r="Y30" i="51"/>
  <c r="BP30" i="51" s="1"/>
  <c r="BP34" i="51"/>
  <c r="AF17" i="50"/>
  <c r="BR17" i="50" s="1"/>
  <c r="BQ17" i="50"/>
  <c r="AM21" i="50"/>
  <c r="BY21" i="50" s="1"/>
  <c r="BX21" i="50"/>
  <c r="AT25" i="51"/>
  <c r="CK26" i="51"/>
  <c r="T30" i="51"/>
  <c r="BK30" i="51" s="1"/>
  <c r="BK34" i="51"/>
  <c r="AP99" i="51"/>
  <c r="CG99" i="51" s="1"/>
  <c r="CG100" i="51"/>
  <c r="BX41" i="50"/>
  <c r="AL38" i="50"/>
  <c r="G71" i="51"/>
  <c r="AX71" i="51" s="1"/>
  <c r="AX72" i="51"/>
  <c r="N74" i="51"/>
  <c r="BE74" i="51" s="1"/>
  <c r="BE77" i="51"/>
  <c r="W74" i="51"/>
  <c r="BN74" i="51" s="1"/>
  <c r="BN77" i="51"/>
  <c r="F71" i="51"/>
  <c r="AW71" i="51" s="1"/>
  <c r="AW72" i="51"/>
  <c r="K64" i="51"/>
  <c r="BB64" i="51" s="1"/>
  <c r="BB66" i="51"/>
  <c r="T83" i="51"/>
  <c r="BK90" i="51"/>
  <c r="R34" i="51"/>
  <c r="BI40" i="51"/>
  <c r="AD60" i="51"/>
  <c r="BU60" i="51" s="1"/>
  <c r="E66" i="67"/>
  <c r="AL22" i="50"/>
  <c r="BW22" i="50"/>
  <c r="AK125" i="50"/>
  <c r="BV125" i="50"/>
  <c r="F69" i="51"/>
  <c r="AW69" i="51" s="1"/>
  <c r="AW20" i="51"/>
  <c r="O74" i="51"/>
  <c r="BF74" i="51" s="1"/>
  <c r="BF77" i="51"/>
  <c r="T74" i="51"/>
  <c r="BK74" i="51" s="1"/>
  <c r="BK77" i="51"/>
  <c r="H71" i="51"/>
  <c r="AY71" i="51" s="1"/>
  <c r="AY72" i="51"/>
  <c r="P74" i="51"/>
  <c r="BG74" i="51" s="1"/>
  <c r="BG77" i="51"/>
  <c r="AT64" i="51"/>
  <c r="CK64" i="51" s="1"/>
  <c r="CK65" i="51"/>
  <c r="T18" i="51"/>
  <c r="BK18" i="51" s="1"/>
  <c r="BK25" i="51"/>
  <c r="BV41" i="50"/>
  <c r="AJ38" i="50"/>
  <c r="I71" i="51"/>
  <c r="AZ71" i="51" s="1"/>
  <c r="AZ72" i="51"/>
  <c r="AQ99" i="51"/>
  <c r="CH99" i="51" s="1"/>
  <c r="CH100" i="51"/>
  <c r="X83" i="51"/>
  <c r="BO90" i="51"/>
  <c r="BV45" i="50"/>
  <c r="AJ44" i="50"/>
  <c r="BV44" i="50" s="1"/>
  <c r="N34" i="51"/>
  <c r="BE40" i="51"/>
  <c r="AE60" i="51"/>
  <c r="BV60" i="51" s="1"/>
  <c r="AF28" i="7"/>
  <c r="CC28" i="7" s="1"/>
  <c r="AL122" i="50"/>
  <c r="BW122" i="50"/>
  <c r="AM20" i="50"/>
  <c r="BY20" i="50" s="1"/>
  <c r="BX20" i="50"/>
  <c r="AL130" i="50"/>
  <c r="BW130" i="50"/>
  <c r="X30" i="51"/>
  <c r="BO30" i="51" s="1"/>
  <c r="BO34" i="51"/>
  <c r="AE20" i="50"/>
  <c r="BP20" i="50"/>
  <c r="AM114" i="50"/>
  <c r="BY114" i="50" s="1"/>
  <c r="BX114" i="50"/>
  <c r="W81" i="67"/>
  <c r="CH56" i="53"/>
  <c r="W81" i="85" s="1"/>
  <c r="V82" i="67"/>
  <c r="CG57" i="53"/>
  <c r="V82" i="85" s="1"/>
  <c r="G66" i="67"/>
  <c r="AF57" i="53"/>
  <c r="AT57" i="73" s="1"/>
  <c r="AE57" i="53"/>
  <c r="AQ57" i="73" s="1"/>
  <c r="CC57" i="73" s="1"/>
  <c r="AE281" i="50"/>
  <c r="BQ281" i="50" s="1"/>
  <c r="AC56" i="53"/>
  <c r="E90" i="67"/>
  <c r="AE56" i="53"/>
  <c r="AF281" i="50"/>
  <c r="BR281" i="50" s="1"/>
  <c r="AL57" i="53"/>
  <c r="AC281" i="50"/>
  <c r="BO281" i="50" s="1"/>
  <c r="G61" i="67"/>
  <c r="AG26" i="7"/>
  <c r="BV162" i="50"/>
  <c r="AH26" i="7"/>
  <c r="CE26" i="7" s="1"/>
  <c r="F66" i="67"/>
  <c r="BU161" i="50"/>
  <c r="AA281" i="50"/>
  <c r="BM281" i="50" s="1"/>
  <c r="AM57" i="53"/>
  <c r="BB57" i="73" s="1"/>
  <c r="CI57" i="73" s="1"/>
  <c r="BU167" i="50"/>
  <c r="AJ167" i="50"/>
  <c r="AK156" i="50"/>
  <c r="BV156" i="50"/>
  <c r="AC156" i="50"/>
  <c r="BN156" i="50"/>
  <c r="AD71" i="50"/>
  <c r="BO71" i="50"/>
  <c r="C61" i="67"/>
  <c r="BN35" i="50"/>
  <c r="C61" i="85" s="1"/>
  <c r="AB176" i="50"/>
  <c r="BN176" i="50" s="1"/>
  <c r="AD26" i="7"/>
  <c r="CA26" i="7" s="1"/>
  <c r="AL170" i="50"/>
  <c r="BW170" i="50"/>
  <c r="E50" i="51"/>
  <c r="AV50" i="51" s="1"/>
  <c r="AV52" i="51"/>
  <c r="AB56" i="53"/>
  <c r="AN28" i="7"/>
  <c r="CK28" i="7" s="1"/>
  <c r="AH28" i="7"/>
  <c r="CE28" i="7" s="1"/>
  <c r="AG28" i="7"/>
  <c r="CD28" i="7" s="1"/>
  <c r="AC165" i="50"/>
  <c r="BN165" i="50"/>
  <c r="AK154" i="50"/>
  <c r="BV154" i="50"/>
  <c r="AF56" i="53"/>
  <c r="D90" i="67"/>
  <c r="F90" i="67"/>
  <c r="G90" i="67"/>
  <c r="AK164" i="50"/>
  <c r="BV164" i="50"/>
  <c r="AE66" i="50"/>
  <c r="BP66" i="50"/>
  <c r="AE170" i="50"/>
  <c r="BP170" i="50"/>
  <c r="AA171" i="50"/>
  <c r="BM171" i="50" s="1"/>
  <c r="BM173" i="50"/>
  <c r="AN57" i="53"/>
  <c r="BE57" i="73" s="1"/>
  <c r="AB281" i="50"/>
  <c r="BN281" i="50" s="1"/>
  <c r="AM28" i="7"/>
  <c r="CJ28" i="7" s="1"/>
  <c r="AO28" i="7"/>
  <c r="CL28" i="7" s="1"/>
  <c r="AP28" i="7"/>
  <c r="CM28" i="7" s="1"/>
  <c r="AD167" i="50"/>
  <c r="BO167" i="50"/>
  <c r="AE67" i="50"/>
  <c r="BP67" i="50"/>
  <c r="AE162" i="50"/>
  <c r="AE182" i="50" s="1"/>
  <c r="BQ182" i="50" s="1"/>
  <c r="BP162" i="50"/>
  <c r="G78" i="62"/>
  <c r="AW78" i="62"/>
  <c r="AK158" i="50"/>
  <c r="BV158" i="50"/>
  <c r="AE72" i="50"/>
  <c r="BP72" i="50"/>
  <c r="AL162" i="50"/>
  <c r="BW162" i="50"/>
  <c r="AD164" i="50"/>
  <c r="BO164" i="50"/>
  <c r="AC184" i="50"/>
  <c r="BO184" i="50" s="1"/>
  <c r="G70" i="62"/>
  <c r="AW70" i="62"/>
  <c r="AA60" i="50"/>
  <c r="BM60" i="50" s="1"/>
  <c r="BM69" i="50"/>
  <c r="AK57" i="53"/>
  <c r="AK165" i="50"/>
  <c r="BV165" i="50"/>
  <c r="AK161" i="50"/>
  <c r="BV161" i="50"/>
  <c r="AL27" i="7"/>
  <c r="CI27" i="7" s="1"/>
  <c r="CI26" i="7"/>
  <c r="AE27" i="7"/>
  <c r="CB27" i="7" s="1"/>
  <c r="CB26" i="7"/>
  <c r="AD27" i="7"/>
  <c r="CA27" i="7" s="1"/>
  <c r="AF27" i="7"/>
  <c r="CC27" i="7" s="1"/>
  <c r="CC26" i="7"/>
  <c r="AG27" i="7"/>
  <c r="CD27" i="7" s="1"/>
  <c r="CD26" i="7"/>
  <c r="U82" i="67"/>
  <c r="Z82" i="67" s="1"/>
  <c r="AH57" i="53"/>
  <c r="AG57" i="53"/>
  <c r="CK57" i="53" s="1"/>
  <c r="AO56" i="53"/>
  <c r="CR56" i="53" s="1"/>
  <c r="AP56" i="53"/>
  <c r="AP56" i="73"/>
  <c r="C5" i="79"/>
  <c r="C25" i="60"/>
  <c r="AO56" i="73"/>
  <c r="CB56" i="73" s="1"/>
  <c r="AD157" i="50"/>
  <c r="BP157" i="50" s="1"/>
  <c r="AC177" i="50"/>
  <c r="BO177" i="50" s="1"/>
  <c r="F75" i="51"/>
  <c r="H88" i="51"/>
  <c r="AY88" i="51" s="1"/>
  <c r="G90" i="51"/>
  <c r="AX90" i="51" s="1"/>
  <c r="F34" i="51"/>
  <c r="AL28" i="7"/>
  <c r="CI28" i="7" s="1"/>
  <c r="C90" i="67"/>
  <c r="AV56" i="73"/>
  <c r="CF56" i="73" s="1"/>
  <c r="U105" i="67"/>
  <c r="Z105" i="67" s="1"/>
  <c r="M89" i="51"/>
  <c r="AW56" i="73"/>
  <c r="I25" i="51"/>
  <c r="H84" i="51"/>
  <c r="AY84" i="51" s="1"/>
  <c r="AK57" i="73"/>
  <c r="BZ57" i="73" s="1"/>
  <c r="AL57" i="73"/>
  <c r="AN57" i="73"/>
  <c r="AM57" i="73"/>
  <c r="CA57" i="73" s="1"/>
  <c r="N89" i="51"/>
  <c r="Y11" i="51"/>
  <c r="BP11" i="51" s="1"/>
  <c r="I69" i="51"/>
  <c r="AZ69" i="51" s="1"/>
  <c r="I75" i="51"/>
  <c r="AZ75" i="51" s="1"/>
  <c r="G84" i="51"/>
  <c r="AX84" i="51" s="1"/>
  <c r="U11" i="51"/>
  <c r="BL11" i="51" s="1"/>
  <c r="H90" i="51"/>
  <c r="AY90" i="51" s="1"/>
  <c r="G88" i="51"/>
  <c r="AX88" i="51" s="1"/>
  <c r="E18" i="62"/>
  <c r="F84" i="51"/>
  <c r="I90" i="51"/>
  <c r="AZ90" i="51" s="1"/>
  <c r="G34" i="51"/>
  <c r="H75" i="51"/>
  <c r="AY75" i="51" s="1"/>
  <c r="J69" i="51"/>
  <c r="BA69" i="51" s="1"/>
  <c r="J34" i="51"/>
  <c r="G75" i="51"/>
  <c r="I84" i="51"/>
  <c r="AZ84" i="51" s="1"/>
  <c r="K76" i="51"/>
  <c r="BB76" i="51" s="1"/>
  <c r="J84" i="51"/>
  <c r="BA84" i="51" s="1"/>
  <c r="K84" i="51"/>
  <c r="BB84" i="51" s="1"/>
  <c r="P89" i="51"/>
  <c r="Q89" i="51"/>
  <c r="W11" i="51"/>
  <c r="BN11" i="51" s="1"/>
  <c r="K69" i="51"/>
  <c r="BB69" i="51" s="1"/>
  <c r="AH40" i="50" s="1"/>
  <c r="H69" i="51"/>
  <c r="AY69" i="51" s="1"/>
  <c r="I34" i="51"/>
  <c r="E20" i="51"/>
  <c r="K25" i="51"/>
  <c r="O89" i="51"/>
  <c r="X11" i="51"/>
  <c r="BO11" i="51" s="1"/>
  <c r="R89" i="51"/>
  <c r="K75" i="51"/>
  <c r="BB75" i="51" s="1"/>
  <c r="G69" i="51"/>
  <c r="AX69" i="51" s="1"/>
  <c r="G25" i="51"/>
  <c r="F94" i="51"/>
  <c r="AW94" i="51" s="1"/>
  <c r="H76" i="51"/>
  <c r="AY76" i="51" s="1"/>
  <c r="K34" i="51"/>
  <c r="T67" i="51"/>
  <c r="BK67" i="51" s="1"/>
  <c r="J76" i="51"/>
  <c r="BA76" i="51" s="1"/>
  <c r="K88" i="51"/>
  <c r="BB88" i="51" s="1"/>
  <c r="I76" i="51"/>
  <c r="AZ76" i="51" s="1"/>
  <c r="H25" i="51"/>
  <c r="V67" i="51"/>
  <c r="BM67" i="51" s="1"/>
  <c r="J75" i="51"/>
  <c r="BA75" i="51" s="1"/>
  <c r="J90" i="51"/>
  <c r="BA90" i="51" s="1"/>
  <c r="H34" i="51"/>
  <c r="H94" i="51"/>
  <c r="AY94" i="51" s="1"/>
  <c r="G94" i="51"/>
  <c r="AX94" i="51" s="1"/>
  <c r="Y94" i="51"/>
  <c r="BP94" i="51" s="1"/>
  <c r="U94" i="51"/>
  <c r="BL94" i="51" s="1"/>
  <c r="M94" i="51"/>
  <c r="BD94" i="51" s="1"/>
  <c r="J88" i="51"/>
  <c r="BA88" i="51" s="1"/>
  <c r="AQ75" i="51"/>
  <c r="AS75" i="51"/>
  <c r="AR75" i="51"/>
  <c r="AT75" i="51"/>
  <c r="AO25" i="51"/>
  <c r="AP75" i="51"/>
  <c r="AO75" i="51"/>
  <c r="T94" i="51"/>
  <c r="BK94" i="51" s="1"/>
  <c r="N94" i="51"/>
  <c r="BE94" i="51" s="1"/>
  <c r="Q94" i="51"/>
  <c r="BH94" i="51" s="1"/>
  <c r="G69" i="62"/>
  <c r="AX69" i="62" s="1"/>
  <c r="F67" i="62"/>
  <c r="AW67" i="62" s="1"/>
  <c r="AJ153" i="50"/>
  <c r="BV153" i="50" s="1"/>
  <c r="AI151" i="50"/>
  <c r="K94" i="51"/>
  <c r="BB94" i="51" s="1"/>
  <c r="I88" i="51"/>
  <c r="AZ88" i="51" s="1"/>
  <c r="AJ57" i="53"/>
  <c r="CM57" i="53" s="1"/>
  <c r="U106" i="85" s="1"/>
  <c r="Z106" i="85" s="1"/>
  <c r="AI281" i="50"/>
  <c r="BU281" i="50" s="1"/>
  <c r="G101" i="62"/>
  <c r="AX101" i="62" s="1"/>
  <c r="F99" i="62"/>
  <c r="AW99" i="62" s="1"/>
  <c r="V94" i="51"/>
  <c r="BM94" i="51" s="1"/>
  <c r="O94" i="51"/>
  <c r="BF94" i="51" s="1"/>
  <c r="P94" i="51"/>
  <c r="BG94" i="51" s="1"/>
  <c r="K90" i="51"/>
  <c r="BB90" i="51" s="1"/>
  <c r="AP107" i="51"/>
  <c r="CG107" i="51" s="1"/>
  <c r="AQ107" i="51"/>
  <c r="CH107" i="51" s="1"/>
  <c r="AS107" i="51"/>
  <c r="CJ107" i="51" s="1"/>
  <c r="AO107" i="51"/>
  <c r="CF107" i="51" s="1"/>
  <c r="AT107" i="51"/>
  <c r="CK107" i="51" s="1"/>
  <c r="AR107" i="51"/>
  <c r="CI107" i="51" s="1"/>
  <c r="I94" i="51"/>
  <c r="AZ94" i="51" s="1"/>
  <c r="J94" i="51"/>
  <c r="BA94" i="51" s="1"/>
  <c r="X94" i="51"/>
  <c r="BO94" i="51" s="1"/>
  <c r="W94" i="51"/>
  <c r="BN94" i="51" s="1"/>
  <c r="R94" i="51"/>
  <c r="BI94" i="51" s="1"/>
  <c r="AC153" i="50"/>
  <c r="BO153" i="50" s="1"/>
  <c r="AB151" i="50"/>
  <c r="AB173" i="50"/>
  <c r="AF114" i="50"/>
  <c r="BR114" i="50" s="1"/>
  <c r="AD65" i="50"/>
  <c r="BP65" i="50" s="1"/>
  <c r="AC63" i="50"/>
  <c r="BO63" i="50" s="1"/>
  <c r="AE116" i="50"/>
  <c r="BQ116" i="50" s="1"/>
  <c r="AD125" i="50"/>
  <c r="BP125" i="50" s="1"/>
  <c r="AC185" i="50"/>
  <c r="BO185" i="50" s="1"/>
  <c r="AE130" i="50"/>
  <c r="BQ130" i="50" s="1"/>
  <c r="AD190" i="50"/>
  <c r="BP190" i="50" s="1"/>
  <c r="AC111" i="50"/>
  <c r="AC70" i="50"/>
  <c r="BO70" i="50" s="1"/>
  <c r="AB69" i="50"/>
  <c r="AF118" i="50"/>
  <c r="BR118" i="50" s="1"/>
  <c r="AF124" i="50"/>
  <c r="BR124" i="50" s="1"/>
  <c r="AD161" i="50"/>
  <c r="BP161" i="50" s="1"/>
  <c r="AC181" i="50"/>
  <c r="BO181" i="50" s="1"/>
  <c r="AD154" i="50"/>
  <c r="BP154" i="50" s="1"/>
  <c r="AC174" i="50"/>
  <c r="BO174" i="50" s="1"/>
  <c r="AD127" i="50"/>
  <c r="BP127" i="50" s="1"/>
  <c r="AC187" i="50"/>
  <c r="BO187" i="50" s="1"/>
  <c r="AF122" i="50"/>
  <c r="BR122" i="50" s="1"/>
  <c r="AE113" i="50"/>
  <c r="BQ113" i="50" s="1"/>
  <c r="AF121" i="50"/>
  <c r="BR121" i="50" s="1"/>
  <c r="CJ69" i="60"/>
  <c r="AT61" i="60"/>
  <c r="CQ61" i="60" s="1"/>
  <c r="AS61" i="60"/>
  <c r="CP61" i="60" s="1"/>
  <c r="AR61" i="60"/>
  <c r="CO61" i="60" s="1"/>
  <c r="AQ61" i="60"/>
  <c r="CN61" i="60" s="1"/>
  <c r="AP61" i="60"/>
  <c r="AT60" i="60"/>
  <c r="CQ60" i="60" s="1"/>
  <c r="AS60" i="60"/>
  <c r="CP60" i="60" s="1"/>
  <c r="AR60" i="60"/>
  <c r="CO60" i="60" s="1"/>
  <c r="AQ60" i="60"/>
  <c r="CN60" i="60" s="1"/>
  <c r="AP60" i="60"/>
  <c r="AT59" i="60"/>
  <c r="CQ59" i="60" s="1"/>
  <c r="AS59" i="60"/>
  <c r="CP59" i="60" s="1"/>
  <c r="AR59" i="60"/>
  <c r="CO59" i="60" s="1"/>
  <c r="AQ59" i="60"/>
  <c r="CN59" i="60" s="1"/>
  <c r="AP59" i="60"/>
  <c r="AT58" i="60"/>
  <c r="CQ58" i="60" s="1"/>
  <c r="AS58" i="60"/>
  <c r="CP58" i="60" s="1"/>
  <c r="AR58" i="60"/>
  <c r="CO58" i="60" s="1"/>
  <c r="AQ58" i="60"/>
  <c r="CN58" i="60" s="1"/>
  <c r="AT57" i="60"/>
  <c r="CQ57" i="60" s="1"/>
  <c r="AS57" i="60"/>
  <c r="CP57" i="60" s="1"/>
  <c r="AR57" i="60"/>
  <c r="CO57" i="60" s="1"/>
  <c r="AQ57" i="60"/>
  <c r="CN57" i="60" s="1"/>
  <c r="AP57" i="60"/>
  <c r="AT56" i="60"/>
  <c r="CQ56" i="60" s="1"/>
  <c r="AS56" i="60"/>
  <c r="CP56" i="60" s="1"/>
  <c r="AR56" i="60"/>
  <c r="CO56" i="60" s="1"/>
  <c r="AQ56" i="60"/>
  <c r="CN56" i="60" s="1"/>
  <c r="AP56" i="60"/>
  <c r="AT55" i="60"/>
  <c r="CQ55" i="60" s="1"/>
  <c r="AS55" i="60"/>
  <c r="CP55" i="60" s="1"/>
  <c r="AR55" i="60"/>
  <c r="CO55" i="60" s="1"/>
  <c r="AQ55" i="60"/>
  <c r="CN55" i="60" s="1"/>
  <c r="AP55" i="60"/>
  <c r="AT54" i="60"/>
  <c r="CQ54" i="60" s="1"/>
  <c r="AS54" i="60"/>
  <c r="CP54" i="60" s="1"/>
  <c r="AR54" i="60"/>
  <c r="CO54" i="60" s="1"/>
  <c r="AQ54" i="60"/>
  <c r="CN54" i="60" s="1"/>
  <c r="AS53" i="60"/>
  <c r="CP53" i="60" s="1"/>
  <c r="AR53" i="60"/>
  <c r="CO53" i="60" s="1"/>
  <c r="AQ53" i="60"/>
  <c r="CN53" i="60" s="1"/>
  <c r="AL29" i="60"/>
  <c r="CI29" i="60" s="1"/>
  <c r="AK29" i="60"/>
  <c r="AJ29" i="60"/>
  <c r="AI29" i="60"/>
  <c r="AH29" i="60"/>
  <c r="AG29" i="60"/>
  <c r="AF29" i="60"/>
  <c r="AE29" i="60"/>
  <c r="AD29" i="60"/>
  <c r="AC29" i="60"/>
  <c r="AB29" i="60"/>
  <c r="AA29" i="60"/>
  <c r="Z29" i="60"/>
  <c r="Y29" i="60"/>
  <c r="X29" i="60"/>
  <c r="W29" i="60"/>
  <c r="V29" i="60"/>
  <c r="U29" i="60"/>
  <c r="T29" i="60"/>
  <c r="BQ29" i="60" s="1"/>
  <c r="S29" i="60"/>
  <c r="BP29" i="60" s="1"/>
  <c r="R29" i="60"/>
  <c r="BO29" i="60" s="1"/>
  <c r="Q29" i="60"/>
  <c r="BN29" i="60" s="1"/>
  <c r="P29" i="60"/>
  <c r="BM29" i="60" s="1"/>
  <c r="O29" i="60"/>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E14" i="60"/>
  <c r="AD14" i="60"/>
  <c r="AC14" i="60"/>
  <c r="AB14" i="60"/>
  <c r="AA14" i="60"/>
  <c r="Z14" i="60"/>
  <c r="Y14" i="60"/>
  <c r="X14" i="60"/>
  <c r="W14" i="60"/>
  <c r="V14" i="60"/>
  <c r="U14" i="60"/>
  <c r="T14" i="60"/>
  <c r="H16" i="84" s="1"/>
  <c r="S14" i="60"/>
  <c r="G16" i="84" s="1"/>
  <c r="R14" i="60"/>
  <c r="F16" i="84" s="1"/>
  <c r="Q14" i="60"/>
  <c r="E16" i="84" s="1"/>
  <c r="P14" i="60"/>
  <c r="D16" i="84" s="1"/>
  <c r="O14" i="60"/>
  <c r="C16" i="84" s="1"/>
  <c r="N14" i="60"/>
  <c r="N5" i="84" s="1"/>
  <c r="M14" i="60"/>
  <c r="M5" i="84" s="1"/>
  <c r="L14" i="60"/>
  <c r="L5" i="84" s="1"/>
  <c r="K14" i="60"/>
  <c r="K5" i="84" s="1"/>
  <c r="J14" i="60"/>
  <c r="J5" i="84" s="1"/>
  <c r="I14" i="60"/>
  <c r="I5" i="84" s="1"/>
  <c r="H14" i="60"/>
  <c r="H5" i="84" s="1"/>
  <c r="G14" i="60"/>
  <c r="G5" i="84" s="1"/>
  <c r="F14" i="60"/>
  <c r="F5" i="84" s="1"/>
  <c r="E14" i="60"/>
  <c r="E5" i="84" s="1"/>
  <c r="D14" i="60"/>
  <c r="D5" i="84" s="1"/>
  <c r="AT65" i="60"/>
  <c r="AT69" i="60" s="1"/>
  <c r="CQ69" i="60" s="1"/>
  <c r="AS65" i="60"/>
  <c r="AS69" i="60" s="1"/>
  <c r="CP69" i="60" s="1"/>
  <c r="AR65" i="60"/>
  <c r="AR69" i="60" s="1"/>
  <c r="CO69" i="60" s="1"/>
  <c r="AQ65" i="60"/>
  <c r="AQ69" i="60" s="1"/>
  <c r="CN69" i="60" s="1"/>
  <c r="AP65" i="60"/>
  <c r="N9" i="60"/>
  <c r="T9" i="60" s="1"/>
  <c r="AL9" i="60" s="1"/>
  <c r="M9" i="60"/>
  <c r="S9" i="60" s="1"/>
  <c r="AK9" i="60" s="1"/>
  <c r="L9" i="60"/>
  <c r="R9" i="60" s="1"/>
  <c r="AJ9" i="60" s="1"/>
  <c r="K9" i="60"/>
  <c r="Q9" i="60" s="1"/>
  <c r="AI9" i="60" s="1"/>
  <c r="J9" i="60"/>
  <c r="P9" i="60" s="1"/>
  <c r="AH9" i="60" s="1"/>
  <c r="I9" i="60"/>
  <c r="O9" i="60" s="1"/>
  <c r="AG9" i="60" s="1"/>
  <c r="V11" i="51" l="1"/>
  <c r="BM11" i="51" s="1"/>
  <c r="X67" i="51"/>
  <c r="BO67" i="51" s="1"/>
  <c r="U67" i="51"/>
  <c r="BL67" i="51" s="1"/>
  <c r="R67" i="51"/>
  <c r="BI67" i="51" s="1"/>
  <c r="T11" i="51"/>
  <c r="BK11" i="51" s="1"/>
  <c r="Y67" i="51"/>
  <c r="BP67" i="51" s="1"/>
  <c r="N67" i="51"/>
  <c r="BE67" i="51" s="1"/>
  <c r="O67" i="51"/>
  <c r="BF67" i="51" s="1"/>
  <c r="F18" i="51"/>
  <c r="AW18" i="51" s="1"/>
  <c r="E18" i="84"/>
  <c r="I16" i="84"/>
  <c r="Q67" i="51"/>
  <c r="BH67" i="51" s="1"/>
  <c r="M67" i="51"/>
  <c r="BD67" i="51" s="1"/>
  <c r="O5" i="84"/>
  <c r="H6" i="84"/>
  <c r="N16" i="84"/>
  <c r="H7" i="84"/>
  <c r="F6" i="84"/>
  <c r="F7" i="84"/>
  <c r="L16" i="84"/>
  <c r="V24" i="60"/>
  <c r="D27" i="84"/>
  <c r="AD24" i="60"/>
  <c r="L27" i="84"/>
  <c r="BG29" i="60"/>
  <c r="J45" i="84"/>
  <c r="J44" i="84"/>
  <c r="D17" i="84"/>
  <c r="D18" i="84"/>
  <c r="BI29" i="60"/>
  <c r="L45" i="84"/>
  <c r="L44" i="84"/>
  <c r="N38" i="84"/>
  <c r="P5" i="84"/>
  <c r="N7" i="84"/>
  <c r="N6" i="84"/>
  <c r="G7" i="84"/>
  <c r="M16" i="84"/>
  <c r="G6" i="84"/>
  <c r="W24" i="60"/>
  <c r="E27" i="84"/>
  <c r="AE24" i="60"/>
  <c r="M27" i="84"/>
  <c r="AZ29" i="60"/>
  <c r="C45" i="84"/>
  <c r="I22" i="84"/>
  <c r="C44" i="84"/>
  <c r="I23" i="84"/>
  <c r="BH29" i="60"/>
  <c r="K45" i="84"/>
  <c r="K44" i="84"/>
  <c r="BA29" i="60"/>
  <c r="D45" i="84"/>
  <c r="J22" i="84"/>
  <c r="D44" i="84"/>
  <c r="J23" i="84"/>
  <c r="I38" i="84"/>
  <c r="E17" i="84"/>
  <c r="Y24" i="60"/>
  <c r="G27" i="84"/>
  <c r="G38" i="84" s="1"/>
  <c r="BB29" i="60"/>
  <c r="E45" i="84"/>
  <c r="K22" i="84"/>
  <c r="E44" i="84"/>
  <c r="K23" i="84"/>
  <c r="BJ29" i="60"/>
  <c r="M45" i="84"/>
  <c r="M44" i="84"/>
  <c r="J18" i="51"/>
  <c r="BA18" i="51" s="1"/>
  <c r="J6" i="84"/>
  <c r="J7" i="84"/>
  <c r="J38" i="84"/>
  <c r="F17" i="84"/>
  <c r="F18" i="84"/>
  <c r="Z24" i="60"/>
  <c r="H27" i="84"/>
  <c r="BC29" i="60"/>
  <c r="F45" i="84"/>
  <c r="L22" i="84"/>
  <c r="F44" i="84"/>
  <c r="L23" i="84"/>
  <c r="BK29" i="60"/>
  <c r="N45" i="84"/>
  <c r="N44" i="84"/>
  <c r="W67" i="51"/>
  <c r="BN67" i="51" s="1"/>
  <c r="K7" i="84"/>
  <c r="K38" i="84"/>
  <c r="K6" i="84"/>
  <c r="G17" i="84"/>
  <c r="G18" i="84"/>
  <c r="AA24" i="60"/>
  <c r="I27" i="84"/>
  <c r="BD29" i="60"/>
  <c r="M22" i="84"/>
  <c r="G44" i="84"/>
  <c r="M23" i="84"/>
  <c r="G45" i="84"/>
  <c r="P67" i="51"/>
  <c r="BG67" i="51" s="1"/>
  <c r="X24" i="60"/>
  <c r="F27" i="84"/>
  <c r="F28" i="84" s="1"/>
  <c r="D7" i="84"/>
  <c r="J16" i="84"/>
  <c r="D6" i="84"/>
  <c r="O16" i="84"/>
  <c r="H17" i="84"/>
  <c r="H18" i="84"/>
  <c r="BE29" i="60"/>
  <c r="H44" i="84"/>
  <c r="N23" i="84"/>
  <c r="H45" i="84"/>
  <c r="N22" i="84"/>
  <c r="AF24" i="60"/>
  <c r="N27" i="84"/>
  <c r="L38" i="84"/>
  <c r="L6" i="84"/>
  <c r="L7" i="84"/>
  <c r="AB24" i="60"/>
  <c r="J27" i="84"/>
  <c r="E7" i="84"/>
  <c r="K16" i="84"/>
  <c r="E6" i="84"/>
  <c r="M38" i="84"/>
  <c r="M7" i="84"/>
  <c r="M6" i="84"/>
  <c r="U24" i="60"/>
  <c r="AM24" i="60" s="1"/>
  <c r="AM27" i="60" s="1"/>
  <c r="C27" i="84"/>
  <c r="AC24" i="60"/>
  <c r="K27" i="84"/>
  <c r="E38" i="84" s="1"/>
  <c r="BF29" i="60"/>
  <c r="I45" i="84"/>
  <c r="I44" i="84"/>
  <c r="AU65" i="60"/>
  <c r="AP69" i="60"/>
  <c r="CM69" i="60" s="1"/>
  <c r="AR57" i="73"/>
  <c r="BC57" i="73"/>
  <c r="G74" i="51"/>
  <c r="AX74" i="51" s="1"/>
  <c r="AX75" i="51"/>
  <c r="U79" i="51"/>
  <c r="BL79" i="51" s="1"/>
  <c r="BL83" i="51"/>
  <c r="AE60" i="53"/>
  <c r="CI60" i="53" s="1"/>
  <c r="BV29" i="60"/>
  <c r="AQ60" i="53"/>
  <c r="CS60" i="53" s="1"/>
  <c r="CD29" i="60"/>
  <c r="AU59" i="60"/>
  <c r="CM59" i="60"/>
  <c r="AP74" i="51"/>
  <c r="CG75" i="51"/>
  <c r="K30" i="51"/>
  <c r="BB30" i="51" s="1"/>
  <c r="BB34" i="51"/>
  <c r="O83" i="51"/>
  <c r="BF89" i="51"/>
  <c r="Q83" i="51"/>
  <c r="BH89" i="51"/>
  <c r="J30" i="51"/>
  <c r="BA30" i="51" s="1"/>
  <c r="BA34" i="51"/>
  <c r="F83" i="51"/>
  <c r="AW84" i="51"/>
  <c r="AM16" i="50"/>
  <c r="BY16" i="50" s="1"/>
  <c r="BX16" i="50"/>
  <c r="AI66" i="50"/>
  <c r="BT66" i="50"/>
  <c r="AL127" i="50"/>
  <c r="BW127" i="50"/>
  <c r="AL116" i="50"/>
  <c r="BW116" i="50"/>
  <c r="AQ18" i="51"/>
  <c r="CH18" i="51" s="1"/>
  <c r="CH25" i="51"/>
  <c r="AF60" i="53"/>
  <c r="CJ60" i="53" s="1"/>
  <c r="BW29" i="60"/>
  <c r="AR60" i="53"/>
  <c r="CT60" i="53" s="1"/>
  <c r="CE29" i="60"/>
  <c r="AO18" i="51"/>
  <c r="CF18" i="51" s="1"/>
  <c r="CF25" i="51"/>
  <c r="P83" i="51"/>
  <c r="BG89" i="51"/>
  <c r="CH57" i="53"/>
  <c r="W82" i="85" s="1"/>
  <c r="M30" i="51"/>
  <c r="BD34" i="51"/>
  <c r="W79" i="51"/>
  <c r="BN79" i="51" s="1"/>
  <c r="BN83" i="51"/>
  <c r="BP117" i="50"/>
  <c r="AE117" i="50"/>
  <c r="P30" i="51"/>
  <c r="BG34" i="51"/>
  <c r="AN60" i="53"/>
  <c r="CQ60" i="53" s="1"/>
  <c r="CC29" i="60"/>
  <c r="AU57" i="60"/>
  <c r="CM57" i="60"/>
  <c r="V79" i="51"/>
  <c r="BM79" i="51" s="1"/>
  <c r="BM83" i="51"/>
  <c r="D65" i="67"/>
  <c r="BO111" i="50"/>
  <c r="D65" i="85" s="1"/>
  <c r="AT74" i="51"/>
  <c r="CK75" i="51"/>
  <c r="H18" i="51"/>
  <c r="AY18" i="51" s="1"/>
  <c r="AY25" i="51"/>
  <c r="K18" i="51"/>
  <c r="BB18" i="51" s="1"/>
  <c r="BB25" i="51"/>
  <c r="W82" i="67"/>
  <c r="AM130" i="50"/>
  <c r="BY130" i="50" s="1"/>
  <c r="BX130" i="50"/>
  <c r="N30" i="51"/>
  <c r="BE34" i="51"/>
  <c r="R30" i="51"/>
  <c r="BI34" i="51"/>
  <c r="AM15" i="50"/>
  <c r="BY15" i="50" s="1"/>
  <c r="BX15" i="50"/>
  <c r="BT70" i="50"/>
  <c r="AH69" i="50"/>
  <c r="BT69" i="50" s="1"/>
  <c r="AI70" i="50"/>
  <c r="Q30" i="51"/>
  <c r="BH34" i="51"/>
  <c r="AI71" i="50"/>
  <c r="BT71" i="50"/>
  <c r="Y79" i="51"/>
  <c r="BP79" i="51" s="1"/>
  <c r="BP83" i="51"/>
  <c r="BX38" i="50"/>
  <c r="AL35" i="50"/>
  <c r="AI60" i="53"/>
  <c r="BX29" i="60"/>
  <c r="AS60" i="53"/>
  <c r="CU60" i="53" s="1"/>
  <c r="CF29" i="60"/>
  <c r="AU56" i="60"/>
  <c r="CM56" i="60"/>
  <c r="AU61" i="60"/>
  <c r="CM61" i="60"/>
  <c r="AJ60" i="53"/>
  <c r="CM60" i="53" s="1"/>
  <c r="BY29" i="60"/>
  <c r="AT60" i="53"/>
  <c r="CV60" i="53" s="1"/>
  <c r="CG29" i="60"/>
  <c r="AR74" i="51"/>
  <c r="CI75" i="51"/>
  <c r="H30" i="51"/>
  <c r="AY30" i="51" s="1"/>
  <c r="AY34" i="51"/>
  <c r="G18" i="51"/>
  <c r="AX18" i="51" s="1"/>
  <c r="AX25" i="51"/>
  <c r="AP57" i="73"/>
  <c r="F30" i="51"/>
  <c r="AW30" i="51" s="1"/>
  <c r="AW34" i="51"/>
  <c r="BV38" i="50"/>
  <c r="AJ35" i="50"/>
  <c r="AM117" i="50"/>
  <c r="BY117" i="50" s="1"/>
  <c r="BX117" i="50"/>
  <c r="BV157" i="50"/>
  <c r="AK157" i="50"/>
  <c r="AP18" i="51"/>
  <c r="CG18" i="51" s="1"/>
  <c r="CG25" i="51"/>
  <c r="AI72" i="50"/>
  <c r="BT72" i="50"/>
  <c r="AO74" i="51"/>
  <c r="CF75" i="51"/>
  <c r="AA60" i="53"/>
  <c r="AJ60" i="73" s="1"/>
  <c r="BY60" i="73" s="1"/>
  <c r="BR29" i="60"/>
  <c r="AK60" i="53"/>
  <c r="CN60" i="53" s="1"/>
  <c r="BZ29" i="60"/>
  <c r="AU60" i="53"/>
  <c r="CW60" i="53" s="1"/>
  <c r="CH29" i="60"/>
  <c r="AS74" i="51"/>
  <c r="CJ75" i="51"/>
  <c r="I30" i="51"/>
  <c r="AZ30" i="51" s="1"/>
  <c r="AZ34" i="51"/>
  <c r="G30" i="51"/>
  <c r="AX30" i="51" s="1"/>
  <c r="AX34" i="51"/>
  <c r="I18" i="51"/>
  <c r="AZ18" i="51" s="1"/>
  <c r="AZ25" i="51"/>
  <c r="AL125" i="50"/>
  <c r="BW125" i="50"/>
  <c r="T79" i="51"/>
  <c r="BK79" i="51" s="1"/>
  <c r="BK83" i="51"/>
  <c r="AI67" i="50"/>
  <c r="BT67" i="50"/>
  <c r="AR18" i="51"/>
  <c r="CI18" i="51" s="1"/>
  <c r="CI25" i="51"/>
  <c r="AD60" i="53"/>
  <c r="CH60" i="53" s="1"/>
  <c r="BU29" i="60"/>
  <c r="AM118" i="50"/>
  <c r="BY118" i="50" s="1"/>
  <c r="BX118" i="50"/>
  <c r="AB60" i="53"/>
  <c r="CF60" i="53" s="1"/>
  <c r="BS29" i="60"/>
  <c r="AL60" i="53"/>
  <c r="CO60" i="53" s="1"/>
  <c r="CA29" i="60"/>
  <c r="AU55" i="60"/>
  <c r="CM55" i="60"/>
  <c r="AU60" i="60"/>
  <c r="CM60" i="60"/>
  <c r="AQ74" i="51"/>
  <c r="CH75" i="51"/>
  <c r="N83" i="51"/>
  <c r="BE89" i="51"/>
  <c r="AH27" i="7"/>
  <c r="CE27" i="7" s="1"/>
  <c r="O30" i="51"/>
  <c r="BF34" i="51"/>
  <c r="BY38" i="50"/>
  <c r="AM35" i="50"/>
  <c r="S60" i="53"/>
  <c r="Y60" i="73" s="1"/>
  <c r="BS60" i="73" s="1"/>
  <c r="BL29" i="60"/>
  <c r="AC60" i="53"/>
  <c r="CG60" i="53" s="1"/>
  <c r="BT29" i="60"/>
  <c r="AM60" i="53"/>
  <c r="CP60" i="53" s="1"/>
  <c r="CB29" i="60"/>
  <c r="R83" i="51"/>
  <c r="BI89" i="51"/>
  <c r="BT40" i="50"/>
  <c r="AH65" i="50"/>
  <c r="AH38" i="50"/>
  <c r="M83" i="51"/>
  <c r="BD89" i="51"/>
  <c r="F74" i="51"/>
  <c r="AW75" i="51"/>
  <c r="AF20" i="50"/>
  <c r="BR20" i="50" s="1"/>
  <c r="BQ20" i="50"/>
  <c r="AM122" i="50"/>
  <c r="BY122" i="50" s="1"/>
  <c r="BX122" i="50"/>
  <c r="X79" i="51"/>
  <c r="BO79" i="51" s="1"/>
  <c r="BO83" i="51"/>
  <c r="AM22" i="50"/>
  <c r="BY22" i="50" s="1"/>
  <c r="BX22" i="50"/>
  <c r="AT18" i="51"/>
  <c r="CK18" i="51" s="1"/>
  <c r="CK25" i="51"/>
  <c r="AC178" i="50"/>
  <c r="BO178" i="50" s="1"/>
  <c r="BO158" i="50"/>
  <c r="AD158" i="50"/>
  <c r="BW38" i="50"/>
  <c r="AK35" i="50"/>
  <c r="AS18" i="51"/>
  <c r="CJ18" i="51" s="1"/>
  <c r="CJ25" i="51"/>
  <c r="Y81" i="67"/>
  <c r="AA81" i="67" s="1"/>
  <c r="CJ56" i="53"/>
  <c r="Y81" i="85" s="1"/>
  <c r="AA81" i="85" s="1"/>
  <c r="V81" i="67"/>
  <c r="CG56" i="53"/>
  <c r="V81" i="85" s="1"/>
  <c r="Y106" i="67"/>
  <c r="AA106" i="67" s="1"/>
  <c r="CQ57" i="53"/>
  <c r="Y106" i="85" s="1"/>
  <c r="AA106" i="85" s="1"/>
  <c r="X106" i="67"/>
  <c r="CP57" i="53"/>
  <c r="X106" i="85" s="1"/>
  <c r="Y82" i="67"/>
  <c r="AA82" i="67" s="1"/>
  <c r="CJ57" i="53"/>
  <c r="Y82" i="85" s="1"/>
  <c r="AA82" i="85" s="1"/>
  <c r="AS57" i="73"/>
  <c r="CD57" i="73" s="1"/>
  <c r="W106" i="67"/>
  <c r="CO57" i="53"/>
  <c r="W106" i="85" s="1"/>
  <c r="AH56" i="53"/>
  <c r="CF56" i="53"/>
  <c r="U81" i="85" s="1"/>
  <c r="Z81" i="85" s="1"/>
  <c r="X81" i="67"/>
  <c r="CI56" i="53"/>
  <c r="X81" i="85" s="1"/>
  <c r="V106" i="67"/>
  <c r="CN57" i="53"/>
  <c r="V106" i="85" s="1"/>
  <c r="BX60" i="53"/>
  <c r="X82" i="67"/>
  <c r="CI57" i="53"/>
  <c r="X82" i="85" s="1"/>
  <c r="AS56" i="73"/>
  <c r="CD56" i="73" s="1"/>
  <c r="AQ56" i="73"/>
  <c r="CC56" i="73" s="1"/>
  <c r="AN56" i="73"/>
  <c r="AX57" i="73"/>
  <c r="CG57" i="73" s="1"/>
  <c r="AM56" i="73"/>
  <c r="CA56" i="73" s="1"/>
  <c r="BD57" i="73"/>
  <c r="CJ57" i="73" s="1"/>
  <c r="AZ57" i="73"/>
  <c r="CH57" i="73" s="1"/>
  <c r="AR56" i="73"/>
  <c r="AK167" i="50"/>
  <c r="BV167" i="50"/>
  <c r="BA57" i="73"/>
  <c r="AF66" i="50"/>
  <c r="BR66" i="50" s="1"/>
  <c r="BQ66" i="50"/>
  <c r="AL154" i="50"/>
  <c r="BW154" i="50"/>
  <c r="E11" i="62"/>
  <c r="AV11" i="62" s="1"/>
  <c r="AV18" i="62"/>
  <c r="AL161" i="50"/>
  <c r="BW161" i="50"/>
  <c r="AF162" i="50"/>
  <c r="BR162" i="50" s="1"/>
  <c r="BQ162" i="50"/>
  <c r="AB171" i="50"/>
  <c r="BN173" i="50"/>
  <c r="H70" i="62"/>
  <c r="AX70" i="62"/>
  <c r="AL164" i="50"/>
  <c r="BW164" i="50"/>
  <c r="AD165" i="50"/>
  <c r="BO165" i="50"/>
  <c r="AM170" i="50"/>
  <c r="BY170" i="50" s="1"/>
  <c r="BX170" i="50"/>
  <c r="C67" i="67"/>
  <c r="BN151" i="50"/>
  <c r="C67" i="85" s="1"/>
  <c r="AA282" i="50"/>
  <c r="BM282" i="50" s="1"/>
  <c r="E18" i="51"/>
  <c r="AV20" i="51"/>
  <c r="C56" i="49"/>
  <c r="I56" i="49" s="1"/>
  <c r="AL165" i="50"/>
  <c r="BW165" i="50"/>
  <c r="AF72" i="50"/>
  <c r="BR72" i="50" s="1"/>
  <c r="BQ72" i="50"/>
  <c r="AF67" i="50"/>
  <c r="BR67" i="50" s="1"/>
  <c r="BQ67" i="50"/>
  <c r="AE71" i="50"/>
  <c r="BP71" i="50"/>
  <c r="AL56" i="73"/>
  <c r="U81" i="67"/>
  <c r="Z81" i="67" s="1"/>
  <c r="AG56" i="53"/>
  <c r="CK56" i="53" s="1"/>
  <c r="AB60" i="50"/>
  <c r="BN60" i="50" s="1"/>
  <c r="C62" i="85" s="1"/>
  <c r="BN69" i="50"/>
  <c r="AK56" i="73"/>
  <c r="BZ56" i="73" s="1"/>
  <c r="AE164" i="50"/>
  <c r="BP164" i="50"/>
  <c r="AD184" i="50"/>
  <c r="BP184" i="50" s="1"/>
  <c r="AL158" i="50"/>
  <c r="BW158" i="50"/>
  <c r="AE167" i="50"/>
  <c r="BP167" i="50"/>
  <c r="AD156" i="50"/>
  <c r="BO156" i="50"/>
  <c r="AC176" i="50"/>
  <c r="BO176" i="50" s="1"/>
  <c r="AF170" i="50"/>
  <c r="BR170" i="50" s="1"/>
  <c r="BQ170" i="50"/>
  <c r="C91" i="67"/>
  <c r="BU151" i="50"/>
  <c r="C91" i="85" s="1"/>
  <c r="AY57" i="73"/>
  <c r="AT56" i="73"/>
  <c r="AM162" i="50"/>
  <c r="BY162" i="50" s="1"/>
  <c r="BX162" i="50"/>
  <c r="H78" i="62"/>
  <c r="AX78" i="62"/>
  <c r="AL156" i="50"/>
  <c r="BW156" i="50"/>
  <c r="AW14" i="60"/>
  <c r="AW29" i="60"/>
  <c r="AV14" i="60"/>
  <c r="AV29" i="60"/>
  <c r="U106" i="67"/>
  <c r="Z106" i="67" s="1"/>
  <c r="AP57" i="53"/>
  <c r="AO57" i="53"/>
  <c r="CR57" i="53" s="1"/>
  <c r="AP29" i="60"/>
  <c r="AQ29" i="60"/>
  <c r="AT29" i="60"/>
  <c r="AR29" i="60"/>
  <c r="AM29" i="60"/>
  <c r="AS29" i="60"/>
  <c r="N27" i="79"/>
  <c r="K27" i="79"/>
  <c r="H5" i="79"/>
  <c r="H25" i="60"/>
  <c r="D16" i="79"/>
  <c r="P25" i="60"/>
  <c r="F27" i="79"/>
  <c r="J27" i="79"/>
  <c r="D60" i="53"/>
  <c r="BK60" i="53" s="1"/>
  <c r="D44" i="79"/>
  <c r="D45" i="79"/>
  <c r="J23" i="79"/>
  <c r="J22" i="79"/>
  <c r="N60" i="53"/>
  <c r="BT60" i="53" s="1"/>
  <c r="L44" i="79"/>
  <c r="L45" i="79"/>
  <c r="AE157" i="50"/>
  <c r="BQ157" i="50" s="1"/>
  <c r="AD177" i="50"/>
  <c r="BP177" i="50" s="1"/>
  <c r="I5" i="79"/>
  <c r="I25" i="60"/>
  <c r="C27" i="79"/>
  <c r="E60" i="53"/>
  <c r="BL60" i="53" s="1"/>
  <c r="E45" i="79"/>
  <c r="K23" i="79"/>
  <c r="K22" i="79"/>
  <c r="E44" i="79"/>
  <c r="O60" i="53"/>
  <c r="BU60" i="53" s="1"/>
  <c r="M44" i="79"/>
  <c r="M45" i="79"/>
  <c r="F5" i="79"/>
  <c r="F25" i="60"/>
  <c r="J5" i="79"/>
  <c r="J25" i="60"/>
  <c r="N5" i="79"/>
  <c r="N25" i="60"/>
  <c r="F16" i="79"/>
  <c r="R25" i="60"/>
  <c r="D27" i="79"/>
  <c r="H27" i="79"/>
  <c r="L27" i="79"/>
  <c r="F60" i="53"/>
  <c r="BM60" i="53" s="1"/>
  <c r="F45" i="79"/>
  <c r="F44" i="79"/>
  <c r="L22" i="79"/>
  <c r="L23" i="79"/>
  <c r="L60" i="53"/>
  <c r="BR60" i="53" s="1"/>
  <c r="J45" i="79"/>
  <c r="J44" i="79"/>
  <c r="N45" i="79"/>
  <c r="N44" i="79"/>
  <c r="D27" i="60"/>
  <c r="AV27" i="60" s="1"/>
  <c r="D5" i="79"/>
  <c r="D25" i="60"/>
  <c r="AV25" i="60" s="1"/>
  <c r="L5" i="79"/>
  <c r="L25" i="60"/>
  <c r="H16" i="79"/>
  <c r="T25" i="60"/>
  <c r="H60" i="53"/>
  <c r="BO60" i="53" s="1"/>
  <c r="H45" i="79"/>
  <c r="N23" i="79"/>
  <c r="N22" i="79"/>
  <c r="H44" i="79"/>
  <c r="E5" i="79"/>
  <c r="E25" i="60"/>
  <c r="M5" i="79"/>
  <c r="M25" i="60"/>
  <c r="Q25" i="60"/>
  <c r="E16" i="79"/>
  <c r="G27" i="79"/>
  <c r="K60" i="53"/>
  <c r="I45" i="79"/>
  <c r="I44" i="79"/>
  <c r="G27" i="60"/>
  <c r="G5" i="79"/>
  <c r="G25" i="60"/>
  <c r="K27" i="60"/>
  <c r="K5" i="79"/>
  <c r="K25" i="60"/>
  <c r="O27" i="60"/>
  <c r="C16" i="79"/>
  <c r="O25" i="60"/>
  <c r="G16" i="79"/>
  <c r="S25" i="60"/>
  <c r="E27" i="79"/>
  <c r="I27" i="79"/>
  <c r="M27" i="79"/>
  <c r="C60" i="53"/>
  <c r="C45" i="79"/>
  <c r="I23" i="79"/>
  <c r="C44" i="79"/>
  <c r="I22" i="79"/>
  <c r="G60" i="53"/>
  <c r="BN60" i="53" s="1"/>
  <c r="G44" i="79"/>
  <c r="M22" i="79"/>
  <c r="G45" i="79"/>
  <c r="M23" i="79"/>
  <c r="M60" i="53"/>
  <c r="BS60" i="53" s="1"/>
  <c r="K44" i="79"/>
  <c r="K45" i="79"/>
  <c r="F11" i="51"/>
  <c r="AW11" i="51" s="1"/>
  <c r="J74" i="51"/>
  <c r="I74" i="51"/>
  <c r="C62" i="67"/>
  <c r="L27" i="60"/>
  <c r="H27" i="60"/>
  <c r="AT24" i="60"/>
  <c r="P27" i="60"/>
  <c r="E27" i="60"/>
  <c r="I27" i="60"/>
  <c r="M27" i="60"/>
  <c r="Q27" i="60"/>
  <c r="AG27" i="60"/>
  <c r="AK27" i="60"/>
  <c r="S27" i="60"/>
  <c r="AI27" i="60"/>
  <c r="T27" i="60"/>
  <c r="AJ27" i="60"/>
  <c r="F27" i="60"/>
  <c r="J27" i="60"/>
  <c r="N27" i="60"/>
  <c r="R27" i="60"/>
  <c r="AH27" i="60"/>
  <c r="AL27" i="60"/>
  <c r="H83" i="51"/>
  <c r="C50" i="60"/>
  <c r="AP24" i="60"/>
  <c r="AR24" i="60"/>
  <c r="AS24" i="60"/>
  <c r="AL60" i="73"/>
  <c r="AK60" i="73"/>
  <c r="BZ60" i="73" s="1"/>
  <c r="AT60" i="73"/>
  <c r="AS60" i="73"/>
  <c r="CD60" i="73" s="1"/>
  <c r="AR60" i="73"/>
  <c r="AQ60" i="73"/>
  <c r="CC60" i="73" s="1"/>
  <c r="AM60" i="73"/>
  <c r="CA60" i="73" s="1"/>
  <c r="AN60" i="73"/>
  <c r="BC60" i="73"/>
  <c r="AP60" i="73"/>
  <c r="AO60" i="73"/>
  <c r="CB60" i="73" s="1"/>
  <c r="AW57" i="73"/>
  <c r="AV57" i="73"/>
  <c r="CF57" i="73" s="1"/>
  <c r="H74" i="51"/>
  <c r="Q62" i="60"/>
  <c r="U60" i="53"/>
  <c r="BZ60" i="53" s="1"/>
  <c r="P60" i="53"/>
  <c r="BV60" i="53" s="1"/>
  <c r="R62" i="60"/>
  <c r="V60" i="53"/>
  <c r="CA60" i="53" s="1"/>
  <c r="AL63" i="60"/>
  <c r="AV60" i="53"/>
  <c r="CX60" i="53" s="1"/>
  <c r="S62" i="60"/>
  <c r="W60" i="53"/>
  <c r="CB60" i="53" s="1"/>
  <c r="P62" i="60"/>
  <c r="T60" i="53"/>
  <c r="BY60" i="53" s="1"/>
  <c r="T62" i="60"/>
  <c r="X60" i="53"/>
  <c r="CC60" i="53" s="1"/>
  <c r="AL50" i="60"/>
  <c r="CI50" i="60" s="1"/>
  <c r="F63" i="60"/>
  <c r="F62" i="60"/>
  <c r="J63" i="60"/>
  <c r="J62" i="60"/>
  <c r="N63" i="60"/>
  <c r="N62" i="60"/>
  <c r="R63" i="60"/>
  <c r="V63" i="60"/>
  <c r="V62" i="60"/>
  <c r="Z63" i="60"/>
  <c r="Z62" i="60"/>
  <c r="AD63" i="60"/>
  <c r="AD62" i="60"/>
  <c r="AK63" i="60"/>
  <c r="AK62" i="60"/>
  <c r="C63" i="60"/>
  <c r="C62" i="60"/>
  <c r="G63" i="60"/>
  <c r="G62" i="60"/>
  <c r="K63" i="60"/>
  <c r="K62" i="60"/>
  <c r="O63" i="60"/>
  <c r="O62" i="60"/>
  <c r="S63" i="60"/>
  <c r="W63" i="60"/>
  <c r="W62" i="60"/>
  <c r="AA63" i="60"/>
  <c r="AA62" i="60"/>
  <c r="AE63" i="60"/>
  <c r="AE62" i="60"/>
  <c r="AH63" i="60"/>
  <c r="AH62" i="60"/>
  <c r="AL62" i="60"/>
  <c r="D62" i="60"/>
  <c r="D63" i="60"/>
  <c r="H62" i="60"/>
  <c r="H63" i="60"/>
  <c r="L62" i="60"/>
  <c r="L63" i="60"/>
  <c r="P63" i="60"/>
  <c r="T63" i="60"/>
  <c r="X62" i="60"/>
  <c r="X63" i="60"/>
  <c r="AB62" i="60"/>
  <c r="AB63" i="60"/>
  <c r="AF62" i="60"/>
  <c r="AF63" i="60"/>
  <c r="AI62" i="60"/>
  <c r="AI63" i="60"/>
  <c r="E63" i="60"/>
  <c r="E62" i="60"/>
  <c r="I63" i="60"/>
  <c r="I62" i="60"/>
  <c r="M63" i="60"/>
  <c r="M62" i="60"/>
  <c r="Q63" i="60"/>
  <c r="U63" i="60"/>
  <c r="U62" i="60"/>
  <c r="Y63" i="60"/>
  <c r="Y62" i="60"/>
  <c r="AC63" i="60"/>
  <c r="AC62" i="60"/>
  <c r="AG63" i="60"/>
  <c r="AG62" i="60"/>
  <c r="AJ63" i="60"/>
  <c r="AJ62" i="60"/>
  <c r="AP54" i="60"/>
  <c r="AT53" i="60"/>
  <c r="CQ53" i="60" s="1"/>
  <c r="D50" i="60"/>
  <c r="H50" i="60"/>
  <c r="K50" i="60"/>
  <c r="O50" i="60"/>
  <c r="R50" i="60"/>
  <c r="Y50" i="60"/>
  <c r="AB50" i="60"/>
  <c r="AF50" i="60"/>
  <c r="F50" i="60"/>
  <c r="M50" i="60"/>
  <c r="P50" i="60"/>
  <c r="T50" i="60"/>
  <c r="W50" i="60"/>
  <c r="AA50" i="60"/>
  <c r="AD50" i="60"/>
  <c r="G50" i="60"/>
  <c r="J50" i="60"/>
  <c r="N50" i="60"/>
  <c r="Q50" i="60"/>
  <c r="U50" i="60"/>
  <c r="X50" i="60"/>
  <c r="AE50" i="60"/>
  <c r="AH50" i="60"/>
  <c r="CE50" i="60" s="1"/>
  <c r="AI50" i="60"/>
  <c r="CF50" i="60" s="1"/>
  <c r="E50" i="60"/>
  <c r="I50" i="60"/>
  <c r="L50" i="60"/>
  <c r="S50" i="60"/>
  <c r="V50" i="60"/>
  <c r="Z50" i="60"/>
  <c r="AC50" i="60"/>
  <c r="AG50" i="60"/>
  <c r="CD50" i="60" s="1"/>
  <c r="AJ50" i="60"/>
  <c r="CG50" i="60" s="1"/>
  <c r="AK50" i="60"/>
  <c r="CH50" i="60" s="1"/>
  <c r="E114" i="1"/>
  <c r="E38" i="2" s="1"/>
  <c r="H114" i="1"/>
  <c r="H38" i="2" s="1"/>
  <c r="I113" i="1"/>
  <c r="I37" i="2" s="1"/>
  <c r="AQ14" i="60"/>
  <c r="G83" i="51"/>
  <c r="I83" i="51"/>
  <c r="K74" i="51"/>
  <c r="J83" i="51"/>
  <c r="K83" i="51"/>
  <c r="E113" i="1"/>
  <c r="E37" i="2" s="1"/>
  <c r="AB59" i="53"/>
  <c r="CF59" i="53" s="1"/>
  <c r="U84" i="85" s="1"/>
  <c r="AK59" i="53"/>
  <c r="AE59" i="53"/>
  <c r="G113" i="1"/>
  <c r="G37" i="2" s="1"/>
  <c r="AC59" i="53"/>
  <c r="AI59" i="53"/>
  <c r="CL59" i="53" s="1"/>
  <c r="T108" i="85" s="1"/>
  <c r="AL59" i="53"/>
  <c r="AS14" i="60"/>
  <c r="H101" i="62"/>
  <c r="AY101" i="62" s="1"/>
  <c r="G99" i="62"/>
  <c r="AX99" i="62" s="1"/>
  <c r="F60" i="62"/>
  <c r="AW60" i="62" s="1"/>
  <c r="AA59" i="53"/>
  <c r="CE59" i="53" s="1"/>
  <c r="T84" i="85" s="1"/>
  <c r="H69" i="62"/>
  <c r="AY69" i="62" s="1"/>
  <c r="G67" i="62"/>
  <c r="AX67" i="62" s="1"/>
  <c r="AD59" i="53"/>
  <c r="AK153" i="50"/>
  <c r="BW153" i="50" s="1"/>
  <c r="AJ151" i="50"/>
  <c r="AB282" i="50"/>
  <c r="BN282" i="50" s="1"/>
  <c r="C55" i="49"/>
  <c r="AE127" i="50"/>
  <c r="BQ127" i="50" s="1"/>
  <c r="AD187" i="50"/>
  <c r="BP187" i="50" s="1"/>
  <c r="AD111" i="50"/>
  <c r="AF130" i="50"/>
  <c r="BR130" i="50" s="1"/>
  <c r="AE190" i="50"/>
  <c r="BQ190" i="50" s="1"/>
  <c r="AF116" i="50"/>
  <c r="BR116" i="50" s="1"/>
  <c r="AE65" i="50"/>
  <c r="BQ65" i="50" s="1"/>
  <c r="AD63" i="50"/>
  <c r="BP63" i="50" s="1"/>
  <c r="AF113" i="50"/>
  <c r="BR113" i="50" s="1"/>
  <c r="AE154" i="50"/>
  <c r="BQ154" i="50" s="1"/>
  <c r="AD174" i="50"/>
  <c r="BP174" i="50" s="1"/>
  <c r="AE161" i="50"/>
  <c r="BQ161" i="50" s="1"/>
  <c r="AD181" i="50"/>
  <c r="BP181" i="50" s="1"/>
  <c r="AD70" i="50"/>
  <c r="BP70" i="50" s="1"/>
  <c r="AC69" i="50"/>
  <c r="AD153" i="50"/>
  <c r="BP153" i="50" s="1"/>
  <c r="AC151" i="50"/>
  <c r="AC173" i="50"/>
  <c r="AE125" i="50"/>
  <c r="BQ125" i="50" s="1"/>
  <c r="G114" i="1"/>
  <c r="G38" i="2" s="1"/>
  <c r="H113" i="1"/>
  <c r="I114" i="1"/>
  <c r="F114" i="1"/>
  <c r="J114" i="1"/>
  <c r="J38" i="2" s="1"/>
  <c r="AP14" i="60"/>
  <c r="AU14" i="60" s="1"/>
  <c r="AT14" i="60"/>
  <c r="AR14" i="60"/>
  <c r="F113" i="1"/>
  <c r="F37" i="2" s="1"/>
  <c r="AC32" i="83" s="1"/>
  <c r="J113" i="1"/>
  <c r="J37" i="2" s="1"/>
  <c r="AP9" i="60"/>
  <c r="CM9" i="60" s="1"/>
  <c r="V9" i="60"/>
  <c r="AB9" i="60" s="1"/>
  <c r="AR9" i="60"/>
  <c r="CO9" i="60" s="1"/>
  <c r="X9" i="60"/>
  <c r="AD9" i="60" s="1"/>
  <c r="AM9" i="60"/>
  <c r="CJ9" i="60" s="1"/>
  <c r="U9" i="60"/>
  <c r="AA9" i="60" s="1"/>
  <c r="AQ9" i="60"/>
  <c r="CN9" i="60" s="1"/>
  <c r="W9" i="60"/>
  <c r="AC9" i="60" s="1"/>
  <c r="Y9" i="60"/>
  <c r="AE9" i="60" s="1"/>
  <c r="AS9" i="60"/>
  <c r="CP9" i="60" s="1"/>
  <c r="AT9" i="60"/>
  <c r="CQ9" i="60" s="1"/>
  <c r="Z9" i="60"/>
  <c r="AF9" i="60" s="1"/>
  <c r="Y60" i="51" l="1"/>
  <c r="BP60" i="51" s="1"/>
  <c r="J11" i="51"/>
  <c r="BA11" i="51" s="1"/>
  <c r="I11" i="51"/>
  <c r="AZ11" i="51" s="1"/>
  <c r="T60" i="51"/>
  <c r="BK60" i="51" s="1"/>
  <c r="X60" i="51"/>
  <c r="BO60" i="51" s="1"/>
  <c r="U60" i="51"/>
  <c r="BL60" i="51" s="1"/>
  <c r="G67" i="51"/>
  <c r="AX67" i="51" s="1"/>
  <c r="O45" i="84"/>
  <c r="P45" i="84"/>
  <c r="P44" i="84"/>
  <c r="O45" i="79"/>
  <c r="P22" i="84"/>
  <c r="P23" i="79"/>
  <c r="O44" i="84"/>
  <c r="O17" i="84"/>
  <c r="O18" i="84"/>
  <c r="P7" i="84"/>
  <c r="CJ29" i="60"/>
  <c r="AM62" i="60"/>
  <c r="CO29" i="60"/>
  <c r="AR62" i="60"/>
  <c r="CE60" i="53"/>
  <c r="I19" i="84"/>
  <c r="F38" i="84"/>
  <c r="G39" i="84" s="1"/>
  <c r="CQ29" i="60"/>
  <c r="AT62" i="60"/>
  <c r="AQ24" i="60"/>
  <c r="CN29" i="60"/>
  <c r="AQ62" i="60"/>
  <c r="CM29" i="60"/>
  <c r="AP62" i="60"/>
  <c r="H38" i="84"/>
  <c r="H39" i="84" s="1"/>
  <c r="CP29" i="60"/>
  <c r="AS62" i="60"/>
  <c r="N33" i="79"/>
  <c r="N33" i="84"/>
  <c r="H22" i="79"/>
  <c r="H22" i="84"/>
  <c r="N40" i="84"/>
  <c r="N39" i="84"/>
  <c r="P38" i="84"/>
  <c r="AE33" i="78"/>
  <c r="AE33" i="83"/>
  <c r="E23" i="79"/>
  <c r="E23" i="84"/>
  <c r="D23" i="79"/>
  <c r="D23" i="84"/>
  <c r="G23" i="79"/>
  <c r="G23" i="84"/>
  <c r="C12" i="79"/>
  <c r="C12" i="84"/>
  <c r="D34" i="79"/>
  <c r="D34" i="84"/>
  <c r="K18" i="84"/>
  <c r="K17" i="84"/>
  <c r="N41" i="84"/>
  <c r="M41" i="84"/>
  <c r="Z84" i="85"/>
  <c r="M33" i="79"/>
  <c r="M33" i="84"/>
  <c r="V60" i="51"/>
  <c r="BM60" i="51" s="1"/>
  <c r="AB33" i="78"/>
  <c r="AB33" i="83"/>
  <c r="M11" i="79"/>
  <c r="M11" i="84"/>
  <c r="N34" i="79"/>
  <c r="N34" i="84"/>
  <c r="L12" i="79"/>
  <c r="L12" i="84"/>
  <c r="C22" i="79"/>
  <c r="C22" i="84"/>
  <c r="F23" i="79"/>
  <c r="F23" i="84"/>
  <c r="O27" i="79"/>
  <c r="F29" i="84"/>
  <c r="C38" i="84"/>
  <c r="C41" i="84" s="1"/>
  <c r="I41" i="84"/>
  <c r="K41" i="84"/>
  <c r="E29" i="84"/>
  <c r="E28" i="84"/>
  <c r="L11" i="79"/>
  <c r="L11" i="84"/>
  <c r="N11" i="79"/>
  <c r="N11" i="84"/>
  <c r="J28" i="84"/>
  <c r="J29" i="84"/>
  <c r="AD33" i="78"/>
  <c r="AD33" i="83"/>
  <c r="AB32" i="78"/>
  <c r="AB32" i="83"/>
  <c r="K34" i="79"/>
  <c r="K34" i="84"/>
  <c r="I11" i="79"/>
  <c r="I11" i="84"/>
  <c r="J34" i="79"/>
  <c r="J34" i="84"/>
  <c r="H12" i="79"/>
  <c r="H12" i="84"/>
  <c r="M34" i="79"/>
  <c r="M34" i="84"/>
  <c r="K11" i="79"/>
  <c r="K11" i="84"/>
  <c r="L33" i="79"/>
  <c r="L33" i="84"/>
  <c r="N12" i="79"/>
  <c r="N12" i="84"/>
  <c r="P23" i="84"/>
  <c r="D38" i="84"/>
  <c r="L29" i="84"/>
  <c r="L28" i="84"/>
  <c r="O7" i="84"/>
  <c r="C23" i="79"/>
  <c r="C23" i="84"/>
  <c r="L39" i="84"/>
  <c r="K39" i="84"/>
  <c r="K40" i="84"/>
  <c r="J41" i="84"/>
  <c r="J39" i="84"/>
  <c r="J40" i="84"/>
  <c r="G33" i="79"/>
  <c r="G33" i="84"/>
  <c r="I12" i="79"/>
  <c r="I12" i="84"/>
  <c r="J33" i="79"/>
  <c r="J33" i="84"/>
  <c r="H11" i="79"/>
  <c r="H11" i="84"/>
  <c r="I33" i="79"/>
  <c r="I33" i="84"/>
  <c r="K12" i="79"/>
  <c r="K12" i="84"/>
  <c r="L34" i="79"/>
  <c r="L34" i="84"/>
  <c r="J11" i="79"/>
  <c r="J11" i="84"/>
  <c r="D22" i="79"/>
  <c r="D22" i="84"/>
  <c r="BA60" i="73"/>
  <c r="G41" i="84"/>
  <c r="M19" i="84"/>
  <c r="M18" i="84"/>
  <c r="M17" i="84"/>
  <c r="N17" i="84"/>
  <c r="N18" i="84"/>
  <c r="P16" i="84"/>
  <c r="M12" i="79"/>
  <c r="M12" i="84"/>
  <c r="K11" i="51"/>
  <c r="BB11" i="51" s="1"/>
  <c r="G34" i="79"/>
  <c r="G34" i="84"/>
  <c r="E11" i="79"/>
  <c r="E11" i="84"/>
  <c r="F34" i="79"/>
  <c r="F34" i="84"/>
  <c r="D12" i="79"/>
  <c r="D12" i="84"/>
  <c r="I34" i="79"/>
  <c r="I34" i="84"/>
  <c r="G11" i="79"/>
  <c r="G11" i="84"/>
  <c r="H33" i="79"/>
  <c r="H33" i="84"/>
  <c r="J12" i="79"/>
  <c r="P12" i="79" s="1"/>
  <c r="J12" i="84"/>
  <c r="E22" i="79"/>
  <c r="E22" i="84"/>
  <c r="AV24" i="60"/>
  <c r="M39" i="84"/>
  <c r="M40" i="84"/>
  <c r="N19" i="84"/>
  <c r="N29" i="84"/>
  <c r="L19" i="84"/>
  <c r="K19" i="84"/>
  <c r="E41" i="84"/>
  <c r="D29" i="84"/>
  <c r="D28" i="84"/>
  <c r="AG32" i="78"/>
  <c r="AG32" i="83"/>
  <c r="K33" i="79"/>
  <c r="K33" i="84"/>
  <c r="F22" i="79"/>
  <c r="F22" i="84"/>
  <c r="C33" i="79"/>
  <c r="C33" i="84"/>
  <c r="E12" i="79"/>
  <c r="E12" i="84"/>
  <c r="F33" i="79"/>
  <c r="F33" i="84"/>
  <c r="D11" i="79"/>
  <c r="D11" i="84"/>
  <c r="E33" i="79"/>
  <c r="E33" i="84"/>
  <c r="G12" i="79"/>
  <c r="G12" i="84"/>
  <c r="H34" i="79"/>
  <c r="H34" i="84"/>
  <c r="F11" i="79"/>
  <c r="F11" i="84"/>
  <c r="G22" i="79"/>
  <c r="G22" i="84"/>
  <c r="AH60" i="53"/>
  <c r="L41" i="84"/>
  <c r="L40" i="84"/>
  <c r="H28" i="84"/>
  <c r="O28" i="84" s="1"/>
  <c r="H29" i="84"/>
  <c r="O29" i="84" s="1"/>
  <c r="O27" i="84"/>
  <c r="G28" i="84"/>
  <c r="G29" i="84"/>
  <c r="J19" i="84"/>
  <c r="O6" i="84"/>
  <c r="J17" i="84"/>
  <c r="J18" i="84"/>
  <c r="AG33" i="78"/>
  <c r="AG33" i="83"/>
  <c r="AD32" i="78"/>
  <c r="AD32" i="83"/>
  <c r="AF32" i="78"/>
  <c r="AF32" i="83"/>
  <c r="C34" i="79"/>
  <c r="C34" i="84"/>
  <c r="H23" i="79"/>
  <c r="H23" i="84"/>
  <c r="E34" i="79"/>
  <c r="E34" i="84"/>
  <c r="C11" i="79"/>
  <c r="C11" i="84"/>
  <c r="D33" i="79"/>
  <c r="D33" i="84"/>
  <c r="F12" i="79"/>
  <c r="F12" i="84"/>
  <c r="K28" i="84"/>
  <c r="K29" i="84"/>
  <c r="P27" i="84"/>
  <c r="N28" i="84"/>
  <c r="M28" i="84"/>
  <c r="M29" i="84"/>
  <c r="P6" i="84"/>
  <c r="L18" i="84"/>
  <c r="L17" i="84"/>
  <c r="AM59" i="53"/>
  <c r="W60" i="51"/>
  <c r="BN60" i="51" s="1"/>
  <c r="BB60" i="73"/>
  <c r="CI60" i="73" s="1"/>
  <c r="CL60" i="53"/>
  <c r="BD60" i="73"/>
  <c r="CJ60" i="73" s="1"/>
  <c r="AP60" i="53"/>
  <c r="AU60" i="73"/>
  <c r="CE60" i="73" s="1"/>
  <c r="BE60" i="73"/>
  <c r="AO60" i="53"/>
  <c r="CR60" i="53" s="1"/>
  <c r="AV60" i="73"/>
  <c r="CF60" i="73" s="1"/>
  <c r="AY60" i="73"/>
  <c r="G11" i="51"/>
  <c r="AX11" i="51" s="1"/>
  <c r="AW60" i="73"/>
  <c r="AX60" i="73"/>
  <c r="CG60" i="73" s="1"/>
  <c r="AJ59" i="53"/>
  <c r="CM59" i="53" s="1"/>
  <c r="U108" i="85" s="1"/>
  <c r="Z108" i="85" s="1"/>
  <c r="H11" i="51"/>
  <c r="AY11" i="51" s="1"/>
  <c r="AZ60" i="73"/>
  <c r="CH60" i="73" s="1"/>
  <c r="L8" i="79"/>
  <c r="BI50" i="60"/>
  <c r="L8" i="84" s="1"/>
  <c r="E19" i="79"/>
  <c r="E21" i="79" s="1"/>
  <c r="BN50" i="60"/>
  <c r="E19" i="84" s="1"/>
  <c r="D19" i="79"/>
  <c r="BM50" i="60"/>
  <c r="D19" i="84" s="1"/>
  <c r="K8" i="79"/>
  <c r="BH50" i="60"/>
  <c r="K8" i="84" s="1"/>
  <c r="BY35" i="50"/>
  <c r="G85" i="85" s="1"/>
  <c r="AP26" i="7"/>
  <c r="AN56" i="53"/>
  <c r="G85" i="67"/>
  <c r="AM281" i="50"/>
  <c r="BY281" i="50" s="1"/>
  <c r="AQ67" i="51"/>
  <c r="CH67" i="51" s="1"/>
  <c r="CH74" i="51"/>
  <c r="BU67" i="50"/>
  <c r="AJ67" i="50"/>
  <c r="BQ117" i="50"/>
  <c r="AF117" i="50"/>
  <c r="BR117" i="50" s="1"/>
  <c r="P79" i="51"/>
  <c r="BG83" i="51"/>
  <c r="O79" i="51"/>
  <c r="BF83" i="51"/>
  <c r="H19" i="79"/>
  <c r="BQ50" i="60"/>
  <c r="H19" i="84" s="1"/>
  <c r="J79" i="51"/>
  <c r="BA79" i="51" s="1"/>
  <c r="BA83" i="51"/>
  <c r="K67" i="51"/>
  <c r="BB67" i="51" s="1"/>
  <c r="BB74" i="51"/>
  <c r="I8" i="79"/>
  <c r="BF50" i="60"/>
  <c r="I8" i="84" s="1"/>
  <c r="N8" i="79"/>
  <c r="N10" i="79" s="1"/>
  <c r="BK50" i="60"/>
  <c r="N8" i="84" s="1"/>
  <c r="M8" i="79"/>
  <c r="M10" i="79" s="1"/>
  <c r="BJ50" i="60"/>
  <c r="M8" i="84" s="1"/>
  <c r="H8" i="79"/>
  <c r="BE50" i="60"/>
  <c r="H8" i="84" s="1"/>
  <c r="AG60" i="53"/>
  <c r="CK60" i="53" s="1"/>
  <c r="R79" i="51"/>
  <c r="BI83" i="51"/>
  <c r="AL157" i="50"/>
  <c r="BW157" i="50"/>
  <c r="AJ71" i="50"/>
  <c r="BU71" i="50"/>
  <c r="C19" i="79"/>
  <c r="BL50" i="60"/>
  <c r="C19" i="84" s="1"/>
  <c r="H67" i="51"/>
  <c r="AY67" i="51" s="1"/>
  <c r="AY74" i="51"/>
  <c r="AR67" i="51"/>
  <c r="CI67" i="51" s="1"/>
  <c r="CI74" i="51"/>
  <c r="BG30" i="51"/>
  <c r="P11" i="51"/>
  <c r="BG11" i="51" s="1"/>
  <c r="I79" i="51"/>
  <c r="AZ79" i="51" s="1"/>
  <c r="AZ83" i="51"/>
  <c r="E8" i="79"/>
  <c r="BB50" i="60"/>
  <c r="E8" i="84" s="1"/>
  <c r="J8" i="79"/>
  <c r="BG50" i="60"/>
  <c r="J8" i="84" s="1"/>
  <c r="F8" i="79"/>
  <c r="BC50" i="60"/>
  <c r="F8" i="84" s="1"/>
  <c r="D8" i="79"/>
  <c r="BA50" i="60"/>
  <c r="D8" i="84" s="1"/>
  <c r="AU24" i="60"/>
  <c r="BW35" i="50"/>
  <c r="E85" i="85" s="1"/>
  <c r="AL56" i="53"/>
  <c r="AK281" i="50"/>
  <c r="BW281" i="50" s="1"/>
  <c r="AN26" i="7"/>
  <c r="E85" i="67"/>
  <c r="F67" i="51"/>
  <c r="AW74" i="51"/>
  <c r="BI30" i="51"/>
  <c r="R11" i="51"/>
  <c r="BI11" i="51" s="1"/>
  <c r="AM116" i="50"/>
  <c r="BY116" i="50" s="1"/>
  <c r="BX116" i="50"/>
  <c r="F79" i="51"/>
  <c r="AW79" i="51" s="1"/>
  <c r="AW83" i="51"/>
  <c r="G79" i="51"/>
  <c r="AX79" i="51" s="1"/>
  <c r="AX83" i="51"/>
  <c r="G8" i="79"/>
  <c r="BD50" i="60"/>
  <c r="G8" i="84" s="1"/>
  <c r="N30" i="79"/>
  <c r="N31" i="79" s="1"/>
  <c r="CC50" i="60"/>
  <c r="N30" i="84" s="1"/>
  <c r="C8" i="79"/>
  <c r="AZ50" i="60"/>
  <c r="C8" i="84" s="1"/>
  <c r="I67" i="51"/>
  <c r="AZ67" i="51" s="1"/>
  <c r="AZ74" i="51"/>
  <c r="BF30" i="51"/>
  <c r="O11" i="51"/>
  <c r="BF11" i="51" s="1"/>
  <c r="BH30" i="51"/>
  <c r="Q11" i="51"/>
  <c r="BH11" i="51" s="1"/>
  <c r="AL30" i="67"/>
  <c r="I55" i="49"/>
  <c r="AL30" i="85" s="1"/>
  <c r="G19" i="79"/>
  <c r="BP50" i="60"/>
  <c r="G19" i="84" s="1"/>
  <c r="E65" i="67"/>
  <c r="BP111" i="50"/>
  <c r="E65" i="85" s="1"/>
  <c r="K30" i="79"/>
  <c r="K31" i="79" s="1"/>
  <c r="BZ50" i="60"/>
  <c r="K30" i="84" s="1"/>
  <c r="L30" i="79"/>
  <c r="CA50" i="60"/>
  <c r="L30" i="84" s="1"/>
  <c r="J30" i="79"/>
  <c r="BY50" i="60"/>
  <c r="J30" i="84" s="1"/>
  <c r="AU54" i="60"/>
  <c r="CM54" i="60"/>
  <c r="H79" i="51"/>
  <c r="AY79" i="51" s="1"/>
  <c r="AY83" i="51"/>
  <c r="J67" i="51"/>
  <c r="BA67" i="51" s="1"/>
  <c r="BA74" i="51"/>
  <c r="AE158" i="50"/>
  <c r="BP158" i="50"/>
  <c r="AD178" i="50"/>
  <c r="BP178" i="50" s="1"/>
  <c r="M79" i="51"/>
  <c r="BD83" i="51"/>
  <c r="AM125" i="50"/>
  <c r="BY125" i="50" s="1"/>
  <c r="BX125" i="50"/>
  <c r="AS67" i="51"/>
  <c r="CJ67" i="51" s="1"/>
  <c r="CJ74" i="51"/>
  <c r="AO67" i="51"/>
  <c r="CF67" i="51" s="1"/>
  <c r="CF74" i="51"/>
  <c r="F85" i="67"/>
  <c r="AM56" i="53"/>
  <c r="BX35" i="50"/>
  <c r="F85" i="85" s="1"/>
  <c r="AO26" i="7"/>
  <c r="AL281" i="50"/>
  <c r="BX281" i="50" s="1"/>
  <c r="BU70" i="50"/>
  <c r="AJ70" i="50"/>
  <c r="AI69" i="50"/>
  <c r="BU69" i="50" s="1"/>
  <c r="BE30" i="51"/>
  <c r="N11" i="51"/>
  <c r="BE11" i="51" s="1"/>
  <c r="AM127" i="50"/>
  <c r="BY127" i="50" s="1"/>
  <c r="BX127" i="50"/>
  <c r="AP67" i="51"/>
  <c r="CG67" i="51" s="1"/>
  <c r="CG74" i="51"/>
  <c r="H30" i="79"/>
  <c r="BW50" i="60"/>
  <c r="H30" i="84" s="1"/>
  <c r="M30" i="79"/>
  <c r="CB50" i="60"/>
  <c r="M30" i="84" s="1"/>
  <c r="I30" i="79"/>
  <c r="BX50" i="60"/>
  <c r="I30" i="84" s="1"/>
  <c r="G30" i="79"/>
  <c r="BV50" i="60"/>
  <c r="G30" i="84" s="1"/>
  <c r="BT38" i="50"/>
  <c r="AH35" i="50"/>
  <c r="BV35" i="50"/>
  <c r="D85" i="85" s="1"/>
  <c r="AK56" i="53"/>
  <c r="AM26" i="7"/>
  <c r="AJ281" i="50"/>
  <c r="BV281" i="50" s="1"/>
  <c r="D85" i="67"/>
  <c r="AT67" i="51"/>
  <c r="CK67" i="51" s="1"/>
  <c r="CK74" i="51"/>
  <c r="BD30" i="51"/>
  <c r="M11" i="51"/>
  <c r="BD11" i="51" s="1"/>
  <c r="C30" i="79"/>
  <c r="G32" i="79" s="1"/>
  <c r="BR50" i="60"/>
  <c r="C30" i="84" s="1"/>
  <c r="F32" i="84" s="1"/>
  <c r="K79" i="51"/>
  <c r="BB79" i="51" s="1"/>
  <c r="BB83" i="51"/>
  <c r="D30" i="79"/>
  <c r="BS50" i="60"/>
  <c r="D30" i="84" s="1"/>
  <c r="F30" i="79"/>
  <c r="G31" i="79" s="1"/>
  <c r="BU50" i="60"/>
  <c r="F30" i="84" s="1"/>
  <c r="E30" i="79"/>
  <c r="E31" i="79" s="1"/>
  <c r="BT50" i="60"/>
  <c r="E30" i="84" s="1"/>
  <c r="F19" i="79"/>
  <c r="F21" i="79" s="1"/>
  <c r="BO50" i="60"/>
  <c r="F19" i="84" s="1"/>
  <c r="BT65" i="50"/>
  <c r="AI65" i="50"/>
  <c r="AH63" i="50"/>
  <c r="N79" i="51"/>
  <c r="BE83" i="51"/>
  <c r="BU72" i="50"/>
  <c r="AJ72" i="50"/>
  <c r="AJ66" i="50"/>
  <c r="BU66" i="50"/>
  <c r="Q79" i="51"/>
  <c r="BH83" i="51"/>
  <c r="X108" i="67"/>
  <c r="CP59" i="53"/>
  <c r="X108" i="85" s="1"/>
  <c r="V84" i="67"/>
  <c r="CG59" i="53"/>
  <c r="V84" i="85" s="1"/>
  <c r="C60" i="73"/>
  <c r="BG60" i="73" s="1"/>
  <c r="BJ60" i="53"/>
  <c r="X84" i="67"/>
  <c r="CI59" i="53"/>
  <c r="X84" i="85" s="1"/>
  <c r="W84" i="67"/>
  <c r="CH59" i="53"/>
  <c r="W84" i="85" s="1"/>
  <c r="N60" i="73"/>
  <c r="BM60" i="73" s="1"/>
  <c r="BQ60" i="53"/>
  <c r="W108" i="67"/>
  <c r="CO59" i="53"/>
  <c r="W108" i="85" s="1"/>
  <c r="V108" i="67"/>
  <c r="CN59" i="53"/>
  <c r="V108" i="85" s="1"/>
  <c r="AF190" i="50"/>
  <c r="BR190" i="50" s="1"/>
  <c r="AL167" i="50"/>
  <c r="BW167" i="50"/>
  <c r="AF182" i="50"/>
  <c r="BR182" i="50" s="1"/>
  <c r="D56" i="49"/>
  <c r="D67" i="67"/>
  <c r="BO151" i="50"/>
  <c r="D67" i="85" s="1"/>
  <c r="AF164" i="50"/>
  <c r="BQ164" i="50"/>
  <c r="AE184" i="50"/>
  <c r="BQ184" i="50" s="1"/>
  <c r="BP156" i="50"/>
  <c r="AE156" i="50"/>
  <c r="AD176" i="50"/>
  <c r="BP176" i="50" s="1"/>
  <c r="AM165" i="50"/>
  <c r="BY165" i="50" s="1"/>
  <c r="BX165" i="50"/>
  <c r="C68" i="67"/>
  <c r="BN171" i="50"/>
  <c r="C68" i="85" s="1"/>
  <c r="AM161" i="50"/>
  <c r="BY161" i="50" s="1"/>
  <c r="BX161" i="50"/>
  <c r="AC60" i="50"/>
  <c r="BO60" i="50" s="1"/>
  <c r="D62" i="85" s="1"/>
  <c r="BO69" i="50"/>
  <c r="AM156" i="50"/>
  <c r="BY156" i="50" s="1"/>
  <c r="BX156" i="50"/>
  <c r="AF167" i="50"/>
  <c r="BR167" i="50" s="1"/>
  <c r="BQ167" i="50"/>
  <c r="AF71" i="50"/>
  <c r="BR71" i="50" s="1"/>
  <c r="BQ71" i="50"/>
  <c r="AE165" i="50"/>
  <c r="BP165" i="50"/>
  <c r="I78" i="62"/>
  <c r="AY78" i="62"/>
  <c r="E11" i="51"/>
  <c r="AV11" i="51" s="1"/>
  <c r="AV18" i="51"/>
  <c r="AD185" i="50"/>
  <c r="BP185" i="50" s="1"/>
  <c r="D91" i="67"/>
  <c r="BV151" i="50"/>
  <c r="D91" i="85" s="1"/>
  <c r="AM158" i="50"/>
  <c r="BY158" i="50" s="1"/>
  <c r="BX158" i="50"/>
  <c r="AM164" i="50"/>
  <c r="BY164" i="50" s="1"/>
  <c r="BX164" i="50"/>
  <c r="AM154" i="50"/>
  <c r="BY154" i="50" s="1"/>
  <c r="BX154" i="50"/>
  <c r="AC171" i="50"/>
  <c r="BO173" i="50"/>
  <c r="I70" i="62"/>
  <c r="AY70" i="62"/>
  <c r="P45" i="79"/>
  <c r="P30" i="79"/>
  <c r="P27" i="79"/>
  <c r="AW27" i="60"/>
  <c r="AU29" i="60"/>
  <c r="P44" i="79"/>
  <c r="P5" i="79"/>
  <c r="U84" i="67"/>
  <c r="AH59" i="53"/>
  <c r="AG59" i="53"/>
  <c r="CK59" i="53" s="1"/>
  <c r="P22" i="79"/>
  <c r="U108" i="67"/>
  <c r="AP59" i="53"/>
  <c r="AO59" i="53"/>
  <c r="CR59" i="53" s="1"/>
  <c r="O5" i="79"/>
  <c r="Z60" i="53"/>
  <c r="Y60" i="53"/>
  <c r="CD60" i="53" s="1"/>
  <c r="AW25" i="60"/>
  <c r="J60" i="53"/>
  <c r="I60" i="53"/>
  <c r="BP60" i="53" s="1"/>
  <c r="AU9" i="60"/>
  <c r="O16" i="79"/>
  <c r="O34" i="79"/>
  <c r="O44" i="79"/>
  <c r="R60" i="53"/>
  <c r="Q60" i="53"/>
  <c r="BW60" i="53" s="1"/>
  <c r="R60" i="73"/>
  <c r="D28" i="79"/>
  <c r="C38" i="79"/>
  <c r="C41" i="79" s="1"/>
  <c r="AM25" i="60"/>
  <c r="Q60" i="73"/>
  <c r="BO60" i="73" s="1"/>
  <c r="V60" i="73"/>
  <c r="M60" i="73"/>
  <c r="K60" i="73"/>
  <c r="L60" i="73"/>
  <c r="BL60" i="73" s="1"/>
  <c r="G60" i="73"/>
  <c r="S60" i="73"/>
  <c r="BP60" i="73" s="1"/>
  <c r="D60" i="73"/>
  <c r="BH60" i="73" s="1"/>
  <c r="J60" i="73"/>
  <c r="BK60" i="73" s="1"/>
  <c r="U60" i="73"/>
  <c r="BQ60" i="73" s="1"/>
  <c r="H60" i="73"/>
  <c r="BJ60" i="73" s="1"/>
  <c r="F60" i="73"/>
  <c r="BI60" i="73" s="1"/>
  <c r="P60" i="73"/>
  <c r="T60" i="73"/>
  <c r="E60" i="73"/>
  <c r="I60" i="73"/>
  <c r="I16" i="79"/>
  <c r="I19" i="79" s="1"/>
  <c r="H31" i="79"/>
  <c r="M31" i="79"/>
  <c r="G29" i="79"/>
  <c r="G28" i="79"/>
  <c r="N6" i="79"/>
  <c r="N7" i="79"/>
  <c r="N38" i="79"/>
  <c r="L16" i="79"/>
  <c r="F38" i="79"/>
  <c r="F7" i="79"/>
  <c r="F6" i="79"/>
  <c r="J28" i="79"/>
  <c r="J29" i="79"/>
  <c r="K28" i="79"/>
  <c r="K29" i="79"/>
  <c r="E32" i="79"/>
  <c r="O60" i="73"/>
  <c r="BN60" i="73" s="1"/>
  <c r="AS25" i="60"/>
  <c r="M7" i="79"/>
  <c r="M6" i="79"/>
  <c r="M38" i="79"/>
  <c r="L7" i="79"/>
  <c r="L6" i="79"/>
  <c r="L38" i="79"/>
  <c r="H29" i="79"/>
  <c r="H28" i="79"/>
  <c r="I38" i="79"/>
  <c r="I41" i="79" s="1"/>
  <c r="D17" i="79"/>
  <c r="D18" i="79"/>
  <c r="Q37" i="2"/>
  <c r="AC32" i="78"/>
  <c r="G17" i="79"/>
  <c r="G18" i="79"/>
  <c r="G6" i="79"/>
  <c r="G7" i="79"/>
  <c r="M16" i="79"/>
  <c r="G38" i="79"/>
  <c r="E18" i="79"/>
  <c r="E17" i="79"/>
  <c r="AQ25" i="60"/>
  <c r="AP25" i="60"/>
  <c r="F17" i="79"/>
  <c r="F18" i="79"/>
  <c r="J38" i="79"/>
  <c r="J6" i="79"/>
  <c r="J7" i="79"/>
  <c r="D29" i="79"/>
  <c r="F28" i="79"/>
  <c r="F29" i="79"/>
  <c r="AT25" i="60"/>
  <c r="N28" i="79"/>
  <c r="N29" i="79"/>
  <c r="L31" i="79"/>
  <c r="M29" i="79"/>
  <c r="M28" i="79"/>
  <c r="E29" i="79"/>
  <c r="E28" i="79"/>
  <c r="K6" i="79"/>
  <c r="K7" i="79"/>
  <c r="K38" i="79"/>
  <c r="K16" i="79"/>
  <c r="E38" i="79"/>
  <c r="E6" i="79"/>
  <c r="E7" i="79"/>
  <c r="H17" i="79"/>
  <c r="H18" i="79"/>
  <c r="D7" i="79"/>
  <c r="J16" i="79"/>
  <c r="D38" i="79"/>
  <c r="D6" i="79"/>
  <c r="L29" i="79"/>
  <c r="L28" i="79"/>
  <c r="AR25" i="60"/>
  <c r="AF157" i="50"/>
  <c r="AE177" i="50"/>
  <c r="BQ177" i="50" s="1"/>
  <c r="N16" i="79"/>
  <c r="H6" i="79"/>
  <c r="H38" i="79"/>
  <c r="H7" i="79"/>
  <c r="AU59" i="73"/>
  <c r="CE59" i="73" s="1"/>
  <c r="T108" i="67"/>
  <c r="AJ59" i="73"/>
  <c r="BY59" i="73" s="1"/>
  <c r="T84" i="67"/>
  <c r="R37" i="2"/>
  <c r="V38" i="2"/>
  <c r="U37" i="2"/>
  <c r="V37" i="2"/>
  <c r="S38" i="2"/>
  <c r="H37" i="2"/>
  <c r="AE32" i="83" s="1"/>
  <c r="F38" i="2"/>
  <c r="AC33" i="83" s="1"/>
  <c r="I38" i="2"/>
  <c r="AF33" i="83" s="1"/>
  <c r="D51" i="60"/>
  <c r="AR27" i="60"/>
  <c r="AS27" i="60"/>
  <c r="AQ27" i="60"/>
  <c r="AT27" i="60"/>
  <c r="AP27" i="60"/>
  <c r="AU27" i="60" s="1"/>
  <c r="AY59" i="73"/>
  <c r="AX59" i="73"/>
  <c r="CG59" i="73" s="1"/>
  <c r="AV59" i="73"/>
  <c r="CF59" i="73" s="1"/>
  <c r="AW59" i="73"/>
  <c r="Z60" i="73"/>
  <c r="BT60" i="73" s="1"/>
  <c r="AA60" i="73"/>
  <c r="X60" i="73"/>
  <c r="W60" i="73"/>
  <c r="BR60" i="73" s="1"/>
  <c r="AZ59" i="73"/>
  <c r="CH59" i="73" s="1"/>
  <c r="BA59" i="73"/>
  <c r="AR59" i="73"/>
  <c r="AQ59" i="73"/>
  <c r="CC59" i="73" s="1"/>
  <c r="AL59" i="73"/>
  <c r="AK59" i="73"/>
  <c r="BZ59" i="73" s="1"/>
  <c r="BC59" i="73"/>
  <c r="BB59" i="73"/>
  <c r="CI59" i="73" s="1"/>
  <c r="AI60" i="73"/>
  <c r="AH60" i="73"/>
  <c r="BX60" i="73" s="1"/>
  <c r="AG60" i="73"/>
  <c r="AF60" i="73"/>
  <c r="BW60" i="73" s="1"/>
  <c r="AD60" i="73"/>
  <c r="BV60" i="73" s="1"/>
  <c r="AE60" i="73"/>
  <c r="AC60" i="73"/>
  <c r="AB60" i="73"/>
  <c r="BU60" i="73" s="1"/>
  <c r="AO59" i="73"/>
  <c r="CB59" i="73" s="1"/>
  <c r="AP59" i="73"/>
  <c r="AN59" i="73"/>
  <c r="AM59" i="73"/>
  <c r="CA59" i="73"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R50" i="60"/>
  <c r="CO50" i="60" s="1"/>
  <c r="AR63" i="60"/>
  <c r="AM50" i="60"/>
  <c r="CJ50" i="60" s="1"/>
  <c r="AM63" i="60"/>
  <c r="AS50" i="60"/>
  <c r="CP50" i="60" s="1"/>
  <c r="AS63" i="60"/>
  <c r="AT50" i="60"/>
  <c r="CQ50" i="60" s="1"/>
  <c r="AT63" i="60"/>
  <c r="AP50" i="60"/>
  <c r="AP63" i="60"/>
  <c r="AQ50" i="60"/>
  <c r="CN50" i="60" s="1"/>
  <c r="AQ63" i="60"/>
  <c r="BF60" i="53"/>
  <c r="AZ60" i="53"/>
  <c r="BH60" i="53"/>
  <c r="BB60" i="53"/>
  <c r="BE60" i="53"/>
  <c r="AY60" i="53"/>
  <c r="BG60" i="53"/>
  <c r="BA60" i="53"/>
  <c r="BC60" i="53"/>
  <c r="AW60" i="53"/>
  <c r="BD60" i="53"/>
  <c r="AX60" i="53"/>
  <c r="AN59" i="53"/>
  <c r="AF59" i="53"/>
  <c r="AL153" i="50"/>
  <c r="BX153" i="50" s="1"/>
  <c r="AK151" i="50"/>
  <c r="G60" i="62"/>
  <c r="AX60" i="62" s="1"/>
  <c r="I69" i="62"/>
  <c r="AZ69" i="62" s="1"/>
  <c r="H67" i="62"/>
  <c r="AY67" i="62" s="1"/>
  <c r="H99" i="62"/>
  <c r="AY99" i="62" s="1"/>
  <c r="I101" i="62"/>
  <c r="AZ101" i="62" s="1"/>
  <c r="AC282" i="50"/>
  <c r="BO282" i="50" s="1"/>
  <c r="AF125" i="50"/>
  <c r="BR125" i="50" s="1"/>
  <c r="AE153" i="50"/>
  <c r="BQ153" i="50" s="1"/>
  <c r="AD151" i="50"/>
  <c r="AD173" i="50"/>
  <c r="AD69" i="50"/>
  <c r="AE70" i="50"/>
  <c r="BQ70" i="50" s="1"/>
  <c r="AF161" i="50"/>
  <c r="AE181" i="50"/>
  <c r="BQ181" i="50" s="1"/>
  <c r="AF127" i="50"/>
  <c r="AE187" i="50"/>
  <c r="BQ187" i="50" s="1"/>
  <c r="AF154" i="50"/>
  <c r="AE174" i="50"/>
  <c r="BQ174" i="50" s="1"/>
  <c r="AE111" i="50"/>
  <c r="AF65" i="50"/>
  <c r="AE63" i="50"/>
  <c r="BQ63" i="50" s="1"/>
  <c r="I60" i="51" l="1"/>
  <c r="AZ60" i="51" s="1"/>
  <c r="G60" i="51"/>
  <c r="K60" i="51"/>
  <c r="BB60" i="51" s="1"/>
  <c r="J60" i="51"/>
  <c r="BA60" i="51" s="1"/>
  <c r="O11" i="79"/>
  <c r="O23" i="79"/>
  <c r="O19" i="79"/>
  <c r="O23" i="84"/>
  <c r="P11" i="79"/>
  <c r="O12" i="79"/>
  <c r="E20" i="79"/>
  <c r="D20" i="79"/>
  <c r="G20" i="79"/>
  <c r="F20" i="79"/>
  <c r="G21" i="79"/>
  <c r="H20" i="79"/>
  <c r="H21" i="79"/>
  <c r="M9" i="79"/>
  <c r="L42" i="84"/>
  <c r="K9" i="79"/>
  <c r="P16" i="79"/>
  <c r="F41" i="84"/>
  <c r="F43" i="84" s="1"/>
  <c r="F40" i="84"/>
  <c r="F39" i="84"/>
  <c r="D10" i="79"/>
  <c r="H41" i="84"/>
  <c r="H42" i="84" s="1"/>
  <c r="O38" i="84"/>
  <c r="H9" i="79"/>
  <c r="D21" i="79"/>
  <c r="L10" i="84"/>
  <c r="H10" i="79"/>
  <c r="P18" i="84"/>
  <c r="G10" i="79"/>
  <c r="F10" i="79"/>
  <c r="D9" i="79"/>
  <c r="CM50" i="60"/>
  <c r="AU51" i="60"/>
  <c r="K32" i="79"/>
  <c r="P28" i="84"/>
  <c r="J10" i="79"/>
  <c r="P10" i="79" s="1"/>
  <c r="J9" i="79"/>
  <c r="P33" i="79"/>
  <c r="L10" i="79"/>
  <c r="D32" i="79"/>
  <c r="G20" i="84"/>
  <c r="O22" i="79"/>
  <c r="P12" i="84"/>
  <c r="O12" i="84"/>
  <c r="P34" i="79"/>
  <c r="D31" i="79"/>
  <c r="H32" i="79"/>
  <c r="O32" i="79" s="1"/>
  <c r="O34" i="84"/>
  <c r="L32" i="79"/>
  <c r="N9" i="79"/>
  <c r="M32" i="84"/>
  <c r="M31" i="84"/>
  <c r="P8" i="84"/>
  <c r="N10" i="84"/>
  <c r="N9" i="84"/>
  <c r="H20" i="84"/>
  <c r="O19" i="84"/>
  <c r="H21" i="84"/>
  <c r="P17" i="84"/>
  <c r="O11" i="84"/>
  <c r="E40" i="84"/>
  <c r="P30" i="84"/>
  <c r="N31" i="84"/>
  <c r="N32" i="84"/>
  <c r="F31" i="84"/>
  <c r="G10" i="84"/>
  <c r="G9" i="84"/>
  <c r="E10" i="84"/>
  <c r="E9" i="84"/>
  <c r="L9" i="84"/>
  <c r="K9" i="84"/>
  <c r="K10" i="84"/>
  <c r="M42" i="84"/>
  <c r="M43" i="84"/>
  <c r="E39" i="84"/>
  <c r="L21" i="84"/>
  <c r="L20" i="84"/>
  <c r="H32" i="84"/>
  <c r="H31" i="84"/>
  <c r="O30" i="84"/>
  <c r="E10" i="79"/>
  <c r="M10" i="84"/>
  <c r="K10" i="79"/>
  <c r="J21" i="84"/>
  <c r="J20" i="84"/>
  <c r="M21" i="84"/>
  <c r="M20" i="84"/>
  <c r="P41" i="84"/>
  <c r="N42" i="84"/>
  <c r="N43" i="84"/>
  <c r="P39" i="84"/>
  <c r="G40" i="84"/>
  <c r="D31" i="84"/>
  <c r="O31" i="84" s="1"/>
  <c r="D32" i="84"/>
  <c r="J31" i="84"/>
  <c r="J32" i="84"/>
  <c r="D9" i="84"/>
  <c r="D10" i="84"/>
  <c r="G21" i="84"/>
  <c r="D20" i="84"/>
  <c r="D21" i="84"/>
  <c r="P19" i="84"/>
  <c r="N21" i="84"/>
  <c r="N20" i="84"/>
  <c r="O33" i="84"/>
  <c r="G43" i="84"/>
  <c r="P29" i="84"/>
  <c r="K43" i="84"/>
  <c r="K42" i="84"/>
  <c r="P40" i="84"/>
  <c r="J10" i="84"/>
  <c r="J9" i="84"/>
  <c r="J32" i="79"/>
  <c r="G32" i="84"/>
  <c r="G31" i="84"/>
  <c r="H9" i="84"/>
  <c r="H10" i="84"/>
  <c r="O8" i="84"/>
  <c r="O33" i="79"/>
  <c r="J43" i="84"/>
  <c r="J42" i="84"/>
  <c r="L43" i="84"/>
  <c r="O22" i="84"/>
  <c r="J31" i="79"/>
  <c r="P31" i="79" s="1"/>
  <c r="N32" i="79"/>
  <c r="F20" i="84"/>
  <c r="F21" i="84"/>
  <c r="L32" i="84"/>
  <c r="L31" i="84"/>
  <c r="F10" i="84"/>
  <c r="F9" i="84"/>
  <c r="E20" i="84"/>
  <c r="E21" i="84"/>
  <c r="E43" i="84"/>
  <c r="D41" i="84"/>
  <c r="D39" i="84"/>
  <c r="O39" i="84" s="1"/>
  <c r="D40" i="84"/>
  <c r="P11" i="84"/>
  <c r="H40" i="84"/>
  <c r="E31" i="84"/>
  <c r="E32" i="84"/>
  <c r="K32" i="84"/>
  <c r="K31" i="84"/>
  <c r="M9" i="84"/>
  <c r="K20" i="84"/>
  <c r="K21" i="84"/>
  <c r="P34" i="84"/>
  <c r="P33" i="84"/>
  <c r="L9" i="79"/>
  <c r="G9" i="79"/>
  <c r="F32" i="79"/>
  <c r="F31" i="79"/>
  <c r="E9" i="79"/>
  <c r="F9" i="79"/>
  <c r="H60" i="51"/>
  <c r="AY60" i="51" s="1"/>
  <c r="M32" i="79"/>
  <c r="P8" i="79"/>
  <c r="AX60" i="51"/>
  <c r="BE79" i="51"/>
  <c r="N60" i="51"/>
  <c r="BE60" i="51" s="1"/>
  <c r="BD79" i="51"/>
  <c r="M60" i="51"/>
  <c r="BT63" i="50"/>
  <c r="AH60" i="50"/>
  <c r="BT35" i="50"/>
  <c r="AH281" i="50"/>
  <c r="BT281" i="50" s="1"/>
  <c r="BI79" i="51"/>
  <c r="R60" i="51"/>
  <c r="BI60" i="51" s="1"/>
  <c r="D55" i="49"/>
  <c r="J56" i="49"/>
  <c r="BH79" i="51"/>
  <c r="Q60" i="51"/>
  <c r="BH60" i="51" s="1"/>
  <c r="BU65" i="50"/>
  <c r="AJ65" i="50"/>
  <c r="AJ63" i="50" s="1"/>
  <c r="AI63" i="50"/>
  <c r="O30" i="79"/>
  <c r="BV70" i="50"/>
  <c r="AK70" i="50"/>
  <c r="AJ69" i="50"/>
  <c r="BV69" i="50" s="1"/>
  <c r="BF79" i="51"/>
  <c r="O60" i="51"/>
  <c r="BF60" i="51" s="1"/>
  <c r="F65" i="67"/>
  <c r="BQ111" i="50"/>
  <c r="F65" i="85" s="1"/>
  <c r="AE178" i="50"/>
  <c r="BQ178" i="50" s="1"/>
  <c r="AF158" i="50"/>
  <c r="BQ158" i="50"/>
  <c r="AW67" i="51"/>
  <c r="F60" i="51"/>
  <c r="AK66" i="50"/>
  <c r="BV66" i="50"/>
  <c r="O8" i="79"/>
  <c r="BG79" i="51"/>
  <c r="P60" i="51"/>
  <c r="BG60" i="51" s="1"/>
  <c r="AK72" i="50"/>
  <c r="BV72" i="50"/>
  <c r="CL26" i="7"/>
  <c r="AO27" i="7"/>
  <c r="CL27" i="7" s="1"/>
  <c r="AN27" i="7"/>
  <c r="CK27" i="7" s="1"/>
  <c r="CK26" i="7"/>
  <c r="BV71" i="50"/>
  <c r="AK71" i="50"/>
  <c r="BD56" i="73"/>
  <c r="CJ56" i="73" s="1"/>
  <c r="Y105" i="67"/>
  <c r="AA105" i="67" s="1"/>
  <c r="CQ56" i="53"/>
  <c r="Y105" i="85" s="1"/>
  <c r="AA105" i="85" s="1"/>
  <c r="BE56" i="73"/>
  <c r="AF187" i="50"/>
  <c r="BR187" i="50" s="1"/>
  <c r="BR127" i="50"/>
  <c r="CJ26" i="7"/>
  <c r="AM27" i="7"/>
  <c r="CJ27" i="7" s="1"/>
  <c r="CM26" i="7"/>
  <c r="AP27" i="7"/>
  <c r="CM27" i="7" s="1"/>
  <c r="V105" i="67"/>
  <c r="CN56" i="53"/>
  <c r="V105" i="85" s="1"/>
  <c r="AY56" i="73"/>
  <c r="AX56" i="73"/>
  <c r="CG56" i="73" s="1"/>
  <c r="BB56" i="73"/>
  <c r="CI56" i="73" s="1"/>
  <c r="CP56" i="53"/>
  <c r="X105" i="85" s="1"/>
  <c r="BC56" i="73"/>
  <c r="X105" i="67"/>
  <c r="BA56" i="73"/>
  <c r="AZ56" i="73"/>
  <c r="CH56" i="73" s="1"/>
  <c r="W105" i="67"/>
  <c r="CO56" i="53"/>
  <c r="W105" i="85" s="1"/>
  <c r="AM157" i="50"/>
  <c r="BY157" i="50" s="1"/>
  <c r="BX157" i="50"/>
  <c r="AK67" i="50"/>
  <c r="BV67" i="50"/>
  <c r="Y84" i="67"/>
  <c r="AA84" i="67" s="1"/>
  <c r="CJ59" i="53"/>
  <c r="Y84" i="85" s="1"/>
  <c r="AA84" i="85" s="1"/>
  <c r="AY59" i="53"/>
  <c r="DA59" i="53" s="1"/>
  <c r="DA60" i="53"/>
  <c r="Y108" i="67"/>
  <c r="AA108" i="67" s="1"/>
  <c r="CQ59" i="53"/>
  <c r="Y108" i="85" s="1"/>
  <c r="AA108" i="85" s="1"/>
  <c r="BE59" i="53"/>
  <c r="DG59" i="53" s="1"/>
  <c r="DG60" i="53"/>
  <c r="AX59" i="53"/>
  <c r="CZ59" i="53" s="1"/>
  <c r="CZ60" i="53"/>
  <c r="BB59" i="53"/>
  <c r="DD59" i="53" s="1"/>
  <c r="DD60" i="53"/>
  <c r="BD59" i="53"/>
  <c r="DF59" i="53" s="1"/>
  <c r="DF60" i="53"/>
  <c r="BH59" i="53"/>
  <c r="DJ59" i="53" s="1"/>
  <c r="DJ60" i="53"/>
  <c r="AW59" i="53"/>
  <c r="CY59" i="53" s="1"/>
  <c r="CY60" i="53"/>
  <c r="AZ59" i="53"/>
  <c r="DB59" i="53" s="1"/>
  <c r="DB60" i="53"/>
  <c r="BC59" i="53"/>
  <c r="DE59" i="53" s="1"/>
  <c r="DE60" i="53"/>
  <c r="BF59" i="53"/>
  <c r="DH59" i="53" s="1"/>
  <c r="DH60" i="53"/>
  <c r="BA59" i="53"/>
  <c r="DC59" i="53" s="1"/>
  <c r="DC60" i="53"/>
  <c r="BG59" i="53"/>
  <c r="DI59" i="53" s="1"/>
  <c r="DI60" i="53"/>
  <c r="AM167" i="50"/>
  <c r="BY167" i="50" s="1"/>
  <c r="BX167" i="50"/>
  <c r="AF181" i="50"/>
  <c r="BR181" i="50" s="1"/>
  <c r="BR161" i="50"/>
  <c r="AF63" i="50"/>
  <c r="BR63" i="50" s="1"/>
  <c r="BR65" i="50"/>
  <c r="D68" i="67"/>
  <c r="BO171" i="50"/>
  <c r="D68" i="85" s="1"/>
  <c r="AD60" i="50"/>
  <c r="BP60" i="50" s="1"/>
  <c r="E62" i="85" s="1"/>
  <c r="BP69" i="50"/>
  <c r="AF177" i="50"/>
  <c r="BR177" i="50" s="1"/>
  <c r="BR157" i="50"/>
  <c r="AF165" i="50"/>
  <c r="BR165" i="50" s="1"/>
  <c r="BQ165" i="50"/>
  <c r="AF156" i="50"/>
  <c r="BQ156" i="50"/>
  <c r="AE176" i="50"/>
  <c r="BQ176" i="50" s="1"/>
  <c r="AD171" i="50"/>
  <c r="BP173" i="50"/>
  <c r="D62" i="67"/>
  <c r="AF174" i="50"/>
  <c r="BR174" i="50" s="1"/>
  <c r="BR154" i="50"/>
  <c r="E67" i="67"/>
  <c r="BP151" i="50"/>
  <c r="E67" i="85" s="1"/>
  <c r="E56" i="49"/>
  <c r="AE185" i="50"/>
  <c r="BQ185" i="50" s="1"/>
  <c r="J70" i="62"/>
  <c r="AZ70" i="62"/>
  <c r="BR164" i="50"/>
  <c r="AF184" i="50"/>
  <c r="BR184" i="50" s="1"/>
  <c r="E91" i="67"/>
  <c r="BW151" i="50"/>
  <c r="E91" i="85" s="1"/>
  <c r="J78" i="62"/>
  <c r="AZ78" i="62"/>
  <c r="Z84" i="67"/>
  <c r="O38" i="79"/>
  <c r="AU25" i="60"/>
  <c r="O7" i="79"/>
  <c r="O28" i="79"/>
  <c r="P28" i="79"/>
  <c r="O29" i="79"/>
  <c r="O18" i="79"/>
  <c r="P29" i="79"/>
  <c r="AW9" i="60"/>
  <c r="AV9" i="60"/>
  <c r="O6" i="79"/>
  <c r="P38" i="79"/>
  <c r="P7" i="79"/>
  <c r="P6" i="79"/>
  <c r="O31" i="79"/>
  <c r="AS51" i="60"/>
  <c r="O17" i="79"/>
  <c r="P32" i="79"/>
  <c r="AR51" i="60"/>
  <c r="AT51" i="60"/>
  <c r="AQ51" i="60"/>
  <c r="AP51" i="60"/>
  <c r="AP52" i="60"/>
  <c r="AQ52" i="60"/>
  <c r="AN51" i="60"/>
  <c r="AN52" i="60"/>
  <c r="AO52" i="60"/>
  <c r="N19" i="79"/>
  <c r="N17" i="79"/>
  <c r="N18" i="79"/>
  <c r="D41" i="79"/>
  <c r="D39" i="79"/>
  <c r="D40" i="79"/>
  <c r="K19" i="79"/>
  <c r="K17" i="79"/>
  <c r="K18" i="79"/>
  <c r="G40" i="79"/>
  <c r="G39" i="79"/>
  <c r="G41" i="79"/>
  <c r="L19" i="79"/>
  <c r="L18" i="79"/>
  <c r="L17" i="79"/>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Q38" i="2"/>
  <c r="AC33" i="78"/>
  <c r="E39" i="79"/>
  <c r="E40" i="79"/>
  <c r="E41" i="79"/>
  <c r="L41" i="79"/>
  <c r="L40" i="79"/>
  <c r="L39" i="79"/>
  <c r="F39" i="79"/>
  <c r="F40" i="79"/>
  <c r="F41" i="79"/>
  <c r="Z108" i="67"/>
  <c r="U38" i="2"/>
  <c r="R38" i="2"/>
  <c r="BD59" i="73"/>
  <c r="CJ59" i="73" s="1"/>
  <c r="BE59" i="73"/>
  <c r="AT59" i="73"/>
  <c r="AS59" i="73"/>
  <c r="CD59" i="73" s="1"/>
  <c r="H60" i="62"/>
  <c r="AY60" i="62" s="1"/>
  <c r="AS52" i="60"/>
  <c r="AR52" i="60"/>
  <c r="AT52" i="60"/>
  <c r="J101" i="62"/>
  <c r="BA101" i="62" s="1"/>
  <c r="I99" i="62"/>
  <c r="AZ99" i="62" s="1"/>
  <c r="J69" i="62"/>
  <c r="BA69" i="62" s="1"/>
  <c r="I67" i="62"/>
  <c r="AZ67" i="62" s="1"/>
  <c r="AM153" i="50"/>
  <c r="AL151" i="50"/>
  <c r="AF70" i="50"/>
  <c r="BR70" i="50" s="1"/>
  <c r="AE69" i="50"/>
  <c r="AF153" i="50"/>
  <c r="BR153" i="50" s="1"/>
  <c r="AE151" i="50"/>
  <c r="AE173" i="50"/>
  <c r="AF111" i="50"/>
  <c r="G110" i="51" l="1"/>
  <c r="G43" i="50" s="1"/>
  <c r="AS43" i="50" s="1"/>
  <c r="G112" i="51"/>
  <c r="U134" i="50" s="1"/>
  <c r="BG134" i="50" s="1"/>
  <c r="I110" i="51"/>
  <c r="I137" i="50" s="1"/>
  <c r="AU137" i="50" s="1"/>
  <c r="I111" i="51"/>
  <c r="P54" i="50" s="1"/>
  <c r="BB54" i="50" s="1"/>
  <c r="J112" i="51"/>
  <c r="X43" i="50" s="1"/>
  <c r="BJ43" i="50" s="1"/>
  <c r="J111" i="51"/>
  <c r="Q140" i="50" s="1"/>
  <c r="BC140" i="50" s="1"/>
  <c r="H43" i="84"/>
  <c r="O20" i="79"/>
  <c r="O21" i="79"/>
  <c r="O41" i="84"/>
  <c r="G42" i="84"/>
  <c r="F42" i="84"/>
  <c r="O9" i="79"/>
  <c r="O10" i="79"/>
  <c r="O39" i="79"/>
  <c r="O32" i="84"/>
  <c r="P20" i="84"/>
  <c r="O10" i="84"/>
  <c r="P9" i="79"/>
  <c r="H110" i="51"/>
  <c r="H142" i="50" s="1"/>
  <c r="AT142" i="50" s="1"/>
  <c r="H111" i="51"/>
  <c r="O40" i="50" s="1"/>
  <c r="BA40" i="50" s="1"/>
  <c r="P32" i="84"/>
  <c r="O20" i="84"/>
  <c r="P31" i="84"/>
  <c r="P9" i="84"/>
  <c r="P10" i="84"/>
  <c r="D42" i="84"/>
  <c r="O42" i="84" s="1"/>
  <c r="D43" i="84"/>
  <c r="P43" i="84"/>
  <c r="E42" i="84"/>
  <c r="O9" i="84"/>
  <c r="P42" i="84"/>
  <c r="P21" i="84"/>
  <c r="O21" i="84"/>
  <c r="I112" i="51"/>
  <c r="O40" i="84"/>
  <c r="O40" i="79"/>
  <c r="BD60" i="51"/>
  <c r="F111" i="51"/>
  <c r="AL67" i="50"/>
  <c r="BW67" i="50"/>
  <c r="K110" i="51"/>
  <c r="BU63" i="50"/>
  <c r="AI60" i="50"/>
  <c r="E55" i="49"/>
  <c r="K56" i="49"/>
  <c r="AL66" i="50"/>
  <c r="BW66" i="50"/>
  <c r="BV65" i="50"/>
  <c r="AK65" i="50"/>
  <c r="G65" i="67"/>
  <c r="BR111" i="50"/>
  <c r="G65" i="85" s="1"/>
  <c r="K111" i="51"/>
  <c r="R143" i="50" s="1"/>
  <c r="BD143" i="50" s="1"/>
  <c r="BV63" i="50"/>
  <c r="AJ60" i="50"/>
  <c r="AW60" i="51"/>
  <c r="F112" i="51"/>
  <c r="F110" i="51"/>
  <c r="BT60" i="50"/>
  <c r="C70" i="49"/>
  <c r="AH282" i="50"/>
  <c r="BT282" i="50" s="1"/>
  <c r="BW72" i="50"/>
  <c r="AL72" i="50"/>
  <c r="J110" i="51"/>
  <c r="J42" i="50" s="1"/>
  <c r="AV42" i="50" s="1"/>
  <c r="K112" i="51"/>
  <c r="Y149" i="50" s="1"/>
  <c r="BK149" i="50" s="1"/>
  <c r="AL71" i="50"/>
  <c r="BW71" i="50"/>
  <c r="BW70" i="50"/>
  <c r="AL70" i="50"/>
  <c r="AK69" i="50"/>
  <c r="BW69" i="50" s="1"/>
  <c r="BR158" i="50"/>
  <c r="AF178" i="50"/>
  <c r="BR178" i="50" s="1"/>
  <c r="AM30" i="67"/>
  <c r="J55" i="49"/>
  <c r="AM30" i="85" s="1"/>
  <c r="H112" i="51"/>
  <c r="G111" i="51"/>
  <c r="AF185" i="50"/>
  <c r="BR185" i="50" s="1"/>
  <c r="AD282" i="50"/>
  <c r="BP282" i="50" s="1"/>
  <c r="BR156" i="50"/>
  <c r="AF176" i="50"/>
  <c r="BR176" i="50" s="1"/>
  <c r="F56" i="49"/>
  <c r="K78" i="62"/>
  <c r="BA78" i="62"/>
  <c r="AE171" i="50"/>
  <c r="BQ173" i="50"/>
  <c r="AE60" i="50"/>
  <c r="BQ60" i="50" s="1"/>
  <c r="F62" i="85" s="1"/>
  <c r="BQ69" i="50"/>
  <c r="E68" i="67"/>
  <c r="BP171" i="50"/>
  <c r="E68" i="85" s="1"/>
  <c r="F67" i="67"/>
  <c r="BQ151" i="50"/>
  <c r="F67" i="85" s="1"/>
  <c r="K70" i="62"/>
  <c r="BA70" i="62"/>
  <c r="E62" i="67"/>
  <c r="F91" i="67"/>
  <c r="BX151" i="50"/>
  <c r="F91" i="85" s="1"/>
  <c r="AM151" i="50"/>
  <c r="BY153" i="50"/>
  <c r="P41" i="79"/>
  <c r="O41" i="79"/>
  <c r="P18" i="79"/>
  <c r="P17" i="79"/>
  <c r="P19" i="79"/>
  <c r="P40" i="79"/>
  <c r="P39" i="79"/>
  <c r="I141" i="50"/>
  <c r="AU141" i="50" s="1"/>
  <c r="I53" i="50"/>
  <c r="AU53" i="50" s="1"/>
  <c r="I36" i="50"/>
  <c r="AU36" i="50" s="1"/>
  <c r="I134" i="50"/>
  <c r="AU134" i="50" s="1"/>
  <c r="I133" i="50"/>
  <c r="AU133" i="50" s="1"/>
  <c r="I46" i="50"/>
  <c r="AU46" i="50" s="1"/>
  <c r="I145" i="50"/>
  <c r="AU145" i="50" s="1"/>
  <c r="I143" i="50"/>
  <c r="AU143" i="50" s="1"/>
  <c r="I47" i="50"/>
  <c r="AU47" i="50" s="1"/>
  <c r="P51" i="50"/>
  <c r="BB51" i="50" s="1"/>
  <c r="P58" i="50"/>
  <c r="BB58" i="50" s="1"/>
  <c r="P147" i="50"/>
  <c r="BB147" i="50" s="1"/>
  <c r="P40" i="50"/>
  <c r="BB40" i="50" s="1"/>
  <c r="I142" i="50"/>
  <c r="AU142" i="50" s="1"/>
  <c r="I136" i="50"/>
  <c r="AU136" i="50" s="1"/>
  <c r="L42" i="79"/>
  <c r="L43" i="79"/>
  <c r="H43" i="79"/>
  <c r="H42" i="79"/>
  <c r="N43" i="79"/>
  <c r="P43" i="79" s="1"/>
  <c r="N42" i="79"/>
  <c r="G42" i="79"/>
  <c r="G43" i="79"/>
  <c r="D43" i="79"/>
  <c r="D42" i="79"/>
  <c r="E42" i="79"/>
  <c r="E43" i="79"/>
  <c r="K42" i="79"/>
  <c r="K43" i="79"/>
  <c r="K21" i="79"/>
  <c r="K20" i="79"/>
  <c r="J21" i="79"/>
  <c r="J20" i="79"/>
  <c r="L21" i="79"/>
  <c r="L20" i="79"/>
  <c r="F42" i="79"/>
  <c r="F43" i="79"/>
  <c r="M42" i="79"/>
  <c r="M43" i="79"/>
  <c r="M20" i="79"/>
  <c r="M21" i="79"/>
  <c r="J42" i="79"/>
  <c r="N21" i="79"/>
  <c r="N20" i="79"/>
  <c r="H37" i="50"/>
  <c r="AT37" i="50" s="1"/>
  <c r="U143" i="50"/>
  <c r="U141" i="50"/>
  <c r="U135" i="50"/>
  <c r="U42" i="50"/>
  <c r="U43" i="50"/>
  <c r="U56" i="50"/>
  <c r="U50" i="50"/>
  <c r="U132" i="50"/>
  <c r="G143" i="50"/>
  <c r="G150" i="50"/>
  <c r="G49" i="50"/>
  <c r="G42" i="50"/>
  <c r="U46" i="50"/>
  <c r="U47" i="50"/>
  <c r="U150" i="50"/>
  <c r="G132" i="50"/>
  <c r="G149" i="50"/>
  <c r="G144" i="50"/>
  <c r="G58" i="50"/>
  <c r="G48" i="50"/>
  <c r="U137" i="50"/>
  <c r="U48" i="50"/>
  <c r="U52" i="50"/>
  <c r="U58" i="50"/>
  <c r="G142" i="50"/>
  <c r="G55" i="50"/>
  <c r="G148" i="50"/>
  <c r="G136" i="50"/>
  <c r="G57" i="50"/>
  <c r="G134" i="50"/>
  <c r="G146" i="50"/>
  <c r="K69" i="62"/>
  <c r="BB69" i="62" s="1"/>
  <c r="J67" i="62"/>
  <c r="BA67" i="62" s="1"/>
  <c r="I60" i="62"/>
  <c r="AZ60" i="62" s="1"/>
  <c r="J99" i="62"/>
  <c r="BA99" i="62" s="1"/>
  <c r="K101" i="62"/>
  <c r="BB101" i="62" s="1"/>
  <c r="AF151" i="50"/>
  <c r="AF173" i="50"/>
  <c r="AF69" i="50"/>
  <c r="D35" i="58"/>
  <c r="G138" i="50" l="1"/>
  <c r="G52" i="50"/>
  <c r="G46" i="50"/>
  <c r="G39" i="50"/>
  <c r="G133" i="50"/>
  <c r="G53" i="50"/>
  <c r="G41" i="50"/>
  <c r="G38" i="50" s="1"/>
  <c r="AS38" i="50" s="1"/>
  <c r="G147" i="50"/>
  <c r="AS147" i="50" s="1"/>
  <c r="G40" i="50"/>
  <c r="G50" i="50"/>
  <c r="G141" i="50"/>
  <c r="G51" i="50"/>
  <c r="G56" i="50"/>
  <c r="G37" i="50"/>
  <c r="AS37" i="50" s="1"/>
  <c r="G59" i="50"/>
  <c r="G36" i="50"/>
  <c r="AS36" i="50" s="1"/>
  <c r="G47" i="50"/>
  <c r="G139" i="50"/>
  <c r="G135" i="50"/>
  <c r="G140" i="50"/>
  <c r="G137" i="50"/>
  <c r="G145" i="50"/>
  <c r="AS145" i="50" s="1"/>
  <c r="G54" i="50"/>
  <c r="AS54" i="50" s="1"/>
  <c r="I51" i="50"/>
  <c r="AU51" i="50" s="1"/>
  <c r="I57" i="50"/>
  <c r="AU57" i="50" s="1"/>
  <c r="I50" i="50"/>
  <c r="AU50" i="50" s="1"/>
  <c r="I54" i="50"/>
  <c r="AU54" i="50" s="1"/>
  <c r="I37" i="50"/>
  <c r="AU37" i="50" s="1"/>
  <c r="I43" i="50"/>
  <c r="AU43" i="50" s="1"/>
  <c r="I49" i="50"/>
  <c r="AU49" i="50" s="1"/>
  <c r="I135" i="50"/>
  <c r="AU135" i="50" s="1"/>
  <c r="I59" i="50"/>
  <c r="AU59" i="50" s="1"/>
  <c r="I139" i="50"/>
  <c r="AU139" i="50" s="1"/>
  <c r="I40" i="50"/>
  <c r="AU40" i="50" s="1"/>
  <c r="I48" i="50"/>
  <c r="AU48" i="50" s="1"/>
  <c r="I52" i="50"/>
  <c r="AU52" i="50" s="1"/>
  <c r="Y140" i="50"/>
  <c r="BK140" i="50" s="1"/>
  <c r="I41" i="50"/>
  <c r="AU41" i="50" s="1"/>
  <c r="I148" i="50"/>
  <c r="AU148" i="50" s="1"/>
  <c r="I56" i="50"/>
  <c r="AU56" i="50" s="1"/>
  <c r="I144" i="50"/>
  <c r="AU144" i="50" s="1"/>
  <c r="I140" i="50"/>
  <c r="AU140" i="50" s="1"/>
  <c r="I39" i="50"/>
  <c r="AU39" i="50" s="1"/>
  <c r="I147" i="50"/>
  <c r="AU147" i="50" s="1"/>
  <c r="I138" i="50"/>
  <c r="AU138" i="50" s="1"/>
  <c r="I58" i="50"/>
  <c r="AU58" i="50" s="1"/>
  <c r="U138" i="50"/>
  <c r="BG138" i="50" s="1"/>
  <c r="U148" i="50"/>
  <c r="BG148" i="50" s="1"/>
  <c r="U145" i="50"/>
  <c r="U49" i="50"/>
  <c r="U37" i="50"/>
  <c r="BG37" i="50" s="1"/>
  <c r="U149" i="50"/>
  <c r="BG149" i="50" s="1"/>
  <c r="U36" i="50"/>
  <c r="BG36" i="50" s="1"/>
  <c r="U139" i="50"/>
  <c r="BG139" i="50" s="1"/>
  <c r="U142" i="50"/>
  <c r="U39" i="50"/>
  <c r="BG39" i="50" s="1"/>
  <c r="U55" i="50"/>
  <c r="U144" i="50"/>
  <c r="U57" i="50"/>
  <c r="BG57" i="50" s="1"/>
  <c r="U59" i="50"/>
  <c r="BG59" i="50" s="1"/>
  <c r="U41" i="50"/>
  <c r="BG41" i="50" s="1"/>
  <c r="G113" i="51"/>
  <c r="U51" i="50"/>
  <c r="BG51" i="50" s="1"/>
  <c r="U147" i="50"/>
  <c r="BG147" i="50" s="1"/>
  <c r="U146" i="50"/>
  <c r="U54" i="50"/>
  <c r="U136" i="50"/>
  <c r="BG136" i="50" s="1"/>
  <c r="U133" i="50"/>
  <c r="BG133" i="50" s="1"/>
  <c r="U140" i="50"/>
  <c r="BG140" i="50" s="1"/>
  <c r="U53" i="50"/>
  <c r="BG53" i="50" s="1"/>
  <c r="U40" i="50"/>
  <c r="BG40" i="50" s="1"/>
  <c r="P136" i="50"/>
  <c r="BB136" i="50" s="1"/>
  <c r="P143" i="50"/>
  <c r="BB143" i="50" s="1"/>
  <c r="P59" i="50"/>
  <c r="BB59" i="50" s="1"/>
  <c r="P133" i="50"/>
  <c r="BB133" i="50" s="1"/>
  <c r="P50" i="50"/>
  <c r="BB50" i="50" s="1"/>
  <c r="P150" i="50"/>
  <c r="BB150" i="50" s="1"/>
  <c r="P135" i="50"/>
  <c r="BB135" i="50" s="1"/>
  <c r="P37" i="50"/>
  <c r="BB37" i="50" s="1"/>
  <c r="P57" i="50"/>
  <c r="BB57" i="50" s="1"/>
  <c r="P138" i="50"/>
  <c r="BB138" i="50" s="1"/>
  <c r="Q135" i="50"/>
  <c r="BC135" i="50" s="1"/>
  <c r="R54" i="50"/>
  <c r="BD54" i="50" s="1"/>
  <c r="R134" i="50"/>
  <c r="BD134" i="50" s="1"/>
  <c r="R43" i="50"/>
  <c r="BD43" i="50" s="1"/>
  <c r="X132" i="50"/>
  <c r="BJ132" i="50" s="1"/>
  <c r="R41" i="50"/>
  <c r="BD41" i="50" s="1"/>
  <c r="R133" i="50"/>
  <c r="BD133" i="50" s="1"/>
  <c r="P42" i="50"/>
  <c r="BB42" i="50" s="1"/>
  <c r="P36" i="50"/>
  <c r="BB36" i="50" s="1"/>
  <c r="P148" i="50"/>
  <c r="BB148" i="50" s="1"/>
  <c r="P48" i="50"/>
  <c r="BB48" i="50" s="1"/>
  <c r="P132" i="50"/>
  <c r="BB132" i="50" s="1"/>
  <c r="P39" i="50"/>
  <c r="BB39" i="50" s="1"/>
  <c r="P134" i="50"/>
  <c r="BB134" i="50" s="1"/>
  <c r="P49" i="50"/>
  <c r="BB49" i="50" s="1"/>
  <c r="P142" i="50"/>
  <c r="BB142" i="50" s="1"/>
  <c r="P52" i="50"/>
  <c r="BB52" i="50" s="1"/>
  <c r="P47" i="50"/>
  <c r="BB47" i="50" s="1"/>
  <c r="P43" i="50"/>
  <c r="BB43" i="50" s="1"/>
  <c r="P56" i="50"/>
  <c r="BB56" i="50" s="1"/>
  <c r="P139" i="50"/>
  <c r="BB139" i="50" s="1"/>
  <c r="P55" i="50"/>
  <c r="BB55" i="50" s="1"/>
  <c r="P141" i="50"/>
  <c r="BB141" i="50" s="1"/>
  <c r="P146" i="50"/>
  <c r="BB146" i="50" s="1"/>
  <c r="P137" i="50"/>
  <c r="BB137" i="50" s="1"/>
  <c r="P53" i="50"/>
  <c r="BB53" i="50" s="1"/>
  <c r="P149" i="50"/>
  <c r="BB149" i="50" s="1"/>
  <c r="P41" i="50"/>
  <c r="BB41" i="50" s="1"/>
  <c r="P46" i="50"/>
  <c r="BB46" i="50" s="1"/>
  <c r="P144" i="50"/>
  <c r="BB144" i="50" s="1"/>
  <c r="Q56" i="50"/>
  <c r="BC56" i="50" s="1"/>
  <c r="R49" i="50"/>
  <c r="BD49" i="50" s="1"/>
  <c r="Q133" i="50"/>
  <c r="BC133" i="50" s="1"/>
  <c r="Q47" i="50"/>
  <c r="BC47" i="50" s="1"/>
  <c r="R36" i="50"/>
  <c r="BD36" i="50" s="1"/>
  <c r="R148" i="50"/>
  <c r="BD148" i="50" s="1"/>
  <c r="Q41" i="50"/>
  <c r="BC41" i="50" s="1"/>
  <c r="Q52" i="50"/>
  <c r="BC52" i="50" s="1"/>
  <c r="Q46" i="50"/>
  <c r="BC46" i="50" s="1"/>
  <c r="R47" i="50"/>
  <c r="BD47" i="50" s="1"/>
  <c r="R135" i="50"/>
  <c r="BD135" i="50" s="1"/>
  <c r="R138" i="50"/>
  <c r="BD138" i="50" s="1"/>
  <c r="Q43" i="50"/>
  <c r="BC43" i="50" s="1"/>
  <c r="Q137" i="50"/>
  <c r="BC137" i="50" s="1"/>
  <c r="X144" i="50"/>
  <c r="BJ144" i="50" s="1"/>
  <c r="R58" i="50"/>
  <c r="BD58" i="50" s="1"/>
  <c r="Q148" i="50"/>
  <c r="BC148" i="50" s="1"/>
  <c r="Q48" i="50"/>
  <c r="BC48" i="50" s="1"/>
  <c r="Q147" i="50"/>
  <c r="BC147" i="50" s="1"/>
  <c r="Q50" i="50"/>
  <c r="BC50" i="50" s="1"/>
  <c r="Q37" i="50"/>
  <c r="BC37" i="50" s="1"/>
  <c r="Q58" i="50"/>
  <c r="BC58" i="50" s="1"/>
  <c r="Q141" i="50"/>
  <c r="BC141" i="50" s="1"/>
  <c r="X56" i="50"/>
  <c r="BJ56" i="50" s="1"/>
  <c r="X42" i="50"/>
  <c r="BJ42" i="50" s="1"/>
  <c r="R137" i="50"/>
  <c r="BD137" i="50" s="1"/>
  <c r="R53" i="50"/>
  <c r="BD53" i="50" s="1"/>
  <c r="R139" i="50"/>
  <c r="BD139" i="50" s="1"/>
  <c r="R48" i="50"/>
  <c r="BD48" i="50" s="1"/>
  <c r="R37" i="50"/>
  <c r="BD37" i="50" s="1"/>
  <c r="R59" i="50"/>
  <c r="BD59" i="50" s="1"/>
  <c r="X57" i="50"/>
  <c r="BJ57" i="50" s="1"/>
  <c r="X148" i="50"/>
  <c r="BJ148" i="50" s="1"/>
  <c r="X58" i="50"/>
  <c r="BJ58" i="50" s="1"/>
  <c r="R52" i="50"/>
  <c r="BD52" i="50" s="1"/>
  <c r="R147" i="50"/>
  <c r="BD147" i="50" s="1"/>
  <c r="R57" i="50"/>
  <c r="BD57" i="50" s="1"/>
  <c r="R55" i="50"/>
  <c r="BD55" i="50" s="1"/>
  <c r="R146" i="50"/>
  <c r="BD146" i="50" s="1"/>
  <c r="X48" i="50"/>
  <c r="BJ48" i="50" s="1"/>
  <c r="X50" i="50"/>
  <c r="BJ50" i="50" s="1"/>
  <c r="R150" i="50"/>
  <c r="BD150" i="50" s="1"/>
  <c r="R132" i="50"/>
  <c r="BD132" i="50" s="1"/>
  <c r="R144" i="50"/>
  <c r="BD144" i="50" s="1"/>
  <c r="R40" i="50"/>
  <c r="BD40" i="50" s="1"/>
  <c r="R145" i="50"/>
  <c r="BD145" i="50" s="1"/>
  <c r="R39" i="50"/>
  <c r="BD39" i="50" s="1"/>
  <c r="R142" i="50"/>
  <c r="BD142" i="50" s="1"/>
  <c r="X142" i="50"/>
  <c r="BJ142" i="50" s="1"/>
  <c r="X59" i="50"/>
  <c r="BJ59" i="50" s="1"/>
  <c r="R136" i="50"/>
  <c r="BD136" i="50" s="1"/>
  <c r="R46" i="50"/>
  <c r="BD46" i="50" s="1"/>
  <c r="R50" i="50"/>
  <c r="BD50" i="50" s="1"/>
  <c r="R141" i="50"/>
  <c r="BD141" i="50" s="1"/>
  <c r="O52" i="50"/>
  <c r="BA52" i="50" s="1"/>
  <c r="X53" i="50"/>
  <c r="BJ53" i="50" s="1"/>
  <c r="X135" i="50"/>
  <c r="BJ135" i="50" s="1"/>
  <c r="X51" i="50"/>
  <c r="BJ51" i="50" s="1"/>
  <c r="X47" i="50"/>
  <c r="BJ47" i="50" s="1"/>
  <c r="R51" i="50"/>
  <c r="BD51" i="50" s="1"/>
  <c r="R140" i="50"/>
  <c r="BD140" i="50" s="1"/>
  <c r="R56" i="50"/>
  <c r="BD56" i="50" s="1"/>
  <c r="R149" i="50"/>
  <c r="BD149" i="50" s="1"/>
  <c r="R42" i="50"/>
  <c r="BD42" i="50" s="1"/>
  <c r="X37" i="50"/>
  <c r="BJ37" i="50" s="1"/>
  <c r="X145" i="50"/>
  <c r="BJ145" i="50" s="1"/>
  <c r="X49" i="50"/>
  <c r="BJ49" i="50" s="1"/>
  <c r="Q144" i="50"/>
  <c r="BC144" i="50" s="1"/>
  <c r="Q138" i="50"/>
  <c r="BC138" i="50" s="1"/>
  <c r="Q36" i="50"/>
  <c r="BC36" i="50" s="1"/>
  <c r="Q49" i="50"/>
  <c r="BC49" i="50" s="1"/>
  <c r="Q134" i="50"/>
  <c r="BC134" i="50" s="1"/>
  <c r="Q139" i="50"/>
  <c r="BC139" i="50" s="1"/>
  <c r="P145" i="50"/>
  <c r="BB145" i="50" s="1"/>
  <c r="Q53" i="50"/>
  <c r="BC53" i="50" s="1"/>
  <c r="Q57" i="50"/>
  <c r="BC57" i="50" s="1"/>
  <c r="Q149" i="50"/>
  <c r="BC149" i="50" s="1"/>
  <c r="Q143" i="50"/>
  <c r="BC143" i="50" s="1"/>
  <c r="Q59" i="50"/>
  <c r="BC59" i="50" s="1"/>
  <c r="P140" i="50"/>
  <c r="BB140" i="50" s="1"/>
  <c r="Q136" i="50"/>
  <c r="BC136" i="50" s="1"/>
  <c r="Q145" i="50"/>
  <c r="BC145" i="50" s="1"/>
  <c r="Q42" i="50"/>
  <c r="BC42" i="50" s="1"/>
  <c r="Q132" i="50"/>
  <c r="BC132" i="50" s="1"/>
  <c r="Q39" i="50"/>
  <c r="BC39" i="50" s="1"/>
  <c r="Q54" i="50"/>
  <c r="BC54" i="50" s="1"/>
  <c r="Q150" i="50"/>
  <c r="BC150" i="50" s="1"/>
  <c r="Q40" i="50"/>
  <c r="BC40" i="50" s="1"/>
  <c r="Q51" i="50"/>
  <c r="BC51" i="50" s="1"/>
  <c r="Q146" i="50"/>
  <c r="BC146" i="50" s="1"/>
  <c r="Q55" i="50"/>
  <c r="BC55" i="50" s="1"/>
  <c r="Q142" i="50"/>
  <c r="BC142" i="50" s="1"/>
  <c r="I113" i="51"/>
  <c r="I150" i="50"/>
  <c r="AU150" i="50" s="1"/>
  <c r="I132" i="50"/>
  <c r="AU132" i="50" s="1"/>
  <c r="X150" i="50"/>
  <c r="BJ150" i="50" s="1"/>
  <c r="X134" i="50"/>
  <c r="BJ134" i="50" s="1"/>
  <c r="X133" i="50"/>
  <c r="BJ133" i="50" s="1"/>
  <c r="X41" i="50"/>
  <c r="BJ41" i="50" s="1"/>
  <c r="X137" i="50"/>
  <c r="BJ137" i="50" s="1"/>
  <c r="X146" i="50"/>
  <c r="BJ146" i="50" s="1"/>
  <c r="X54" i="50"/>
  <c r="BJ54" i="50" s="1"/>
  <c r="X36" i="50"/>
  <c r="BJ36" i="50" s="1"/>
  <c r="X140" i="50"/>
  <c r="BJ140" i="50" s="1"/>
  <c r="X139" i="50"/>
  <c r="BJ139" i="50" s="1"/>
  <c r="X136" i="50"/>
  <c r="BJ136" i="50" s="1"/>
  <c r="I55" i="50"/>
  <c r="AU55" i="50" s="1"/>
  <c r="I42" i="50"/>
  <c r="AU42" i="50" s="1"/>
  <c r="X143" i="50"/>
  <c r="BJ143" i="50" s="1"/>
  <c r="X40" i="50"/>
  <c r="BJ40" i="50" s="1"/>
  <c r="X149" i="50"/>
  <c r="BJ149" i="50" s="1"/>
  <c r="X52" i="50"/>
  <c r="BJ52" i="50" s="1"/>
  <c r="X39" i="50"/>
  <c r="BJ39" i="50" s="1"/>
  <c r="I149" i="50"/>
  <c r="AU149" i="50" s="1"/>
  <c r="I146" i="50"/>
  <c r="AU146" i="50" s="1"/>
  <c r="X147" i="50"/>
  <c r="BJ147" i="50" s="1"/>
  <c r="X46" i="50"/>
  <c r="BJ46" i="50" s="1"/>
  <c r="X55" i="50"/>
  <c r="BJ55" i="50" s="1"/>
  <c r="X138" i="50"/>
  <c r="BJ138" i="50" s="1"/>
  <c r="X141" i="50"/>
  <c r="BJ141" i="50" s="1"/>
  <c r="Y143" i="50"/>
  <c r="BK143" i="50" s="1"/>
  <c r="H51" i="50"/>
  <c r="AT51" i="50" s="1"/>
  <c r="H52" i="50"/>
  <c r="AT52" i="50" s="1"/>
  <c r="H143" i="50"/>
  <c r="AT143" i="50" s="1"/>
  <c r="H149" i="50"/>
  <c r="AT149" i="50" s="1"/>
  <c r="Y134" i="50"/>
  <c r="BK134" i="50" s="1"/>
  <c r="H43" i="50"/>
  <c r="AT43" i="50" s="1"/>
  <c r="H40" i="50"/>
  <c r="AT40" i="50" s="1"/>
  <c r="J51" i="50"/>
  <c r="AV51" i="50" s="1"/>
  <c r="H145" i="50"/>
  <c r="AT145" i="50" s="1"/>
  <c r="H46" i="50"/>
  <c r="AT46" i="50" s="1"/>
  <c r="Y58" i="50"/>
  <c r="BK58" i="50" s="1"/>
  <c r="H41" i="50"/>
  <c r="AT41" i="50" s="1"/>
  <c r="H140" i="50"/>
  <c r="AT140" i="50" s="1"/>
  <c r="H144" i="50"/>
  <c r="AT144" i="50" s="1"/>
  <c r="H148" i="50"/>
  <c r="AT148" i="50" s="1"/>
  <c r="H137" i="50"/>
  <c r="AT137" i="50" s="1"/>
  <c r="Y150" i="50"/>
  <c r="BK150" i="50" s="1"/>
  <c r="Y135" i="50"/>
  <c r="BK135" i="50" s="1"/>
  <c r="H136" i="50"/>
  <c r="AT136" i="50" s="1"/>
  <c r="H47" i="50"/>
  <c r="AT47" i="50" s="1"/>
  <c r="H56" i="50"/>
  <c r="AT56" i="50" s="1"/>
  <c r="H147" i="50"/>
  <c r="AT147" i="50" s="1"/>
  <c r="H146" i="50"/>
  <c r="AT146" i="50" s="1"/>
  <c r="H132" i="50"/>
  <c r="AT132" i="50" s="1"/>
  <c r="Y42" i="50"/>
  <c r="BK42" i="50" s="1"/>
  <c r="H42" i="50"/>
  <c r="AT42" i="50" s="1"/>
  <c r="H134" i="50"/>
  <c r="AT134" i="50" s="1"/>
  <c r="H139" i="50"/>
  <c r="AT139" i="50" s="1"/>
  <c r="H53" i="50"/>
  <c r="AT53" i="50" s="1"/>
  <c r="H49" i="50"/>
  <c r="AT49" i="50" s="1"/>
  <c r="Y52" i="50"/>
  <c r="BK52" i="50" s="1"/>
  <c r="H50" i="50"/>
  <c r="AT50" i="50" s="1"/>
  <c r="Y36" i="50"/>
  <c r="BK36" i="50" s="1"/>
  <c r="H135" i="50"/>
  <c r="AT135" i="50" s="1"/>
  <c r="H54" i="50"/>
  <c r="AT54" i="50" s="1"/>
  <c r="H39" i="50"/>
  <c r="AT39" i="50" s="1"/>
  <c r="H36" i="50"/>
  <c r="AT36" i="50" s="1"/>
  <c r="H59" i="50"/>
  <c r="AT59" i="50" s="1"/>
  <c r="Y133" i="50"/>
  <c r="BK133" i="50" s="1"/>
  <c r="H55" i="50"/>
  <c r="AT55" i="50" s="1"/>
  <c r="H150" i="50"/>
  <c r="AT150" i="50" s="1"/>
  <c r="H57" i="50"/>
  <c r="AT57" i="50" s="1"/>
  <c r="H141" i="50"/>
  <c r="AT141" i="50" s="1"/>
  <c r="O142" i="50"/>
  <c r="BA142" i="50" s="1"/>
  <c r="O140" i="50"/>
  <c r="BA140" i="50" s="1"/>
  <c r="O150" i="50"/>
  <c r="BA150" i="50" s="1"/>
  <c r="H48" i="50"/>
  <c r="AT48" i="50" s="1"/>
  <c r="H133" i="50"/>
  <c r="AT133" i="50" s="1"/>
  <c r="H58" i="50"/>
  <c r="AT58" i="50" s="1"/>
  <c r="H138" i="50"/>
  <c r="AT138" i="50" s="1"/>
  <c r="O48" i="50"/>
  <c r="BA48" i="50" s="1"/>
  <c r="O141" i="50"/>
  <c r="BA141" i="50" s="1"/>
  <c r="O39" i="50"/>
  <c r="BA39" i="50" s="1"/>
  <c r="O55" i="50"/>
  <c r="BA55" i="50" s="1"/>
  <c r="O138" i="50"/>
  <c r="BA138" i="50" s="1"/>
  <c r="O137" i="50"/>
  <c r="BA137" i="50" s="1"/>
  <c r="O51" i="50"/>
  <c r="BA51" i="50" s="1"/>
  <c r="O59" i="50"/>
  <c r="BA59" i="50" s="1"/>
  <c r="O36" i="50"/>
  <c r="BA36" i="50" s="1"/>
  <c r="O41" i="50"/>
  <c r="BA41" i="50" s="1"/>
  <c r="O133" i="50"/>
  <c r="BA133" i="50" s="1"/>
  <c r="O57" i="50"/>
  <c r="BA57" i="50" s="1"/>
  <c r="O146" i="50"/>
  <c r="BA146" i="50" s="1"/>
  <c r="O54" i="50"/>
  <c r="BA54" i="50" s="1"/>
  <c r="O139" i="50"/>
  <c r="BA139" i="50" s="1"/>
  <c r="H113" i="51"/>
  <c r="O43" i="50"/>
  <c r="BA43" i="50" s="1"/>
  <c r="O147" i="50"/>
  <c r="BA147" i="50" s="1"/>
  <c r="O53" i="50"/>
  <c r="BA53" i="50" s="1"/>
  <c r="O149" i="50"/>
  <c r="BA149" i="50" s="1"/>
  <c r="O134" i="50"/>
  <c r="BA134" i="50" s="1"/>
  <c r="Y54" i="50"/>
  <c r="BK54" i="50" s="1"/>
  <c r="Y47" i="50"/>
  <c r="BK47" i="50" s="1"/>
  <c r="Y57" i="50"/>
  <c r="BK57" i="50" s="1"/>
  <c r="Y41" i="50"/>
  <c r="BK41" i="50" s="1"/>
  <c r="Y137" i="50"/>
  <c r="BK137" i="50" s="1"/>
  <c r="Y146" i="50"/>
  <c r="BK146" i="50" s="1"/>
  <c r="Y46" i="50"/>
  <c r="BK46" i="50" s="1"/>
  <c r="Y141" i="50"/>
  <c r="BK141" i="50" s="1"/>
  <c r="Y51" i="50"/>
  <c r="BK51" i="50" s="1"/>
  <c r="Y132" i="50"/>
  <c r="BK132" i="50" s="1"/>
  <c r="O136" i="50"/>
  <c r="BA136" i="50" s="1"/>
  <c r="O56" i="50"/>
  <c r="BA56" i="50" s="1"/>
  <c r="O143" i="50"/>
  <c r="BA143" i="50" s="1"/>
  <c r="O37" i="50"/>
  <c r="BA37" i="50" s="1"/>
  <c r="Y37" i="50"/>
  <c r="BK37" i="50" s="1"/>
  <c r="Y147" i="50"/>
  <c r="BK147" i="50" s="1"/>
  <c r="Y50" i="50"/>
  <c r="BK50" i="50" s="1"/>
  <c r="Y138" i="50"/>
  <c r="BK138" i="50" s="1"/>
  <c r="Y40" i="50"/>
  <c r="BK40" i="50" s="1"/>
  <c r="O47" i="50"/>
  <c r="BA47" i="50" s="1"/>
  <c r="O50" i="50"/>
  <c r="BA50" i="50" s="1"/>
  <c r="Y43" i="50"/>
  <c r="BK43" i="50" s="1"/>
  <c r="Y142" i="50"/>
  <c r="BK142" i="50" s="1"/>
  <c r="Y53" i="50"/>
  <c r="BK53" i="50" s="1"/>
  <c r="Y48" i="50"/>
  <c r="BK48" i="50" s="1"/>
  <c r="O132" i="50"/>
  <c r="BA132" i="50" s="1"/>
  <c r="Y39" i="50"/>
  <c r="BK39" i="50" s="1"/>
  <c r="Y55" i="50"/>
  <c r="BK55" i="50" s="1"/>
  <c r="Y139" i="50"/>
  <c r="BK139" i="50" s="1"/>
  <c r="Y49" i="50"/>
  <c r="BK49" i="50" s="1"/>
  <c r="Y56" i="50"/>
  <c r="BK56" i="50" s="1"/>
  <c r="O145" i="50"/>
  <c r="BA145" i="50" s="1"/>
  <c r="Y144" i="50"/>
  <c r="BK144" i="50" s="1"/>
  <c r="Y148" i="50"/>
  <c r="BK148" i="50" s="1"/>
  <c r="Y136" i="50"/>
  <c r="BK136" i="50" s="1"/>
  <c r="Y145" i="50"/>
  <c r="BK145" i="50" s="1"/>
  <c r="Y59" i="50"/>
  <c r="BK59" i="50" s="1"/>
  <c r="K113" i="51"/>
  <c r="O43" i="84"/>
  <c r="O144" i="50"/>
  <c r="BA144" i="50" s="1"/>
  <c r="O135" i="50"/>
  <c r="BA135" i="50" s="1"/>
  <c r="O49" i="50"/>
  <c r="BA49" i="50" s="1"/>
  <c r="O42" i="50"/>
  <c r="BA42" i="50" s="1"/>
  <c r="O46" i="50"/>
  <c r="BA46" i="50" s="1"/>
  <c r="O58" i="50"/>
  <c r="BA58" i="50" s="1"/>
  <c r="O148" i="50"/>
  <c r="BA148" i="50" s="1"/>
  <c r="J40" i="50"/>
  <c r="F62" i="67"/>
  <c r="J113" i="51"/>
  <c r="G56" i="49"/>
  <c r="M56" i="49" s="1"/>
  <c r="AE282" i="50"/>
  <c r="BQ282" i="50" s="1"/>
  <c r="W132" i="50"/>
  <c r="W54" i="50"/>
  <c r="BI54" i="50" s="1"/>
  <c r="W133" i="50"/>
  <c r="BI133" i="50" s="1"/>
  <c r="W57" i="50"/>
  <c r="BI57" i="50" s="1"/>
  <c r="W55" i="50"/>
  <c r="BI55" i="50" s="1"/>
  <c r="W52" i="50"/>
  <c r="BI52" i="50" s="1"/>
  <c r="W144" i="50"/>
  <c r="BI144" i="50" s="1"/>
  <c r="W137" i="50"/>
  <c r="BI137" i="50" s="1"/>
  <c r="W150" i="50"/>
  <c r="BI150" i="50" s="1"/>
  <c r="W58" i="50"/>
  <c r="BI58" i="50" s="1"/>
  <c r="W136" i="50"/>
  <c r="BI136" i="50" s="1"/>
  <c r="W138" i="50"/>
  <c r="BI138" i="50" s="1"/>
  <c r="W40" i="50"/>
  <c r="BI40" i="50" s="1"/>
  <c r="W145" i="50"/>
  <c r="BI145" i="50" s="1"/>
  <c r="W139" i="50"/>
  <c r="BI139" i="50" s="1"/>
  <c r="W46" i="50"/>
  <c r="BI46" i="50" s="1"/>
  <c r="W134" i="50"/>
  <c r="BI134" i="50" s="1"/>
  <c r="W36" i="50"/>
  <c r="BI36" i="50" s="1"/>
  <c r="W42" i="50"/>
  <c r="BI42" i="50" s="1"/>
  <c r="W149" i="50"/>
  <c r="BI149" i="50" s="1"/>
  <c r="W51" i="50"/>
  <c r="BI51" i="50" s="1"/>
  <c r="W49" i="50"/>
  <c r="BI49" i="50" s="1"/>
  <c r="W56" i="50"/>
  <c r="BI56" i="50" s="1"/>
  <c r="W146" i="50"/>
  <c r="BI146" i="50" s="1"/>
  <c r="W141" i="50"/>
  <c r="BI141" i="50" s="1"/>
  <c r="W140" i="50"/>
  <c r="BI140" i="50" s="1"/>
  <c r="W59" i="50"/>
  <c r="BI59" i="50" s="1"/>
  <c r="W41" i="50"/>
  <c r="BI41" i="50" s="1"/>
  <c r="W39" i="50"/>
  <c r="W43" i="50"/>
  <c r="BI43" i="50" s="1"/>
  <c r="W135" i="50"/>
  <c r="BI135" i="50" s="1"/>
  <c r="W47" i="50"/>
  <c r="BI47" i="50" s="1"/>
  <c r="W143" i="50"/>
  <c r="BI143" i="50" s="1"/>
  <c r="W53" i="50"/>
  <c r="BI53" i="50" s="1"/>
  <c r="W142" i="50"/>
  <c r="BI142" i="50" s="1"/>
  <c r="W147" i="50"/>
  <c r="BI147" i="50" s="1"/>
  <c r="W48" i="50"/>
  <c r="BI48" i="50" s="1"/>
  <c r="W50" i="50"/>
  <c r="BI50" i="50" s="1"/>
  <c r="W148" i="50"/>
  <c r="BI148" i="50" s="1"/>
  <c r="W37" i="50"/>
  <c r="BI37" i="50" s="1"/>
  <c r="F39" i="50"/>
  <c r="F140" i="50"/>
  <c r="F132" i="50"/>
  <c r="F144" i="50"/>
  <c r="F36" i="50"/>
  <c r="F139" i="50"/>
  <c r="F56" i="50"/>
  <c r="F40" i="50"/>
  <c r="F135" i="50"/>
  <c r="F145" i="50"/>
  <c r="F48" i="50"/>
  <c r="F51" i="50"/>
  <c r="F47" i="50"/>
  <c r="F37" i="50"/>
  <c r="F142" i="50"/>
  <c r="F137" i="50"/>
  <c r="F141" i="50"/>
  <c r="F138" i="50"/>
  <c r="F54" i="50"/>
  <c r="F49" i="50"/>
  <c r="F146" i="50"/>
  <c r="F150" i="50"/>
  <c r="F113" i="51"/>
  <c r="F55" i="50"/>
  <c r="F136" i="50"/>
  <c r="F148" i="50"/>
  <c r="F52" i="50"/>
  <c r="F50" i="50"/>
  <c r="F46" i="50"/>
  <c r="F41" i="50"/>
  <c r="F43" i="50"/>
  <c r="F149" i="50"/>
  <c r="F134" i="50"/>
  <c r="F58" i="50"/>
  <c r="F143" i="50"/>
  <c r="F147" i="50"/>
  <c r="F133" i="50"/>
  <c r="F42" i="50"/>
  <c r="F53" i="50"/>
  <c r="F59" i="50"/>
  <c r="F57" i="50"/>
  <c r="BU60" i="50"/>
  <c r="C86" i="85" s="1"/>
  <c r="AI282" i="50"/>
  <c r="BU282" i="50" s="1"/>
  <c r="C86" i="67"/>
  <c r="D70" i="49"/>
  <c r="T141" i="50"/>
  <c r="T40" i="50"/>
  <c r="T148" i="50"/>
  <c r="T43" i="50"/>
  <c r="T136" i="50"/>
  <c r="T39" i="50"/>
  <c r="T135" i="50"/>
  <c r="T145" i="50"/>
  <c r="T48" i="50"/>
  <c r="T144" i="50"/>
  <c r="T37" i="50"/>
  <c r="T146" i="50"/>
  <c r="T52" i="50"/>
  <c r="T138" i="50"/>
  <c r="T57" i="50"/>
  <c r="T147" i="50"/>
  <c r="T143" i="50"/>
  <c r="T133" i="50"/>
  <c r="T137" i="50"/>
  <c r="T36" i="50"/>
  <c r="T54" i="50"/>
  <c r="T58" i="50"/>
  <c r="T47" i="50"/>
  <c r="T59" i="50"/>
  <c r="T51" i="50"/>
  <c r="T134" i="50"/>
  <c r="T149" i="50"/>
  <c r="T49" i="50"/>
  <c r="T42" i="50"/>
  <c r="T46" i="50"/>
  <c r="T132" i="50"/>
  <c r="T50" i="50"/>
  <c r="T41" i="50"/>
  <c r="T142" i="50"/>
  <c r="T56" i="50"/>
  <c r="T150" i="50"/>
  <c r="T139" i="50"/>
  <c r="T55" i="50"/>
  <c r="T140" i="50"/>
  <c r="T53" i="50"/>
  <c r="BW65" i="50"/>
  <c r="AL65" i="50"/>
  <c r="AN30" i="67"/>
  <c r="K55" i="49"/>
  <c r="AN30" i="85" s="1"/>
  <c r="J145" i="50"/>
  <c r="AV145" i="50" s="1"/>
  <c r="J150" i="50"/>
  <c r="AV150" i="50" s="1"/>
  <c r="J52" i="50"/>
  <c r="AV52" i="50" s="1"/>
  <c r="J147" i="50"/>
  <c r="AV147" i="50" s="1"/>
  <c r="J141" i="50"/>
  <c r="AV141" i="50" s="1"/>
  <c r="J136" i="50"/>
  <c r="AV136" i="50" s="1"/>
  <c r="J142" i="50"/>
  <c r="AV142" i="50" s="1"/>
  <c r="J132" i="50"/>
  <c r="J48" i="50"/>
  <c r="AV48" i="50" s="1"/>
  <c r="J36" i="50"/>
  <c r="AV36" i="50" s="1"/>
  <c r="J140" i="50"/>
  <c r="AV140" i="50" s="1"/>
  <c r="J50" i="50"/>
  <c r="AV50" i="50" s="1"/>
  <c r="J46" i="50"/>
  <c r="AV46" i="50" s="1"/>
  <c r="J148" i="50"/>
  <c r="AV148" i="50" s="1"/>
  <c r="J139" i="50"/>
  <c r="AV139" i="50" s="1"/>
  <c r="J59" i="50"/>
  <c r="AV59" i="50" s="1"/>
  <c r="J149" i="50"/>
  <c r="AV149" i="50" s="1"/>
  <c r="J57" i="50"/>
  <c r="AV57" i="50" s="1"/>
  <c r="J41" i="50"/>
  <c r="AV41" i="50" s="1"/>
  <c r="J53" i="50"/>
  <c r="AV53" i="50" s="1"/>
  <c r="J49" i="50"/>
  <c r="AV49" i="50" s="1"/>
  <c r="J144" i="50"/>
  <c r="AV144" i="50" s="1"/>
  <c r="J54" i="50"/>
  <c r="AV54" i="50" s="1"/>
  <c r="J143" i="50"/>
  <c r="AV143" i="50" s="1"/>
  <c r="J47" i="50"/>
  <c r="AV47" i="50" s="1"/>
  <c r="J137" i="50"/>
  <c r="AV137" i="50" s="1"/>
  <c r="J133" i="50"/>
  <c r="AV133" i="50" s="1"/>
  <c r="J37" i="50"/>
  <c r="AV37" i="50" s="1"/>
  <c r="J134" i="50"/>
  <c r="AV134" i="50" s="1"/>
  <c r="J138" i="50"/>
  <c r="AV138" i="50" s="1"/>
  <c r="J55" i="50"/>
  <c r="AV55" i="50" s="1"/>
  <c r="J39" i="50"/>
  <c r="AV39" i="50" s="1"/>
  <c r="J56" i="50"/>
  <c r="AV56" i="50" s="1"/>
  <c r="J43" i="50"/>
  <c r="AV43" i="50" s="1"/>
  <c r="J146" i="50"/>
  <c r="AV146" i="50" s="1"/>
  <c r="J135" i="50"/>
  <c r="AV135" i="50" s="1"/>
  <c r="J58" i="50"/>
  <c r="AV58" i="50" s="1"/>
  <c r="K37" i="50"/>
  <c r="AW37" i="50" s="1"/>
  <c r="K55" i="50"/>
  <c r="AW55" i="50" s="1"/>
  <c r="K144" i="50"/>
  <c r="AW144" i="50" s="1"/>
  <c r="K147" i="50"/>
  <c r="AW147" i="50" s="1"/>
  <c r="K59" i="50"/>
  <c r="AW59" i="50" s="1"/>
  <c r="K53" i="50"/>
  <c r="AW53" i="50" s="1"/>
  <c r="K138" i="50"/>
  <c r="AW138" i="50" s="1"/>
  <c r="K143" i="50"/>
  <c r="AW143" i="50" s="1"/>
  <c r="K54" i="50"/>
  <c r="AW54" i="50" s="1"/>
  <c r="K47" i="50"/>
  <c r="AW47" i="50" s="1"/>
  <c r="K48" i="50"/>
  <c r="AW48" i="50" s="1"/>
  <c r="K43" i="50"/>
  <c r="AW43" i="50" s="1"/>
  <c r="K57" i="50"/>
  <c r="AW57" i="50" s="1"/>
  <c r="K141" i="50"/>
  <c r="AW141" i="50" s="1"/>
  <c r="K150" i="50"/>
  <c r="AW150" i="50" s="1"/>
  <c r="K46" i="50"/>
  <c r="AW46" i="50" s="1"/>
  <c r="K36" i="50"/>
  <c r="AW36" i="50" s="1"/>
  <c r="K136" i="50"/>
  <c r="AW136" i="50" s="1"/>
  <c r="K140" i="50"/>
  <c r="AW140" i="50" s="1"/>
  <c r="K134" i="50"/>
  <c r="AW134" i="50" s="1"/>
  <c r="K146" i="50"/>
  <c r="AW146" i="50" s="1"/>
  <c r="K58" i="50"/>
  <c r="AW58" i="50" s="1"/>
  <c r="K50" i="50"/>
  <c r="AW50" i="50" s="1"/>
  <c r="K56" i="50"/>
  <c r="AW56" i="50" s="1"/>
  <c r="K49" i="50"/>
  <c r="AW49" i="50" s="1"/>
  <c r="K137" i="50"/>
  <c r="AW137" i="50" s="1"/>
  <c r="K149" i="50"/>
  <c r="AW149" i="50" s="1"/>
  <c r="K142" i="50"/>
  <c r="AW142" i="50" s="1"/>
  <c r="K135" i="50"/>
  <c r="AW135" i="50" s="1"/>
  <c r="K139" i="50"/>
  <c r="AW139" i="50" s="1"/>
  <c r="K132" i="50"/>
  <c r="K133" i="50"/>
  <c r="AW133" i="50" s="1"/>
  <c r="K145" i="50"/>
  <c r="AW145" i="50" s="1"/>
  <c r="K39" i="50"/>
  <c r="AW39" i="50" s="1"/>
  <c r="K52" i="50"/>
  <c r="AW52" i="50" s="1"/>
  <c r="K148" i="50"/>
  <c r="AW148" i="50" s="1"/>
  <c r="F55" i="49"/>
  <c r="L56" i="49"/>
  <c r="BX70" i="50"/>
  <c r="AL69" i="50"/>
  <c r="BX69" i="50" s="1"/>
  <c r="AM70" i="50"/>
  <c r="BX72" i="50"/>
  <c r="AM72" i="50"/>
  <c r="BY72" i="50" s="1"/>
  <c r="N144" i="50"/>
  <c r="AZ144" i="50" s="1"/>
  <c r="N136" i="50"/>
  <c r="AZ136" i="50" s="1"/>
  <c r="N133" i="50"/>
  <c r="AZ133" i="50" s="1"/>
  <c r="N137" i="50"/>
  <c r="AZ137" i="50" s="1"/>
  <c r="N51" i="50"/>
  <c r="AZ51" i="50" s="1"/>
  <c r="N46" i="50"/>
  <c r="AZ46" i="50" s="1"/>
  <c r="N36" i="50"/>
  <c r="AZ36" i="50" s="1"/>
  <c r="N147" i="50"/>
  <c r="AZ147" i="50" s="1"/>
  <c r="N135" i="50"/>
  <c r="AZ135" i="50" s="1"/>
  <c r="N54" i="50"/>
  <c r="AZ54" i="50" s="1"/>
  <c r="N139" i="50"/>
  <c r="AZ139" i="50" s="1"/>
  <c r="N43" i="50"/>
  <c r="AZ43" i="50" s="1"/>
  <c r="N55" i="50"/>
  <c r="AZ55" i="50" s="1"/>
  <c r="N146" i="50"/>
  <c r="AZ146" i="50" s="1"/>
  <c r="N138" i="50"/>
  <c r="AZ138" i="50" s="1"/>
  <c r="N57" i="50"/>
  <c r="AZ57" i="50" s="1"/>
  <c r="N56" i="50"/>
  <c r="AZ56" i="50" s="1"/>
  <c r="N47" i="50"/>
  <c r="AZ47" i="50" s="1"/>
  <c r="N145" i="50"/>
  <c r="AZ145" i="50" s="1"/>
  <c r="N41" i="50"/>
  <c r="AZ41" i="50" s="1"/>
  <c r="N149" i="50"/>
  <c r="AZ149" i="50" s="1"/>
  <c r="N40" i="50"/>
  <c r="AZ40" i="50" s="1"/>
  <c r="N150" i="50"/>
  <c r="AZ150" i="50" s="1"/>
  <c r="N50" i="50"/>
  <c r="AZ50" i="50" s="1"/>
  <c r="N37" i="50"/>
  <c r="AZ37" i="50" s="1"/>
  <c r="N143" i="50"/>
  <c r="AZ143" i="50" s="1"/>
  <c r="N48" i="50"/>
  <c r="AZ48" i="50" s="1"/>
  <c r="N148" i="50"/>
  <c r="AZ148" i="50" s="1"/>
  <c r="N59" i="50"/>
  <c r="AZ59" i="50" s="1"/>
  <c r="N52" i="50"/>
  <c r="AZ52" i="50" s="1"/>
  <c r="N134" i="50"/>
  <c r="AZ134" i="50" s="1"/>
  <c r="N49" i="50"/>
  <c r="AZ49" i="50" s="1"/>
  <c r="N140" i="50"/>
  <c r="AZ140" i="50" s="1"/>
  <c r="N42" i="50"/>
  <c r="AZ42" i="50" s="1"/>
  <c r="N53" i="50"/>
  <c r="AZ53" i="50" s="1"/>
  <c r="N132" i="50"/>
  <c r="N58" i="50"/>
  <c r="AZ58" i="50" s="1"/>
  <c r="N39" i="50"/>
  <c r="N141" i="50"/>
  <c r="AZ141" i="50" s="1"/>
  <c r="N142" i="50"/>
  <c r="AZ142" i="50" s="1"/>
  <c r="BV60" i="50"/>
  <c r="D86" i="85" s="1"/>
  <c r="AJ282" i="50"/>
  <c r="BV282" i="50" s="1"/>
  <c r="E70" i="49"/>
  <c r="D86" i="67"/>
  <c r="AM66" i="50"/>
  <c r="BY66" i="50" s="1"/>
  <c r="BX66" i="50"/>
  <c r="AM67" i="50"/>
  <c r="BY67" i="50" s="1"/>
  <c r="BX67" i="50"/>
  <c r="V136" i="50"/>
  <c r="BH136" i="50" s="1"/>
  <c r="V144" i="50"/>
  <c r="BH144" i="50" s="1"/>
  <c r="V143" i="50"/>
  <c r="BH143" i="50" s="1"/>
  <c r="V50" i="50"/>
  <c r="BH50" i="50" s="1"/>
  <c r="V132" i="50"/>
  <c r="V137" i="50"/>
  <c r="BH137" i="50" s="1"/>
  <c r="V43" i="50"/>
  <c r="BH43" i="50" s="1"/>
  <c r="V36" i="50"/>
  <c r="BH36" i="50" s="1"/>
  <c r="V148" i="50"/>
  <c r="BH148" i="50" s="1"/>
  <c r="V51" i="50"/>
  <c r="BH51" i="50" s="1"/>
  <c r="V145" i="50"/>
  <c r="BH145" i="50" s="1"/>
  <c r="V53" i="50"/>
  <c r="BH53" i="50" s="1"/>
  <c r="V140" i="50"/>
  <c r="BH140" i="50" s="1"/>
  <c r="V150" i="50"/>
  <c r="BH150" i="50" s="1"/>
  <c r="V135" i="50"/>
  <c r="BH135" i="50" s="1"/>
  <c r="V56" i="50"/>
  <c r="BH56" i="50" s="1"/>
  <c r="V40" i="50"/>
  <c r="BH40" i="50" s="1"/>
  <c r="V39" i="50"/>
  <c r="V58" i="50"/>
  <c r="BH58" i="50" s="1"/>
  <c r="V142" i="50"/>
  <c r="BH142" i="50" s="1"/>
  <c r="V41" i="50"/>
  <c r="BH41" i="50" s="1"/>
  <c r="V149" i="50"/>
  <c r="BH149" i="50" s="1"/>
  <c r="V57" i="50"/>
  <c r="BH57" i="50" s="1"/>
  <c r="V138" i="50"/>
  <c r="BH138" i="50" s="1"/>
  <c r="V133" i="50"/>
  <c r="BH133" i="50" s="1"/>
  <c r="V147" i="50"/>
  <c r="BH147" i="50" s="1"/>
  <c r="V49" i="50"/>
  <c r="BH49" i="50" s="1"/>
  <c r="V46" i="50"/>
  <c r="BH46" i="50" s="1"/>
  <c r="V139" i="50"/>
  <c r="BH139" i="50" s="1"/>
  <c r="V47" i="50"/>
  <c r="BH47" i="50" s="1"/>
  <c r="V59" i="50"/>
  <c r="BH59" i="50" s="1"/>
  <c r="V37" i="50"/>
  <c r="BH37" i="50" s="1"/>
  <c r="V55" i="50"/>
  <c r="BH55" i="50" s="1"/>
  <c r="V141" i="50"/>
  <c r="BH141" i="50" s="1"/>
  <c r="V48" i="50"/>
  <c r="BH48" i="50" s="1"/>
  <c r="V146" i="50"/>
  <c r="BH146" i="50" s="1"/>
  <c r="V134" i="50"/>
  <c r="BH134" i="50" s="1"/>
  <c r="V54" i="50"/>
  <c r="BH54" i="50" s="1"/>
  <c r="V52" i="50"/>
  <c r="BH52" i="50" s="1"/>
  <c r="V42" i="50"/>
  <c r="BH42" i="50" s="1"/>
  <c r="AK63" i="50"/>
  <c r="M136" i="50"/>
  <c r="M143" i="50"/>
  <c r="M42" i="50"/>
  <c r="M52" i="50"/>
  <c r="M139" i="50"/>
  <c r="M53" i="50"/>
  <c r="M137" i="50"/>
  <c r="M134" i="50"/>
  <c r="M59" i="50"/>
  <c r="M48" i="50"/>
  <c r="M51" i="50"/>
  <c r="M132" i="50"/>
  <c r="M46" i="50"/>
  <c r="M58" i="50"/>
  <c r="M47" i="50"/>
  <c r="M40" i="50"/>
  <c r="M149" i="50"/>
  <c r="M56" i="50"/>
  <c r="M54" i="50"/>
  <c r="M140" i="50"/>
  <c r="M138" i="50"/>
  <c r="M135" i="50"/>
  <c r="M144" i="50"/>
  <c r="M39" i="50"/>
  <c r="M146" i="50"/>
  <c r="M142" i="50"/>
  <c r="M37" i="50"/>
  <c r="M41" i="50"/>
  <c r="M55" i="50"/>
  <c r="M43" i="50"/>
  <c r="M50" i="50"/>
  <c r="M147" i="50"/>
  <c r="M57" i="50"/>
  <c r="M36" i="50"/>
  <c r="M150" i="50"/>
  <c r="M133" i="50"/>
  <c r="M145" i="50"/>
  <c r="M141" i="50"/>
  <c r="M49" i="50"/>
  <c r="M148" i="50"/>
  <c r="BX71" i="50"/>
  <c r="AM71" i="50"/>
  <c r="BY71" i="50" s="1"/>
  <c r="C69" i="49"/>
  <c r="I70" i="49"/>
  <c r="AS132" i="50"/>
  <c r="AS138" i="50"/>
  <c r="AS150" i="50"/>
  <c r="BG55" i="50"/>
  <c r="AS146" i="50"/>
  <c r="BG48" i="50"/>
  <c r="BG135" i="50"/>
  <c r="F68" i="67"/>
  <c r="BQ171" i="50"/>
  <c r="F68" i="85" s="1"/>
  <c r="AS46" i="50"/>
  <c r="BB70" i="62"/>
  <c r="K41" i="50"/>
  <c r="AW41" i="50" s="1"/>
  <c r="AS149" i="50"/>
  <c r="BG150" i="50"/>
  <c r="G91" i="67"/>
  <c r="BY151" i="50"/>
  <c r="G91" i="85" s="1"/>
  <c r="BB78" i="62"/>
  <c r="K42" i="50"/>
  <c r="AW42" i="50" s="1"/>
  <c r="G67" i="67"/>
  <c r="BR151" i="50"/>
  <c r="G67" i="85" s="1"/>
  <c r="AS56" i="50"/>
  <c r="BG46" i="50"/>
  <c r="BG52" i="50"/>
  <c r="AS141" i="50"/>
  <c r="BG54" i="50"/>
  <c r="AS136" i="50"/>
  <c r="AS59" i="50"/>
  <c r="BG146" i="50"/>
  <c r="AS52" i="50"/>
  <c r="AS137" i="50"/>
  <c r="BG132" i="50"/>
  <c r="AS134" i="50"/>
  <c r="AS40" i="50"/>
  <c r="AS49" i="50"/>
  <c r="BG49" i="50"/>
  <c r="AS135" i="50"/>
  <c r="AS144" i="50"/>
  <c r="BG145" i="50"/>
  <c r="AS50" i="50"/>
  <c r="BG141" i="50"/>
  <c r="AS57" i="50"/>
  <c r="AS140" i="50"/>
  <c r="AS51" i="50"/>
  <c r="BG143" i="50"/>
  <c r="AS142" i="50"/>
  <c r="AS48" i="50"/>
  <c r="AS47" i="50"/>
  <c r="BG137" i="50"/>
  <c r="BG56" i="50"/>
  <c r="AF60" i="50"/>
  <c r="BR69" i="50"/>
  <c r="AS148" i="50"/>
  <c r="BG58" i="50"/>
  <c r="AS39" i="50"/>
  <c r="AS42" i="50"/>
  <c r="AS143" i="50"/>
  <c r="BG43" i="50"/>
  <c r="BG142" i="50"/>
  <c r="AF171" i="50"/>
  <c r="BR173" i="50"/>
  <c r="AS139" i="50"/>
  <c r="AS55" i="50"/>
  <c r="BG144" i="50"/>
  <c r="AS58" i="50"/>
  <c r="BG47" i="50"/>
  <c r="AS133" i="50"/>
  <c r="AS53" i="50"/>
  <c r="BG50" i="50"/>
  <c r="BG42" i="50"/>
  <c r="P42" i="79"/>
  <c r="P20" i="79"/>
  <c r="P21" i="79"/>
  <c r="O42" i="79"/>
  <c r="O43" i="79"/>
  <c r="J60" i="62"/>
  <c r="BA60" i="62" s="1"/>
  <c r="K99" i="62"/>
  <c r="BB99" i="62" s="1"/>
  <c r="K51" i="50"/>
  <c r="AW51" i="50" s="1"/>
  <c r="K67" i="62"/>
  <c r="BB67" i="62" s="1"/>
  <c r="K40" i="50"/>
  <c r="G55" i="49"/>
  <c r="G36" i="58"/>
  <c r="H36" i="58"/>
  <c r="I36" i="58"/>
  <c r="J36" i="58"/>
  <c r="K36" i="58"/>
  <c r="D36" i="58"/>
  <c r="D34" i="58"/>
  <c r="AS41" i="50" l="1"/>
  <c r="G131" i="50"/>
  <c r="AS131" i="50" s="1"/>
  <c r="C12" i="85" s="1"/>
  <c r="I38" i="50"/>
  <c r="AU38" i="50" s="1"/>
  <c r="U131" i="50"/>
  <c r="BG131" i="50" s="1"/>
  <c r="C48" i="85" s="1"/>
  <c r="U38" i="50"/>
  <c r="BG38" i="50" s="1"/>
  <c r="P38" i="50"/>
  <c r="BB38" i="50" s="1"/>
  <c r="Q38" i="50"/>
  <c r="BC38" i="50" s="1"/>
  <c r="R38" i="50"/>
  <c r="BD38" i="50" s="1"/>
  <c r="P131" i="50"/>
  <c r="E30" i="67" s="1"/>
  <c r="R131" i="50"/>
  <c r="G30" i="67" s="1"/>
  <c r="Q131" i="50"/>
  <c r="Q28" i="7" s="1"/>
  <c r="BN28" i="7" s="1"/>
  <c r="Y38" i="50"/>
  <c r="BK38" i="50" s="1"/>
  <c r="I131" i="50"/>
  <c r="AU131" i="50" s="1"/>
  <c r="E12" i="85" s="1"/>
  <c r="X38" i="50"/>
  <c r="BJ38" i="50" s="1"/>
  <c r="X131" i="50"/>
  <c r="BJ131" i="50" s="1"/>
  <c r="F48" i="85" s="1"/>
  <c r="H38" i="50"/>
  <c r="AT38" i="50" s="1"/>
  <c r="H131" i="50"/>
  <c r="G28" i="7" s="1"/>
  <c r="BD28" i="7" s="1"/>
  <c r="Y131" i="50"/>
  <c r="X57" i="53" s="1"/>
  <c r="CC57" i="53" s="1"/>
  <c r="Y51" i="85" s="1"/>
  <c r="O38" i="50"/>
  <c r="BA38" i="50" s="1"/>
  <c r="O131" i="50"/>
  <c r="O28" i="7" s="1"/>
  <c r="BL28" i="7" s="1"/>
  <c r="J38" i="50"/>
  <c r="AV38" i="50" s="1"/>
  <c r="AV40" i="50"/>
  <c r="BI132" i="50"/>
  <c r="W131" i="50"/>
  <c r="BI39" i="50"/>
  <c r="W38" i="50"/>
  <c r="BI38" i="50" s="1"/>
  <c r="T62" i="50"/>
  <c r="BF37" i="50"/>
  <c r="T168" i="50"/>
  <c r="BF148" i="50"/>
  <c r="F84" i="50"/>
  <c r="AR59" i="50"/>
  <c r="F169" i="50"/>
  <c r="AR149" i="50"/>
  <c r="F80" i="50"/>
  <c r="AR55" i="50"/>
  <c r="F157" i="50"/>
  <c r="AR137" i="50"/>
  <c r="F65" i="50"/>
  <c r="AR40" i="50"/>
  <c r="M68" i="50"/>
  <c r="AY43" i="50"/>
  <c r="T157" i="50"/>
  <c r="BF137" i="50"/>
  <c r="AY145" i="50"/>
  <c r="M165" i="50"/>
  <c r="M80" i="50"/>
  <c r="AY55" i="50"/>
  <c r="M158" i="50"/>
  <c r="AY138" i="50"/>
  <c r="M71" i="50"/>
  <c r="AY46" i="50"/>
  <c r="M159" i="50"/>
  <c r="AY139" i="50"/>
  <c r="AZ39" i="50"/>
  <c r="N38" i="50"/>
  <c r="AZ38" i="50" s="1"/>
  <c r="AM69" i="50"/>
  <c r="BY69" i="50" s="1"/>
  <c r="BY70" i="50"/>
  <c r="BX65" i="50"/>
  <c r="AM65" i="50"/>
  <c r="AL63" i="50"/>
  <c r="T162" i="50"/>
  <c r="BF142" i="50"/>
  <c r="T154" i="50"/>
  <c r="BF134" i="50"/>
  <c r="BF133" i="50"/>
  <c r="T153" i="50"/>
  <c r="T164" i="50"/>
  <c r="BF144" i="50"/>
  <c r="T65" i="50"/>
  <c r="BF40" i="50"/>
  <c r="F78" i="50"/>
  <c r="AR53" i="50"/>
  <c r="F68" i="50"/>
  <c r="AR43" i="50"/>
  <c r="F162" i="50"/>
  <c r="AR142" i="50"/>
  <c r="AR56" i="50"/>
  <c r="F81" i="50"/>
  <c r="M83" i="50"/>
  <c r="AY58" i="50"/>
  <c r="BF56" i="50"/>
  <c r="T81" i="50"/>
  <c r="AP30" i="67"/>
  <c r="M55" i="49"/>
  <c r="AP30" i="85" s="1"/>
  <c r="AY140" i="50"/>
  <c r="M160" i="50"/>
  <c r="M152" i="50"/>
  <c r="AY132" i="50"/>
  <c r="M131" i="50"/>
  <c r="AY131" i="50" s="1"/>
  <c r="M77" i="50"/>
  <c r="AY52" i="50"/>
  <c r="BH132" i="50"/>
  <c r="V131" i="50"/>
  <c r="T66" i="50"/>
  <c r="BF41" i="50"/>
  <c r="BF51" i="50"/>
  <c r="T76" i="50"/>
  <c r="T163" i="50"/>
  <c r="BF143" i="50"/>
  <c r="T73" i="50"/>
  <c r="BF48" i="50"/>
  <c r="T161" i="50"/>
  <c r="BF141" i="50"/>
  <c r="F67" i="50"/>
  <c r="AR42" i="50"/>
  <c r="AR41" i="50"/>
  <c r="F66" i="50"/>
  <c r="F170" i="50"/>
  <c r="AR150" i="50"/>
  <c r="F62" i="50"/>
  <c r="AR37" i="50"/>
  <c r="F159" i="50"/>
  <c r="AR139" i="50"/>
  <c r="T169" i="50"/>
  <c r="BF149" i="50"/>
  <c r="M62" i="50"/>
  <c r="AY37" i="50"/>
  <c r="M76" i="50"/>
  <c r="AY51" i="50"/>
  <c r="AZ132" i="50"/>
  <c r="N131" i="50"/>
  <c r="AW132" i="50"/>
  <c r="K131" i="50"/>
  <c r="BF53" i="50"/>
  <c r="T78" i="50"/>
  <c r="T75" i="50"/>
  <c r="BF50" i="50"/>
  <c r="T84" i="50"/>
  <c r="BF59" i="50"/>
  <c r="T167" i="50"/>
  <c r="BF147" i="50"/>
  <c r="T165" i="50"/>
  <c r="BF145" i="50"/>
  <c r="J70" i="49"/>
  <c r="D69" i="49"/>
  <c r="F153" i="50"/>
  <c r="AR133" i="50"/>
  <c r="F71" i="50"/>
  <c r="AR46" i="50"/>
  <c r="AR146" i="50"/>
  <c r="F166" i="50"/>
  <c r="F72" i="50"/>
  <c r="AR47" i="50"/>
  <c r="AR36" i="50"/>
  <c r="F61" i="50"/>
  <c r="M155" i="50"/>
  <c r="AY135" i="50"/>
  <c r="AY41" i="50"/>
  <c r="M66" i="50"/>
  <c r="AL38" i="67"/>
  <c r="I69" i="49"/>
  <c r="AL38" i="85" s="1"/>
  <c r="AY150" i="50"/>
  <c r="M170" i="50"/>
  <c r="M79" i="50"/>
  <c r="AY54" i="50"/>
  <c r="M67" i="50"/>
  <c r="AY42" i="50"/>
  <c r="M61" i="50"/>
  <c r="AY36" i="50"/>
  <c r="M162" i="50"/>
  <c r="AY142" i="50"/>
  <c r="M81" i="50"/>
  <c r="AY56" i="50"/>
  <c r="AY48" i="50"/>
  <c r="M73" i="50"/>
  <c r="M163" i="50"/>
  <c r="AY143" i="50"/>
  <c r="E69" i="49"/>
  <c r="K70" i="49"/>
  <c r="T160" i="50"/>
  <c r="BF140" i="50"/>
  <c r="T152" i="50"/>
  <c r="BF132" i="50"/>
  <c r="T131" i="50"/>
  <c r="BF131" i="50" s="1"/>
  <c r="BF47" i="50"/>
  <c r="T72" i="50"/>
  <c r="T82" i="50"/>
  <c r="BF57" i="50"/>
  <c r="T155" i="50"/>
  <c r="BF135" i="50"/>
  <c r="F167" i="50"/>
  <c r="AR147" i="50"/>
  <c r="AR50" i="50"/>
  <c r="F75" i="50"/>
  <c r="F74" i="50"/>
  <c r="AR49" i="50"/>
  <c r="F76" i="50"/>
  <c r="AR51" i="50"/>
  <c r="F164" i="50"/>
  <c r="AR144" i="50"/>
  <c r="M153" i="50"/>
  <c r="AY133" i="50"/>
  <c r="M82" i="50"/>
  <c r="AY57" i="50"/>
  <c r="M166" i="50"/>
  <c r="AY146" i="50"/>
  <c r="M169" i="50"/>
  <c r="AY149" i="50"/>
  <c r="M84" i="50"/>
  <c r="AY59" i="50"/>
  <c r="AY136" i="50"/>
  <c r="M156" i="50"/>
  <c r="BH39" i="50"/>
  <c r="V38" i="50"/>
  <c r="BH38" i="50" s="1"/>
  <c r="AO30" i="67"/>
  <c r="L55" i="49"/>
  <c r="AO30" i="85" s="1"/>
  <c r="T80" i="50"/>
  <c r="BF55" i="50"/>
  <c r="T71" i="50"/>
  <c r="BF46" i="50"/>
  <c r="T83" i="50"/>
  <c r="BF58" i="50"/>
  <c r="T158" i="50"/>
  <c r="BF138" i="50"/>
  <c r="T64" i="50"/>
  <c r="BF39" i="50"/>
  <c r="T38" i="50"/>
  <c r="BF38" i="50" s="1"/>
  <c r="F163" i="50"/>
  <c r="AR143" i="50"/>
  <c r="F77" i="50"/>
  <c r="AR52" i="50"/>
  <c r="F79" i="50"/>
  <c r="AR54" i="50"/>
  <c r="F73" i="50"/>
  <c r="AR48" i="50"/>
  <c r="F131" i="50"/>
  <c r="AR131" i="50" s="1"/>
  <c r="F152" i="50"/>
  <c r="AR132" i="50"/>
  <c r="M78" i="50"/>
  <c r="AY53" i="50"/>
  <c r="M168" i="50"/>
  <c r="AY148" i="50"/>
  <c r="M167" i="50"/>
  <c r="AY147" i="50"/>
  <c r="AY39" i="50"/>
  <c r="M38" i="50"/>
  <c r="AY38" i="50" s="1"/>
  <c r="M64" i="50"/>
  <c r="M65" i="50"/>
  <c r="AY40" i="50"/>
  <c r="M154" i="50"/>
  <c r="AY134" i="50"/>
  <c r="BW63" i="50"/>
  <c r="AK60" i="50"/>
  <c r="T159" i="50"/>
  <c r="BF139" i="50"/>
  <c r="T67" i="50"/>
  <c r="BF42" i="50"/>
  <c r="T79" i="50"/>
  <c r="BF54" i="50"/>
  <c r="T77" i="50"/>
  <c r="BF52" i="50"/>
  <c r="BF136" i="50"/>
  <c r="T156" i="50"/>
  <c r="F83" i="50"/>
  <c r="AR58" i="50"/>
  <c r="F168" i="50"/>
  <c r="AR148" i="50"/>
  <c r="F158" i="50"/>
  <c r="AR138" i="50"/>
  <c r="F165" i="50"/>
  <c r="AR145" i="50"/>
  <c r="F160" i="50"/>
  <c r="AR140" i="50"/>
  <c r="M161" i="50"/>
  <c r="AY141" i="50"/>
  <c r="M74" i="50"/>
  <c r="AY49" i="50"/>
  <c r="M75" i="50"/>
  <c r="AY50" i="50"/>
  <c r="M164" i="50"/>
  <c r="AY144" i="50"/>
  <c r="M72" i="50"/>
  <c r="AY47" i="50"/>
  <c r="M157" i="50"/>
  <c r="AY137" i="50"/>
  <c r="AV132" i="50"/>
  <c r="J131" i="50"/>
  <c r="T170" i="50"/>
  <c r="BF150" i="50"/>
  <c r="BF49" i="50"/>
  <c r="T74" i="50"/>
  <c r="T61" i="50"/>
  <c r="BF36" i="50"/>
  <c r="T166" i="50"/>
  <c r="BF146" i="50"/>
  <c r="T68" i="50"/>
  <c r="BF43" i="50"/>
  <c r="F82" i="50"/>
  <c r="AR57" i="50"/>
  <c r="F154" i="50"/>
  <c r="AR134" i="50"/>
  <c r="F156" i="50"/>
  <c r="AR136" i="50"/>
  <c r="F161" i="50"/>
  <c r="AR141" i="50"/>
  <c r="AR135" i="50"/>
  <c r="F155" i="50"/>
  <c r="F64" i="50"/>
  <c r="AR39" i="50"/>
  <c r="F38" i="50"/>
  <c r="AR38" i="50" s="1"/>
  <c r="G62" i="67"/>
  <c r="BR60" i="50"/>
  <c r="G62" i="85" s="1"/>
  <c r="AF282" i="50"/>
  <c r="BR282" i="50" s="1"/>
  <c r="G68" i="67"/>
  <c r="BR171" i="50"/>
  <c r="G68" i="85" s="1"/>
  <c r="K38" i="50"/>
  <c r="AW38" i="50" s="1"/>
  <c r="AW40" i="50"/>
  <c r="V28" i="7"/>
  <c r="BS28" i="7" s="1"/>
  <c r="C48" i="67"/>
  <c r="K60" i="62"/>
  <c r="BB60" i="62" s="1"/>
  <c r="C32" i="5"/>
  <c r="C12" i="67" l="1"/>
  <c r="F28" i="7"/>
  <c r="BC28" i="7" s="1"/>
  <c r="BB131" i="50"/>
  <c r="E30" i="85" s="1"/>
  <c r="P28" i="7"/>
  <c r="BM28" i="7" s="1"/>
  <c r="BD131" i="50"/>
  <c r="G30" i="85" s="1"/>
  <c r="F30" i="67"/>
  <c r="E12" i="67"/>
  <c r="H28" i="7"/>
  <c r="BE28" i="7" s="1"/>
  <c r="BC131" i="50"/>
  <c r="F30" i="85" s="1"/>
  <c r="R28" i="7"/>
  <c r="BO28" i="7" s="1"/>
  <c r="F48" i="67"/>
  <c r="Y28" i="7"/>
  <c r="BV28" i="7" s="1"/>
  <c r="BK131" i="50"/>
  <c r="G48" i="85" s="1"/>
  <c r="Z28" i="7"/>
  <c r="BW28" i="7" s="1"/>
  <c r="AT131" i="50"/>
  <c r="D12" i="85" s="1"/>
  <c r="D12" i="67"/>
  <c r="BA131" i="50"/>
  <c r="D30" i="85" s="1"/>
  <c r="G48" i="67"/>
  <c r="D30" i="67"/>
  <c r="BI131" i="50"/>
  <c r="E48" i="85" s="1"/>
  <c r="X28" i="7"/>
  <c r="BU28" i="7" s="1"/>
  <c r="E48" i="67"/>
  <c r="BF74" i="50"/>
  <c r="U74" i="50"/>
  <c r="AY82" i="50"/>
  <c r="N82" i="50"/>
  <c r="BF82" i="50"/>
  <c r="U82" i="50"/>
  <c r="AR61" i="50"/>
  <c r="G61" i="50"/>
  <c r="AZ131" i="50"/>
  <c r="C30" i="85" s="1"/>
  <c r="C108" i="85" s="1"/>
  <c r="C30" i="67"/>
  <c r="C108" i="67" s="1"/>
  <c r="N28" i="7"/>
  <c r="BK28" i="7" s="1"/>
  <c r="BF76" i="50"/>
  <c r="U76" i="50"/>
  <c r="AR82" i="50"/>
  <c r="G82" i="50"/>
  <c r="AY72" i="50"/>
  <c r="N72" i="50"/>
  <c r="AY161" i="50"/>
  <c r="N161" i="50"/>
  <c r="AR168" i="50"/>
  <c r="G168" i="50"/>
  <c r="BF79" i="50"/>
  <c r="U79" i="50"/>
  <c r="AY154" i="50"/>
  <c r="N154" i="50"/>
  <c r="AR73" i="50"/>
  <c r="G73" i="50"/>
  <c r="AR75" i="50"/>
  <c r="G75" i="50"/>
  <c r="BF72" i="50"/>
  <c r="U72" i="50"/>
  <c r="AN38" i="67"/>
  <c r="K69" i="49"/>
  <c r="AN38" i="85" s="1"/>
  <c r="AY162" i="50"/>
  <c r="N162" i="50"/>
  <c r="AR153" i="50"/>
  <c r="G153" i="50"/>
  <c r="BF84" i="50"/>
  <c r="U84" i="50"/>
  <c r="AR159" i="50"/>
  <c r="G159" i="50"/>
  <c r="AR67" i="50"/>
  <c r="G67" i="50"/>
  <c r="AY158" i="50"/>
  <c r="N158" i="50"/>
  <c r="AY68" i="50"/>
  <c r="N68" i="50"/>
  <c r="AR169" i="50"/>
  <c r="G169" i="50"/>
  <c r="AR68" i="50"/>
  <c r="G68" i="50"/>
  <c r="AY168" i="50"/>
  <c r="N168" i="50"/>
  <c r="BF64" i="50"/>
  <c r="T63" i="50"/>
  <c r="BF63" i="50" s="1"/>
  <c r="U64" i="50"/>
  <c r="BF80" i="50"/>
  <c r="U80" i="50"/>
  <c r="AY84" i="50"/>
  <c r="N84" i="50"/>
  <c r="AY153" i="50"/>
  <c r="N153" i="50"/>
  <c r="AM38" i="67"/>
  <c r="J69" i="49"/>
  <c r="AM38" i="85" s="1"/>
  <c r="AY152" i="50"/>
  <c r="N152" i="50"/>
  <c r="M151" i="50"/>
  <c r="AY151" i="50" s="1"/>
  <c r="AY83" i="50"/>
  <c r="N83" i="50"/>
  <c r="AR78" i="50"/>
  <c r="G78" i="50"/>
  <c r="BF154" i="50"/>
  <c r="U154" i="50"/>
  <c r="AY167" i="50"/>
  <c r="N167" i="50"/>
  <c r="AR161" i="50"/>
  <c r="G161" i="50"/>
  <c r="BF68" i="50"/>
  <c r="U68" i="50"/>
  <c r="BF170" i="50"/>
  <c r="U170" i="50"/>
  <c r="AY164" i="50"/>
  <c r="N164" i="50"/>
  <c r="AR160" i="50"/>
  <c r="G160" i="50"/>
  <c r="AR83" i="50"/>
  <c r="G83" i="50"/>
  <c r="BF67" i="50"/>
  <c r="U67" i="50"/>
  <c r="AY65" i="50"/>
  <c r="N65" i="50"/>
  <c r="AR79" i="50"/>
  <c r="G79" i="50"/>
  <c r="AY163" i="50"/>
  <c r="N163" i="50"/>
  <c r="AY61" i="50"/>
  <c r="N61" i="50"/>
  <c r="AR72" i="50"/>
  <c r="G72" i="50"/>
  <c r="BF75" i="50"/>
  <c r="U75" i="50"/>
  <c r="AY76" i="50"/>
  <c r="N76" i="50"/>
  <c r="AR62" i="50"/>
  <c r="G62" i="50"/>
  <c r="BF161" i="50"/>
  <c r="U161" i="50"/>
  <c r="BF66" i="50"/>
  <c r="U66" i="50"/>
  <c r="AY160" i="50"/>
  <c r="N160" i="50"/>
  <c r="AR81" i="50"/>
  <c r="G81" i="50"/>
  <c r="AY80" i="50"/>
  <c r="N80" i="50"/>
  <c r="AR65" i="50"/>
  <c r="G65" i="50"/>
  <c r="AR84" i="50"/>
  <c r="G84" i="50"/>
  <c r="BF71" i="50"/>
  <c r="U71" i="50"/>
  <c r="AV131" i="50"/>
  <c r="F12" i="85" s="1"/>
  <c r="I28" i="7"/>
  <c r="BF28" i="7" s="1"/>
  <c r="F12" i="67"/>
  <c r="BF156" i="50"/>
  <c r="U156" i="50"/>
  <c r="N64" i="50"/>
  <c r="AY64" i="50"/>
  <c r="M63" i="50"/>
  <c r="AY63" i="50" s="1"/>
  <c r="AY78" i="50"/>
  <c r="N78" i="50"/>
  <c r="BF158" i="50"/>
  <c r="U158" i="50"/>
  <c r="AY169" i="50"/>
  <c r="N169" i="50"/>
  <c r="AR164" i="50"/>
  <c r="G164" i="50"/>
  <c r="AR167" i="50"/>
  <c r="G167" i="50"/>
  <c r="AY73" i="50"/>
  <c r="N73" i="50"/>
  <c r="AY66" i="50"/>
  <c r="N66" i="50"/>
  <c r="AR166" i="50"/>
  <c r="G166" i="50"/>
  <c r="BF78" i="50"/>
  <c r="U78" i="50"/>
  <c r="BH131" i="50"/>
  <c r="D48" i="85" s="1"/>
  <c r="W28" i="7"/>
  <c r="BT28" i="7" s="1"/>
  <c r="D48" i="67"/>
  <c r="BF65" i="50"/>
  <c r="U65" i="50"/>
  <c r="BF162" i="50"/>
  <c r="U162" i="50"/>
  <c r="AY165" i="50"/>
  <c r="N165" i="50"/>
  <c r="AR155" i="50"/>
  <c r="G155" i="50"/>
  <c r="AR74" i="50"/>
  <c r="G74" i="50"/>
  <c r="AY170" i="50"/>
  <c r="N170" i="50"/>
  <c r="AR156" i="50"/>
  <c r="G156" i="50"/>
  <c r="BF166" i="50"/>
  <c r="U166" i="50"/>
  <c r="AY75" i="50"/>
  <c r="N75" i="50"/>
  <c r="AR165" i="50"/>
  <c r="G165" i="50"/>
  <c r="BF159" i="50"/>
  <c r="U159" i="50"/>
  <c r="AR77" i="50"/>
  <c r="G77" i="50"/>
  <c r="BF152" i="50"/>
  <c r="U152" i="50"/>
  <c r="T151" i="50"/>
  <c r="BF151" i="50" s="1"/>
  <c r="AY67" i="50"/>
  <c r="N67" i="50"/>
  <c r="BF165" i="50"/>
  <c r="U165" i="50"/>
  <c r="AY62" i="50"/>
  <c r="N62" i="50"/>
  <c r="AR170" i="50"/>
  <c r="G170" i="50"/>
  <c r="BF73" i="50"/>
  <c r="U73" i="50"/>
  <c r="BX63" i="50"/>
  <c r="AL60" i="50"/>
  <c r="AY159" i="50"/>
  <c r="N159" i="50"/>
  <c r="AR157" i="50"/>
  <c r="G157" i="50"/>
  <c r="BF168" i="50"/>
  <c r="U168" i="50"/>
  <c r="BW60" i="50"/>
  <c r="E86" i="85" s="1"/>
  <c r="AK282" i="50"/>
  <c r="BW282" i="50" s="1"/>
  <c r="F70" i="49"/>
  <c r="E86" i="67"/>
  <c r="AR152" i="50"/>
  <c r="F151" i="50"/>
  <c r="AR151" i="50" s="1"/>
  <c r="G152" i="50"/>
  <c r="BF83" i="50"/>
  <c r="U83" i="50"/>
  <c r="AY166" i="50"/>
  <c r="N166" i="50"/>
  <c r="AR76" i="50"/>
  <c r="G76" i="50"/>
  <c r="BF155" i="50"/>
  <c r="U155" i="50"/>
  <c r="AW131" i="50"/>
  <c r="G12" i="85" s="1"/>
  <c r="J28" i="7"/>
  <c r="BG28" i="7" s="1"/>
  <c r="G12" i="67"/>
  <c r="AR66" i="50"/>
  <c r="G66" i="50"/>
  <c r="AR162" i="50"/>
  <c r="G162" i="50"/>
  <c r="BF164" i="50"/>
  <c r="U164" i="50"/>
  <c r="BY65" i="50"/>
  <c r="AM63" i="50"/>
  <c r="AR64" i="50"/>
  <c r="F63" i="50"/>
  <c r="AR63" i="50" s="1"/>
  <c r="G64" i="50"/>
  <c r="AR154" i="50"/>
  <c r="G154" i="50"/>
  <c r="BF61" i="50"/>
  <c r="U61" i="50"/>
  <c r="AY157" i="50"/>
  <c r="N157" i="50"/>
  <c r="AY74" i="50"/>
  <c r="N74" i="50"/>
  <c r="AR158" i="50"/>
  <c r="G158" i="50"/>
  <c r="BF77" i="50"/>
  <c r="U77" i="50"/>
  <c r="AR163" i="50"/>
  <c r="G163" i="50"/>
  <c r="AY156" i="50"/>
  <c r="N156" i="50"/>
  <c r="BF160" i="50"/>
  <c r="U160" i="50"/>
  <c r="AY81" i="50"/>
  <c r="N81" i="50"/>
  <c r="AY79" i="50"/>
  <c r="N79" i="50"/>
  <c r="AY155" i="50"/>
  <c r="N155" i="50"/>
  <c r="AR71" i="50"/>
  <c r="G71" i="50"/>
  <c r="BF167" i="50"/>
  <c r="U167" i="50"/>
  <c r="BF169" i="50"/>
  <c r="U169" i="50"/>
  <c r="BF163" i="50"/>
  <c r="U163" i="50"/>
  <c r="AY77" i="50"/>
  <c r="N77" i="50"/>
  <c r="BF81" i="50"/>
  <c r="U81" i="50"/>
  <c r="BF153" i="50"/>
  <c r="U153" i="50"/>
  <c r="AY71" i="50"/>
  <c r="N71" i="50"/>
  <c r="BF157" i="50"/>
  <c r="U157" i="50"/>
  <c r="AR80" i="50"/>
  <c r="G80" i="50"/>
  <c r="BF62" i="50"/>
  <c r="U62" i="50"/>
  <c r="E108" i="85" l="1"/>
  <c r="E108" i="67"/>
  <c r="G108" i="85"/>
  <c r="F108" i="85"/>
  <c r="F108" i="67"/>
  <c r="D108" i="85"/>
  <c r="G108" i="67"/>
  <c r="D108" i="67"/>
  <c r="AT28" i="7"/>
  <c r="CQ28" i="7" s="1"/>
  <c r="AU28" i="7"/>
  <c r="CR28" i="7" s="1"/>
  <c r="AV28" i="7"/>
  <c r="CS28" i="7" s="1"/>
  <c r="AW28" i="7"/>
  <c r="CT28" i="7" s="1"/>
  <c r="AX28" i="7"/>
  <c r="CU28" i="7" s="1"/>
  <c r="V163" i="50"/>
  <c r="BG163" i="50"/>
  <c r="AZ74" i="50"/>
  <c r="O74" i="50"/>
  <c r="V65" i="50"/>
  <c r="BG65" i="50"/>
  <c r="AS61" i="50"/>
  <c r="H61" i="50"/>
  <c r="AS66" i="50"/>
  <c r="H66" i="50"/>
  <c r="AZ159" i="50"/>
  <c r="O159" i="50"/>
  <c r="AZ62" i="50"/>
  <c r="O62" i="50"/>
  <c r="AZ66" i="50"/>
  <c r="O66" i="50"/>
  <c r="AZ169" i="50"/>
  <c r="O169" i="50"/>
  <c r="AZ64" i="50"/>
  <c r="O64" i="50"/>
  <c r="N63" i="50"/>
  <c r="AZ63" i="50" s="1"/>
  <c r="AS84" i="50"/>
  <c r="H84" i="50"/>
  <c r="AZ160" i="50"/>
  <c r="O160" i="50"/>
  <c r="AZ76" i="50"/>
  <c r="O76" i="50"/>
  <c r="AZ163" i="50"/>
  <c r="O163" i="50"/>
  <c r="AS83" i="50"/>
  <c r="H83" i="50"/>
  <c r="V68" i="50"/>
  <c r="BG68" i="50"/>
  <c r="AS78" i="50"/>
  <c r="H78" i="50"/>
  <c r="AZ68" i="50"/>
  <c r="O68" i="50"/>
  <c r="V84" i="50"/>
  <c r="BG84" i="50"/>
  <c r="BG72" i="50"/>
  <c r="V72" i="50"/>
  <c r="V79" i="50"/>
  <c r="BG79" i="50"/>
  <c r="AS82" i="50"/>
  <c r="C15" i="49"/>
  <c r="I15" i="49" s="1"/>
  <c r="H82" i="50"/>
  <c r="AZ156" i="50"/>
  <c r="O156" i="50"/>
  <c r="V62" i="50"/>
  <c r="BG62" i="50"/>
  <c r="V153" i="50"/>
  <c r="BG153" i="50"/>
  <c r="BG169" i="50"/>
  <c r="V169" i="50"/>
  <c r="AZ79" i="50"/>
  <c r="O79" i="50"/>
  <c r="AS163" i="50"/>
  <c r="H163" i="50"/>
  <c r="AZ157" i="50"/>
  <c r="O157" i="50"/>
  <c r="AZ166" i="50"/>
  <c r="O166" i="50"/>
  <c r="L70" i="49"/>
  <c r="F69" i="49"/>
  <c r="AS77" i="50"/>
  <c r="H77" i="50"/>
  <c r="V166" i="50"/>
  <c r="BG166" i="50"/>
  <c r="AS155" i="50"/>
  <c r="H155" i="50"/>
  <c r="V156" i="50"/>
  <c r="BG156" i="50"/>
  <c r="AZ153" i="50"/>
  <c r="O153" i="50"/>
  <c r="V82" i="50"/>
  <c r="BG82" i="50"/>
  <c r="U63" i="50"/>
  <c r="BG63" i="50" s="1"/>
  <c r="BG64" i="50"/>
  <c r="V64" i="50"/>
  <c r="BY63" i="50"/>
  <c r="AM60" i="50"/>
  <c r="BX60" i="50"/>
  <c r="F86" i="85" s="1"/>
  <c r="F86" i="67"/>
  <c r="AL282" i="50"/>
  <c r="BX282" i="50" s="1"/>
  <c r="G70" i="49"/>
  <c r="BG165" i="50"/>
  <c r="V165" i="50"/>
  <c r="AZ73" i="50"/>
  <c r="O73" i="50"/>
  <c r="V158" i="50"/>
  <c r="BG158" i="50"/>
  <c r="AS65" i="50"/>
  <c r="H65" i="50"/>
  <c r="V66" i="50"/>
  <c r="BG66" i="50"/>
  <c r="BG75" i="50"/>
  <c r="V75" i="50"/>
  <c r="AS79" i="50"/>
  <c r="H79" i="50"/>
  <c r="AS160" i="50"/>
  <c r="H160" i="50"/>
  <c r="AS161" i="50"/>
  <c r="H161" i="50"/>
  <c r="O83" i="50"/>
  <c r="AZ83" i="50"/>
  <c r="AZ168" i="50"/>
  <c r="O168" i="50"/>
  <c r="AZ158" i="50"/>
  <c r="O158" i="50"/>
  <c r="AS153" i="50"/>
  <c r="H153" i="50"/>
  <c r="AS75" i="50"/>
  <c r="H75" i="50"/>
  <c r="AS168" i="50"/>
  <c r="H168" i="50"/>
  <c r="V76" i="50"/>
  <c r="BG76" i="50"/>
  <c r="O71" i="50"/>
  <c r="AZ71" i="50"/>
  <c r="BG152" i="50"/>
  <c r="V152" i="50"/>
  <c r="U151" i="50"/>
  <c r="AS80" i="50"/>
  <c r="H80" i="50"/>
  <c r="V81" i="50"/>
  <c r="BG81" i="50"/>
  <c r="V167" i="50"/>
  <c r="BG167" i="50"/>
  <c r="AZ81" i="50"/>
  <c r="O81" i="50"/>
  <c r="V77" i="50"/>
  <c r="BG77" i="50"/>
  <c r="V61" i="50"/>
  <c r="BG61" i="50"/>
  <c r="BG83" i="50"/>
  <c r="V83" i="50"/>
  <c r="V159" i="50"/>
  <c r="BG159" i="50"/>
  <c r="AS156" i="50"/>
  <c r="H156" i="50"/>
  <c r="O165" i="50"/>
  <c r="AZ165" i="50"/>
  <c r="AZ84" i="50"/>
  <c r="O84" i="50"/>
  <c r="AZ82" i="50"/>
  <c r="O82" i="50"/>
  <c r="O155" i="50"/>
  <c r="AZ155" i="50"/>
  <c r="AS76" i="50"/>
  <c r="H76" i="50"/>
  <c r="AS74" i="50"/>
  <c r="H74" i="50"/>
  <c r="BG164" i="50"/>
  <c r="V164" i="50"/>
  <c r="V168" i="50"/>
  <c r="BG168" i="50"/>
  <c r="V73" i="50"/>
  <c r="BG73" i="50"/>
  <c r="O67" i="50"/>
  <c r="AZ67" i="50"/>
  <c r="V78" i="50"/>
  <c r="BG78" i="50"/>
  <c r="AS167" i="50"/>
  <c r="H167" i="50"/>
  <c r="AZ78" i="50"/>
  <c r="O78" i="50"/>
  <c r="AZ80" i="50"/>
  <c r="O80" i="50"/>
  <c r="V161" i="50"/>
  <c r="BG161" i="50"/>
  <c r="AS72" i="50"/>
  <c r="H72" i="50"/>
  <c r="AZ65" i="50"/>
  <c r="O65" i="50"/>
  <c r="O164" i="50"/>
  <c r="AZ164" i="50"/>
  <c r="AZ167" i="50"/>
  <c r="O167" i="50"/>
  <c r="AS68" i="50"/>
  <c r="H68" i="50"/>
  <c r="AS67" i="50"/>
  <c r="H67" i="50"/>
  <c r="AZ162" i="50"/>
  <c r="O162" i="50"/>
  <c r="AS73" i="50"/>
  <c r="H73" i="50"/>
  <c r="AZ161" i="50"/>
  <c r="O161" i="50"/>
  <c r="AS64" i="50"/>
  <c r="G63" i="50"/>
  <c r="AS63" i="50" s="1"/>
  <c r="H64" i="50"/>
  <c r="O75" i="50"/>
  <c r="AZ75" i="50"/>
  <c r="V157" i="50"/>
  <c r="BG157" i="50"/>
  <c r="AZ77" i="50"/>
  <c r="O77" i="50"/>
  <c r="AS71" i="50"/>
  <c r="H71" i="50"/>
  <c r="V160" i="50"/>
  <c r="BG160" i="50"/>
  <c r="AS158" i="50"/>
  <c r="H158" i="50"/>
  <c r="AS154" i="50"/>
  <c r="H154" i="50"/>
  <c r="V155" i="50"/>
  <c r="BG155" i="50"/>
  <c r="AS152" i="50"/>
  <c r="H152" i="50"/>
  <c r="G151" i="50"/>
  <c r="AS165" i="50"/>
  <c r="H165" i="50"/>
  <c r="AZ170" i="50"/>
  <c r="O170" i="50"/>
  <c r="V162" i="50"/>
  <c r="BG162" i="50"/>
  <c r="AZ152" i="50"/>
  <c r="O152" i="50"/>
  <c r="N151" i="50"/>
  <c r="V80" i="50"/>
  <c r="BG80" i="50"/>
  <c r="V74" i="50"/>
  <c r="BG74" i="50"/>
  <c r="H162" i="50"/>
  <c r="AS162" i="50"/>
  <c r="AS157" i="50"/>
  <c r="H157" i="50"/>
  <c r="AS170" i="50"/>
  <c r="H170" i="50"/>
  <c r="AS166" i="50"/>
  <c r="H166" i="50"/>
  <c r="AS164" i="50"/>
  <c r="H164" i="50"/>
  <c r="BG71" i="50"/>
  <c r="V71" i="50"/>
  <c r="AS81" i="50"/>
  <c r="H81" i="50"/>
  <c r="AS62" i="50"/>
  <c r="H62" i="50"/>
  <c r="AZ61" i="50"/>
  <c r="O61" i="50"/>
  <c r="BG67" i="50"/>
  <c r="V67" i="50"/>
  <c r="V170" i="50"/>
  <c r="BG170" i="50"/>
  <c r="V154" i="50"/>
  <c r="BG154" i="50"/>
  <c r="AS169" i="50"/>
  <c r="H169" i="50"/>
  <c r="AS159" i="50"/>
  <c r="H159" i="50"/>
  <c r="AZ154" i="50"/>
  <c r="O154" i="50"/>
  <c r="AZ72" i="50"/>
  <c r="O72" i="50"/>
  <c r="P72" i="50" l="1"/>
  <c r="BA72" i="50"/>
  <c r="I62" i="50"/>
  <c r="AT62" i="50"/>
  <c r="I166" i="50"/>
  <c r="AT166" i="50"/>
  <c r="W162" i="50"/>
  <c r="BH162" i="50"/>
  <c r="I71" i="50"/>
  <c r="AT71" i="50"/>
  <c r="I64" i="50"/>
  <c r="AT64" i="50"/>
  <c r="P164" i="50"/>
  <c r="BA164" i="50"/>
  <c r="P67" i="50"/>
  <c r="BA67" i="50"/>
  <c r="W167" i="50"/>
  <c r="BH167" i="50"/>
  <c r="I153" i="50"/>
  <c r="AT153" i="50"/>
  <c r="AT161" i="50"/>
  <c r="I161" i="50"/>
  <c r="W165" i="50"/>
  <c r="BH165" i="50"/>
  <c r="W64" i="50"/>
  <c r="BH64" i="50"/>
  <c r="V63" i="50"/>
  <c r="BH63" i="50" s="1"/>
  <c r="W156" i="50"/>
  <c r="BH156" i="50"/>
  <c r="I83" i="50"/>
  <c r="AT83" i="50"/>
  <c r="AT84" i="50"/>
  <c r="I84" i="50"/>
  <c r="W83" i="50"/>
  <c r="BH83" i="50"/>
  <c r="BA156" i="50"/>
  <c r="P156" i="50"/>
  <c r="W154" i="50"/>
  <c r="BH154" i="50"/>
  <c r="P71" i="50"/>
  <c r="BA71" i="50"/>
  <c r="P154" i="50"/>
  <c r="BA154" i="50"/>
  <c r="AT81" i="50"/>
  <c r="I81" i="50"/>
  <c r="I170" i="50"/>
  <c r="AT170" i="50"/>
  <c r="AT154" i="50"/>
  <c r="I154" i="50"/>
  <c r="BA77" i="50"/>
  <c r="P77" i="50"/>
  <c r="W73" i="50"/>
  <c r="BH73" i="50"/>
  <c r="P165" i="50"/>
  <c r="BA165" i="50"/>
  <c r="W61" i="50"/>
  <c r="BH61" i="50"/>
  <c r="W81" i="50"/>
  <c r="BH81" i="50"/>
  <c r="P158" i="50"/>
  <c r="BA158" i="50"/>
  <c r="I160" i="50"/>
  <c r="AT160" i="50"/>
  <c r="I65" i="50"/>
  <c r="AT65" i="50"/>
  <c r="M70" i="49"/>
  <c r="G69" i="49"/>
  <c r="P68" i="50"/>
  <c r="BA68" i="50"/>
  <c r="P163" i="50"/>
  <c r="BA163" i="50"/>
  <c r="BH65" i="50"/>
  <c r="W65" i="50"/>
  <c r="P162" i="50"/>
  <c r="BA162" i="50"/>
  <c r="P84" i="50"/>
  <c r="BA84" i="50"/>
  <c r="P83" i="50"/>
  <c r="BA83" i="50"/>
  <c r="AO38" i="67"/>
  <c r="L69" i="49"/>
  <c r="AO38" i="85" s="1"/>
  <c r="W74" i="50"/>
  <c r="BH74" i="50"/>
  <c r="W155" i="50"/>
  <c r="BH155" i="50"/>
  <c r="P78" i="50"/>
  <c r="BA78" i="50"/>
  <c r="W66" i="50"/>
  <c r="BH66" i="50"/>
  <c r="BA166" i="50"/>
  <c r="P166" i="50"/>
  <c r="W170" i="50"/>
  <c r="BH170" i="50"/>
  <c r="W80" i="50"/>
  <c r="BH80" i="50"/>
  <c r="I165" i="50"/>
  <c r="AT165" i="50"/>
  <c r="BA161" i="50"/>
  <c r="P161" i="50"/>
  <c r="I68" i="50"/>
  <c r="AT68" i="50"/>
  <c r="AT72" i="50"/>
  <c r="I72" i="50"/>
  <c r="AT167" i="50"/>
  <c r="I167" i="50"/>
  <c r="AT156" i="50"/>
  <c r="I156" i="50"/>
  <c r="AT80" i="50"/>
  <c r="I80" i="50"/>
  <c r="W76" i="50"/>
  <c r="BH76" i="50"/>
  <c r="P157" i="50"/>
  <c r="BA157" i="50"/>
  <c r="BA64" i="50"/>
  <c r="P64" i="50"/>
  <c r="O63" i="50"/>
  <c r="BA63" i="50" s="1"/>
  <c r="P159" i="50"/>
  <c r="BA159" i="50"/>
  <c r="BA74" i="50"/>
  <c r="P74" i="50"/>
  <c r="W160" i="50"/>
  <c r="BH160" i="50"/>
  <c r="BA79" i="50"/>
  <c r="P79" i="50"/>
  <c r="W68" i="50"/>
  <c r="BH68" i="50"/>
  <c r="I76" i="50"/>
  <c r="AT76" i="50"/>
  <c r="AT155" i="50"/>
  <c r="I155" i="50"/>
  <c r="BA62" i="50"/>
  <c r="P62" i="50"/>
  <c r="I159" i="50"/>
  <c r="AT159" i="50"/>
  <c r="W67" i="50"/>
  <c r="BH67" i="50"/>
  <c r="W71" i="50"/>
  <c r="BH71" i="50"/>
  <c r="I157" i="50"/>
  <c r="AT157" i="50"/>
  <c r="C31" i="67"/>
  <c r="AZ151" i="50"/>
  <c r="C31" i="85" s="1"/>
  <c r="I158" i="50"/>
  <c r="AT158" i="50"/>
  <c r="W168" i="50"/>
  <c r="BH168" i="50"/>
  <c r="BA155" i="50"/>
  <c r="P155" i="50"/>
  <c r="W77" i="50"/>
  <c r="BH77" i="50"/>
  <c r="I168" i="50"/>
  <c r="AT168" i="50"/>
  <c r="BA168" i="50"/>
  <c r="P168" i="50"/>
  <c r="I79" i="50"/>
  <c r="AT79" i="50"/>
  <c r="W82" i="50"/>
  <c r="BH82" i="50"/>
  <c r="BH166" i="50"/>
  <c r="W166" i="50"/>
  <c r="BH153" i="50"/>
  <c r="W153" i="50"/>
  <c r="I78" i="50"/>
  <c r="AT78" i="50"/>
  <c r="P76" i="50"/>
  <c r="BA76" i="50"/>
  <c r="AT162" i="50"/>
  <c r="I162" i="50"/>
  <c r="BA75" i="50"/>
  <c r="P75" i="50"/>
  <c r="I74" i="50"/>
  <c r="AT74" i="50"/>
  <c r="AT61" i="50"/>
  <c r="I61" i="50"/>
  <c r="BA170" i="50"/>
  <c r="P170" i="50"/>
  <c r="P65" i="50"/>
  <c r="BA65" i="50"/>
  <c r="W169" i="50"/>
  <c r="BH169" i="50"/>
  <c r="I82" i="50"/>
  <c r="AT82" i="50"/>
  <c r="BA152" i="50"/>
  <c r="P152" i="50"/>
  <c r="O151" i="50"/>
  <c r="C13" i="67"/>
  <c r="AS151" i="50"/>
  <c r="C13" i="85" s="1"/>
  <c r="W157" i="50"/>
  <c r="BH157" i="50"/>
  <c r="I73" i="50"/>
  <c r="AT73" i="50"/>
  <c r="BA167" i="50"/>
  <c r="P167" i="50"/>
  <c r="W164" i="50"/>
  <c r="BH164" i="50"/>
  <c r="P82" i="50"/>
  <c r="BA82" i="50"/>
  <c r="P81" i="50"/>
  <c r="BA81" i="50"/>
  <c r="C49" i="67"/>
  <c r="BG151" i="50"/>
  <c r="C49" i="85" s="1"/>
  <c r="BH158" i="50"/>
  <c r="W158" i="50"/>
  <c r="BA153" i="50"/>
  <c r="P153" i="50"/>
  <c r="I77" i="50"/>
  <c r="AT77" i="50"/>
  <c r="I163" i="50"/>
  <c r="AT163" i="50"/>
  <c r="W79" i="50"/>
  <c r="BH79" i="50"/>
  <c r="P169" i="50"/>
  <c r="BA169" i="50"/>
  <c r="H63" i="50"/>
  <c r="AT63" i="50" s="1"/>
  <c r="I66" i="50"/>
  <c r="AT66" i="50"/>
  <c r="P80" i="50"/>
  <c r="BA80" i="50"/>
  <c r="BA66" i="50"/>
  <c r="P66" i="50"/>
  <c r="I67" i="50"/>
  <c r="AT67" i="50"/>
  <c r="W84" i="50"/>
  <c r="BH84" i="50"/>
  <c r="I169" i="50"/>
  <c r="AT169" i="50"/>
  <c r="P61" i="50"/>
  <c r="BA61" i="50"/>
  <c r="I164" i="50"/>
  <c r="AT164" i="50"/>
  <c r="AT152" i="50"/>
  <c r="I152" i="50"/>
  <c r="H151" i="50"/>
  <c r="BH161" i="50"/>
  <c r="W161" i="50"/>
  <c r="BH78" i="50"/>
  <c r="W78" i="50"/>
  <c r="BH159" i="50"/>
  <c r="W159" i="50"/>
  <c r="BH152" i="50"/>
  <c r="W152" i="50"/>
  <c r="V151" i="50"/>
  <c r="AT75" i="50"/>
  <c r="I75" i="50"/>
  <c r="BH75" i="50"/>
  <c r="W75" i="50"/>
  <c r="P73" i="50"/>
  <c r="BA73" i="50"/>
  <c r="BY60" i="50"/>
  <c r="G86" i="85" s="1"/>
  <c r="G86" i="67"/>
  <c r="AM282" i="50"/>
  <c r="BY282" i="50" s="1"/>
  <c r="BH62" i="50"/>
  <c r="W62" i="50"/>
  <c r="W72" i="50"/>
  <c r="BH72" i="50"/>
  <c r="P160" i="50"/>
  <c r="BA160" i="50"/>
  <c r="W163" i="50"/>
  <c r="BH163" i="50"/>
  <c r="D33" i="58"/>
  <c r="C109" i="85" l="1"/>
  <c r="BB170" i="50"/>
  <c r="Q170" i="50"/>
  <c r="AU165" i="50"/>
  <c r="J165" i="50"/>
  <c r="Q73" i="50"/>
  <c r="BB73" i="50"/>
  <c r="X159" i="50"/>
  <c r="BI159" i="50"/>
  <c r="BI84" i="50"/>
  <c r="X84" i="50"/>
  <c r="J66" i="50"/>
  <c r="AU66" i="50"/>
  <c r="J168" i="50"/>
  <c r="AU168" i="50"/>
  <c r="AU158" i="50"/>
  <c r="J158" i="50"/>
  <c r="BI67" i="50"/>
  <c r="X67" i="50"/>
  <c r="J76" i="50"/>
  <c r="AU76" i="50"/>
  <c r="J72" i="50"/>
  <c r="AU72" i="50"/>
  <c r="BI165" i="50"/>
  <c r="X165" i="50"/>
  <c r="BB67" i="50"/>
  <c r="Q67" i="50"/>
  <c r="BI162" i="50"/>
  <c r="X162" i="50"/>
  <c r="AU152" i="50"/>
  <c r="J152" i="50"/>
  <c r="I151" i="50"/>
  <c r="X166" i="50"/>
  <c r="BI166" i="50"/>
  <c r="BB74" i="50"/>
  <c r="Q74" i="50"/>
  <c r="BI72" i="50"/>
  <c r="X72" i="50"/>
  <c r="BI75" i="50"/>
  <c r="X75" i="50"/>
  <c r="J77" i="50"/>
  <c r="AU77" i="50"/>
  <c r="Q81" i="50"/>
  <c r="BB81" i="50"/>
  <c r="J73" i="50"/>
  <c r="AU73" i="50"/>
  <c r="AU61" i="50"/>
  <c r="J61" i="50"/>
  <c r="X76" i="50"/>
  <c r="BI76" i="50"/>
  <c r="X80" i="50"/>
  <c r="BI80" i="50"/>
  <c r="Q78" i="50"/>
  <c r="BB78" i="50"/>
  <c r="BB83" i="50"/>
  <c r="Q83" i="50"/>
  <c r="Q163" i="50"/>
  <c r="BB163" i="50"/>
  <c r="J160" i="50"/>
  <c r="AU160" i="50"/>
  <c r="BB165" i="50"/>
  <c r="Q165" i="50"/>
  <c r="J170" i="50"/>
  <c r="AU170" i="50"/>
  <c r="BI154" i="50"/>
  <c r="X154" i="50"/>
  <c r="AU83" i="50"/>
  <c r="J83" i="50"/>
  <c r="AU161" i="50"/>
  <c r="J161" i="50"/>
  <c r="J162" i="50"/>
  <c r="AU162" i="50"/>
  <c r="BB157" i="50"/>
  <c r="Q157" i="50"/>
  <c r="BI61" i="50"/>
  <c r="X61" i="50"/>
  <c r="BI62" i="50"/>
  <c r="X62" i="50"/>
  <c r="BI78" i="50"/>
  <c r="X78" i="50"/>
  <c r="AU164" i="50"/>
  <c r="J164" i="50"/>
  <c r="J67" i="50"/>
  <c r="AU67" i="50"/>
  <c r="Q153" i="50"/>
  <c r="BB153" i="50"/>
  <c r="J82" i="50"/>
  <c r="AU82" i="50"/>
  <c r="BB76" i="50"/>
  <c r="Q76" i="50"/>
  <c r="BI82" i="50"/>
  <c r="X82" i="50"/>
  <c r="X77" i="50"/>
  <c r="BI77" i="50"/>
  <c r="J159" i="50"/>
  <c r="AU159" i="50"/>
  <c r="BI68" i="50"/>
  <c r="X68" i="50"/>
  <c r="Q159" i="50"/>
  <c r="BB159" i="50"/>
  <c r="J80" i="50"/>
  <c r="AU80" i="50"/>
  <c r="J81" i="50"/>
  <c r="AU81" i="50"/>
  <c r="Q156" i="50"/>
  <c r="BB156" i="50"/>
  <c r="BB164" i="50"/>
  <c r="Q164" i="50"/>
  <c r="J166" i="50"/>
  <c r="AU166" i="50"/>
  <c r="BB71" i="50"/>
  <c r="Q71" i="50"/>
  <c r="J75" i="50"/>
  <c r="AU75" i="50"/>
  <c r="Q66" i="50"/>
  <c r="BB66" i="50"/>
  <c r="Q169" i="50"/>
  <c r="BB169" i="50"/>
  <c r="BB82" i="50"/>
  <c r="Q82" i="50"/>
  <c r="X157" i="50"/>
  <c r="BI157" i="50"/>
  <c r="BB155" i="50"/>
  <c r="Q155" i="50"/>
  <c r="BB62" i="50"/>
  <c r="Q62" i="50"/>
  <c r="Q79" i="50"/>
  <c r="BB79" i="50"/>
  <c r="J68" i="50"/>
  <c r="AU68" i="50"/>
  <c r="BI170" i="50"/>
  <c r="X170" i="50"/>
  <c r="BI155" i="50"/>
  <c r="X155" i="50"/>
  <c r="Q84" i="50"/>
  <c r="BB84" i="50"/>
  <c r="Q68" i="50"/>
  <c r="BB68" i="50"/>
  <c r="Q158" i="50"/>
  <c r="BB158" i="50"/>
  <c r="BI73" i="50"/>
  <c r="X73" i="50"/>
  <c r="BI156" i="50"/>
  <c r="X156" i="50"/>
  <c r="Q160" i="50"/>
  <c r="BB160" i="50"/>
  <c r="X161" i="50"/>
  <c r="BI161" i="50"/>
  <c r="Q61" i="50"/>
  <c r="BB61" i="50"/>
  <c r="BI158" i="50"/>
  <c r="X158" i="50"/>
  <c r="X169" i="50"/>
  <c r="BI169" i="50"/>
  <c r="AU74" i="50"/>
  <c r="J74" i="50"/>
  <c r="J78" i="50"/>
  <c r="AU78" i="50"/>
  <c r="J79" i="50"/>
  <c r="AU79" i="50"/>
  <c r="AU157" i="50"/>
  <c r="J157" i="50"/>
  <c r="BB64" i="50"/>
  <c r="Q64" i="50"/>
  <c r="P63" i="50"/>
  <c r="BB63" i="50" s="1"/>
  <c r="J156" i="50"/>
  <c r="AU156" i="50"/>
  <c r="BB161" i="50"/>
  <c r="Q161" i="50"/>
  <c r="Q166" i="50"/>
  <c r="BB166" i="50"/>
  <c r="AP38" i="67"/>
  <c r="M69" i="49"/>
  <c r="AP38" i="85" s="1"/>
  <c r="Q77" i="50"/>
  <c r="BB77" i="50"/>
  <c r="J153" i="50"/>
  <c r="AU153" i="50"/>
  <c r="AU64" i="50"/>
  <c r="J64" i="50"/>
  <c r="I63" i="50"/>
  <c r="AU63" i="50" s="1"/>
  <c r="J62" i="50"/>
  <c r="AU62" i="50"/>
  <c r="BB152" i="50"/>
  <c r="Q152" i="50"/>
  <c r="P151" i="50"/>
  <c r="BI66" i="50"/>
  <c r="X66" i="50"/>
  <c r="J65" i="50"/>
  <c r="AU65" i="50"/>
  <c r="BI163" i="50"/>
  <c r="X163" i="50"/>
  <c r="D49" i="67"/>
  <c r="BH151" i="50"/>
  <c r="D49" i="85" s="1"/>
  <c r="BI79" i="50"/>
  <c r="X79" i="50"/>
  <c r="BI164" i="50"/>
  <c r="X164" i="50"/>
  <c r="C109" i="67"/>
  <c r="Q75" i="50"/>
  <c r="BB75" i="50"/>
  <c r="X153" i="50"/>
  <c r="BI153" i="50"/>
  <c r="Q168" i="50"/>
  <c r="BB168" i="50"/>
  <c r="AU155" i="50"/>
  <c r="J155" i="50"/>
  <c r="BI74" i="50"/>
  <c r="X74" i="50"/>
  <c r="BB162" i="50"/>
  <c r="Q162" i="50"/>
  <c r="X81" i="50"/>
  <c r="BI81" i="50"/>
  <c r="Q154" i="50"/>
  <c r="BB154" i="50"/>
  <c r="X83" i="50"/>
  <c r="BI83" i="50"/>
  <c r="J163" i="50"/>
  <c r="AU163" i="50"/>
  <c r="BI152" i="50"/>
  <c r="X152" i="50"/>
  <c r="W151" i="50"/>
  <c r="D13" i="67"/>
  <c r="AT151" i="50"/>
  <c r="D13" i="85" s="1"/>
  <c r="J169" i="50"/>
  <c r="AU169" i="50"/>
  <c r="Q80" i="50"/>
  <c r="BB80" i="50"/>
  <c r="Q167" i="50"/>
  <c r="BB167" i="50"/>
  <c r="BA151" i="50"/>
  <c r="D31" i="85" s="1"/>
  <c r="D31" i="67"/>
  <c r="Q65" i="50"/>
  <c r="BB65" i="50"/>
  <c r="X168" i="50"/>
  <c r="BI168" i="50"/>
  <c r="BI71" i="50"/>
  <c r="X71" i="50"/>
  <c r="X160" i="50"/>
  <c r="BI160" i="50"/>
  <c r="J167" i="50"/>
  <c r="AU167" i="50"/>
  <c r="X65" i="50"/>
  <c r="BI65" i="50"/>
  <c r="J154" i="50"/>
  <c r="AU154" i="50"/>
  <c r="J84" i="50"/>
  <c r="AU84" i="50"/>
  <c r="BI64" i="50"/>
  <c r="W63" i="50"/>
  <c r="BI63" i="50" s="1"/>
  <c r="X64" i="50"/>
  <c r="BI167" i="50"/>
  <c r="X167" i="50"/>
  <c r="AU71" i="50"/>
  <c r="J71" i="50"/>
  <c r="BB72" i="50"/>
  <c r="Q72" i="50"/>
  <c r="I113" i="65"/>
  <c r="H113" i="65"/>
  <c r="G113" i="65"/>
  <c r="F113" i="65"/>
  <c r="E113" i="65"/>
  <c r="D113" i="65"/>
  <c r="I93" i="65"/>
  <c r="H93" i="65"/>
  <c r="G93" i="65"/>
  <c r="F93" i="65"/>
  <c r="E93" i="65"/>
  <c r="D93" i="65"/>
  <c r="I82" i="65"/>
  <c r="H82" i="65"/>
  <c r="G82" i="65"/>
  <c r="F82" i="65"/>
  <c r="E82" i="65"/>
  <c r="D82" i="65"/>
  <c r="I78" i="65"/>
  <c r="H78" i="65"/>
  <c r="G78" i="65"/>
  <c r="F78" i="65"/>
  <c r="E78" i="65"/>
  <c r="D78" i="65"/>
  <c r="I71" i="65"/>
  <c r="H71" i="65"/>
  <c r="G71" i="65"/>
  <c r="F71" i="65"/>
  <c r="E71" i="65"/>
  <c r="D71" i="65"/>
  <c r="I128" i="1"/>
  <c r="G128" i="1"/>
  <c r="I62" i="65"/>
  <c r="H62" i="65"/>
  <c r="G62" i="65"/>
  <c r="F62" i="65"/>
  <c r="E62" i="65"/>
  <c r="D62" i="65"/>
  <c r="G83" i="39" l="1"/>
  <c r="G70" i="83"/>
  <c r="H83" i="39"/>
  <c r="H70" i="83"/>
  <c r="D109" i="85"/>
  <c r="C67" i="39"/>
  <c r="C63" i="83"/>
  <c r="D67" i="39"/>
  <c r="D63" i="83"/>
  <c r="C83" i="39"/>
  <c r="C70" i="83"/>
  <c r="E67" i="39"/>
  <c r="E63" i="83"/>
  <c r="F67" i="39"/>
  <c r="F63" i="83"/>
  <c r="D83" i="39"/>
  <c r="D70" i="83"/>
  <c r="G67" i="39"/>
  <c r="G63" i="83"/>
  <c r="E83" i="39"/>
  <c r="E70" i="83"/>
  <c r="H67" i="39"/>
  <c r="H63" i="83"/>
  <c r="F83" i="39"/>
  <c r="F70" i="83"/>
  <c r="K68" i="50"/>
  <c r="AW68" i="50" s="1"/>
  <c r="AV68" i="50"/>
  <c r="AV77" i="50"/>
  <c r="K77" i="50"/>
  <c r="AW77" i="50" s="1"/>
  <c r="R72" i="50"/>
  <c r="BD72" i="50" s="1"/>
  <c r="BC72" i="50"/>
  <c r="AV167" i="50"/>
  <c r="K167" i="50"/>
  <c r="AW167" i="50" s="1"/>
  <c r="BC65" i="50"/>
  <c r="R65" i="50"/>
  <c r="BD65" i="50" s="1"/>
  <c r="AV169" i="50"/>
  <c r="K169" i="50"/>
  <c r="AW169" i="50" s="1"/>
  <c r="Y74" i="50"/>
  <c r="BK74" i="50" s="1"/>
  <c r="BJ74" i="50"/>
  <c r="BC152" i="50"/>
  <c r="R152" i="50"/>
  <c r="Q151" i="50"/>
  <c r="K153" i="50"/>
  <c r="AW153" i="50" s="1"/>
  <c r="AV153" i="50"/>
  <c r="Y158" i="50"/>
  <c r="BK158" i="50" s="1"/>
  <c r="BJ158" i="50"/>
  <c r="BJ156" i="50"/>
  <c r="Y156" i="50"/>
  <c r="BK156" i="50" s="1"/>
  <c r="BC82" i="50"/>
  <c r="R82" i="50"/>
  <c r="BD82" i="50" s="1"/>
  <c r="BC71" i="50"/>
  <c r="R71" i="50"/>
  <c r="BD71" i="50" s="1"/>
  <c r="Y78" i="50"/>
  <c r="BK78" i="50" s="1"/>
  <c r="BJ78" i="50"/>
  <c r="R83" i="50"/>
  <c r="BD83" i="50" s="1"/>
  <c r="BC83" i="50"/>
  <c r="AV61" i="50"/>
  <c r="K61" i="50"/>
  <c r="AW61" i="50" s="1"/>
  <c r="Y75" i="50"/>
  <c r="BK75" i="50" s="1"/>
  <c r="BJ75" i="50"/>
  <c r="E13" i="67"/>
  <c r="AU151" i="50"/>
  <c r="E13" i="85" s="1"/>
  <c r="Y159" i="50"/>
  <c r="BK159" i="50" s="1"/>
  <c r="BJ159" i="50"/>
  <c r="E31" i="67"/>
  <c r="BB151" i="50"/>
  <c r="E31" i="85" s="1"/>
  <c r="BJ169" i="50"/>
  <c r="Y169" i="50"/>
  <c r="BK169" i="50" s="1"/>
  <c r="AV75" i="50"/>
  <c r="K75" i="50"/>
  <c r="AW75" i="50" s="1"/>
  <c r="Y165" i="50"/>
  <c r="BK165" i="50" s="1"/>
  <c r="BJ165" i="50"/>
  <c r="BJ83" i="50"/>
  <c r="Y83" i="50"/>
  <c r="BK83" i="50" s="1"/>
  <c r="R75" i="50"/>
  <c r="BD75" i="50" s="1"/>
  <c r="BC75" i="50"/>
  <c r="Y163" i="50"/>
  <c r="BK163" i="50" s="1"/>
  <c r="BJ163" i="50"/>
  <c r="K79" i="50"/>
  <c r="AW79" i="50" s="1"/>
  <c r="AV79" i="50"/>
  <c r="R84" i="50"/>
  <c r="BD84" i="50" s="1"/>
  <c r="BC84" i="50"/>
  <c r="BC79" i="50"/>
  <c r="R79" i="50"/>
  <c r="BD79" i="50" s="1"/>
  <c r="K81" i="50"/>
  <c r="AW81" i="50" s="1"/>
  <c r="AV81" i="50"/>
  <c r="AV159" i="50"/>
  <c r="K159" i="50"/>
  <c r="AW159" i="50" s="1"/>
  <c r="AV82" i="50"/>
  <c r="K82" i="50"/>
  <c r="AW82" i="50" s="1"/>
  <c r="K162" i="50"/>
  <c r="AW162" i="50" s="1"/>
  <c r="AV162" i="50"/>
  <c r="K170" i="50"/>
  <c r="AW170" i="50" s="1"/>
  <c r="AV170" i="50"/>
  <c r="AV152" i="50"/>
  <c r="K152" i="50"/>
  <c r="J151" i="50"/>
  <c r="R160" i="50"/>
  <c r="BD160" i="50" s="1"/>
  <c r="BC160" i="50"/>
  <c r="R163" i="50"/>
  <c r="BD163" i="50" s="1"/>
  <c r="BC163" i="50"/>
  <c r="K71" i="50"/>
  <c r="AW71" i="50" s="1"/>
  <c r="AV71" i="50"/>
  <c r="K84" i="50"/>
  <c r="AW84" i="50" s="1"/>
  <c r="AV84" i="50"/>
  <c r="Y160" i="50"/>
  <c r="BK160" i="50" s="1"/>
  <c r="BJ160" i="50"/>
  <c r="D109" i="67"/>
  <c r="K155" i="50"/>
  <c r="AW155" i="50" s="1"/>
  <c r="AV155" i="50"/>
  <c r="R77" i="50"/>
  <c r="BD77" i="50" s="1"/>
  <c r="BC77" i="50"/>
  <c r="AV156" i="50"/>
  <c r="K156" i="50"/>
  <c r="AW156" i="50" s="1"/>
  <c r="BJ73" i="50"/>
  <c r="Y73" i="50"/>
  <c r="BK73" i="50" s="1"/>
  <c r="Y155" i="50"/>
  <c r="BK155" i="50" s="1"/>
  <c r="BJ155" i="50"/>
  <c r="R62" i="50"/>
  <c r="BD62" i="50" s="1"/>
  <c r="BC62" i="50"/>
  <c r="Y62" i="50"/>
  <c r="BK62" i="50" s="1"/>
  <c r="BJ62" i="50"/>
  <c r="K161" i="50"/>
  <c r="AW161" i="50" s="1"/>
  <c r="AV161" i="50"/>
  <c r="R165" i="50"/>
  <c r="BD165" i="50" s="1"/>
  <c r="BC165" i="50"/>
  <c r="BJ72" i="50"/>
  <c r="Y72" i="50"/>
  <c r="BK72" i="50" s="1"/>
  <c r="K72" i="50"/>
  <c r="AW72" i="50" s="1"/>
  <c r="AV72" i="50"/>
  <c r="K168" i="50"/>
  <c r="AW168" i="50" s="1"/>
  <c r="AV168" i="50"/>
  <c r="BC73" i="50"/>
  <c r="R73" i="50"/>
  <c r="BD73" i="50" s="1"/>
  <c r="R161" i="50"/>
  <c r="BD161" i="50" s="1"/>
  <c r="BC161" i="50"/>
  <c r="Y71" i="50"/>
  <c r="BK71" i="50" s="1"/>
  <c r="BJ71" i="50"/>
  <c r="E49" i="67"/>
  <c r="BI151" i="50"/>
  <c r="E49" i="85" s="1"/>
  <c r="R154" i="50"/>
  <c r="BD154" i="50" s="1"/>
  <c r="BC154" i="50"/>
  <c r="Y164" i="50"/>
  <c r="BK164" i="50" s="1"/>
  <c r="BJ164" i="50"/>
  <c r="AV62" i="50"/>
  <c r="K62" i="50"/>
  <c r="AW62" i="50" s="1"/>
  <c r="AV78" i="50"/>
  <c r="K78" i="50"/>
  <c r="AW78" i="50" s="1"/>
  <c r="R61" i="50"/>
  <c r="BD61" i="50" s="1"/>
  <c r="BC61" i="50"/>
  <c r="R169" i="50"/>
  <c r="BD169" i="50" s="1"/>
  <c r="BC169" i="50"/>
  <c r="K166" i="50"/>
  <c r="AW166" i="50" s="1"/>
  <c r="AV166" i="50"/>
  <c r="K80" i="50"/>
  <c r="AW80" i="50" s="1"/>
  <c r="AV80" i="50"/>
  <c r="Y77" i="50"/>
  <c r="BK77" i="50" s="1"/>
  <c r="BJ77" i="50"/>
  <c r="R153" i="50"/>
  <c r="BD153" i="50" s="1"/>
  <c r="BC153" i="50"/>
  <c r="R78" i="50"/>
  <c r="BD78" i="50" s="1"/>
  <c r="BC78" i="50"/>
  <c r="K73" i="50"/>
  <c r="AW73" i="50" s="1"/>
  <c r="AV73" i="50"/>
  <c r="BJ162" i="50"/>
  <c r="Y162" i="50"/>
  <c r="BK162" i="50" s="1"/>
  <c r="K165" i="50"/>
  <c r="AW165" i="50" s="1"/>
  <c r="AV165" i="50"/>
  <c r="AV163" i="50"/>
  <c r="K163" i="50"/>
  <c r="AW163" i="50" s="1"/>
  <c r="BC68" i="50"/>
  <c r="R68" i="50"/>
  <c r="BD68" i="50" s="1"/>
  <c r="Y166" i="50"/>
  <c r="BK166" i="50" s="1"/>
  <c r="BJ166" i="50"/>
  <c r="BJ167" i="50"/>
  <c r="Y167" i="50"/>
  <c r="BK167" i="50" s="1"/>
  <c r="K154" i="50"/>
  <c r="AW154" i="50" s="1"/>
  <c r="AV154" i="50"/>
  <c r="R167" i="50"/>
  <c r="BD167" i="50" s="1"/>
  <c r="BC167" i="50"/>
  <c r="BJ152" i="50"/>
  <c r="Y152" i="50"/>
  <c r="X151" i="50"/>
  <c r="AV65" i="50"/>
  <c r="K65" i="50"/>
  <c r="AW65" i="50" s="1"/>
  <c r="BC64" i="50"/>
  <c r="R64" i="50"/>
  <c r="Q63" i="50"/>
  <c r="BC63" i="50" s="1"/>
  <c r="K74" i="50"/>
  <c r="AW74" i="50" s="1"/>
  <c r="AV74" i="50"/>
  <c r="BJ170" i="50"/>
  <c r="Y170" i="50"/>
  <c r="BK170" i="50" s="1"/>
  <c r="R155" i="50"/>
  <c r="BD155" i="50" s="1"/>
  <c r="BC155" i="50"/>
  <c r="R164" i="50"/>
  <c r="BD164" i="50" s="1"/>
  <c r="BC164" i="50"/>
  <c r="Y82" i="50"/>
  <c r="BK82" i="50" s="1"/>
  <c r="BJ82" i="50"/>
  <c r="Y61" i="50"/>
  <c r="BK61" i="50" s="1"/>
  <c r="BJ61" i="50"/>
  <c r="K83" i="50"/>
  <c r="AW83" i="50" s="1"/>
  <c r="AV83" i="50"/>
  <c r="R74" i="50"/>
  <c r="BD74" i="50" s="1"/>
  <c r="BC74" i="50"/>
  <c r="AV76" i="50"/>
  <c r="K76" i="50"/>
  <c r="AW76" i="50" s="1"/>
  <c r="K66" i="50"/>
  <c r="AW66" i="50" s="1"/>
  <c r="AV66" i="50"/>
  <c r="BJ153" i="50"/>
  <c r="Y153" i="50"/>
  <c r="BK153" i="50" s="1"/>
  <c r="BJ157" i="50"/>
  <c r="Y157" i="50"/>
  <c r="BK157" i="50" s="1"/>
  <c r="Y76" i="50"/>
  <c r="BK76" i="50" s="1"/>
  <c r="BJ76" i="50"/>
  <c r="Y81" i="50"/>
  <c r="BK81" i="50" s="1"/>
  <c r="BJ81" i="50"/>
  <c r="R168" i="50"/>
  <c r="BD168" i="50" s="1"/>
  <c r="BC168" i="50"/>
  <c r="Y79" i="50"/>
  <c r="BK79" i="50" s="1"/>
  <c r="BJ79" i="50"/>
  <c r="BJ66" i="50"/>
  <c r="Y66" i="50"/>
  <c r="BK66" i="50" s="1"/>
  <c r="AV64" i="50"/>
  <c r="K64" i="50"/>
  <c r="J63" i="50"/>
  <c r="AV63" i="50" s="1"/>
  <c r="BJ161" i="50"/>
  <c r="Y161" i="50"/>
  <c r="BK161" i="50" s="1"/>
  <c r="BC158" i="50"/>
  <c r="R158" i="50"/>
  <c r="BD158" i="50" s="1"/>
  <c r="BC66" i="50"/>
  <c r="R66" i="50"/>
  <c r="BD66" i="50" s="1"/>
  <c r="BC159" i="50"/>
  <c r="R159" i="50"/>
  <c r="BD159" i="50" s="1"/>
  <c r="K67" i="50"/>
  <c r="AW67" i="50" s="1"/>
  <c r="AV67" i="50"/>
  <c r="K160" i="50"/>
  <c r="AW160" i="50" s="1"/>
  <c r="AV160" i="50"/>
  <c r="Y80" i="50"/>
  <c r="BK80" i="50" s="1"/>
  <c r="BJ80" i="50"/>
  <c r="BC81" i="50"/>
  <c r="R81" i="50"/>
  <c r="BD81" i="50" s="1"/>
  <c r="BC67" i="50"/>
  <c r="R67" i="50"/>
  <c r="BD67" i="50" s="1"/>
  <c r="Y67" i="50"/>
  <c r="BK67" i="50" s="1"/>
  <c r="BJ67" i="50"/>
  <c r="BJ84" i="50"/>
  <c r="Y84" i="50"/>
  <c r="BK84" i="50" s="1"/>
  <c r="R170" i="50"/>
  <c r="BD170" i="50" s="1"/>
  <c r="BC170" i="50"/>
  <c r="R156" i="50"/>
  <c r="BD156" i="50" s="1"/>
  <c r="BC156" i="50"/>
  <c r="K158" i="50"/>
  <c r="AW158" i="50" s="1"/>
  <c r="AV158" i="50"/>
  <c r="BJ64" i="50"/>
  <c r="Y64" i="50"/>
  <c r="X63" i="50"/>
  <c r="BJ63" i="50" s="1"/>
  <c r="Y65" i="50"/>
  <c r="BK65" i="50" s="1"/>
  <c r="BJ65" i="50"/>
  <c r="Y168" i="50"/>
  <c r="BK168" i="50" s="1"/>
  <c r="BJ168" i="50"/>
  <c r="R80" i="50"/>
  <c r="BD80" i="50" s="1"/>
  <c r="BC80" i="50"/>
  <c r="R162" i="50"/>
  <c r="BD162" i="50" s="1"/>
  <c r="BC162" i="50"/>
  <c r="R166" i="50"/>
  <c r="BD166" i="50" s="1"/>
  <c r="BC166" i="50"/>
  <c r="K157" i="50"/>
  <c r="AW157" i="50" s="1"/>
  <c r="AV157" i="50"/>
  <c r="BJ68" i="50"/>
  <c r="Y68" i="50"/>
  <c r="BK68" i="50" s="1"/>
  <c r="R76" i="50"/>
  <c r="BD76" i="50" s="1"/>
  <c r="BC76" i="50"/>
  <c r="K164" i="50"/>
  <c r="AW164" i="50" s="1"/>
  <c r="AV164" i="50"/>
  <c r="BC157" i="50"/>
  <c r="R157" i="50"/>
  <c r="BD157" i="50" s="1"/>
  <c r="Y154" i="50"/>
  <c r="BK154" i="50" s="1"/>
  <c r="BJ154" i="50"/>
  <c r="E63" i="78"/>
  <c r="F63" i="78"/>
  <c r="D70" i="78"/>
  <c r="H70" i="78"/>
  <c r="C70" i="78"/>
  <c r="C63" i="78"/>
  <c r="G63" i="78"/>
  <c r="E70" i="78"/>
  <c r="G70" i="78"/>
  <c r="D63" i="78"/>
  <c r="H63" i="78"/>
  <c r="F70" i="78"/>
  <c r="G79" i="65"/>
  <c r="C31" i="5"/>
  <c r="F104" i="65"/>
  <c r="F110" i="65"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G101" i="65"/>
  <c r="E128" i="1"/>
  <c r="J128" i="1"/>
  <c r="F128" i="1"/>
  <c r="J127" i="1"/>
  <c r="F127" i="1"/>
  <c r="H104" i="65"/>
  <c r="D103" i="65"/>
  <c r="G103" i="65"/>
  <c r="F107" i="65"/>
  <c r="F70" i="65"/>
  <c r="E70" i="65"/>
  <c r="F72" i="65"/>
  <c r="I72" i="65"/>
  <c r="F79" i="65"/>
  <c r="I79" i="65"/>
  <c r="F83" i="65"/>
  <c r="F101" i="65"/>
  <c r="D107" i="65"/>
  <c r="G107" i="65"/>
  <c r="D109" i="65"/>
  <c r="G109" i="65"/>
  <c r="H70" i="65"/>
  <c r="H72" i="65"/>
  <c r="H79" i="65"/>
  <c r="H83" i="65"/>
  <c r="E107" i="65"/>
  <c r="I107" i="65"/>
  <c r="E109" i="65"/>
  <c r="I109" i="65"/>
  <c r="E101" i="65"/>
  <c r="I101" i="65"/>
  <c r="E103" i="65"/>
  <c r="I103" i="65"/>
  <c r="G72" i="65"/>
  <c r="G70" i="65"/>
  <c r="D83" i="65"/>
  <c r="E98" i="65"/>
  <c r="E99" i="65" s="1"/>
  <c r="H107" i="65"/>
  <c r="H67" i="65"/>
  <c r="H68" i="65" s="1"/>
  <c r="I70" i="65"/>
  <c r="D72" i="65"/>
  <c r="H75" i="65"/>
  <c r="H77" i="65" s="1"/>
  <c r="D79" i="65"/>
  <c r="E83" i="65"/>
  <c r="G98" i="65"/>
  <c r="G99" i="65" s="1"/>
  <c r="H101" i="65"/>
  <c r="D70" i="65"/>
  <c r="E72" i="65"/>
  <c r="E79" i="65"/>
  <c r="G83" i="65"/>
  <c r="D98" i="65"/>
  <c r="D99" i="65" s="1"/>
  <c r="H103" i="65"/>
  <c r="G104" i="65"/>
  <c r="H109" i="65"/>
  <c r="D104" i="65"/>
  <c r="E104" i="65"/>
  <c r="E65" i="78" l="1"/>
  <c r="E65" i="83"/>
  <c r="F65" i="78"/>
  <c r="F65" i="83"/>
  <c r="E72" i="78"/>
  <c r="E72" i="83"/>
  <c r="E109" i="85"/>
  <c r="H65" i="78"/>
  <c r="H65" i="83"/>
  <c r="F72" i="78"/>
  <c r="F72" i="83"/>
  <c r="E73" i="78"/>
  <c r="E73" i="83"/>
  <c r="H72" i="78"/>
  <c r="H72" i="83"/>
  <c r="G72" i="78"/>
  <c r="G72" i="83"/>
  <c r="D72" i="78"/>
  <c r="D72" i="83"/>
  <c r="G65" i="78"/>
  <c r="G65" i="83"/>
  <c r="D65" i="78"/>
  <c r="D65" i="83"/>
  <c r="C65" i="78"/>
  <c r="C65" i="83"/>
  <c r="C72" i="78"/>
  <c r="C72" i="83"/>
  <c r="BD152" i="50"/>
  <c r="R151" i="50"/>
  <c r="K63" i="50"/>
  <c r="AW63" i="50" s="1"/>
  <c r="AW64" i="50"/>
  <c r="AW152" i="50"/>
  <c r="K151" i="50"/>
  <c r="BK64" i="50"/>
  <c r="Y63" i="50"/>
  <c r="BK63" i="50" s="1"/>
  <c r="BJ151" i="50"/>
  <c r="F49" i="85" s="1"/>
  <c r="F49" i="67"/>
  <c r="BK152" i="50"/>
  <c r="Y151" i="50"/>
  <c r="F13" i="67"/>
  <c r="AV151" i="50"/>
  <c r="F13" i="85" s="1"/>
  <c r="E109" i="67"/>
  <c r="BD64" i="50"/>
  <c r="R63" i="50"/>
  <c r="BD63" i="50" s="1"/>
  <c r="BC151" i="50"/>
  <c r="F31" i="85" s="1"/>
  <c r="F31" i="67"/>
  <c r="F105" i="65"/>
  <c r="G76" i="65"/>
  <c r="G77" i="65"/>
  <c r="D76" i="65"/>
  <c r="I76" i="65"/>
  <c r="F88" i="65"/>
  <c r="H110" i="65"/>
  <c r="G73" i="83" s="1"/>
  <c r="D110" i="65"/>
  <c r="C73" i="83" s="1"/>
  <c r="E76" i="65"/>
  <c r="I110" i="65"/>
  <c r="H73" i="83" s="1"/>
  <c r="E110" i="65"/>
  <c r="D73" i="83" s="1"/>
  <c r="G110" i="65"/>
  <c r="F73" i="83" s="1"/>
  <c r="H105" i="65"/>
  <c r="I105" i="65"/>
  <c r="I88" i="65"/>
  <c r="F76" i="65"/>
  <c r="E43" i="17"/>
  <c r="E88" i="65"/>
  <c r="D88" i="65"/>
  <c r="G88" i="65"/>
  <c r="E105" i="65"/>
  <c r="D105" i="65"/>
  <c r="G105" i="65"/>
  <c r="H76" i="65"/>
  <c r="H88" i="65"/>
  <c r="H66" i="78" l="1"/>
  <c r="H66" i="83"/>
  <c r="G66" i="78"/>
  <c r="G66" i="83"/>
  <c r="D66" i="78"/>
  <c r="D66" i="83"/>
  <c r="F66" i="78"/>
  <c r="F66" i="83"/>
  <c r="E66" i="78"/>
  <c r="E66" i="83"/>
  <c r="C66" i="78"/>
  <c r="C66" i="83"/>
  <c r="F109" i="85"/>
  <c r="F109" i="67"/>
  <c r="AW151" i="50"/>
  <c r="G13" i="85" s="1"/>
  <c r="G13" i="67"/>
  <c r="G49" i="67"/>
  <c r="BK151" i="50"/>
  <c r="G49" i="85" s="1"/>
  <c r="G31" i="67"/>
  <c r="BD151" i="50"/>
  <c r="G31" i="85" s="1"/>
  <c r="F89" i="65"/>
  <c r="F91" i="65"/>
  <c r="I111" i="65"/>
  <c r="H73" i="78"/>
  <c r="E114" i="65"/>
  <c r="D73" i="78"/>
  <c r="H114" i="65"/>
  <c r="G73" i="78"/>
  <c r="G129" i="1"/>
  <c r="G40" i="2" s="1"/>
  <c r="AD37" i="83" s="1"/>
  <c r="G114" i="65"/>
  <c r="F73" i="78"/>
  <c r="D114" i="65"/>
  <c r="C73" i="78"/>
  <c r="I112" i="65"/>
  <c r="F37" i="17"/>
  <c r="G90" i="65"/>
  <c r="G41" i="2"/>
  <c r="AD38" i="83" s="1"/>
  <c r="E129" i="1"/>
  <c r="D90" i="65"/>
  <c r="H37" i="17"/>
  <c r="I90" i="65"/>
  <c r="G37" i="17"/>
  <c r="H90" i="65"/>
  <c r="E89" i="65"/>
  <c r="E90" i="65"/>
  <c r="E37" i="17"/>
  <c r="F90" i="65"/>
  <c r="I91" i="65"/>
  <c r="H112" i="65"/>
  <c r="H111" i="65"/>
  <c r="H43" i="17"/>
  <c r="G43" i="17"/>
  <c r="I114" i="65"/>
  <c r="J129" i="1"/>
  <c r="I89" i="65"/>
  <c r="F112" i="65"/>
  <c r="F114" i="65"/>
  <c r="F111" i="65"/>
  <c r="D91" i="65"/>
  <c r="E91" i="65"/>
  <c r="D37" i="17"/>
  <c r="F129" i="1"/>
  <c r="D89" i="65"/>
  <c r="D43" i="17"/>
  <c r="F43" i="17"/>
  <c r="G89" i="65"/>
  <c r="H129" i="1"/>
  <c r="G91" i="65"/>
  <c r="I129" i="1"/>
  <c r="H89" i="65"/>
  <c r="H91" i="65"/>
  <c r="G111" i="65"/>
  <c r="G112" i="65"/>
  <c r="D111" i="65"/>
  <c r="D112" i="65"/>
  <c r="E111" i="65"/>
  <c r="E112" i="65"/>
  <c r="G109" i="85" l="1"/>
  <c r="C67" i="78"/>
  <c r="C67" i="83"/>
  <c r="H67" i="78"/>
  <c r="H67" i="83"/>
  <c r="E68" i="78"/>
  <c r="E68" i="83"/>
  <c r="C68" i="78"/>
  <c r="C68" i="83"/>
  <c r="H74" i="78"/>
  <c r="H74" i="83"/>
  <c r="G67" i="78"/>
  <c r="G67" i="83"/>
  <c r="E67" i="78"/>
  <c r="E67" i="83"/>
  <c r="D67" i="78"/>
  <c r="D67" i="83"/>
  <c r="F68" i="78"/>
  <c r="F68" i="83"/>
  <c r="D68" i="78"/>
  <c r="D68" i="83"/>
  <c r="D74" i="78"/>
  <c r="D74" i="83"/>
  <c r="G68" i="78"/>
  <c r="G68" i="83"/>
  <c r="F74" i="78"/>
  <c r="F74" i="83"/>
  <c r="F67" i="78"/>
  <c r="F67" i="83"/>
  <c r="E74" i="78"/>
  <c r="E74" i="83"/>
  <c r="G74" i="78"/>
  <c r="G74" i="83"/>
  <c r="C74" i="78"/>
  <c r="C74" i="83"/>
  <c r="H68" i="78"/>
  <c r="H68" i="83"/>
  <c r="G109" i="67"/>
  <c r="AD37" i="78"/>
  <c r="AD38" i="78"/>
  <c r="I40" i="2"/>
  <c r="AF37" i="83" s="1"/>
  <c r="I41" i="2"/>
  <c r="AF38" i="83" s="1"/>
  <c r="H40" i="2"/>
  <c r="H41" i="2"/>
  <c r="F41" i="2"/>
  <c r="F40" i="2"/>
  <c r="AC37" i="83" s="1"/>
  <c r="J41" i="2"/>
  <c r="AG38" i="83" s="1"/>
  <c r="J40" i="2"/>
  <c r="AG37" i="83" s="1"/>
  <c r="E40" i="2"/>
  <c r="E41" i="2"/>
  <c r="AB38" i="83" s="1"/>
  <c r="AB37" i="78" l="1"/>
  <c r="AB37" i="83"/>
  <c r="R41" i="2"/>
  <c r="AC38" i="83"/>
  <c r="S41" i="2"/>
  <c r="AE38" i="83"/>
  <c r="S40" i="2"/>
  <c r="AE37" i="83"/>
  <c r="U41" i="2"/>
  <c r="AC37" i="78"/>
  <c r="Q40" i="2"/>
  <c r="AF38" i="78"/>
  <c r="T41" i="2"/>
  <c r="R40" i="2"/>
  <c r="AG37" i="78"/>
  <c r="U40" i="2"/>
  <c r="AC38" i="78"/>
  <c r="Q41" i="2"/>
  <c r="AF37" i="78"/>
  <c r="T40" i="2"/>
  <c r="AB38" i="78"/>
  <c r="AE38" i="78"/>
  <c r="AG38" i="78"/>
  <c r="AE37" i="78"/>
  <c r="AA67" i="53" l="1"/>
  <c r="CE67" i="53" s="1"/>
  <c r="AA90" i="53"/>
  <c r="CE90" i="53" s="1"/>
  <c r="T93" i="85" s="1"/>
  <c r="AJ67" i="73" l="1"/>
  <c r="BY67" i="73" s="1"/>
  <c r="AA63" i="53"/>
  <c r="AJ90" i="73"/>
  <c r="BY90" i="73" s="1"/>
  <c r="T93" i="67"/>
  <c r="AI67" i="53"/>
  <c r="CL67" i="53" s="1"/>
  <c r="AJ90" i="53"/>
  <c r="CM90" i="53" s="1"/>
  <c r="U117" i="85" s="1"/>
  <c r="AI90" i="53"/>
  <c r="CL90" i="53" s="1"/>
  <c r="T117" i="85" s="1"/>
  <c r="AL90" i="53"/>
  <c r="AC67" i="53"/>
  <c r="AL67" i="53"/>
  <c r="AF67" i="53"/>
  <c r="CJ67" i="53" s="1"/>
  <c r="AE67" i="53"/>
  <c r="AB67" i="53"/>
  <c r="CF67" i="53" s="1"/>
  <c r="AK67" i="53"/>
  <c r="AM67" i="53"/>
  <c r="AN67" i="53"/>
  <c r="CQ67" i="53" s="1"/>
  <c r="AD90" i="53"/>
  <c r="AE90" i="53"/>
  <c r="AF90" i="53"/>
  <c r="Z117" i="85" l="1"/>
  <c r="W117" i="67"/>
  <c r="CO90" i="53"/>
  <c r="W117" i="85" s="1"/>
  <c r="Y93" i="67"/>
  <c r="AA93" i="67" s="1"/>
  <c r="CJ90" i="53"/>
  <c r="Y93" i="85" s="1"/>
  <c r="AA93" i="85" s="1"/>
  <c r="AM63" i="53"/>
  <c r="CP63" i="53" s="1"/>
  <c r="X109" i="85" s="1"/>
  <c r="CP67" i="53"/>
  <c r="AK63" i="53"/>
  <c r="CN63" i="53" s="1"/>
  <c r="V109" i="85" s="1"/>
  <c r="CN67" i="53"/>
  <c r="AE63" i="53"/>
  <c r="CI63" i="53" s="1"/>
  <c r="X85" i="85" s="1"/>
  <c r="CI67" i="53"/>
  <c r="X93" i="67"/>
  <c r="CI90" i="53"/>
  <c r="X93" i="85" s="1"/>
  <c r="AL63" i="53"/>
  <c r="CO63" i="53" s="1"/>
  <c r="W109" i="85" s="1"/>
  <c r="CO67" i="53"/>
  <c r="T85" i="67"/>
  <c r="T88" i="67" s="1"/>
  <c r="CE63" i="53"/>
  <c r="T85" i="85" s="1"/>
  <c r="T88" i="85" s="1"/>
  <c r="W93" i="67"/>
  <c r="CH90" i="53"/>
  <c r="W93" i="85" s="1"/>
  <c r="AC63" i="53"/>
  <c r="CG63" i="53" s="1"/>
  <c r="V85" i="85" s="1"/>
  <c r="CG67" i="53"/>
  <c r="U117" i="67"/>
  <c r="AO90" i="53"/>
  <c r="CR90" i="53" s="1"/>
  <c r="AP90" i="53"/>
  <c r="AB63" i="53"/>
  <c r="AH67" i="53"/>
  <c r="AG67" i="53"/>
  <c r="CK67" i="53" s="1"/>
  <c r="AF63" i="53"/>
  <c r="AU67" i="73"/>
  <c r="CE67" i="73" s="1"/>
  <c r="AI63" i="53"/>
  <c r="AN63" i="53"/>
  <c r="AJ63" i="73"/>
  <c r="BY63" i="73" s="1"/>
  <c r="AA88" i="53"/>
  <c r="AJ67" i="53"/>
  <c r="CM67" i="53" s="1"/>
  <c r="AD67" i="53"/>
  <c r="CH67" i="53" s="1"/>
  <c r="AU90" i="73"/>
  <c r="CE90" i="73" s="1"/>
  <c r="T117" i="67"/>
  <c r="AN90" i="53"/>
  <c r="CQ90" i="53" s="1"/>
  <c r="Y117" i="85" s="1"/>
  <c r="AA117" i="85" s="1"/>
  <c r="AX67" i="73"/>
  <c r="CG67" i="73" s="1"/>
  <c r="AY67" i="73"/>
  <c r="AM67" i="73"/>
  <c r="CA67" i="73" s="1"/>
  <c r="AN67" i="73"/>
  <c r="AS90" i="73"/>
  <c r="CD90" i="73" s="1"/>
  <c r="AT90" i="73"/>
  <c r="AR90" i="73"/>
  <c r="AQ90" i="73"/>
  <c r="CC90" i="73" s="1"/>
  <c r="BE67" i="73"/>
  <c r="BD67" i="73"/>
  <c r="CJ67" i="73" s="1"/>
  <c r="AB90" i="53"/>
  <c r="CF90" i="53" s="1"/>
  <c r="U93" i="85" s="1"/>
  <c r="Z93" i="85" s="1"/>
  <c r="X85" i="67"/>
  <c r="AR67" i="73"/>
  <c r="AQ67" i="73"/>
  <c r="CC67" i="73" s="1"/>
  <c r="AT67" i="73"/>
  <c r="AS67" i="73"/>
  <c r="CD67" i="73" s="1"/>
  <c r="AM90" i="53"/>
  <c r="AZ90" i="73"/>
  <c r="CH90" i="73" s="1"/>
  <c r="BA90" i="73"/>
  <c r="AL67" i="73"/>
  <c r="AK67" i="73"/>
  <c r="BZ67" i="73" s="1"/>
  <c r="BA67" i="73"/>
  <c r="AZ67" i="73"/>
  <c r="CH67" i="73" s="1"/>
  <c r="AP90" i="73"/>
  <c r="AO90" i="73"/>
  <c r="CB90" i="73" s="1"/>
  <c r="BB67" i="73"/>
  <c r="CI67" i="73" s="1"/>
  <c r="BC67" i="73"/>
  <c r="AK90" i="53"/>
  <c r="AV90" i="73"/>
  <c r="CF90" i="73" s="1"/>
  <c r="AW90" i="73"/>
  <c r="AC90" i="53"/>
  <c r="V85" i="67" l="1"/>
  <c r="X109" i="67"/>
  <c r="Z117" i="67"/>
  <c r="W109" i="67"/>
  <c r="V109" i="67"/>
  <c r="V117" i="67"/>
  <c r="CN90" i="53"/>
  <c r="V117" i="85" s="1"/>
  <c r="Y85" i="67"/>
  <c r="AA85" i="67" s="1"/>
  <c r="CJ63" i="53"/>
  <c r="Y85" i="85" s="1"/>
  <c r="AA85" i="85" s="1"/>
  <c r="X117" i="67"/>
  <c r="CP90" i="53"/>
  <c r="X117" i="85" s="1"/>
  <c r="AJ88" i="73"/>
  <c r="BY88" i="73" s="1"/>
  <c r="CE88" i="53"/>
  <c r="U85" i="67"/>
  <c r="Z85" i="67" s="1"/>
  <c r="CF63" i="53"/>
  <c r="U85" i="85" s="1"/>
  <c r="Z85" i="85" s="1"/>
  <c r="Y109" i="67"/>
  <c r="CQ63" i="53"/>
  <c r="Y109" i="85" s="1"/>
  <c r="AU63" i="73"/>
  <c r="CE63" i="73" s="1"/>
  <c r="CL63" i="53"/>
  <c r="T109" i="85" s="1"/>
  <c r="T112" i="85" s="1"/>
  <c r="V93" i="67"/>
  <c r="CG90" i="53"/>
  <c r="V93" i="85" s="1"/>
  <c r="AI88" i="53"/>
  <c r="U93" i="67"/>
  <c r="Z93" i="67" s="1"/>
  <c r="AH90" i="53"/>
  <c r="AG90" i="53"/>
  <c r="CK90" i="53" s="1"/>
  <c r="AH63" i="53"/>
  <c r="AG63" i="53"/>
  <c r="CK63" i="53" s="1"/>
  <c r="AJ63" i="53"/>
  <c r="CM63" i="53" s="1"/>
  <c r="U109" i="85" s="1"/>
  <c r="Z109" i="85" s="1"/>
  <c r="AP67" i="53"/>
  <c r="AO67" i="53"/>
  <c r="CR67" i="53" s="1"/>
  <c r="T109" i="67"/>
  <c r="T112" i="67" s="1"/>
  <c r="AW67" i="73"/>
  <c r="AP67" i="73"/>
  <c r="AD63" i="53"/>
  <c r="AA91" i="53"/>
  <c r="E133" i="1"/>
  <c r="AA95" i="53"/>
  <c r="AO67" i="73"/>
  <c r="CB67" i="73" s="1"/>
  <c r="AV67" i="73"/>
  <c r="CF67" i="73" s="1"/>
  <c r="BD90" i="73"/>
  <c r="CJ90" i="73" s="1"/>
  <c r="Y117" i="67"/>
  <c r="AA117" i="67" s="1"/>
  <c r="BE90" i="73"/>
  <c r="AJ92" i="73"/>
  <c r="BY92" i="73" s="1"/>
  <c r="AN90" i="73"/>
  <c r="AM90" i="73"/>
  <c r="CA90" i="73" s="1"/>
  <c r="AS63" i="73"/>
  <c r="CD63" i="73" s="1"/>
  <c r="AT63" i="73"/>
  <c r="AY90" i="73"/>
  <c r="AX90" i="73"/>
  <c r="CG90" i="73" s="1"/>
  <c r="BD63" i="73"/>
  <c r="CJ63" i="73" s="1"/>
  <c r="BE63" i="73"/>
  <c r="BC63" i="73"/>
  <c r="BB63" i="73"/>
  <c r="CI63" i="73" s="1"/>
  <c r="BC90" i="73"/>
  <c r="BB90" i="73"/>
  <c r="CI90" i="73" s="1"/>
  <c r="AN63" i="73"/>
  <c r="AM63" i="73"/>
  <c r="CA63" i="73" s="1"/>
  <c r="AK63" i="73"/>
  <c r="BZ63" i="73" s="1"/>
  <c r="AL63" i="73"/>
  <c r="AK90" i="73"/>
  <c r="BZ90" i="73" s="1"/>
  <c r="AL90" i="73"/>
  <c r="AY63" i="73"/>
  <c r="AX63" i="73"/>
  <c r="CG63" i="73" s="1"/>
  <c r="AZ63" i="73"/>
  <c r="CH63" i="73" s="1"/>
  <c r="BA63" i="73"/>
  <c r="AR63" i="73"/>
  <c r="AQ63" i="73"/>
  <c r="CC63" i="73" s="1"/>
  <c r="X49" i="53"/>
  <c r="AA109" i="85" l="1"/>
  <c r="AJ95" i="73"/>
  <c r="BY95" i="73" s="1"/>
  <c r="CE95" i="53"/>
  <c r="BB49" i="53"/>
  <c r="DD49" i="53" s="1"/>
  <c r="CC49" i="53"/>
  <c r="AA93" i="53"/>
  <c r="CE93" i="53" s="1"/>
  <c r="T91" i="85" s="1"/>
  <c r="CE91" i="53"/>
  <c r="W85" i="67"/>
  <c r="CH63" i="53"/>
  <c r="W85" i="85" s="1"/>
  <c r="AI95" i="53"/>
  <c r="CL88" i="53"/>
  <c r="E44" i="2"/>
  <c r="U133" i="1"/>
  <c r="AU88" i="73"/>
  <c r="CE88" i="73" s="1"/>
  <c r="AI91" i="53"/>
  <c r="AP63" i="53"/>
  <c r="AO63" i="53"/>
  <c r="CR63" i="53" s="1"/>
  <c r="AV63" i="73"/>
  <c r="CF63" i="73" s="1"/>
  <c r="AW63" i="73"/>
  <c r="U109" i="67"/>
  <c r="Z109" i="67" s="1"/>
  <c r="AA109" i="67"/>
  <c r="AJ93" i="73"/>
  <c r="BY93" i="73" s="1"/>
  <c r="AJ91" i="73"/>
  <c r="BY91" i="73" s="1"/>
  <c r="AU92" i="73"/>
  <c r="CE92" i="73" s="1"/>
  <c r="AO63" i="73"/>
  <c r="CB63" i="73" s="1"/>
  <c r="AP63" i="73"/>
  <c r="AH49" i="73"/>
  <c r="BX49" i="73" s="1"/>
  <c r="AI49" i="73"/>
  <c r="AB41" i="78" l="1"/>
  <c r="AB41" i="83"/>
  <c r="T91" i="67"/>
  <c r="AI93" i="53"/>
  <c r="AU93" i="73" s="1"/>
  <c r="CE93" i="73" s="1"/>
  <c r="CL91" i="53"/>
  <c r="AU95" i="73"/>
  <c r="CE95" i="73" s="1"/>
  <c r="CL95" i="53"/>
  <c r="AU91" i="73"/>
  <c r="CE91" i="73" s="1"/>
  <c r="T50" i="53"/>
  <c r="BY50" i="53" s="1"/>
  <c r="U50" i="53"/>
  <c r="V50" i="53"/>
  <c r="X50" i="53"/>
  <c r="AY50" i="53" l="1"/>
  <c r="DA50" i="53" s="1"/>
  <c r="BZ50" i="53"/>
  <c r="BB50" i="53"/>
  <c r="DD50" i="53" s="1"/>
  <c r="CC50" i="53"/>
  <c r="AZ50" i="53"/>
  <c r="DB50" i="53" s="1"/>
  <c r="CA50" i="53"/>
  <c r="T115" i="67"/>
  <c r="CL93" i="53"/>
  <c r="T115" i="85" s="1"/>
  <c r="AX50" i="53"/>
  <c r="CZ50" i="53" s="1"/>
  <c r="Z50" i="53"/>
  <c r="Y50" i="53"/>
  <c r="CD50" i="53" s="1"/>
  <c r="AX89" i="53"/>
  <c r="CZ89" i="53" s="1"/>
  <c r="AH50" i="73"/>
  <c r="BX50" i="73" s="1"/>
  <c r="AI50" i="73"/>
  <c r="AD50" i="73"/>
  <c r="BV50" i="73" s="1"/>
  <c r="AE50" i="73"/>
  <c r="AB50" i="73"/>
  <c r="BU50" i="73" s="1"/>
  <c r="AC50" i="73"/>
  <c r="Z50" i="73"/>
  <c r="BT50" i="73" s="1"/>
  <c r="AA50" i="73"/>
  <c r="AZ89" i="53" l="1"/>
  <c r="DB89" i="53" s="1"/>
  <c r="AZ29" i="53"/>
  <c r="DB29" i="53" s="1"/>
  <c r="AX29" i="53"/>
  <c r="CZ29" i="53" s="1"/>
  <c r="AY89" i="53"/>
  <c r="DA89" i="53" s="1"/>
  <c r="AY29" i="53"/>
  <c r="DA29" i="53" s="1"/>
  <c r="BB89" i="53"/>
  <c r="DD89" i="53" s="1"/>
  <c r="BB29" i="53"/>
  <c r="DD29" i="53" s="1"/>
  <c r="C67" i="53"/>
  <c r="BJ67" i="53" s="1"/>
  <c r="G67" i="53"/>
  <c r="BN67" i="53" s="1"/>
  <c r="BG67" i="53" l="1"/>
  <c r="DI67" i="53" s="1"/>
  <c r="G63" i="53"/>
  <c r="BN63" i="53" s="1"/>
  <c r="X12" i="85" s="1"/>
  <c r="C67" i="73"/>
  <c r="BG67" i="73" s="1"/>
  <c r="BC67" i="53"/>
  <c r="DE67" i="53" s="1"/>
  <c r="C63" i="53"/>
  <c r="BJ63" i="53" s="1"/>
  <c r="T12" i="85" s="1"/>
  <c r="K67" i="53"/>
  <c r="BQ67" i="53" s="1"/>
  <c r="E67" i="53"/>
  <c r="BL67" i="53" s="1"/>
  <c r="F67" i="53"/>
  <c r="BM67" i="53" s="1"/>
  <c r="H67" i="53"/>
  <c r="BO67" i="53" s="1"/>
  <c r="D67" i="53"/>
  <c r="BK67" i="53" s="1"/>
  <c r="Y27" i="79"/>
  <c r="Y24" i="79"/>
  <c r="Y21" i="79"/>
  <c r="Y29" i="79"/>
  <c r="Y18" i="79"/>
  <c r="Y26" i="79"/>
  <c r="Y10" i="79"/>
  <c r="Y23" i="79"/>
  <c r="Y20" i="79"/>
  <c r="Y28" i="79"/>
  <c r="Y25" i="79"/>
  <c r="Y22" i="79"/>
  <c r="Y30" i="79"/>
  <c r="Y19" i="79"/>
  <c r="K90" i="53"/>
  <c r="K67" i="73"/>
  <c r="J67" i="73"/>
  <c r="BK67" i="73" s="1"/>
  <c r="C90" i="53"/>
  <c r="BJ90" i="53" s="1"/>
  <c r="T20" i="85" s="1"/>
  <c r="BC90" i="53"/>
  <c r="DE90" i="53" s="1"/>
  <c r="O67" i="53"/>
  <c r="L67" i="53"/>
  <c r="BR67" i="53" s="1"/>
  <c r="P67" i="53"/>
  <c r="BV67" i="53" s="1"/>
  <c r="M67" i="53"/>
  <c r="N67" i="53"/>
  <c r="R35" i="2"/>
  <c r="S35" i="2"/>
  <c r="T35" i="2"/>
  <c r="E97" i="1"/>
  <c r="E34" i="2" s="1"/>
  <c r="AB29" i="78" l="1"/>
  <c r="AB29" i="83"/>
  <c r="O63" i="53"/>
  <c r="BU63" i="53" s="1"/>
  <c r="X33" i="85" s="1"/>
  <c r="BU67" i="53"/>
  <c r="N63" i="53"/>
  <c r="BT63" i="53" s="1"/>
  <c r="W33" i="85" s="1"/>
  <c r="BT67" i="53"/>
  <c r="M63" i="53"/>
  <c r="BS63" i="53" s="1"/>
  <c r="V33" i="85" s="1"/>
  <c r="BS67" i="53"/>
  <c r="T41" i="67"/>
  <c r="BQ90" i="53"/>
  <c r="T41" i="85" s="1"/>
  <c r="L63" i="53"/>
  <c r="BR63" i="53" s="1"/>
  <c r="U33" i="85" s="1"/>
  <c r="R67" i="53"/>
  <c r="Q67" i="53"/>
  <c r="BW67" i="53" s="1"/>
  <c r="I67" i="53"/>
  <c r="BP67" i="53" s="1"/>
  <c r="J67" i="53"/>
  <c r="P63" i="53"/>
  <c r="BV63" i="53" s="1"/>
  <c r="Y33" i="85" s="1"/>
  <c r="N67" i="73"/>
  <c r="BM67" i="73" s="1"/>
  <c r="K63" i="53"/>
  <c r="BQ63" i="53" s="1"/>
  <c r="T33" i="85" s="1"/>
  <c r="BF67" i="53"/>
  <c r="DH67" i="53" s="1"/>
  <c r="F63" i="53"/>
  <c r="BM63" i="53" s="1"/>
  <c r="W12" i="85" s="1"/>
  <c r="E67" i="73"/>
  <c r="BD67" i="53"/>
  <c r="D63" i="53"/>
  <c r="BK63" i="53" s="1"/>
  <c r="U12" i="85" s="1"/>
  <c r="L67" i="73"/>
  <c r="BL67" i="73" s="1"/>
  <c r="BH67" i="53"/>
  <c r="DJ67" i="53" s="1"/>
  <c r="H63" i="53"/>
  <c r="BO63" i="53" s="1"/>
  <c r="Y12" i="85" s="1"/>
  <c r="F67" i="73"/>
  <c r="BI67" i="73" s="1"/>
  <c r="BE67" i="53"/>
  <c r="DG67" i="53" s="1"/>
  <c r="E63" i="53"/>
  <c r="BL63" i="53" s="1"/>
  <c r="V12" i="85" s="1"/>
  <c r="G67" i="73"/>
  <c r="D67" i="73"/>
  <c r="BH67" i="73" s="1"/>
  <c r="C101" i="53"/>
  <c r="T20" i="67"/>
  <c r="M67" i="73"/>
  <c r="H67" i="73"/>
  <c r="BJ67" i="73" s="1"/>
  <c r="I67" i="73"/>
  <c r="F97" i="1"/>
  <c r="F34" i="2" s="1"/>
  <c r="V35" i="2"/>
  <c r="U35" i="2"/>
  <c r="Q35" i="2"/>
  <c r="R67" i="73"/>
  <c r="Q67" i="73"/>
  <c r="BO67" i="73" s="1"/>
  <c r="O67" i="73"/>
  <c r="BN67" i="73" s="1"/>
  <c r="P67" i="73"/>
  <c r="G90" i="53"/>
  <c r="F90" i="53"/>
  <c r="M90" i="53"/>
  <c r="L90" i="53"/>
  <c r="BR90" i="53" s="1"/>
  <c r="U41" i="85" s="1"/>
  <c r="Z41" i="85" s="1"/>
  <c r="T67" i="73"/>
  <c r="S67" i="73"/>
  <c r="BP67" i="73" s="1"/>
  <c r="W67" i="73"/>
  <c r="BR67" i="73" s="1"/>
  <c r="X67" i="73"/>
  <c r="V67" i="73"/>
  <c r="U67" i="73"/>
  <c r="BQ67" i="73" s="1"/>
  <c r="N90" i="53"/>
  <c r="O90" i="53"/>
  <c r="D90" i="53"/>
  <c r="BK90" i="53" s="1"/>
  <c r="U20" i="85" s="1"/>
  <c r="E90" i="53"/>
  <c r="K101" i="53"/>
  <c r="N90" i="73"/>
  <c r="BM90" i="73" s="1"/>
  <c r="BC63" i="53"/>
  <c r="DE63" i="53" s="1"/>
  <c r="C90" i="73"/>
  <c r="BG90" i="73" s="1"/>
  <c r="BE90" i="53"/>
  <c r="DG90" i="53" s="1"/>
  <c r="BG63" i="53"/>
  <c r="DI63" i="53" s="1"/>
  <c r="P90" i="53"/>
  <c r="Z33" i="85" l="1"/>
  <c r="AA12" i="85"/>
  <c r="Z20" i="85"/>
  <c r="AC29" i="78"/>
  <c r="AC29" i="83"/>
  <c r="AA33" i="85"/>
  <c r="Z12" i="85"/>
  <c r="Y41" i="67"/>
  <c r="BV90" i="53"/>
  <c r="Y41" i="85" s="1"/>
  <c r="AA41" i="85" s="1"/>
  <c r="X41" i="67"/>
  <c r="BU90" i="53"/>
  <c r="X41" i="85" s="1"/>
  <c r="C112" i="53"/>
  <c r="BJ112" i="53" s="1"/>
  <c r="BJ101" i="53"/>
  <c r="W41" i="67"/>
  <c r="BT90" i="53"/>
  <c r="W41" i="85" s="1"/>
  <c r="W20" i="67"/>
  <c r="BM90" i="53"/>
  <c r="W20" i="85" s="1"/>
  <c r="BD63" i="53"/>
  <c r="DF63" i="53" s="1"/>
  <c r="DF67" i="53"/>
  <c r="X20" i="67"/>
  <c r="BN90" i="53"/>
  <c r="X20" i="85" s="1"/>
  <c r="V20" i="67"/>
  <c r="BL90" i="53"/>
  <c r="V20" i="85" s="1"/>
  <c r="V41" i="67"/>
  <c r="BS90" i="53"/>
  <c r="V41" i="85" s="1"/>
  <c r="K112" i="53"/>
  <c r="BQ112" i="53" s="1"/>
  <c r="BQ101" i="53"/>
  <c r="U20" i="67"/>
  <c r="Z20" i="67" s="1"/>
  <c r="J90" i="53"/>
  <c r="I90" i="53"/>
  <c r="BP90" i="53" s="1"/>
  <c r="U41" i="67"/>
  <c r="Z41" i="67" s="1"/>
  <c r="Q90" i="53"/>
  <c r="BW90" i="53" s="1"/>
  <c r="R90" i="53"/>
  <c r="I63" i="53"/>
  <c r="BP63" i="53" s="1"/>
  <c r="J63" i="53"/>
  <c r="R63" i="53"/>
  <c r="Q63" i="53"/>
  <c r="BW63" i="53" s="1"/>
  <c r="BF90" i="53"/>
  <c r="DH90" i="53" s="1"/>
  <c r="BH90" i="53"/>
  <c r="DJ90" i="53" s="1"/>
  <c r="H90" i="53"/>
  <c r="F101" i="53"/>
  <c r="BM101" i="53" s="1"/>
  <c r="I90" i="73"/>
  <c r="H90" i="73"/>
  <c r="BJ90" i="73" s="1"/>
  <c r="O101" i="53"/>
  <c r="V90" i="73"/>
  <c r="U90" i="73"/>
  <c r="BQ90" i="73" s="1"/>
  <c r="D101" i="53"/>
  <c r="BK101" i="53" s="1"/>
  <c r="E90" i="73"/>
  <c r="D90" i="73"/>
  <c r="BH90" i="73" s="1"/>
  <c r="N101" i="53"/>
  <c r="S90" i="73"/>
  <c r="BP90" i="73" s="1"/>
  <c r="T90" i="73"/>
  <c r="M101" i="53"/>
  <c r="R90" i="73"/>
  <c r="Q90" i="73"/>
  <c r="BO90" i="73" s="1"/>
  <c r="W90" i="73"/>
  <c r="BR90" i="73" s="1"/>
  <c r="X90" i="73"/>
  <c r="E101" i="53"/>
  <c r="BL101" i="53" s="1"/>
  <c r="G90" i="73"/>
  <c r="F90" i="73"/>
  <c r="BI90" i="73" s="1"/>
  <c r="L101" i="53"/>
  <c r="P90" i="73"/>
  <c r="O90" i="73"/>
  <c r="BN90" i="73" s="1"/>
  <c r="G101" i="53"/>
  <c r="BN101" i="53" s="1"/>
  <c r="K90" i="73"/>
  <c r="J90" i="73"/>
  <c r="BK90" i="73" s="1"/>
  <c r="BE63" i="53"/>
  <c r="DG63" i="53" s="1"/>
  <c r="BG90" i="53"/>
  <c r="DI90" i="53" s="1"/>
  <c r="P101" i="53"/>
  <c r="L112" i="53" l="1"/>
  <c r="BR112" i="53" s="1"/>
  <c r="BR101" i="53"/>
  <c r="M112" i="53"/>
  <c r="BS112" i="53" s="1"/>
  <c r="BS101" i="53"/>
  <c r="O112" i="53"/>
  <c r="BU112" i="53" s="1"/>
  <c r="BU101" i="53"/>
  <c r="P112" i="53"/>
  <c r="BV112" i="53" s="1"/>
  <c r="BV101" i="53"/>
  <c r="N112" i="53"/>
  <c r="BT112" i="53" s="1"/>
  <c r="BT101" i="53"/>
  <c r="L90" i="73"/>
  <c r="BL90" i="73" s="1"/>
  <c r="BO90" i="53"/>
  <c r="Y20" i="85" s="1"/>
  <c r="AA41" i="67"/>
  <c r="BH63" i="53"/>
  <c r="DJ63" i="53" s="1"/>
  <c r="Y20" i="67"/>
  <c r="AA20" i="67" s="1"/>
  <c r="BF63" i="53"/>
  <c r="DH63" i="53" s="1"/>
  <c r="H101" i="53"/>
  <c r="BO101" i="53" s="1"/>
  <c r="M90" i="73"/>
  <c r="D104" i="53"/>
  <c r="D112" i="53" s="1"/>
  <c r="BK112" i="53" s="1"/>
  <c r="E104" i="53"/>
  <c r="E112" i="53" s="1"/>
  <c r="BL112" i="53" s="1"/>
  <c r="AA20" i="85" l="1"/>
  <c r="F104" i="53"/>
  <c r="F112" i="53" s="1"/>
  <c r="BM112" i="53" s="1"/>
  <c r="G104" i="53" l="1"/>
  <c r="G112" i="53" s="1"/>
  <c r="BN112" i="53" s="1"/>
  <c r="H104" i="53" l="1"/>
  <c r="H112" i="53" s="1"/>
  <c r="BO112" i="53" s="1"/>
  <c r="C35" i="78" l="1"/>
  <c r="D21" i="39" l="1"/>
  <c r="AC4" i="79"/>
  <c r="D35" i="78"/>
  <c r="C21" i="39"/>
  <c r="S13" i="2"/>
  <c r="R13" i="2"/>
  <c r="Q13" i="2"/>
  <c r="T13" i="2" l="1"/>
  <c r="V13" i="2" l="1"/>
  <c r="U13" i="2"/>
  <c r="G19" i="58"/>
  <c r="D19" i="58"/>
  <c r="C78" i="83" s="1"/>
  <c r="C80" i="83" s="1"/>
  <c r="K14" i="58"/>
  <c r="H79" i="83" s="1"/>
  <c r="J14" i="58"/>
  <c r="I14" i="58"/>
  <c r="H14" i="58"/>
  <c r="G14" i="58"/>
  <c r="D14" i="58"/>
  <c r="C79" i="83" s="1"/>
  <c r="E79" i="78" l="1"/>
  <c r="E79" i="83"/>
  <c r="G79" i="78"/>
  <c r="G79" i="83"/>
  <c r="D78" i="78"/>
  <c r="D78" i="83"/>
  <c r="D80" i="83" s="1"/>
  <c r="F79" i="78"/>
  <c r="F79" i="83"/>
  <c r="D79" i="78"/>
  <c r="D79" i="83"/>
  <c r="K38" i="58"/>
  <c r="H86" i="83" s="1"/>
  <c r="H79" i="78"/>
  <c r="D80" i="78"/>
  <c r="D39" i="58"/>
  <c r="C84" i="83" s="1"/>
  <c r="C78" i="78"/>
  <c r="H38" i="58"/>
  <c r="I38" i="58"/>
  <c r="G39" i="58"/>
  <c r="D84" i="83" s="1"/>
  <c r="D38" i="58"/>
  <c r="C79" i="78"/>
  <c r="J38" i="58"/>
  <c r="G38" i="58"/>
  <c r="L7" i="2"/>
  <c r="D86" i="78" l="1"/>
  <c r="D86" i="83"/>
  <c r="E86" i="78"/>
  <c r="E86" i="83"/>
  <c r="G86" i="78"/>
  <c r="G86" i="83"/>
  <c r="C86" i="78"/>
  <c r="C86" i="83"/>
  <c r="F86" i="78"/>
  <c r="F86" i="83"/>
  <c r="G41" i="58"/>
  <c r="C80" i="78"/>
  <c r="G42" i="58"/>
  <c r="D84" i="78"/>
  <c r="K41" i="58"/>
  <c r="H86" i="78"/>
  <c r="D37" i="58"/>
  <c r="D41" i="58"/>
  <c r="J41" i="58"/>
  <c r="H41" i="58"/>
  <c r="I41" i="58"/>
  <c r="D42" i="58"/>
  <c r="C84" i="78"/>
  <c r="G37" i="58"/>
  <c r="E9" i="65"/>
  <c r="D32" i="83" s="1"/>
  <c r="F9" i="65"/>
  <c r="E32" i="83" s="1"/>
  <c r="G9" i="65"/>
  <c r="F32" i="83" s="1"/>
  <c r="H9" i="65"/>
  <c r="G32" i="83" s="1"/>
  <c r="I9" i="65"/>
  <c r="H32" i="83" s="1"/>
  <c r="D9" i="65"/>
  <c r="C32" i="83" s="1"/>
  <c r="H87" i="78" l="1"/>
  <c r="U41" i="58"/>
  <c r="H87" i="83" s="1"/>
  <c r="F87" i="78"/>
  <c r="S41" i="58"/>
  <c r="F87" i="83" s="1"/>
  <c r="D85" i="78"/>
  <c r="Q42" i="58"/>
  <c r="D85" i="83" s="1"/>
  <c r="E87" i="78"/>
  <c r="R41" i="58"/>
  <c r="E87" i="83" s="1"/>
  <c r="G87" i="78"/>
  <c r="T41" i="58"/>
  <c r="G87" i="83" s="1"/>
  <c r="D87" i="78"/>
  <c r="Q41" i="58"/>
  <c r="D87" i="83" s="1"/>
  <c r="C87" i="78"/>
  <c r="N41" i="58"/>
  <c r="C87" i="83" s="1"/>
  <c r="C85" i="78"/>
  <c r="N42" i="58"/>
  <c r="C85" i="83" s="1"/>
  <c r="G40" i="58"/>
  <c r="Q40" i="58" s="1"/>
  <c r="G32" i="78"/>
  <c r="D40" i="58"/>
  <c r="N40" i="58" s="1"/>
  <c r="F32" i="78"/>
  <c r="H32" i="78"/>
  <c r="C32" i="78"/>
  <c r="E32" i="78"/>
  <c r="D32" i="78"/>
  <c r="C20" i="39"/>
  <c r="D34" i="65"/>
  <c r="D21" i="65"/>
  <c r="H20" i="39"/>
  <c r="I21" i="65"/>
  <c r="G20" i="39"/>
  <c r="H21" i="65"/>
  <c r="F20" i="39"/>
  <c r="G21" i="65"/>
  <c r="E20" i="39"/>
  <c r="F21" i="65"/>
  <c r="D20" i="39"/>
  <c r="E21" i="65"/>
  <c r="G106" i="53"/>
  <c r="F106" i="53"/>
  <c r="E106" i="53"/>
  <c r="C28" i="5"/>
  <c r="C106" i="53"/>
  <c r="H106" i="53"/>
  <c r="D106" i="53"/>
  <c r="N7" i="78" l="1"/>
  <c r="N7" i="83"/>
  <c r="C43" i="78"/>
  <c r="C43" i="83"/>
  <c r="F36" i="78"/>
  <c r="F36" i="83"/>
  <c r="C36" i="78"/>
  <c r="C36" i="83"/>
  <c r="L7" i="78"/>
  <c r="L7" i="83"/>
  <c r="O7" i="78"/>
  <c r="O7" i="83"/>
  <c r="E36" i="78"/>
  <c r="E36" i="83"/>
  <c r="D36" i="78"/>
  <c r="D36" i="83"/>
  <c r="H36" i="78"/>
  <c r="H36" i="83"/>
  <c r="G36" i="78"/>
  <c r="G36" i="83"/>
  <c r="P7" i="78"/>
  <c r="P7" i="83"/>
  <c r="M7" i="78"/>
  <c r="M7" i="83"/>
  <c r="Q7" i="78"/>
  <c r="Q7" i="83"/>
  <c r="E34" i="1"/>
  <c r="F34" i="1"/>
  <c r="F71" i="1" l="1"/>
  <c r="G71" i="1"/>
  <c r="H71" i="1"/>
  <c r="I71" i="1"/>
  <c r="J71" i="1"/>
  <c r="E71" i="1"/>
  <c r="D29" i="17" l="1"/>
  <c r="E29" i="17"/>
  <c r="F29" i="17"/>
  <c r="G29" i="17"/>
  <c r="H29" i="17"/>
  <c r="D30" i="17"/>
  <c r="E30" i="17"/>
  <c r="F30" i="17"/>
  <c r="G30" i="17"/>
  <c r="H30" i="17"/>
  <c r="D31" i="17"/>
  <c r="E31" i="17"/>
  <c r="F31" i="17"/>
  <c r="G31" i="17"/>
  <c r="H31" i="17"/>
  <c r="T67" i="53" l="1"/>
  <c r="BY67" i="53" s="1"/>
  <c r="G98" i="1"/>
  <c r="H98" i="1"/>
  <c r="I98" i="1"/>
  <c r="J98" i="1"/>
  <c r="T63" i="53" l="1"/>
  <c r="BY63" i="53" s="1"/>
  <c r="U54" i="85" s="1"/>
  <c r="AX67" i="53"/>
  <c r="CZ67" i="53" s="1"/>
  <c r="V67" i="53"/>
  <c r="CA67" i="53" s="1"/>
  <c r="W67" i="53"/>
  <c r="CB67" i="53" s="1"/>
  <c r="U67" i="53"/>
  <c r="BZ67" i="53" s="1"/>
  <c r="X67" i="53"/>
  <c r="CC67" i="53" s="1"/>
  <c r="AR47" i="60"/>
  <c r="CO47" i="60" s="1"/>
  <c r="AP47" i="60"/>
  <c r="CM47" i="60" s="1"/>
  <c r="V90" i="53"/>
  <c r="W90" i="53"/>
  <c r="P8" i="1"/>
  <c r="R8" i="1" s="1"/>
  <c r="O8" i="1"/>
  <c r="N8" i="1"/>
  <c r="M8" i="1"/>
  <c r="L8" i="1"/>
  <c r="U129" i="85" l="1"/>
  <c r="X62" i="67"/>
  <c r="X137" i="67" s="1"/>
  <c r="CB90" i="53"/>
  <c r="X62" i="85" s="1"/>
  <c r="X137" i="85" s="1"/>
  <c r="W62" i="67"/>
  <c r="W137" i="67" s="1"/>
  <c r="CA90" i="53"/>
  <c r="W62" i="85" s="1"/>
  <c r="W137" i="85" s="1"/>
  <c r="K8" i="1"/>
  <c r="Q8" i="1" s="1"/>
  <c r="A142" i="1"/>
  <c r="W63" i="53"/>
  <c r="CB63" i="53" s="1"/>
  <c r="X54" i="85" s="1"/>
  <c r="X129" i="85" s="1"/>
  <c r="BA67" i="53"/>
  <c r="X63" i="53"/>
  <c r="CC63" i="53" s="1"/>
  <c r="Y54" i="85" s="1"/>
  <c r="BB67" i="53"/>
  <c r="DD67" i="53" s="1"/>
  <c r="V63" i="53"/>
  <c r="CA63" i="53" s="1"/>
  <c r="W54" i="85" s="1"/>
  <c r="W129" i="85" s="1"/>
  <c r="AZ67" i="53"/>
  <c r="U63" i="53"/>
  <c r="BZ63" i="53" s="1"/>
  <c r="V54" i="85" s="1"/>
  <c r="V129" i="85" s="1"/>
  <c r="AY67" i="53"/>
  <c r="AQ47" i="60"/>
  <c r="CN47" i="60" s="1"/>
  <c r="AM47" i="60"/>
  <c r="S67" i="53"/>
  <c r="BX67" i="53" s="1"/>
  <c r="V101" i="53"/>
  <c r="BB90" i="53"/>
  <c r="DD90" i="53" s="1"/>
  <c r="T90" i="53"/>
  <c r="BY90" i="53" s="1"/>
  <c r="U62" i="85" s="1"/>
  <c r="W101" i="53"/>
  <c r="AW90" i="53"/>
  <c r="CY90" i="53" s="1"/>
  <c r="U90" i="53"/>
  <c r="AT47" i="60"/>
  <c r="CQ47" i="60" s="1"/>
  <c r="AS47" i="60"/>
  <c r="CP47" i="60" s="1"/>
  <c r="S90" i="53"/>
  <c r="BX90" i="53" s="1"/>
  <c r="T62" i="85" s="1"/>
  <c r="T137" i="85" s="1"/>
  <c r="X90" i="53"/>
  <c r="AX90" i="53"/>
  <c r="CZ90" i="53" s="1"/>
  <c r="BA90" i="53"/>
  <c r="DC90" i="53" s="1"/>
  <c r="AZ90" i="53"/>
  <c r="DB90" i="53" s="1"/>
  <c r="AY90" i="53"/>
  <c r="DA90" i="53" s="1"/>
  <c r="AA54" i="85" l="1"/>
  <c r="Y129" i="85"/>
  <c r="Z62" i="85"/>
  <c r="U137" i="85"/>
  <c r="Z137" i="85" s="1"/>
  <c r="BA63" i="53"/>
  <c r="DC63" i="53" s="1"/>
  <c r="DC67" i="53"/>
  <c r="V62" i="67"/>
  <c r="V137" i="67" s="1"/>
  <c r="BZ90" i="53"/>
  <c r="V62" i="85" s="1"/>
  <c r="V137" i="85" s="1"/>
  <c r="AY63" i="53"/>
  <c r="DA63" i="53" s="1"/>
  <c r="DA67" i="53"/>
  <c r="W112" i="53"/>
  <c r="CB112" i="53" s="1"/>
  <c r="CB101" i="53"/>
  <c r="AZ63" i="53"/>
  <c r="DB63" i="53" s="1"/>
  <c r="DB67" i="53"/>
  <c r="Y62" i="67"/>
  <c r="Y137" i="67" s="1"/>
  <c r="CC90" i="53"/>
  <c r="Y62" i="85" s="1"/>
  <c r="V112" i="53"/>
  <c r="CA112" i="53" s="1"/>
  <c r="CA101" i="53"/>
  <c r="AU47" i="60"/>
  <c r="CJ47" i="60"/>
  <c r="Z67" i="53"/>
  <c r="Y67" i="53"/>
  <c r="CD67" i="53" s="1"/>
  <c r="U62" i="67"/>
  <c r="U137" i="67" s="1"/>
  <c r="Z90" i="53"/>
  <c r="Y90" i="53"/>
  <c r="CD90" i="53" s="1"/>
  <c r="AC67" i="73"/>
  <c r="S63" i="53"/>
  <c r="BX63" i="53" s="1"/>
  <c r="T54" i="85" s="1"/>
  <c r="AW67" i="53"/>
  <c r="AE90" i="73"/>
  <c r="T62" i="67"/>
  <c r="T137" i="67" s="1"/>
  <c r="AE67" i="73"/>
  <c r="AF67" i="73"/>
  <c r="BW67" i="73" s="1"/>
  <c r="AF90" i="73"/>
  <c r="BW90" i="73" s="1"/>
  <c r="AH67" i="73"/>
  <c r="BX67" i="73" s="1"/>
  <c r="BB63" i="53"/>
  <c r="DD63" i="53" s="1"/>
  <c r="Y67" i="73"/>
  <c r="BS67" i="73" s="1"/>
  <c r="U101" i="53"/>
  <c r="AC90" i="73"/>
  <c r="AB90" i="73"/>
  <c r="BU90" i="73" s="1"/>
  <c r="AG67" i="73"/>
  <c r="AD67" i="73"/>
  <c r="BV67" i="73" s="1"/>
  <c r="AA67" i="73"/>
  <c r="X101" i="53"/>
  <c r="AI90" i="73"/>
  <c r="AH90" i="73"/>
  <c r="BX90" i="73" s="1"/>
  <c r="AG90" i="73"/>
  <c r="Z67" i="73"/>
  <c r="BT67" i="73" s="1"/>
  <c r="S101" i="53"/>
  <c r="Y90" i="73"/>
  <c r="BS90" i="73" s="1"/>
  <c r="AB67" i="73"/>
  <c r="BU67" i="73" s="1"/>
  <c r="AI67" i="73"/>
  <c r="T101" i="53"/>
  <c r="Z90" i="73"/>
  <c r="BT90" i="73" s="1"/>
  <c r="AA90" i="73"/>
  <c r="AD90" i="73"/>
  <c r="BV90" i="73" s="1"/>
  <c r="AX63" i="53"/>
  <c r="CZ63" i="53" s="1"/>
  <c r="C16" i="16"/>
  <c r="T129" i="85" l="1"/>
  <c r="Z129" i="85" s="1"/>
  <c r="Z54" i="85"/>
  <c r="AA62" i="85"/>
  <c r="Y137" i="85"/>
  <c r="AA137" i="85" s="1"/>
  <c r="AM25" i="79"/>
  <c r="L16" i="16"/>
  <c r="AM25" i="84" s="1"/>
  <c r="X112" i="53"/>
  <c r="CC112" i="53" s="1"/>
  <c r="CC101" i="53"/>
  <c r="AW63" i="53"/>
  <c r="CY63" i="53" s="1"/>
  <c r="CY67" i="53"/>
  <c r="S112" i="53"/>
  <c r="BX112" i="53" s="1"/>
  <c r="BX101" i="53"/>
  <c r="U112" i="53"/>
  <c r="BZ112" i="53" s="1"/>
  <c r="BZ101" i="53"/>
  <c r="T112" i="53"/>
  <c r="BY112" i="53" s="1"/>
  <c r="BY101" i="53"/>
  <c r="AA62" i="67"/>
  <c r="Z63" i="53"/>
  <c r="Y63" i="53"/>
  <c r="CD63" i="53" s="1"/>
  <c r="Z137" i="67"/>
  <c r="AA137" i="67"/>
  <c r="Z62" i="67"/>
  <c r="G27" i="58"/>
  <c r="Q27" i="58" s="1"/>
  <c r="H27" i="58"/>
  <c r="R27" i="58" s="1"/>
  <c r="I27" i="58"/>
  <c r="S27" i="58" s="1"/>
  <c r="J27" i="58"/>
  <c r="T27" i="58" s="1"/>
  <c r="K27" i="58"/>
  <c r="U27" i="58" s="1"/>
  <c r="D27" i="58"/>
  <c r="N27" i="58" s="1"/>
  <c r="AA129" i="85" l="1"/>
  <c r="H8" i="22"/>
  <c r="G8" i="22"/>
  <c r="F8" i="22"/>
  <c r="D8" i="22"/>
  <c r="G9" i="49"/>
  <c r="F9" i="49"/>
  <c r="E9" i="49"/>
  <c r="D9" i="49"/>
  <c r="C9" i="49"/>
  <c r="K7" i="58"/>
  <c r="U7" i="58" s="1"/>
  <c r="J7" i="58"/>
  <c r="T7" i="58" s="1"/>
  <c r="I7" i="58"/>
  <c r="S7" i="58" s="1"/>
  <c r="H7" i="58"/>
  <c r="R7" i="58" s="1"/>
  <c r="G7" i="58"/>
  <c r="Q7" i="58" s="1"/>
  <c r="D7" i="58"/>
  <c r="N7" i="58" s="1"/>
  <c r="B34" i="58" l="1"/>
  <c r="B15" i="58"/>
  <c r="B26" i="58"/>
  <c r="B11" i="58"/>
  <c r="B25" i="58"/>
  <c r="B10" i="58"/>
  <c r="B35" i="58"/>
  <c r="B20" i="58"/>
  <c r="I7" i="65"/>
  <c r="H7" i="65"/>
  <c r="G7" i="65"/>
  <c r="F7" i="65"/>
  <c r="E7" i="65"/>
  <c r="D7" i="65"/>
  <c r="E20" i="17"/>
  <c r="F20" i="17"/>
  <c r="G20" i="17"/>
  <c r="H20" i="17"/>
  <c r="D20" i="17"/>
  <c r="D19" i="17"/>
  <c r="E19" i="17"/>
  <c r="F19" i="17"/>
  <c r="G19" i="17"/>
  <c r="H19" i="17"/>
  <c r="H27" i="17"/>
  <c r="G27" i="17"/>
  <c r="F27" i="17"/>
  <c r="E27" i="17"/>
  <c r="D27" i="17"/>
  <c r="I37" i="65"/>
  <c r="H44" i="83" s="1"/>
  <c r="H37" i="65"/>
  <c r="G44" i="83" s="1"/>
  <c r="G37" i="65"/>
  <c r="F44" i="83" s="1"/>
  <c r="F37" i="65"/>
  <c r="E44" i="83" s="1"/>
  <c r="E37" i="65"/>
  <c r="D44" i="83" s="1"/>
  <c r="D37" i="65"/>
  <c r="C44" i="83" s="1"/>
  <c r="I33" i="65"/>
  <c r="H42" i="83" s="1"/>
  <c r="H33" i="65"/>
  <c r="G42" i="83" s="1"/>
  <c r="G33" i="65"/>
  <c r="F42" i="83" s="1"/>
  <c r="F33" i="65"/>
  <c r="E42" i="83" s="1"/>
  <c r="E33" i="65"/>
  <c r="D42" i="83" s="1"/>
  <c r="I26" i="65"/>
  <c r="H37" i="83" s="1"/>
  <c r="H26" i="65"/>
  <c r="G37" i="83" s="1"/>
  <c r="G26" i="65"/>
  <c r="F37" i="83" s="1"/>
  <c r="F26" i="65"/>
  <c r="E37" i="83" s="1"/>
  <c r="E26" i="65"/>
  <c r="D37" i="83" s="1"/>
  <c r="D26" i="65"/>
  <c r="C37" i="83" s="1"/>
  <c r="AR57" i="79" l="1"/>
  <c r="AR54" i="79" s="1"/>
  <c r="AL54" i="79" s="1"/>
  <c r="AR57" i="84"/>
  <c r="AR54" i="84" s="1"/>
  <c r="AL54" i="84" s="1"/>
  <c r="AS57" i="79"/>
  <c r="AS54" i="79" s="1"/>
  <c r="AM54" i="79" s="1"/>
  <c r="AS57" i="84"/>
  <c r="AS54" i="84" s="1"/>
  <c r="AM54" i="84" s="1"/>
  <c r="AT57" i="84"/>
  <c r="AT54" i="84" s="1"/>
  <c r="AN54" i="84" s="1"/>
  <c r="AT57" i="79"/>
  <c r="AT54" i="79" s="1"/>
  <c r="AN54" i="79" s="1"/>
  <c r="AU57" i="84"/>
  <c r="AU54" i="84" s="1"/>
  <c r="AO54" i="84" s="1"/>
  <c r="AU57" i="79"/>
  <c r="AU54" i="79" s="1"/>
  <c r="AO54" i="79" s="1"/>
  <c r="AV57" i="79"/>
  <c r="AV54" i="79" s="1"/>
  <c r="AP54" i="79" s="1"/>
  <c r="AV57" i="84"/>
  <c r="AV54" i="84" s="1"/>
  <c r="AP54" i="84" s="1"/>
  <c r="F34" i="65"/>
  <c r="E42" i="78"/>
  <c r="H38" i="65"/>
  <c r="G44" i="78"/>
  <c r="H27" i="65"/>
  <c r="G37" i="78"/>
  <c r="E38" i="65"/>
  <c r="D44" i="78"/>
  <c r="E34" i="65"/>
  <c r="D42" i="78"/>
  <c r="I34" i="65"/>
  <c r="H42" i="78"/>
  <c r="G38" i="65"/>
  <c r="F44" i="78"/>
  <c r="G27" i="65"/>
  <c r="F37" i="78"/>
  <c r="G34" i="65"/>
  <c r="F42" i="78"/>
  <c r="I38" i="65"/>
  <c r="H44" i="78"/>
  <c r="E27" i="65"/>
  <c r="D37" i="78"/>
  <c r="I27" i="65"/>
  <c r="H37" i="78"/>
  <c r="H34" i="65"/>
  <c r="G42" i="78"/>
  <c r="F38" i="65"/>
  <c r="E44" i="78"/>
  <c r="D27" i="65"/>
  <c r="C37" i="78"/>
  <c r="F27" i="65"/>
  <c r="E37" i="78"/>
  <c r="D38" i="65"/>
  <c r="C44" i="78"/>
  <c r="F57" i="65"/>
  <c r="G57" i="65"/>
  <c r="H57" i="65"/>
  <c r="I57" i="65"/>
  <c r="J40" i="74"/>
  <c r="H40" i="74"/>
  <c r="I40" i="74"/>
  <c r="K40" i="74"/>
  <c r="D28" i="17"/>
  <c r="E53" i="65"/>
  <c r="D55" i="83" s="1"/>
  <c r="H28" i="17"/>
  <c r="I53" i="65"/>
  <c r="H55" i="83" s="1"/>
  <c r="E28" i="17"/>
  <c r="F53" i="65"/>
  <c r="E55" i="83" s="1"/>
  <c r="F28" i="17"/>
  <c r="G53" i="65"/>
  <c r="F55" i="83" s="1"/>
  <c r="G28" i="17"/>
  <c r="H53" i="65"/>
  <c r="G55" i="83" s="1"/>
  <c r="E30" i="65"/>
  <c r="D30" i="65"/>
  <c r="I48" i="65"/>
  <c r="E48" i="65"/>
  <c r="D50" i="83" s="1"/>
  <c r="F48" i="65"/>
  <c r="E50" i="83" s="1"/>
  <c r="I30" i="65"/>
  <c r="G30" i="65"/>
  <c r="D53" i="65"/>
  <c r="C55" i="83" s="1"/>
  <c r="D48" i="65"/>
  <c r="G48" i="65"/>
  <c r="H48" i="65"/>
  <c r="G50" i="83" s="1"/>
  <c r="H30" i="65"/>
  <c r="F30" i="65"/>
  <c r="C50" i="83" l="1"/>
  <c r="F130" i="41"/>
  <c r="H130" i="41"/>
  <c r="G130" i="41"/>
  <c r="E38" i="78"/>
  <c r="E38" i="83"/>
  <c r="H38" i="78"/>
  <c r="H38" i="83"/>
  <c r="F38" i="78"/>
  <c r="F38" i="83"/>
  <c r="D45" i="78"/>
  <c r="D45" i="83"/>
  <c r="G39" i="78"/>
  <c r="G39" i="83"/>
  <c r="C39" i="78"/>
  <c r="C39" i="83"/>
  <c r="C38" i="78"/>
  <c r="C38" i="83"/>
  <c r="D38" i="78"/>
  <c r="D38" i="83"/>
  <c r="F45" i="78"/>
  <c r="F45" i="83"/>
  <c r="G38" i="78"/>
  <c r="G38" i="83"/>
  <c r="M130" i="41"/>
  <c r="M147" i="41" s="1"/>
  <c r="BG147" i="41" s="1"/>
  <c r="N29" i="85" s="1"/>
  <c r="H50" i="83"/>
  <c r="F39" i="78"/>
  <c r="F39" i="83"/>
  <c r="E45" i="78"/>
  <c r="E45" i="83"/>
  <c r="H45" i="78"/>
  <c r="H45" i="83"/>
  <c r="H43" i="78"/>
  <c r="H43" i="83"/>
  <c r="G45" i="78"/>
  <c r="G45" i="83"/>
  <c r="D39" i="78"/>
  <c r="D39" i="83"/>
  <c r="H39" i="78"/>
  <c r="H39" i="83"/>
  <c r="K130" i="41"/>
  <c r="K147" i="41" s="1"/>
  <c r="BE147" i="41" s="1"/>
  <c r="L29" i="85" s="1"/>
  <c r="F50" i="83"/>
  <c r="E39" i="78"/>
  <c r="E39" i="83"/>
  <c r="C45" i="78"/>
  <c r="C45" i="83"/>
  <c r="G43" i="78"/>
  <c r="G43" i="83"/>
  <c r="F43" i="78"/>
  <c r="F43" i="83"/>
  <c r="D43" i="78"/>
  <c r="D43" i="83"/>
  <c r="E43" i="78"/>
  <c r="E43" i="83"/>
  <c r="F132" i="41"/>
  <c r="AE132" i="41" s="1"/>
  <c r="AE149" i="41" s="1"/>
  <c r="BY149" i="41" s="1"/>
  <c r="H132" i="41"/>
  <c r="G132" i="41"/>
  <c r="G149" i="41" s="1"/>
  <c r="BA149" i="41" s="1"/>
  <c r="F131" i="41"/>
  <c r="W136" i="41" s="1"/>
  <c r="H131" i="41"/>
  <c r="G131" i="41"/>
  <c r="G148" i="41" s="1"/>
  <c r="BA148" i="41" s="1"/>
  <c r="J130" i="41"/>
  <c r="S130" i="41" s="1"/>
  <c r="S147" i="41" s="1"/>
  <c r="BM147" i="41" s="1"/>
  <c r="L130" i="41"/>
  <c r="L147" i="41" s="1"/>
  <c r="BF147" i="41" s="1"/>
  <c r="M29" i="85" s="1"/>
  <c r="K131" i="41"/>
  <c r="F50" i="78"/>
  <c r="K132" i="41"/>
  <c r="K149" i="41" s="1"/>
  <c r="BE149" i="41" s="1"/>
  <c r="L35" i="85" s="1"/>
  <c r="F55" i="78"/>
  <c r="M132" i="41"/>
  <c r="M149" i="41" s="1"/>
  <c r="BG149" i="41" s="1"/>
  <c r="N35" i="85" s="1"/>
  <c r="H55" i="78"/>
  <c r="C55" i="78"/>
  <c r="L132" i="41"/>
  <c r="L149" i="41" s="1"/>
  <c r="BF149" i="41" s="1"/>
  <c r="M35" i="85" s="1"/>
  <c r="G55" i="78"/>
  <c r="J132" i="41"/>
  <c r="J149" i="41" s="1"/>
  <c r="BD149" i="41" s="1"/>
  <c r="K35" i="85" s="1"/>
  <c r="E55" i="78"/>
  <c r="L131" i="41"/>
  <c r="G50" i="78"/>
  <c r="M131" i="41"/>
  <c r="H50" i="78"/>
  <c r="C50" i="78"/>
  <c r="J131" i="41"/>
  <c r="E50" i="78"/>
  <c r="I132" i="41"/>
  <c r="I149" i="41" s="1"/>
  <c r="BC149" i="41" s="1"/>
  <c r="J35" i="85" s="1"/>
  <c r="D55" i="78"/>
  <c r="I131" i="41"/>
  <c r="D50" i="78"/>
  <c r="I130" i="41"/>
  <c r="I147" i="41" s="1"/>
  <c r="BC147" i="41" s="1"/>
  <c r="J29" i="85" s="1"/>
  <c r="E36" i="39"/>
  <c r="F49" i="65"/>
  <c r="F36" i="39"/>
  <c r="G49" i="65"/>
  <c r="I32" i="65"/>
  <c r="I31" i="65"/>
  <c r="D32" i="65"/>
  <c r="D31" i="65"/>
  <c r="F52" i="39"/>
  <c r="G54" i="65"/>
  <c r="H52" i="39"/>
  <c r="I54" i="65"/>
  <c r="F32" i="65"/>
  <c r="F31" i="65"/>
  <c r="C36" i="39"/>
  <c r="D49" i="65"/>
  <c r="C52" i="39"/>
  <c r="D54" i="65"/>
  <c r="D36" i="39"/>
  <c r="E49" i="65"/>
  <c r="G52" i="39"/>
  <c r="H54" i="65"/>
  <c r="E52" i="39"/>
  <c r="F54" i="65"/>
  <c r="D52" i="39"/>
  <c r="E54" i="65"/>
  <c r="H32" i="65"/>
  <c r="H31" i="65"/>
  <c r="G36" i="39"/>
  <c r="H49" i="65"/>
  <c r="G32" i="65"/>
  <c r="G31" i="65"/>
  <c r="H36" i="39"/>
  <c r="I49" i="65"/>
  <c r="E32" i="65"/>
  <c r="E31" i="65"/>
  <c r="C29" i="5"/>
  <c r="K107" i="53"/>
  <c r="BQ107" i="53" s="1"/>
  <c r="C30" i="5"/>
  <c r="P107" i="53"/>
  <c r="BV107" i="53" s="1"/>
  <c r="O107" i="53"/>
  <c r="BU107" i="53" s="1"/>
  <c r="M107" i="53"/>
  <c r="BS107" i="53" s="1"/>
  <c r="N107" i="53"/>
  <c r="BT107" i="53" s="1"/>
  <c r="L107" i="53"/>
  <c r="BR107" i="53" s="1"/>
  <c r="I64" i="1"/>
  <c r="G64" i="1"/>
  <c r="J64" i="1"/>
  <c r="E64" i="1"/>
  <c r="H64" i="1"/>
  <c r="F64" i="1"/>
  <c r="D43" i="65"/>
  <c r="G18" i="65"/>
  <c r="F33" i="83" s="1"/>
  <c r="F18" i="65"/>
  <c r="E33" i="83" s="1"/>
  <c r="H18" i="65"/>
  <c r="G33" i="83" s="1"/>
  <c r="G43" i="65"/>
  <c r="I43" i="65"/>
  <c r="E43" i="65"/>
  <c r="E18" i="65"/>
  <c r="D33" i="83" s="1"/>
  <c r="H63" i="1"/>
  <c r="J63" i="1"/>
  <c r="I63" i="1"/>
  <c r="E63" i="1"/>
  <c r="F63" i="1"/>
  <c r="G63" i="1"/>
  <c r="I18" i="65"/>
  <c r="H33" i="83" s="1"/>
  <c r="D18" i="65"/>
  <c r="C33" i="83" s="1"/>
  <c r="H43" i="65"/>
  <c r="F43" i="65"/>
  <c r="O137" i="41" l="1"/>
  <c r="AE137" i="41"/>
  <c r="G147" i="41"/>
  <c r="BA147" i="41" s="1"/>
  <c r="X130" i="41"/>
  <c r="X147" i="41" s="1"/>
  <c r="BR147" i="41" s="1"/>
  <c r="AF130" i="41"/>
  <c r="AF147" i="41" s="1"/>
  <c r="BZ147" i="41" s="1"/>
  <c r="H147" i="41"/>
  <c r="BB147" i="41" s="1"/>
  <c r="Q135" i="41"/>
  <c r="BK135" i="41" s="1"/>
  <c r="Q130" i="41"/>
  <c r="Q147" i="41" s="1"/>
  <c r="BK147" i="41" s="1"/>
  <c r="AG130" i="41"/>
  <c r="AG147" i="41" s="1"/>
  <c r="CA147" i="41" s="1"/>
  <c r="AG135" i="41"/>
  <c r="CA135" i="41" s="1"/>
  <c r="Y130" i="41"/>
  <c r="Y147" i="41" s="1"/>
  <c r="BS147" i="41" s="1"/>
  <c r="H135" i="41"/>
  <c r="BB135" i="41" s="1"/>
  <c r="F137" i="41"/>
  <c r="AZ137" i="41" s="1"/>
  <c r="O130" i="41"/>
  <c r="O147" i="41" s="1"/>
  <c r="BI147" i="41" s="1"/>
  <c r="AE130" i="41"/>
  <c r="AE147" i="41" s="1"/>
  <c r="BY147" i="41" s="1"/>
  <c r="W135" i="41"/>
  <c r="O135" i="41"/>
  <c r="F147" i="41"/>
  <c r="AZ147" i="41" s="1"/>
  <c r="AE135" i="41"/>
  <c r="F135" i="41"/>
  <c r="W130" i="41"/>
  <c r="W147" i="41" s="1"/>
  <c r="BQ147" i="41" s="1"/>
  <c r="W137" i="41"/>
  <c r="W142" i="41" s="1"/>
  <c r="BQ142" i="41" s="1"/>
  <c r="F149" i="41"/>
  <c r="AZ149" i="41" s="1"/>
  <c r="O132" i="41"/>
  <c r="O149" i="41" s="1"/>
  <c r="BI149" i="41" s="1"/>
  <c r="G51" i="78"/>
  <c r="G51" i="83"/>
  <c r="G56" i="78"/>
  <c r="G56" i="83"/>
  <c r="E40" i="78"/>
  <c r="E40" i="83"/>
  <c r="H40" i="78"/>
  <c r="H40" i="83"/>
  <c r="E41" i="78"/>
  <c r="E41" i="83"/>
  <c r="H41" i="78"/>
  <c r="H41" i="83"/>
  <c r="F41" i="78"/>
  <c r="F41" i="83"/>
  <c r="D51" i="78"/>
  <c r="D51" i="83"/>
  <c r="O35" i="85"/>
  <c r="C41" i="78"/>
  <c r="C41" i="83"/>
  <c r="H56" i="78"/>
  <c r="H56" i="83"/>
  <c r="G41" i="78"/>
  <c r="G41" i="83"/>
  <c r="D41" i="78"/>
  <c r="D41" i="83"/>
  <c r="H51" i="78"/>
  <c r="H51" i="83"/>
  <c r="D56" i="78"/>
  <c r="D56" i="83"/>
  <c r="C56" i="78"/>
  <c r="C56" i="83"/>
  <c r="F56" i="78"/>
  <c r="F56" i="83"/>
  <c r="E51" i="78"/>
  <c r="E51" i="83"/>
  <c r="G40" i="78"/>
  <c r="G40" i="83"/>
  <c r="F51" i="78"/>
  <c r="F51" i="83"/>
  <c r="G46" i="78"/>
  <c r="G46" i="83"/>
  <c r="W132" i="41"/>
  <c r="W149" i="41" s="1"/>
  <c r="BQ149" i="41" s="1"/>
  <c r="F46" i="78"/>
  <c r="F46" i="83"/>
  <c r="E46" i="78"/>
  <c r="E46" i="83"/>
  <c r="D40" i="78"/>
  <c r="D40" i="83"/>
  <c r="C46" i="78"/>
  <c r="C46" i="83"/>
  <c r="D46" i="78"/>
  <c r="D46" i="83"/>
  <c r="H46" i="78"/>
  <c r="H46" i="83"/>
  <c r="F40" i="78"/>
  <c r="F40" i="83"/>
  <c r="E56" i="78"/>
  <c r="E56" i="83"/>
  <c r="C51" i="78"/>
  <c r="C51" i="83"/>
  <c r="C40" i="78"/>
  <c r="C40" i="83"/>
  <c r="AE142" i="41"/>
  <c r="BY142" i="41" s="1"/>
  <c r="BY137" i="41"/>
  <c r="W141" i="41"/>
  <c r="BQ141" i="41" s="1"/>
  <c r="BQ136" i="41"/>
  <c r="O142" i="41"/>
  <c r="BI142" i="41" s="1"/>
  <c r="BI137" i="41"/>
  <c r="F148" i="41"/>
  <c r="AZ148" i="41" s="1"/>
  <c r="O131" i="41"/>
  <c r="F129" i="41"/>
  <c r="AE136" i="41"/>
  <c r="W131" i="41"/>
  <c r="W148" i="41" s="1"/>
  <c r="BQ148" i="41" s="1"/>
  <c r="F136" i="41"/>
  <c r="AE131" i="41"/>
  <c r="AE148" i="41" s="1"/>
  <c r="H149" i="41"/>
  <c r="BB149" i="41" s="1"/>
  <c r="Q132" i="41"/>
  <c r="Q149" i="41" s="1"/>
  <c r="BK149" i="41" s="1"/>
  <c r="Y132" i="41"/>
  <c r="Y149" i="41" s="1"/>
  <c r="BS149" i="41" s="1"/>
  <c r="AG132" i="41"/>
  <c r="AG149" i="41" s="1"/>
  <c r="CA149" i="41" s="1"/>
  <c r="O136" i="41"/>
  <c r="Y131" i="41"/>
  <c r="Q131" i="41"/>
  <c r="AG131" i="41"/>
  <c r="J147" i="41"/>
  <c r="G19" i="65"/>
  <c r="F33" i="78"/>
  <c r="H19" i="65"/>
  <c r="G33" i="78"/>
  <c r="I19" i="65"/>
  <c r="H33" i="78"/>
  <c r="R135" i="41"/>
  <c r="BL135" i="41" s="1"/>
  <c r="R130" i="41"/>
  <c r="R147" i="41" s="1"/>
  <c r="BL147" i="41" s="1"/>
  <c r="Z130" i="41"/>
  <c r="Z147" i="41" s="1"/>
  <c r="BT147" i="41" s="1"/>
  <c r="I135" i="41"/>
  <c r="BC135" i="41" s="1"/>
  <c r="AH130" i="41"/>
  <c r="AH147" i="41" s="1"/>
  <c r="CB147" i="41" s="1"/>
  <c r="E19" i="65"/>
  <c r="D33" i="78"/>
  <c r="D19" i="65"/>
  <c r="C33" i="78"/>
  <c r="F19" i="65"/>
  <c r="E33" i="78"/>
  <c r="D46" i="65"/>
  <c r="G129" i="74"/>
  <c r="G128" i="74"/>
  <c r="G12" i="17"/>
  <c r="H45" i="65"/>
  <c r="H44" i="65"/>
  <c r="F12" i="17"/>
  <c r="G45" i="65"/>
  <c r="G44" i="65"/>
  <c r="D45" i="65"/>
  <c r="D44" i="65"/>
  <c r="F45" i="65"/>
  <c r="F44" i="65"/>
  <c r="I45" i="65"/>
  <c r="I44" i="65"/>
  <c r="D12" i="17"/>
  <c r="E44" i="65"/>
  <c r="E45" i="65"/>
  <c r="I129" i="74"/>
  <c r="I128" i="74"/>
  <c r="J129" i="74"/>
  <c r="J128" i="74"/>
  <c r="H129" i="74"/>
  <c r="H128" i="74"/>
  <c r="K129" i="74"/>
  <c r="K128" i="74"/>
  <c r="E65" i="1"/>
  <c r="H65" i="1"/>
  <c r="H15" i="2" s="1"/>
  <c r="G46" i="65"/>
  <c r="E46" i="65"/>
  <c r="F46" i="65"/>
  <c r="E12" i="17"/>
  <c r="H12" i="17"/>
  <c r="J65" i="1"/>
  <c r="J14" i="2" s="1"/>
  <c r="I46" i="65"/>
  <c r="I65" i="1"/>
  <c r="I15" i="2" s="1"/>
  <c r="G65" i="1"/>
  <c r="G14" i="2" s="1"/>
  <c r="H46" i="65"/>
  <c r="F65" i="1"/>
  <c r="F142" i="41" l="1"/>
  <c r="AZ142" i="41" s="1"/>
  <c r="BQ137" i="41"/>
  <c r="F140" i="41"/>
  <c r="AZ135" i="41"/>
  <c r="AE140" i="41"/>
  <c r="BY135" i="41"/>
  <c r="W140" i="41"/>
  <c r="W139" i="41" s="1"/>
  <c r="BQ139" i="41" s="1"/>
  <c r="BQ135" i="41"/>
  <c r="O129" i="41"/>
  <c r="BI135" i="41"/>
  <c r="O140" i="41"/>
  <c r="F146" i="41"/>
  <c r="AZ146" i="41" s="1"/>
  <c r="AE155" i="41"/>
  <c r="BY155" i="41" s="1"/>
  <c r="O155" i="41"/>
  <c r="BI155" i="41" s="1"/>
  <c r="F155" i="41"/>
  <c r="AZ155" i="41" s="1"/>
  <c r="AV38" i="84"/>
  <c r="AP38" i="84" s="1"/>
  <c r="AV38" i="79"/>
  <c r="AP38" i="79" s="1"/>
  <c r="AS38" i="84"/>
  <c r="AM38" i="84" s="1"/>
  <c r="AS38" i="79"/>
  <c r="AM38" i="79" s="1"/>
  <c r="AR38" i="84"/>
  <c r="AL38" i="84" s="1"/>
  <c r="AR38" i="79"/>
  <c r="AL38" i="79" s="1"/>
  <c r="AT38" i="84"/>
  <c r="AN38" i="84" s="1"/>
  <c r="AT38" i="79"/>
  <c r="AN38" i="79" s="1"/>
  <c r="AU38" i="84"/>
  <c r="AO38" i="84" s="1"/>
  <c r="AU38" i="79"/>
  <c r="AO38" i="79" s="1"/>
  <c r="AF10" i="78"/>
  <c r="AF10" i="83"/>
  <c r="H34" i="78"/>
  <c r="H34" i="83"/>
  <c r="C47" i="78"/>
  <c r="C47" i="83"/>
  <c r="D34" i="78"/>
  <c r="D34" i="83"/>
  <c r="C48" i="78"/>
  <c r="C48" i="83"/>
  <c r="G34" i="78"/>
  <c r="G34" i="83"/>
  <c r="AE10" i="78"/>
  <c r="AE10" i="83"/>
  <c r="D48" i="78"/>
  <c r="D48" i="83"/>
  <c r="D47" i="78"/>
  <c r="D47" i="83"/>
  <c r="F47" i="78"/>
  <c r="F47" i="83"/>
  <c r="F34" i="78"/>
  <c r="F34" i="83"/>
  <c r="E48" i="78"/>
  <c r="E48" i="83"/>
  <c r="AG9" i="78"/>
  <c r="AG9" i="83"/>
  <c r="F48" i="78"/>
  <c r="F48" i="83"/>
  <c r="H47" i="78"/>
  <c r="H47" i="83"/>
  <c r="E34" i="78"/>
  <c r="E34" i="83"/>
  <c r="H48" i="78"/>
  <c r="H48" i="83"/>
  <c r="G47" i="78"/>
  <c r="G47" i="83"/>
  <c r="AD9" i="78"/>
  <c r="AD9" i="83"/>
  <c r="E47" i="78"/>
  <c r="E47" i="83"/>
  <c r="G48" i="78"/>
  <c r="G48" i="83"/>
  <c r="C34" i="78"/>
  <c r="C34" i="83"/>
  <c r="W155" i="41"/>
  <c r="BQ155" i="41" s="1"/>
  <c r="Q21" i="85"/>
  <c r="N147" i="41"/>
  <c r="BH147" i="41" s="1"/>
  <c r="BD147" i="41"/>
  <c r="K29" i="85" s="1"/>
  <c r="AE141" i="41"/>
  <c r="AE154" i="41" s="1"/>
  <c r="BY136" i="41"/>
  <c r="AE146" i="41"/>
  <c r="BY146" i="41" s="1"/>
  <c r="BY148" i="41"/>
  <c r="O141" i="41"/>
  <c r="BI136" i="41"/>
  <c r="F141" i="41"/>
  <c r="AZ141" i="41" s="1"/>
  <c r="AZ136" i="41"/>
  <c r="O148" i="41"/>
  <c r="AE129" i="41"/>
  <c r="W129" i="41"/>
  <c r="W154" i="41"/>
  <c r="BQ154" i="41" s="1"/>
  <c r="W146" i="41"/>
  <c r="BQ146" i="41" s="1"/>
  <c r="E14" i="2"/>
  <c r="E15" i="2"/>
  <c r="G15" i="2"/>
  <c r="AD10" i="83" s="1"/>
  <c r="I14" i="2"/>
  <c r="AF9" i="83" s="1"/>
  <c r="H14" i="2"/>
  <c r="AE9" i="83" s="1"/>
  <c r="J15" i="2"/>
  <c r="F14" i="2"/>
  <c r="AC9" i="83" s="1"/>
  <c r="F15" i="2"/>
  <c r="V14" i="2"/>
  <c r="Z132" i="41"/>
  <c r="Z149" i="41" s="1"/>
  <c r="BT149" i="41" s="1"/>
  <c r="AH137" i="41"/>
  <c r="R137" i="41"/>
  <c r="Z137" i="41"/>
  <c r="J35" i="67"/>
  <c r="AH132" i="41"/>
  <c r="AH149" i="41" s="1"/>
  <c r="CB149" i="41" s="1"/>
  <c r="R132" i="41"/>
  <c r="I137" i="41"/>
  <c r="BC137" i="41" s="1"/>
  <c r="L129" i="41"/>
  <c r="U130" i="41"/>
  <c r="U147" i="41" s="1"/>
  <c r="BO147" i="41" s="1"/>
  <c r="AK135" i="41"/>
  <c r="AK130" i="41"/>
  <c r="AK147" i="41" s="1"/>
  <c r="CE147" i="41" s="1"/>
  <c r="AC135" i="41"/>
  <c r="M29" i="67"/>
  <c r="U135" i="41"/>
  <c r="L135" i="41"/>
  <c r="AC130" i="41"/>
  <c r="AC147" i="41" s="1"/>
  <c r="BW147" i="41" s="1"/>
  <c r="X137" i="41"/>
  <c r="P137" i="41"/>
  <c r="P132" i="41"/>
  <c r="AF137" i="41"/>
  <c r="AF132" i="41"/>
  <c r="AF149" i="41" s="1"/>
  <c r="BZ149" i="41" s="1"/>
  <c r="X132" i="41"/>
  <c r="X149" i="41" s="1"/>
  <c r="BR149" i="41" s="1"/>
  <c r="G137" i="41"/>
  <c r="I148" i="41"/>
  <c r="AH131" i="41"/>
  <c r="AH148" i="41" s="1"/>
  <c r="CB148" i="41" s="1"/>
  <c r="Z131" i="41"/>
  <c r="Z148" i="41" s="1"/>
  <c r="BT148" i="41" s="1"/>
  <c r="AH136" i="41"/>
  <c r="Z136" i="41"/>
  <c r="R131" i="41"/>
  <c r="R148" i="41" s="1"/>
  <c r="I136" i="41"/>
  <c r="BC136" i="41" s="1"/>
  <c r="R136" i="41"/>
  <c r="AG137" i="41"/>
  <c r="Y137" i="41"/>
  <c r="H137" i="41"/>
  <c r="Q137" i="41"/>
  <c r="AG136" i="41"/>
  <c r="Y148" i="41"/>
  <c r="BS148" i="41" s="1"/>
  <c r="Q148" i="41"/>
  <c r="BK148" i="41" s="1"/>
  <c r="AG148" i="41"/>
  <c r="CA148" i="41" s="1"/>
  <c r="H148" i="41"/>
  <c r="BB148" i="41" s="1"/>
  <c r="Y136" i="41"/>
  <c r="H136" i="41"/>
  <c r="Q136" i="41"/>
  <c r="I129" i="41"/>
  <c r="AH135" i="41"/>
  <c r="J29" i="67"/>
  <c r="Z135" i="41"/>
  <c r="R140" i="41"/>
  <c r="BL140" i="41" s="1"/>
  <c r="G129" i="41"/>
  <c r="P130" i="41"/>
  <c r="P147" i="41" s="1"/>
  <c r="BJ147" i="41" s="1"/>
  <c r="G135" i="41"/>
  <c r="X135" i="41"/>
  <c r="P135" i="41"/>
  <c r="AF135" i="41"/>
  <c r="J129" i="41"/>
  <c r="AA135" i="41"/>
  <c r="AA130" i="41"/>
  <c r="AA147" i="41" s="1"/>
  <c r="BU147" i="41" s="1"/>
  <c r="AI135" i="41"/>
  <c r="K29" i="67"/>
  <c r="S135" i="41"/>
  <c r="AI130" i="41"/>
  <c r="AI147" i="41" s="1"/>
  <c r="CC147" i="41" s="1"/>
  <c r="J135" i="41"/>
  <c r="AL131" i="41"/>
  <c r="AL148" i="41" s="1"/>
  <c r="CF148" i="41" s="1"/>
  <c r="AD131" i="41"/>
  <c r="AD148" i="41" s="1"/>
  <c r="BX148" i="41" s="1"/>
  <c r="V131" i="41"/>
  <c r="V148" i="41" s="1"/>
  <c r="V136" i="41"/>
  <c r="M148" i="41"/>
  <c r="BG148" i="41" s="1"/>
  <c r="N32" i="85" s="1"/>
  <c r="M136" i="41"/>
  <c r="AL136" i="41"/>
  <c r="AD136" i="41"/>
  <c r="V130" i="41"/>
  <c r="V147" i="41" s="1"/>
  <c r="BP147" i="41" s="1"/>
  <c r="M129" i="41"/>
  <c r="AL135" i="41"/>
  <c r="V135" i="41"/>
  <c r="AL130" i="41"/>
  <c r="AL147" i="41" s="1"/>
  <c r="CF147" i="41" s="1"/>
  <c r="AD135" i="41"/>
  <c r="AD130" i="41"/>
  <c r="AD147" i="41" s="1"/>
  <c r="BX147" i="41" s="1"/>
  <c r="N29" i="67"/>
  <c r="M135" i="41"/>
  <c r="K129" i="41"/>
  <c r="AB130" i="41"/>
  <c r="AB147" i="41" s="1"/>
  <c r="BV147" i="41" s="1"/>
  <c r="T135" i="41"/>
  <c r="K135" i="41"/>
  <c r="L29" i="67"/>
  <c r="AB135" i="41"/>
  <c r="T130" i="41"/>
  <c r="T147" i="41" s="1"/>
  <c r="BN147" i="41" s="1"/>
  <c r="AJ130" i="41"/>
  <c r="AJ147" i="41" s="1"/>
  <c r="CD147" i="41" s="1"/>
  <c r="AJ135" i="41"/>
  <c r="S131" i="41"/>
  <c r="S148" i="41" s="1"/>
  <c r="S136" i="41"/>
  <c r="J148" i="41"/>
  <c r="BD148" i="41" s="1"/>
  <c r="K32" i="85" s="1"/>
  <c r="AI131" i="41"/>
  <c r="AI148" i="41" s="1"/>
  <c r="CC148" i="41" s="1"/>
  <c r="AA131" i="41"/>
  <c r="AA148" i="41" s="1"/>
  <c r="BU148" i="41" s="1"/>
  <c r="AA136" i="41"/>
  <c r="AI136" i="41"/>
  <c r="J136" i="41"/>
  <c r="H129" i="41"/>
  <c r="Y135" i="41"/>
  <c r="AG140" i="41"/>
  <c r="CA140" i="41" s="1"/>
  <c r="H140" i="41"/>
  <c r="BB140" i="41" s="1"/>
  <c r="Q140" i="41"/>
  <c r="BK140" i="41" s="1"/>
  <c r="L148" i="41"/>
  <c r="BF148" i="41" s="1"/>
  <c r="M32" i="85" s="1"/>
  <c r="M44" i="85" s="1"/>
  <c r="L136" i="41"/>
  <c r="U131" i="41"/>
  <c r="U148" i="41" s="1"/>
  <c r="AC131" i="41"/>
  <c r="AC148" i="41" s="1"/>
  <c r="BW148" i="41" s="1"/>
  <c r="AK136" i="41"/>
  <c r="AC136" i="41"/>
  <c r="U136" i="41"/>
  <c r="AK131" i="41"/>
  <c r="AK148" i="41" s="1"/>
  <c r="CE148" i="41" s="1"/>
  <c r="AC132" i="41"/>
  <c r="AC149" i="41" s="1"/>
  <c r="BW149" i="41" s="1"/>
  <c r="U137" i="41"/>
  <c r="U132" i="41"/>
  <c r="AK137" i="41"/>
  <c r="AC137" i="41"/>
  <c r="AK132" i="41"/>
  <c r="AK149" i="41" s="1"/>
  <c r="CE149" i="41" s="1"/>
  <c r="L137" i="41"/>
  <c r="AB132" i="41"/>
  <c r="AB149" i="41" s="1"/>
  <c r="BV149" i="41" s="1"/>
  <c r="AB137" i="41"/>
  <c r="T137" i="41"/>
  <c r="AJ137" i="41"/>
  <c r="AJ132" i="41"/>
  <c r="AJ149" i="41" s="1"/>
  <c r="CD149" i="41" s="1"/>
  <c r="K137" i="41"/>
  <c r="T132" i="41"/>
  <c r="X131" i="41"/>
  <c r="X148" i="41" s="1"/>
  <c r="BR148" i="41" s="1"/>
  <c r="X136" i="41"/>
  <c r="P131" i="41"/>
  <c r="P148" i="41" s="1"/>
  <c r="BJ148" i="41" s="1"/>
  <c r="G136" i="41"/>
  <c r="AF131" i="41"/>
  <c r="AF148" i="41" s="1"/>
  <c r="BZ148" i="41" s="1"/>
  <c r="P136" i="41"/>
  <c r="AF136" i="41"/>
  <c r="V132" i="41"/>
  <c r="M137" i="41"/>
  <c r="AD132" i="41"/>
  <c r="AD149" i="41" s="1"/>
  <c r="BX149" i="41" s="1"/>
  <c r="AL137" i="41"/>
  <c r="V137" i="41"/>
  <c r="AL132" i="41"/>
  <c r="AL149" i="41" s="1"/>
  <c r="CF149" i="41" s="1"/>
  <c r="AD137" i="41"/>
  <c r="AB136" i="41"/>
  <c r="T136" i="41"/>
  <c r="AB131" i="41"/>
  <c r="AB148" i="41" s="1"/>
  <c r="BV148" i="41" s="1"/>
  <c r="AJ136" i="41"/>
  <c r="K148" i="41"/>
  <c r="BE148" i="41" s="1"/>
  <c r="L32" i="85" s="1"/>
  <c r="L44" i="85" s="1"/>
  <c r="K136" i="41"/>
  <c r="AJ131" i="41"/>
  <c r="AJ148" i="41" s="1"/>
  <c r="CD148" i="41" s="1"/>
  <c r="T131" i="41"/>
  <c r="T148" i="41" s="1"/>
  <c r="AA137" i="41"/>
  <c r="AA132" i="41"/>
  <c r="AA149" i="41" s="1"/>
  <c r="BU149" i="41" s="1"/>
  <c r="AI132" i="41"/>
  <c r="AI149" i="41" s="1"/>
  <c r="CC149" i="41" s="1"/>
  <c r="S132" i="41"/>
  <c r="S149" i="41" s="1"/>
  <c r="BM149" i="41" s="1"/>
  <c r="S137" i="41"/>
  <c r="J137" i="41"/>
  <c r="AI137" i="41"/>
  <c r="BQ140" i="41" l="1"/>
  <c r="W153" i="41"/>
  <c r="BQ153" i="41" s="1"/>
  <c r="BY140" i="41"/>
  <c r="AE153" i="41"/>
  <c r="BY153" i="41" s="1"/>
  <c r="BI140" i="41"/>
  <c r="O153" i="41"/>
  <c r="BI153" i="41" s="1"/>
  <c r="F153" i="41"/>
  <c r="AZ153" i="41" s="1"/>
  <c r="AZ140" i="41"/>
  <c r="AG10" i="78"/>
  <c r="AG10" i="83"/>
  <c r="AC10" i="78"/>
  <c r="AC10" i="83"/>
  <c r="N44" i="85"/>
  <c r="AB10" i="78"/>
  <c r="AB10" i="83"/>
  <c r="K44" i="85"/>
  <c r="O29" i="85"/>
  <c r="AB9" i="78"/>
  <c r="AB9" i="83"/>
  <c r="AA141" i="41"/>
  <c r="BU141" i="41" s="1"/>
  <c r="BU136" i="41"/>
  <c r="AF140" i="41"/>
  <c r="BZ140" i="41" s="1"/>
  <c r="BZ135" i="41"/>
  <c r="AB140" i="41"/>
  <c r="BV140" i="41" s="1"/>
  <c r="BV135" i="41"/>
  <c r="AL141" i="41"/>
  <c r="CF141" i="41" s="1"/>
  <c r="CF136" i="41"/>
  <c r="P140" i="41"/>
  <c r="BJ140" i="41" s="1"/>
  <c r="BJ135" i="41"/>
  <c r="AH140" i="41"/>
  <c r="CB140" i="41" s="1"/>
  <c r="CB135" i="41"/>
  <c r="N15" i="7"/>
  <c r="BK15" i="7" s="1"/>
  <c r="BL148" i="41"/>
  <c r="AD141" i="41"/>
  <c r="BX141" i="41" s="1"/>
  <c r="BX136" i="41"/>
  <c r="U140" i="41"/>
  <c r="BO140" i="41" s="1"/>
  <c r="BO135" i="41"/>
  <c r="M142" i="41"/>
  <c r="BG142" i="41" s="1"/>
  <c r="BG137" i="41"/>
  <c r="L142" i="41"/>
  <c r="BF142" i="41" s="1"/>
  <c r="BF137" i="41"/>
  <c r="U141" i="41"/>
  <c r="BO141" i="41" s="1"/>
  <c r="BO136" i="41"/>
  <c r="AD140" i="41"/>
  <c r="BX140" i="41" s="1"/>
  <c r="BX135" i="41"/>
  <c r="M141" i="41"/>
  <c r="BG141" i="41" s="1"/>
  <c r="BG136" i="41"/>
  <c r="S140" i="41"/>
  <c r="BM140" i="41" s="1"/>
  <c r="BM135" i="41"/>
  <c r="X140" i="41"/>
  <c r="BR140" i="41" s="1"/>
  <c r="BR135" i="41"/>
  <c r="AG141" i="41"/>
  <c r="CA141" i="41" s="1"/>
  <c r="CA136" i="41"/>
  <c r="Z141" i="41"/>
  <c r="BT141" i="41" s="1"/>
  <c r="BT136" i="41"/>
  <c r="AF142" i="41"/>
  <c r="BZ142" i="41" s="1"/>
  <c r="BZ137" i="41"/>
  <c r="AC140" i="41"/>
  <c r="BW140" i="41" s="1"/>
  <c r="BW135" i="41"/>
  <c r="AE152" i="41"/>
  <c r="BY152" i="41" s="1"/>
  <c r="BY154" i="41"/>
  <c r="X141" i="41"/>
  <c r="BR141" i="41" s="1"/>
  <c r="BR136" i="41"/>
  <c r="AC141" i="41"/>
  <c r="BW141" i="41" s="1"/>
  <c r="BW136" i="41"/>
  <c r="K140" i="41"/>
  <c r="BE140" i="41" s="1"/>
  <c r="BE135" i="41"/>
  <c r="G140" i="41"/>
  <c r="BA140" i="41" s="1"/>
  <c r="BA135" i="41"/>
  <c r="Q141" i="41"/>
  <c r="BK141" i="41" s="1"/>
  <c r="BK136" i="41"/>
  <c r="Q142" i="41"/>
  <c r="BK142" i="41" s="1"/>
  <c r="BK137" i="41"/>
  <c r="AH141" i="41"/>
  <c r="CB141" i="41" s="1"/>
  <c r="CB136" i="41"/>
  <c r="Z142" i="41"/>
  <c r="BT142" i="41" s="1"/>
  <c r="BT137" i="41"/>
  <c r="S142" i="41"/>
  <c r="BM142" i="41" s="1"/>
  <c r="BM137" i="41"/>
  <c r="AB142" i="41"/>
  <c r="BV142" i="41" s="1"/>
  <c r="BV137" i="41"/>
  <c r="T141" i="41"/>
  <c r="BN141" i="41" s="1"/>
  <c r="BN136" i="41"/>
  <c r="AA142" i="41"/>
  <c r="BU142" i="41" s="1"/>
  <c r="BU137" i="41"/>
  <c r="AB141" i="41"/>
  <c r="BV141" i="41" s="1"/>
  <c r="BV136" i="41"/>
  <c r="AF141" i="41"/>
  <c r="BZ141" i="41" s="1"/>
  <c r="BZ136" i="41"/>
  <c r="K142" i="41"/>
  <c r="BE142" i="41" s="1"/>
  <c r="BE137" i="41"/>
  <c r="AC142" i="41"/>
  <c r="BW142" i="41" s="1"/>
  <c r="BW137" i="41"/>
  <c r="AK141" i="41"/>
  <c r="CE141" i="41" s="1"/>
  <c r="CE136" i="41"/>
  <c r="Y140" i="41"/>
  <c r="BS140" i="41" s="1"/>
  <c r="BS135" i="41"/>
  <c r="S141" i="41"/>
  <c r="BM141" i="41" s="1"/>
  <c r="BM136" i="41"/>
  <c r="T140" i="41"/>
  <c r="BN140" i="41" s="1"/>
  <c r="BN135" i="41"/>
  <c r="V140" i="41"/>
  <c r="BP140" i="41" s="1"/>
  <c r="BP135" i="41"/>
  <c r="V141" i="41"/>
  <c r="BP141" i="41" s="1"/>
  <c r="BP136" i="41"/>
  <c r="AI140" i="41"/>
  <c r="CC140" i="41" s="1"/>
  <c r="CC135" i="41"/>
  <c r="H141" i="41"/>
  <c r="BB141" i="41" s="1"/>
  <c r="BB136" i="41"/>
  <c r="H142" i="41"/>
  <c r="BB142" i="41" s="1"/>
  <c r="BB137" i="41"/>
  <c r="P142" i="41"/>
  <c r="BJ142" i="41" s="1"/>
  <c r="BJ137" i="41"/>
  <c r="AK140" i="41"/>
  <c r="CE140" i="41" s="1"/>
  <c r="CE135" i="41"/>
  <c r="R142" i="41"/>
  <c r="BL142" i="41" s="1"/>
  <c r="BL137" i="41"/>
  <c r="AJ141" i="41"/>
  <c r="CD141" i="41" s="1"/>
  <c r="CD136" i="41"/>
  <c r="AK142" i="41"/>
  <c r="CE142" i="41" s="1"/>
  <c r="CE137" i="41"/>
  <c r="O15" i="7"/>
  <c r="BL15" i="7" s="1"/>
  <c r="BM148" i="41"/>
  <c r="AL140" i="41"/>
  <c r="CF140" i="41" s="1"/>
  <c r="CF135" i="41"/>
  <c r="R15" i="7"/>
  <c r="BO15" i="7" s="1"/>
  <c r="BP148" i="41"/>
  <c r="Y141" i="41"/>
  <c r="BS141" i="41" s="1"/>
  <c r="BS136" i="41"/>
  <c r="Y142" i="41"/>
  <c r="BS142" i="41" s="1"/>
  <c r="BS137" i="41"/>
  <c r="X142" i="41"/>
  <c r="BR142" i="41" s="1"/>
  <c r="BR137" i="41"/>
  <c r="AH142" i="41"/>
  <c r="CB142" i="41" s="1"/>
  <c r="CB137" i="41"/>
  <c r="AE139" i="41"/>
  <c r="BY139" i="41" s="1"/>
  <c r="BY141" i="41"/>
  <c r="AL142" i="41"/>
  <c r="CF142" i="41" s="1"/>
  <c r="CF137" i="41"/>
  <c r="AD142" i="41"/>
  <c r="BX142" i="41" s="1"/>
  <c r="BX137" i="41"/>
  <c r="AJ142" i="41"/>
  <c r="CD142" i="41" s="1"/>
  <c r="CD137" i="41"/>
  <c r="Q15" i="7"/>
  <c r="BN15" i="7" s="1"/>
  <c r="BO148" i="41"/>
  <c r="J141" i="41"/>
  <c r="BD141" i="41" s="1"/>
  <c r="BD136" i="41"/>
  <c r="AJ140" i="41"/>
  <c r="CD140" i="41" s="1"/>
  <c r="CD135" i="41"/>
  <c r="AA140" i="41"/>
  <c r="BU140" i="41" s="1"/>
  <c r="BU135" i="41"/>
  <c r="AG142" i="41"/>
  <c r="CA142" i="41" s="1"/>
  <c r="CA137" i="41"/>
  <c r="J32" i="67"/>
  <c r="J44" i="67" s="1"/>
  <c r="BC148" i="41"/>
  <c r="J32" i="85" s="1"/>
  <c r="J140" i="41"/>
  <c r="BD140" i="41" s="1"/>
  <c r="BD135" i="41"/>
  <c r="P15" i="7"/>
  <c r="BM15" i="7" s="1"/>
  <c r="BN148" i="41"/>
  <c r="P141" i="41"/>
  <c r="BJ141" i="41" s="1"/>
  <c r="BJ136" i="41"/>
  <c r="AI142" i="41"/>
  <c r="CC142" i="41" s="1"/>
  <c r="CC137" i="41"/>
  <c r="J142" i="41"/>
  <c r="BD142" i="41" s="1"/>
  <c r="BD137" i="41"/>
  <c r="K141" i="41"/>
  <c r="BE141" i="41" s="1"/>
  <c r="BE136" i="41"/>
  <c r="V142" i="41"/>
  <c r="BP142" i="41" s="1"/>
  <c r="BP137" i="41"/>
  <c r="G141" i="41"/>
  <c r="BA141" i="41" s="1"/>
  <c r="BA136" i="41"/>
  <c r="T142" i="41"/>
  <c r="BN142" i="41" s="1"/>
  <c r="BN137" i="41"/>
  <c r="U142" i="41"/>
  <c r="BO142" i="41" s="1"/>
  <c r="BO137" i="41"/>
  <c r="L141" i="41"/>
  <c r="BF141" i="41" s="1"/>
  <c r="BF136" i="41"/>
  <c r="AI141" i="41"/>
  <c r="CC141" i="41" s="1"/>
  <c r="CC136" i="41"/>
  <c r="M140" i="41"/>
  <c r="BG140" i="41" s="1"/>
  <c r="BG135" i="41"/>
  <c r="Z140" i="41"/>
  <c r="BT140" i="41" s="1"/>
  <c r="BT135" i="41"/>
  <c r="R141" i="41"/>
  <c r="BL141" i="41" s="1"/>
  <c r="BL136" i="41"/>
  <c r="G142" i="41"/>
  <c r="BA142" i="41" s="1"/>
  <c r="BA137" i="41"/>
  <c r="L140" i="41"/>
  <c r="BF140" i="41" s="1"/>
  <c r="BF135" i="41"/>
  <c r="F154" i="41"/>
  <c r="AZ154" i="41" s="1"/>
  <c r="O146" i="41"/>
  <c r="BI146" i="41" s="1"/>
  <c r="BI148" i="41"/>
  <c r="F139" i="41"/>
  <c r="AZ139" i="41" s="1"/>
  <c r="O154" i="41"/>
  <c r="O139" i="41"/>
  <c r="BI139" i="41" s="1"/>
  <c r="BI141" i="41"/>
  <c r="W152" i="41"/>
  <c r="BQ152" i="41" s="1"/>
  <c r="T149" i="41"/>
  <c r="R149" i="41"/>
  <c r="V149" i="41"/>
  <c r="U149" i="41"/>
  <c r="P149" i="41"/>
  <c r="U14" i="2"/>
  <c r="AF9" i="78"/>
  <c r="Q14" i="2"/>
  <c r="AC9" i="78"/>
  <c r="S14" i="2"/>
  <c r="AE9" i="78"/>
  <c r="S15" i="2"/>
  <c r="AD10" i="78"/>
  <c r="Z10" i="7"/>
  <c r="BW10" i="7" s="1"/>
  <c r="N35" i="67"/>
  <c r="O29" i="67"/>
  <c r="Q19" i="67" s="1"/>
  <c r="W10" i="7"/>
  <c r="BT10" i="7" s="1"/>
  <c r="K35" i="67"/>
  <c r="Y10" i="7"/>
  <c r="BV10" i="7" s="1"/>
  <c r="M35" i="67"/>
  <c r="O10" i="7"/>
  <c r="BL10" i="7" s="1"/>
  <c r="K32" i="67"/>
  <c r="R10" i="7"/>
  <c r="BO10" i="7" s="1"/>
  <c r="N32" i="67"/>
  <c r="P10" i="7"/>
  <c r="BM10" i="7" s="1"/>
  <c r="L32" i="67"/>
  <c r="X10" i="7"/>
  <c r="BU10" i="7" s="1"/>
  <c r="L35" i="67"/>
  <c r="Q10" i="7"/>
  <c r="BN10" i="7" s="1"/>
  <c r="M32" i="67"/>
  <c r="R14" i="2"/>
  <c r="Q15" i="2"/>
  <c r="T14" i="2"/>
  <c r="R15" i="2"/>
  <c r="T15" i="2"/>
  <c r="V15" i="2"/>
  <c r="U15" i="2"/>
  <c r="R16" i="7"/>
  <c r="BO16" i="7" s="1"/>
  <c r="E71" i="7"/>
  <c r="BB71" i="7" s="1"/>
  <c r="AI129" i="41"/>
  <c r="AA129" i="41"/>
  <c r="AG129" i="41"/>
  <c r="H10" i="7"/>
  <c r="BE10" i="7" s="1"/>
  <c r="K146" i="41"/>
  <c r="G146" i="41"/>
  <c r="BA146" i="41" s="1"/>
  <c r="P129" i="41"/>
  <c r="F10" i="7"/>
  <c r="BC10" i="7" s="1"/>
  <c r="I146" i="41"/>
  <c r="R153" i="41"/>
  <c r="BL153" i="41" s="1"/>
  <c r="R129" i="41"/>
  <c r="M71" i="7"/>
  <c r="BJ71" i="7" s="1"/>
  <c r="S129" i="41"/>
  <c r="W15" i="7"/>
  <c r="BT15" i="7" s="1"/>
  <c r="Y16" i="7"/>
  <c r="BV16" i="7" s="1"/>
  <c r="Y129" i="41"/>
  <c r="T129" i="41"/>
  <c r="J10" i="7"/>
  <c r="BG10" i="7" s="1"/>
  <c r="M146" i="41"/>
  <c r="G15" i="7"/>
  <c r="BD15" i="7" s="1"/>
  <c r="AF146" i="41"/>
  <c r="BZ146" i="41" s="1"/>
  <c r="AF129" i="41"/>
  <c r="AH129" i="41"/>
  <c r="Z129" i="41"/>
  <c r="N136" i="41"/>
  <c r="BH136" i="41" s="1"/>
  <c r="I141" i="41"/>
  <c r="BC141" i="41" s="1"/>
  <c r="N16" i="7"/>
  <c r="BK16" i="7" s="1"/>
  <c r="AK129" i="41"/>
  <c r="I142" i="41"/>
  <c r="BC142" i="41" s="1"/>
  <c r="N137" i="41"/>
  <c r="BH137" i="41" s="1"/>
  <c r="N10" i="7"/>
  <c r="BK10" i="7" s="1"/>
  <c r="N148" i="41"/>
  <c r="BH148" i="41" s="1"/>
  <c r="I10" i="7"/>
  <c r="BF10" i="7" s="1"/>
  <c r="L146" i="41"/>
  <c r="U129" i="41"/>
  <c r="Q16" i="7"/>
  <c r="BN16" i="7" s="1"/>
  <c r="Q129" i="41"/>
  <c r="O16" i="7"/>
  <c r="BL16" i="7" s="1"/>
  <c r="AB129" i="41"/>
  <c r="AD129" i="41"/>
  <c r="W16" i="7"/>
  <c r="BT16" i="7" s="1"/>
  <c r="P16" i="7"/>
  <c r="BM16" i="7" s="1"/>
  <c r="Z16" i="7"/>
  <c r="BW16" i="7" s="1"/>
  <c r="H146" i="41"/>
  <c r="BB146" i="41" s="1"/>
  <c r="X16" i="7"/>
  <c r="BU16" i="7" s="1"/>
  <c r="H153" i="41"/>
  <c r="BB153" i="41" s="1"/>
  <c r="AJ129" i="41"/>
  <c r="H9" i="7"/>
  <c r="BE9" i="7" s="1"/>
  <c r="K153" i="41"/>
  <c r="AL129" i="41"/>
  <c r="V129" i="41"/>
  <c r="G10" i="7"/>
  <c r="BD10" i="7" s="1"/>
  <c r="J146" i="41"/>
  <c r="X129" i="41"/>
  <c r="N135" i="41"/>
  <c r="BH135" i="41" s="1"/>
  <c r="I140" i="41"/>
  <c r="BC140" i="41" s="1"/>
  <c r="Y155" i="41"/>
  <c r="BS155" i="41" s="1"/>
  <c r="U60" i="7"/>
  <c r="BR60" i="7" s="1"/>
  <c r="N71" i="7"/>
  <c r="BK71" i="7" s="1"/>
  <c r="AC129" i="41"/>
  <c r="V10" i="7"/>
  <c r="BS10" i="7" s="1"/>
  <c r="N149" i="41"/>
  <c r="BH149" i="41" s="1"/>
  <c r="V16" i="7"/>
  <c r="BS16" i="7" s="1"/>
  <c r="T154" i="41" l="1"/>
  <c r="AK153" i="41"/>
  <c r="CE153" i="41" s="1"/>
  <c r="S154" i="41"/>
  <c r="BM154" i="41" s="1"/>
  <c r="J154" i="41"/>
  <c r="BD154" i="41" s="1"/>
  <c r="K31" i="85" s="1"/>
  <c r="K11" i="85" s="1"/>
  <c r="G71" i="7"/>
  <c r="BD71" i="7" s="1"/>
  <c r="AD154" i="41"/>
  <c r="BX154" i="41" s="1"/>
  <c r="AA154" i="41"/>
  <c r="BU154" i="41" s="1"/>
  <c r="K155" i="41"/>
  <c r="BE155" i="41" s="1"/>
  <c r="L34" i="85" s="1"/>
  <c r="L12" i="85" s="1"/>
  <c r="I71" i="7"/>
  <c r="BF71" i="7" s="1"/>
  <c r="W71" i="7"/>
  <c r="BT71" i="7" s="1"/>
  <c r="Z155" i="41"/>
  <c r="BT155" i="41" s="1"/>
  <c r="I60" i="7"/>
  <c r="BF60" i="7" s="1"/>
  <c r="AI155" i="41"/>
  <c r="CC155" i="41" s="1"/>
  <c r="U154" i="41"/>
  <c r="BO154" i="41" s="1"/>
  <c r="AL155" i="41"/>
  <c r="CF155" i="41" s="1"/>
  <c r="AI154" i="41"/>
  <c r="CC154" i="41" s="1"/>
  <c r="O71" i="7"/>
  <c r="BL71" i="7" s="1"/>
  <c r="R60" i="7"/>
  <c r="BO60" i="7" s="1"/>
  <c r="AL154" i="41"/>
  <c r="CF154" i="41" s="1"/>
  <c r="Z71" i="7"/>
  <c r="BW71" i="7" s="1"/>
  <c r="R71" i="7"/>
  <c r="BO71" i="7" s="1"/>
  <c r="AD139" i="41"/>
  <c r="BX139" i="41" s="1"/>
  <c r="O9" i="7"/>
  <c r="BL9" i="7" s="1"/>
  <c r="J153" i="41"/>
  <c r="K28" i="67" s="1"/>
  <c r="K10" i="67" s="1"/>
  <c r="AL139" i="41"/>
  <c r="CF139" i="41" s="1"/>
  <c r="AI139" i="41"/>
  <c r="CC139" i="41" s="1"/>
  <c r="X9" i="7"/>
  <c r="BU9" i="7" s="1"/>
  <c r="M153" i="41"/>
  <c r="J11" i="7" s="1"/>
  <c r="BG11" i="7" s="1"/>
  <c r="O60" i="7"/>
  <c r="BL60" i="7" s="1"/>
  <c r="AD155" i="41"/>
  <c r="BX155" i="41" s="1"/>
  <c r="J9" i="7"/>
  <c r="BG9" i="7" s="1"/>
  <c r="Z60" i="7"/>
  <c r="BW60" i="7" s="1"/>
  <c r="J60" i="7"/>
  <c r="BG60" i="7" s="1"/>
  <c r="J71" i="7"/>
  <c r="BG71" i="7" s="1"/>
  <c r="L153" i="41"/>
  <c r="M28" i="67" s="1"/>
  <c r="M10" i="67" s="1"/>
  <c r="T139" i="41"/>
  <c r="BN139" i="41" s="1"/>
  <c r="AC155" i="41"/>
  <c r="BW155" i="41" s="1"/>
  <c r="Y60" i="7"/>
  <c r="BV60" i="7" s="1"/>
  <c r="J155" i="41"/>
  <c r="BD155" i="41" s="1"/>
  <c r="K34" i="85" s="1"/>
  <c r="K33" i="85" s="1"/>
  <c r="K21" i="85" s="1"/>
  <c r="H71" i="7"/>
  <c r="BE71" i="7" s="1"/>
  <c r="T153" i="41"/>
  <c r="BN153" i="41" s="1"/>
  <c r="AA155" i="41"/>
  <c r="BU155" i="41" s="1"/>
  <c r="G155" i="41"/>
  <c r="BA155" i="41" s="1"/>
  <c r="G139" i="41"/>
  <c r="BA139" i="41" s="1"/>
  <c r="J139" i="41"/>
  <c r="BD139" i="41" s="1"/>
  <c r="W60" i="7"/>
  <c r="BT60" i="7" s="1"/>
  <c r="AH154" i="41"/>
  <c r="CB154" i="41" s="1"/>
  <c r="M139" i="41"/>
  <c r="BG139" i="41" s="1"/>
  <c r="AJ155" i="41"/>
  <c r="CD155" i="41" s="1"/>
  <c r="M154" i="41"/>
  <c r="BG154" i="41" s="1"/>
  <c r="N31" i="85" s="1"/>
  <c r="N11" i="85" s="1"/>
  <c r="R9" i="7"/>
  <c r="BO9" i="7" s="1"/>
  <c r="P153" i="41"/>
  <c r="BJ153" i="41" s="1"/>
  <c r="G9" i="7"/>
  <c r="BD9" i="7" s="1"/>
  <c r="Z154" i="41"/>
  <c r="BT154" i="41" s="1"/>
  <c r="W9" i="7"/>
  <c r="BT9" i="7" s="1"/>
  <c r="I9" i="7"/>
  <c r="BF9" i="7" s="1"/>
  <c r="F71" i="7"/>
  <c r="BC71" i="7" s="1"/>
  <c r="G153" i="41"/>
  <c r="BA153" i="41" s="1"/>
  <c r="U139" i="41"/>
  <c r="BO139" i="41" s="1"/>
  <c r="AJ154" i="41"/>
  <c r="CD154" i="41" s="1"/>
  <c r="AB154" i="41"/>
  <c r="BV154" i="41" s="1"/>
  <c r="Z9" i="7"/>
  <c r="BW9" i="7" s="1"/>
  <c r="K139" i="41"/>
  <c r="BE139" i="41" s="1"/>
  <c r="M155" i="41"/>
  <c r="BG155" i="41" s="1"/>
  <c r="N34" i="85" s="1"/>
  <c r="N33" i="85" s="1"/>
  <c r="N21" i="85" s="1"/>
  <c r="P71" i="7"/>
  <c r="BM71" i="7" s="1"/>
  <c r="AJ139" i="41"/>
  <c r="CD139" i="41" s="1"/>
  <c r="G60" i="7"/>
  <c r="BD60" i="7" s="1"/>
  <c r="Q71" i="7"/>
  <c r="BN71" i="7" s="1"/>
  <c r="AA139" i="41"/>
  <c r="BU139" i="41" s="1"/>
  <c r="K154" i="41"/>
  <c r="BE154" i="41" s="1"/>
  <c r="L31" i="85" s="1"/>
  <c r="L30" i="85" s="1"/>
  <c r="L20" i="85" s="1"/>
  <c r="Q154" i="41"/>
  <c r="BK154" i="41" s="1"/>
  <c r="P9" i="7"/>
  <c r="BM9" i="7" s="1"/>
  <c r="AH139" i="41"/>
  <c r="CB139" i="41" s="1"/>
  <c r="AH153" i="41"/>
  <c r="CB153" i="41" s="1"/>
  <c r="N60" i="7"/>
  <c r="BK60" i="7" s="1"/>
  <c r="V60" i="7"/>
  <c r="BS60" i="7" s="1"/>
  <c r="AH155" i="41"/>
  <c r="CB155" i="41" s="1"/>
  <c r="V71" i="7"/>
  <c r="BS71" i="7" s="1"/>
  <c r="AG154" i="41"/>
  <c r="CA154" i="41" s="1"/>
  <c r="S153" i="41"/>
  <c r="BM153" i="41" s="1"/>
  <c r="L139" i="41"/>
  <c r="BF139" i="41" s="1"/>
  <c r="Z139" i="41"/>
  <c r="BT139" i="41" s="1"/>
  <c r="X71" i="7"/>
  <c r="BU71" i="7" s="1"/>
  <c r="F60" i="7"/>
  <c r="BC60" i="7" s="1"/>
  <c r="H60" i="7"/>
  <c r="BE60" i="7" s="1"/>
  <c r="AA153" i="41"/>
  <c r="BU153" i="41" s="1"/>
  <c r="AK154" i="41"/>
  <c r="CE154" i="41" s="1"/>
  <c r="P60" i="7"/>
  <c r="BM60" i="7" s="1"/>
  <c r="H155" i="41"/>
  <c r="BB155" i="41" s="1"/>
  <c r="X155" i="41"/>
  <c r="BR155" i="41" s="1"/>
  <c r="X154" i="41"/>
  <c r="BR154" i="41" s="1"/>
  <c r="H139" i="41"/>
  <c r="BB139" i="41" s="1"/>
  <c r="P139" i="41"/>
  <c r="BJ139" i="41" s="1"/>
  <c r="AF139" i="41"/>
  <c r="BZ139" i="41" s="1"/>
  <c r="X139" i="41"/>
  <c r="BR139" i="41" s="1"/>
  <c r="H154" i="41"/>
  <c r="BB154" i="41" s="1"/>
  <c r="Q9" i="7"/>
  <c r="BN9" i="7" s="1"/>
  <c r="AK139" i="41"/>
  <c r="CE139" i="41" s="1"/>
  <c r="V154" i="41"/>
  <c r="R18" i="7" s="1"/>
  <c r="BO18" i="7" s="1"/>
  <c r="L154" i="41"/>
  <c r="BF154" i="41" s="1"/>
  <c r="M31" i="85" s="1"/>
  <c r="M11" i="85" s="1"/>
  <c r="AB155" i="41"/>
  <c r="BV155" i="41" s="1"/>
  <c r="Q139" i="41"/>
  <c r="BK139" i="41" s="1"/>
  <c r="AK155" i="41"/>
  <c r="CE155" i="41" s="1"/>
  <c r="AF155" i="41"/>
  <c r="BZ155" i="41" s="1"/>
  <c r="AC154" i="41"/>
  <c r="BW154" i="41" s="1"/>
  <c r="X60" i="7"/>
  <c r="BU60" i="7" s="1"/>
  <c r="Y71" i="7"/>
  <c r="BV71" i="7" s="1"/>
  <c r="AF154" i="41"/>
  <c r="BZ154" i="41" s="1"/>
  <c r="Q155" i="41"/>
  <c r="BK155" i="41" s="1"/>
  <c r="Q60" i="7"/>
  <c r="BN60" i="7" s="1"/>
  <c r="L155" i="41"/>
  <c r="BF155" i="41" s="1"/>
  <c r="M34" i="85" s="1"/>
  <c r="M12" i="85" s="1"/>
  <c r="V139" i="41"/>
  <c r="BP139" i="41" s="1"/>
  <c r="AB153" i="41"/>
  <c r="BV153" i="41" s="1"/>
  <c r="Y154" i="41"/>
  <c r="BS154" i="41" s="1"/>
  <c r="Y153" i="41"/>
  <c r="BS153" i="41" s="1"/>
  <c r="AG155" i="41"/>
  <c r="CA155" i="41" s="1"/>
  <c r="P154" i="41"/>
  <c r="BJ154" i="41" s="1"/>
  <c r="AG139" i="41"/>
  <c r="CA139" i="41" s="1"/>
  <c r="S139" i="41"/>
  <c r="BM139" i="41" s="1"/>
  <c r="R154" i="41"/>
  <c r="N18" i="7" s="1"/>
  <c r="BK18" i="7" s="1"/>
  <c r="Y139" i="41"/>
  <c r="BS139" i="41" s="1"/>
  <c r="Y9" i="7"/>
  <c r="BV9" i="7" s="1"/>
  <c r="AC139" i="41"/>
  <c r="BW139" i="41" s="1"/>
  <c r="E60" i="7"/>
  <c r="BB60" i="7" s="1"/>
  <c r="R139" i="41"/>
  <c r="BL139" i="41" s="1"/>
  <c r="AB139" i="41"/>
  <c r="BV139" i="41" s="1"/>
  <c r="M60" i="7"/>
  <c r="BJ60" i="7" s="1"/>
  <c r="G154" i="41"/>
  <c r="BA154" i="41" s="1"/>
  <c r="U71" i="7"/>
  <c r="BR71" i="7" s="1"/>
  <c r="O32" i="85"/>
  <c r="O44" i="85" s="1"/>
  <c r="J44" i="85"/>
  <c r="Q19" i="85"/>
  <c r="K30" i="85"/>
  <c r="K20" i="85" s="1"/>
  <c r="Y15" i="7"/>
  <c r="BV15" i="7" s="1"/>
  <c r="BO149" i="41"/>
  <c r="L28" i="67"/>
  <c r="L10" i="67" s="1"/>
  <c r="BE153" i="41"/>
  <c r="L28" i="85" s="1"/>
  <c r="Z15" i="7"/>
  <c r="BW15" i="7" s="1"/>
  <c r="BP149" i="41"/>
  <c r="K98" i="67"/>
  <c r="BD146" i="41"/>
  <c r="K98" i="85" s="1"/>
  <c r="P18" i="7"/>
  <c r="BM18" i="7" s="1"/>
  <c r="BN154" i="41"/>
  <c r="L98" i="67"/>
  <c r="BE146" i="41"/>
  <c r="L98" i="85" s="1"/>
  <c r="V15" i="7"/>
  <c r="BS15" i="7" s="1"/>
  <c r="BL149" i="41"/>
  <c r="F152" i="41"/>
  <c r="AZ152" i="41" s="1"/>
  <c r="X15" i="7"/>
  <c r="BU15" i="7" s="1"/>
  <c r="BN149" i="41"/>
  <c r="O18" i="7"/>
  <c r="BL18" i="7" s="1"/>
  <c r="M98" i="67"/>
  <c r="BF146" i="41"/>
  <c r="M98" i="85" s="1"/>
  <c r="J98" i="67"/>
  <c r="BC146" i="41"/>
  <c r="J98" i="85" s="1"/>
  <c r="N98" i="67"/>
  <c r="BG146" i="41"/>
  <c r="N98" i="85" s="1"/>
  <c r="P155" i="41"/>
  <c r="BJ155" i="41" s="1"/>
  <c r="BJ149" i="41"/>
  <c r="O152" i="41"/>
  <c r="BI152" i="41" s="1"/>
  <c r="BI154" i="41"/>
  <c r="R155" i="41"/>
  <c r="K44" i="67"/>
  <c r="T155" i="41"/>
  <c r="N77" i="7"/>
  <c r="N78" i="7" s="1"/>
  <c r="M77" i="7"/>
  <c r="M78" i="7" s="1"/>
  <c r="U155" i="41"/>
  <c r="V155" i="41"/>
  <c r="AU10" i="7"/>
  <c r="CR10" i="7" s="1"/>
  <c r="AX10" i="7"/>
  <c r="CU10" i="7" s="1"/>
  <c r="AW10" i="7"/>
  <c r="CT10" i="7" s="1"/>
  <c r="AV10" i="7"/>
  <c r="CS10" i="7" s="1"/>
  <c r="N44" i="67"/>
  <c r="M44" i="67"/>
  <c r="L44" i="67"/>
  <c r="O35" i="67"/>
  <c r="Q21" i="67" s="1"/>
  <c r="O32" i="67"/>
  <c r="Q20" i="67" s="1"/>
  <c r="R14" i="7"/>
  <c r="BO14" i="7" s="1"/>
  <c r="Q14" i="7"/>
  <c r="BN14" i="7" s="1"/>
  <c r="AF153" i="41"/>
  <c r="S155" i="41"/>
  <c r="S146" i="41"/>
  <c r="BM146" i="41" s="1"/>
  <c r="I16" i="7"/>
  <c r="BF16" i="7" s="1"/>
  <c r="AC146" i="41"/>
  <c r="BW146" i="41" s="1"/>
  <c r="U66" i="7"/>
  <c r="U67" i="7" s="1"/>
  <c r="I139" i="41"/>
  <c r="N140" i="41"/>
  <c r="BH140" i="41" s="1"/>
  <c r="F9" i="7"/>
  <c r="BC9" i="7" s="1"/>
  <c r="I153" i="41"/>
  <c r="AD146" i="41"/>
  <c r="BX146" i="41" s="1"/>
  <c r="J16" i="7"/>
  <c r="BG16" i="7" s="1"/>
  <c r="I15" i="7"/>
  <c r="BF15" i="7" s="1"/>
  <c r="U146" i="41"/>
  <c r="BO146" i="41" s="1"/>
  <c r="AC153" i="41"/>
  <c r="BW153" i="41" s="1"/>
  <c r="J15" i="7"/>
  <c r="BG15" i="7" s="1"/>
  <c r="V146" i="41"/>
  <c r="BP146" i="41" s="1"/>
  <c r="F18" i="7"/>
  <c r="BC18" i="7" s="1"/>
  <c r="Q146" i="41"/>
  <c r="BK146" i="41" s="1"/>
  <c r="U153" i="41"/>
  <c r="BO153" i="41" s="1"/>
  <c r="AH146" i="41"/>
  <c r="CB146" i="41" s="1"/>
  <c r="AT10" i="7"/>
  <c r="CQ10" i="7" s="1"/>
  <c r="AG146" i="41"/>
  <c r="CA146" i="41" s="1"/>
  <c r="E77" i="7"/>
  <c r="AI146" i="41"/>
  <c r="CC146" i="41" s="1"/>
  <c r="AL146" i="41"/>
  <c r="CF146" i="41" s="1"/>
  <c r="H16" i="7"/>
  <c r="BE16" i="7" s="1"/>
  <c r="AB146" i="41"/>
  <c r="BV146" i="41" s="1"/>
  <c r="Q153" i="41"/>
  <c r="BK153" i="41" s="1"/>
  <c r="AL153" i="41"/>
  <c r="CF153" i="41" s="1"/>
  <c r="V9" i="7"/>
  <c r="BS9" i="7" s="1"/>
  <c r="I155" i="41"/>
  <c r="N142" i="41"/>
  <c r="BH142" i="41" s="1"/>
  <c r="V153" i="41"/>
  <c r="BP153" i="41" s="1"/>
  <c r="F15" i="7"/>
  <c r="BC15" i="7" s="1"/>
  <c r="R146" i="41"/>
  <c r="BL146" i="41" s="1"/>
  <c r="AA146" i="41"/>
  <c r="BU146" i="41" s="1"/>
  <c r="G16" i="7"/>
  <c r="BD16" i="7" s="1"/>
  <c r="O14" i="7"/>
  <c r="BL14" i="7" s="1"/>
  <c r="X146" i="41"/>
  <c r="BR146" i="41" s="1"/>
  <c r="H11" i="7"/>
  <c r="BE11" i="7" s="1"/>
  <c r="AJ146" i="41"/>
  <c r="CD146" i="41" s="1"/>
  <c r="AD153" i="41"/>
  <c r="BX153" i="41" s="1"/>
  <c r="AJ153" i="41"/>
  <c r="CD153" i="41" s="1"/>
  <c r="AK146" i="41"/>
  <c r="CE146" i="41" s="1"/>
  <c r="Z146" i="41"/>
  <c r="BT146" i="41" s="1"/>
  <c r="F16" i="7"/>
  <c r="BC16" i="7" s="1"/>
  <c r="AU15" i="7"/>
  <c r="W14" i="7"/>
  <c r="BT14" i="7" s="1"/>
  <c r="N146" i="41"/>
  <c r="BH146" i="41" s="1"/>
  <c r="P146" i="41"/>
  <c r="BJ146" i="41" s="1"/>
  <c r="AG153" i="41"/>
  <c r="CA153" i="41" s="1"/>
  <c r="N14" i="7"/>
  <c r="BK14" i="7" s="1"/>
  <c r="N9" i="7"/>
  <c r="BK9" i="7" s="1"/>
  <c r="I154" i="41"/>
  <c r="N141" i="41"/>
  <c r="BH141" i="41" s="1"/>
  <c r="X153" i="41"/>
  <c r="BR153" i="41" s="1"/>
  <c r="AI153" i="41"/>
  <c r="H15" i="7"/>
  <c r="BE15" i="7" s="1"/>
  <c r="T146" i="41"/>
  <c r="BN146" i="41" s="1"/>
  <c r="Y146" i="41"/>
  <c r="BS146" i="41" s="1"/>
  <c r="Z153" i="41"/>
  <c r="BT153" i="41" s="1"/>
  <c r="P14" i="7"/>
  <c r="BM14" i="7" s="1"/>
  <c r="E81" i="1"/>
  <c r="E24" i="2" s="1"/>
  <c r="J81" i="1"/>
  <c r="J24" i="2" s="1"/>
  <c r="AG19" i="83" s="1"/>
  <c r="F81" i="1"/>
  <c r="I81" i="1"/>
  <c r="H81" i="1"/>
  <c r="G81" i="1"/>
  <c r="G24" i="2" s="1"/>
  <c r="AD19" i="83" s="1"/>
  <c r="G80" i="1"/>
  <c r="J80" i="1"/>
  <c r="J23" i="2" s="1"/>
  <c r="F80" i="1"/>
  <c r="F23" i="2" s="1"/>
  <c r="I80" i="1"/>
  <c r="I23" i="2" s="1"/>
  <c r="H80" i="1"/>
  <c r="H10" i="53"/>
  <c r="BO10" i="53" s="1"/>
  <c r="BV10" i="53" s="1"/>
  <c r="CC10" i="53" s="1"/>
  <c r="G10" i="53"/>
  <c r="F10" i="53"/>
  <c r="E10" i="53"/>
  <c r="D10" i="53"/>
  <c r="C10" i="53"/>
  <c r="K31" i="67" l="1"/>
  <c r="O11" i="7"/>
  <c r="BL11" i="7" s="1"/>
  <c r="H18" i="7"/>
  <c r="BE18" i="7" s="1"/>
  <c r="L34" i="67"/>
  <c r="X11" i="7"/>
  <c r="BU11" i="7" s="1"/>
  <c r="L33" i="85"/>
  <c r="L21" i="85" s="1"/>
  <c r="O19" i="7"/>
  <c r="BL19" i="7" s="1"/>
  <c r="AU71" i="7"/>
  <c r="CR71" i="7" s="1"/>
  <c r="Q18" i="7"/>
  <c r="BN18" i="7" s="1"/>
  <c r="O77" i="7"/>
  <c r="O78" i="7" s="1"/>
  <c r="N30" i="85"/>
  <c r="N20" i="85" s="1"/>
  <c r="G11" i="7"/>
  <c r="BD11" i="7" s="1"/>
  <c r="BD153" i="41"/>
  <c r="K28" i="85" s="1"/>
  <c r="K10" i="85" s="1"/>
  <c r="R19" i="7"/>
  <c r="R22" i="7" s="1"/>
  <c r="BO22" i="7" s="1"/>
  <c r="N31" i="67"/>
  <c r="N30" i="67" s="1"/>
  <c r="N20" i="67" s="1"/>
  <c r="R11" i="7"/>
  <c r="BO11" i="7" s="1"/>
  <c r="W19" i="7"/>
  <c r="W22" i="7" s="1"/>
  <c r="BT22" i="7" s="1"/>
  <c r="BG153" i="41"/>
  <c r="N28" i="85" s="1"/>
  <c r="N43" i="85" s="1"/>
  <c r="K34" i="67"/>
  <c r="K43" i="67" s="1"/>
  <c r="N28" i="67"/>
  <c r="N10" i="67" s="1"/>
  <c r="Z19" i="7"/>
  <c r="BW19" i="7" s="1"/>
  <c r="W11" i="7"/>
  <c r="BT11" i="7" s="1"/>
  <c r="AX60" i="7"/>
  <c r="CU60" i="7" s="1"/>
  <c r="K12" i="85"/>
  <c r="J152" i="41"/>
  <c r="K122" i="67" s="1"/>
  <c r="I11" i="7"/>
  <c r="BF11" i="7" s="1"/>
  <c r="BF153" i="41"/>
  <c r="M28" i="85" s="1"/>
  <c r="M27" i="85" s="1"/>
  <c r="AX71" i="7"/>
  <c r="CU71" i="7" s="1"/>
  <c r="Y14" i="7"/>
  <c r="BV14" i="7" s="1"/>
  <c r="Q19" i="7"/>
  <c r="AU9" i="7"/>
  <c r="CR9" i="7" s="1"/>
  <c r="Y19" i="7"/>
  <c r="BV19" i="7" s="1"/>
  <c r="AK152" i="41"/>
  <c r="CE152" i="41" s="1"/>
  <c r="E66" i="7"/>
  <c r="E67" i="7" s="1"/>
  <c r="N19" i="7"/>
  <c r="BK19" i="7" s="1"/>
  <c r="K152" i="41"/>
  <c r="L122" i="67" s="1"/>
  <c r="M27" i="67"/>
  <c r="M19" i="67" s="1"/>
  <c r="M34" i="67"/>
  <c r="M12" i="67" s="1"/>
  <c r="Y11" i="7"/>
  <c r="BV11" i="7" s="1"/>
  <c r="G77" i="7"/>
  <c r="G78" i="7" s="1"/>
  <c r="F77" i="7"/>
  <c r="M30" i="85"/>
  <c r="M20" i="85" s="1"/>
  <c r="L152" i="41"/>
  <c r="M122" i="67" s="1"/>
  <c r="H77" i="7"/>
  <c r="H78" i="7" s="1"/>
  <c r="M31" i="67"/>
  <c r="M30" i="67" s="1"/>
  <c r="M20" i="67" s="1"/>
  <c r="Q11" i="7"/>
  <c r="BN11" i="7" s="1"/>
  <c r="L27" i="67"/>
  <c r="L19" i="67" s="1"/>
  <c r="AW9" i="7"/>
  <c r="CT9" i="7" s="1"/>
  <c r="AW71" i="7"/>
  <c r="CT71" i="7" s="1"/>
  <c r="Z14" i="7"/>
  <c r="BW14" i="7" s="1"/>
  <c r="M33" i="85"/>
  <c r="M21" i="85" s="1"/>
  <c r="F66" i="7"/>
  <c r="W66" i="7"/>
  <c r="W67" i="7" s="1"/>
  <c r="J77" i="7"/>
  <c r="J78" i="7" s="1"/>
  <c r="V19" i="7"/>
  <c r="V22" i="7" s="1"/>
  <c r="BS22" i="7" s="1"/>
  <c r="H66" i="7"/>
  <c r="I77" i="7"/>
  <c r="I78" i="7" s="1"/>
  <c r="AU60" i="7"/>
  <c r="CR60" i="7" s="1"/>
  <c r="AV60" i="7"/>
  <c r="CS60" i="7" s="1"/>
  <c r="AB152" i="41"/>
  <c r="BV152" i="41" s="1"/>
  <c r="BP154" i="41"/>
  <c r="L11" i="85"/>
  <c r="P11" i="7"/>
  <c r="BM11" i="7" s="1"/>
  <c r="X19" i="7"/>
  <c r="BU19" i="7" s="1"/>
  <c r="AX9" i="7"/>
  <c r="CU9" i="7" s="1"/>
  <c r="L31" i="67"/>
  <c r="L30" i="67" s="1"/>
  <c r="L20" i="67" s="1"/>
  <c r="P19" i="7"/>
  <c r="BM19" i="7" s="1"/>
  <c r="AT60" i="7"/>
  <c r="CQ60" i="7" s="1"/>
  <c r="AT71" i="7"/>
  <c r="CQ71" i="7" s="1"/>
  <c r="AV9" i="7"/>
  <c r="CS9" i="7" s="1"/>
  <c r="N12" i="85"/>
  <c r="AV71" i="7"/>
  <c r="CS71" i="7" s="1"/>
  <c r="Q77" i="7"/>
  <c r="Q78" i="7" s="1"/>
  <c r="Y66" i="7"/>
  <c r="Y67" i="7" s="1"/>
  <c r="N34" i="67"/>
  <c r="R77" i="7"/>
  <c r="R78" i="7" s="1"/>
  <c r="Z66" i="7"/>
  <c r="Z67" i="7" s="1"/>
  <c r="P77" i="7"/>
  <c r="P78" i="7" s="1"/>
  <c r="M152" i="41"/>
  <c r="N122" i="67" s="1"/>
  <c r="G18" i="7"/>
  <c r="BD18" i="7" s="1"/>
  <c r="Z11" i="7"/>
  <c r="BW11" i="7" s="1"/>
  <c r="X66" i="7"/>
  <c r="X67" i="7" s="1"/>
  <c r="AS60" i="7"/>
  <c r="CP60" i="7" s="1"/>
  <c r="AH152" i="41"/>
  <c r="CB152" i="41" s="1"/>
  <c r="J66" i="7"/>
  <c r="V66" i="7"/>
  <c r="V67" i="7" s="1"/>
  <c r="G66" i="7"/>
  <c r="V14" i="7"/>
  <c r="BS14" i="7" s="1"/>
  <c r="I66" i="7"/>
  <c r="Q66" i="7"/>
  <c r="Q67" i="7" s="1"/>
  <c r="AA152" i="41"/>
  <c r="BU152" i="41" s="1"/>
  <c r="AW60" i="7"/>
  <c r="CT60" i="7" s="1"/>
  <c r="O98" i="67"/>
  <c r="H152" i="41"/>
  <c r="BB152" i="41" s="1"/>
  <c r="Y77" i="7"/>
  <c r="Y78" i="7" s="1"/>
  <c r="W77" i="7"/>
  <c r="W78" i="7" s="1"/>
  <c r="X77" i="7"/>
  <c r="X78" i="7" s="1"/>
  <c r="V77" i="7"/>
  <c r="V78" i="7" s="1"/>
  <c r="N66" i="7"/>
  <c r="N67" i="7" s="1"/>
  <c r="Z77" i="7"/>
  <c r="Z78" i="7" s="1"/>
  <c r="AS71" i="7"/>
  <c r="CP71" i="7" s="1"/>
  <c r="M66" i="7"/>
  <c r="M67" i="7" s="1"/>
  <c r="U77" i="7"/>
  <c r="U78" i="7" s="1"/>
  <c r="Y152" i="41"/>
  <c r="BS152" i="41" s="1"/>
  <c r="R152" i="41"/>
  <c r="BL152" i="41" s="1"/>
  <c r="O66" i="7"/>
  <c r="O67" i="7" s="1"/>
  <c r="BL154" i="41"/>
  <c r="P66" i="7"/>
  <c r="P67" i="7" s="1"/>
  <c r="G152" i="41"/>
  <c r="BA152" i="41" s="1"/>
  <c r="R66" i="7"/>
  <c r="R67" i="7" s="1"/>
  <c r="P152" i="41"/>
  <c r="BJ152" i="41" s="1"/>
  <c r="Q24" i="85"/>
  <c r="AB19" i="78"/>
  <c r="AB19" i="83"/>
  <c r="AF18" i="78"/>
  <c r="AF18" i="83"/>
  <c r="AG18" i="78"/>
  <c r="AG18" i="83"/>
  <c r="Q20" i="85"/>
  <c r="L10" i="85"/>
  <c r="L27" i="85"/>
  <c r="L43" i="85"/>
  <c r="AC18" i="78"/>
  <c r="AC18" i="83"/>
  <c r="X14" i="7"/>
  <c r="BU14" i="7" s="1"/>
  <c r="O98" i="85"/>
  <c r="W18" i="7"/>
  <c r="BT18" i="7" s="1"/>
  <c r="BM155" i="41"/>
  <c r="J31" i="67"/>
  <c r="J11" i="67" s="1"/>
  <c r="BC154" i="41"/>
  <c r="J31" i="85" s="1"/>
  <c r="N139" i="41"/>
  <c r="BH139" i="41" s="1"/>
  <c r="BC139" i="41"/>
  <c r="X18" i="7"/>
  <c r="BU18" i="7" s="1"/>
  <c r="BN155" i="41"/>
  <c r="J28" i="67"/>
  <c r="J10" i="67" s="1"/>
  <c r="BC153" i="41"/>
  <c r="J28" i="85" s="1"/>
  <c r="K99" i="67"/>
  <c r="CR15" i="7"/>
  <c r="K99" i="85" s="1"/>
  <c r="J34" i="67"/>
  <c r="J12" i="67" s="1"/>
  <c r="BC155" i="41"/>
  <c r="J34" i="85" s="1"/>
  <c r="AF152" i="41"/>
  <c r="BZ152" i="41" s="1"/>
  <c r="BZ153" i="41"/>
  <c r="K27" i="67"/>
  <c r="K19" i="67" s="1"/>
  <c r="Z18" i="7"/>
  <c r="BW18" i="7" s="1"/>
  <c r="BP155" i="41"/>
  <c r="V18" i="7"/>
  <c r="BS18" i="7" s="1"/>
  <c r="BL155" i="41"/>
  <c r="G19" i="7"/>
  <c r="BD19" i="7" s="1"/>
  <c r="CC153" i="41"/>
  <c r="Y18" i="7"/>
  <c r="BV18" i="7" s="1"/>
  <c r="BO155" i="41"/>
  <c r="F98" i="53"/>
  <c r="BM10" i="53"/>
  <c r="BT10" i="53" s="1"/>
  <c r="CA10" i="53" s="1"/>
  <c r="G98" i="53"/>
  <c r="BN10" i="53"/>
  <c r="BU10" i="53" s="1"/>
  <c r="CB10" i="53" s="1"/>
  <c r="C98" i="53"/>
  <c r="BJ10" i="53"/>
  <c r="BQ10" i="53" s="1"/>
  <c r="BX10" i="53" s="1"/>
  <c r="BK10" i="53"/>
  <c r="BR10" i="53" s="1"/>
  <c r="BY10" i="53" s="1"/>
  <c r="BP10" i="53"/>
  <c r="BW10" i="53" s="1"/>
  <c r="CD10" i="53" s="1"/>
  <c r="CK10" i="53" s="1"/>
  <c r="CR10" i="53" s="1"/>
  <c r="CX10" i="53"/>
  <c r="DD10" i="53" s="1"/>
  <c r="DJ10" i="53" s="1"/>
  <c r="CJ10" i="53"/>
  <c r="CQ10" i="53" s="1"/>
  <c r="E98" i="53"/>
  <c r="BL10" i="53"/>
  <c r="BS10" i="53" s="1"/>
  <c r="BZ10" i="53" s="1"/>
  <c r="D98" i="53"/>
  <c r="J10" i="53"/>
  <c r="R10" i="53" s="1"/>
  <c r="Z10" i="53" s="1"/>
  <c r="AH10" i="53" s="1"/>
  <c r="AP10" i="53" s="1"/>
  <c r="I10" i="53"/>
  <c r="Q10" i="53" s="1"/>
  <c r="Y10" i="53" s="1"/>
  <c r="AG10" i="53" s="1"/>
  <c r="AO10" i="53" s="1"/>
  <c r="H98" i="53"/>
  <c r="T152" i="41"/>
  <c r="BN152" i="41" s="1"/>
  <c r="E78" i="7"/>
  <c r="F78" i="7"/>
  <c r="G67" i="7"/>
  <c r="I67" i="7"/>
  <c r="H67" i="7"/>
  <c r="J67" i="7"/>
  <c r="F67" i="7"/>
  <c r="AD19" i="78"/>
  <c r="AG19" i="78"/>
  <c r="V24" i="2"/>
  <c r="K30" i="67"/>
  <c r="K20" i="67" s="1"/>
  <c r="K11" i="67"/>
  <c r="L33" i="67"/>
  <c r="L21" i="67" s="1"/>
  <c r="L12" i="67"/>
  <c r="O44" i="67"/>
  <c r="Q24" i="67" s="1"/>
  <c r="I24" i="2"/>
  <c r="F24" i="2"/>
  <c r="AC19" i="83" s="1"/>
  <c r="H24" i="2"/>
  <c r="AE19" i="83" s="1"/>
  <c r="H23" i="2"/>
  <c r="G23" i="2"/>
  <c r="AD18" i="83" s="1"/>
  <c r="G14" i="7"/>
  <c r="BD14" i="7" s="1"/>
  <c r="AW16" i="7"/>
  <c r="V23" i="2"/>
  <c r="U23" i="2"/>
  <c r="S152" i="41"/>
  <c r="BM152" i="41" s="1"/>
  <c r="Z152" i="41"/>
  <c r="BT152" i="41" s="1"/>
  <c r="F19" i="7"/>
  <c r="X152" i="41"/>
  <c r="BR152" i="41" s="1"/>
  <c r="AT16" i="7"/>
  <c r="AJ152" i="41"/>
  <c r="CD152" i="41" s="1"/>
  <c r="N155" i="41"/>
  <c r="BH155" i="41" s="1"/>
  <c r="V11" i="7"/>
  <c r="BS11" i="7" s="1"/>
  <c r="U152" i="41"/>
  <c r="BO152" i="41" s="1"/>
  <c r="I18" i="7"/>
  <c r="BF18" i="7" s="1"/>
  <c r="AW15" i="7"/>
  <c r="CT15" i="7" s="1"/>
  <c r="M99" i="85" s="1"/>
  <c r="I14" i="7"/>
  <c r="BF14" i="7" s="1"/>
  <c r="AG152" i="41"/>
  <c r="CA152" i="41" s="1"/>
  <c r="AD152" i="41"/>
  <c r="BX152" i="41" s="1"/>
  <c r="AU16" i="7"/>
  <c r="CR16" i="7" s="1"/>
  <c r="K100" i="85" s="1"/>
  <c r="F14" i="7"/>
  <c r="BC14" i="7" s="1"/>
  <c r="AT15" i="7"/>
  <c r="Q152" i="41"/>
  <c r="BK152" i="41" s="1"/>
  <c r="AV16" i="7"/>
  <c r="AX16" i="7"/>
  <c r="F11" i="7"/>
  <c r="BC11" i="7" s="1"/>
  <c r="I152" i="41"/>
  <c r="BC152" i="41" s="1"/>
  <c r="J122" i="85" s="1"/>
  <c r="N153" i="41"/>
  <c r="BH153" i="41" s="1"/>
  <c r="H14" i="7"/>
  <c r="BE14" i="7" s="1"/>
  <c r="AV15" i="7"/>
  <c r="N11" i="7"/>
  <c r="BK11" i="7" s="1"/>
  <c r="N154" i="41"/>
  <c r="BH154" i="41" s="1"/>
  <c r="J18" i="7"/>
  <c r="BG18" i="7" s="1"/>
  <c r="V152" i="41"/>
  <c r="BP152" i="41" s="1"/>
  <c r="J19" i="7"/>
  <c r="AL152" i="41"/>
  <c r="CF152" i="41" s="1"/>
  <c r="I19" i="7"/>
  <c r="AC152" i="41"/>
  <c r="BW152" i="41" s="1"/>
  <c r="H19" i="7"/>
  <c r="AT9" i="7"/>
  <c r="CQ9" i="7" s="1"/>
  <c r="AI152" i="41"/>
  <c r="CC152" i="41" s="1"/>
  <c r="AX15" i="7"/>
  <c r="J14" i="7"/>
  <c r="BG14" i="7" s="1"/>
  <c r="O17" i="7" l="1"/>
  <c r="BL17" i="7" s="1"/>
  <c r="O22" i="7"/>
  <c r="BL22" i="7" s="1"/>
  <c r="N22" i="7"/>
  <c r="BK22" i="7" s="1"/>
  <c r="Q17" i="7"/>
  <c r="Q13" i="7" s="1"/>
  <c r="K43" i="85"/>
  <c r="K27" i="85"/>
  <c r="K42" i="85" s="1"/>
  <c r="R17" i="7"/>
  <c r="R13" i="7" s="1"/>
  <c r="BO19" i="7"/>
  <c r="K15" i="85"/>
  <c r="K16" i="85" s="1"/>
  <c r="L43" i="67"/>
  <c r="K33" i="67"/>
  <c r="K21" i="67" s="1"/>
  <c r="K24" i="67" s="1"/>
  <c r="BT19" i="7"/>
  <c r="K12" i="67"/>
  <c r="K15" i="67" s="1"/>
  <c r="K16" i="67" s="1"/>
  <c r="N27" i="85"/>
  <c r="N42" i="85" s="1"/>
  <c r="N10" i="85"/>
  <c r="N15" i="85" s="1"/>
  <c r="N16" i="85" s="1"/>
  <c r="N11" i="67"/>
  <c r="BD152" i="41"/>
  <c r="K122" i="85" s="1"/>
  <c r="N43" i="67"/>
  <c r="Y22" i="7"/>
  <c r="BV22" i="7" s="1"/>
  <c r="O10" i="67"/>
  <c r="N27" i="67"/>
  <c r="N19" i="67" s="1"/>
  <c r="M43" i="85"/>
  <c r="M10" i="85"/>
  <c r="M15" i="85" s="1"/>
  <c r="M16" i="85" s="1"/>
  <c r="Z22" i="7"/>
  <c r="BW22" i="7" s="1"/>
  <c r="AU11" i="7"/>
  <c r="CR11" i="7" s="1"/>
  <c r="BN19" i="7"/>
  <c r="Q22" i="7"/>
  <c r="BN22" i="7" s="1"/>
  <c r="M33" i="67"/>
  <c r="M21" i="67" s="1"/>
  <c r="M24" i="67" s="1"/>
  <c r="BF152" i="41"/>
  <c r="M122" i="85" s="1"/>
  <c r="P22" i="7"/>
  <c r="BM22" i="7" s="1"/>
  <c r="P17" i="7"/>
  <c r="BM17" i="7" s="1"/>
  <c r="BE152" i="41"/>
  <c r="L122" i="85" s="1"/>
  <c r="M43" i="67"/>
  <c r="N17" i="7"/>
  <c r="N13" i="7" s="1"/>
  <c r="M11" i="67"/>
  <c r="M15" i="67" s="1"/>
  <c r="M16" i="67" s="1"/>
  <c r="G72" i="7"/>
  <c r="BD72" i="7" s="1"/>
  <c r="O13" i="7"/>
  <c r="O21" i="7" s="1"/>
  <c r="BL21" i="7" s="1"/>
  <c r="L11" i="67"/>
  <c r="L15" i="67" s="1"/>
  <c r="L16" i="67" s="1"/>
  <c r="AT18" i="7"/>
  <c r="J123" i="67" s="1"/>
  <c r="J127" i="67" s="1"/>
  <c r="AW11" i="7"/>
  <c r="CT11" i="7" s="1"/>
  <c r="AV11" i="7"/>
  <c r="CS11" i="7" s="1"/>
  <c r="BS19" i="7"/>
  <c r="V17" i="7"/>
  <c r="V13" i="7" s="1"/>
  <c r="BG152" i="41"/>
  <c r="N122" i="85" s="1"/>
  <c r="X22" i="7"/>
  <c r="BU22" i="7" s="1"/>
  <c r="L15" i="85"/>
  <c r="L16" i="85" s="1"/>
  <c r="E61" i="7"/>
  <c r="BB61" i="7" s="1"/>
  <c r="AL61" i="7"/>
  <c r="CI61" i="7" s="1"/>
  <c r="AG61" i="7"/>
  <c r="CD61" i="7" s="1"/>
  <c r="W61" i="7"/>
  <c r="BT61" i="7" s="1"/>
  <c r="Y61" i="7"/>
  <c r="BV61" i="7" s="1"/>
  <c r="Y17" i="7"/>
  <c r="BV17" i="7" s="1"/>
  <c r="Z61" i="7"/>
  <c r="BW61" i="7" s="1"/>
  <c r="N12" i="67"/>
  <c r="P61" i="7"/>
  <c r="BM61" i="7" s="1"/>
  <c r="AN61" i="7"/>
  <c r="CK61" i="7" s="1"/>
  <c r="AC61" i="7"/>
  <c r="BZ61" i="7" s="1"/>
  <c r="M61" i="7"/>
  <c r="BJ61" i="7" s="1"/>
  <c r="I61" i="7"/>
  <c r="BF61" i="7" s="1"/>
  <c r="X17" i="7"/>
  <c r="X13" i="7" s="1"/>
  <c r="AD61" i="7"/>
  <c r="CA61" i="7" s="1"/>
  <c r="O61" i="7"/>
  <c r="BL61" i="7" s="1"/>
  <c r="N61" i="7"/>
  <c r="BK61" i="7" s="1"/>
  <c r="N33" i="67"/>
  <c r="N21" i="67" s="1"/>
  <c r="AM61" i="7"/>
  <c r="CJ61" i="7" s="1"/>
  <c r="X61" i="7"/>
  <c r="BU61" i="7" s="1"/>
  <c r="AU66" i="7"/>
  <c r="K108" i="85" s="1"/>
  <c r="U61" i="7"/>
  <c r="BR61" i="7" s="1"/>
  <c r="AF61" i="7"/>
  <c r="CC61" i="7" s="1"/>
  <c r="V61" i="7"/>
  <c r="BS61" i="7" s="1"/>
  <c r="AK61" i="7"/>
  <c r="CH61" i="7" s="1"/>
  <c r="AH61" i="7"/>
  <c r="CE61" i="7" s="1"/>
  <c r="R61" i="7"/>
  <c r="BO61" i="7" s="1"/>
  <c r="AS65" i="7"/>
  <c r="AT59" i="7" s="1"/>
  <c r="CQ59" i="7" s="1"/>
  <c r="G61" i="7"/>
  <c r="BD61" i="7" s="1"/>
  <c r="J30" i="67"/>
  <c r="J20" i="67" s="1"/>
  <c r="O20" i="67" s="1"/>
  <c r="AX11" i="7"/>
  <c r="CU11" i="7" s="1"/>
  <c r="Q61" i="7"/>
  <c r="BN61" i="7" s="1"/>
  <c r="H61" i="7"/>
  <c r="BE61" i="7" s="1"/>
  <c r="AW66" i="7"/>
  <c r="M106" i="85" s="1"/>
  <c r="AV18" i="7"/>
  <c r="L123" i="67" s="1"/>
  <c r="L127" i="67" s="1"/>
  <c r="AP61" i="7"/>
  <c r="CM61" i="7" s="1"/>
  <c r="AE61" i="7"/>
  <c r="CB61" i="7" s="1"/>
  <c r="AO61" i="7"/>
  <c r="CL61" i="7" s="1"/>
  <c r="J61" i="7"/>
  <c r="BG61" i="7" s="1"/>
  <c r="F61" i="7"/>
  <c r="BC61" i="7" s="1"/>
  <c r="Z17" i="7"/>
  <c r="Z13" i="7" s="1"/>
  <c r="AS66" i="7"/>
  <c r="AS67" i="7" s="1"/>
  <c r="O31" i="67"/>
  <c r="P20" i="67" s="1"/>
  <c r="AG72" i="7"/>
  <c r="CD72" i="7" s="1"/>
  <c r="AT66" i="7"/>
  <c r="J107" i="85" s="1"/>
  <c r="AH72" i="7"/>
  <c r="CE72" i="7" s="1"/>
  <c r="P72" i="7"/>
  <c r="BM72" i="7" s="1"/>
  <c r="AP72" i="7"/>
  <c r="CM72" i="7" s="1"/>
  <c r="AO72" i="7"/>
  <c r="CL72" i="7" s="1"/>
  <c r="F72" i="7"/>
  <c r="BC72" i="7" s="1"/>
  <c r="N72" i="7"/>
  <c r="BK72" i="7" s="1"/>
  <c r="Y72" i="7"/>
  <c r="BV72" i="7" s="1"/>
  <c r="Q72" i="7"/>
  <c r="BN72" i="7" s="1"/>
  <c r="AW77" i="7"/>
  <c r="M115" i="67" s="1"/>
  <c r="Z72" i="7"/>
  <c r="BW72" i="7" s="1"/>
  <c r="AC72" i="7"/>
  <c r="AC76" i="7" s="1"/>
  <c r="AD72" i="7"/>
  <c r="CA72" i="7" s="1"/>
  <c r="AX77" i="7"/>
  <c r="N114" i="85" s="1"/>
  <c r="W72" i="7"/>
  <c r="BT72" i="7" s="1"/>
  <c r="AS76" i="7"/>
  <c r="AT70" i="7" s="1"/>
  <c r="H72" i="7"/>
  <c r="BE72" i="7" s="1"/>
  <c r="I72" i="7"/>
  <c r="BF72" i="7" s="1"/>
  <c r="AN72" i="7"/>
  <c r="CK72" i="7" s="1"/>
  <c r="AU77" i="7"/>
  <c r="K118" i="85" s="1"/>
  <c r="AL72" i="7"/>
  <c r="CI72" i="7" s="1"/>
  <c r="R72" i="7"/>
  <c r="BO72" i="7" s="1"/>
  <c r="U72" i="7"/>
  <c r="BR72" i="7" s="1"/>
  <c r="AS77" i="7"/>
  <c r="AS78" i="7" s="1"/>
  <c r="AX66" i="7"/>
  <c r="N106" i="85" s="1"/>
  <c r="X72" i="7"/>
  <c r="BU72" i="7" s="1"/>
  <c r="AE72" i="7"/>
  <c r="CB72" i="7" s="1"/>
  <c r="AK72" i="7"/>
  <c r="AK76" i="7" s="1"/>
  <c r="V72" i="7"/>
  <c r="BS72" i="7" s="1"/>
  <c r="O72" i="7"/>
  <c r="BL72" i="7" s="1"/>
  <c r="M72" i="7"/>
  <c r="M76" i="7" s="1"/>
  <c r="AT77" i="7"/>
  <c r="J118" i="85" s="1"/>
  <c r="AM72" i="7"/>
  <c r="CJ72" i="7" s="1"/>
  <c r="E72" i="7"/>
  <c r="BB72" i="7" s="1"/>
  <c r="AF72" i="7"/>
  <c r="CC72" i="7" s="1"/>
  <c r="J72" i="7"/>
  <c r="BG72" i="7" s="1"/>
  <c r="AV77" i="7"/>
  <c r="L114" i="85" s="1"/>
  <c r="J43" i="67"/>
  <c r="AV66" i="7"/>
  <c r="L108" i="67" s="1"/>
  <c r="J15" i="67"/>
  <c r="J16" i="67" s="1"/>
  <c r="J27" i="67"/>
  <c r="J19" i="67" s="1"/>
  <c r="O28" i="67"/>
  <c r="P19" i="67" s="1"/>
  <c r="AU18" i="7"/>
  <c r="K123" i="67" s="1"/>
  <c r="K127" i="67" s="1"/>
  <c r="W17" i="7"/>
  <c r="W13" i="7" s="1"/>
  <c r="AU67" i="7"/>
  <c r="K140" i="67" s="1"/>
  <c r="AW78" i="7"/>
  <c r="M149" i="67" s="1"/>
  <c r="AV67" i="7"/>
  <c r="L141" i="67" s="1"/>
  <c r="AE18" i="78"/>
  <c r="AE18" i="83"/>
  <c r="AU78" i="7"/>
  <c r="K151" i="67" s="1"/>
  <c r="AT67" i="7"/>
  <c r="J143" i="67" s="1"/>
  <c r="M19" i="85"/>
  <c r="M24" i="85" s="1"/>
  <c r="M42" i="85"/>
  <c r="AW67" i="7"/>
  <c r="M139" i="67" s="1"/>
  <c r="AT78" i="7"/>
  <c r="J148" i="67" s="1"/>
  <c r="AX67" i="7"/>
  <c r="N141" i="67" s="1"/>
  <c r="J11" i="85"/>
  <c r="O11" i="85" s="1"/>
  <c r="O31" i="85"/>
  <c r="J30" i="85"/>
  <c r="J12" i="85"/>
  <c r="O12" i="85" s="1"/>
  <c r="J33" i="85"/>
  <c r="O34" i="85"/>
  <c r="U24" i="2"/>
  <c r="AF19" i="83"/>
  <c r="AV78" i="7"/>
  <c r="L148" i="67" s="1"/>
  <c r="L42" i="85"/>
  <c r="L19" i="85"/>
  <c r="L24" i="85" s="1"/>
  <c r="AX78" i="7"/>
  <c r="N151" i="67" s="1"/>
  <c r="J27" i="85"/>
  <c r="J10" i="85"/>
  <c r="J43" i="85"/>
  <c r="O28" i="85"/>
  <c r="J99" i="67"/>
  <c r="CQ15" i="7"/>
  <c r="J99" i="85" s="1"/>
  <c r="M100" i="67"/>
  <c r="CT16" i="7"/>
  <c r="M100" i="85" s="1"/>
  <c r="G22" i="7"/>
  <c r="BD22" i="7" s="1"/>
  <c r="N100" i="67"/>
  <c r="CU16" i="7"/>
  <c r="N100" i="85" s="1"/>
  <c r="J100" i="67"/>
  <c r="CQ16" i="7"/>
  <c r="J100" i="85" s="1"/>
  <c r="I22" i="7"/>
  <c r="BF22" i="7" s="1"/>
  <c r="BF19" i="7"/>
  <c r="L99" i="67"/>
  <c r="CS15" i="7"/>
  <c r="L99" i="85" s="1"/>
  <c r="O34" i="67"/>
  <c r="P21" i="67" s="1"/>
  <c r="G17" i="7"/>
  <c r="BD17" i="7" s="1"/>
  <c r="AX19" i="7"/>
  <c r="AX22" i="7" s="1"/>
  <c r="CU22" i="7" s="1"/>
  <c r="BG19" i="7"/>
  <c r="L100" i="67"/>
  <c r="CS16" i="7"/>
  <c r="L100" i="85" s="1"/>
  <c r="AT19" i="7"/>
  <c r="AT22" i="7" s="1"/>
  <c r="CQ22" i="7" s="1"/>
  <c r="BC19" i="7"/>
  <c r="J33" i="67"/>
  <c r="J21" i="67" s="1"/>
  <c r="H22" i="7"/>
  <c r="BE22" i="7" s="1"/>
  <c r="BE19" i="7"/>
  <c r="N99" i="67"/>
  <c r="CU15" i="7"/>
  <c r="N99" i="85" s="1"/>
  <c r="AU19" i="7"/>
  <c r="AU22" i="7" s="1"/>
  <c r="CR22" i="7" s="1"/>
  <c r="CS10" i="53"/>
  <c r="CY10" i="53" s="1"/>
  <c r="DE10" i="53" s="1"/>
  <c r="CE10" i="53"/>
  <c r="CL10" i="53" s="1"/>
  <c r="CU10" i="53"/>
  <c r="DA10" i="53" s="1"/>
  <c r="DG10" i="53" s="1"/>
  <c r="CG10" i="53"/>
  <c r="CN10" i="53" s="1"/>
  <c r="CV10" i="53"/>
  <c r="DB10" i="53" s="1"/>
  <c r="DH10" i="53" s="1"/>
  <c r="CH10" i="53"/>
  <c r="CO10" i="53" s="1"/>
  <c r="CT10" i="53"/>
  <c r="CZ10" i="53" s="1"/>
  <c r="DF10" i="53" s="1"/>
  <c r="CF10" i="53"/>
  <c r="CM10" i="53" s="1"/>
  <c r="CW10" i="53"/>
  <c r="DC10" i="53" s="1"/>
  <c r="DI10" i="53" s="1"/>
  <c r="CI10" i="53"/>
  <c r="CP10" i="53" s="1"/>
  <c r="T23" i="2"/>
  <c r="AS74" i="7"/>
  <c r="U74" i="7" s="1"/>
  <c r="AS63" i="7"/>
  <c r="AK63" i="7" s="1"/>
  <c r="L24" i="67"/>
  <c r="N58" i="73"/>
  <c r="BM58" i="73" s="1"/>
  <c r="T31" i="67"/>
  <c r="Y58" i="73"/>
  <c r="BS58" i="73" s="1"/>
  <c r="T52" i="67"/>
  <c r="AE19" i="78"/>
  <c r="S24" i="2"/>
  <c r="AC19" i="78"/>
  <c r="Q24" i="2"/>
  <c r="R24" i="2"/>
  <c r="AF19" i="78"/>
  <c r="T24" i="2"/>
  <c r="L42" i="67"/>
  <c r="R23" i="2"/>
  <c r="AD18" i="78"/>
  <c r="N152" i="41"/>
  <c r="BH152" i="41" s="1"/>
  <c r="J122" i="67"/>
  <c r="O122" i="67" s="1"/>
  <c r="AW14" i="7"/>
  <c r="CT14" i="7" s="1"/>
  <c r="M99" i="67"/>
  <c r="K100" i="67"/>
  <c r="S23" i="2"/>
  <c r="F22" i="7"/>
  <c r="BC22" i="7" s="1"/>
  <c r="J22" i="7"/>
  <c r="BG22" i="7" s="1"/>
  <c r="AU14" i="7"/>
  <c r="CR14" i="7" s="1"/>
  <c r="AT14" i="7"/>
  <c r="CQ14" i="7" s="1"/>
  <c r="F17" i="7"/>
  <c r="AX14" i="7"/>
  <c r="CU14" i="7" s="1"/>
  <c r="AV19" i="7"/>
  <c r="CS19" i="7" s="1"/>
  <c r="L124" i="85" s="1"/>
  <c r="AV14" i="7"/>
  <c r="CS14" i="7" s="1"/>
  <c r="H17" i="7"/>
  <c r="V32" i="7"/>
  <c r="AX18" i="7"/>
  <c r="CU18" i="7" s="1"/>
  <c r="N123" i="85" s="1"/>
  <c r="N127" i="85" s="1"/>
  <c r="J17" i="7"/>
  <c r="AT11" i="7"/>
  <c r="CQ11" i="7" s="1"/>
  <c r="AW18" i="7"/>
  <c r="I17" i="7"/>
  <c r="AW19" i="7"/>
  <c r="CT19" i="7" s="1"/>
  <c r="M124" i="85" s="1"/>
  <c r="C10" i="5"/>
  <c r="BN17" i="7" l="1"/>
  <c r="K19" i="85"/>
  <c r="K24" i="85" s="1"/>
  <c r="BK17" i="7"/>
  <c r="BO17" i="7"/>
  <c r="K42" i="67"/>
  <c r="N19" i="85"/>
  <c r="N24" i="85" s="1"/>
  <c r="O12" i="67"/>
  <c r="O27" i="85"/>
  <c r="BL13" i="7"/>
  <c r="O19" i="67"/>
  <c r="N24" i="67"/>
  <c r="O122" i="85"/>
  <c r="Y13" i="7"/>
  <c r="BV13" i="7" s="1"/>
  <c r="P13" i="7"/>
  <c r="BM13" i="7" s="1"/>
  <c r="O11" i="67"/>
  <c r="M42" i="67"/>
  <c r="E65" i="7"/>
  <c r="J107" i="67"/>
  <c r="CQ18" i="7"/>
  <c r="J123" i="85" s="1"/>
  <c r="J127" i="85" s="1"/>
  <c r="K116" i="67"/>
  <c r="U76" i="7"/>
  <c r="BR76" i="7" s="1"/>
  <c r="J110" i="67"/>
  <c r="CQ70" i="7"/>
  <c r="J146" i="85" s="1"/>
  <c r="AT76" i="7"/>
  <c r="J152" i="67" s="1"/>
  <c r="M65" i="7"/>
  <c r="Y24" i="7"/>
  <c r="BV24" i="7" s="1"/>
  <c r="CP76" i="7"/>
  <c r="CP65" i="7"/>
  <c r="BJ72" i="7"/>
  <c r="K106" i="67"/>
  <c r="AC65" i="7"/>
  <c r="BZ65" i="7" s="1"/>
  <c r="BS17" i="7"/>
  <c r="M151" i="67"/>
  <c r="U65" i="7"/>
  <c r="BR65" i="7" s="1"/>
  <c r="N110" i="67"/>
  <c r="M116" i="67"/>
  <c r="J108" i="67"/>
  <c r="N108" i="67"/>
  <c r="N107" i="67"/>
  <c r="K110" i="85"/>
  <c r="K110" i="67"/>
  <c r="N106" i="67"/>
  <c r="K106" i="85"/>
  <c r="J106" i="67"/>
  <c r="K107" i="67"/>
  <c r="G24" i="7"/>
  <c r="BD24" i="7" s="1"/>
  <c r="K108" i="67"/>
  <c r="CR18" i="7"/>
  <c r="K123" i="85" s="1"/>
  <c r="K127" i="85" s="1"/>
  <c r="J116" i="67"/>
  <c r="N110" i="85"/>
  <c r="L106" i="67"/>
  <c r="BU17" i="7"/>
  <c r="N105" i="85"/>
  <c r="M115" i="85"/>
  <c r="O30" i="67"/>
  <c r="O27" i="67"/>
  <c r="J108" i="85"/>
  <c r="J24" i="67"/>
  <c r="M114" i="85"/>
  <c r="K107" i="85"/>
  <c r="AF24" i="7"/>
  <c r="AF29" i="7" s="1"/>
  <c r="CC29" i="7" s="1"/>
  <c r="J106" i="85"/>
  <c r="Q24" i="7"/>
  <c r="BN24" i="7" s="1"/>
  <c r="M107" i="67"/>
  <c r="L110" i="85"/>
  <c r="K115" i="67"/>
  <c r="CS18" i="7"/>
  <c r="L123" i="85" s="1"/>
  <c r="L127" i="85" s="1"/>
  <c r="W24" i="7"/>
  <c r="BT24" i="7" s="1"/>
  <c r="N15" i="67"/>
  <c r="N16" i="67" s="1"/>
  <c r="AM24" i="7"/>
  <c r="AM29" i="7" s="1"/>
  <c r="CJ29" i="7" s="1"/>
  <c r="L107" i="85"/>
  <c r="AG24" i="7"/>
  <c r="AG29" i="7" s="1"/>
  <c r="CD29" i="7" s="1"/>
  <c r="K114" i="67"/>
  <c r="Z24" i="7"/>
  <c r="BW24" i="7" s="1"/>
  <c r="AE24" i="7"/>
  <c r="AE29" i="7" s="1"/>
  <c r="CB29" i="7" s="1"/>
  <c r="AO24" i="7"/>
  <c r="AO29" i="7" s="1"/>
  <c r="AO33" i="7" s="1"/>
  <c r="CL33" i="7" s="1"/>
  <c r="M110" i="67"/>
  <c r="AK65" i="7"/>
  <c r="CH65" i="7" s="1"/>
  <c r="AU17" i="7"/>
  <c r="CR17" i="7" s="1"/>
  <c r="M108" i="67"/>
  <c r="M106" i="67"/>
  <c r="M110" i="85"/>
  <c r="M118" i="85"/>
  <c r="P24" i="7"/>
  <c r="BM24" i="7" s="1"/>
  <c r="BW17" i="7"/>
  <c r="M108" i="85"/>
  <c r="H24" i="7"/>
  <c r="BE24" i="7" s="1"/>
  <c r="N42" i="67"/>
  <c r="M107" i="85"/>
  <c r="AN24" i="7"/>
  <c r="AN29" i="7" s="1"/>
  <c r="CK29" i="7" s="1"/>
  <c r="N24" i="7"/>
  <c r="N29" i="7" s="1"/>
  <c r="BK29" i="7" s="1"/>
  <c r="N108" i="85"/>
  <c r="AP24" i="7"/>
  <c r="CM24" i="7" s="1"/>
  <c r="L115" i="67"/>
  <c r="M118" i="67"/>
  <c r="M114" i="67"/>
  <c r="K115" i="85"/>
  <c r="M116" i="85"/>
  <c r="J140" i="67"/>
  <c r="N143" i="67"/>
  <c r="AD24" i="7"/>
  <c r="AD29" i="7" s="1"/>
  <c r="CA29" i="7" s="1"/>
  <c r="K147" i="67"/>
  <c r="K148" i="67"/>
  <c r="AH24" i="7"/>
  <c r="AH29" i="7" s="1"/>
  <c r="CE29" i="7" s="1"/>
  <c r="J24" i="7"/>
  <c r="BG24" i="7" s="1"/>
  <c r="E76" i="7"/>
  <c r="F70" i="7" s="1"/>
  <c r="J110" i="85"/>
  <c r="L118" i="67"/>
  <c r="I24" i="7"/>
  <c r="BF24" i="7" s="1"/>
  <c r="J139" i="67"/>
  <c r="K118" i="67"/>
  <c r="CH72" i="7"/>
  <c r="N116" i="67"/>
  <c r="K114" i="85"/>
  <c r="K116" i="85"/>
  <c r="R24" i="7"/>
  <c r="BO24" i="7" s="1"/>
  <c r="L106" i="85"/>
  <c r="O24" i="7"/>
  <c r="BL24" i="7" s="1"/>
  <c r="N118" i="67"/>
  <c r="N116" i="85"/>
  <c r="N115" i="67"/>
  <c r="N115" i="85"/>
  <c r="L107" i="67"/>
  <c r="N114" i="67"/>
  <c r="N149" i="67"/>
  <c r="BZ72" i="7"/>
  <c r="F24" i="7"/>
  <c r="BC24" i="7" s="1"/>
  <c r="J141" i="67"/>
  <c r="V24" i="7"/>
  <c r="V29" i="7" s="1"/>
  <c r="BS29" i="7" s="1"/>
  <c r="N118" i="85"/>
  <c r="L116" i="85"/>
  <c r="L151" i="67"/>
  <c r="N148" i="67"/>
  <c r="J118" i="67"/>
  <c r="J114" i="67"/>
  <c r="L115" i="85"/>
  <c r="L147" i="67"/>
  <c r="M140" i="67"/>
  <c r="J115" i="67"/>
  <c r="J113" i="67"/>
  <c r="J116" i="85"/>
  <c r="X24" i="7"/>
  <c r="BU24" i="7" s="1"/>
  <c r="K141" i="67"/>
  <c r="M143" i="67"/>
  <c r="N140" i="67"/>
  <c r="L116" i="67"/>
  <c r="J114" i="85"/>
  <c r="J115" i="85"/>
  <c r="L108" i="85"/>
  <c r="J149" i="67"/>
  <c r="L110" i="67"/>
  <c r="AL24" i="7"/>
  <c r="AL29" i="7" s="1"/>
  <c r="AL33" i="7" s="1"/>
  <c r="CI33" i="7" s="1"/>
  <c r="L114" i="67"/>
  <c r="L118" i="85"/>
  <c r="N107" i="85"/>
  <c r="BT17" i="7"/>
  <c r="G13" i="7"/>
  <c r="G21" i="7" s="1"/>
  <c r="BD21" i="7" s="1"/>
  <c r="M141" i="67"/>
  <c r="N139" i="67"/>
  <c r="K143" i="67"/>
  <c r="J147" i="67"/>
  <c r="O21" i="67"/>
  <c r="O43" i="67"/>
  <c r="P24" i="67" s="1"/>
  <c r="O99" i="85"/>
  <c r="L140" i="67"/>
  <c r="M148" i="67"/>
  <c r="L139" i="67"/>
  <c r="J42" i="67"/>
  <c r="J151" i="67"/>
  <c r="L143" i="67"/>
  <c r="K149" i="67"/>
  <c r="O33" i="67"/>
  <c r="J146" i="67"/>
  <c r="AT65" i="7"/>
  <c r="CQ65" i="7" s="1"/>
  <c r="J138" i="67"/>
  <c r="J105" i="67"/>
  <c r="O100" i="85"/>
  <c r="K149" i="85"/>
  <c r="K148" i="85"/>
  <c r="K151" i="85"/>
  <c r="K147" i="85"/>
  <c r="L148" i="85"/>
  <c r="L149" i="85"/>
  <c r="L151" i="85"/>
  <c r="L147" i="85"/>
  <c r="N147" i="67"/>
  <c r="N148" i="85"/>
  <c r="N149" i="85"/>
  <c r="N151" i="85"/>
  <c r="N147" i="85"/>
  <c r="O30" i="85"/>
  <c r="J20" i="85"/>
  <c r="O20" i="85" s="1"/>
  <c r="N140" i="85"/>
  <c r="N141" i="85"/>
  <c r="N143" i="85"/>
  <c r="N139" i="85"/>
  <c r="M147" i="67"/>
  <c r="M148" i="85"/>
  <c r="M149" i="85"/>
  <c r="M151" i="85"/>
  <c r="M147" i="85"/>
  <c r="P19" i="85"/>
  <c r="O43" i="85"/>
  <c r="P20" i="85"/>
  <c r="M141" i="85"/>
  <c r="M140" i="85"/>
  <c r="M143" i="85"/>
  <c r="M139" i="85"/>
  <c r="P21" i="85"/>
  <c r="J140" i="85"/>
  <c r="J141" i="85"/>
  <c r="J143" i="85"/>
  <c r="J139" i="85"/>
  <c r="J138" i="85"/>
  <c r="J105" i="85"/>
  <c r="O10" i="85"/>
  <c r="O15" i="85" s="1"/>
  <c r="O16" i="85" s="1"/>
  <c r="J15" i="85"/>
  <c r="J16" i="85" s="1"/>
  <c r="J21" i="85"/>
  <c r="O21" i="85" s="1"/>
  <c r="O33" i="85"/>
  <c r="O100" i="67"/>
  <c r="L149" i="67"/>
  <c r="J19" i="85"/>
  <c r="J42" i="85"/>
  <c r="J149" i="85"/>
  <c r="J148" i="85"/>
  <c r="J151" i="85"/>
  <c r="J147" i="85"/>
  <c r="L141" i="85"/>
  <c r="L140" i="85"/>
  <c r="L143" i="85"/>
  <c r="L139" i="85"/>
  <c r="K139" i="67"/>
  <c r="K140" i="85"/>
  <c r="K141" i="85"/>
  <c r="K143" i="85"/>
  <c r="K139" i="85"/>
  <c r="N59" i="7"/>
  <c r="BJ65" i="7"/>
  <c r="R21" i="7"/>
  <c r="BO21" i="7" s="1"/>
  <c r="BO13" i="7"/>
  <c r="X21" i="7"/>
  <c r="BU21" i="7" s="1"/>
  <c r="BU13" i="7"/>
  <c r="Q21" i="7"/>
  <c r="BN21" i="7" s="1"/>
  <c r="BN13" i="7"/>
  <c r="W21" i="7"/>
  <c r="BT21" i="7" s="1"/>
  <c r="BT13" i="7"/>
  <c r="V21" i="7"/>
  <c r="BS21" i="7" s="1"/>
  <c r="BS13" i="7"/>
  <c r="J124" i="67"/>
  <c r="CQ19" i="7"/>
  <c r="J124" i="85" s="1"/>
  <c r="J13" i="7"/>
  <c r="BG17" i="7"/>
  <c r="I13" i="7"/>
  <c r="BF17" i="7"/>
  <c r="M123" i="67"/>
  <c r="M127" i="67" s="1"/>
  <c r="CT18" i="7"/>
  <c r="M123" i="85" s="1"/>
  <c r="M127" i="85" s="1"/>
  <c r="Z21" i="7"/>
  <c r="BW21" i="7" s="1"/>
  <c r="BW13" i="7"/>
  <c r="N21" i="7"/>
  <c r="BK21" i="7" s="1"/>
  <c r="BK13" i="7"/>
  <c r="N124" i="67"/>
  <c r="CU19" i="7"/>
  <c r="N124" i="85" s="1"/>
  <c r="F13" i="7"/>
  <c r="BC17" i="7"/>
  <c r="O99" i="67"/>
  <c r="F59" i="7"/>
  <c r="BB65" i="7"/>
  <c r="H13" i="7"/>
  <c r="BE17" i="7"/>
  <c r="AT17" i="7"/>
  <c r="CQ17" i="7" s="1"/>
  <c r="K124" i="67"/>
  <c r="CR19" i="7"/>
  <c r="K124" i="85" s="1"/>
  <c r="AM58" i="53"/>
  <c r="Y32" i="7"/>
  <c r="W32" i="7"/>
  <c r="O32" i="7"/>
  <c r="AJ58" i="53"/>
  <c r="CM58" i="53" s="1"/>
  <c r="U107" i="85" s="1"/>
  <c r="Z107" i="85" s="1"/>
  <c r="R32" i="7"/>
  <c r="P32" i="7"/>
  <c r="X32" i="7"/>
  <c r="Q32" i="7"/>
  <c r="N32" i="7"/>
  <c r="AL70" i="7"/>
  <c r="CH76" i="7"/>
  <c r="V70" i="7"/>
  <c r="AD70" i="7"/>
  <c r="BZ76" i="7"/>
  <c r="N70" i="7"/>
  <c r="BJ76" i="7"/>
  <c r="U63" i="7"/>
  <c r="U107" i="67"/>
  <c r="Z107" i="67" s="1"/>
  <c r="AP58" i="53"/>
  <c r="AK74" i="7"/>
  <c r="AK73" i="7" s="1"/>
  <c r="M63" i="7"/>
  <c r="M62" i="7" s="1"/>
  <c r="E74" i="7"/>
  <c r="AC74" i="7"/>
  <c r="AC73" i="7" s="1"/>
  <c r="AC63" i="7"/>
  <c r="M74" i="7"/>
  <c r="M73" i="7" s="1"/>
  <c r="E63" i="7"/>
  <c r="E62" i="7" s="1"/>
  <c r="AT74" i="7"/>
  <c r="AX17" i="7"/>
  <c r="N123" i="67"/>
  <c r="N127" i="67" s="1"/>
  <c r="AV22" i="7"/>
  <c r="CS22" i="7" s="1"/>
  <c r="L124" i="67"/>
  <c r="AW22" i="7"/>
  <c r="CT22" i="7" s="1"/>
  <c r="M124" i="67"/>
  <c r="AL32" i="7"/>
  <c r="AO32" i="7"/>
  <c r="AV17" i="7"/>
  <c r="AN32" i="7"/>
  <c r="AL58" i="53"/>
  <c r="AD32" i="7"/>
  <c r="AB58" i="53"/>
  <c r="CF58" i="53" s="1"/>
  <c r="U83" i="85" s="1"/>
  <c r="Z83" i="85" s="1"/>
  <c r="Z32" i="7"/>
  <c r="AG32" i="7"/>
  <c r="AE58" i="53"/>
  <c r="AM55" i="53"/>
  <c r="AJ55" i="53"/>
  <c r="CM55" i="53" s="1"/>
  <c r="U104" i="85" s="1"/>
  <c r="AH32" i="7"/>
  <c r="AF58" i="53"/>
  <c r="AT31" i="7"/>
  <c r="CQ31" i="7" s="1"/>
  <c r="J133" i="85" s="1"/>
  <c r="J134" i="85" s="1"/>
  <c r="F32" i="7"/>
  <c r="G32" i="7"/>
  <c r="AP32" i="7"/>
  <c r="AN58" i="53"/>
  <c r="AW17" i="7"/>
  <c r="AM32" i="7"/>
  <c r="AK58" i="53"/>
  <c r="AT63" i="7"/>
  <c r="C51" i="53"/>
  <c r="K18" i="53"/>
  <c r="S18" i="53"/>
  <c r="W18" i="53"/>
  <c r="CB18" i="53" s="1"/>
  <c r="X18" i="53"/>
  <c r="CC18" i="53" s="1"/>
  <c r="O18" i="53"/>
  <c r="BU18" i="53" s="1"/>
  <c r="P18" i="53"/>
  <c r="BV18" i="53" s="1"/>
  <c r="Y21" i="7" l="1"/>
  <c r="BV21" i="7" s="1"/>
  <c r="O24" i="67"/>
  <c r="O15" i="67"/>
  <c r="O16" i="67" s="1"/>
  <c r="P21" i="7"/>
  <c r="BM21" i="7" s="1"/>
  <c r="Y29" i="7"/>
  <c r="BV29" i="7" s="1"/>
  <c r="CC24" i="7"/>
  <c r="J113" i="85"/>
  <c r="AC62" i="7"/>
  <c r="CA24" i="7"/>
  <c r="U73" i="7"/>
  <c r="AP29" i="7"/>
  <c r="CM29" i="7" s="1"/>
  <c r="AD59" i="7"/>
  <c r="CA59" i="7" s="1"/>
  <c r="J119" i="67"/>
  <c r="CD24" i="7"/>
  <c r="AU70" i="7"/>
  <c r="AU76" i="7" s="1"/>
  <c r="AU74" i="7" s="1"/>
  <c r="G29" i="7"/>
  <c r="G33" i="7" s="1"/>
  <c r="BD33" i="7" s="1"/>
  <c r="CQ76" i="7"/>
  <c r="J119" i="85" s="1"/>
  <c r="Q29" i="7"/>
  <c r="BN29" i="7" s="1"/>
  <c r="U62" i="7"/>
  <c r="BR62" i="7" s="1"/>
  <c r="V59" i="7"/>
  <c r="V65" i="7" s="1"/>
  <c r="CB24" i="7"/>
  <c r="Z29" i="7"/>
  <c r="BW29" i="7" s="1"/>
  <c r="H29" i="7"/>
  <c r="BE29" i="7" s="1"/>
  <c r="F29" i="7"/>
  <c r="F33" i="7" s="1"/>
  <c r="BC33" i="7" s="1"/>
  <c r="AU13" i="7"/>
  <c r="CR13" i="7" s="1"/>
  <c r="O42" i="67"/>
  <c r="P27" i="67" s="1"/>
  <c r="R29" i="7"/>
  <c r="BO29" i="7" s="1"/>
  <c r="AW24" i="7"/>
  <c r="M128" i="67" s="1"/>
  <c r="M129" i="67" s="1"/>
  <c r="P29" i="7"/>
  <c r="P33" i="7" s="1"/>
  <c r="BM33" i="7" s="1"/>
  <c r="W29" i="7"/>
  <c r="BT29" i="7" s="1"/>
  <c r="CL24" i="7"/>
  <c r="I29" i="7"/>
  <c r="I33" i="7" s="1"/>
  <c r="BF33" i="7" s="1"/>
  <c r="BD13" i="7"/>
  <c r="CJ24" i="7"/>
  <c r="BK24" i="7"/>
  <c r="CE24" i="7"/>
  <c r="BS24" i="7"/>
  <c r="AV24" i="7"/>
  <c r="L128" i="67" s="1"/>
  <c r="L129" i="67" s="1"/>
  <c r="BB76" i="7"/>
  <c r="AU24" i="7"/>
  <c r="CR24" i="7" s="1"/>
  <c r="K128" i="85" s="1"/>
  <c r="K129" i="85" s="1"/>
  <c r="O29" i="7"/>
  <c r="O33" i="7" s="1"/>
  <c r="BL33" i="7" s="1"/>
  <c r="E73" i="7"/>
  <c r="E75" i="7" s="1"/>
  <c r="BB75" i="7" s="1"/>
  <c r="CK24" i="7"/>
  <c r="AL59" i="7"/>
  <c r="AL65" i="7" s="1"/>
  <c r="AK62" i="7"/>
  <c r="AK64" i="7" s="1"/>
  <c r="CH64" i="7" s="1"/>
  <c r="AX24" i="7"/>
  <c r="N128" i="67" s="1"/>
  <c r="N129" i="67" s="1"/>
  <c r="J29" i="7"/>
  <c r="BG29" i="7" s="1"/>
  <c r="AT13" i="7"/>
  <c r="CQ13" i="7" s="1"/>
  <c r="AU59" i="7"/>
  <c r="AU65" i="7" s="1"/>
  <c r="AV59" i="7" s="1"/>
  <c r="CS59" i="7" s="1"/>
  <c r="AG33" i="7"/>
  <c r="CD33" i="7" s="1"/>
  <c r="J111" i="67"/>
  <c r="J144" i="67"/>
  <c r="X29" i="7"/>
  <c r="AF33" i="7"/>
  <c r="CC33" i="7" s="1"/>
  <c r="CI24" i="7"/>
  <c r="V33" i="7"/>
  <c r="BS33" i="7" s="1"/>
  <c r="AT24" i="7"/>
  <c r="J128" i="67" s="1"/>
  <c r="CI29" i="7"/>
  <c r="O123" i="85"/>
  <c r="J109" i="85"/>
  <c r="J142" i="85"/>
  <c r="O42" i="85"/>
  <c r="P33" i="85" s="1"/>
  <c r="O127" i="85"/>
  <c r="Z104" i="85"/>
  <c r="U112" i="85"/>
  <c r="O124" i="85"/>
  <c r="AM33" i="7"/>
  <c r="CJ33" i="7" s="1"/>
  <c r="CL29" i="7"/>
  <c r="J144" i="85"/>
  <c r="J111" i="85"/>
  <c r="AN33" i="7"/>
  <c r="CK33" i="7" s="1"/>
  <c r="O127" i="67"/>
  <c r="J150" i="67"/>
  <c r="J117" i="85"/>
  <c r="J150" i="85"/>
  <c r="O19" i="85"/>
  <c r="O24" i="85" s="1"/>
  <c r="J24" i="85"/>
  <c r="P24" i="85"/>
  <c r="AH33" i="7"/>
  <c r="CE33" i="7" s="1"/>
  <c r="AD33" i="7"/>
  <c r="CA33" i="7" s="1"/>
  <c r="AC64" i="7"/>
  <c r="BZ64" i="7" s="1"/>
  <c r="BZ62" i="7"/>
  <c r="J21" i="7"/>
  <c r="BG21" i="7" s="1"/>
  <c r="BG13" i="7"/>
  <c r="U64" i="7"/>
  <c r="BR64" i="7" s="1"/>
  <c r="H21" i="7"/>
  <c r="BE21" i="7" s="1"/>
  <c r="BE13" i="7"/>
  <c r="AW13" i="7"/>
  <c r="CT17" i="7"/>
  <c r="N33" i="7"/>
  <c r="BK33" i="7" s="1"/>
  <c r="I21" i="7"/>
  <c r="BF21" i="7" s="1"/>
  <c r="BF13" i="7"/>
  <c r="BS59" i="7"/>
  <c r="AV13" i="7"/>
  <c r="CS17" i="7"/>
  <c r="M64" i="7"/>
  <c r="BJ64" i="7" s="1"/>
  <c r="BJ62" i="7"/>
  <c r="F21" i="7"/>
  <c r="BC21" i="7" s="1"/>
  <c r="BC13" i="7"/>
  <c r="N65" i="7"/>
  <c r="BK59" i="7"/>
  <c r="BC59" i="7"/>
  <c r="F65" i="7"/>
  <c r="AX13" i="7"/>
  <c r="CU17" i="7"/>
  <c r="E64" i="7"/>
  <c r="BB64" i="7" s="1"/>
  <c r="BB62" i="7"/>
  <c r="AV58" i="73"/>
  <c r="CF58" i="73" s="1"/>
  <c r="AW58" i="73"/>
  <c r="X104" i="67"/>
  <c r="X112" i="67" s="1"/>
  <c r="X113" i="67" s="1"/>
  <c r="CP55" i="53"/>
  <c r="X104" i="85" s="1"/>
  <c r="X112" i="85" s="1"/>
  <c r="X113" i="85" s="1"/>
  <c r="V107" i="67"/>
  <c r="CN58" i="53"/>
  <c r="V107" i="85" s="1"/>
  <c r="X83" i="67"/>
  <c r="CI58" i="53"/>
  <c r="X83" i="85" s="1"/>
  <c r="Y18" i="73"/>
  <c r="BS18" i="73" s="1"/>
  <c r="BX18" i="53"/>
  <c r="N18" i="73"/>
  <c r="BM18" i="73" s="1"/>
  <c r="BQ18" i="53"/>
  <c r="X107" i="67"/>
  <c r="CP58" i="53"/>
  <c r="X107" i="85" s="1"/>
  <c r="BC58" i="73"/>
  <c r="Y83" i="67"/>
  <c r="AA83" i="67" s="1"/>
  <c r="CJ58" i="53"/>
  <c r="Y83" i="85" s="1"/>
  <c r="AA83" i="85" s="1"/>
  <c r="W107" i="67"/>
  <c r="CO58" i="53"/>
  <c r="W107" i="85" s="1"/>
  <c r="Y107" i="67"/>
  <c r="AA107" i="67" s="1"/>
  <c r="CQ58" i="53"/>
  <c r="Y107" i="85" s="1"/>
  <c r="AA107" i="85" s="1"/>
  <c r="C51" i="73"/>
  <c r="BG51" i="73" s="1"/>
  <c r="BJ51" i="53"/>
  <c r="BB58" i="73"/>
  <c r="CI58" i="73" s="1"/>
  <c r="AO58" i="53"/>
  <c r="CR58" i="53" s="1"/>
  <c r="BS70" i="7"/>
  <c r="V76" i="7"/>
  <c r="AC75" i="7"/>
  <c r="BZ75" i="7" s="1"/>
  <c r="BZ73" i="7"/>
  <c r="BC70" i="7"/>
  <c r="F76" i="7"/>
  <c r="AK75" i="7"/>
  <c r="CH75" i="7" s="1"/>
  <c r="CH73" i="7"/>
  <c r="BK70" i="7"/>
  <c r="N76" i="7"/>
  <c r="M75" i="7"/>
  <c r="BJ75" i="7" s="1"/>
  <c r="BJ73" i="7"/>
  <c r="CA70" i="7"/>
  <c r="AD76" i="7"/>
  <c r="U75" i="7"/>
  <c r="BR75" i="7" s="1"/>
  <c r="BR73" i="7"/>
  <c r="CI70" i="7"/>
  <c r="AL76" i="7"/>
  <c r="U83" i="67"/>
  <c r="Z83" i="67" s="1"/>
  <c r="AG58" i="53"/>
  <c r="CK58" i="53" s="1"/>
  <c r="AH58" i="53"/>
  <c r="U104" i="67"/>
  <c r="U112" i="67" s="1"/>
  <c r="AP55" i="53"/>
  <c r="AO55" i="53"/>
  <c r="CR55" i="53" s="1"/>
  <c r="N74" i="7"/>
  <c r="V74" i="7"/>
  <c r="F74" i="7"/>
  <c r="AL74" i="7"/>
  <c r="AD74" i="7"/>
  <c r="J117" i="67"/>
  <c r="AT32" i="7"/>
  <c r="J133" i="67"/>
  <c r="J142" i="67"/>
  <c r="J109" i="67"/>
  <c r="O123" i="67"/>
  <c r="O124" i="67"/>
  <c r="H32" i="7"/>
  <c r="AV31" i="7"/>
  <c r="CS31" i="7" s="1"/>
  <c r="L133" i="85" s="1"/>
  <c r="AE32" i="7"/>
  <c r="AC58" i="53"/>
  <c r="AU31" i="7"/>
  <c r="CR31" i="7" s="1"/>
  <c r="K133" i="85" s="1"/>
  <c r="BB55" i="73"/>
  <c r="CI55" i="73" s="1"/>
  <c r="G24" i="20"/>
  <c r="N24" i="20" s="1"/>
  <c r="BC55" i="73"/>
  <c r="AM88" i="53"/>
  <c r="CP88" i="53" s="1"/>
  <c r="AF32" i="7"/>
  <c r="AD58" i="53"/>
  <c r="AK55" i="53"/>
  <c r="AX58" i="73"/>
  <c r="CG58" i="73" s="1"/>
  <c r="AY58" i="73"/>
  <c r="AX31" i="7"/>
  <c r="CU31" i="7" s="1"/>
  <c r="N133" i="85" s="1"/>
  <c r="N134" i="85" s="1"/>
  <c r="J32" i="7"/>
  <c r="AN55" i="53"/>
  <c r="BD58" i="73"/>
  <c r="CJ58" i="73" s="1"/>
  <c r="BE58" i="73"/>
  <c r="AS58" i="73"/>
  <c r="CD58" i="73" s="1"/>
  <c r="AT58" i="73"/>
  <c r="AF55" i="53"/>
  <c r="AV55" i="73"/>
  <c r="CF55" i="73" s="1"/>
  <c r="D24" i="20"/>
  <c r="K24" i="20" s="1"/>
  <c r="AW55" i="73"/>
  <c r="AJ88" i="53"/>
  <c r="CM88" i="53" s="1"/>
  <c r="AR58" i="73"/>
  <c r="AQ58" i="73"/>
  <c r="CC58" i="73" s="1"/>
  <c r="AE55" i="53"/>
  <c r="AB55" i="53"/>
  <c r="CF55" i="53" s="1"/>
  <c r="U80" i="85" s="1"/>
  <c r="AL58" i="73"/>
  <c r="AK58" i="73"/>
  <c r="BZ58" i="73" s="1"/>
  <c r="AL55" i="53"/>
  <c r="BA58" i="73"/>
  <c r="AZ58" i="73"/>
  <c r="CH58" i="73" s="1"/>
  <c r="AW31" i="7"/>
  <c r="CT31" i="7" s="1"/>
  <c r="M133" i="85" s="1"/>
  <c r="I32" i="7"/>
  <c r="N63" i="7"/>
  <c r="AD63" i="7"/>
  <c r="V63" i="7"/>
  <c r="F63" i="7"/>
  <c r="AL63" i="7"/>
  <c r="AE33" i="7"/>
  <c r="CB33" i="7" s="1"/>
  <c r="AF18" i="73"/>
  <c r="BW18" i="73" s="1"/>
  <c r="AG18" i="73"/>
  <c r="X18" i="73"/>
  <c r="W18" i="73"/>
  <c r="BR18" i="73" s="1"/>
  <c r="V18" i="73"/>
  <c r="U18" i="73"/>
  <c r="BQ18" i="73" s="1"/>
  <c r="AH18" i="73"/>
  <c r="BX18" i="73" s="1"/>
  <c r="AI18" i="73"/>
  <c r="L18" i="53"/>
  <c r="BR18" i="53" s="1"/>
  <c r="T18" i="53"/>
  <c r="BY18" i="53" s="1"/>
  <c r="H18" i="53"/>
  <c r="BO18" i="53" s="1"/>
  <c r="C18" i="53"/>
  <c r="M18" i="53"/>
  <c r="BS18" i="53" s="1"/>
  <c r="N18" i="53"/>
  <c r="BT18" i="53" s="1"/>
  <c r="U18" i="53"/>
  <c r="BZ18" i="53" s="1"/>
  <c r="V18" i="53"/>
  <c r="CA18" i="53" s="1"/>
  <c r="T12" i="67"/>
  <c r="E18" i="53"/>
  <c r="BL18" i="53" s="1"/>
  <c r="G18" i="53"/>
  <c r="BN18" i="53" s="1"/>
  <c r="Y33" i="7" l="1"/>
  <c r="BV33" i="7" s="1"/>
  <c r="K113" i="67"/>
  <c r="J152" i="85"/>
  <c r="Q33" i="7"/>
  <c r="BN33" i="7" s="1"/>
  <c r="Z33" i="7"/>
  <c r="BW33" i="7" s="1"/>
  <c r="AP33" i="7"/>
  <c r="CM33" i="7" s="1"/>
  <c r="AD65" i="7"/>
  <c r="AD62" i="7" s="1"/>
  <c r="CA62" i="7" s="1"/>
  <c r="BD29" i="7"/>
  <c r="K146" i="67"/>
  <c r="CR70" i="7"/>
  <c r="K146" i="85" s="1"/>
  <c r="CH62" i="7"/>
  <c r="H33" i="7"/>
  <c r="BE33" i="7" s="1"/>
  <c r="BC29" i="7"/>
  <c r="P35" i="67"/>
  <c r="AT29" i="7"/>
  <c r="CQ29" i="7" s="1"/>
  <c r="W33" i="7"/>
  <c r="BT33" i="7" s="1"/>
  <c r="AU21" i="7"/>
  <c r="CR21" i="7" s="1"/>
  <c r="P41" i="67"/>
  <c r="P38" i="67"/>
  <c r="AW29" i="7"/>
  <c r="CT29" i="7" s="1"/>
  <c r="P29" i="67"/>
  <c r="P42" i="67"/>
  <c r="P30" i="67"/>
  <c r="BB73" i="7"/>
  <c r="P34" i="67"/>
  <c r="P32" i="67"/>
  <c r="P33" i="67"/>
  <c r="P36" i="67"/>
  <c r="P31" i="67"/>
  <c r="P28" i="67"/>
  <c r="P39" i="67"/>
  <c r="R33" i="7"/>
  <c r="BO33" i="7" s="1"/>
  <c r="P37" i="67"/>
  <c r="P43" i="67"/>
  <c r="P44" i="67"/>
  <c r="P40" i="67"/>
  <c r="BF29" i="7"/>
  <c r="CT24" i="7"/>
  <c r="M128" i="85" s="1"/>
  <c r="M129" i="85" s="1"/>
  <c r="AV29" i="7"/>
  <c r="CS29" i="7" s="1"/>
  <c r="BM29" i="7"/>
  <c r="AT21" i="7"/>
  <c r="CQ21" i="7" s="1"/>
  <c r="BL29" i="7"/>
  <c r="CS24" i="7"/>
  <c r="L128" i="85" s="1"/>
  <c r="L129" i="85" s="1"/>
  <c r="CU24" i="7"/>
  <c r="N128" i="85" s="1"/>
  <c r="N129" i="85" s="1"/>
  <c r="AX29" i="7"/>
  <c r="CU29" i="7" s="1"/>
  <c r="AU63" i="7"/>
  <c r="K109" i="85" s="1"/>
  <c r="AU29" i="7"/>
  <c r="CR29" i="7" s="1"/>
  <c r="K105" i="67"/>
  <c r="K128" i="67"/>
  <c r="K129" i="67" s="1"/>
  <c r="CI59" i="7"/>
  <c r="K138" i="67"/>
  <c r="J33" i="7"/>
  <c r="BG33" i="7" s="1"/>
  <c r="CR59" i="7"/>
  <c r="K138" i="85" s="1"/>
  <c r="J129" i="67"/>
  <c r="V73" i="7"/>
  <c r="BS73" i="7" s="1"/>
  <c r="BU29" i="7"/>
  <c r="X33" i="7"/>
  <c r="BU33" i="7" s="1"/>
  <c r="CQ24" i="7"/>
  <c r="J128" i="85" s="1"/>
  <c r="J129" i="85" s="1"/>
  <c r="V62" i="7"/>
  <c r="V64" i="7" s="1"/>
  <c r="BS64" i="7" s="1"/>
  <c r="L138" i="85"/>
  <c r="L105" i="85"/>
  <c r="O133" i="85"/>
  <c r="O134" i="85" s="1"/>
  <c r="M134" i="85"/>
  <c r="AL62" i="7"/>
  <c r="CI62" i="7" s="1"/>
  <c r="P42" i="85"/>
  <c r="P41" i="85"/>
  <c r="P38" i="85"/>
  <c r="P37" i="85"/>
  <c r="P40" i="85"/>
  <c r="P36" i="85"/>
  <c r="P39" i="85"/>
  <c r="P35" i="85"/>
  <c r="P29" i="85"/>
  <c r="P32" i="85"/>
  <c r="P44" i="85"/>
  <c r="P28" i="85"/>
  <c r="P34" i="85"/>
  <c r="P27" i="85"/>
  <c r="P31" i="85"/>
  <c r="K134" i="85"/>
  <c r="L134" i="85"/>
  <c r="K144" i="67"/>
  <c r="P30" i="85"/>
  <c r="U113" i="85"/>
  <c r="Z112" i="85"/>
  <c r="Z80" i="85"/>
  <c r="U88" i="85"/>
  <c r="P43" i="85"/>
  <c r="N73" i="7"/>
  <c r="N75" i="7" s="1"/>
  <c r="BK75" i="7" s="1"/>
  <c r="K117" i="67"/>
  <c r="K150" i="85"/>
  <c r="K117" i="85"/>
  <c r="F62" i="7"/>
  <c r="F64" i="7" s="1"/>
  <c r="BC64" i="7" s="1"/>
  <c r="N62" i="7"/>
  <c r="G59" i="7"/>
  <c r="BC65" i="7"/>
  <c r="AV21" i="7"/>
  <c r="CS21" i="7" s="1"/>
  <c r="CS13" i="7"/>
  <c r="AW21" i="7"/>
  <c r="CT21" i="7" s="1"/>
  <c r="CT13" i="7"/>
  <c r="W59" i="7"/>
  <c r="BS65" i="7"/>
  <c r="AM59" i="7"/>
  <c r="CI65" i="7"/>
  <c r="O59" i="7"/>
  <c r="BK65" i="7"/>
  <c r="K111" i="67"/>
  <c r="CR65" i="7"/>
  <c r="AX21" i="7"/>
  <c r="CU21" i="7" s="1"/>
  <c r="CU13" i="7"/>
  <c r="X80" i="67"/>
  <c r="X88" i="67" s="1"/>
  <c r="X89" i="67" s="1"/>
  <c r="CI55" i="53"/>
  <c r="X80" i="85" s="1"/>
  <c r="X88" i="85" s="1"/>
  <c r="X89" i="85" s="1"/>
  <c r="V104" i="67"/>
  <c r="V112" i="67" s="1"/>
  <c r="V113" i="67" s="1"/>
  <c r="CN55" i="53"/>
  <c r="V104" i="85" s="1"/>
  <c r="V112" i="85" s="1"/>
  <c r="V113" i="85" s="1"/>
  <c r="W104" i="67"/>
  <c r="W112" i="67" s="1"/>
  <c r="W113" i="67" s="1"/>
  <c r="CO55" i="53"/>
  <c r="W104" i="85" s="1"/>
  <c r="W112" i="85" s="1"/>
  <c r="W113" i="85" s="1"/>
  <c r="Y104" i="67"/>
  <c r="Y112" i="67" s="1"/>
  <c r="CQ55" i="53"/>
  <c r="Y104" i="85" s="1"/>
  <c r="C18" i="73"/>
  <c r="BG18" i="73" s="1"/>
  <c r="BJ18" i="53"/>
  <c r="W83" i="67"/>
  <c r="CH58" i="53"/>
  <c r="W83" i="85" s="1"/>
  <c r="V83" i="67"/>
  <c r="CG58" i="53"/>
  <c r="V83" i="85" s="1"/>
  <c r="Y80" i="67"/>
  <c r="Y88" i="67" s="1"/>
  <c r="CJ55" i="53"/>
  <c r="Y80" i="85" s="1"/>
  <c r="G70" i="7"/>
  <c r="BC76" i="7"/>
  <c r="AM70" i="7"/>
  <c r="CI76" i="7"/>
  <c r="BK76" i="7"/>
  <c r="O70" i="7"/>
  <c r="AD73" i="7"/>
  <c r="CA73" i="7" s="1"/>
  <c r="AL73" i="7"/>
  <c r="AL75" i="7" s="1"/>
  <c r="CI75" i="7" s="1"/>
  <c r="BS76" i="7"/>
  <c r="W70" i="7"/>
  <c r="AE70" i="7"/>
  <c r="CA76" i="7"/>
  <c r="F73" i="7"/>
  <c r="F75" i="7" s="1"/>
  <c r="BC75" i="7" s="1"/>
  <c r="K119" i="67"/>
  <c r="CR76" i="7"/>
  <c r="K152" i="67"/>
  <c r="AV70" i="7"/>
  <c r="CS70" i="7" s="1"/>
  <c r="Z104" i="67"/>
  <c r="Q18" i="53"/>
  <c r="BW18" i="53" s="1"/>
  <c r="R18" i="53"/>
  <c r="AP88" i="53"/>
  <c r="AO88" i="53"/>
  <c r="CR88" i="53" s="1"/>
  <c r="Z18" i="53"/>
  <c r="Y18" i="53"/>
  <c r="CD18" i="53" s="1"/>
  <c r="U80" i="67"/>
  <c r="Z80" i="67" s="1"/>
  <c r="AH55" i="53"/>
  <c r="AG55" i="53"/>
  <c r="CK55" i="53" s="1"/>
  <c r="AX32" i="7"/>
  <c r="N133" i="67"/>
  <c r="N134" i="67" s="1"/>
  <c r="AU32" i="7"/>
  <c r="K133" i="67"/>
  <c r="K134" i="67" s="1"/>
  <c r="AV32" i="7"/>
  <c r="L133" i="67"/>
  <c r="L134" i="67" s="1"/>
  <c r="L138" i="67"/>
  <c r="L105" i="67"/>
  <c r="AW32" i="7"/>
  <c r="M133" i="67"/>
  <c r="M134" i="67" s="1"/>
  <c r="J134" i="67"/>
  <c r="AV65" i="7"/>
  <c r="G74" i="7"/>
  <c r="K150" i="67"/>
  <c r="U113" i="67"/>
  <c r="Z112" i="67"/>
  <c r="W74" i="7"/>
  <c r="AE74" i="7"/>
  <c r="O74" i="7"/>
  <c r="AM74" i="7"/>
  <c r="AP58" i="73"/>
  <c r="AO58" i="73"/>
  <c r="CB58" i="73" s="1"/>
  <c r="AD55" i="53"/>
  <c r="AK55" i="73"/>
  <c r="BZ55" i="73" s="1"/>
  <c r="D21" i="20"/>
  <c r="K21" i="20" s="1"/>
  <c r="AL55" i="73"/>
  <c r="AB88" i="53"/>
  <c r="CF88" i="53" s="1"/>
  <c r="AJ91" i="53"/>
  <c r="CM91" i="53" s="1"/>
  <c r="D41" i="17"/>
  <c r="AW88" i="73"/>
  <c r="AJ95" i="53"/>
  <c r="CM95" i="53" s="1"/>
  <c r="AV88" i="73"/>
  <c r="CF88" i="73" s="1"/>
  <c r="D23" i="20"/>
  <c r="BC88" i="73"/>
  <c r="G41" i="17"/>
  <c r="BB88" i="73"/>
  <c r="CI88" i="73" s="1"/>
  <c r="G23" i="20"/>
  <c r="AM95" i="53"/>
  <c r="CP95" i="53" s="1"/>
  <c r="AM91" i="53"/>
  <c r="BA55" i="73"/>
  <c r="AZ55" i="73"/>
  <c r="CH55" i="73" s="1"/>
  <c r="F24" i="20"/>
  <c r="M24" i="20" s="1"/>
  <c r="AL88" i="53"/>
  <c r="CO88" i="53" s="1"/>
  <c r="AR55" i="73"/>
  <c r="G21" i="20"/>
  <c r="N21" i="20" s="1"/>
  <c r="AQ55" i="73"/>
  <c r="CC55" i="73" s="1"/>
  <c r="AE88" i="53"/>
  <c r="CI88" i="53" s="1"/>
  <c r="AS55" i="73"/>
  <c r="CD55" i="73" s="1"/>
  <c r="H21" i="20"/>
  <c r="O21" i="20" s="1"/>
  <c r="AT55" i="73"/>
  <c r="AF88" i="53"/>
  <c r="CJ88" i="53" s="1"/>
  <c r="H24" i="20"/>
  <c r="O24" i="20" s="1"/>
  <c r="BD55" i="73"/>
  <c r="CJ55" i="73" s="1"/>
  <c r="BE55" i="73"/>
  <c r="AN88" i="53"/>
  <c r="CQ88" i="53" s="1"/>
  <c r="AY55" i="73"/>
  <c r="AX55" i="73"/>
  <c r="CG55" i="73" s="1"/>
  <c r="E24" i="20"/>
  <c r="L24" i="20" s="1"/>
  <c r="AK88" i="53"/>
  <c r="CN88" i="53" s="1"/>
  <c r="AM58" i="73"/>
  <c r="CA58" i="73" s="1"/>
  <c r="AN58" i="73"/>
  <c r="AC55" i="53"/>
  <c r="C63" i="73"/>
  <c r="BG63" i="73" s="1"/>
  <c r="AE18" i="73"/>
  <c r="AD18" i="73"/>
  <c r="BV18" i="73" s="1"/>
  <c r="AB18" i="73"/>
  <c r="BU18" i="73" s="1"/>
  <c r="AC18" i="73"/>
  <c r="T18" i="73"/>
  <c r="S18" i="73"/>
  <c r="BP18" i="73" s="1"/>
  <c r="Z18" i="73"/>
  <c r="BT18" i="73" s="1"/>
  <c r="AA18" i="73"/>
  <c r="Q18" i="73"/>
  <c r="BO18" i="73" s="1"/>
  <c r="R18" i="73"/>
  <c r="P18" i="73"/>
  <c r="O18" i="73"/>
  <c r="BN18" i="73" s="1"/>
  <c r="J18" i="73"/>
  <c r="BK18" i="73" s="1"/>
  <c r="K18" i="73"/>
  <c r="M18" i="73"/>
  <c r="L18" i="73"/>
  <c r="BL18" i="73" s="1"/>
  <c r="F18" i="73"/>
  <c r="BI18" i="73" s="1"/>
  <c r="G18" i="73"/>
  <c r="D18" i="53"/>
  <c r="BK18" i="53" s="1"/>
  <c r="F18" i="53"/>
  <c r="BM18" i="53" s="1"/>
  <c r="AE59" i="7" l="1"/>
  <c r="CA65" i="7"/>
  <c r="K113" i="85"/>
  <c r="AW33" i="7"/>
  <c r="CT33" i="7" s="1"/>
  <c r="AT33" i="7"/>
  <c r="CQ33" i="7" s="1"/>
  <c r="K109" i="67"/>
  <c r="AV33" i="7"/>
  <c r="CS33" i="7" s="1"/>
  <c r="V75" i="7"/>
  <c r="BS75" i="7" s="1"/>
  <c r="AU33" i="7"/>
  <c r="CR33" i="7" s="1"/>
  <c r="AM63" i="7"/>
  <c r="AD64" i="7"/>
  <c r="CA64" i="7" s="1"/>
  <c r="G63" i="7"/>
  <c r="K142" i="67"/>
  <c r="AE63" i="7"/>
  <c r="O129" i="85"/>
  <c r="W63" i="7"/>
  <c r="AX33" i="7"/>
  <c r="CU33" i="7" s="1"/>
  <c r="BC62" i="7"/>
  <c r="K142" i="85"/>
  <c r="O63" i="7"/>
  <c r="K105" i="85"/>
  <c r="O129" i="67"/>
  <c r="O128" i="67"/>
  <c r="AL64" i="7"/>
  <c r="CI64" i="7" s="1"/>
  <c r="O128" i="85"/>
  <c r="BS62" i="7"/>
  <c r="BK73" i="7"/>
  <c r="K111" i="85"/>
  <c r="K144" i="85"/>
  <c r="Z88" i="85"/>
  <c r="U89" i="85"/>
  <c r="L113" i="85"/>
  <c r="L146" i="85"/>
  <c r="Y88" i="85"/>
  <c r="AA80" i="85"/>
  <c r="AA104" i="85"/>
  <c r="Y112" i="85"/>
  <c r="K119" i="85"/>
  <c r="K152" i="85"/>
  <c r="G22" i="20"/>
  <c r="N23" i="20"/>
  <c r="AS30" i="67"/>
  <c r="K41" i="17"/>
  <c r="AS30" i="85" s="1"/>
  <c r="AV63" i="7"/>
  <c r="L142" i="67" s="1"/>
  <c r="CS65" i="7"/>
  <c r="AV30" i="67"/>
  <c r="N41" i="17"/>
  <c r="AV30" i="85" s="1"/>
  <c r="W65" i="7"/>
  <c r="W62" i="7" s="1"/>
  <c r="BT59" i="7"/>
  <c r="G65" i="7"/>
  <c r="BD59" i="7"/>
  <c r="AM65" i="7"/>
  <c r="CJ59" i="7"/>
  <c r="D22" i="20"/>
  <c r="K23" i="20"/>
  <c r="L113" i="67"/>
  <c r="BC73" i="7"/>
  <c r="O65" i="7"/>
  <c r="BL59" i="7"/>
  <c r="AE65" i="7"/>
  <c r="CB59" i="7"/>
  <c r="L146" i="67"/>
  <c r="AD75" i="7"/>
  <c r="CA75" i="7" s="1"/>
  <c r="N64" i="7"/>
  <c r="BK64" i="7" s="1"/>
  <c r="BK62" i="7"/>
  <c r="AA104" i="67"/>
  <c r="AA80" i="67"/>
  <c r="V80" i="67"/>
  <c r="V88" i="67" s="1"/>
  <c r="V89" i="67" s="1"/>
  <c r="CG55" i="53"/>
  <c r="V80" i="85" s="1"/>
  <c r="V88" i="85" s="1"/>
  <c r="V89" i="85" s="1"/>
  <c r="AM93" i="53"/>
  <c r="BB93" i="73" s="1"/>
  <c r="CI93" i="73" s="1"/>
  <c r="CP91" i="53"/>
  <c r="W80" i="67"/>
  <c r="W88" i="67" s="1"/>
  <c r="W89" i="67" s="1"/>
  <c r="CH55" i="53"/>
  <c r="W80" i="85" s="1"/>
  <c r="W88" i="85" s="1"/>
  <c r="W89" i="85" s="1"/>
  <c r="U88" i="67"/>
  <c r="U89" i="67" s="1"/>
  <c r="O76" i="7"/>
  <c r="O73" i="7" s="1"/>
  <c r="O75" i="7" s="1"/>
  <c r="BL75" i="7" s="1"/>
  <c r="BL70" i="7"/>
  <c r="CI73" i="7"/>
  <c r="CB70" i="7"/>
  <c r="AE76" i="7"/>
  <c r="AM76" i="7"/>
  <c r="AM73" i="7" s="1"/>
  <c r="AM75" i="7" s="1"/>
  <c r="CJ75" i="7" s="1"/>
  <c r="CJ70" i="7"/>
  <c r="W76" i="7"/>
  <c r="W73" i="7" s="1"/>
  <c r="W75" i="7" s="1"/>
  <c r="BT75" i="7" s="1"/>
  <c r="BT70" i="7"/>
  <c r="G76" i="7"/>
  <c r="G73" i="7" s="1"/>
  <c r="BD70" i="7"/>
  <c r="AV76" i="7"/>
  <c r="L152" i="67" s="1"/>
  <c r="J18" i="53"/>
  <c r="I18" i="53"/>
  <c r="BP18" i="53" s="1"/>
  <c r="AG88" i="53"/>
  <c r="CK88" i="53" s="1"/>
  <c r="AH88" i="53"/>
  <c r="AP95" i="53"/>
  <c r="AO95" i="53"/>
  <c r="CR95" i="53" s="1"/>
  <c r="AJ93" i="53"/>
  <c r="AP91" i="53"/>
  <c r="AO91" i="53"/>
  <c r="CR91" i="53" s="1"/>
  <c r="AV74" i="7"/>
  <c r="AW59" i="7"/>
  <c r="CT59" i="7" s="1"/>
  <c r="L111" i="67"/>
  <c r="O133" i="67"/>
  <c r="O134" i="67" s="1"/>
  <c r="L144" i="67"/>
  <c r="Y89" i="67"/>
  <c r="AA88" i="67"/>
  <c r="Y113" i="67"/>
  <c r="AA112" i="67"/>
  <c r="BB95" i="73"/>
  <c r="CI95" i="73" s="1"/>
  <c r="BC95" i="73"/>
  <c r="AV95" i="73"/>
  <c r="CF95" i="73" s="1"/>
  <c r="AW95" i="73"/>
  <c r="F133" i="1"/>
  <c r="V133" i="1" s="1"/>
  <c r="D20" i="20"/>
  <c r="AL88" i="73"/>
  <c r="D35" i="17"/>
  <c r="AK88" i="73"/>
  <c r="BZ88" i="73" s="1"/>
  <c r="AB95" i="53"/>
  <c r="CF95" i="53" s="1"/>
  <c r="AB91" i="53"/>
  <c r="CF91" i="53" s="1"/>
  <c r="AN55" i="73"/>
  <c r="AM55" i="73"/>
  <c r="CA55" i="73" s="1"/>
  <c r="E21" i="20"/>
  <c r="L21" i="20" s="1"/>
  <c r="AC88" i="53"/>
  <c r="CG88" i="53" s="1"/>
  <c r="AY88" i="73"/>
  <c r="E23" i="20"/>
  <c r="E41" i="17"/>
  <c r="AK95" i="53"/>
  <c r="CN95" i="53" s="1"/>
  <c r="AK91" i="53"/>
  <c r="AX88" i="73"/>
  <c r="CG88" i="73" s="1"/>
  <c r="AN95" i="53"/>
  <c r="CQ95" i="53" s="1"/>
  <c r="BE88" i="73"/>
  <c r="H23" i="20"/>
  <c r="BD88" i="73"/>
  <c r="CJ88" i="73" s="1"/>
  <c r="AN91" i="53"/>
  <c r="H41" i="17"/>
  <c r="AR88" i="73"/>
  <c r="I133" i="1"/>
  <c r="Y133" i="1" s="1"/>
  <c r="AE91" i="53"/>
  <c r="G35" i="17"/>
  <c r="G20" i="20"/>
  <c r="AQ88" i="73"/>
  <c r="CC88" i="73" s="1"/>
  <c r="AE95" i="53"/>
  <c r="CI95" i="53" s="1"/>
  <c r="AL95" i="53"/>
  <c r="CO95" i="53" s="1"/>
  <c r="BA88" i="73"/>
  <c r="AZ88" i="73"/>
  <c r="CH88" i="73" s="1"/>
  <c r="F23" i="20"/>
  <c r="F41" i="17"/>
  <c r="AL91" i="53"/>
  <c r="AT88" i="73"/>
  <c r="H35" i="17"/>
  <c r="AF91" i="53"/>
  <c r="AS88" i="73"/>
  <c r="CD88" i="73" s="1"/>
  <c r="J133" i="1"/>
  <c r="Z133" i="1" s="1"/>
  <c r="H20" i="20"/>
  <c r="AF95" i="53"/>
  <c r="CJ95" i="53" s="1"/>
  <c r="BC91" i="73"/>
  <c r="BB91" i="73"/>
  <c r="CI91" i="73" s="1"/>
  <c r="AV91" i="73"/>
  <c r="CF91" i="73" s="1"/>
  <c r="AW91" i="73"/>
  <c r="AP55" i="73"/>
  <c r="AO55" i="73"/>
  <c r="CB55" i="73" s="1"/>
  <c r="F21" i="20"/>
  <c r="M21" i="20" s="1"/>
  <c r="AD88" i="53"/>
  <c r="CH88" i="53" s="1"/>
  <c r="I18" i="73"/>
  <c r="H18" i="73"/>
  <c r="BJ18" i="73" s="1"/>
  <c r="E18" i="73"/>
  <c r="D18" i="73"/>
  <c r="BH18" i="73" s="1"/>
  <c r="AM62" i="7" l="1"/>
  <c r="AM64" i="7" s="1"/>
  <c r="CJ64" i="7" s="1"/>
  <c r="AN63" i="7"/>
  <c r="G62" i="7"/>
  <c r="G64" i="7" s="1"/>
  <c r="BD64" i="7" s="1"/>
  <c r="AE62" i="7"/>
  <c r="CB62" i="7" s="1"/>
  <c r="H63" i="7"/>
  <c r="AF63" i="7"/>
  <c r="X63" i="7"/>
  <c r="L109" i="67"/>
  <c r="P63" i="7"/>
  <c r="L150" i="67"/>
  <c r="L150" i="85"/>
  <c r="L117" i="85"/>
  <c r="AA88" i="85"/>
  <c r="Y89" i="85"/>
  <c r="M105" i="85"/>
  <c r="M138" i="85"/>
  <c r="L111" i="85"/>
  <c r="L144" i="85"/>
  <c r="AA112" i="85"/>
  <c r="Y113" i="85"/>
  <c r="L109" i="85"/>
  <c r="L142" i="85"/>
  <c r="H19" i="20"/>
  <c r="O20" i="20"/>
  <c r="F22" i="20"/>
  <c r="M23" i="20"/>
  <c r="P59" i="7"/>
  <c r="BL65" i="7"/>
  <c r="H59" i="7"/>
  <c r="BD65" i="7"/>
  <c r="O62" i="7"/>
  <c r="AW30" i="67"/>
  <c r="O41" i="17"/>
  <c r="AW30" i="85" s="1"/>
  <c r="AS24" i="67"/>
  <c r="K35" i="17"/>
  <c r="AS24" i="85" s="1"/>
  <c r="AU30" i="67"/>
  <c r="M41" i="17"/>
  <c r="AU30" i="85" s="1"/>
  <c r="AW24" i="67"/>
  <c r="O35" i="17"/>
  <c r="AW24" i="85" s="1"/>
  <c r="AT30" i="67"/>
  <c r="L41" i="17"/>
  <c r="AT30" i="85" s="1"/>
  <c r="W64" i="7"/>
  <c r="BT64" i="7" s="1"/>
  <c r="BT62" i="7"/>
  <c r="X59" i="7"/>
  <c r="BT65" i="7"/>
  <c r="E22" i="20"/>
  <c r="L23" i="20"/>
  <c r="D19" i="20"/>
  <c r="K20" i="20"/>
  <c r="D29" i="20"/>
  <c r="K29" i="20" s="1"/>
  <c r="K22" i="20"/>
  <c r="AV24" i="67"/>
  <c r="N35" i="17"/>
  <c r="AV24" i="85" s="1"/>
  <c r="AN59" i="7"/>
  <c r="CJ65" i="7"/>
  <c r="G19" i="20"/>
  <c r="N20" i="20"/>
  <c r="H22" i="20"/>
  <c r="O23" i="20"/>
  <c r="AF59" i="7"/>
  <c r="CB65" i="7"/>
  <c r="G29" i="20"/>
  <c r="N29" i="20" s="1"/>
  <c r="N22" i="20"/>
  <c r="BC93" i="73"/>
  <c r="Z88" i="67"/>
  <c r="AK93" i="53"/>
  <c r="AY93" i="73" s="1"/>
  <c r="CN91" i="53"/>
  <c r="AF93" i="53"/>
  <c r="AS93" i="73" s="1"/>
  <c r="CD93" i="73" s="1"/>
  <c r="CJ91" i="53"/>
  <c r="AN93" i="53"/>
  <c r="BE93" i="73" s="1"/>
  <c r="CQ91" i="53"/>
  <c r="AL93" i="53"/>
  <c r="AZ93" i="73" s="1"/>
  <c r="CH93" i="73" s="1"/>
  <c r="CO91" i="53"/>
  <c r="AE93" i="53"/>
  <c r="AR93" i="73" s="1"/>
  <c r="CI91" i="53"/>
  <c r="AW93" i="73"/>
  <c r="CM93" i="53"/>
  <c r="U115" i="85" s="1"/>
  <c r="Z115" i="85" s="1"/>
  <c r="X115" i="67"/>
  <c r="CP93" i="53"/>
  <c r="X115" i="85" s="1"/>
  <c r="G75" i="7"/>
  <c r="BD75" i="7" s="1"/>
  <c r="BD73" i="7"/>
  <c r="CB76" i="7"/>
  <c r="AF70" i="7"/>
  <c r="BT73" i="7"/>
  <c r="BL73" i="7"/>
  <c r="CJ73" i="7"/>
  <c r="BD76" i="7"/>
  <c r="H70" i="7"/>
  <c r="AE73" i="7"/>
  <c r="BT76" i="7"/>
  <c r="X70" i="7"/>
  <c r="AN70" i="7"/>
  <c r="CJ76" i="7"/>
  <c r="P70" i="7"/>
  <c r="BL76" i="7"/>
  <c r="L119" i="67"/>
  <c r="CS76" i="7"/>
  <c r="AW70" i="7"/>
  <c r="M113" i="67" s="1"/>
  <c r="AB93" i="53"/>
  <c r="AH91" i="53"/>
  <c r="AG91" i="53"/>
  <c r="CK91" i="53" s="1"/>
  <c r="U115" i="67"/>
  <c r="Z115" i="67" s="1"/>
  <c r="AP93" i="53"/>
  <c r="AO93" i="53"/>
  <c r="CR93" i="53" s="1"/>
  <c r="AH95" i="53"/>
  <c r="AG95" i="53"/>
  <c r="CK95" i="53" s="1"/>
  <c r="AV93" i="73"/>
  <c r="CF93" i="73" s="1"/>
  <c r="X74" i="7"/>
  <c r="AF74" i="7"/>
  <c r="AN74" i="7"/>
  <c r="P74" i="7"/>
  <c r="L117" i="67"/>
  <c r="H74" i="7"/>
  <c r="M138" i="67"/>
  <c r="M105" i="67"/>
  <c r="AW65" i="7"/>
  <c r="AX93" i="73"/>
  <c r="CG93" i="73" s="1"/>
  <c r="AP88" i="73"/>
  <c r="AD95" i="53"/>
  <c r="CH95" i="53" s="1"/>
  <c r="AD91" i="53"/>
  <c r="H133" i="1"/>
  <c r="X133" i="1" s="1"/>
  <c r="F20" i="20"/>
  <c r="F35" i="17"/>
  <c r="AO88" i="73"/>
  <c r="CB88" i="73" s="1"/>
  <c r="AX95" i="73"/>
  <c r="CG95" i="73" s="1"/>
  <c r="AY95" i="73"/>
  <c r="AM88" i="73"/>
  <c r="CA88" i="73" s="1"/>
  <c r="G133" i="1"/>
  <c r="W133" i="1" s="1"/>
  <c r="E20" i="20"/>
  <c r="AC91" i="53"/>
  <c r="AC95" i="53"/>
  <c r="CG95" i="53" s="1"/>
  <c r="E35" i="17"/>
  <c r="AN88" i="73"/>
  <c r="AV92" i="73"/>
  <c r="CF92" i="73" s="1"/>
  <c r="AW92" i="73"/>
  <c r="BC92" i="73"/>
  <c r="BB92" i="73"/>
  <c r="CI92" i="73" s="1"/>
  <c r="BA91" i="73"/>
  <c r="AZ91" i="73"/>
  <c r="CH91" i="73" s="1"/>
  <c r="BE95" i="73"/>
  <c r="BD95" i="73"/>
  <c r="CJ95" i="73" s="1"/>
  <c r="AK91" i="73"/>
  <c r="BZ91" i="73" s="1"/>
  <c r="AL91" i="73"/>
  <c r="AS95" i="73"/>
  <c r="CD95" i="73" s="1"/>
  <c r="AT95" i="73"/>
  <c r="BA95" i="73"/>
  <c r="AZ95" i="73"/>
  <c r="CH95" i="73" s="1"/>
  <c r="AL95" i="73"/>
  <c r="AK95" i="73"/>
  <c r="BZ95" i="73" s="1"/>
  <c r="AT91" i="73"/>
  <c r="AS91" i="73"/>
  <c r="CD91" i="73" s="1"/>
  <c r="AR95" i="73"/>
  <c r="AQ95" i="73"/>
  <c r="CC95" i="73" s="1"/>
  <c r="AQ91" i="73"/>
  <c r="CC91" i="73" s="1"/>
  <c r="AR91" i="73"/>
  <c r="BE91" i="73"/>
  <c r="BD91" i="73"/>
  <c r="CJ91" i="73" s="1"/>
  <c r="AY91" i="73"/>
  <c r="AX91" i="73"/>
  <c r="CG91" i="73" s="1"/>
  <c r="F82" i="1"/>
  <c r="I82" i="1"/>
  <c r="J82" i="1"/>
  <c r="F83" i="1"/>
  <c r="I83" i="1"/>
  <c r="J83" i="1"/>
  <c r="D26" i="58"/>
  <c r="E11" i="58" s="1"/>
  <c r="D25" i="58"/>
  <c r="E10" i="58" s="1"/>
  <c r="D9" i="58"/>
  <c r="AE64" i="7" l="1"/>
  <c r="CB64" i="7" s="1"/>
  <c r="BD62" i="7"/>
  <c r="CJ62" i="7"/>
  <c r="AW76" i="7"/>
  <c r="AX70" i="7" s="1"/>
  <c r="L152" i="85"/>
  <c r="L119" i="85"/>
  <c r="E19" i="20"/>
  <c r="L20" i="20"/>
  <c r="P65" i="7"/>
  <c r="BM59" i="7"/>
  <c r="H29" i="20"/>
  <c r="O29" i="20" s="1"/>
  <c r="O22" i="20"/>
  <c r="X65" i="7"/>
  <c r="BU59" i="7"/>
  <c r="O64" i="7"/>
  <c r="BL64" i="7" s="1"/>
  <c r="BL62" i="7"/>
  <c r="F29" i="20"/>
  <c r="M29" i="20" s="1"/>
  <c r="M22" i="20"/>
  <c r="G28" i="20"/>
  <c r="N28" i="20" s="1"/>
  <c r="N19" i="20"/>
  <c r="D28" i="20"/>
  <c r="K28" i="20" s="1"/>
  <c r="K19" i="20"/>
  <c r="F19" i="20"/>
  <c r="M20" i="20"/>
  <c r="H65" i="7"/>
  <c r="BE59" i="7"/>
  <c r="H28" i="20"/>
  <c r="O28" i="20" s="1"/>
  <c r="O19" i="20"/>
  <c r="AT24" i="67"/>
  <c r="L35" i="17"/>
  <c r="AT24" i="85" s="1"/>
  <c r="AX59" i="7"/>
  <c r="N138" i="67" s="1"/>
  <c r="CT65" i="7"/>
  <c r="AN65" i="7"/>
  <c r="CK59" i="7"/>
  <c r="AU24" i="67"/>
  <c r="M35" i="17"/>
  <c r="AU24" i="85" s="1"/>
  <c r="AF65" i="7"/>
  <c r="CC59" i="7"/>
  <c r="E29" i="20"/>
  <c r="L29" i="20" s="1"/>
  <c r="L22" i="20"/>
  <c r="AQ93" i="73"/>
  <c r="CC93" i="73" s="1"/>
  <c r="AT93" i="73"/>
  <c r="AL93" i="73"/>
  <c r="CF93" i="53"/>
  <c r="U91" i="85" s="1"/>
  <c r="Z91" i="85" s="1"/>
  <c r="W115" i="67"/>
  <c r="CO93" i="53"/>
  <c r="W115" i="85" s="1"/>
  <c r="BA93" i="73"/>
  <c r="Y115" i="67"/>
  <c r="AA115" i="67" s="1"/>
  <c r="CQ93" i="53"/>
  <c r="Y115" i="85" s="1"/>
  <c r="AA115" i="85" s="1"/>
  <c r="AC93" i="53"/>
  <c r="CG91" i="53"/>
  <c r="Y91" i="67"/>
  <c r="AA91" i="67" s="1"/>
  <c r="CJ93" i="53"/>
  <c r="Y91" i="85" s="1"/>
  <c r="AA91" i="85" s="1"/>
  <c r="AD93" i="53"/>
  <c r="AO93" i="73" s="1"/>
  <c r="CB93" i="73" s="1"/>
  <c r="CH91" i="53"/>
  <c r="BD93" i="73"/>
  <c r="CJ93" i="73" s="1"/>
  <c r="X91" i="67"/>
  <c r="CI93" i="53"/>
  <c r="X91" i="85" s="1"/>
  <c r="V115" i="67"/>
  <c r="CN93" i="53"/>
  <c r="V115" i="85" s="1"/>
  <c r="AF76" i="7"/>
  <c r="AF73" i="7" s="1"/>
  <c r="CC70" i="7"/>
  <c r="X76" i="7"/>
  <c r="BU70" i="7"/>
  <c r="CB73" i="7"/>
  <c r="AE75" i="7"/>
  <c r="CB75" i="7" s="1"/>
  <c r="P76" i="7"/>
  <c r="P73" i="7" s="1"/>
  <c r="P75" i="7" s="1"/>
  <c r="BM75" i="7" s="1"/>
  <c r="BM70" i="7"/>
  <c r="CK70" i="7"/>
  <c r="AN76" i="7"/>
  <c r="AN73" i="7" s="1"/>
  <c r="AN75" i="7" s="1"/>
  <c r="CK75" i="7" s="1"/>
  <c r="H76" i="7"/>
  <c r="BE70" i="7"/>
  <c r="AW74" i="7"/>
  <c r="M146" i="67"/>
  <c r="CT70" i="7"/>
  <c r="AK93" i="73"/>
  <c r="BZ93" i="73" s="1"/>
  <c r="U91" i="67"/>
  <c r="Z91" i="67" s="1"/>
  <c r="AH93" i="53"/>
  <c r="AG93" i="53"/>
  <c r="CK93" i="53" s="1"/>
  <c r="E26" i="58"/>
  <c r="F11" i="58" s="1"/>
  <c r="E35" i="58"/>
  <c r="E34" i="58"/>
  <c r="E25" i="58"/>
  <c r="F10" i="58" s="1"/>
  <c r="E9" i="58"/>
  <c r="E24" i="58" s="1"/>
  <c r="AW63" i="7"/>
  <c r="M109" i="85" s="1"/>
  <c r="F25" i="2"/>
  <c r="J25" i="2"/>
  <c r="AG20" i="83" s="1"/>
  <c r="I25" i="2"/>
  <c r="AF20" i="83" s="1"/>
  <c r="M144" i="67"/>
  <c r="M111" i="67"/>
  <c r="AN95" i="73"/>
  <c r="AM95" i="73"/>
  <c r="CA95" i="73" s="1"/>
  <c r="AK92" i="73"/>
  <c r="BZ92" i="73" s="1"/>
  <c r="AL92" i="73"/>
  <c r="AX92" i="53"/>
  <c r="CZ92" i="53" s="1"/>
  <c r="AN91" i="73"/>
  <c r="AM91" i="73"/>
  <c r="CA91" i="73" s="1"/>
  <c r="AP91" i="73"/>
  <c r="AO91" i="73"/>
  <c r="CB91" i="73" s="1"/>
  <c r="AQ92" i="73"/>
  <c r="CC92" i="73" s="1"/>
  <c r="BA92" i="53"/>
  <c r="DC92" i="53" s="1"/>
  <c r="AR92" i="73"/>
  <c r="AP95" i="73"/>
  <c r="AO95" i="73"/>
  <c r="CB95" i="73" s="1"/>
  <c r="BA92" i="73"/>
  <c r="AZ92" i="73"/>
  <c r="CH92" i="73" s="1"/>
  <c r="AY92" i="73"/>
  <c r="AX92" i="73"/>
  <c r="CG92" i="73" s="1"/>
  <c r="BD92" i="73"/>
  <c r="CJ92" i="73" s="1"/>
  <c r="BE92" i="73"/>
  <c r="BB92" i="53"/>
  <c r="DD92" i="53" s="1"/>
  <c r="AS92" i="73"/>
  <c r="CD92" i="73" s="1"/>
  <c r="AT92" i="73"/>
  <c r="D32" i="58"/>
  <c r="D24" i="58"/>
  <c r="G32" i="58"/>
  <c r="CT76" i="7" l="1"/>
  <c r="M152" i="85" s="1"/>
  <c r="M119" i="67"/>
  <c r="M152" i="67"/>
  <c r="M117" i="67"/>
  <c r="M150" i="85"/>
  <c r="M117" i="85"/>
  <c r="M144" i="85"/>
  <c r="M111" i="85"/>
  <c r="AC20" i="78"/>
  <c r="AC20" i="83"/>
  <c r="M146" i="85"/>
  <c r="M113" i="85"/>
  <c r="AF75" i="7"/>
  <c r="CC75" i="7" s="1"/>
  <c r="CC73" i="7"/>
  <c r="N105" i="67"/>
  <c r="AG59" i="7"/>
  <c r="CC65" i="7"/>
  <c r="AF62" i="7"/>
  <c r="Y59" i="7"/>
  <c r="BU65" i="7"/>
  <c r="X62" i="7"/>
  <c r="E28" i="20"/>
  <c r="L28" i="20" s="1"/>
  <c r="L19" i="20"/>
  <c r="F28" i="20"/>
  <c r="M28" i="20" s="1"/>
  <c r="M19" i="20"/>
  <c r="AX65" i="7"/>
  <c r="CU59" i="7"/>
  <c r="N138" i="85" s="1"/>
  <c r="D81" i="78"/>
  <c r="Q32" i="58"/>
  <c r="D81" i="83" s="1"/>
  <c r="AX63" i="7"/>
  <c r="AP63" i="7" s="1"/>
  <c r="BM73" i="7"/>
  <c r="CK65" i="7"/>
  <c r="AO59" i="7"/>
  <c r="AN62" i="7"/>
  <c r="I59" i="7"/>
  <c r="BE65" i="7"/>
  <c r="H62" i="7"/>
  <c r="Q59" i="7"/>
  <c r="BM65" i="7"/>
  <c r="P62" i="7"/>
  <c r="AP93" i="73"/>
  <c r="V91" i="67"/>
  <c r="CG93" i="53"/>
  <c r="V91" i="85" s="1"/>
  <c r="AN93" i="73"/>
  <c r="W91" i="67"/>
  <c r="CH93" i="53"/>
  <c r="W91" i="85" s="1"/>
  <c r="AM93" i="73"/>
  <c r="CA93" i="73" s="1"/>
  <c r="I70" i="7"/>
  <c r="BE76" i="7"/>
  <c r="CK76" i="7"/>
  <c r="AO70" i="7"/>
  <c r="BU76" i="7"/>
  <c r="Y70" i="7"/>
  <c r="CK73" i="7"/>
  <c r="X73" i="7"/>
  <c r="Q70" i="7"/>
  <c r="BM76" i="7"/>
  <c r="CC76" i="7"/>
  <c r="AG70" i="7"/>
  <c r="H73" i="7"/>
  <c r="M150" i="67"/>
  <c r="N113" i="67"/>
  <c r="CU70" i="7"/>
  <c r="AO74" i="7"/>
  <c r="Q74" i="7"/>
  <c r="AG74" i="7"/>
  <c r="Y74" i="7"/>
  <c r="I74" i="7"/>
  <c r="C81" i="78"/>
  <c r="N32" i="58"/>
  <c r="C81" i="83" s="1"/>
  <c r="E33" i="58"/>
  <c r="N146" i="67"/>
  <c r="AX76" i="7"/>
  <c r="AO63" i="7"/>
  <c r="M142" i="67"/>
  <c r="AG63" i="7"/>
  <c r="M109" i="67"/>
  <c r="Y63" i="7"/>
  <c r="Q63" i="7"/>
  <c r="I63" i="7"/>
  <c r="Q25" i="2"/>
  <c r="R25" i="2"/>
  <c r="AF20" i="78"/>
  <c r="T25" i="2"/>
  <c r="AG20" i="78"/>
  <c r="U25" i="2"/>
  <c r="V25" i="2"/>
  <c r="AP92" i="73"/>
  <c r="AZ92" i="53"/>
  <c r="DB92" i="53" s="1"/>
  <c r="AO92" i="73"/>
  <c r="CB92" i="73" s="1"/>
  <c r="AN92" i="73"/>
  <c r="AY92" i="53"/>
  <c r="DA92" i="53" s="1"/>
  <c r="AM92" i="73"/>
  <c r="CA92" i="73" s="1"/>
  <c r="F9" i="58"/>
  <c r="F24" i="58" s="1"/>
  <c r="F25" i="58"/>
  <c r="G10" i="58" s="1"/>
  <c r="G34" i="58" s="1"/>
  <c r="F34" i="58"/>
  <c r="F35" i="58"/>
  <c r="F26" i="58"/>
  <c r="G11" i="58" s="1"/>
  <c r="G35" i="58" s="1"/>
  <c r="M119" i="85" l="1"/>
  <c r="R63" i="7"/>
  <c r="AH63" i="7"/>
  <c r="N142" i="67"/>
  <c r="J63" i="7"/>
  <c r="N146" i="85"/>
  <c r="N113" i="85"/>
  <c r="N109" i="67"/>
  <c r="N109" i="85"/>
  <c r="N142" i="85"/>
  <c r="Z63" i="7"/>
  <c r="Y65" i="7"/>
  <c r="Y62" i="7" s="1"/>
  <c r="BV59" i="7"/>
  <c r="AN64" i="7"/>
  <c r="CK64" i="7" s="1"/>
  <c r="CK62" i="7"/>
  <c r="N111" i="67"/>
  <c r="CU65" i="7"/>
  <c r="N144" i="67"/>
  <c r="AF64" i="7"/>
  <c r="CC64" i="7" s="1"/>
  <c r="CC62" i="7"/>
  <c r="I65" i="7"/>
  <c r="BF59" i="7"/>
  <c r="AO65" i="7"/>
  <c r="CL59" i="7"/>
  <c r="P64" i="7"/>
  <c r="BM64" i="7" s="1"/>
  <c r="BM62" i="7"/>
  <c r="AG65" i="7"/>
  <c r="AG62" i="7" s="1"/>
  <c r="CD59" i="7"/>
  <c r="Q65" i="7"/>
  <c r="Q62" i="7" s="1"/>
  <c r="BN59" i="7"/>
  <c r="H64" i="7"/>
  <c r="BE64" i="7" s="1"/>
  <c r="BE62" i="7"/>
  <c r="X64" i="7"/>
  <c r="BU64" i="7" s="1"/>
  <c r="BU62" i="7"/>
  <c r="X75" i="7"/>
  <c r="BU75" i="7" s="1"/>
  <c r="BU73" i="7"/>
  <c r="Y76" i="7"/>
  <c r="BV70" i="7"/>
  <c r="BE73" i="7"/>
  <c r="H75" i="7"/>
  <c r="BE75" i="7" s="1"/>
  <c r="AG76" i="7"/>
  <c r="AG73" i="7" s="1"/>
  <c r="AG75" i="7" s="1"/>
  <c r="CD75" i="7" s="1"/>
  <c r="CD70" i="7"/>
  <c r="AO76" i="7"/>
  <c r="AO73" i="7" s="1"/>
  <c r="AO75" i="7" s="1"/>
  <c r="CL75" i="7" s="1"/>
  <c r="CL70" i="7"/>
  <c r="BN70" i="7"/>
  <c r="Q76" i="7"/>
  <c r="BF70" i="7"/>
  <c r="I76" i="7"/>
  <c r="I73" i="7" s="1"/>
  <c r="N119" i="67"/>
  <c r="CU76" i="7"/>
  <c r="G25" i="58"/>
  <c r="H10" i="58" s="1"/>
  <c r="H34" i="58" s="1"/>
  <c r="G33" i="58"/>
  <c r="N152" i="67"/>
  <c r="AX74" i="7"/>
  <c r="G26" i="58"/>
  <c r="H11" i="58" s="1"/>
  <c r="H35" i="58" s="1"/>
  <c r="G9" i="58"/>
  <c r="G24" i="58" s="1"/>
  <c r="F33" i="58"/>
  <c r="BF73" i="7" l="1"/>
  <c r="I75" i="7"/>
  <c r="BF75" i="7" s="1"/>
  <c r="N111" i="85"/>
  <c r="N144" i="85"/>
  <c r="N117" i="67"/>
  <c r="N150" i="85"/>
  <c r="N152" i="85"/>
  <c r="N119" i="85"/>
  <c r="AP59" i="7"/>
  <c r="CL65" i="7"/>
  <c r="AG64" i="7"/>
  <c r="CD64" i="7" s="1"/>
  <c r="CD62" i="7"/>
  <c r="Q64" i="7"/>
  <c r="BN64" i="7" s="1"/>
  <c r="BN62" i="7"/>
  <c r="AH59" i="7"/>
  <c r="CD65" i="7"/>
  <c r="J59" i="7"/>
  <c r="BF65" i="7"/>
  <c r="AO62" i="7"/>
  <c r="H33" i="58"/>
  <c r="R59" i="7"/>
  <c r="BN65" i="7"/>
  <c r="Z59" i="7"/>
  <c r="BV65" i="7"/>
  <c r="Y64" i="7"/>
  <c r="BV64" i="7" s="1"/>
  <c r="BV62" i="7"/>
  <c r="I62" i="7"/>
  <c r="CD73" i="7"/>
  <c r="CL76" i="7"/>
  <c r="AP70" i="7"/>
  <c r="Z70" i="7"/>
  <c r="BV76" i="7"/>
  <c r="CL73" i="7"/>
  <c r="BF76" i="7"/>
  <c r="J70" i="7"/>
  <c r="Y73" i="7"/>
  <c r="AH70" i="7"/>
  <c r="CD76" i="7"/>
  <c r="R70" i="7"/>
  <c r="BN76" i="7"/>
  <c r="Q73" i="7"/>
  <c r="H25" i="58"/>
  <c r="I10" i="58" s="1"/>
  <c r="I34" i="58" s="1"/>
  <c r="H9" i="58"/>
  <c r="N150" i="67"/>
  <c r="J74" i="7"/>
  <c r="AP74" i="7"/>
  <c r="Z74" i="7"/>
  <c r="AH74" i="7"/>
  <c r="R74" i="7"/>
  <c r="R65" i="7" l="1"/>
  <c r="BO59" i="7"/>
  <c r="Z65" i="7"/>
  <c r="BW59" i="7"/>
  <c r="AO64" i="7"/>
  <c r="CL64" i="7" s="1"/>
  <c r="CL62" i="7"/>
  <c r="I64" i="7"/>
  <c r="BF64" i="7" s="1"/>
  <c r="BF62" i="7"/>
  <c r="AH65" i="7"/>
  <c r="CE59" i="7"/>
  <c r="J65" i="7"/>
  <c r="BG59" i="7"/>
  <c r="AP65" i="7"/>
  <c r="CM59" i="7"/>
  <c r="J76" i="7"/>
  <c r="BG76" i="7" s="1"/>
  <c r="BG70" i="7"/>
  <c r="Q75" i="7"/>
  <c r="BN75" i="7" s="1"/>
  <c r="BN73" i="7"/>
  <c r="BO70" i="7"/>
  <c r="R76" i="7"/>
  <c r="BO76" i="7" s="1"/>
  <c r="BW70" i="7"/>
  <c r="Z76" i="7"/>
  <c r="BW76" i="7" s="1"/>
  <c r="AP76" i="7"/>
  <c r="CM76" i="7" s="1"/>
  <c r="CM70" i="7"/>
  <c r="AH76" i="7"/>
  <c r="CE76" i="7" s="1"/>
  <c r="CE70" i="7"/>
  <c r="Y75" i="7"/>
  <c r="BV75" i="7" s="1"/>
  <c r="BV73" i="7"/>
  <c r="I25" i="58"/>
  <c r="J10" i="58" s="1"/>
  <c r="J34" i="58" s="1"/>
  <c r="H19" i="58"/>
  <c r="H26" i="58"/>
  <c r="I11" i="58" s="1"/>
  <c r="E78" i="78" l="1"/>
  <c r="E80" i="78" s="1"/>
  <c r="E78" i="83"/>
  <c r="E80" i="83" s="1"/>
  <c r="CM65" i="7"/>
  <c r="AP62" i="7"/>
  <c r="Z73" i="7"/>
  <c r="Z75" i="7" s="1"/>
  <c r="BW75" i="7" s="1"/>
  <c r="BG65" i="7"/>
  <c r="J62" i="7"/>
  <c r="BW65" i="7"/>
  <c r="Z62" i="7"/>
  <c r="J73" i="7"/>
  <c r="CE65" i="7"/>
  <c r="AH62" i="7"/>
  <c r="BO65" i="7"/>
  <c r="R62" i="7"/>
  <c r="AH73" i="7"/>
  <c r="AP73" i="7"/>
  <c r="R73" i="7"/>
  <c r="J25" i="58"/>
  <c r="K10" i="58" s="1"/>
  <c r="K34" i="58" s="1"/>
  <c r="H39" i="58"/>
  <c r="E84" i="83" s="1"/>
  <c r="I9" i="58"/>
  <c r="I26" i="58" s="1"/>
  <c r="J11" i="58" s="1"/>
  <c r="I35" i="58"/>
  <c r="I33" i="58" s="1"/>
  <c r="H32" i="58"/>
  <c r="H24" i="58"/>
  <c r="I19" i="58"/>
  <c r="BW73" i="7" l="1"/>
  <c r="F78" i="78"/>
  <c r="F80" i="78" s="1"/>
  <c r="F78" i="83"/>
  <c r="F80" i="83" s="1"/>
  <c r="Z64" i="7"/>
  <c r="BW64" i="7" s="1"/>
  <c r="BW62" i="7"/>
  <c r="E81" i="78"/>
  <c r="R32" i="58"/>
  <c r="E81" i="83" s="1"/>
  <c r="J64" i="7"/>
  <c r="BG64" i="7" s="1"/>
  <c r="BG62" i="7"/>
  <c r="BG73" i="7"/>
  <c r="J75" i="7"/>
  <c r="BG75" i="7" s="1"/>
  <c r="AH64" i="7"/>
  <c r="CE64" i="7" s="1"/>
  <c r="CE62" i="7"/>
  <c r="AP64" i="7"/>
  <c r="CM64" i="7" s="1"/>
  <c r="CM62" i="7"/>
  <c r="R64" i="7"/>
  <c r="BO64" i="7" s="1"/>
  <c r="BO62" i="7"/>
  <c r="R75" i="7"/>
  <c r="BO75" i="7" s="1"/>
  <c r="BO73" i="7"/>
  <c r="AP75" i="7"/>
  <c r="CM75" i="7" s="1"/>
  <c r="CM73" i="7"/>
  <c r="CE73" i="7"/>
  <c r="AH75" i="7"/>
  <c r="CE75" i="7" s="1"/>
  <c r="K25" i="58"/>
  <c r="H42" i="58"/>
  <c r="E84" i="78"/>
  <c r="I39" i="58"/>
  <c r="J9" i="58"/>
  <c r="J26" i="58" s="1"/>
  <c r="K11" i="58" s="1"/>
  <c r="K35" i="58" s="1"/>
  <c r="K33" i="58" s="1"/>
  <c r="J35" i="58"/>
  <c r="J33" i="58" s="1"/>
  <c r="H37" i="58"/>
  <c r="I32" i="58"/>
  <c r="I24" i="58"/>
  <c r="AN23" i="79"/>
  <c r="I37" i="58" l="1"/>
  <c r="F84" i="83"/>
  <c r="F81" i="78"/>
  <c r="S32" i="58"/>
  <c r="F81" i="83" s="1"/>
  <c r="E85" i="78"/>
  <c r="R42" i="58"/>
  <c r="E85" i="83" s="1"/>
  <c r="H40" i="58"/>
  <c r="R40" i="58" s="1"/>
  <c r="I42" i="58"/>
  <c r="F84" i="78"/>
  <c r="J19" i="58"/>
  <c r="K9" i="58"/>
  <c r="AO23" i="79"/>
  <c r="D16" i="16"/>
  <c r="G78" i="78" l="1"/>
  <c r="G80" i="78" s="1"/>
  <c r="G78" i="83"/>
  <c r="G80" i="83" s="1"/>
  <c r="F85" i="78"/>
  <c r="S42" i="58"/>
  <c r="F85" i="83" s="1"/>
  <c r="AN25" i="79"/>
  <c r="M16" i="16"/>
  <c r="AN25" i="84" s="1"/>
  <c r="I40" i="58"/>
  <c r="S40" i="58" s="1"/>
  <c r="J32" i="58"/>
  <c r="J39" i="58"/>
  <c r="G84" i="83" s="1"/>
  <c r="J24" i="58"/>
  <c r="AP23" i="79"/>
  <c r="E16" i="16"/>
  <c r="G81" i="78" l="1"/>
  <c r="T32" i="58"/>
  <c r="G81" i="83" s="1"/>
  <c r="AO25" i="79"/>
  <c r="N16" i="16"/>
  <c r="AO25" i="84" s="1"/>
  <c r="J42" i="58"/>
  <c r="G84" i="78"/>
  <c r="J37" i="58"/>
  <c r="K19" i="58"/>
  <c r="H78" i="83" s="1"/>
  <c r="H80" i="83" s="1"/>
  <c r="K26" i="58"/>
  <c r="AQ23" i="79"/>
  <c r="F16" i="16"/>
  <c r="G85" i="78" l="1"/>
  <c r="T42" i="58"/>
  <c r="G85" i="83" s="1"/>
  <c r="AP25" i="79"/>
  <c r="O16" i="16"/>
  <c r="AP25" i="84" s="1"/>
  <c r="J40" i="58"/>
  <c r="T40" i="58" s="1"/>
  <c r="K39" i="58"/>
  <c r="H84" i="83" s="1"/>
  <c r="H78" i="78"/>
  <c r="H80" i="78" s="1"/>
  <c r="K32" i="58"/>
  <c r="K24" i="58"/>
  <c r="AR23" i="79"/>
  <c r="G16" i="16"/>
  <c r="K37" i="58" l="1"/>
  <c r="H81" i="78"/>
  <c r="U32" i="58"/>
  <c r="H81" i="83" s="1"/>
  <c r="AQ25" i="79"/>
  <c r="P16" i="16"/>
  <c r="AQ25" i="84" s="1"/>
  <c r="K42" i="58"/>
  <c r="U42" i="58" s="1"/>
  <c r="H85" i="83" s="1"/>
  <c r="H84" i="78"/>
  <c r="I14" i="16"/>
  <c r="R14" i="16" s="1"/>
  <c r="AS23" i="84" s="1"/>
  <c r="H16" i="16"/>
  <c r="AR25" i="79" l="1"/>
  <c r="Q16" i="16"/>
  <c r="AR25" i="84" s="1"/>
  <c r="H85" i="78"/>
  <c r="K40" i="58"/>
  <c r="U40" i="58" s="1"/>
  <c r="I16" i="16"/>
  <c r="AS23" i="79"/>
  <c r="G1" i="49"/>
  <c r="H1" i="20" s="1"/>
  <c r="H1" i="21" s="1"/>
  <c r="H2" i="22" s="1"/>
  <c r="AS25" i="79" l="1"/>
  <c r="R16" i="16"/>
  <c r="AS25" i="84" s="1"/>
  <c r="U83" i="53"/>
  <c r="BZ83" i="53" s="1"/>
  <c r="F83" i="53"/>
  <c r="BM83" i="53" s="1"/>
  <c r="W83" i="53"/>
  <c r="CB83" i="53" s="1"/>
  <c r="T83" i="53"/>
  <c r="BY83" i="53" s="1"/>
  <c r="W70" i="53"/>
  <c r="D70" i="53"/>
  <c r="BK70" i="53" s="1"/>
  <c r="U13" i="85" s="1"/>
  <c r="P70" i="53"/>
  <c r="O70" i="53"/>
  <c r="F70" i="53"/>
  <c r="V51" i="53"/>
  <c r="CA51" i="53" s="1"/>
  <c r="U51" i="53"/>
  <c r="BZ51" i="53" s="1"/>
  <c r="F51" i="53"/>
  <c r="BM51" i="53" s="1"/>
  <c r="W51" i="53"/>
  <c r="CB51" i="53" s="1"/>
  <c r="N51" i="53"/>
  <c r="BT51" i="53" s="1"/>
  <c r="U38" i="53"/>
  <c r="BZ38" i="53" s="1"/>
  <c r="O38" i="53"/>
  <c r="BU38" i="53" s="1"/>
  <c r="F38" i="53"/>
  <c r="BM38" i="53" s="1"/>
  <c r="U25" i="53"/>
  <c r="BZ25" i="53" s="1"/>
  <c r="W25" i="53"/>
  <c r="CB25" i="53" s="1"/>
  <c r="T25" i="53"/>
  <c r="BY25" i="53" s="1"/>
  <c r="H25" i="53"/>
  <c r="BO25" i="53" s="1"/>
  <c r="V12" i="53"/>
  <c r="CA12" i="53" s="1"/>
  <c r="P12" i="53"/>
  <c r="BV12" i="53" s="1"/>
  <c r="W12" i="53"/>
  <c r="CB12" i="53" s="1"/>
  <c r="N12" i="53"/>
  <c r="BT12" i="53" s="1"/>
  <c r="E12" i="53"/>
  <c r="BL12" i="53" s="1"/>
  <c r="M83" i="53"/>
  <c r="BS83" i="53" s="1"/>
  <c r="AV83" i="53"/>
  <c r="AU83" i="53"/>
  <c r="AT83" i="53"/>
  <c r="AS83" i="53"/>
  <c r="AR83" i="53"/>
  <c r="AQ83" i="53"/>
  <c r="S83" i="53"/>
  <c r="BX83" i="53" s="1"/>
  <c r="K83" i="53"/>
  <c r="BQ83" i="53" s="1"/>
  <c r="C83" i="53"/>
  <c r="BJ83" i="53" s="1"/>
  <c r="V70" i="53"/>
  <c r="AV70" i="53"/>
  <c r="CX70" i="53" s="1"/>
  <c r="AU70" i="53"/>
  <c r="CW70" i="53" s="1"/>
  <c r="AT70" i="53"/>
  <c r="CV70" i="53" s="1"/>
  <c r="AS70" i="53"/>
  <c r="CU70" i="53" s="1"/>
  <c r="AR70" i="53"/>
  <c r="CT70" i="53" s="1"/>
  <c r="AQ70" i="53"/>
  <c r="CS70" i="53" s="1"/>
  <c r="S70" i="53"/>
  <c r="BX70" i="53" s="1"/>
  <c r="T55" i="85" s="1"/>
  <c r="K70" i="53"/>
  <c r="BQ70" i="53" s="1"/>
  <c r="T34" i="85" s="1"/>
  <c r="C70" i="53"/>
  <c r="X54" i="67"/>
  <c r="T33" i="67"/>
  <c r="AV59" i="53"/>
  <c r="CX59" i="53" s="1"/>
  <c r="AU59" i="53"/>
  <c r="CW59" i="53" s="1"/>
  <c r="AT59" i="53"/>
  <c r="CV59" i="53" s="1"/>
  <c r="AS59" i="53"/>
  <c r="CU59" i="53" s="1"/>
  <c r="AR59" i="53"/>
  <c r="CT59" i="53" s="1"/>
  <c r="AQ59" i="53"/>
  <c r="CS59" i="53" s="1"/>
  <c r="S59" i="53"/>
  <c r="BX59" i="53" s="1"/>
  <c r="T53" i="85" s="1"/>
  <c r="AV55" i="53"/>
  <c r="CX55" i="53" s="1"/>
  <c r="AU55" i="53"/>
  <c r="CW55" i="53" s="1"/>
  <c r="AT55" i="53"/>
  <c r="CV55" i="53" s="1"/>
  <c r="AS55" i="53"/>
  <c r="CU55" i="53" s="1"/>
  <c r="AR55" i="53"/>
  <c r="CT55" i="53" s="1"/>
  <c r="AQ55" i="53"/>
  <c r="CS55" i="53" s="1"/>
  <c r="E51" i="53"/>
  <c r="BL51" i="53" s="1"/>
  <c r="AV51" i="53"/>
  <c r="CX51" i="53" s="1"/>
  <c r="AU51" i="53"/>
  <c r="CW51" i="53" s="1"/>
  <c r="AT51" i="53"/>
  <c r="CV51" i="53" s="1"/>
  <c r="AS51" i="53"/>
  <c r="CU51" i="53" s="1"/>
  <c r="AR51" i="53"/>
  <c r="CT51" i="53" s="1"/>
  <c r="AQ51" i="53"/>
  <c r="CS51" i="53" s="1"/>
  <c r="S51" i="53"/>
  <c r="K51" i="53"/>
  <c r="M38" i="53"/>
  <c r="BS38" i="53" s="1"/>
  <c r="AV38" i="53"/>
  <c r="CX38" i="53" s="1"/>
  <c r="AU38" i="53"/>
  <c r="CW38" i="53" s="1"/>
  <c r="AT38" i="53"/>
  <c r="CV38" i="53" s="1"/>
  <c r="AS38" i="53"/>
  <c r="CU38" i="53" s="1"/>
  <c r="AR38" i="53"/>
  <c r="CT38" i="53" s="1"/>
  <c r="AQ38" i="53"/>
  <c r="CS38" i="53" s="1"/>
  <c r="S38" i="53"/>
  <c r="K38" i="53"/>
  <c r="D38" i="53"/>
  <c r="BK38" i="53" s="1"/>
  <c r="C38" i="53"/>
  <c r="BJ38" i="53" s="1"/>
  <c r="AV25" i="53"/>
  <c r="CX25" i="53" s="1"/>
  <c r="AU25" i="53"/>
  <c r="CW25" i="53" s="1"/>
  <c r="AT25" i="53"/>
  <c r="CV25" i="53" s="1"/>
  <c r="AS25" i="53"/>
  <c r="CU25" i="53" s="1"/>
  <c r="AR25" i="53"/>
  <c r="CT25" i="53" s="1"/>
  <c r="S25" i="53"/>
  <c r="K25" i="53"/>
  <c r="C25" i="53"/>
  <c r="AV12" i="53"/>
  <c r="CX12" i="53" s="1"/>
  <c r="AU12" i="53"/>
  <c r="CW12" i="53" s="1"/>
  <c r="AT12" i="53"/>
  <c r="CV12" i="53" s="1"/>
  <c r="AS12" i="53"/>
  <c r="CU12" i="53" s="1"/>
  <c r="AR12" i="53"/>
  <c r="CT12" i="53" s="1"/>
  <c r="AQ12" i="53"/>
  <c r="S12" i="53"/>
  <c r="K12" i="53"/>
  <c r="C12" i="53"/>
  <c r="P10" i="53"/>
  <c r="O10" i="53"/>
  <c r="N10" i="53"/>
  <c r="M10" i="53"/>
  <c r="L10" i="53"/>
  <c r="K10" i="53"/>
  <c r="Y12" i="73" l="1"/>
  <c r="BS12" i="73" s="1"/>
  <c r="BX12" i="53"/>
  <c r="AR76" i="53"/>
  <c r="CT76" i="53" s="1"/>
  <c r="CT83" i="53"/>
  <c r="AS76" i="53"/>
  <c r="CU76" i="53" s="1"/>
  <c r="CU83" i="53"/>
  <c r="N51" i="73"/>
  <c r="BM51" i="73" s="1"/>
  <c r="BQ51" i="53"/>
  <c r="Y51" i="73"/>
  <c r="BS51" i="73" s="1"/>
  <c r="BX51" i="53"/>
  <c r="AU76" i="53"/>
  <c r="CW76" i="53" s="1"/>
  <c r="CW83" i="53"/>
  <c r="X55" i="67"/>
  <c r="CB70" i="53"/>
  <c r="X55" i="85" s="1"/>
  <c r="N25" i="73"/>
  <c r="BM25" i="73" s="1"/>
  <c r="BQ25" i="53"/>
  <c r="X34" i="67"/>
  <c r="BU70" i="53"/>
  <c r="X34" i="85" s="1"/>
  <c r="AQ89" i="53"/>
  <c r="CS89" i="53" s="1"/>
  <c r="CS12" i="53"/>
  <c r="Y25" i="73"/>
  <c r="BS25" i="73" s="1"/>
  <c r="BX25" i="53"/>
  <c r="N38" i="73"/>
  <c r="BM38" i="73" s="1"/>
  <c r="BQ38" i="53"/>
  <c r="Y34" i="67"/>
  <c r="BV70" i="53"/>
  <c r="Y34" i="85" s="1"/>
  <c r="Y38" i="73"/>
  <c r="BS38" i="73" s="1"/>
  <c r="BX38" i="53"/>
  <c r="T13" i="67"/>
  <c r="BJ70" i="53"/>
  <c r="T13" i="85" s="1"/>
  <c r="T130" i="85" s="1"/>
  <c r="AT76" i="53"/>
  <c r="CV76" i="53" s="1"/>
  <c r="CV83" i="53"/>
  <c r="W55" i="67"/>
  <c r="CA70" i="53"/>
  <c r="W55" i="85" s="1"/>
  <c r="AV76" i="53"/>
  <c r="CX76" i="53" s="1"/>
  <c r="CX83" i="53"/>
  <c r="C12" i="73"/>
  <c r="BG12" i="73" s="1"/>
  <c r="BJ12" i="53"/>
  <c r="N12" i="73"/>
  <c r="BM12" i="73" s="1"/>
  <c r="BQ12" i="53"/>
  <c r="C25" i="73"/>
  <c r="BG25" i="73" s="1"/>
  <c r="BJ25" i="53"/>
  <c r="AQ76" i="53"/>
  <c r="CS76" i="53" s="1"/>
  <c r="CS83" i="53"/>
  <c r="W13" i="67"/>
  <c r="BM70" i="53"/>
  <c r="W13" i="85" s="1"/>
  <c r="J38" i="53"/>
  <c r="I38" i="53"/>
  <c r="BP38" i="53" s="1"/>
  <c r="U13" i="67"/>
  <c r="J70" i="53"/>
  <c r="I70" i="53"/>
  <c r="BP70" i="53" s="1"/>
  <c r="Z25" i="53"/>
  <c r="Y25" i="53"/>
  <c r="CD25" i="53" s="1"/>
  <c r="Z83" i="53"/>
  <c r="Y83" i="53"/>
  <c r="CD83" i="53" s="1"/>
  <c r="Y70" i="73"/>
  <c r="BS70" i="73" s="1"/>
  <c r="T55" i="67"/>
  <c r="N70" i="73"/>
  <c r="BM70" i="73" s="1"/>
  <c r="T34" i="67"/>
  <c r="Y59" i="73"/>
  <c r="BS59" i="73" s="1"/>
  <c r="T53" i="67"/>
  <c r="Y63" i="73"/>
  <c r="BS63" i="73" s="1"/>
  <c r="T54" i="67"/>
  <c r="T129" i="67" s="1"/>
  <c r="C70" i="73"/>
  <c r="BG70" i="73" s="1"/>
  <c r="B30" i="47"/>
  <c r="I30" i="47" s="1"/>
  <c r="N63" i="73"/>
  <c r="BM63" i="73" s="1"/>
  <c r="B26" i="47"/>
  <c r="E38" i="73"/>
  <c r="D38" i="73"/>
  <c r="BH38" i="73" s="1"/>
  <c r="C76" i="53"/>
  <c r="C83" i="73"/>
  <c r="BG83" i="73" s="1"/>
  <c r="AF12" i="73"/>
  <c r="BW12" i="73" s="1"/>
  <c r="AG12" i="73"/>
  <c r="V38" i="73"/>
  <c r="U38" i="73"/>
  <c r="BQ38" i="73" s="1"/>
  <c r="I51" i="73"/>
  <c r="H51" i="73"/>
  <c r="BJ51" i="73" s="1"/>
  <c r="U70" i="73"/>
  <c r="V70" i="73"/>
  <c r="Z83" i="73"/>
  <c r="BT83" i="73" s="1"/>
  <c r="AA83" i="73"/>
  <c r="R38" i="73"/>
  <c r="Q38" i="73"/>
  <c r="BO38" i="73" s="1"/>
  <c r="K76" i="53"/>
  <c r="BQ76" i="53" s="1"/>
  <c r="T35" i="85" s="1"/>
  <c r="N83" i="73"/>
  <c r="BM83" i="73" s="1"/>
  <c r="M76" i="53"/>
  <c r="Q83" i="73"/>
  <c r="BO83" i="73" s="1"/>
  <c r="R83" i="73"/>
  <c r="W12" i="73"/>
  <c r="BR12" i="73" s="1"/>
  <c r="X12" i="73"/>
  <c r="AB38" i="73"/>
  <c r="BU38" i="73" s="1"/>
  <c r="AC38" i="73"/>
  <c r="AB51" i="73"/>
  <c r="BU51" i="73" s="1"/>
  <c r="AC51" i="73"/>
  <c r="X70" i="73"/>
  <c r="W70" i="73"/>
  <c r="AF83" i="73"/>
  <c r="BW83" i="73" s="1"/>
  <c r="AG83" i="73"/>
  <c r="G51" i="73"/>
  <c r="F51" i="73"/>
  <c r="BI51" i="73" s="1"/>
  <c r="AD70" i="73"/>
  <c r="AE70" i="73"/>
  <c r="S76" i="53"/>
  <c r="BX76" i="53" s="1"/>
  <c r="T56" i="85" s="1"/>
  <c r="Y83" i="73"/>
  <c r="BS83" i="73" s="1"/>
  <c r="AD12" i="73"/>
  <c r="BV12" i="73" s="1"/>
  <c r="AE12" i="73"/>
  <c r="T51" i="73"/>
  <c r="S51" i="73"/>
  <c r="BP51" i="73" s="1"/>
  <c r="AD51" i="73"/>
  <c r="BV51" i="73" s="1"/>
  <c r="AE51" i="73"/>
  <c r="E70" i="73"/>
  <c r="D70" i="73"/>
  <c r="I83" i="73"/>
  <c r="H83" i="73"/>
  <c r="BJ83" i="73" s="1"/>
  <c r="C29" i="53"/>
  <c r="BJ29" i="53" s="1"/>
  <c r="T6" i="85" s="1"/>
  <c r="C38" i="73"/>
  <c r="BG38" i="73" s="1"/>
  <c r="S12" i="73"/>
  <c r="BP12" i="73" s="1"/>
  <c r="T12" i="73"/>
  <c r="I38" i="73"/>
  <c r="H38" i="73"/>
  <c r="BJ38" i="73" s="1"/>
  <c r="AF51" i="73"/>
  <c r="BW51" i="73" s="1"/>
  <c r="AG51" i="73"/>
  <c r="I70" i="73"/>
  <c r="H70" i="73"/>
  <c r="AF70" i="73"/>
  <c r="AG70" i="73"/>
  <c r="U76" i="53"/>
  <c r="AB83" i="73"/>
  <c r="BU83" i="73" s="1"/>
  <c r="AC83" i="73"/>
  <c r="AA25" i="73"/>
  <c r="Z25" i="73"/>
  <c r="BT25" i="73" s="1"/>
  <c r="AF25" i="73"/>
  <c r="BW25" i="73" s="1"/>
  <c r="AG25" i="73"/>
  <c r="AB25" i="73"/>
  <c r="BU25" i="73" s="1"/>
  <c r="AC25" i="73"/>
  <c r="AF63" i="73"/>
  <c r="AG63" i="73"/>
  <c r="C89" i="53"/>
  <c r="N89" i="53"/>
  <c r="M25" i="73"/>
  <c r="L25" i="73"/>
  <c r="BL25" i="73" s="1"/>
  <c r="F12" i="73"/>
  <c r="BI12" i="73" s="1"/>
  <c r="G12" i="73"/>
  <c r="F29" i="53"/>
  <c r="S100" i="53"/>
  <c r="AR29" i="53"/>
  <c r="CT29" i="53" s="1"/>
  <c r="AV29" i="53"/>
  <c r="CX29" i="53" s="1"/>
  <c r="AU29" i="53"/>
  <c r="CW29" i="53" s="1"/>
  <c r="K29" i="53"/>
  <c r="BQ29" i="53" s="1"/>
  <c r="T27" i="85" s="1"/>
  <c r="U29" i="53"/>
  <c r="S29" i="53"/>
  <c r="BX29" i="53" s="1"/>
  <c r="T48" i="85" s="1"/>
  <c r="AQ29" i="53"/>
  <c r="CS29" i="53" s="1"/>
  <c r="AT29" i="53"/>
  <c r="CV29" i="53" s="1"/>
  <c r="AS29" i="53"/>
  <c r="CU29" i="53" s="1"/>
  <c r="K89" i="53"/>
  <c r="BQ89" i="53" s="1"/>
  <c r="T42" i="85" s="1"/>
  <c r="S89" i="53"/>
  <c r="BX89" i="53" s="1"/>
  <c r="T63" i="85" s="1"/>
  <c r="V10" i="53"/>
  <c r="AD10" i="53" s="1"/>
  <c r="N98" i="53"/>
  <c r="W10" i="53"/>
  <c r="AE10" i="53" s="1"/>
  <c r="O98" i="53"/>
  <c r="U10" i="53"/>
  <c r="AC10" i="53" s="1"/>
  <c r="M98" i="53"/>
  <c r="S10" i="53"/>
  <c r="AA10" i="53" s="1"/>
  <c r="K98" i="53"/>
  <c r="T10" i="53"/>
  <c r="AB10" i="53" s="1"/>
  <c r="L98" i="53"/>
  <c r="X10" i="53"/>
  <c r="AF10" i="53" s="1"/>
  <c r="P98" i="53"/>
  <c r="S11" i="53"/>
  <c r="BX11" i="53" s="1"/>
  <c r="T47" i="85" s="1"/>
  <c r="O12" i="53"/>
  <c r="BU12" i="53" s="1"/>
  <c r="U12" i="53"/>
  <c r="BZ12" i="53" s="1"/>
  <c r="M12" i="53"/>
  <c r="BS12" i="53" s="1"/>
  <c r="E25" i="53"/>
  <c r="BL25" i="53" s="1"/>
  <c r="O25" i="53"/>
  <c r="BU25" i="53" s="1"/>
  <c r="M25" i="53"/>
  <c r="BS25" i="53" s="1"/>
  <c r="G38" i="53"/>
  <c r="BN38" i="53" s="1"/>
  <c r="W38" i="53"/>
  <c r="CB38" i="53" s="1"/>
  <c r="E38" i="53"/>
  <c r="BL38" i="53" s="1"/>
  <c r="O51" i="53"/>
  <c r="BU51" i="53" s="1"/>
  <c r="G51" i="53"/>
  <c r="BN51" i="53" s="1"/>
  <c r="M51" i="53"/>
  <c r="BS51" i="53" s="1"/>
  <c r="V33" i="67"/>
  <c r="X33" i="67"/>
  <c r="V54" i="67"/>
  <c r="G70" i="53"/>
  <c r="BN70" i="53" s="1"/>
  <c r="X13" i="85" s="1"/>
  <c r="M70" i="53"/>
  <c r="E70" i="53"/>
  <c r="U70" i="53"/>
  <c r="E83" i="53"/>
  <c r="BL83" i="53" s="1"/>
  <c r="O83" i="53"/>
  <c r="BU83" i="53" s="1"/>
  <c r="G83" i="53"/>
  <c r="BN83" i="53" s="1"/>
  <c r="AQ11" i="53"/>
  <c r="CS11" i="53" s="1"/>
  <c r="F12" i="53"/>
  <c r="BM12" i="53" s="1"/>
  <c r="L12" i="53"/>
  <c r="BR12" i="53" s="1"/>
  <c r="D12" i="53"/>
  <c r="BK12" i="53" s="1"/>
  <c r="H12" i="53"/>
  <c r="BO12" i="53" s="1"/>
  <c r="T12" i="53"/>
  <c r="BY12" i="53" s="1"/>
  <c r="X12" i="53"/>
  <c r="CC12" i="53" s="1"/>
  <c r="F25" i="53"/>
  <c r="BM25" i="53" s="1"/>
  <c r="L25" i="53"/>
  <c r="BR25" i="53" s="1"/>
  <c r="P25" i="53"/>
  <c r="BV25" i="53" s="1"/>
  <c r="V25" i="53"/>
  <c r="CA25" i="53" s="1"/>
  <c r="D25" i="53"/>
  <c r="BK25" i="53" s="1"/>
  <c r="T38" i="53"/>
  <c r="BY38" i="53" s="1"/>
  <c r="U54" i="67"/>
  <c r="N70" i="53"/>
  <c r="BT70" i="53" s="1"/>
  <c r="W34" i="85" s="1"/>
  <c r="N25" i="53"/>
  <c r="BT25" i="53" s="1"/>
  <c r="X25" i="53"/>
  <c r="CC25" i="53" s="1"/>
  <c r="P89" i="53"/>
  <c r="H38" i="53"/>
  <c r="BO38" i="53" s="1"/>
  <c r="N38" i="53"/>
  <c r="BT38" i="53" s="1"/>
  <c r="X38" i="53"/>
  <c r="CC38" i="53" s="1"/>
  <c r="L38" i="53"/>
  <c r="BR38" i="53" s="1"/>
  <c r="P38" i="53"/>
  <c r="BV38" i="53" s="1"/>
  <c r="V38" i="53"/>
  <c r="CA38" i="53" s="1"/>
  <c r="L51" i="53"/>
  <c r="BR51" i="53" s="1"/>
  <c r="P51" i="53"/>
  <c r="BV51" i="53" s="1"/>
  <c r="D51" i="53"/>
  <c r="BK51" i="53" s="1"/>
  <c r="H51" i="53"/>
  <c r="BO51" i="53" s="1"/>
  <c r="T51" i="53"/>
  <c r="BY51" i="53" s="1"/>
  <c r="X51" i="53"/>
  <c r="CC51" i="53" s="1"/>
  <c r="W33" i="67"/>
  <c r="Y54" i="67"/>
  <c r="U33" i="67"/>
  <c r="Z33" i="67" s="1"/>
  <c r="Y33" i="67"/>
  <c r="W54" i="67"/>
  <c r="H70" i="53"/>
  <c r="T70" i="53"/>
  <c r="BY70" i="53" s="1"/>
  <c r="U55" i="85" s="1"/>
  <c r="Z55" i="85" s="1"/>
  <c r="X70" i="53"/>
  <c r="L70" i="53"/>
  <c r="BR70" i="53" s="1"/>
  <c r="U34" i="85" s="1"/>
  <c r="Z34" i="85" s="1"/>
  <c r="T76" i="53"/>
  <c r="BY76" i="53" s="1"/>
  <c r="U56" i="85" s="1"/>
  <c r="F76" i="53"/>
  <c r="L83" i="53"/>
  <c r="BR83" i="53" s="1"/>
  <c r="P83" i="53"/>
  <c r="BV83" i="53" s="1"/>
  <c r="V83" i="53"/>
  <c r="CA83" i="53" s="1"/>
  <c r="D83" i="53"/>
  <c r="BK83" i="53" s="1"/>
  <c r="H83" i="53"/>
  <c r="BO83" i="53" s="1"/>
  <c r="N83" i="53"/>
  <c r="BT83" i="53" s="1"/>
  <c r="X83" i="53"/>
  <c r="CC83" i="53" s="1"/>
  <c r="G25" i="53"/>
  <c r="BN25" i="53" s="1"/>
  <c r="G12" i="53"/>
  <c r="BN12" i="53" s="1"/>
  <c r="W76" i="53"/>
  <c r="Z56" i="85" l="1"/>
  <c r="T123" i="85"/>
  <c r="AA34" i="85"/>
  <c r="X130" i="85"/>
  <c r="W130" i="85"/>
  <c r="Z13" i="85"/>
  <c r="U130" i="85"/>
  <c r="Z130" i="85" s="1"/>
  <c r="Z13" i="67"/>
  <c r="B24" i="48"/>
  <c r="I24" i="48" s="1"/>
  <c r="I26" i="47"/>
  <c r="AE104" i="73"/>
  <c r="BV70" i="73"/>
  <c r="AG103" i="73"/>
  <c r="BW63" i="73"/>
  <c r="E104" i="73"/>
  <c r="BH70" i="73"/>
  <c r="X104" i="73"/>
  <c r="BR70" i="73"/>
  <c r="V104" i="73"/>
  <c r="BQ70" i="73"/>
  <c r="AG104" i="73"/>
  <c r="BW70" i="73"/>
  <c r="I104" i="73"/>
  <c r="BJ70" i="73"/>
  <c r="V56" i="67"/>
  <c r="BZ76" i="53"/>
  <c r="V56" i="85" s="1"/>
  <c r="V35" i="67"/>
  <c r="BS76" i="53"/>
  <c r="V35" i="85" s="1"/>
  <c r="T14" i="67"/>
  <c r="BJ76" i="53"/>
  <c r="T14" i="85" s="1"/>
  <c r="T131" i="85" s="1"/>
  <c r="Y55" i="67"/>
  <c r="Y130" i="67" s="1"/>
  <c r="CC70" i="53"/>
  <c r="Y55" i="85" s="1"/>
  <c r="V13" i="67"/>
  <c r="BL70" i="53"/>
  <c r="V13" i="85" s="1"/>
  <c r="X56" i="67"/>
  <c r="CB76" i="53"/>
  <c r="X56" i="85" s="1"/>
  <c r="V34" i="67"/>
  <c r="BS70" i="53"/>
  <c r="V34" i="85" s="1"/>
  <c r="T21" i="67"/>
  <c r="BJ89" i="53"/>
  <c r="T21" i="85" s="1"/>
  <c r="T138" i="85" s="1"/>
  <c r="Y42" i="67"/>
  <c r="BV89" i="53"/>
  <c r="S111" i="53"/>
  <c r="BX111" i="53" s="1"/>
  <c r="BX100" i="53"/>
  <c r="V48" i="67"/>
  <c r="BZ29" i="53"/>
  <c r="V48" i="85" s="1"/>
  <c r="V55" i="67"/>
  <c r="V130" i="67" s="1"/>
  <c r="BZ70" i="53"/>
  <c r="V55" i="85" s="1"/>
  <c r="Y13" i="67"/>
  <c r="AA13" i="67" s="1"/>
  <c r="BO70" i="53"/>
  <c r="Y13" i="85" s="1"/>
  <c r="AA13" i="85" s="1"/>
  <c r="W42" i="67"/>
  <c r="BT89" i="53"/>
  <c r="W14" i="67"/>
  <c r="BM76" i="53"/>
  <c r="W14" i="85" s="1"/>
  <c r="W6" i="67"/>
  <c r="BM29" i="53"/>
  <c r="W6" i="85" s="1"/>
  <c r="AA33" i="67"/>
  <c r="AA54" i="67"/>
  <c r="U55" i="67"/>
  <c r="Z70" i="53"/>
  <c r="Y70" i="53"/>
  <c r="CD70" i="53" s="1"/>
  <c r="I25" i="53"/>
  <c r="BP25" i="53" s="1"/>
  <c r="J25" i="53"/>
  <c r="Z38" i="53"/>
  <c r="Y38" i="53"/>
  <c r="CD38" i="53" s="1"/>
  <c r="J12" i="53"/>
  <c r="I12" i="53"/>
  <c r="BP12" i="53" s="1"/>
  <c r="R51" i="53"/>
  <c r="Q51" i="53"/>
  <c r="BW51" i="53" s="1"/>
  <c r="R25" i="53"/>
  <c r="Q25" i="53"/>
  <c r="BW25" i="53" s="1"/>
  <c r="J83" i="53"/>
  <c r="I83" i="53"/>
  <c r="BP83" i="53" s="1"/>
  <c r="R12" i="53"/>
  <c r="Q12" i="53"/>
  <c r="BW12" i="53" s="1"/>
  <c r="U56" i="67"/>
  <c r="Z76" i="53"/>
  <c r="Y76" i="53"/>
  <c r="CD76" i="53" s="1"/>
  <c r="I51" i="53"/>
  <c r="BP51" i="53" s="1"/>
  <c r="J51" i="53"/>
  <c r="Z51" i="53"/>
  <c r="Y51" i="53"/>
  <c r="CD51" i="53" s="1"/>
  <c r="R83" i="53"/>
  <c r="Q83" i="53"/>
  <c r="BW83" i="53" s="1"/>
  <c r="U34" i="67"/>
  <c r="R70" i="53"/>
  <c r="Q70" i="53"/>
  <c r="BW70" i="53" s="1"/>
  <c r="R38" i="53"/>
  <c r="Q38" i="53"/>
  <c r="BW38" i="53" s="1"/>
  <c r="Y12" i="53"/>
  <c r="CD12" i="53" s="1"/>
  <c r="Z12" i="53"/>
  <c r="F30" i="47"/>
  <c r="M30" i="47" s="1"/>
  <c r="X13" i="67"/>
  <c r="X130" i="67" s="1"/>
  <c r="Y89" i="73"/>
  <c r="BS89" i="73" s="1"/>
  <c r="T63" i="67"/>
  <c r="T130" i="67"/>
  <c r="N57" i="73"/>
  <c r="BM57" i="73" s="1"/>
  <c r="T30" i="67"/>
  <c r="N89" i="73"/>
  <c r="BM89" i="73" s="1"/>
  <c r="T42" i="67"/>
  <c r="C57" i="73"/>
  <c r="BG57" i="73" s="1"/>
  <c r="T9" i="67"/>
  <c r="N76" i="73"/>
  <c r="BM76" i="73" s="1"/>
  <c r="T35" i="67"/>
  <c r="E30" i="47"/>
  <c r="L30" i="47" s="1"/>
  <c r="W34" i="67"/>
  <c r="W130" i="67" s="1"/>
  <c r="Y57" i="73"/>
  <c r="BS57" i="73" s="1"/>
  <c r="T51" i="67"/>
  <c r="Y76" i="73"/>
  <c r="BS76" i="73" s="1"/>
  <c r="T56" i="67"/>
  <c r="Z54" i="67"/>
  <c r="Y29" i="73"/>
  <c r="BS29" i="73" s="1"/>
  <c r="T48" i="67"/>
  <c r="Y11" i="73"/>
  <c r="BS11" i="73" s="1"/>
  <c r="T47" i="67"/>
  <c r="N29" i="73"/>
  <c r="BM29" i="73" s="1"/>
  <c r="T27" i="67"/>
  <c r="C29" i="73"/>
  <c r="BG29" i="73" s="1"/>
  <c r="T6" i="67"/>
  <c r="C76" i="73"/>
  <c r="BG76" i="73" s="1"/>
  <c r="B31" i="47"/>
  <c r="C30" i="47"/>
  <c r="J30" i="47" s="1"/>
  <c r="G30" i="47"/>
  <c r="N30" i="47" s="1"/>
  <c r="D30" i="47"/>
  <c r="K30" i="47" s="1"/>
  <c r="B24" i="47"/>
  <c r="C99" i="53"/>
  <c r="D29" i="53"/>
  <c r="BK29" i="53" s="1"/>
  <c r="U6" i="85" s="1"/>
  <c r="E51" i="73"/>
  <c r="D51" i="73"/>
  <c r="BH51" i="73" s="1"/>
  <c r="T70" i="73"/>
  <c r="S70" i="73"/>
  <c r="AH12" i="73"/>
  <c r="BX12" i="73" s="1"/>
  <c r="AI12" i="73"/>
  <c r="O76" i="53"/>
  <c r="U83" i="73"/>
  <c r="BQ83" i="73" s="1"/>
  <c r="V83" i="73"/>
  <c r="M83" i="73"/>
  <c r="L83" i="73"/>
  <c r="BL83" i="73" s="1"/>
  <c r="L76" i="53"/>
  <c r="BR76" i="53" s="1"/>
  <c r="U35" i="85" s="1"/>
  <c r="Z35" i="85" s="1"/>
  <c r="P83" i="73"/>
  <c r="O83" i="73"/>
  <c r="BN83" i="73" s="1"/>
  <c r="AH70" i="73"/>
  <c r="AI70" i="73"/>
  <c r="AH51" i="73"/>
  <c r="BX51" i="73" s="1"/>
  <c r="AI51" i="73"/>
  <c r="X51" i="73"/>
  <c r="W51" i="73"/>
  <c r="BR51" i="73" s="1"/>
  <c r="O38" i="73"/>
  <c r="BN38" i="73" s="1"/>
  <c r="P38" i="73"/>
  <c r="W89" i="73"/>
  <c r="BR89" i="73" s="1"/>
  <c r="X89" i="73"/>
  <c r="Z12" i="73"/>
  <c r="BT12" i="73" s="1"/>
  <c r="AA12" i="73"/>
  <c r="E76" i="53"/>
  <c r="BL76" i="53" s="1"/>
  <c r="V14" i="85" s="1"/>
  <c r="G83" i="73"/>
  <c r="F83" i="73"/>
  <c r="BI83" i="73" s="1"/>
  <c r="K70" i="73"/>
  <c r="J70" i="73"/>
  <c r="Q51" i="73"/>
  <c r="BO51" i="73" s="1"/>
  <c r="R51" i="73"/>
  <c r="W29" i="53"/>
  <c r="CB29" i="53" s="1"/>
  <c r="X48" i="85" s="1"/>
  <c r="AF38" i="73"/>
  <c r="BW38" i="73" s="1"/>
  <c r="AG38" i="73"/>
  <c r="AB76" i="73"/>
  <c r="AC76" i="73"/>
  <c r="N76" i="53"/>
  <c r="T83" i="73"/>
  <c r="S83" i="73"/>
  <c r="BP83" i="73" s="1"/>
  <c r="R76" i="73"/>
  <c r="Q76" i="73"/>
  <c r="P70" i="73"/>
  <c r="O70" i="73"/>
  <c r="W38" i="73"/>
  <c r="BR38" i="73" s="1"/>
  <c r="X38" i="73"/>
  <c r="D76" i="53"/>
  <c r="BK76" i="53" s="1"/>
  <c r="U14" i="85" s="1"/>
  <c r="E83" i="73"/>
  <c r="D83" i="73"/>
  <c r="BH83" i="73" s="1"/>
  <c r="H76" i="73"/>
  <c r="I76" i="73"/>
  <c r="Z70" i="73"/>
  <c r="AA70" i="73"/>
  <c r="Z51" i="73"/>
  <c r="BT51" i="73" s="1"/>
  <c r="AA51" i="73"/>
  <c r="P51" i="73"/>
  <c r="O51" i="73"/>
  <c r="BN51" i="73" s="1"/>
  <c r="AH38" i="73"/>
  <c r="BX38" i="73" s="1"/>
  <c r="AI38" i="73"/>
  <c r="Z38" i="73"/>
  <c r="BT38" i="73" s="1"/>
  <c r="AA38" i="73"/>
  <c r="AB70" i="73"/>
  <c r="AC70" i="73"/>
  <c r="J51" i="73"/>
  <c r="BK51" i="73" s="1"/>
  <c r="K51" i="73"/>
  <c r="K38" i="73"/>
  <c r="J38" i="73"/>
  <c r="BK38" i="73" s="1"/>
  <c r="R12" i="73"/>
  <c r="Q12" i="73"/>
  <c r="BO12" i="73" s="1"/>
  <c r="AF76" i="73"/>
  <c r="AG76" i="73"/>
  <c r="AH83" i="73"/>
  <c r="BX83" i="73" s="1"/>
  <c r="AI83" i="73"/>
  <c r="V76" i="53"/>
  <c r="AD83" i="73"/>
  <c r="BV83" i="73" s="1"/>
  <c r="AE83" i="73"/>
  <c r="Z76" i="73"/>
  <c r="AA76" i="73"/>
  <c r="M70" i="73"/>
  <c r="L70" i="73"/>
  <c r="M51" i="73"/>
  <c r="L51" i="73"/>
  <c r="BL51" i="73" s="1"/>
  <c r="V29" i="53"/>
  <c r="CA29" i="53" s="1"/>
  <c r="W48" i="85" s="1"/>
  <c r="AD38" i="73"/>
  <c r="BV38" i="73" s="1"/>
  <c r="AE38" i="73"/>
  <c r="S38" i="73"/>
  <c r="BP38" i="73" s="1"/>
  <c r="T38" i="73"/>
  <c r="G76" i="53"/>
  <c r="K83" i="73"/>
  <c r="J83" i="73"/>
  <c r="BK83" i="73" s="1"/>
  <c r="F70" i="73"/>
  <c r="G70" i="73"/>
  <c r="U51" i="73"/>
  <c r="BQ51" i="73" s="1"/>
  <c r="V51" i="73"/>
  <c r="AC12" i="73"/>
  <c r="AB12" i="73"/>
  <c r="BU12" i="73" s="1"/>
  <c r="N102" i="53"/>
  <c r="S89" i="73"/>
  <c r="BP89" i="73" s="1"/>
  <c r="T89" i="73"/>
  <c r="X83" i="73"/>
  <c r="W83" i="73"/>
  <c r="BR83" i="73" s="1"/>
  <c r="M38" i="73"/>
  <c r="L38" i="73"/>
  <c r="BL38" i="73" s="1"/>
  <c r="O12" i="73"/>
  <c r="BN12" i="73" s="1"/>
  <c r="P12" i="73"/>
  <c r="Q70" i="73"/>
  <c r="R70" i="73"/>
  <c r="F38" i="73"/>
  <c r="BI38" i="73" s="1"/>
  <c r="G38" i="73"/>
  <c r="V12" i="73"/>
  <c r="U12" i="73"/>
  <c r="BQ12" i="73" s="1"/>
  <c r="T25" i="73"/>
  <c r="S25" i="73"/>
  <c r="BP25" i="73" s="1"/>
  <c r="Q25" i="73"/>
  <c r="BO25" i="73" s="1"/>
  <c r="R25" i="73"/>
  <c r="AE25" i="73"/>
  <c r="AD25" i="73"/>
  <c r="BV25" i="73" s="1"/>
  <c r="U25" i="73"/>
  <c r="BQ25" i="73" s="1"/>
  <c r="V25" i="73"/>
  <c r="W25" i="73"/>
  <c r="BR25" i="73" s="1"/>
  <c r="X25" i="73"/>
  <c r="AI25" i="73"/>
  <c r="AH25" i="73"/>
  <c r="BX25" i="73" s="1"/>
  <c r="O25" i="73"/>
  <c r="BN25" i="73" s="1"/>
  <c r="P25" i="73"/>
  <c r="W63" i="73"/>
  <c r="X63" i="73"/>
  <c r="AA63" i="73"/>
  <c r="Z63" i="73"/>
  <c r="F99" i="53"/>
  <c r="I29" i="73"/>
  <c r="H29" i="73"/>
  <c r="AI63" i="73"/>
  <c r="AH63" i="73"/>
  <c r="U63" i="73"/>
  <c r="V63" i="73"/>
  <c r="AB29" i="73"/>
  <c r="AC29" i="73"/>
  <c r="O63" i="73"/>
  <c r="P63" i="73"/>
  <c r="AB63" i="73"/>
  <c r="AC63" i="73"/>
  <c r="AE63" i="73"/>
  <c r="AD63" i="73"/>
  <c r="S63" i="73"/>
  <c r="T63" i="73"/>
  <c r="Q63" i="73"/>
  <c r="R63" i="73"/>
  <c r="C102" i="53"/>
  <c r="C89" i="73"/>
  <c r="BG89" i="73" s="1"/>
  <c r="J12" i="73"/>
  <c r="BK12" i="73" s="1"/>
  <c r="K12" i="73"/>
  <c r="F25" i="73"/>
  <c r="BI25" i="73" s="1"/>
  <c r="G25" i="73"/>
  <c r="I12" i="73"/>
  <c r="H12" i="73"/>
  <c r="BJ12" i="73" s="1"/>
  <c r="M12" i="73"/>
  <c r="L12" i="73"/>
  <c r="BL12" i="73" s="1"/>
  <c r="J25" i="73"/>
  <c r="BK25" i="73" s="1"/>
  <c r="K25" i="73"/>
  <c r="I25" i="73"/>
  <c r="H25" i="73"/>
  <c r="BJ25" i="73" s="1"/>
  <c r="BC57" i="53"/>
  <c r="DE57" i="53" s="1"/>
  <c r="AW57" i="53"/>
  <c r="CY57" i="53" s="1"/>
  <c r="X76" i="53"/>
  <c r="P76" i="53"/>
  <c r="D25" i="73"/>
  <c r="BH25" i="73" s="1"/>
  <c r="E25" i="73"/>
  <c r="E12" i="73"/>
  <c r="D12" i="73"/>
  <c r="BH12" i="73" s="1"/>
  <c r="H76" i="53"/>
  <c r="P102" i="53"/>
  <c r="U99" i="53"/>
  <c r="S102" i="53"/>
  <c r="K99" i="53"/>
  <c r="K102" i="53"/>
  <c r="S99" i="53"/>
  <c r="AJ10" i="53"/>
  <c r="AK10" i="53"/>
  <c r="AN10" i="53"/>
  <c r="AI10" i="53"/>
  <c r="AM10" i="53"/>
  <c r="AL10" i="53"/>
  <c r="L29" i="53"/>
  <c r="BR29" i="53" s="1"/>
  <c r="U27" i="85" s="1"/>
  <c r="Z27" i="85" s="1"/>
  <c r="G29" i="53"/>
  <c r="O29" i="53"/>
  <c r="N29" i="53"/>
  <c r="M29" i="53"/>
  <c r="X29" i="53"/>
  <c r="P29" i="53"/>
  <c r="H29" i="53"/>
  <c r="T29" i="53"/>
  <c r="BY29" i="53" s="1"/>
  <c r="U48" i="85" s="1"/>
  <c r="Z48" i="85" s="1"/>
  <c r="E29" i="53"/>
  <c r="L89" i="53"/>
  <c r="M89" i="53"/>
  <c r="O89" i="53"/>
  <c r="T29" i="67"/>
  <c r="AV10" i="53"/>
  <c r="BB10" i="53" s="1"/>
  <c r="BH10" i="53" s="1"/>
  <c r="X98" i="53"/>
  <c r="AQ10" i="53"/>
  <c r="AW10" i="53" s="1"/>
  <c r="BC10" i="53" s="1"/>
  <c r="S98" i="53"/>
  <c r="AU10" i="53"/>
  <c r="BA10" i="53" s="1"/>
  <c r="BG10" i="53" s="1"/>
  <c r="W98" i="53"/>
  <c r="AT10" i="53"/>
  <c r="AZ10" i="53" s="1"/>
  <c r="BF10" i="53" s="1"/>
  <c r="V98" i="53"/>
  <c r="AR10" i="53"/>
  <c r="AX10" i="53" s="1"/>
  <c r="BD10" i="53" s="1"/>
  <c r="T98" i="53"/>
  <c r="AS10" i="53"/>
  <c r="AY10" i="53" s="1"/>
  <c r="BE10" i="53" s="1"/>
  <c r="U98" i="53"/>
  <c r="AQ88" i="53"/>
  <c r="CS88" i="53" s="1"/>
  <c r="A3" i="35"/>
  <c r="A4" i="5" s="1"/>
  <c r="V131" i="85" l="1"/>
  <c r="BR89" i="53"/>
  <c r="Z14" i="85"/>
  <c r="U131" i="85"/>
  <c r="Z131" i="85" s="1"/>
  <c r="Z6" i="85"/>
  <c r="U123" i="85"/>
  <c r="Z123" i="85" s="1"/>
  <c r="Y130" i="85"/>
  <c r="AA130" i="85" s="1"/>
  <c r="AA55" i="85"/>
  <c r="W42" i="85"/>
  <c r="U42" i="85"/>
  <c r="Z42" i="85" s="1"/>
  <c r="Y42" i="85"/>
  <c r="V130" i="85"/>
  <c r="B22" i="48"/>
  <c r="I22" i="48" s="1"/>
  <c r="I24" i="47"/>
  <c r="B28" i="48"/>
  <c r="I28" i="48" s="1"/>
  <c r="I31" i="47"/>
  <c r="I105" i="73"/>
  <c r="BJ76" i="73"/>
  <c r="AC101" i="73"/>
  <c r="BU29" i="73"/>
  <c r="V103" i="73"/>
  <c r="BQ63" i="73"/>
  <c r="AI103" i="73"/>
  <c r="BX63" i="73"/>
  <c r="AG105" i="73"/>
  <c r="BW76" i="73"/>
  <c r="AI104" i="73"/>
  <c r="BX70" i="73"/>
  <c r="AC103" i="73"/>
  <c r="BU63" i="73"/>
  <c r="AA105" i="73"/>
  <c r="BT76" i="73"/>
  <c r="R105" i="73"/>
  <c r="BO76" i="73"/>
  <c r="AE103" i="73"/>
  <c r="BV63" i="73"/>
  <c r="AC104" i="73"/>
  <c r="BU70" i="73"/>
  <c r="K104" i="73"/>
  <c r="BK70" i="73"/>
  <c r="I101" i="73"/>
  <c r="BJ29" i="73"/>
  <c r="AA104" i="73"/>
  <c r="BT70" i="73"/>
  <c r="P104" i="73"/>
  <c r="BN70" i="73"/>
  <c r="AC105" i="73"/>
  <c r="BU76" i="73"/>
  <c r="R104" i="73"/>
  <c r="BO70" i="73"/>
  <c r="T103" i="73"/>
  <c r="BP63" i="73"/>
  <c r="AA103" i="73"/>
  <c r="BT63" i="73"/>
  <c r="M104" i="73"/>
  <c r="BL70" i="73"/>
  <c r="X103" i="73"/>
  <c r="BR63" i="73"/>
  <c r="R103" i="73"/>
  <c r="BO63" i="73"/>
  <c r="P103" i="73"/>
  <c r="BN63" i="73"/>
  <c r="G104" i="73"/>
  <c r="BI70" i="73"/>
  <c r="T104" i="73"/>
  <c r="BP70" i="73"/>
  <c r="U130" i="67"/>
  <c r="Z130" i="67" s="1"/>
  <c r="AA55" i="67"/>
  <c r="Z55" i="67"/>
  <c r="V42" i="67"/>
  <c r="BS89" i="53"/>
  <c r="F110" i="53"/>
  <c r="BM110" i="53" s="1"/>
  <c r="BM99" i="53"/>
  <c r="X6" i="67"/>
  <c r="BN29" i="53"/>
  <c r="X6" i="85" s="1"/>
  <c r="S110" i="53"/>
  <c r="BX110" i="53" s="1"/>
  <c r="BX99" i="53"/>
  <c r="K113" i="53"/>
  <c r="BQ113" i="53" s="1"/>
  <c r="BQ102" i="53"/>
  <c r="Y6" i="67"/>
  <c r="BO29" i="53"/>
  <c r="Y6" i="85" s="1"/>
  <c r="AA6" i="85" s="1"/>
  <c r="K110" i="53"/>
  <c r="BQ110" i="53" s="1"/>
  <c r="BQ99" i="53"/>
  <c r="Y35" i="67"/>
  <c r="BV76" i="53"/>
  <c r="Y35" i="85" s="1"/>
  <c r="AA35" i="85" s="1"/>
  <c r="W35" i="67"/>
  <c r="BT76" i="53"/>
  <c r="W35" i="85" s="1"/>
  <c r="C110" i="53"/>
  <c r="BJ110" i="53" s="1"/>
  <c r="BJ99" i="53"/>
  <c r="U110" i="53"/>
  <c r="BZ110" i="53" s="1"/>
  <c r="BZ99" i="53"/>
  <c r="Y56" i="67"/>
  <c r="AA56" i="67" s="1"/>
  <c r="CC76" i="53"/>
  <c r="Y56" i="85" s="1"/>
  <c r="AA56" i="85" s="1"/>
  <c r="C113" i="53"/>
  <c r="BJ113" i="53" s="1"/>
  <c r="BJ102" i="53"/>
  <c r="W27" i="67"/>
  <c r="BT29" i="53"/>
  <c r="W27" i="85" s="1"/>
  <c r="W123" i="85" s="1"/>
  <c r="Y14" i="67"/>
  <c r="BO76" i="53"/>
  <c r="Y14" i="85" s="1"/>
  <c r="X27" i="67"/>
  <c r="BU29" i="53"/>
  <c r="X27" i="85" s="1"/>
  <c r="W56" i="67"/>
  <c r="CA76" i="53"/>
  <c r="W56" i="85" s="1"/>
  <c r="V6" i="67"/>
  <c r="BL29" i="53"/>
  <c r="V6" i="85" s="1"/>
  <c r="N113" i="53"/>
  <c r="BT113" i="53" s="1"/>
  <c r="BT102" i="53"/>
  <c r="X14" i="67"/>
  <c r="BN76" i="53"/>
  <c r="X14" i="85" s="1"/>
  <c r="Y27" i="67"/>
  <c r="BV29" i="53"/>
  <c r="Y27" i="85" s="1"/>
  <c r="S113" i="53"/>
  <c r="BX113" i="53" s="1"/>
  <c r="BX102" i="53"/>
  <c r="X35" i="67"/>
  <c r="BU76" i="53"/>
  <c r="X35" i="85" s="1"/>
  <c r="Y48" i="67"/>
  <c r="CC29" i="53"/>
  <c r="Y48" i="85" s="1"/>
  <c r="AA48" i="85" s="1"/>
  <c r="X42" i="67"/>
  <c r="BU89" i="53"/>
  <c r="V27" i="67"/>
  <c r="BS29" i="53"/>
  <c r="V27" i="85" s="1"/>
  <c r="P113" i="53"/>
  <c r="BV113" i="53" s="1"/>
  <c r="BV102" i="53"/>
  <c r="Z56" i="67"/>
  <c r="U35" i="67"/>
  <c r="Z35" i="67" s="1"/>
  <c r="R76" i="53"/>
  <c r="Q76" i="53"/>
  <c r="BW76" i="53" s="1"/>
  <c r="U42" i="67"/>
  <c r="AA42" i="67" s="1"/>
  <c r="R89" i="53"/>
  <c r="Q89" i="53"/>
  <c r="BW89" i="53" s="1"/>
  <c r="U27" i="67"/>
  <c r="Z27" i="67" s="1"/>
  <c r="R29" i="53"/>
  <c r="Q29" i="53"/>
  <c r="BW29" i="53" s="1"/>
  <c r="Z34" i="67"/>
  <c r="AA34" i="67"/>
  <c r="U48" i="67"/>
  <c r="Z29" i="53"/>
  <c r="Y29" i="53"/>
  <c r="CD29" i="53" s="1"/>
  <c r="I76" i="53"/>
  <c r="BP76" i="53" s="1"/>
  <c r="J76" i="53"/>
  <c r="I29" i="53"/>
  <c r="BP29" i="53" s="1"/>
  <c r="J29" i="53"/>
  <c r="C4" i="7"/>
  <c r="A4" i="82"/>
  <c r="T131" i="67"/>
  <c r="T126" i="67"/>
  <c r="D31" i="47"/>
  <c r="V14" i="67"/>
  <c r="V131" i="67" s="1"/>
  <c r="C56" i="73"/>
  <c r="BG56" i="73" s="1"/>
  <c r="T8" i="67"/>
  <c r="T138" i="67"/>
  <c r="C31" i="47"/>
  <c r="U14" i="67"/>
  <c r="AA130" i="67"/>
  <c r="AF29" i="73"/>
  <c r="X48" i="67"/>
  <c r="AD29" i="73"/>
  <c r="W48" i="67"/>
  <c r="E29" i="73"/>
  <c r="U6" i="67"/>
  <c r="AA6" i="67" s="1"/>
  <c r="T123" i="67"/>
  <c r="Y56" i="73"/>
  <c r="BS56" i="73" s="1"/>
  <c r="T50" i="67"/>
  <c r="E24" i="47"/>
  <c r="W99" i="53"/>
  <c r="F31" i="47"/>
  <c r="G31" i="47"/>
  <c r="E31" i="47"/>
  <c r="D29" i="73"/>
  <c r="AQ95" i="53"/>
  <c r="CS95" i="53" s="1"/>
  <c r="B32" i="47"/>
  <c r="A4" i="39"/>
  <c r="A4" i="41"/>
  <c r="A4" i="47"/>
  <c r="D24" i="47"/>
  <c r="F24" i="47"/>
  <c r="AE29" i="73"/>
  <c r="AG29" i="73"/>
  <c r="G24" i="47"/>
  <c r="D99" i="53"/>
  <c r="C24" i="47"/>
  <c r="A4" i="74"/>
  <c r="A4" i="73"/>
  <c r="A4" i="77"/>
  <c r="A4" i="48"/>
  <c r="V99" i="53"/>
  <c r="V89" i="73"/>
  <c r="U89" i="73"/>
  <c r="BQ89" i="73" s="1"/>
  <c r="R89" i="73"/>
  <c r="Q89" i="73"/>
  <c r="BO89" i="73" s="1"/>
  <c r="K76" i="73"/>
  <c r="J76" i="73"/>
  <c r="E76" i="73"/>
  <c r="D76" i="73"/>
  <c r="O89" i="73"/>
  <c r="BN89" i="73" s="1"/>
  <c r="P89" i="73"/>
  <c r="W76" i="73"/>
  <c r="X76" i="73"/>
  <c r="AD76" i="73"/>
  <c r="AE76" i="73"/>
  <c r="S76" i="73"/>
  <c r="T76" i="73"/>
  <c r="O76" i="73"/>
  <c r="P76" i="73"/>
  <c r="M76" i="73"/>
  <c r="L76" i="73"/>
  <c r="AH76" i="73"/>
  <c r="AI76" i="73"/>
  <c r="G76" i="73"/>
  <c r="F76" i="73"/>
  <c r="V76" i="73"/>
  <c r="U76" i="73"/>
  <c r="K55" i="53"/>
  <c r="BQ55" i="53" s="1"/>
  <c r="T28" i="85" s="1"/>
  <c r="N56" i="73"/>
  <c r="BM56" i="73" s="1"/>
  <c r="AI29" i="73"/>
  <c r="AH29" i="73"/>
  <c r="G99" i="53"/>
  <c r="K29" i="73"/>
  <c r="J29" i="73"/>
  <c r="Q29" i="73"/>
  <c r="R29" i="73"/>
  <c r="W29" i="73"/>
  <c r="X29" i="73"/>
  <c r="N99" i="53"/>
  <c r="S29" i="73"/>
  <c r="T29" i="73"/>
  <c r="AA29" i="73"/>
  <c r="Z29" i="73"/>
  <c r="M29" i="73"/>
  <c r="L29" i="73"/>
  <c r="O29" i="73"/>
  <c r="P29" i="73"/>
  <c r="E99" i="53"/>
  <c r="G29" i="73"/>
  <c r="F29" i="73"/>
  <c r="U29" i="73"/>
  <c r="V29" i="73"/>
  <c r="A4" i="76"/>
  <c r="BC56" i="53"/>
  <c r="DE56" i="53" s="1"/>
  <c r="AW56" i="53"/>
  <c r="CY56" i="53" s="1"/>
  <c r="H99" i="53"/>
  <c r="O102" i="53"/>
  <c r="P99" i="53"/>
  <c r="L99" i="53"/>
  <c r="M102" i="53"/>
  <c r="T99" i="53"/>
  <c r="X99" i="53"/>
  <c r="O99" i="53"/>
  <c r="L102" i="53"/>
  <c r="M99" i="53"/>
  <c r="A4" i="50"/>
  <c r="A4" i="62"/>
  <c r="A4" i="51"/>
  <c r="AQ91" i="53"/>
  <c r="A4" i="1"/>
  <c r="A4" i="58"/>
  <c r="A4" i="2"/>
  <c r="A4" i="65"/>
  <c r="A5"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W131" i="67" l="1"/>
  <c r="X123" i="85"/>
  <c r="W131" i="85"/>
  <c r="Y131" i="85"/>
  <c r="AA131" i="85" s="1"/>
  <c r="AA14" i="85"/>
  <c r="AA42" i="85"/>
  <c r="V123" i="85"/>
  <c r="X42" i="85"/>
  <c r="Y123" i="85"/>
  <c r="AA123" i="85" s="1"/>
  <c r="AA27" i="85"/>
  <c r="V42" i="85"/>
  <c r="X131" i="85"/>
  <c r="C28" i="48"/>
  <c r="J28" i="48" s="1"/>
  <c r="J31" i="47"/>
  <c r="D22" i="48"/>
  <c r="K22" i="48" s="1"/>
  <c r="K24" i="47"/>
  <c r="G28" i="48"/>
  <c r="N28" i="48" s="1"/>
  <c r="N31" i="47"/>
  <c r="F28" i="48"/>
  <c r="M28" i="48" s="1"/>
  <c r="M31" i="47"/>
  <c r="C22" i="48"/>
  <c r="J22" i="48" s="1"/>
  <c r="J24" i="47"/>
  <c r="E28" i="48"/>
  <c r="L28" i="48" s="1"/>
  <c r="L31" i="47"/>
  <c r="E22" i="48"/>
  <c r="L22" i="48" s="1"/>
  <c r="L24" i="47"/>
  <c r="F22" i="48"/>
  <c r="M22" i="48" s="1"/>
  <c r="M24" i="47"/>
  <c r="G22" i="48"/>
  <c r="N22" i="48" s="1"/>
  <c r="N24" i="47"/>
  <c r="B29" i="48"/>
  <c r="I29" i="48" s="1"/>
  <c r="I32" i="47"/>
  <c r="D28" i="48"/>
  <c r="K28" i="48" s="1"/>
  <c r="K31" i="47"/>
  <c r="M101" i="73"/>
  <c r="BL29" i="73"/>
  <c r="R101" i="73"/>
  <c r="BO29" i="73"/>
  <c r="V105" i="73"/>
  <c r="BQ76" i="73"/>
  <c r="K101" i="73"/>
  <c r="BK29" i="73"/>
  <c r="T101" i="73"/>
  <c r="BP29" i="73"/>
  <c r="T105" i="73"/>
  <c r="BP76" i="73"/>
  <c r="E101" i="73"/>
  <c r="BH29" i="73"/>
  <c r="X101" i="73"/>
  <c r="BR29" i="73"/>
  <c r="M105" i="73"/>
  <c r="BL76" i="73"/>
  <c r="X105" i="73"/>
  <c r="BR76" i="73"/>
  <c r="V101" i="73"/>
  <c r="BQ29" i="73"/>
  <c r="G105" i="73"/>
  <c r="BI76" i="73"/>
  <c r="E105" i="73"/>
  <c r="BH76" i="73"/>
  <c r="AI101" i="73"/>
  <c r="BX29" i="73"/>
  <c r="K105" i="73"/>
  <c r="BK76" i="73"/>
  <c r="AE101" i="73"/>
  <c r="BV29" i="73"/>
  <c r="AA101" i="73"/>
  <c r="BT29" i="73"/>
  <c r="G101" i="73"/>
  <c r="BI29" i="73"/>
  <c r="P105" i="73"/>
  <c r="BN76" i="73"/>
  <c r="AG101" i="73"/>
  <c r="BW29" i="73"/>
  <c r="P101" i="73"/>
  <c r="BN29" i="73"/>
  <c r="AI105" i="73"/>
  <c r="BX76" i="73"/>
  <c r="AE105" i="73"/>
  <c r="BV76" i="73"/>
  <c r="Y131" i="67"/>
  <c r="AA131" i="67" s="1"/>
  <c r="V123" i="67"/>
  <c r="Y123" i="67"/>
  <c r="AA123" i="67" s="1"/>
  <c r="X131" i="67"/>
  <c r="AA35" i="67"/>
  <c r="M113" i="53"/>
  <c r="BS113" i="53" s="1"/>
  <c r="BS102" i="53"/>
  <c r="W110" i="53"/>
  <c r="CB110" i="53" s="1"/>
  <c r="CB99" i="53"/>
  <c r="L110" i="53"/>
  <c r="BR110" i="53" s="1"/>
  <c r="BR99" i="53"/>
  <c r="D110" i="53"/>
  <c r="BK110" i="53" s="1"/>
  <c r="BK99" i="53"/>
  <c r="P110" i="53"/>
  <c r="BV110" i="53" s="1"/>
  <c r="BV99" i="53"/>
  <c r="X123" i="67"/>
  <c r="M110" i="53"/>
  <c r="BS110" i="53" s="1"/>
  <c r="BS99" i="53"/>
  <c r="O113" i="53"/>
  <c r="BU113" i="53" s="1"/>
  <c r="BU102" i="53"/>
  <c r="V110" i="53"/>
  <c r="CA110" i="53" s="1"/>
  <c r="CA99" i="53"/>
  <c r="L113" i="53"/>
  <c r="BR113" i="53" s="1"/>
  <c r="BR102" i="53"/>
  <c r="H110" i="53"/>
  <c r="BO110" i="53" s="1"/>
  <c r="BO99" i="53"/>
  <c r="E110" i="53"/>
  <c r="BL110" i="53" s="1"/>
  <c r="BL99" i="53"/>
  <c r="G110" i="53"/>
  <c r="BN110" i="53" s="1"/>
  <c r="BN99" i="53"/>
  <c r="O110" i="53"/>
  <c r="BU110" i="53" s="1"/>
  <c r="BU99" i="53"/>
  <c r="N110" i="53"/>
  <c r="BT110" i="53" s="1"/>
  <c r="BT99" i="53"/>
  <c r="AA48" i="67"/>
  <c r="X110" i="53"/>
  <c r="CC110" i="53" s="1"/>
  <c r="CC99" i="53"/>
  <c r="AA14" i="67"/>
  <c r="AQ93" i="53"/>
  <c r="CS93" i="53" s="1"/>
  <c r="CS91" i="53"/>
  <c r="T110" i="53"/>
  <c r="BY110" i="53" s="1"/>
  <c r="BY99" i="53"/>
  <c r="W123" i="67"/>
  <c r="Z48" i="67"/>
  <c r="AA27" i="67"/>
  <c r="Z42" i="67"/>
  <c r="T125" i="67"/>
  <c r="Z14" i="67"/>
  <c r="U131" i="67"/>
  <c r="Z131" i="67" s="1"/>
  <c r="Z6" i="67"/>
  <c r="U123" i="67"/>
  <c r="Z123" i="67" s="1"/>
  <c r="N55" i="73"/>
  <c r="BM55" i="73" s="1"/>
  <c r="T28" i="67"/>
  <c r="T57" i="53"/>
  <c r="BY57" i="53" s="1"/>
  <c r="U51" i="85" s="1"/>
  <c r="W57" i="53"/>
  <c r="O57" i="53"/>
  <c r="M57" i="53"/>
  <c r="H57" i="53"/>
  <c r="Y51" i="67"/>
  <c r="F57" i="53"/>
  <c r="L57" i="53"/>
  <c r="BR57" i="53" s="1"/>
  <c r="U30" i="85" s="1"/>
  <c r="Z30" i="85" s="1"/>
  <c r="E57" i="53"/>
  <c r="V57" i="53"/>
  <c r="U57" i="53"/>
  <c r="G57" i="53"/>
  <c r="D57" i="53"/>
  <c r="BK57" i="53" s="1"/>
  <c r="U9" i="85" s="1"/>
  <c r="Z9" i="85" s="1"/>
  <c r="U126" i="85" l="1"/>
  <c r="Z126" i="85" s="1"/>
  <c r="Z51" i="85"/>
  <c r="AA51" i="85"/>
  <c r="Y9" i="67"/>
  <c r="BO57" i="53"/>
  <c r="Y9" i="85" s="1"/>
  <c r="X9" i="67"/>
  <c r="BN57" i="53"/>
  <c r="X9" i="85" s="1"/>
  <c r="V30" i="67"/>
  <c r="BS57" i="53"/>
  <c r="V30" i="85" s="1"/>
  <c r="V51" i="67"/>
  <c r="BZ57" i="53"/>
  <c r="V51" i="85" s="1"/>
  <c r="X30" i="67"/>
  <c r="BU57" i="53"/>
  <c r="X30" i="85" s="1"/>
  <c r="W51" i="67"/>
  <c r="CA57" i="53"/>
  <c r="W51" i="85" s="1"/>
  <c r="V9" i="67"/>
  <c r="BL57" i="53"/>
  <c r="V9" i="85" s="1"/>
  <c r="X51" i="67"/>
  <c r="CB57" i="53"/>
  <c r="X51" i="85" s="1"/>
  <c r="W9" i="67"/>
  <c r="BM57" i="53"/>
  <c r="W9" i="85" s="1"/>
  <c r="U9" i="67"/>
  <c r="J57" i="53"/>
  <c r="I57" i="53"/>
  <c r="BP57" i="53" s="1"/>
  <c r="U51" i="67"/>
  <c r="Z51" i="67" s="1"/>
  <c r="Y57" i="53"/>
  <c r="CD57" i="53" s="1"/>
  <c r="Z57" i="53"/>
  <c r="U30" i="67"/>
  <c r="Z30" i="67" s="1"/>
  <c r="Q57" i="53"/>
  <c r="BW57" i="53" s="1"/>
  <c r="R57" i="53"/>
  <c r="E57" i="73"/>
  <c r="D57" i="73"/>
  <c r="BH57" i="73" s="1"/>
  <c r="G57" i="73"/>
  <c r="F57" i="73"/>
  <c r="BI57" i="73" s="1"/>
  <c r="K57" i="73"/>
  <c r="J57" i="73"/>
  <c r="BK57" i="73" s="1"/>
  <c r="O57" i="73"/>
  <c r="BN57" i="73" s="1"/>
  <c r="P57" i="73"/>
  <c r="Q57" i="73"/>
  <c r="BO57" i="73" s="1"/>
  <c r="R57" i="73"/>
  <c r="U57" i="73"/>
  <c r="BQ57" i="73" s="1"/>
  <c r="V57" i="73"/>
  <c r="AC57" i="73"/>
  <c r="AB57" i="73"/>
  <c r="BU57" i="73" s="1"/>
  <c r="I57" i="73"/>
  <c r="H57" i="73"/>
  <c r="BJ57" i="73" s="1"/>
  <c r="AE57" i="73"/>
  <c r="AD57" i="73"/>
  <c r="BV57" i="73" s="1"/>
  <c r="AI57" i="73"/>
  <c r="AH57" i="73"/>
  <c r="BX57" i="73" s="1"/>
  <c r="AG57" i="73"/>
  <c r="AF57" i="73"/>
  <c r="BW57" i="73" s="1"/>
  <c r="M57" i="73"/>
  <c r="L57" i="73"/>
  <c r="BL57" i="73" s="1"/>
  <c r="AA57" i="73"/>
  <c r="Z57" i="73"/>
  <c r="BT57" i="73" s="1"/>
  <c r="BG57" i="53"/>
  <c r="DI57" i="53" s="1"/>
  <c r="BA57" i="53"/>
  <c r="BF57" i="53"/>
  <c r="DH57" i="53" s="1"/>
  <c r="BD57" i="53"/>
  <c r="DF57" i="53" s="1"/>
  <c r="AX57" i="53"/>
  <c r="BE57" i="53"/>
  <c r="DG57" i="53" s="1"/>
  <c r="AY57" i="53"/>
  <c r="BH57" i="53"/>
  <c r="DJ57" i="53" s="1"/>
  <c r="N57" i="53"/>
  <c r="P57" i="53"/>
  <c r="D43" i="49"/>
  <c r="J43" i="49" s="1"/>
  <c r="C43" i="49"/>
  <c r="I43" i="49" s="1"/>
  <c r="C29" i="49"/>
  <c r="I29" i="49" s="1"/>
  <c r="X126" i="85" l="1"/>
  <c r="AA9" i="85"/>
  <c r="X126" i="67"/>
  <c r="V126" i="85"/>
  <c r="V126" i="67"/>
  <c r="AA9" i="67"/>
  <c r="K130" i="67"/>
  <c r="K131" i="67" s="1"/>
  <c r="K135" i="67" s="1"/>
  <c r="DA57" i="53"/>
  <c r="K130" i="85" s="1"/>
  <c r="K131" i="85" s="1"/>
  <c r="K135" i="85" s="1"/>
  <c r="J130" i="67"/>
  <c r="J131" i="67" s="1"/>
  <c r="CZ57" i="53"/>
  <c r="J130" i="85" s="1"/>
  <c r="W30" i="67"/>
  <c r="W126" i="67" s="1"/>
  <c r="BT57" i="53"/>
  <c r="W30" i="85" s="1"/>
  <c r="W126" i="85" s="1"/>
  <c r="Y30" i="67"/>
  <c r="AA30" i="67" s="1"/>
  <c r="BV57" i="53"/>
  <c r="Y30" i="85" s="1"/>
  <c r="AA30" i="85" s="1"/>
  <c r="M130" i="67"/>
  <c r="M131" i="67" s="1"/>
  <c r="M135" i="67" s="1"/>
  <c r="DC57" i="53"/>
  <c r="M130" i="85" s="1"/>
  <c r="M131" i="85" s="1"/>
  <c r="M135" i="85" s="1"/>
  <c r="Z9" i="67"/>
  <c r="U126" i="67"/>
  <c r="Z126" i="67" s="1"/>
  <c r="AA51" i="67"/>
  <c r="BB57" i="53"/>
  <c r="W57" i="73"/>
  <c r="BR57" i="73" s="1"/>
  <c r="X57" i="73"/>
  <c r="AZ57" i="53"/>
  <c r="S57" i="73"/>
  <c r="BP57" i="73" s="1"/>
  <c r="T57" i="73"/>
  <c r="D15" i="49"/>
  <c r="J15" i="49" s="1"/>
  <c r="E15" i="49"/>
  <c r="K15" i="49" s="1"/>
  <c r="D29" i="49"/>
  <c r="J29" i="49" s="1"/>
  <c r="Y126" i="67" l="1"/>
  <c r="AA126" i="67" s="1"/>
  <c r="J131" i="85"/>
  <c r="Y126" i="85"/>
  <c r="AA126" i="85" s="1"/>
  <c r="L130" i="67"/>
  <c r="L131" i="67" s="1"/>
  <c r="L135" i="67" s="1"/>
  <c r="DB57" i="53"/>
  <c r="L130" i="85" s="1"/>
  <c r="L131" i="85" s="1"/>
  <c r="L135" i="85" s="1"/>
  <c r="N130" i="67"/>
  <c r="N131" i="67" s="1"/>
  <c r="N135" i="67" s="1"/>
  <c r="DD57" i="53"/>
  <c r="N130" i="85" s="1"/>
  <c r="N131" i="85" s="1"/>
  <c r="N135" i="85" s="1"/>
  <c r="J135" i="67"/>
  <c r="E43" i="49"/>
  <c r="K43" i="49" s="1"/>
  <c r="E29" i="49"/>
  <c r="K29" i="49" s="1"/>
  <c r="G43" i="49"/>
  <c r="M43" i="49" s="1"/>
  <c r="F43" i="49"/>
  <c r="L43" i="49" s="1"/>
  <c r="J135" i="85" l="1"/>
  <c r="O135" i="85" s="1"/>
  <c r="O131" i="85"/>
  <c r="O130" i="85"/>
  <c r="O130" i="67"/>
  <c r="O131" i="67"/>
  <c r="O135" i="67"/>
  <c r="F15" i="49"/>
  <c r="L15" i="49" s="1"/>
  <c r="G15" i="49"/>
  <c r="M15" i="49" s="1"/>
  <c r="F29" i="49"/>
  <c r="L29" i="49" s="1"/>
  <c r="G29" i="49" l="1"/>
  <c r="M29" i="49" s="1"/>
  <c r="H10" i="21" l="1"/>
  <c r="G10" i="21"/>
  <c r="F10" i="21"/>
  <c r="E10" i="21"/>
  <c r="D10" i="21"/>
  <c r="H7" i="20"/>
  <c r="G7" i="20"/>
  <c r="F7" i="20"/>
  <c r="E7" i="20"/>
  <c r="D7" i="20"/>
  <c r="H8" i="17"/>
  <c r="H14" i="17" s="1"/>
  <c r="H22" i="17" s="1"/>
  <c r="H33" i="17" s="1"/>
  <c r="H39" i="17" s="1"/>
  <c r="H47" i="17" s="1"/>
  <c r="H54" i="17" s="1"/>
  <c r="G8" i="17"/>
  <c r="G14" i="17" s="1"/>
  <c r="G22" i="17" s="1"/>
  <c r="G33" i="17" s="1"/>
  <c r="G39" i="17" s="1"/>
  <c r="G47" i="17" s="1"/>
  <c r="G54" i="17" s="1"/>
  <c r="F8" i="17"/>
  <c r="F14" i="17" s="1"/>
  <c r="F22" i="17" s="1"/>
  <c r="F33" i="17" s="1"/>
  <c r="F39" i="17" s="1"/>
  <c r="F47" i="17" s="1"/>
  <c r="F54" i="17" s="1"/>
  <c r="E8" i="17"/>
  <c r="E14" i="17" s="1"/>
  <c r="E22" i="17" s="1"/>
  <c r="E33" i="17" s="1"/>
  <c r="E39" i="17" s="1"/>
  <c r="E47" i="17" s="1"/>
  <c r="E54" i="17" s="1"/>
  <c r="D8" i="17"/>
  <c r="D14" i="17" s="1"/>
  <c r="D22" i="17" s="1"/>
  <c r="D33" i="17" s="1"/>
  <c r="D39" i="17" s="1"/>
  <c r="D47" i="17" s="1"/>
  <c r="D54" i="17" s="1"/>
  <c r="I7" i="16"/>
  <c r="R7" i="16" s="1"/>
  <c r="H7" i="16"/>
  <c r="Q7" i="16" s="1"/>
  <c r="G7" i="16"/>
  <c r="P7" i="16" s="1"/>
  <c r="F7" i="16"/>
  <c r="O7" i="16" s="1"/>
  <c r="E7" i="16"/>
  <c r="N7" i="16" s="1"/>
  <c r="D7" i="16"/>
  <c r="M7" i="16" s="1"/>
  <c r="K7" i="2"/>
  <c r="J7" i="2"/>
  <c r="I7" i="2"/>
  <c r="H7" i="2"/>
  <c r="G7" i="2"/>
  <c r="F7" i="2"/>
  <c r="E7" i="2"/>
  <c r="Q7" i="2" l="1"/>
  <c r="U7" i="2"/>
  <c r="A56" i="2"/>
  <c r="A53" i="2"/>
  <c r="T7" i="2"/>
  <c r="R7" i="2"/>
  <c r="S7" i="2"/>
  <c r="M7" i="2"/>
  <c r="V7" i="2" s="1"/>
  <c r="B82" i="35"/>
  <c r="A4" i="35"/>
  <c r="AP138" i="41" l="1"/>
  <c r="B225" i="82"/>
  <c r="A25" i="21"/>
  <c r="B32" i="20"/>
  <c r="E115" i="51"/>
  <c r="C151" i="77"/>
  <c r="C108" i="73"/>
  <c r="D287" i="50"/>
  <c r="E180" i="62"/>
  <c r="C71" i="60"/>
  <c r="C80" i="7"/>
  <c r="A5" i="5"/>
  <c r="A5" i="39"/>
  <c r="A46" i="47"/>
  <c r="B116" i="65"/>
  <c r="A114" i="76"/>
  <c r="C49" i="2"/>
  <c r="A132" i="74"/>
  <c r="A136" i="1"/>
  <c r="B45" i="58"/>
  <c r="B111" i="39"/>
  <c r="A49" i="48"/>
  <c r="A22" i="16"/>
  <c r="B116" i="53"/>
  <c r="B23" i="22"/>
  <c r="B80" i="49"/>
  <c r="B59" i="17"/>
  <c r="B43" i="5"/>
  <c r="E49" i="1"/>
  <c r="E44" i="1"/>
  <c r="E39" i="1"/>
  <c r="E10" i="2" s="1"/>
  <c r="AB5" i="78" l="1"/>
  <c r="AB5" i="83"/>
  <c r="A5" i="48"/>
  <c r="C5" i="7"/>
  <c r="A5" i="82"/>
  <c r="A4" i="16"/>
  <c r="A5" i="53"/>
  <c r="A5" i="50"/>
  <c r="A5" i="60"/>
  <c r="A5" i="77"/>
  <c r="A5" i="1"/>
  <c r="A5" i="58"/>
  <c r="A5" i="21"/>
  <c r="A6" i="22"/>
  <c r="A5" i="51"/>
  <c r="A5" i="17"/>
  <c r="A5" i="76"/>
  <c r="A5" i="74"/>
  <c r="A5" i="2"/>
  <c r="A5" i="49"/>
  <c r="A5" i="20"/>
  <c r="A5" i="65"/>
  <c r="A5" i="73"/>
  <c r="A5" i="62"/>
  <c r="E11" i="2"/>
  <c r="A5" i="47"/>
  <c r="A5" i="41"/>
  <c r="I93" i="1"/>
  <c r="AB6" i="78" l="1"/>
  <c r="AB6" i="83"/>
  <c r="G76" i="49"/>
  <c r="G62" i="49"/>
  <c r="AP33" i="67" l="1"/>
  <c r="M62" i="49"/>
  <c r="AP33" i="85" s="1"/>
  <c r="AP41" i="67"/>
  <c r="M76" i="49"/>
  <c r="AP41" i="85" s="1"/>
  <c r="F18" i="17"/>
  <c r="E18" i="17"/>
  <c r="H18" i="17"/>
  <c r="D18" i="17"/>
  <c r="G18" i="17"/>
  <c r="AS46" i="79" l="1"/>
  <c r="AM46" i="79" s="1"/>
  <c r="AS45" i="79"/>
  <c r="AM45" i="79" s="1"/>
  <c r="AT46" i="79"/>
  <c r="AN46" i="79" s="1"/>
  <c r="AT45" i="79"/>
  <c r="AN45" i="79" s="1"/>
  <c r="AV46" i="79"/>
  <c r="AP46" i="79" s="1"/>
  <c r="AV45" i="79"/>
  <c r="AP45" i="79" s="1"/>
  <c r="AR46" i="79"/>
  <c r="AL46" i="79" s="1"/>
  <c r="AR45" i="79"/>
  <c r="AL45" i="79" s="1"/>
  <c r="AU46" i="79"/>
  <c r="AO46" i="79" s="1"/>
  <c r="AU45" i="79"/>
  <c r="AO45" i="79" s="1"/>
  <c r="AR46" i="84"/>
  <c r="AL46" i="84" s="1"/>
  <c r="AR45" i="84"/>
  <c r="AL45" i="84" s="1"/>
  <c r="AV46" i="84"/>
  <c r="AP46" i="84" s="1"/>
  <c r="AV45" i="84"/>
  <c r="AP45" i="84" s="1"/>
  <c r="AS46" i="84"/>
  <c r="AM46" i="84" s="1"/>
  <c r="AS45" i="84"/>
  <c r="AM45" i="84" s="1"/>
  <c r="AT46" i="84"/>
  <c r="AN46" i="84" s="1"/>
  <c r="AT45" i="84"/>
  <c r="AN45" i="84" s="1"/>
  <c r="AU46" i="84"/>
  <c r="AO46" i="84" s="1"/>
  <c r="AU45" i="84"/>
  <c r="AO45" i="84" s="1"/>
  <c r="C76" i="49"/>
  <c r="C62" i="49"/>
  <c r="E76" i="49"/>
  <c r="E62" i="49"/>
  <c r="F76" i="49"/>
  <c r="F62" i="49"/>
  <c r="D62" i="49"/>
  <c r="D76" i="49"/>
  <c r="AM41" i="67" l="1"/>
  <c r="J76" i="49"/>
  <c r="AM41" i="85" s="1"/>
  <c r="AM33" i="67"/>
  <c r="J62" i="49"/>
  <c r="AM33" i="85" s="1"/>
  <c r="AN41" i="67"/>
  <c r="K76" i="49"/>
  <c r="AN41" i="85" s="1"/>
  <c r="AO33" i="67"/>
  <c r="L62" i="49"/>
  <c r="AO33" i="85" s="1"/>
  <c r="AO41" i="67"/>
  <c r="L76" i="49"/>
  <c r="AO41" i="85" s="1"/>
  <c r="AN33" i="67"/>
  <c r="K62" i="49"/>
  <c r="AN33" i="85" s="1"/>
  <c r="AL33" i="67"/>
  <c r="I62" i="49"/>
  <c r="AL33" i="85" s="1"/>
  <c r="AL41" i="67"/>
  <c r="I76" i="49"/>
  <c r="AL41" i="85" s="1"/>
  <c r="G93" i="1"/>
  <c r="H93" i="1"/>
  <c r="J93" i="1"/>
  <c r="G103" i="1"/>
  <c r="H103" i="1"/>
  <c r="I103" i="1"/>
  <c r="J103" i="1"/>
  <c r="G97" i="1" l="1"/>
  <c r="H97" i="1"/>
  <c r="H34" i="2" s="1"/>
  <c r="J97" i="1"/>
  <c r="J34" i="2" s="1"/>
  <c r="Q34" i="2"/>
  <c r="I97" i="1"/>
  <c r="I34" i="2" s="1"/>
  <c r="G34" i="1"/>
  <c r="H34" i="1"/>
  <c r="I34" i="1"/>
  <c r="J34" i="1"/>
  <c r="F39" i="1"/>
  <c r="G39" i="1"/>
  <c r="H39" i="1"/>
  <c r="I39" i="1"/>
  <c r="J39" i="1"/>
  <c r="F44" i="1"/>
  <c r="G44" i="1"/>
  <c r="H44" i="1"/>
  <c r="I44" i="1"/>
  <c r="J44" i="1"/>
  <c r="F49" i="1"/>
  <c r="G49" i="1"/>
  <c r="H49" i="1"/>
  <c r="I49" i="1"/>
  <c r="J49" i="1"/>
  <c r="I17" i="16"/>
  <c r="H17" i="16"/>
  <c r="G17" i="16"/>
  <c r="F17" i="16"/>
  <c r="E17" i="16"/>
  <c r="D17" i="16"/>
  <c r="C17" i="16"/>
  <c r="H26" i="17"/>
  <c r="G26" i="17"/>
  <c r="F26" i="17"/>
  <c r="E26" i="17"/>
  <c r="D26" i="17"/>
  <c r="AF29" i="78" l="1"/>
  <c r="AF29" i="83"/>
  <c r="AG29" i="78"/>
  <c r="AG29" i="83"/>
  <c r="AE29" i="78"/>
  <c r="AE29" i="83"/>
  <c r="AM26" i="79"/>
  <c r="L17" i="16"/>
  <c r="AM26" i="84" s="1"/>
  <c r="AN26" i="79"/>
  <c r="M17" i="16"/>
  <c r="AN26" i="84" s="1"/>
  <c r="AO26" i="79"/>
  <c r="N17" i="16"/>
  <c r="AO26" i="84" s="1"/>
  <c r="AP26" i="79"/>
  <c r="O17" i="16"/>
  <c r="AP26" i="84" s="1"/>
  <c r="AQ26" i="79"/>
  <c r="P17" i="16"/>
  <c r="AQ26" i="84" s="1"/>
  <c r="AR26" i="79"/>
  <c r="Q17" i="16"/>
  <c r="AR26" i="84" s="1"/>
  <c r="AS26" i="79"/>
  <c r="R17" i="16"/>
  <c r="AS26" i="84" s="1"/>
  <c r="G10" i="2"/>
  <c r="AD5" i="83" s="1"/>
  <c r="G11" i="2"/>
  <c r="G34" i="2"/>
  <c r="J11" i="2"/>
  <c r="F11" i="2"/>
  <c r="I11" i="2"/>
  <c r="AF6" i="83" s="1"/>
  <c r="H11" i="2"/>
  <c r="AE6" i="83" s="1"/>
  <c r="F10" i="2"/>
  <c r="AC5" i="83" s="1"/>
  <c r="I10" i="2"/>
  <c r="AF5" i="83" s="1"/>
  <c r="J10" i="2"/>
  <c r="AG5" i="83" s="1"/>
  <c r="H10" i="2"/>
  <c r="AE5" i="83" s="1"/>
  <c r="T34" i="2"/>
  <c r="V34" i="2"/>
  <c r="U34" i="2"/>
  <c r="S34" i="2" l="1"/>
  <c r="AD29" i="83"/>
  <c r="AD6" i="78"/>
  <c r="AD6" i="83"/>
  <c r="AG6" i="78"/>
  <c r="AG6" i="83"/>
  <c r="AC6" i="78"/>
  <c r="AC6" i="83"/>
  <c r="AG5" i="78"/>
  <c r="U10" i="2"/>
  <c r="V10" i="2"/>
  <c r="AF5" i="78"/>
  <c r="T10" i="2"/>
  <c r="Q11" i="2"/>
  <c r="AE5" i="78"/>
  <c r="S10" i="2"/>
  <c r="S11" i="2"/>
  <c r="AE6" i="78"/>
  <c r="T11" i="2"/>
  <c r="AF6" i="78"/>
  <c r="R34" i="2"/>
  <c r="AD29" i="78"/>
  <c r="AC5" i="78"/>
  <c r="Q10" i="2"/>
  <c r="AD5" i="78"/>
  <c r="R10" i="2"/>
  <c r="V11" i="2"/>
  <c r="U11" i="2"/>
  <c r="R11" i="2"/>
  <c r="AL15" i="67"/>
  <c r="C44" i="49"/>
  <c r="AL7" i="67"/>
  <c r="AL23" i="67" l="1"/>
  <c r="I44" i="49"/>
  <c r="AL23" i="85" s="1"/>
  <c r="D16" i="49"/>
  <c r="D44" i="49"/>
  <c r="AM15" i="67"/>
  <c r="AM23" i="67" l="1"/>
  <c r="J44" i="49"/>
  <c r="AM23" i="85" s="1"/>
  <c r="AM7" i="67"/>
  <c r="J16" i="49"/>
  <c r="AM7" i="85" s="1"/>
  <c r="E30" i="49"/>
  <c r="E16" i="49"/>
  <c r="E44" i="49"/>
  <c r="AN7" i="67" l="1"/>
  <c r="K16" i="49"/>
  <c r="AN7" i="85" s="1"/>
  <c r="AN15" i="67"/>
  <c r="K30" i="49"/>
  <c r="AN15" i="85" s="1"/>
  <c r="AN23" i="67"/>
  <c r="K44" i="49"/>
  <c r="AN23" i="85" s="1"/>
  <c r="F44" i="49"/>
  <c r="F16" i="49"/>
  <c r="F30" i="49"/>
  <c r="AO23" i="67" l="1"/>
  <c r="L44" i="49"/>
  <c r="AO23" i="85" s="1"/>
  <c r="AO7" i="67"/>
  <c r="L16" i="49"/>
  <c r="AO7" i="85" s="1"/>
  <c r="AO15" i="67"/>
  <c r="L30" i="49"/>
  <c r="AO15" i="85" s="1"/>
  <c r="G30" i="49"/>
  <c r="G44" i="49"/>
  <c r="G16" i="49"/>
  <c r="AP15" i="67" l="1"/>
  <c r="M30" i="49"/>
  <c r="AP15" i="85" s="1"/>
  <c r="AP23" i="67"/>
  <c r="M44" i="49"/>
  <c r="AP23" i="85" s="1"/>
  <c r="AP7" i="67"/>
  <c r="M16" i="49"/>
  <c r="AP7" i="85" s="1"/>
  <c r="F26" i="47"/>
  <c r="X12" i="67"/>
  <c r="X129" i="67" s="1"/>
  <c r="E26" i="47"/>
  <c r="W12" i="67"/>
  <c r="W129" i="67" s="1"/>
  <c r="G26" i="47"/>
  <c r="Y12" i="67"/>
  <c r="C26" i="47"/>
  <c r="U12" i="67"/>
  <c r="D26" i="47"/>
  <c r="V12" i="67"/>
  <c r="V129" i="67" s="1"/>
  <c r="I63" i="73"/>
  <c r="H63" i="73"/>
  <c r="G63" i="73"/>
  <c r="F63" i="73"/>
  <c r="M63" i="73"/>
  <c r="L63" i="73"/>
  <c r="E63" i="73"/>
  <c r="D63" i="73"/>
  <c r="K63" i="73"/>
  <c r="J63" i="73"/>
  <c r="F24" i="48" l="1"/>
  <c r="M24" i="48" s="1"/>
  <c r="M26" i="47"/>
  <c r="C24" i="48"/>
  <c r="J24" i="48" s="1"/>
  <c r="J26" i="47"/>
  <c r="G24" i="48"/>
  <c r="N24" i="48" s="1"/>
  <c r="N26" i="47"/>
  <c r="D24" i="48"/>
  <c r="K24" i="48" s="1"/>
  <c r="K26" i="47"/>
  <c r="E24" i="48"/>
  <c r="L24" i="48" s="1"/>
  <c r="L26" i="47"/>
  <c r="M103" i="73"/>
  <c r="BL63" i="73"/>
  <c r="I103" i="73"/>
  <c r="BJ63" i="73"/>
  <c r="G103" i="73"/>
  <c r="BI63" i="73"/>
  <c r="K103" i="73"/>
  <c r="BK63" i="73"/>
  <c r="E103" i="73"/>
  <c r="BH63" i="73"/>
  <c r="AA12" i="67"/>
  <c r="U129" i="67"/>
  <c r="Z129" i="67" s="1"/>
  <c r="Z12" i="67"/>
  <c r="Y129" i="67"/>
  <c r="AA129" i="67" s="1"/>
  <c r="C59" i="53"/>
  <c r="T11" i="67" l="1"/>
  <c r="BJ59" i="53"/>
  <c r="T11" i="85" s="1"/>
  <c r="C100" i="53"/>
  <c r="C59" i="73"/>
  <c r="BG59" i="73" s="1"/>
  <c r="K11" i="53"/>
  <c r="BQ11" i="53" s="1"/>
  <c r="T26" i="85" s="1"/>
  <c r="N11" i="53"/>
  <c r="M11" i="53"/>
  <c r="L11" i="53"/>
  <c r="BR11" i="53" s="1"/>
  <c r="U26" i="85" s="1"/>
  <c r="P11" i="53"/>
  <c r="O11" i="53"/>
  <c r="Z26" i="85" l="1"/>
  <c r="V26" i="67"/>
  <c r="BS11" i="53"/>
  <c r="V26" i="85" s="1"/>
  <c r="W26" i="67"/>
  <c r="BT11" i="53"/>
  <c r="W26" i="85" s="1"/>
  <c r="C111" i="53"/>
  <c r="BJ111" i="53" s="1"/>
  <c r="BJ100" i="53"/>
  <c r="X26" i="67"/>
  <c r="BU11" i="53"/>
  <c r="X26" i="85" s="1"/>
  <c r="Y26" i="67"/>
  <c r="BV11" i="53"/>
  <c r="Y26" i="85" s="1"/>
  <c r="U26" i="67"/>
  <c r="AA26" i="67" s="1"/>
  <c r="R11" i="53"/>
  <c r="Q11" i="53"/>
  <c r="BW11" i="53" s="1"/>
  <c r="N11" i="73"/>
  <c r="BM11" i="73" s="1"/>
  <c r="T26" i="67"/>
  <c r="R11" i="73"/>
  <c r="Q11" i="73"/>
  <c r="W11" i="73"/>
  <c r="BR11" i="73" s="1"/>
  <c r="X11" i="73"/>
  <c r="O11" i="73"/>
  <c r="P11" i="73"/>
  <c r="V11" i="73"/>
  <c r="U11" i="73"/>
  <c r="S11" i="73"/>
  <c r="T11" i="73"/>
  <c r="K59" i="53"/>
  <c r="AA26" i="85" l="1"/>
  <c r="V100" i="73"/>
  <c r="BQ11" i="73"/>
  <c r="T100" i="73"/>
  <c r="BP11" i="73"/>
  <c r="P100" i="73"/>
  <c r="BN11" i="73"/>
  <c r="R100" i="73"/>
  <c r="BO11" i="73"/>
  <c r="T32" i="67"/>
  <c r="T128" i="67" s="1"/>
  <c r="BQ59" i="53"/>
  <c r="T32" i="85" s="1"/>
  <c r="T36" i="67"/>
  <c r="Z26" i="67"/>
  <c r="N59" i="73"/>
  <c r="BM59" i="73" s="1"/>
  <c r="B25" i="47"/>
  <c r="K100" i="53"/>
  <c r="K88" i="53"/>
  <c r="BQ88" i="53" s="1"/>
  <c r="T128" i="85" l="1"/>
  <c r="T36" i="85"/>
  <c r="B23" i="48"/>
  <c r="I23" i="48" s="1"/>
  <c r="I25" i="47"/>
  <c r="K111" i="53"/>
  <c r="BQ111" i="53" s="1"/>
  <c r="BQ100" i="53"/>
  <c r="K95" i="53"/>
  <c r="N88" i="73"/>
  <c r="BM88" i="73" s="1"/>
  <c r="K91" i="53"/>
  <c r="BQ91" i="53" s="1"/>
  <c r="E87" i="1"/>
  <c r="N95" i="73" l="1"/>
  <c r="BM95" i="73" s="1"/>
  <c r="BQ95" i="53"/>
  <c r="E29" i="2"/>
  <c r="U87" i="1"/>
  <c r="K93" i="53"/>
  <c r="BQ93" i="53" s="1"/>
  <c r="T39" i="85" s="1"/>
  <c r="N91" i="73"/>
  <c r="BM91" i="73" s="1"/>
  <c r="C11" i="16"/>
  <c r="AB24" i="78" l="1"/>
  <c r="AB24" i="83"/>
  <c r="C13" i="16"/>
  <c r="L13" i="16" s="1"/>
  <c r="AM22" i="84" s="1"/>
  <c r="L11" i="16"/>
  <c r="N93" i="73"/>
  <c r="BM93" i="73" s="1"/>
  <c r="T39" i="67"/>
  <c r="P59" i="53"/>
  <c r="AV44" i="79" s="1"/>
  <c r="AP44" i="79" s="1"/>
  <c r="N59" i="53"/>
  <c r="AT44" i="79" s="1"/>
  <c r="AN44" i="79" s="1"/>
  <c r="V59" i="53"/>
  <c r="AT52" i="79" s="1"/>
  <c r="AN52" i="79" s="1"/>
  <c r="M59" i="53"/>
  <c r="AS44" i="79" s="1"/>
  <c r="AM44" i="79" s="1"/>
  <c r="L59" i="53"/>
  <c r="O59" i="53"/>
  <c r="AU44" i="79" s="1"/>
  <c r="AO44" i="79" s="1"/>
  <c r="W59" i="53"/>
  <c r="AU52" i="79" s="1"/>
  <c r="AO52" i="79" s="1"/>
  <c r="X59" i="53"/>
  <c r="AV52" i="79" s="1"/>
  <c r="AP52" i="79" s="1"/>
  <c r="U59" i="53"/>
  <c r="AS52" i="79" s="1"/>
  <c r="AM52" i="79" s="1"/>
  <c r="T59" i="53"/>
  <c r="F59" i="53"/>
  <c r="G59" i="53"/>
  <c r="E59" i="53"/>
  <c r="AS36" i="79" s="1"/>
  <c r="AM36" i="79" s="1"/>
  <c r="D59" i="53"/>
  <c r="H59" i="53"/>
  <c r="AV36" i="79" s="1"/>
  <c r="AP36" i="79" s="1"/>
  <c r="BY59" i="53" l="1"/>
  <c r="AR52" i="84" s="1"/>
  <c r="AL52" i="84" s="1"/>
  <c r="AR52" i="79"/>
  <c r="AL52" i="79" s="1"/>
  <c r="BR59" i="53"/>
  <c r="AR44" i="79"/>
  <c r="AL44" i="79" s="1"/>
  <c r="BK59" i="53"/>
  <c r="U11" i="85" s="1"/>
  <c r="AR36" i="79"/>
  <c r="AL36" i="79" s="1"/>
  <c r="BN59" i="53"/>
  <c r="AU36" i="84" s="1"/>
  <c r="AO36" i="84" s="1"/>
  <c r="AU36" i="79"/>
  <c r="AO36" i="79" s="1"/>
  <c r="BM59" i="53"/>
  <c r="W11" i="85" s="1"/>
  <c r="AT36" i="79"/>
  <c r="AN36" i="79" s="1"/>
  <c r="AR44" i="84"/>
  <c r="AL44" i="84" s="1"/>
  <c r="U32" i="85"/>
  <c r="Z32" i="85" s="1"/>
  <c r="AM22" i="79"/>
  <c r="C19" i="16"/>
  <c r="V32" i="67"/>
  <c r="BS59" i="53"/>
  <c r="V53" i="67"/>
  <c r="BZ59" i="53"/>
  <c r="AS52" i="84" s="1"/>
  <c r="AM52" i="84" s="1"/>
  <c r="Y11" i="67"/>
  <c r="BO59" i="53"/>
  <c r="W53" i="67"/>
  <c r="CA59" i="53"/>
  <c r="AT52" i="84" s="1"/>
  <c r="AN52" i="84" s="1"/>
  <c r="W32" i="67"/>
  <c r="BT59" i="53"/>
  <c r="Y32" i="67"/>
  <c r="BV59" i="53"/>
  <c r="Y53" i="67"/>
  <c r="CC59" i="53"/>
  <c r="AV52" i="84" s="1"/>
  <c r="AP52" i="84" s="1"/>
  <c r="X53" i="67"/>
  <c r="CB59" i="53"/>
  <c r="AU52" i="84" s="1"/>
  <c r="AO52" i="84" s="1"/>
  <c r="X32" i="67"/>
  <c r="BU59" i="53"/>
  <c r="V11" i="67"/>
  <c r="BL59" i="53"/>
  <c r="U11" i="67"/>
  <c r="I59" i="53"/>
  <c r="BP59" i="53" s="1"/>
  <c r="J59" i="53"/>
  <c r="U53" i="67"/>
  <c r="Z53" i="67" s="1"/>
  <c r="Z59" i="53"/>
  <c r="Y59" i="53"/>
  <c r="CD59" i="53" s="1"/>
  <c r="U32" i="67"/>
  <c r="Z32" i="67" s="1"/>
  <c r="R59" i="53"/>
  <c r="Q59" i="53"/>
  <c r="BW59" i="53" s="1"/>
  <c r="F25" i="47"/>
  <c r="X11" i="67"/>
  <c r="E25" i="47"/>
  <c r="W11" i="67"/>
  <c r="C25" i="47"/>
  <c r="G25" i="47"/>
  <c r="D25" i="47"/>
  <c r="G100" i="53"/>
  <c r="K59" i="73"/>
  <c r="J59" i="73"/>
  <c r="AE59" i="73"/>
  <c r="AD59" i="73"/>
  <c r="AI59" i="73"/>
  <c r="AH59" i="73"/>
  <c r="M100" i="53"/>
  <c r="Q59" i="73"/>
  <c r="R59" i="73"/>
  <c r="M59" i="73"/>
  <c r="L59" i="73"/>
  <c r="F100" i="53"/>
  <c r="I59" i="73"/>
  <c r="H59" i="73"/>
  <c r="AF59" i="73"/>
  <c r="AG59" i="73"/>
  <c r="D100" i="53"/>
  <c r="E59" i="73"/>
  <c r="D59" i="73"/>
  <c r="AA59" i="73"/>
  <c r="Z59" i="73"/>
  <c r="U59" i="73"/>
  <c r="V59" i="73"/>
  <c r="N100" i="53"/>
  <c r="S59" i="73"/>
  <c r="T59" i="73"/>
  <c r="E100" i="53"/>
  <c r="G59" i="73"/>
  <c r="F59" i="73"/>
  <c r="AC59" i="73"/>
  <c r="AB59" i="73"/>
  <c r="L100" i="53"/>
  <c r="O59" i="73"/>
  <c r="P59" i="73"/>
  <c r="W59" i="73"/>
  <c r="X59" i="73"/>
  <c r="H100" i="53"/>
  <c r="P100" i="53"/>
  <c r="V100" i="53"/>
  <c r="U100" i="53"/>
  <c r="T100" i="53"/>
  <c r="O100" i="53"/>
  <c r="X100" i="53"/>
  <c r="W100" i="53"/>
  <c r="AT36" i="84" l="1"/>
  <c r="AN36" i="84" s="1"/>
  <c r="X128" i="67"/>
  <c r="U53" i="85"/>
  <c r="Z53" i="85" s="1"/>
  <c r="V128" i="67"/>
  <c r="AA11" i="67"/>
  <c r="X11" i="85"/>
  <c r="AR36" i="84"/>
  <c r="AL36" i="84" s="1"/>
  <c r="AV44" i="84"/>
  <c r="AP44" i="84" s="1"/>
  <c r="Y32" i="85"/>
  <c r="AA32" i="85" s="1"/>
  <c r="AU44" i="84"/>
  <c r="AO44" i="84" s="1"/>
  <c r="X32" i="85"/>
  <c r="AT44" i="84"/>
  <c r="AN44" i="84" s="1"/>
  <c r="W32" i="85"/>
  <c r="AS44" i="84"/>
  <c r="AM44" i="84" s="1"/>
  <c r="V32" i="85"/>
  <c r="Z11" i="85"/>
  <c r="V53" i="85"/>
  <c r="X53" i="85"/>
  <c r="W53" i="85"/>
  <c r="AS36" i="84"/>
  <c r="AM36" i="84" s="1"/>
  <c r="V11" i="85"/>
  <c r="Y53" i="85"/>
  <c r="AV36" i="84"/>
  <c r="AP36" i="84" s="1"/>
  <c r="Y11" i="85"/>
  <c r="D23" i="48"/>
  <c r="K23" i="48" s="1"/>
  <c r="K25" i="47"/>
  <c r="G23" i="48"/>
  <c r="N23" i="48" s="1"/>
  <c r="N25" i="47"/>
  <c r="C23" i="48"/>
  <c r="J23" i="48" s="1"/>
  <c r="J25" i="47"/>
  <c r="F23" i="48"/>
  <c r="M23" i="48" s="1"/>
  <c r="M25" i="47"/>
  <c r="E23" i="48"/>
  <c r="L23" i="48" s="1"/>
  <c r="L25" i="47"/>
  <c r="K102" i="73"/>
  <c r="BK59" i="73"/>
  <c r="AC102" i="73"/>
  <c r="BU59" i="73"/>
  <c r="T102" i="73"/>
  <c r="BP59" i="73"/>
  <c r="AG102" i="73"/>
  <c r="BW59" i="73"/>
  <c r="I102" i="73"/>
  <c r="BJ59" i="73"/>
  <c r="AE102" i="73"/>
  <c r="BV59" i="73"/>
  <c r="P102" i="73"/>
  <c r="BN59" i="73"/>
  <c r="R102" i="73"/>
  <c r="BO59" i="73"/>
  <c r="V102" i="73"/>
  <c r="BQ59" i="73"/>
  <c r="AI102" i="73"/>
  <c r="BX59" i="73"/>
  <c r="G102" i="73"/>
  <c r="BI59" i="73"/>
  <c r="AA102" i="73"/>
  <c r="BT59" i="73"/>
  <c r="X102" i="73"/>
  <c r="BR59" i="73"/>
  <c r="E102" i="73"/>
  <c r="BH59" i="73"/>
  <c r="M102" i="73"/>
  <c r="BL59" i="73"/>
  <c r="Y128" i="67"/>
  <c r="AA128" i="67" s="1"/>
  <c r="T111" i="53"/>
  <c r="BY111" i="53" s="1"/>
  <c r="BY100" i="53"/>
  <c r="D111" i="53"/>
  <c r="BK111" i="53" s="1"/>
  <c r="BK100" i="53"/>
  <c r="L111" i="53"/>
  <c r="BR111" i="53" s="1"/>
  <c r="BR100" i="53"/>
  <c r="G111" i="53"/>
  <c r="BN111" i="53" s="1"/>
  <c r="BN100" i="53"/>
  <c r="V111" i="53"/>
  <c r="CA111" i="53" s="1"/>
  <c r="CA100" i="53"/>
  <c r="M111" i="53"/>
  <c r="BS111" i="53" s="1"/>
  <c r="BS100" i="53"/>
  <c r="P111" i="53"/>
  <c r="BV111" i="53" s="1"/>
  <c r="BV100" i="53"/>
  <c r="F111" i="53"/>
  <c r="BM111" i="53" s="1"/>
  <c r="BM100" i="53"/>
  <c r="W128" i="67"/>
  <c r="X111" i="53"/>
  <c r="CC111" i="53" s="1"/>
  <c r="CC100" i="53"/>
  <c r="E111" i="53"/>
  <c r="BL111" i="53" s="1"/>
  <c r="BL100" i="53"/>
  <c r="U111" i="53"/>
  <c r="BZ111" i="53" s="1"/>
  <c r="BZ100" i="53"/>
  <c r="N111" i="53"/>
  <c r="BT111" i="53" s="1"/>
  <c r="BT100" i="53"/>
  <c r="H111" i="53"/>
  <c r="BO111" i="53" s="1"/>
  <c r="BO100" i="53"/>
  <c r="W111" i="53"/>
  <c r="CB111" i="53" s="1"/>
  <c r="CB100" i="53"/>
  <c r="O111" i="53"/>
  <c r="BU111" i="53" s="1"/>
  <c r="BU100" i="53"/>
  <c r="AA32" i="67"/>
  <c r="U128" i="67"/>
  <c r="Z128" i="67" s="1"/>
  <c r="Z11" i="67"/>
  <c r="AA53" i="67"/>
  <c r="D11" i="16"/>
  <c r="U128" i="85" l="1"/>
  <c r="Z128" i="85" s="1"/>
  <c r="AA53" i="85"/>
  <c r="W128" i="85"/>
  <c r="X128" i="85"/>
  <c r="AA11" i="85"/>
  <c r="Y128" i="85"/>
  <c r="AA128" i="85" s="1"/>
  <c r="V128" i="85"/>
  <c r="D13" i="16"/>
  <c r="M13" i="16" s="1"/>
  <c r="AN22" i="84" s="1"/>
  <c r="M11" i="16"/>
  <c r="S55" i="53"/>
  <c r="BX55" i="53" s="1"/>
  <c r="T49" i="85" s="1"/>
  <c r="T57" i="85" s="1"/>
  <c r="D19" i="16" l="1"/>
  <c r="AN22" i="79"/>
  <c r="Y55" i="73"/>
  <c r="BS55" i="73" s="1"/>
  <c r="T49" i="67"/>
  <c r="S88" i="53"/>
  <c r="Y88" i="73" l="1"/>
  <c r="BS88" i="73" s="1"/>
  <c r="BX88" i="53"/>
  <c r="T57" i="67"/>
  <c r="S95" i="53"/>
  <c r="S91" i="53"/>
  <c r="E89" i="1"/>
  <c r="S93" i="53" l="1"/>
  <c r="BX93" i="53" s="1"/>
  <c r="T60" i="85" s="1"/>
  <c r="BX91" i="53"/>
  <c r="Y95" i="73"/>
  <c r="BS95" i="73" s="1"/>
  <c r="BX95" i="53"/>
  <c r="E30" i="2"/>
  <c r="U89" i="1"/>
  <c r="Y91" i="73"/>
  <c r="BS91" i="73" s="1"/>
  <c r="C11" i="53"/>
  <c r="AB25" i="78" l="1"/>
  <c r="AB25" i="83"/>
  <c r="T5" i="67"/>
  <c r="BJ11" i="53"/>
  <c r="T5" i="85" s="1"/>
  <c r="T122" i="67"/>
  <c r="Y93" i="73"/>
  <c r="BS93" i="73" s="1"/>
  <c r="T60" i="67"/>
  <c r="C11" i="73"/>
  <c r="BG11" i="73" s="1"/>
  <c r="B23" i="47"/>
  <c r="I23" i="47" s="1"/>
  <c r="T122" i="85" l="1"/>
  <c r="B21" i="48"/>
  <c r="T11" i="53"/>
  <c r="BY11" i="53" s="1"/>
  <c r="U47" i="85" s="1"/>
  <c r="T89" i="53"/>
  <c r="U11" i="53"/>
  <c r="U89" i="53"/>
  <c r="AS53" i="79" s="1"/>
  <c r="AM53" i="79" s="1"/>
  <c r="BY89" i="53" l="1"/>
  <c r="AR53" i="84" s="1"/>
  <c r="AL53" i="84" s="1"/>
  <c r="AR53" i="79"/>
  <c r="AL53" i="79" s="1"/>
  <c r="Z47" i="85"/>
  <c r="B20" i="48"/>
  <c r="I21" i="48"/>
  <c r="V63" i="67"/>
  <c r="BZ89" i="53"/>
  <c r="AS53" i="84" s="1"/>
  <c r="AM53" i="84" s="1"/>
  <c r="V47" i="67"/>
  <c r="BZ11" i="53"/>
  <c r="V47" i="85" s="1"/>
  <c r="U63" i="67"/>
  <c r="Z63" i="67" s="1"/>
  <c r="Z89" i="53"/>
  <c r="Y89" i="53"/>
  <c r="CD89" i="53" s="1"/>
  <c r="U47" i="67"/>
  <c r="Z47" i="67" s="1"/>
  <c r="Z11" i="53"/>
  <c r="Y11" i="53"/>
  <c r="CD11" i="53" s="1"/>
  <c r="AB89" i="73"/>
  <c r="BU89" i="73" s="1"/>
  <c r="AC89" i="73"/>
  <c r="Z89" i="73"/>
  <c r="BT89" i="73" s="1"/>
  <c r="AA89" i="73"/>
  <c r="AB11" i="73"/>
  <c r="AC11" i="73"/>
  <c r="Z11" i="73"/>
  <c r="AA11" i="73"/>
  <c r="U102" i="53"/>
  <c r="T102" i="53"/>
  <c r="V89" i="53"/>
  <c r="AT53" i="79" s="1"/>
  <c r="AN53" i="79" s="1"/>
  <c r="V11" i="53"/>
  <c r="U63" i="85" l="1"/>
  <c r="Z63" i="85" s="1"/>
  <c r="V63" i="85"/>
  <c r="B19" i="48"/>
  <c r="I19" i="48" s="1"/>
  <c r="I20" i="48"/>
  <c r="AC100" i="73"/>
  <c r="BU11" i="73"/>
  <c r="AA100" i="73"/>
  <c r="BT11" i="73"/>
  <c r="W63" i="67"/>
  <c r="CA89" i="53"/>
  <c r="AT53" i="84" s="1"/>
  <c r="AN53" i="84" s="1"/>
  <c r="W47" i="67"/>
  <c r="CA11" i="53"/>
  <c r="W47" i="85" s="1"/>
  <c r="T113" i="53"/>
  <c r="BY113" i="53" s="1"/>
  <c r="BY102" i="53"/>
  <c r="U113" i="53"/>
  <c r="BZ113" i="53" s="1"/>
  <c r="BZ102" i="53"/>
  <c r="AD89" i="73"/>
  <c r="BV89" i="73" s="1"/>
  <c r="AE89" i="73"/>
  <c r="AE11" i="73"/>
  <c r="AD11" i="73"/>
  <c r="V102" i="53"/>
  <c r="W11" i="53"/>
  <c r="W89" i="53"/>
  <c r="AU53" i="79" s="1"/>
  <c r="AO53" i="79" s="1"/>
  <c r="W63" i="85" l="1"/>
  <c r="AE100" i="73"/>
  <c r="BV11" i="73"/>
  <c r="V113" i="53"/>
  <c r="CA113" i="53" s="1"/>
  <c r="CA102" i="53"/>
  <c r="X63" i="67"/>
  <c r="CB89" i="53"/>
  <c r="AU53" i="84" s="1"/>
  <c r="AO53" i="84" s="1"/>
  <c r="X47" i="67"/>
  <c r="CB11" i="53"/>
  <c r="X47" i="85" s="1"/>
  <c r="AF89" i="73"/>
  <c r="BW89" i="73" s="1"/>
  <c r="AG89" i="73"/>
  <c r="AG11" i="73"/>
  <c r="AF11" i="73"/>
  <c r="BW11" i="73" s="1"/>
  <c r="W102" i="53"/>
  <c r="X11" i="53"/>
  <c r="X89" i="53"/>
  <c r="AV53" i="79" s="1"/>
  <c r="AP53" i="79" s="1"/>
  <c r="E80" i="1"/>
  <c r="X63" i="85" l="1"/>
  <c r="Y63" i="67"/>
  <c r="AA63" i="67" s="1"/>
  <c r="CC89" i="53"/>
  <c r="AV53" i="84" s="1"/>
  <c r="AP53" i="84" s="1"/>
  <c r="Y47" i="67"/>
  <c r="AA47" i="67" s="1"/>
  <c r="CC11" i="53"/>
  <c r="Y47" i="85" s="1"/>
  <c r="W113" i="53"/>
  <c r="CB113" i="53" s="1"/>
  <c r="CB102" i="53"/>
  <c r="E23" i="2"/>
  <c r="AB18" i="83" s="1"/>
  <c r="AH89" i="73"/>
  <c r="BX89" i="73" s="1"/>
  <c r="AI89" i="73"/>
  <c r="AH11" i="73"/>
  <c r="BX11" i="73" s="1"/>
  <c r="AI11" i="73"/>
  <c r="X102" i="53"/>
  <c r="F89" i="53"/>
  <c r="AT37" i="79" s="1"/>
  <c r="AN37" i="79" s="1"/>
  <c r="F11" i="53"/>
  <c r="BM11" i="53" s="1"/>
  <c r="W5" i="85" s="1"/>
  <c r="G89" i="53"/>
  <c r="AU37" i="79" s="1"/>
  <c r="AO37" i="79" s="1"/>
  <c r="G11" i="53"/>
  <c r="BN11" i="53" s="1"/>
  <c r="X5" i="85" s="1"/>
  <c r="AA47" i="85" l="1"/>
  <c r="Y63" i="85"/>
  <c r="AA63" i="85" s="1"/>
  <c r="X122" i="85"/>
  <c r="W122" i="85"/>
  <c r="X21" i="67"/>
  <c r="X138" i="67" s="1"/>
  <c r="BN89" i="53"/>
  <c r="W21" i="67"/>
  <c r="W138" i="67" s="1"/>
  <c r="BM89" i="53"/>
  <c r="X113" i="53"/>
  <c r="CC113" i="53" s="1"/>
  <c r="CC102" i="53"/>
  <c r="Q23" i="2"/>
  <c r="AB18" i="78"/>
  <c r="E23" i="47"/>
  <c r="W5" i="67"/>
  <c r="W122" i="67" s="1"/>
  <c r="F23" i="47"/>
  <c r="X5" i="67"/>
  <c r="X122" i="67" s="1"/>
  <c r="K89" i="73"/>
  <c r="J89" i="73"/>
  <c r="BK89" i="73" s="1"/>
  <c r="I89" i="73"/>
  <c r="H89" i="73"/>
  <c r="BJ89" i="73" s="1"/>
  <c r="I11" i="73"/>
  <c r="H11" i="73"/>
  <c r="J11" i="73"/>
  <c r="K11" i="73"/>
  <c r="F102" i="53"/>
  <c r="G102" i="53"/>
  <c r="D89" i="53"/>
  <c r="D11" i="53"/>
  <c r="BK11" i="53" s="1"/>
  <c r="U5" i="85" s="1"/>
  <c r="BK89" i="53" l="1"/>
  <c r="AR37" i="79"/>
  <c r="AL37" i="79" s="1"/>
  <c r="AR37" i="84"/>
  <c r="AL37" i="84" s="1"/>
  <c r="U21" i="85"/>
  <c r="AT37" i="84"/>
  <c r="AN37" i="84" s="1"/>
  <c r="W21" i="85"/>
  <c r="W138" i="85" s="1"/>
  <c r="AU37" i="84"/>
  <c r="AO37" i="84" s="1"/>
  <c r="X21" i="85"/>
  <c r="X138" i="85" s="1"/>
  <c r="Z5" i="85"/>
  <c r="U122" i="85"/>
  <c r="F21" i="48"/>
  <c r="M21" i="48" s="1"/>
  <c r="M23" i="47"/>
  <c r="E21" i="48"/>
  <c r="L21" i="48" s="1"/>
  <c r="L23" i="47"/>
  <c r="K100" i="73"/>
  <c r="BK11" i="73"/>
  <c r="I100" i="73"/>
  <c r="BJ11" i="73"/>
  <c r="G113" i="53"/>
  <c r="BN113" i="53" s="1"/>
  <c r="BN102" i="53"/>
  <c r="F113" i="53"/>
  <c r="BM113" i="53" s="1"/>
  <c r="BM102" i="53"/>
  <c r="J11" i="53"/>
  <c r="I11" i="53"/>
  <c r="BP11" i="53" s="1"/>
  <c r="U21" i="67"/>
  <c r="U138" i="67" s="1"/>
  <c r="Z138" i="67" s="1"/>
  <c r="J89" i="53"/>
  <c r="I89" i="53"/>
  <c r="BP89" i="53" s="1"/>
  <c r="C23" i="47"/>
  <c r="U5" i="67"/>
  <c r="E89" i="73"/>
  <c r="D89" i="73"/>
  <c r="BH89" i="73" s="1"/>
  <c r="D11" i="73"/>
  <c r="E11" i="73"/>
  <c r="D102" i="53"/>
  <c r="E89" i="53"/>
  <c r="AS37" i="79" s="1"/>
  <c r="AM37" i="79" s="1"/>
  <c r="E11" i="53"/>
  <c r="BL11" i="53" s="1"/>
  <c r="V5" i="85" s="1"/>
  <c r="H89" i="53"/>
  <c r="AV37" i="79" s="1"/>
  <c r="AP37" i="79" s="1"/>
  <c r="H11" i="53"/>
  <c r="BO11" i="53" s="1"/>
  <c r="Y5" i="85" s="1"/>
  <c r="AA5" i="85" l="1"/>
  <c r="Y122" i="85"/>
  <c r="Z122" i="85"/>
  <c r="V122" i="85"/>
  <c r="Z21" i="85"/>
  <c r="U138" i="85"/>
  <c r="Z138" i="85" s="1"/>
  <c r="C21" i="48"/>
  <c r="J21" i="48" s="1"/>
  <c r="J23" i="47"/>
  <c r="E100" i="73"/>
  <c r="BH11" i="73"/>
  <c r="D113" i="53"/>
  <c r="BK113" i="53" s="1"/>
  <c r="BK102" i="53"/>
  <c r="Y21" i="67"/>
  <c r="Y138" i="67" s="1"/>
  <c r="AA138" i="67" s="1"/>
  <c r="BO89" i="53"/>
  <c r="V21" i="67"/>
  <c r="V138" i="67" s="1"/>
  <c r="BL89" i="53"/>
  <c r="Z21" i="67"/>
  <c r="G23" i="47"/>
  <c r="Y5" i="67"/>
  <c r="AA5" i="67" s="1"/>
  <c r="D23" i="47"/>
  <c r="V5" i="67"/>
  <c r="V122" i="67" s="1"/>
  <c r="Z5" i="67"/>
  <c r="U122" i="67"/>
  <c r="Z122" i="67" s="1"/>
  <c r="G89" i="73"/>
  <c r="F89" i="73"/>
  <c r="BI89" i="73" s="1"/>
  <c r="M89" i="73"/>
  <c r="L89" i="73"/>
  <c r="BL89" i="73" s="1"/>
  <c r="M11" i="73"/>
  <c r="L11" i="73"/>
  <c r="F11" i="73"/>
  <c r="G11" i="73"/>
  <c r="E102" i="53"/>
  <c r="H102" i="53"/>
  <c r="AS37" i="84" l="1"/>
  <c r="AM37" i="84" s="1"/>
  <c r="V21" i="85"/>
  <c r="V138" i="85" s="1"/>
  <c r="AA122" i="85"/>
  <c r="AV37" i="84"/>
  <c r="AP37" i="84" s="1"/>
  <c r="Y21" i="85"/>
  <c r="AA21" i="67"/>
  <c r="G21" i="48"/>
  <c r="N21" i="48" s="1"/>
  <c r="N23" i="47"/>
  <c r="D21" i="48"/>
  <c r="K21" i="48" s="1"/>
  <c r="K23" i="47"/>
  <c r="G100" i="73"/>
  <c r="BI11" i="73"/>
  <c r="M100" i="73"/>
  <c r="BL11" i="73"/>
  <c r="E113" i="53"/>
  <c r="BL113" i="53" s="1"/>
  <c r="BL102" i="53"/>
  <c r="H113" i="53"/>
  <c r="BO113" i="53" s="1"/>
  <c r="BO102" i="53"/>
  <c r="Y122" i="67"/>
  <c r="AA122" i="67" s="1"/>
  <c r="AR11" i="53"/>
  <c r="AV11" i="53"/>
  <c r="AU89" i="53"/>
  <c r="CW89" i="53" s="1"/>
  <c r="AA21" i="85" l="1"/>
  <c r="Y138" i="85"/>
  <c r="AA138" i="85" s="1"/>
  <c r="AV88" i="53"/>
  <c r="CX88" i="53" s="1"/>
  <c r="CX11" i="53"/>
  <c r="AR88" i="53"/>
  <c r="CT88" i="53" s="1"/>
  <c r="CT11" i="53"/>
  <c r="AV91" i="53"/>
  <c r="AU11" i="53"/>
  <c r="AS11" i="53"/>
  <c r="AS89" i="53"/>
  <c r="CU89" i="53" s="1"/>
  <c r="AV89" i="53"/>
  <c r="CX89" i="53" s="1"/>
  <c r="AR89" i="53"/>
  <c r="CT89" i="53" s="1"/>
  <c r="C32" i="47" l="1"/>
  <c r="J32" i="47" s="1"/>
  <c r="AR95" i="53"/>
  <c r="CT95" i="53" s="1"/>
  <c r="G32" i="47"/>
  <c r="N32" i="47" s="1"/>
  <c r="AV95" i="53"/>
  <c r="CX95" i="53" s="1"/>
  <c r="AR91" i="53"/>
  <c r="AR93" i="53" s="1"/>
  <c r="CT93" i="53" s="1"/>
  <c r="AS88" i="53"/>
  <c r="CU88" i="53" s="1"/>
  <c r="CU11" i="53"/>
  <c r="AU88" i="53"/>
  <c r="CW88" i="53" s="1"/>
  <c r="CW11" i="53"/>
  <c r="AV93" i="53"/>
  <c r="CX93" i="53" s="1"/>
  <c r="CX91" i="53"/>
  <c r="AT89" i="53"/>
  <c r="CV89" i="53" s="1"/>
  <c r="AT11" i="53"/>
  <c r="C29" i="48" l="1"/>
  <c r="C20" i="48" s="1"/>
  <c r="J20" i="48" s="1"/>
  <c r="G29" i="48"/>
  <c r="G20" i="48" s="1"/>
  <c r="N20" i="48" s="1"/>
  <c r="N29" i="48"/>
  <c r="AS91" i="53"/>
  <c r="AS93" i="53" s="1"/>
  <c r="CU93" i="53" s="1"/>
  <c r="CT91" i="53"/>
  <c r="AU91" i="53"/>
  <c r="AU93" i="53" s="1"/>
  <c r="CW93" i="53" s="1"/>
  <c r="F32" i="47"/>
  <c r="AU95" i="53"/>
  <c r="CW95" i="53" s="1"/>
  <c r="AT88" i="53"/>
  <c r="CV88" i="53" s="1"/>
  <c r="CV11" i="53"/>
  <c r="D32" i="47"/>
  <c r="AS95" i="53"/>
  <c r="CU95" i="53" s="1"/>
  <c r="J29" i="48" l="1"/>
  <c r="D29" i="48"/>
  <c r="K32" i="47"/>
  <c r="F29" i="48"/>
  <c r="M32" i="47"/>
  <c r="CU91" i="53"/>
  <c r="CW91" i="53"/>
  <c r="AT91" i="53"/>
  <c r="E32" i="47"/>
  <c r="AT95" i="53"/>
  <c r="CV95" i="53" s="1"/>
  <c r="AT46" i="51"/>
  <c r="AS46" i="51"/>
  <c r="AR46" i="51"/>
  <c r="AQ46" i="51"/>
  <c r="AO46" i="51"/>
  <c r="CF46" i="51" s="1"/>
  <c r="D20" i="48" l="1"/>
  <c r="K20" i="48" s="1"/>
  <c r="K29" i="48"/>
  <c r="E29" i="48"/>
  <c r="L32" i="47"/>
  <c r="AQ45" i="51"/>
  <c r="CH46" i="51"/>
  <c r="AR45" i="51"/>
  <c r="CI46" i="51"/>
  <c r="AS45" i="51"/>
  <c r="CJ46" i="51"/>
  <c r="F20" i="48"/>
  <c r="M20" i="48" s="1"/>
  <c r="M29" i="48"/>
  <c r="AT45" i="51"/>
  <c r="CK46" i="51"/>
  <c r="AT93" i="53"/>
  <c r="CV93" i="53" s="1"/>
  <c r="CV91" i="53"/>
  <c r="AO45" i="51"/>
  <c r="AO95" i="51"/>
  <c r="CF95" i="51" s="1"/>
  <c r="AP46" i="51"/>
  <c r="AQ11" i="51" l="1"/>
  <c r="CH11" i="51" s="1"/>
  <c r="CH45" i="51"/>
  <c r="AR11" i="51"/>
  <c r="CI11" i="51" s="1"/>
  <c r="CI45" i="51"/>
  <c r="AP45" i="51"/>
  <c r="CG46" i="51"/>
  <c r="E20" i="48"/>
  <c r="L20" i="48" s="1"/>
  <c r="L29" i="48"/>
  <c r="AT11" i="51"/>
  <c r="CK11" i="51" s="1"/>
  <c r="CK45" i="51"/>
  <c r="AO11" i="51"/>
  <c r="CF11" i="51" s="1"/>
  <c r="CF45" i="51"/>
  <c r="AS11" i="51"/>
  <c r="CJ11" i="51" s="1"/>
  <c r="CJ45" i="51"/>
  <c r="G32" i="48"/>
  <c r="N32" i="48" s="1"/>
  <c r="AS95" i="51"/>
  <c r="F32" i="48"/>
  <c r="M32" i="48" s="1"/>
  <c r="C32" i="48"/>
  <c r="J32" i="48" s="1"/>
  <c r="AQ95" i="51"/>
  <c r="AP95" i="51"/>
  <c r="E32" i="48"/>
  <c r="L32" i="48" s="1"/>
  <c r="D32" i="48"/>
  <c r="K32" i="48" s="1"/>
  <c r="AT95" i="51"/>
  <c r="AR95" i="51"/>
  <c r="CI95" i="51" s="1"/>
  <c r="H45" i="50"/>
  <c r="AO94" i="51"/>
  <c r="F45" i="50"/>
  <c r="AR45" i="50" s="1"/>
  <c r="M45" i="50"/>
  <c r="AY45" i="50" s="1"/>
  <c r="T45" i="50"/>
  <c r="BF45" i="50" s="1"/>
  <c r="K45" i="50" l="1"/>
  <c r="K44" i="50" s="1"/>
  <c r="CK95" i="51"/>
  <c r="AP11" i="51"/>
  <c r="CG11" i="51" s="1"/>
  <c r="CG45" i="51"/>
  <c r="G45" i="50"/>
  <c r="G44" i="50" s="1"/>
  <c r="CG95" i="51"/>
  <c r="AS94" i="51"/>
  <c r="CJ95" i="51"/>
  <c r="V45" i="50"/>
  <c r="V44" i="50" s="1"/>
  <c r="CH95" i="51"/>
  <c r="AO60" i="51"/>
  <c r="CF60" i="51" s="1"/>
  <c r="CF94" i="51"/>
  <c r="H44" i="50"/>
  <c r="AT45" i="50"/>
  <c r="N45" i="50"/>
  <c r="AP94" i="51"/>
  <c r="J45" i="50"/>
  <c r="E31" i="48"/>
  <c r="L31" i="48" s="1"/>
  <c r="E39" i="48"/>
  <c r="L39" i="48" s="1"/>
  <c r="C31" i="48"/>
  <c r="J31" i="48" s="1"/>
  <c r="C39" i="48"/>
  <c r="J39" i="48" s="1"/>
  <c r="G31" i="48"/>
  <c r="N31" i="48" s="1"/>
  <c r="G39" i="48"/>
  <c r="N39" i="48" s="1"/>
  <c r="D31" i="48"/>
  <c r="K31" i="48" s="1"/>
  <c r="D39" i="48"/>
  <c r="K39" i="48" s="1"/>
  <c r="F31" i="48"/>
  <c r="M31" i="48" s="1"/>
  <c r="F39" i="48"/>
  <c r="M39" i="48" s="1"/>
  <c r="Q45" i="50"/>
  <c r="R45" i="50"/>
  <c r="X45" i="50"/>
  <c r="AT94" i="51"/>
  <c r="U45" i="50"/>
  <c r="Y45" i="50"/>
  <c r="AQ94" i="51"/>
  <c r="O45" i="50"/>
  <c r="F44" i="50"/>
  <c r="F70" i="50"/>
  <c r="AR70" i="50" s="1"/>
  <c r="T70" i="50"/>
  <c r="BF70" i="50" s="1"/>
  <c r="T44" i="50"/>
  <c r="AR94" i="51"/>
  <c r="P45" i="50"/>
  <c r="I45" i="50"/>
  <c r="W45" i="50"/>
  <c r="M44" i="50"/>
  <c r="M70" i="50"/>
  <c r="AY70" i="50" s="1"/>
  <c r="AQ60" i="51" l="1"/>
  <c r="CH60" i="51" s="1"/>
  <c r="CH94" i="51"/>
  <c r="BH45" i="50"/>
  <c r="AP60" i="51"/>
  <c r="CG60" i="51" s="1"/>
  <c r="CG94" i="51"/>
  <c r="AS45" i="50"/>
  <c r="AR60" i="51"/>
  <c r="CI60" i="51" s="1"/>
  <c r="CI94" i="51"/>
  <c r="AT60" i="51"/>
  <c r="CK60" i="51" s="1"/>
  <c r="CK94" i="51"/>
  <c r="AW45" i="50"/>
  <c r="AS60" i="51"/>
  <c r="CJ60" i="51" s="1"/>
  <c r="CJ94" i="51"/>
  <c r="I44" i="50"/>
  <c r="AU45" i="50"/>
  <c r="P44" i="50"/>
  <c r="BB45" i="50"/>
  <c r="F35" i="50"/>
  <c r="AR35" i="50" s="1"/>
  <c r="AR44" i="50"/>
  <c r="H35" i="50"/>
  <c r="AT44" i="50"/>
  <c r="Y44" i="50"/>
  <c r="BK45" i="50"/>
  <c r="J44" i="50"/>
  <c r="AV45" i="50"/>
  <c r="V35" i="50"/>
  <c r="BH44" i="50"/>
  <c r="X44" i="50"/>
  <c r="BJ45" i="50"/>
  <c r="Q44" i="50"/>
  <c r="BC45" i="50"/>
  <c r="U44" i="50"/>
  <c r="BG45" i="50"/>
  <c r="W44" i="50"/>
  <c r="BI45" i="50"/>
  <c r="R44" i="50"/>
  <c r="BD45" i="50"/>
  <c r="K35" i="50"/>
  <c r="H56" i="53" s="1"/>
  <c r="AW44" i="50"/>
  <c r="O44" i="50"/>
  <c r="BA45" i="50"/>
  <c r="M35" i="50"/>
  <c r="AY35" i="50" s="1"/>
  <c r="AY44" i="50"/>
  <c r="T35" i="50"/>
  <c r="BF35" i="50" s="1"/>
  <c r="BF44" i="50"/>
  <c r="N44" i="50"/>
  <c r="AZ45" i="50"/>
  <c r="G35" i="50"/>
  <c r="AS44" i="50"/>
  <c r="F69" i="50"/>
  <c r="G70" i="50"/>
  <c r="AS70" i="50" s="1"/>
  <c r="N70" i="50"/>
  <c r="AZ70" i="50" s="1"/>
  <c r="M69" i="50"/>
  <c r="U70" i="50"/>
  <c r="BG70" i="50" s="1"/>
  <c r="T69" i="50"/>
  <c r="F281" i="50" l="1"/>
  <c r="AR281" i="50" s="1"/>
  <c r="Y8" i="67"/>
  <c r="BO56" i="53"/>
  <c r="Y8" i="85" s="1"/>
  <c r="M60" i="50"/>
  <c r="AY69" i="50"/>
  <c r="AT35" i="50"/>
  <c r="D7" i="85" s="1"/>
  <c r="G26" i="7"/>
  <c r="D7" i="67"/>
  <c r="H281" i="50"/>
  <c r="AT281" i="50" s="1"/>
  <c r="E56" i="53"/>
  <c r="M281" i="50"/>
  <c r="AY281" i="50" s="1"/>
  <c r="AS35" i="50"/>
  <c r="C7" i="85" s="1"/>
  <c r="G281" i="50"/>
  <c r="AS281" i="50" s="1"/>
  <c r="D56" i="53"/>
  <c r="BK56" i="53" s="1"/>
  <c r="U8" i="85" s="1"/>
  <c r="F26" i="7"/>
  <c r="C7" i="67"/>
  <c r="O35" i="50"/>
  <c r="BA44" i="50"/>
  <c r="U35" i="50"/>
  <c r="BG44" i="50"/>
  <c r="J35" i="50"/>
  <c r="AV44" i="50"/>
  <c r="P35" i="50"/>
  <c r="BB44" i="50"/>
  <c r="R35" i="50"/>
  <c r="BD44" i="50"/>
  <c r="W35" i="50"/>
  <c r="BI44" i="50"/>
  <c r="X35" i="50"/>
  <c r="BJ44" i="50"/>
  <c r="BH35" i="50"/>
  <c r="D43" i="85" s="1"/>
  <c r="W26" i="7"/>
  <c r="D43" i="67"/>
  <c r="V281" i="50"/>
  <c r="BH281" i="50" s="1"/>
  <c r="T281" i="50"/>
  <c r="BF281" i="50" s="1"/>
  <c r="U56" i="53"/>
  <c r="AC56" i="73" s="1"/>
  <c r="T60" i="50"/>
  <c r="C42" i="49" s="1"/>
  <c r="BF69" i="50"/>
  <c r="F60" i="50"/>
  <c r="AR60" i="50" s="1"/>
  <c r="AR69" i="50"/>
  <c r="N35" i="50"/>
  <c r="AZ44" i="50"/>
  <c r="AW35" i="50"/>
  <c r="G7" i="85" s="1"/>
  <c r="J26" i="7"/>
  <c r="G7" i="67"/>
  <c r="K281" i="50"/>
  <c r="AW281" i="50" s="1"/>
  <c r="Q35" i="50"/>
  <c r="BC44" i="50"/>
  <c r="Y35" i="50"/>
  <c r="BK44" i="50"/>
  <c r="I35" i="50"/>
  <c r="AU44" i="50"/>
  <c r="M56" i="73"/>
  <c r="L56" i="73"/>
  <c r="BL56" i="73" s="1"/>
  <c r="BH56" i="53"/>
  <c r="DJ56" i="53" s="1"/>
  <c r="H70" i="50"/>
  <c r="AT70" i="50" s="1"/>
  <c r="G69" i="50"/>
  <c r="O70" i="50"/>
  <c r="BA70" i="50" s="1"/>
  <c r="N69" i="50"/>
  <c r="V70" i="50"/>
  <c r="BH70" i="50" s="1"/>
  <c r="U69" i="50"/>
  <c r="C28" i="49"/>
  <c r="Z8" i="85" l="1"/>
  <c r="AA8" i="85"/>
  <c r="C14" i="49"/>
  <c r="C13" i="49" s="1"/>
  <c r="F282" i="50"/>
  <c r="AR282" i="50" s="1"/>
  <c r="C41" i="49"/>
  <c r="I42" i="49"/>
  <c r="C27" i="49"/>
  <c r="I28" i="49"/>
  <c r="V50" i="67"/>
  <c r="BZ56" i="53"/>
  <c r="V50" i="85" s="1"/>
  <c r="V8" i="67"/>
  <c r="BL56" i="53"/>
  <c r="V8" i="85" s="1"/>
  <c r="AB56" i="73"/>
  <c r="BU56" i="73" s="1"/>
  <c r="X56" i="53"/>
  <c r="CC56" i="53" s="1"/>
  <c r="Y50" i="85" s="1"/>
  <c r="BK35" i="50"/>
  <c r="G43" i="85" s="1"/>
  <c r="G43" i="67"/>
  <c r="Y281" i="50"/>
  <c r="BK281" i="50" s="1"/>
  <c r="Z26" i="7"/>
  <c r="W27" i="7"/>
  <c r="BT27" i="7" s="1"/>
  <c r="BT26" i="7"/>
  <c r="BD35" i="50"/>
  <c r="G25" i="85" s="1"/>
  <c r="R281" i="50"/>
  <c r="BD281" i="50" s="1"/>
  <c r="R26" i="7"/>
  <c r="P56" i="53"/>
  <c r="BV56" i="53" s="1"/>
  <c r="Y29" i="85" s="1"/>
  <c r="G25" i="67"/>
  <c r="BE56" i="53"/>
  <c r="DG56" i="53" s="1"/>
  <c r="BC35" i="50"/>
  <c r="F25" i="85" s="1"/>
  <c r="F25" i="67"/>
  <c r="Q281" i="50"/>
  <c r="BC281" i="50" s="1"/>
  <c r="O56" i="53"/>
  <c r="BU56" i="53" s="1"/>
  <c r="X29" i="85" s="1"/>
  <c r="Q26" i="7"/>
  <c r="BB35" i="50"/>
  <c r="E25" i="85" s="1"/>
  <c r="P281" i="50"/>
  <c r="BB281" i="50" s="1"/>
  <c r="E25" i="67"/>
  <c r="N56" i="53"/>
  <c r="BT56" i="53" s="1"/>
  <c r="W29" i="85" s="1"/>
  <c r="P26" i="7"/>
  <c r="BC26" i="7"/>
  <c r="F27" i="7"/>
  <c r="BC27" i="7" s="1"/>
  <c r="G27" i="7"/>
  <c r="BD27" i="7" s="1"/>
  <c r="BD26" i="7"/>
  <c r="F56" i="73"/>
  <c r="BI56" i="73" s="1"/>
  <c r="T282" i="50"/>
  <c r="BF282" i="50" s="1"/>
  <c r="BF60" i="50"/>
  <c r="E56" i="73"/>
  <c r="J56" i="53"/>
  <c r="I56" i="53"/>
  <c r="BP56" i="53" s="1"/>
  <c r="D56" i="73"/>
  <c r="BH56" i="73" s="1"/>
  <c r="U8" i="67"/>
  <c r="BD56" i="53"/>
  <c r="DF56" i="53" s="1"/>
  <c r="BI35" i="50"/>
  <c r="E43" i="85" s="1"/>
  <c r="W281" i="50"/>
  <c r="BI281" i="50" s="1"/>
  <c r="V56" i="53"/>
  <c r="CA56" i="53" s="1"/>
  <c r="W50" i="85" s="1"/>
  <c r="X26" i="7"/>
  <c r="E43" i="67"/>
  <c r="C25" i="67"/>
  <c r="AZ35" i="50"/>
  <c r="C25" i="85" s="1"/>
  <c r="N281" i="50"/>
  <c r="AZ281" i="50" s="1"/>
  <c r="L56" i="53"/>
  <c r="BR56" i="53" s="1"/>
  <c r="U29" i="85" s="1"/>
  <c r="Z29" i="85" s="1"/>
  <c r="N26" i="7"/>
  <c r="BA35" i="50"/>
  <c r="D25" i="85" s="1"/>
  <c r="D103" i="85" s="1"/>
  <c r="M56" i="53"/>
  <c r="BS56" i="53" s="1"/>
  <c r="V29" i="85" s="1"/>
  <c r="O281" i="50"/>
  <c r="BA281" i="50" s="1"/>
  <c r="O26" i="7"/>
  <c r="D25" i="67"/>
  <c r="D103" i="67" s="1"/>
  <c r="J27" i="7"/>
  <c r="BG27" i="7" s="1"/>
  <c r="BG26" i="7"/>
  <c r="G60" i="50"/>
  <c r="AS69" i="50"/>
  <c r="BG35" i="50"/>
  <c r="C43" i="85" s="1"/>
  <c r="V26" i="7"/>
  <c r="C43" i="67"/>
  <c r="C103" i="67" s="1"/>
  <c r="T56" i="53"/>
  <c r="BY56" i="53" s="1"/>
  <c r="U50" i="85" s="1"/>
  <c r="Z50" i="85" s="1"/>
  <c r="U281" i="50"/>
  <c r="BG281" i="50" s="1"/>
  <c r="U60" i="50"/>
  <c r="BG60" i="50" s="1"/>
  <c r="C44" i="85" s="1"/>
  <c r="BG69" i="50"/>
  <c r="N60" i="50"/>
  <c r="AZ60" i="50" s="1"/>
  <c r="C26" i="85" s="1"/>
  <c r="AZ69" i="50"/>
  <c r="G56" i="73"/>
  <c r="F43" i="67"/>
  <c r="BJ35" i="50"/>
  <c r="F43" i="85" s="1"/>
  <c r="W56" i="53"/>
  <c r="CB56" i="53" s="1"/>
  <c r="X50" i="85" s="1"/>
  <c r="X281" i="50"/>
  <c r="BJ281" i="50" s="1"/>
  <c r="Y26" i="7"/>
  <c r="F7" i="67"/>
  <c r="AV35" i="50"/>
  <c r="F7" i="85" s="1"/>
  <c r="J281" i="50"/>
  <c r="AV281" i="50" s="1"/>
  <c r="G56" i="53"/>
  <c r="BN56" i="53" s="1"/>
  <c r="X8" i="85" s="1"/>
  <c r="I26" i="7"/>
  <c r="AU35" i="50"/>
  <c r="E7" i="85" s="1"/>
  <c r="H26" i="7"/>
  <c r="E7" i="67"/>
  <c r="I281" i="50"/>
  <c r="AU281" i="50" s="1"/>
  <c r="F56" i="53"/>
  <c r="BM56" i="53" s="1"/>
  <c r="W8" i="85" s="1"/>
  <c r="M282" i="50"/>
  <c r="AY282" i="50" s="1"/>
  <c r="AY60" i="50"/>
  <c r="W70" i="50"/>
  <c r="BI70" i="50" s="1"/>
  <c r="V69" i="50"/>
  <c r="P70" i="50"/>
  <c r="BB70" i="50" s="1"/>
  <c r="O69" i="50"/>
  <c r="H69" i="50"/>
  <c r="I70" i="50"/>
  <c r="AU70" i="50" s="1"/>
  <c r="D28" i="49" l="1"/>
  <c r="J28" i="49" s="1"/>
  <c r="N282" i="50"/>
  <c r="AZ282" i="50" s="1"/>
  <c r="C103" i="85"/>
  <c r="W125" i="85"/>
  <c r="C26" i="67"/>
  <c r="E103" i="85"/>
  <c r="AA29" i="85"/>
  <c r="X125" i="85"/>
  <c r="G103" i="85"/>
  <c r="Y125" i="85"/>
  <c r="AA125" i="85" s="1"/>
  <c r="AA50" i="85"/>
  <c r="I14" i="49"/>
  <c r="F103" i="85"/>
  <c r="U282" i="50"/>
  <c r="BG282" i="50" s="1"/>
  <c r="V125" i="85"/>
  <c r="U125" i="85"/>
  <c r="Z125" i="85" s="1"/>
  <c r="G103" i="67"/>
  <c r="AL14" i="67"/>
  <c r="I27" i="49"/>
  <c r="AL14" i="85" s="1"/>
  <c r="AL6" i="67"/>
  <c r="I13" i="49"/>
  <c r="AL6" i="85" s="1"/>
  <c r="F103" i="67"/>
  <c r="AT26" i="7"/>
  <c r="CQ26" i="7" s="1"/>
  <c r="AL22" i="67"/>
  <c r="I41" i="49"/>
  <c r="AL22" i="85" s="1"/>
  <c r="AY56" i="53"/>
  <c r="D14" i="49"/>
  <c r="AS60" i="50"/>
  <c r="C8" i="85" s="1"/>
  <c r="C104" i="85" s="1"/>
  <c r="R56" i="53"/>
  <c r="Q56" i="53"/>
  <c r="BW56" i="53" s="1"/>
  <c r="O56" i="73"/>
  <c r="BN56" i="73" s="1"/>
  <c r="AX56" i="53"/>
  <c r="U29" i="67"/>
  <c r="Z29" i="67" s="1"/>
  <c r="P56" i="73"/>
  <c r="AA56" i="73"/>
  <c r="Z56" i="73"/>
  <c r="BT56" i="73" s="1"/>
  <c r="Z56" i="53"/>
  <c r="U50" i="67"/>
  <c r="Z50" i="67" s="1"/>
  <c r="Y56" i="53"/>
  <c r="CD56" i="53" s="1"/>
  <c r="V60" i="50"/>
  <c r="BH60" i="50" s="1"/>
  <c r="D44" i="85" s="1"/>
  <c r="BH69" i="50"/>
  <c r="G282" i="50"/>
  <c r="AS282" i="50" s="1"/>
  <c r="W8" i="67"/>
  <c r="BF56" i="53"/>
  <c r="DH56" i="53" s="1"/>
  <c r="AZ56" i="53"/>
  <c r="I56" i="73"/>
  <c r="H56" i="73"/>
  <c r="BJ56" i="73" s="1"/>
  <c r="V27" i="7"/>
  <c r="BS27" i="7" s="1"/>
  <c r="BS26" i="7"/>
  <c r="Q27" i="7"/>
  <c r="BN27" i="7" s="1"/>
  <c r="BN26" i="7"/>
  <c r="BO26" i="7"/>
  <c r="R27" i="7"/>
  <c r="BO27" i="7" s="1"/>
  <c r="AX26" i="7"/>
  <c r="W29" i="67"/>
  <c r="S56" i="73"/>
  <c r="BP56" i="73" s="1"/>
  <c r="T56" i="73"/>
  <c r="O60" i="50"/>
  <c r="BA60" i="50" s="1"/>
  <c r="D26" i="85" s="1"/>
  <c r="BA69" i="50"/>
  <c r="C8" i="67"/>
  <c r="X8" i="67"/>
  <c r="J56" i="73"/>
  <c r="BK56" i="73" s="1"/>
  <c r="BA56" i="53"/>
  <c r="K56" i="73"/>
  <c r="BG56" i="53"/>
  <c r="DI56" i="53" s="1"/>
  <c r="V29" i="67"/>
  <c r="V125" i="67" s="1"/>
  <c r="R56" i="73"/>
  <c r="Q56" i="73"/>
  <c r="BO56" i="73" s="1"/>
  <c r="X29" i="67"/>
  <c r="U56" i="73"/>
  <c r="BQ56" i="73" s="1"/>
  <c r="V56" i="73"/>
  <c r="Y50" i="67"/>
  <c r="AH56" i="73"/>
  <c r="BX56" i="73" s="1"/>
  <c r="AI56" i="73"/>
  <c r="AV26" i="7"/>
  <c r="H27" i="7"/>
  <c r="BE27" i="7" s="1"/>
  <c r="BE26" i="7"/>
  <c r="Y27" i="7"/>
  <c r="BV27" i="7" s="1"/>
  <c r="BV26" i="7"/>
  <c r="W50" i="67"/>
  <c r="AE56" i="73"/>
  <c r="AD56" i="73"/>
  <c r="BV56" i="73" s="1"/>
  <c r="BM26" i="7"/>
  <c r="P27" i="7"/>
  <c r="BM27" i="7" s="1"/>
  <c r="BK26" i="7"/>
  <c r="N27" i="7"/>
  <c r="BK27" i="7" s="1"/>
  <c r="H60" i="50"/>
  <c r="AT60" i="50" s="1"/>
  <c r="D8" i="85" s="1"/>
  <c r="AT69" i="50"/>
  <c r="X50" i="67"/>
  <c r="AF56" i="73"/>
  <c r="BW56" i="73" s="1"/>
  <c r="AG56" i="73"/>
  <c r="Z27" i="7"/>
  <c r="BW27" i="7" s="1"/>
  <c r="BW26" i="7"/>
  <c r="BF26" i="7"/>
  <c r="AW26" i="7"/>
  <c r="I27" i="7"/>
  <c r="BF27" i="7" s="1"/>
  <c r="O27" i="7"/>
  <c r="BL27" i="7" s="1"/>
  <c r="BL26" i="7"/>
  <c r="AU26" i="7"/>
  <c r="Z8" i="67"/>
  <c r="AA8" i="67"/>
  <c r="Y29" i="67"/>
  <c r="X56" i="73"/>
  <c r="W56" i="73"/>
  <c r="BR56" i="73" s="1"/>
  <c r="BB56" i="53"/>
  <c r="D42" i="49"/>
  <c r="C44" i="67"/>
  <c r="E103" i="67"/>
  <c r="X27" i="7"/>
  <c r="BU27" i="7" s="1"/>
  <c r="BU26" i="7"/>
  <c r="W69" i="50"/>
  <c r="X70" i="50"/>
  <c r="BJ70" i="50" s="1"/>
  <c r="J70" i="50"/>
  <c r="AV70" i="50" s="1"/>
  <c r="I69" i="50"/>
  <c r="Q70" i="50"/>
  <c r="BC70" i="50" s="1"/>
  <c r="P69" i="50"/>
  <c r="D27" i="49" l="1"/>
  <c r="AM14" i="67" s="1"/>
  <c r="C104" i="67"/>
  <c r="O282" i="50"/>
  <c r="BA282" i="50" s="1"/>
  <c r="E28" i="49"/>
  <c r="E27" i="49" s="1"/>
  <c r="D104" i="85"/>
  <c r="E14" i="49"/>
  <c r="E13" i="49" s="1"/>
  <c r="D13" i="49"/>
  <c r="J14" i="49"/>
  <c r="AT27" i="7"/>
  <c r="CQ27" i="7" s="1"/>
  <c r="D41" i="49"/>
  <c r="J42" i="49"/>
  <c r="M101" i="67"/>
  <c r="M102" i="67" s="1"/>
  <c r="DC56" i="53"/>
  <c r="M101" i="85" s="1"/>
  <c r="M102" i="85" s="1"/>
  <c r="L101" i="67"/>
  <c r="L102" i="67" s="1"/>
  <c r="DB56" i="53"/>
  <c r="L101" i="85" s="1"/>
  <c r="L102" i="85" s="1"/>
  <c r="N101" i="67"/>
  <c r="N102" i="67" s="1"/>
  <c r="DD56" i="53"/>
  <c r="N101" i="85" s="1"/>
  <c r="N102" i="85" s="1"/>
  <c r="AA50" i="67"/>
  <c r="J101" i="67"/>
  <c r="J102" i="67" s="1"/>
  <c r="CZ56" i="53"/>
  <c r="J101" i="85" s="1"/>
  <c r="K101" i="67"/>
  <c r="K102" i="67" s="1"/>
  <c r="DA56" i="53"/>
  <c r="K101" i="85" s="1"/>
  <c r="K102" i="85" s="1"/>
  <c r="D8" i="67"/>
  <c r="Y125" i="67"/>
  <c r="AA125" i="67" s="1"/>
  <c r="AA29" i="67"/>
  <c r="H282" i="50"/>
  <c r="AT282" i="50" s="1"/>
  <c r="D44" i="67"/>
  <c r="U125" i="67"/>
  <c r="Z125" i="67" s="1"/>
  <c r="AU27" i="7"/>
  <c r="CR27" i="7" s="1"/>
  <c r="CR26" i="7"/>
  <c r="AV27" i="7"/>
  <c r="CS27" i="7" s="1"/>
  <c r="CS26" i="7"/>
  <c r="W125" i="67"/>
  <c r="AX27" i="7"/>
  <c r="CU27" i="7" s="1"/>
  <c r="CU26" i="7"/>
  <c r="W60" i="50"/>
  <c r="BI60" i="50" s="1"/>
  <c r="E44" i="85" s="1"/>
  <c r="BI69" i="50"/>
  <c r="CT26" i="7"/>
  <c r="AW27" i="7"/>
  <c r="CT27" i="7" s="1"/>
  <c r="E42" i="49"/>
  <c r="X125" i="67"/>
  <c r="P60" i="50"/>
  <c r="BB60" i="50" s="1"/>
  <c r="E26" i="85" s="1"/>
  <c r="BB69" i="50"/>
  <c r="I60" i="50"/>
  <c r="AU60" i="50" s="1"/>
  <c r="E8" i="85" s="1"/>
  <c r="AU69" i="50"/>
  <c r="V282" i="50"/>
  <c r="BH282" i="50" s="1"/>
  <c r="D26" i="67"/>
  <c r="Q69" i="50"/>
  <c r="R70" i="50"/>
  <c r="BD70" i="50" s="1"/>
  <c r="K70" i="50"/>
  <c r="AW70" i="50" s="1"/>
  <c r="J69" i="50"/>
  <c r="Y70" i="50"/>
  <c r="BK70" i="50" s="1"/>
  <c r="X69" i="50"/>
  <c r="J27" i="49" l="1"/>
  <c r="AM14" i="85" s="1"/>
  <c r="K28" i="49"/>
  <c r="K14" i="49"/>
  <c r="E104" i="85"/>
  <c r="O101" i="85"/>
  <c r="O102" i="85" s="1"/>
  <c r="J102" i="85"/>
  <c r="AN6" i="67"/>
  <c r="K13" i="49"/>
  <c r="AN6" i="85" s="1"/>
  <c r="AM22" i="67"/>
  <c r="J41" i="49"/>
  <c r="AM22" i="85" s="1"/>
  <c r="E41" i="49"/>
  <c r="K42" i="49"/>
  <c r="D104" i="67"/>
  <c r="AN14" i="67"/>
  <c r="K27" i="49"/>
  <c r="AN14" i="85" s="1"/>
  <c r="AM6" i="67"/>
  <c r="J13" i="49"/>
  <c r="AM6" i="85" s="1"/>
  <c r="O101" i="67"/>
  <c r="O102" i="67" s="1"/>
  <c r="E8" i="67"/>
  <c r="E44" i="67"/>
  <c r="I282" i="50"/>
  <c r="AU282" i="50" s="1"/>
  <c r="J60" i="50"/>
  <c r="AV60" i="50" s="1"/>
  <c r="F8" i="85" s="1"/>
  <c r="AV69" i="50"/>
  <c r="X60" i="50"/>
  <c r="BJ60" i="50" s="1"/>
  <c r="F44" i="85" s="1"/>
  <c r="BJ69" i="50"/>
  <c r="W282" i="50"/>
  <c r="BI282" i="50" s="1"/>
  <c r="F14" i="49"/>
  <c r="Q60" i="50"/>
  <c r="BC60" i="50" s="1"/>
  <c r="F26" i="85" s="1"/>
  <c r="BC69" i="50"/>
  <c r="F42" i="49"/>
  <c r="E26" i="67"/>
  <c r="F28" i="49"/>
  <c r="P282" i="50"/>
  <c r="BB282" i="50" s="1"/>
  <c r="K69" i="50"/>
  <c r="R69" i="50"/>
  <c r="Y69" i="50"/>
  <c r="F104" i="85" l="1"/>
  <c r="E104" i="67"/>
  <c r="F8" i="67"/>
  <c r="F41" i="49"/>
  <c r="L42" i="49"/>
  <c r="AN22" i="67"/>
  <c r="K41" i="49"/>
  <c r="AN22" i="85" s="1"/>
  <c r="F26" i="67"/>
  <c r="F13" i="49"/>
  <c r="L14" i="49"/>
  <c r="F27" i="49"/>
  <c r="L28" i="49"/>
  <c r="J282" i="50"/>
  <c r="AV282" i="50" s="1"/>
  <c r="Q282" i="50"/>
  <c r="BC282" i="50" s="1"/>
  <c r="G28" i="49"/>
  <c r="X282" i="50"/>
  <c r="BJ282" i="50" s="1"/>
  <c r="Y60" i="50"/>
  <c r="BK60" i="50" s="1"/>
  <c r="G44" i="85" s="1"/>
  <c r="BK69" i="50"/>
  <c r="R60" i="50"/>
  <c r="BD60" i="50" s="1"/>
  <c r="G26" i="85" s="1"/>
  <c r="BD69" i="50"/>
  <c r="K60" i="50"/>
  <c r="AW69" i="50"/>
  <c r="G14" i="49"/>
  <c r="G42" i="49"/>
  <c r="F44" i="67"/>
  <c r="M32" i="50"/>
  <c r="M130" i="50"/>
  <c r="M126" i="50"/>
  <c r="AY126" i="50" s="1"/>
  <c r="F124" i="50"/>
  <c r="T120" i="50"/>
  <c r="M18" i="50"/>
  <c r="M33" i="50"/>
  <c r="M125" i="50"/>
  <c r="T23" i="50"/>
  <c r="F129" i="50"/>
  <c r="F29" i="50"/>
  <c r="F122" i="50"/>
  <c r="F31" i="50"/>
  <c r="T129" i="50"/>
  <c r="T122" i="50"/>
  <c r="T128" i="50"/>
  <c r="BF128" i="50" s="1"/>
  <c r="M17" i="50"/>
  <c r="M26" i="50"/>
  <c r="T33" i="50"/>
  <c r="F116" i="50"/>
  <c r="T113" i="50"/>
  <c r="BF113" i="50" s="1"/>
  <c r="M23" i="50"/>
  <c r="M29" i="50"/>
  <c r="AY29" i="50" s="1"/>
  <c r="F21" i="50"/>
  <c r="T121" i="50"/>
  <c r="M114" i="50"/>
  <c r="M25" i="50"/>
  <c r="F118" i="50"/>
  <c r="M117" i="50"/>
  <c r="M115" i="50"/>
  <c r="T17" i="50"/>
  <c r="M12" i="50"/>
  <c r="F114" i="50"/>
  <c r="F34" i="50"/>
  <c r="F126" i="50"/>
  <c r="F119" i="50"/>
  <c r="T118" i="50"/>
  <c r="M21" i="50"/>
  <c r="M27" i="50"/>
  <c r="AY27" i="50" s="1"/>
  <c r="M22" i="50"/>
  <c r="AY22" i="50" s="1"/>
  <c r="M20" i="50"/>
  <c r="F24" i="50"/>
  <c r="T16" i="50"/>
  <c r="F115" i="50"/>
  <c r="F15" i="50"/>
  <c r="AR15" i="50" s="1"/>
  <c r="T32" i="50"/>
  <c r="M24" i="50"/>
  <c r="F28" i="50"/>
  <c r="T130" i="50"/>
  <c r="M121" i="50"/>
  <c r="F27" i="50"/>
  <c r="F12" i="50"/>
  <c r="T15" i="50"/>
  <c r="M30" i="50"/>
  <c r="F125" i="50"/>
  <c r="T117" i="50"/>
  <c r="T114" i="50"/>
  <c r="BF114" i="50" s="1"/>
  <c r="F130" i="50"/>
  <c r="T34" i="50"/>
  <c r="T20" i="50"/>
  <c r="T123" i="50"/>
  <c r="BF123" i="50" s="1"/>
  <c r="M127" i="50"/>
  <c r="M116" i="50"/>
  <c r="T27" i="50"/>
  <c r="T115" i="50"/>
  <c r="BF115" i="50" s="1"/>
  <c r="F33" i="50"/>
  <c r="F18" i="50"/>
  <c r="M34" i="50"/>
  <c r="F120" i="50"/>
  <c r="F23" i="50"/>
  <c r="F30" i="50"/>
  <c r="M123" i="50"/>
  <c r="F20" i="50"/>
  <c r="T29" i="50"/>
  <c r="T28" i="50"/>
  <c r="BF28" i="50" s="1"/>
  <c r="M31" i="50"/>
  <c r="M120" i="50"/>
  <c r="F127" i="50"/>
  <c r="AR127" i="50" s="1"/>
  <c r="T124" i="50"/>
  <c r="F121" i="50"/>
  <c r="F17" i="50"/>
  <c r="AR17" i="50" s="1"/>
  <c r="T127" i="50"/>
  <c r="M28" i="50"/>
  <c r="T25" i="50"/>
  <c r="M122" i="50"/>
  <c r="F128" i="50"/>
  <c r="T12" i="50"/>
  <c r="BF12" i="50" s="1"/>
  <c r="M118" i="50"/>
  <c r="AY118" i="50" s="1"/>
  <c r="M128" i="50"/>
  <c r="AY128" i="50" s="1"/>
  <c r="T22" i="50"/>
  <c r="F112" i="50"/>
  <c r="M14" i="50"/>
  <c r="T18" i="50"/>
  <c r="F14" i="50"/>
  <c r="AR14" i="50" s="1"/>
  <c r="T119" i="50"/>
  <c r="M129" i="50"/>
  <c r="F16" i="50"/>
  <c r="T26" i="50"/>
  <c r="M16" i="50"/>
  <c r="T116" i="50"/>
  <c r="T125" i="50"/>
  <c r="M15" i="50"/>
  <c r="T31" i="50"/>
  <c r="T21" i="50"/>
  <c r="F117" i="50"/>
  <c r="F123" i="50"/>
  <c r="M124" i="50"/>
  <c r="T30" i="50"/>
  <c r="F113" i="50"/>
  <c r="T14" i="50"/>
  <c r="BF14" i="50" s="1"/>
  <c r="M113" i="50"/>
  <c r="T126" i="50"/>
  <c r="M119" i="50"/>
  <c r="F25" i="50"/>
  <c r="AR25" i="50" s="1"/>
  <c r="F32" i="50"/>
  <c r="AR32" i="50" s="1"/>
  <c r="T24" i="50"/>
  <c r="BF24" i="50" s="1"/>
  <c r="F22" i="50"/>
  <c r="AR22" i="50" s="1"/>
  <c r="M11" i="50"/>
  <c r="T112" i="50"/>
  <c r="BF112" i="50" s="1"/>
  <c r="T11" i="50"/>
  <c r="M112" i="50"/>
  <c r="F26" i="50"/>
  <c r="F11" i="50"/>
  <c r="F104" i="67" l="1"/>
  <c r="T179" i="50"/>
  <c r="BF179" i="50" s="1"/>
  <c r="BF119" i="50"/>
  <c r="M99" i="50"/>
  <c r="AY99" i="50" s="1"/>
  <c r="AY24" i="50"/>
  <c r="M108" i="50"/>
  <c r="AY108" i="50" s="1"/>
  <c r="AY33" i="50"/>
  <c r="M90" i="50"/>
  <c r="AY90" i="50" s="1"/>
  <c r="AY15" i="50"/>
  <c r="F188" i="50"/>
  <c r="AR188" i="50" s="1"/>
  <c r="AR128" i="50"/>
  <c r="G23" i="50"/>
  <c r="AS23" i="50" s="1"/>
  <c r="AR23" i="50"/>
  <c r="M187" i="50"/>
  <c r="AY187" i="50" s="1"/>
  <c r="AY127" i="50"/>
  <c r="M105" i="50"/>
  <c r="AY105" i="50" s="1"/>
  <c r="AY30" i="50"/>
  <c r="U32" i="50"/>
  <c r="C40" i="49" s="1"/>
  <c r="I40" i="49" s="1"/>
  <c r="BF32" i="50"/>
  <c r="M96" i="50"/>
  <c r="AY96" i="50" s="1"/>
  <c r="AY21" i="50"/>
  <c r="M175" i="50"/>
  <c r="AY175" i="50" s="1"/>
  <c r="AY115" i="50"/>
  <c r="M98" i="50"/>
  <c r="AY98" i="50" s="1"/>
  <c r="AY23" i="50"/>
  <c r="T189" i="50"/>
  <c r="BF189" i="50" s="1"/>
  <c r="BF129" i="50"/>
  <c r="M93" i="50"/>
  <c r="AY93" i="50" s="1"/>
  <c r="AY18" i="50"/>
  <c r="AO6" i="67"/>
  <c r="L13" i="49"/>
  <c r="AO6" i="85" s="1"/>
  <c r="T184" i="50"/>
  <c r="BF184" i="50" s="1"/>
  <c r="BF124" i="50"/>
  <c r="F185" i="50"/>
  <c r="AR185" i="50" s="1"/>
  <c r="AR125" i="50"/>
  <c r="M86" i="50"/>
  <c r="AY86" i="50" s="1"/>
  <c r="AY11" i="50"/>
  <c r="F173" i="50"/>
  <c r="AR173" i="50" s="1"/>
  <c r="AR113" i="50"/>
  <c r="T185" i="50"/>
  <c r="BF185" i="50" s="1"/>
  <c r="BF125" i="50"/>
  <c r="T93" i="50"/>
  <c r="BF93" i="50" s="1"/>
  <c r="BF18" i="50"/>
  <c r="N122" i="50"/>
  <c r="O122" i="50" s="1"/>
  <c r="BA122" i="50" s="1"/>
  <c r="AY122" i="50"/>
  <c r="N120" i="50"/>
  <c r="N180" i="50" s="1"/>
  <c r="AZ180" i="50" s="1"/>
  <c r="AY120" i="50"/>
  <c r="F180" i="50"/>
  <c r="AR180" i="50" s="1"/>
  <c r="AR120" i="50"/>
  <c r="T90" i="50"/>
  <c r="BF90" i="50" s="1"/>
  <c r="BF15" i="50"/>
  <c r="T178" i="50"/>
  <c r="BF178" i="50" s="1"/>
  <c r="BF118" i="50"/>
  <c r="N117" i="50"/>
  <c r="AZ117" i="50" s="1"/>
  <c r="AY117" i="50"/>
  <c r="F106" i="50"/>
  <c r="AR106" i="50" s="1"/>
  <c r="AR31" i="50"/>
  <c r="T180" i="50"/>
  <c r="BF180" i="50" s="1"/>
  <c r="BF120" i="50"/>
  <c r="G41" i="49"/>
  <c r="M42" i="49"/>
  <c r="U31" i="50"/>
  <c r="BG31" i="50" s="1"/>
  <c r="BF31" i="50"/>
  <c r="M176" i="50"/>
  <c r="AY176" i="50" s="1"/>
  <c r="AY116" i="50"/>
  <c r="T182" i="50"/>
  <c r="BF182" i="50" s="1"/>
  <c r="BF122" i="50"/>
  <c r="T105" i="50"/>
  <c r="BF105" i="50" s="1"/>
  <c r="BF30" i="50"/>
  <c r="T176" i="50"/>
  <c r="BF176" i="50" s="1"/>
  <c r="BF116" i="50"/>
  <c r="N14" i="50"/>
  <c r="AZ14" i="50" s="1"/>
  <c r="AY14" i="50"/>
  <c r="T100" i="50"/>
  <c r="BF100" i="50" s="1"/>
  <c r="BF25" i="50"/>
  <c r="N31" i="50"/>
  <c r="AZ31" i="50" s="1"/>
  <c r="AY31" i="50"/>
  <c r="M109" i="50"/>
  <c r="AY109" i="50" s="1"/>
  <c r="AY34" i="50"/>
  <c r="U20" i="50"/>
  <c r="BG20" i="50" s="1"/>
  <c r="BF20" i="50"/>
  <c r="F87" i="50"/>
  <c r="AR87" i="50" s="1"/>
  <c r="AR12" i="50"/>
  <c r="G115" i="50"/>
  <c r="AS115" i="50" s="1"/>
  <c r="AR115" i="50"/>
  <c r="F179" i="50"/>
  <c r="AR179" i="50" s="1"/>
  <c r="AR119" i="50"/>
  <c r="F178" i="50"/>
  <c r="AR178" i="50" s="1"/>
  <c r="AR118" i="50"/>
  <c r="G116" i="50"/>
  <c r="AS116" i="50" s="1"/>
  <c r="AR116" i="50"/>
  <c r="F182" i="50"/>
  <c r="AR182" i="50" s="1"/>
  <c r="AR122" i="50"/>
  <c r="F184" i="50"/>
  <c r="AR184" i="50" s="1"/>
  <c r="AR124" i="50"/>
  <c r="G13" i="49"/>
  <c r="M14" i="49"/>
  <c r="G27" i="49"/>
  <c r="M28" i="49"/>
  <c r="U17" i="50"/>
  <c r="BG17" i="50" s="1"/>
  <c r="BF17" i="50"/>
  <c r="F86" i="50"/>
  <c r="AR86" i="50" s="1"/>
  <c r="AR11" i="50"/>
  <c r="M184" i="50"/>
  <c r="AY184" i="50" s="1"/>
  <c r="AY124" i="50"/>
  <c r="M91" i="50"/>
  <c r="AY91" i="50" s="1"/>
  <c r="AY16" i="50"/>
  <c r="F172" i="50"/>
  <c r="AR172" i="50" s="1"/>
  <c r="AR112" i="50"/>
  <c r="M103" i="50"/>
  <c r="AY103" i="50" s="1"/>
  <c r="AY28" i="50"/>
  <c r="G18" i="50"/>
  <c r="AS18" i="50" s="1"/>
  <c r="AR18" i="50"/>
  <c r="T109" i="50"/>
  <c r="BF109" i="50" s="1"/>
  <c r="BF34" i="50"/>
  <c r="F102" i="50"/>
  <c r="AR102" i="50" s="1"/>
  <c r="AR27" i="50"/>
  <c r="T91" i="50"/>
  <c r="BF91" i="50" s="1"/>
  <c r="BF16" i="50"/>
  <c r="F186" i="50"/>
  <c r="AR186" i="50" s="1"/>
  <c r="AR126" i="50"/>
  <c r="M100" i="50"/>
  <c r="AY100" i="50" s="1"/>
  <c r="AY25" i="50"/>
  <c r="T108" i="50"/>
  <c r="BF108" i="50" s="1"/>
  <c r="BF33" i="50"/>
  <c r="F104" i="50"/>
  <c r="AR104" i="50" s="1"/>
  <c r="AR29" i="50"/>
  <c r="N113" i="50"/>
  <c r="AZ113" i="50" s="1"/>
  <c r="AY113" i="50"/>
  <c r="F101" i="50"/>
  <c r="AR101" i="50" s="1"/>
  <c r="AR26" i="50"/>
  <c r="F183" i="50"/>
  <c r="AR183" i="50" s="1"/>
  <c r="AR123" i="50"/>
  <c r="T101" i="50"/>
  <c r="BF101" i="50" s="1"/>
  <c r="BF26" i="50"/>
  <c r="U22" i="50"/>
  <c r="BG22" i="50" s="1"/>
  <c r="BF22" i="50"/>
  <c r="T187" i="50"/>
  <c r="BF187" i="50" s="1"/>
  <c r="BF127" i="50"/>
  <c r="T104" i="50"/>
  <c r="BF104" i="50" s="1"/>
  <c r="BF29" i="50"/>
  <c r="F108" i="50"/>
  <c r="AR108" i="50" s="1"/>
  <c r="AR33" i="50"/>
  <c r="F190" i="50"/>
  <c r="AR190" i="50" s="1"/>
  <c r="AR130" i="50"/>
  <c r="M181" i="50"/>
  <c r="AY181" i="50" s="1"/>
  <c r="AY121" i="50"/>
  <c r="G24" i="50"/>
  <c r="AS24" i="50" s="1"/>
  <c r="AR24" i="50"/>
  <c r="F109" i="50"/>
  <c r="AR109" i="50" s="1"/>
  <c r="AR34" i="50"/>
  <c r="M174" i="50"/>
  <c r="AY174" i="50" s="1"/>
  <c r="AY114" i="50"/>
  <c r="M101" i="50"/>
  <c r="AY101" i="50" s="1"/>
  <c r="AY26" i="50"/>
  <c r="F189" i="50"/>
  <c r="AR189" i="50" s="1"/>
  <c r="AR129" i="50"/>
  <c r="M190" i="50"/>
  <c r="AY190" i="50" s="1"/>
  <c r="AY130" i="50"/>
  <c r="G30" i="50"/>
  <c r="AS30" i="50" s="1"/>
  <c r="AR30" i="50"/>
  <c r="M179" i="50"/>
  <c r="AY179" i="50" s="1"/>
  <c r="AY119" i="50"/>
  <c r="F91" i="50"/>
  <c r="AR91" i="50" s="1"/>
  <c r="AR16" i="50"/>
  <c r="G20" i="50"/>
  <c r="AS20" i="50" s="1"/>
  <c r="AR20" i="50"/>
  <c r="T190" i="50"/>
  <c r="BF190" i="50" s="1"/>
  <c r="BF130" i="50"/>
  <c r="N20" i="50"/>
  <c r="AZ20" i="50" s="1"/>
  <c r="AY20" i="50"/>
  <c r="F174" i="50"/>
  <c r="AR174" i="50" s="1"/>
  <c r="AR114" i="50"/>
  <c r="T181" i="50"/>
  <c r="BF181" i="50" s="1"/>
  <c r="BF121" i="50"/>
  <c r="M92" i="50"/>
  <c r="AY92" i="50" s="1"/>
  <c r="AY17" i="50"/>
  <c r="T98" i="50"/>
  <c r="BF98" i="50" s="1"/>
  <c r="BF23" i="50"/>
  <c r="N32" i="50"/>
  <c r="AZ32" i="50" s="1"/>
  <c r="AY32" i="50"/>
  <c r="AO22" i="67"/>
  <c r="L41" i="49"/>
  <c r="AO22" i="85" s="1"/>
  <c r="N112" i="50"/>
  <c r="AZ112" i="50" s="1"/>
  <c r="AY112" i="50"/>
  <c r="F177" i="50"/>
  <c r="AR177" i="50" s="1"/>
  <c r="AR117" i="50"/>
  <c r="T86" i="50"/>
  <c r="BF86" i="50" s="1"/>
  <c r="BF11" i="50"/>
  <c r="T186" i="50"/>
  <c r="BF186" i="50" s="1"/>
  <c r="BF126" i="50"/>
  <c r="T96" i="50"/>
  <c r="BF96" i="50" s="1"/>
  <c r="BF21" i="50"/>
  <c r="M189" i="50"/>
  <c r="AY189" i="50" s="1"/>
  <c r="AY129" i="50"/>
  <c r="F181" i="50"/>
  <c r="AR181" i="50" s="1"/>
  <c r="AR121" i="50"/>
  <c r="N123" i="50"/>
  <c r="AZ123" i="50" s="1"/>
  <c r="AY123" i="50"/>
  <c r="U27" i="50"/>
  <c r="BG27" i="50" s="1"/>
  <c r="BF27" i="50"/>
  <c r="T177" i="50"/>
  <c r="BF177" i="50" s="1"/>
  <c r="BF117" i="50"/>
  <c r="F103" i="50"/>
  <c r="AR103" i="50" s="1"/>
  <c r="AR28" i="50"/>
  <c r="M87" i="50"/>
  <c r="AY87" i="50" s="1"/>
  <c r="AY12" i="50"/>
  <c r="F96" i="50"/>
  <c r="AR96" i="50" s="1"/>
  <c r="AR21" i="50"/>
  <c r="M185" i="50"/>
  <c r="AY185" i="50" s="1"/>
  <c r="AY125" i="50"/>
  <c r="Y282" i="50"/>
  <c r="BK282" i="50" s="1"/>
  <c r="AO14" i="67"/>
  <c r="L27" i="49"/>
  <c r="AO14" i="85" s="1"/>
  <c r="G26" i="67"/>
  <c r="G44" i="67"/>
  <c r="AO35" i="50"/>
  <c r="K282" i="50"/>
  <c r="AW282" i="50" s="1"/>
  <c r="R282" i="50"/>
  <c r="BD282" i="50" s="1"/>
  <c r="G8" i="67"/>
  <c r="AW60" i="50"/>
  <c r="G8" i="85" s="1"/>
  <c r="G104" i="85" s="1"/>
  <c r="U126" i="50"/>
  <c r="T13" i="50"/>
  <c r="BF13" i="50" s="1"/>
  <c r="U30" i="50"/>
  <c r="U29" i="50"/>
  <c r="F105" i="50"/>
  <c r="AR105" i="50" s="1"/>
  <c r="N129" i="50"/>
  <c r="N11" i="50"/>
  <c r="U130" i="50"/>
  <c r="T97" i="50"/>
  <c r="BF97" i="50" s="1"/>
  <c r="U121" i="50"/>
  <c r="N17" i="50"/>
  <c r="U23" i="50"/>
  <c r="N18" i="50"/>
  <c r="U124" i="50"/>
  <c r="M106" i="50"/>
  <c r="AY106" i="50" s="1"/>
  <c r="U34" i="50"/>
  <c r="BG34" i="50" s="1"/>
  <c r="U117" i="50"/>
  <c r="U15" i="50"/>
  <c r="T92" i="50"/>
  <c r="BF92" i="50" s="1"/>
  <c r="N125" i="50"/>
  <c r="N115" i="50"/>
  <c r="U122" i="50"/>
  <c r="N130" i="50"/>
  <c r="N124" i="50"/>
  <c r="N16" i="50"/>
  <c r="G16" i="50"/>
  <c r="U18" i="50"/>
  <c r="N28" i="50"/>
  <c r="AZ28" i="50" s="1"/>
  <c r="N34" i="50"/>
  <c r="T102" i="50"/>
  <c r="BF102" i="50" s="1"/>
  <c r="N116" i="50"/>
  <c r="AZ116" i="50" s="1"/>
  <c r="N30" i="50"/>
  <c r="N121" i="50"/>
  <c r="AZ121" i="50" s="1"/>
  <c r="N114" i="50"/>
  <c r="N23" i="50"/>
  <c r="M183" i="50"/>
  <c r="AY183" i="50" s="1"/>
  <c r="C19" i="49"/>
  <c r="N119" i="50"/>
  <c r="U25" i="50"/>
  <c r="N127" i="50"/>
  <c r="AZ127" i="50" s="1"/>
  <c r="G119" i="50"/>
  <c r="G126" i="50"/>
  <c r="G34" i="50"/>
  <c r="U120" i="50"/>
  <c r="G120" i="50"/>
  <c r="G33" i="50"/>
  <c r="G27" i="50"/>
  <c r="G28" i="50"/>
  <c r="G21" i="50"/>
  <c r="G11" i="50"/>
  <c r="G117" i="50"/>
  <c r="G31" i="50"/>
  <c r="G125" i="50"/>
  <c r="AS125" i="50" s="1"/>
  <c r="F99" i="50"/>
  <c r="AR99" i="50" s="1"/>
  <c r="G114" i="50"/>
  <c r="F93" i="50"/>
  <c r="AR93" i="50" s="1"/>
  <c r="G130" i="50"/>
  <c r="AS130" i="50" s="1"/>
  <c r="G12" i="50"/>
  <c r="F97" i="50"/>
  <c r="AR97" i="50" s="1"/>
  <c r="G22" i="50"/>
  <c r="AS22" i="50" s="1"/>
  <c r="F100" i="50"/>
  <c r="AR100" i="50" s="1"/>
  <c r="G25" i="50"/>
  <c r="AS25" i="50" s="1"/>
  <c r="T99" i="50"/>
  <c r="BF99" i="50" s="1"/>
  <c r="U24" i="50"/>
  <c r="BG24" i="50" s="1"/>
  <c r="G32" i="50"/>
  <c r="F107" i="50"/>
  <c r="AR107" i="50" s="1"/>
  <c r="D47" i="49"/>
  <c r="F13" i="50"/>
  <c r="AR13" i="50" s="1"/>
  <c r="F89" i="50"/>
  <c r="AR89" i="50" s="1"/>
  <c r="M188" i="50"/>
  <c r="AY188" i="50" s="1"/>
  <c r="N128" i="50"/>
  <c r="AZ128" i="50" s="1"/>
  <c r="M182" i="50"/>
  <c r="AY182" i="50" s="1"/>
  <c r="M173" i="50"/>
  <c r="AY173" i="50" s="1"/>
  <c r="T175" i="50"/>
  <c r="BF175" i="50" s="1"/>
  <c r="U115" i="50"/>
  <c r="BG115" i="50" s="1"/>
  <c r="F90" i="50"/>
  <c r="AR90" i="50" s="1"/>
  <c r="G15" i="50"/>
  <c r="AS15" i="50" s="1"/>
  <c r="T111" i="50"/>
  <c r="BF111" i="50" s="1"/>
  <c r="T172" i="50"/>
  <c r="BF172" i="50" s="1"/>
  <c r="U21" i="50"/>
  <c r="BG21" i="50" s="1"/>
  <c r="T106" i="50"/>
  <c r="BF106" i="50" s="1"/>
  <c r="U116" i="50"/>
  <c r="BG116" i="50" s="1"/>
  <c r="U26" i="50"/>
  <c r="BG26" i="50" s="1"/>
  <c r="F111" i="50"/>
  <c r="AR111" i="50" s="1"/>
  <c r="G112" i="50"/>
  <c r="AS112" i="50" s="1"/>
  <c r="T87" i="50"/>
  <c r="BF87" i="50" s="1"/>
  <c r="U12" i="50"/>
  <c r="BG12" i="50" s="1"/>
  <c r="U127" i="50"/>
  <c r="BG127" i="50" s="1"/>
  <c r="G33" i="49"/>
  <c r="M13" i="50"/>
  <c r="AY13" i="50" s="1"/>
  <c r="M89" i="50"/>
  <c r="N118" i="50"/>
  <c r="AZ118" i="50" s="1"/>
  <c r="M178" i="50"/>
  <c r="AY178" i="50" s="1"/>
  <c r="U28" i="50"/>
  <c r="BG28" i="50" s="1"/>
  <c r="T103" i="50"/>
  <c r="BF103" i="50" s="1"/>
  <c r="F98" i="50"/>
  <c r="AR98" i="50" s="1"/>
  <c r="T174" i="50"/>
  <c r="BF174" i="50" s="1"/>
  <c r="U114" i="50"/>
  <c r="BG114" i="50" s="1"/>
  <c r="E47" i="49"/>
  <c r="G26" i="50"/>
  <c r="AS26" i="50" s="1"/>
  <c r="M111" i="50"/>
  <c r="AY111" i="50" s="1"/>
  <c r="M172" i="50"/>
  <c r="AY172" i="50" s="1"/>
  <c r="U11" i="50"/>
  <c r="BG11" i="50" s="1"/>
  <c r="U112" i="50"/>
  <c r="BG112" i="50" s="1"/>
  <c r="U14" i="50"/>
  <c r="BG14" i="50" s="1"/>
  <c r="G113" i="50"/>
  <c r="AS113" i="50" s="1"/>
  <c r="G123" i="50"/>
  <c r="AS123" i="50" s="1"/>
  <c r="N15" i="50"/>
  <c r="AZ15" i="50" s="1"/>
  <c r="U125" i="50"/>
  <c r="BG125" i="50" s="1"/>
  <c r="U119" i="50"/>
  <c r="BG119" i="50" s="1"/>
  <c r="G14" i="50"/>
  <c r="AS14" i="50" s="1"/>
  <c r="G128" i="50"/>
  <c r="AS128" i="50" s="1"/>
  <c r="F92" i="50"/>
  <c r="AR92" i="50" s="1"/>
  <c r="G17" i="50"/>
  <c r="AS17" i="50" s="1"/>
  <c r="G121" i="50"/>
  <c r="AS121" i="50" s="1"/>
  <c r="F187" i="50"/>
  <c r="AR187" i="50" s="1"/>
  <c r="G127" i="50"/>
  <c r="AS127" i="50" s="1"/>
  <c r="M180" i="50"/>
  <c r="AY180" i="50" s="1"/>
  <c r="T89" i="50"/>
  <c r="BF89" i="50" s="1"/>
  <c r="T183" i="50"/>
  <c r="BF183" i="50" s="1"/>
  <c r="U123" i="50"/>
  <c r="BG123" i="50" s="1"/>
  <c r="T19" i="50"/>
  <c r="BF19" i="50" s="1"/>
  <c r="T95" i="50"/>
  <c r="BF95" i="50" s="1"/>
  <c r="M102" i="50"/>
  <c r="AY102" i="50" s="1"/>
  <c r="N27" i="50"/>
  <c r="AZ27" i="50" s="1"/>
  <c r="F19" i="49"/>
  <c r="F175" i="50"/>
  <c r="AR175" i="50" s="1"/>
  <c r="F19" i="50"/>
  <c r="AR19" i="50" s="1"/>
  <c r="F95" i="50"/>
  <c r="AR95" i="50" s="1"/>
  <c r="N24" i="50"/>
  <c r="AZ24" i="50" s="1"/>
  <c r="M97" i="50"/>
  <c r="AY97" i="50" s="1"/>
  <c r="N22" i="50"/>
  <c r="AZ22" i="50" s="1"/>
  <c r="U16" i="50"/>
  <c r="BG16" i="50" s="1"/>
  <c r="M19" i="50"/>
  <c r="AY19" i="50" s="1"/>
  <c r="U118" i="50"/>
  <c r="BG118" i="50" s="1"/>
  <c r="N12" i="50"/>
  <c r="AZ12" i="50" s="1"/>
  <c r="G47" i="49"/>
  <c r="T107" i="50"/>
  <c r="BF107" i="50" s="1"/>
  <c r="N21" i="50"/>
  <c r="AZ21" i="50" s="1"/>
  <c r="M177" i="50"/>
  <c r="AY177" i="50" s="1"/>
  <c r="G118" i="50"/>
  <c r="AS118" i="50" s="1"/>
  <c r="U128" i="50"/>
  <c r="BG128" i="50" s="1"/>
  <c r="T188" i="50"/>
  <c r="BF188" i="50" s="1"/>
  <c r="N25" i="50"/>
  <c r="AZ25" i="50" s="1"/>
  <c r="M104" i="50"/>
  <c r="AY104" i="50" s="1"/>
  <c r="N29" i="50"/>
  <c r="AZ29" i="50" s="1"/>
  <c r="T173" i="50"/>
  <c r="BF173" i="50" s="1"/>
  <c r="U113" i="50"/>
  <c r="BG113" i="50" s="1"/>
  <c r="F47" i="49"/>
  <c r="M95" i="50"/>
  <c r="AY95" i="50" s="1"/>
  <c r="F176" i="50"/>
  <c r="AR176" i="50" s="1"/>
  <c r="U33" i="50"/>
  <c r="BG33" i="50" s="1"/>
  <c r="N26" i="50"/>
  <c r="AZ26" i="50" s="1"/>
  <c r="G122" i="50"/>
  <c r="AS122" i="50" s="1"/>
  <c r="G29" i="50"/>
  <c r="AS29" i="50" s="1"/>
  <c r="N33" i="50"/>
  <c r="AZ33" i="50" s="1"/>
  <c r="G124" i="50"/>
  <c r="AS124" i="50" s="1"/>
  <c r="G19" i="49"/>
  <c r="U129" i="50"/>
  <c r="BG129" i="50" s="1"/>
  <c r="G129" i="50"/>
  <c r="AS129" i="50" s="1"/>
  <c r="E33" i="49"/>
  <c r="M186" i="50"/>
  <c r="AY186" i="50" s="1"/>
  <c r="N126" i="50"/>
  <c r="AZ126" i="50" s="1"/>
  <c r="M107" i="50"/>
  <c r="AY107" i="50" s="1"/>
  <c r="E19" i="49"/>
  <c r="F33" i="49"/>
  <c r="C33" i="49"/>
  <c r="D19" i="49"/>
  <c r="D33" i="49"/>
  <c r="C26" i="49" l="1"/>
  <c r="I26" i="49" s="1"/>
  <c r="N107" i="50"/>
  <c r="AZ107" i="50" s="1"/>
  <c r="N95" i="50"/>
  <c r="AZ95" i="50" s="1"/>
  <c r="O20" i="50"/>
  <c r="BA20" i="50" s="1"/>
  <c r="G176" i="50"/>
  <c r="AS176" i="50" s="1"/>
  <c r="H116" i="50"/>
  <c r="AT116" i="50" s="1"/>
  <c r="V31" i="50"/>
  <c r="BH31" i="50" s="1"/>
  <c r="U106" i="50"/>
  <c r="BG106" i="50" s="1"/>
  <c r="G99" i="50"/>
  <c r="AS99" i="50" s="1"/>
  <c r="V17" i="50"/>
  <c r="BH17" i="50" s="1"/>
  <c r="G98" i="50"/>
  <c r="AS98" i="50" s="1"/>
  <c r="U92" i="50"/>
  <c r="BG92" i="50" s="1"/>
  <c r="V32" i="50"/>
  <c r="D40" i="49" s="1"/>
  <c r="J40" i="49" s="1"/>
  <c r="O32" i="50"/>
  <c r="BA32" i="50" s="1"/>
  <c r="H115" i="50"/>
  <c r="AT115" i="50" s="1"/>
  <c r="O31" i="50"/>
  <c r="BA31" i="50" s="1"/>
  <c r="H23" i="50"/>
  <c r="AT23" i="50" s="1"/>
  <c r="G175" i="50"/>
  <c r="AS175" i="50" s="1"/>
  <c r="N106" i="50"/>
  <c r="AZ106" i="50" s="1"/>
  <c r="O117" i="50"/>
  <c r="BA117" i="50" s="1"/>
  <c r="G95" i="50"/>
  <c r="AS95" i="50" s="1"/>
  <c r="N177" i="50"/>
  <c r="AZ177" i="50" s="1"/>
  <c r="N183" i="50"/>
  <c r="AZ183" i="50" s="1"/>
  <c r="H24" i="50"/>
  <c r="AT24" i="50" s="1"/>
  <c r="H20" i="50"/>
  <c r="AT20" i="50" s="1"/>
  <c r="N173" i="50"/>
  <c r="AZ173" i="50" s="1"/>
  <c r="O123" i="50"/>
  <c r="BA123" i="50" s="1"/>
  <c r="O14" i="50"/>
  <c r="BA14" i="50" s="1"/>
  <c r="V27" i="50"/>
  <c r="BH27" i="50" s="1"/>
  <c r="N89" i="50"/>
  <c r="AZ89" i="50" s="1"/>
  <c r="H30" i="50"/>
  <c r="AT30" i="50" s="1"/>
  <c r="V22" i="50"/>
  <c r="BH22" i="50" s="1"/>
  <c r="H18" i="50"/>
  <c r="AT18" i="50" s="1"/>
  <c r="G104" i="67"/>
  <c r="G105" i="50"/>
  <c r="AS105" i="50" s="1"/>
  <c r="U97" i="50"/>
  <c r="BG97" i="50" s="1"/>
  <c r="G93" i="50"/>
  <c r="AS93" i="50" s="1"/>
  <c r="V20" i="50"/>
  <c r="BH20" i="50" s="1"/>
  <c r="O112" i="50"/>
  <c r="BA112" i="50" s="1"/>
  <c r="U95" i="50"/>
  <c r="BG95" i="50" s="1"/>
  <c r="O113" i="50"/>
  <c r="BA113" i="50" s="1"/>
  <c r="AP24" i="67"/>
  <c r="M47" i="49"/>
  <c r="AP24" i="85" s="1"/>
  <c r="G103" i="50"/>
  <c r="AS103" i="50" s="1"/>
  <c r="AS28" i="50"/>
  <c r="O30" i="50"/>
  <c r="BA30" i="50" s="1"/>
  <c r="AZ30" i="50"/>
  <c r="N184" i="50"/>
  <c r="AZ184" i="50" s="1"/>
  <c r="AZ124" i="50"/>
  <c r="U177" i="50"/>
  <c r="BG177" i="50" s="1"/>
  <c r="BG117" i="50"/>
  <c r="AP6" i="67"/>
  <c r="M13" i="49"/>
  <c r="AP6" i="85" s="1"/>
  <c r="U105" i="50"/>
  <c r="BG105" i="50" s="1"/>
  <c r="BG30" i="50"/>
  <c r="AN8" i="67"/>
  <c r="K19" i="49"/>
  <c r="AN8" i="85" s="1"/>
  <c r="AO24" i="67"/>
  <c r="L47" i="49"/>
  <c r="AO24" i="85" s="1"/>
  <c r="G174" i="50"/>
  <c r="AS174" i="50" s="1"/>
  <c r="AS114" i="50"/>
  <c r="G102" i="50"/>
  <c r="AS102" i="50" s="1"/>
  <c r="AS27" i="50"/>
  <c r="U100" i="50"/>
  <c r="BG100" i="50" s="1"/>
  <c r="BG25" i="50"/>
  <c r="N190" i="50"/>
  <c r="AZ190" i="50" s="1"/>
  <c r="AZ130" i="50"/>
  <c r="U190" i="50"/>
  <c r="BG190" i="50" s="1"/>
  <c r="BG130" i="50"/>
  <c r="U186" i="50"/>
  <c r="BG186" i="50" s="1"/>
  <c r="BG126" i="50"/>
  <c r="N91" i="50"/>
  <c r="AZ91" i="50" s="1"/>
  <c r="AZ16" i="50"/>
  <c r="AN24" i="67"/>
  <c r="K47" i="49"/>
  <c r="AN24" i="85" s="1"/>
  <c r="G108" i="50"/>
  <c r="AS108" i="50" s="1"/>
  <c r="AS33" i="50"/>
  <c r="O119" i="50"/>
  <c r="BA119" i="50" s="1"/>
  <c r="AZ119" i="50"/>
  <c r="U182" i="50"/>
  <c r="BG182" i="50" s="1"/>
  <c r="BG122" i="50"/>
  <c r="N86" i="50"/>
  <c r="AZ86" i="50" s="1"/>
  <c r="AZ11" i="50"/>
  <c r="O120" i="50"/>
  <c r="AZ120" i="50"/>
  <c r="U90" i="50"/>
  <c r="BG90" i="50" s="1"/>
  <c r="BG15" i="50"/>
  <c r="AM16" i="67"/>
  <c r="J33" i="49"/>
  <c r="AM16" i="85" s="1"/>
  <c r="AM24" i="67"/>
  <c r="J47" i="49"/>
  <c r="AM24" i="85" s="1"/>
  <c r="G180" i="50"/>
  <c r="AS180" i="50" s="1"/>
  <c r="AS120" i="50"/>
  <c r="AL8" i="67"/>
  <c r="I19" i="49"/>
  <c r="AL8" i="85" s="1"/>
  <c r="N109" i="50"/>
  <c r="AZ109" i="50" s="1"/>
  <c r="AZ34" i="50"/>
  <c r="N175" i="50"/>
  <c r="AZ175" i="50" s="1"/>
  <c r="AZ115" i="50"/>
  <c r="U184" i="50"/>
  <c r="BG184" i="50" s="1"/>
  <c r="BG124" i="50"/>
  <c r="N189" i="50"/>
  <c r="AZ189" i="50" s="1"/>
  <c r="AZ129" i="50"/>
  <c r="V121" i="50"/>
  <c r="BH121" i="50" s="1"/>
  <c r="BG121" i="50"/>
  <c r="AP8" i="67"/>
  <c r="M19" i="49"/>
  <c r="AP8" i="85" s="1"/>
  <c r="AM8" i="67"/>
  <c r="J19" i="49"/>
  <c r="AM8" i="85" s="1"/>
  <c r="G106" i="50"/>
  <c r="AS106" i="50" s="1"/>
  <c r="AS31" i="50"/>
  <c r="U180" i="50"/>
  <c r="BG180" i="50" s="1"/>
  <c r="BG120" i="50"/>
  <c r="O125" i="50"/>
  <c r="BA125" i="50" s="1"/>
  <c r="AZ125" i="50"/>
  <c r="O18" i="50"/>
  <c r="O93" i="50" s="1"/>
  <c r="BA93" i="50" s="1"/>
  <c r="AZ18" i="50"/>
  <c r="AP22" i="67"/>
  <c r="M41" i="49"/>
  <c r="AP22" i="85" s="1"/>
  <c r="N182" i="50"/>
  <c r="AZ182" i="50" s="1"/>
  <c r="AZ122" i="50"/>
  <c r="H21" i="50"/>
  <c r="AT21" i="50" s="1"/>
  <c r="AS21" i="50"/>
  <c r="AL16" i="67"/>
  <c r="I33" i="49"/>
  <c r="AL16" i="85" s="1"/>
  <c r="AO16" i="67"/>
  <c r="L33" i="49"/>
  <c r="AO16" i="85" s="1"/>
  <c r="AN16" i="67"/>
  <c r="K33" i="49"/>
  <c r="AN16" i="85" s="1"/>
  <c r="U102" i="50"/>
  <c r="BG102" i="50" s="1"/>
  <c r="C12" i="49"/>
  <c r="I12" i="49" s="1"/>
  <c r="AS32" i="50"/>
  <c r="N172" i="50"/>
  <c r="AZ172" i="50" s="1"/>
  <c r="G177" i="50"/>
  <c r="AS177" i="50" s="1"/>
  <c r="AS117" i="50"/>
  <c r="H34" i="50"/>
  <c r="AS34" i="50"/>
  <c r="N98" i="50"/>
  <c r="AZ98" i="50" s="1"/>
  <c r="AZ23" i="50"/>
  <c r="U93" i="50"/>
  <c r="BG93" i="50" s="1"/>
  <c r="BG18" i="50"/>
  <c r="U98" i="50"/>
  <c r="BG98" i="50" s="1"/>
  <c r="BG23" i="50"/>
  <c r="U104" i="50"/>
  <c r="BG104" i="50" s="1"/>
  <c r="BG29" i="50"/>
  <c r="G179" i="50"/>
  <c r="AS179" i="50" s="1"/>
  <c r="AS119" i="50"/>
  <c r="AO8" i="67"/>
  <c r="L19" i="49"/>
  <c r="AO8" i="85" s="1"/>
  <c r="AP16" i="67"/>
  <c r="M33" i="49"/>
  <c r="AP16" i="85" s="1"/>
  <c r="H12" i="50"/>
  <c r="AT12" i="50" s="1"/>
  <c r="AS12" i="50"/>
  <c r="H11" i="50"/>
  <c r="AT11" i="50" s="1"/>
  <c r="AS11" i="50"/>
  <c r="G186" i="50"/>
  <c r="AS186" i="50" s="1"/>
  <c r="AS126" i="50"/>
  <c r="N174" i="50"/>
  <c r="AZ174" i="50" s="1"/>
  <c r="AZ114" i="50"/>
  <c r="G91" i="50"/>
  <c r="AS91" i="50" s="1"/>
  <c r="AS16" i="50"/>
  <c r="N92" i="50"/>
  <c r="AZ92" i="50" s="1"/>
  <c r="AZ17" i="50"/>
  <c r="AP14" i="67"/>
  <c r="M27" i="49"/>
  <c r="AP14" i="85" s="1"/>
  <c r="U107" i="50"/>
  <c r="BG107" i="50" s="1"/>
  <c r="BG32" i="50"/>
  <c r="M88" i="50"/>
  <c r="AY88" i="50" s="1"/>
  <c r="AY89" i="50"/>
  <c r="V122" i="50"/>
  <c r="O130" i="50"/>
  <c r="T10" i="50"/>
  <c r="F10" i="50"/>
  <c r="N185" i="50"/>
  <c r="AZ185" i="50" s="1"/>
  <c r="N93" i="50"/>
  <c r="AZ93" i="50" s="1"/>
  <c r="T94" i="50"/>
  <c r="BF94" i="50" s="1"/>
  <c r="G96" i="50"/>
  <c r="AS96" i="50" s="1"/>
  <c r="V117" i="50"/>
  <c r="O17" i="50"/>
  <c r="O115" i="50"/>
  <c r="U181" i="50"/>
  <c r="BG181" i="50" s="1"/>
  <c r="M10" i="50"/>
  <c r="O129" i="50"/>
  <c r="V29" i="50"/>
  <c r="V30" i="50"/>
  <c r="O11" i="50"/>
  <c r="V23" i="50"/>
  <c r="O114" i="50"/>
  <c r="V126" i="50"/>
  <c r="V130" i="50"/>
  <c r="BH130" i="50" s="1"/>
  <c r="O23" i="50"/>
  <c r="H33" i="50"/>
  <c r="O124" i="50"/>
  <c r="G87" i="50"/>
  <c r="AS87" i="50" s="1"/>
  <c r="N179" i="50"/>
  <c r="AZ179" i="50" s="1"/>
  <c r="U19" i="50"/>
  <c r="BG19" i="50" s="1"/>
  <c r="V124" i="50"/>
  <c r="H16" i="50"/>
  <c r="V15" i="50"/>
  <c r="BH15" i="50" s="1"/>
  <c r="M94" i="50"/>
  <c r="V25" i="50"/>
  <c r="H28" i="50"/>
  <c r="V120" i="50"/>
  <c r="H31" i="50"/>
  <c r="N105" i="50"/>
  <c r="AZ105" i="50" s="1"/>
  <c r="T88" i="50"/>
  <c r="BF88" i="50" s="1"/>
  <c r="O34" i="50"/>
  <c r="O16" i="50"/>
  <c r="H27" i="50"/>
  <c r="H117" i="50"/>
  <c r="H126" i="50"/>
  <c r="H114" i="50"/>
  <c r="G109" i="50"/>
  <c r="AS109" i="50" s="1"/>
  <c r="G86" i="50"/>
  <c r="AS86" i="50" s="1"/>
  <c r="N19" i="50"/>
  <c r="AZ19" i="50" s="1"/>
  <c r="V18" i="50"/>
  <c r="F94" i="50"/>
  <c r="AR94" i="50" s="1"/>
  <c r="H120" i="50"/>
  <c r="H119" i="50"/>
  <c r="AT119" i="50" s="1"/>
  <c r="N13" i="50"/>
  <c r="AZ13" i="50" s="1"/>
  <c r="U109" i="50"/>
  <c r="BG109" i="50" s="1"/>
  <c r="V34" i="50"/>
  <c r="BH34" i="50" s="1"/>
  <c r="G19" i="50"/>
  <c r="AS19" i="50" s="1"/>
  <c r="N103" i="50"/>
  <c r="AZ103" i="50" s="1"/>
  <c r="O28" i="50"/>
  <c r="BA28" i="50" s="1"/>
  <c r="N187" i="50"/>
  <c r="AZ187" i="50" s="1"/>
  <c r="O127" i="50"/>
  <c r="BA127" i="50" s="1"/>
  <c r="N176" i="50"/>
  <c r="AZ176" i="50" s="1"/>
  <c r="O116" i="50"/>
  <c r="BA116" i="50" s="1"/>
  <c r="O121" i="50"/>
  <c r="BA121" i="50" s="1"/>
  <c r="N181" i="50"/>
  <c r="AZ181" i="50" s="1"/>
  <c r="F171" i="50"/>
  <c r="AR171" i="50" s="1"/>
  <c r="G190" i="50"/>
  <c r="AS190" i="50" s="1"/>
  <c r="H130" i="50"/>
  <c r="AT130" i="50" s="1"/>
  <c r="G185" i="50"/>
  <c r="AS185" i="50" s="1"/>
  <c r="H125" i="50"/>
  <c r="AT125" i="50" s="1"/>
  <c r="G182" i="50"/>
  <c r="AS182" i="50" s="1"/>
  <c r="H122" i="50"/>
  <c r="AT122" i="50" s="1"/>
  <c r="U173" i="50"/>
  <c r="BG173" i="50" s="1"/>
  <c r="V113" i="50"/>
  <c r="BH113" i="50" s="1"/>
  <c r="G178" i="50"/>
  <c r="AS178" i="50" s="1"/>
  <c r="H118" i="50"/>
  <c r="AT118" i="50" s="1"/>
  <c r="G181" i="50"/>
  <c r="AS181" i="50" s="1"/>
  <c r="H121" i="50"/>
  <c r="AT121" i="50" s="1"/>
  <c r="G183" i="50"/>
  <c r="AS183" i="50" s="1"/>
  <c r="H123" i="50"/>
  <c r="AT123" i="50" s="1"/>
  <c r="U13" i="50"/>
  <c r="BG13" i="50" s="1"/>
  <c r="U89" i="50"/>
  <c r="BG89" i="50" s="1"/>
  <c r="V14" i="50"/>
  <c r="BH14" i="50" s="1"/>
  <c r="U111" i="50"/>
  <c r="U172" i="50"/>
  <c r="BG172" i="50" s="1"/>
  <c r="V112" i="50"/>
  <c r="BH112" i="50" s="1"/>
  <c r="G101" i="50"/>
  <c r="AS101" i="50" s="1"/>
  <c r="H26" i="50"/>
  <c r="AT26" i="50" s="1"/>
  <c r="N178" i="50"/>
  <c r="AZ178" i="50" s="1"/>
  <c r="O118" i="50"/>
  <c r="BA118" i="50" s="1"/>
  <c r="G172" i="50"/>
  <c r="AS172" i="50" s="1"/>
  <c r="G111" i="50"/>
  <c r="H112" i="50"/>
  <c r="AT112" i="50" s="1"/>
  <c r="T171" i="50"/>
  <c r="BF171" i="50" s="1"/>
  <c r="N188" i="50"/>
  <c r="AZ188" i="50" s="1"/>
  <c r="O128" i="50"/>
  <c r="BA128" i="50" s="1"/>
  <c r="N186" i="50"/>
  <c r="AZ186" i="50" s="1"/>
  <c r="O126" i="50"/>
  <c r="BA126" i="50" s="1"/>
  <c r="H124" i="50"/>
  <c r="AT124" i="50" s="1"/>
  <c r="G184" i="50"/>
  <c r="AS184" i="50" s="1"/>
  <c r="N100" i="50"/>
  <c r="AZ100" i="50" s="1"/>
  <c r="O25" i="50"/>
  <c r="BA25" i="50" s="1"/>
  <c r="N96" i="50"/>
  <c r="AZ96" i="50" s="1"/>
  <c r="O21" i="50"/>
  <c r="BA21" i="50" s="1"/>
  <c r="N87" i="50"/>
  <c r="AZ87" i="50" s="1"/>
  <c r="O12" i="50"/>
  <c r="BA12" i="50" s="1"/>
  <c r="U91" i="50"/>
  <c r="BG91" i="50" s="1"/>
  <c r="V16" i="50"/>
  <c r="BH16" i="50" s="1"/>
  <c r="N99" i="50"/>
  <c r="AZ99" i="50" s="1"/>
  <c r="O24" i="50"/>
  <c r="BA24" i="50" s="1"/>
  <c r="V123" i="50"/>
  <c r="BH123" i="50" s="1"/>
  <c r="U183" i="50"/>
  <c r="BG183" i="50" s="1"/>
  <c r="G92" i="50"/>
  <c r="AS92" i="50" s="1"/>
  <c r="H17" i="50"/>
  <c r="AT17" i="50" s="1"/>
  <c r="G188" i="50"/>
  <c r="AS188" i="50" s="1"/>
  <c r="H128" i="50"/>
  <c r="AT128" i="50" s="1"/>
  <c r="V125" i="50"/>
  <c r="BH125" i="50" s="1"/>
  <c r="U185" i="50"/>
  <c r="BG185" i="50" s="1"/>
  <c r="V11" i="50"/>
  <c r="BH11" i="50" s="1"/>
  <c r="U86" i="50"/>
  <c r="BG86" i="50" s="1"/>
  <c r="O182" i="50"/>
  <c r="BA182" i="50" s="1"/>
  <c r="P122" i="50"/>
  <c r="BB122" i="50" s="1"/>
  <c r="U101" i="50"/>
  <c r="BG101" i="50" s="1"/>
  <c r="V26" i="50"/>
  <c r="BH26" i="50" s="1"/>
  <c r="U96" i="50"/>
  <c r="V21" i="50"/>
  <c r="BH21" i="50" s="1"/>
  <c r="H32" i="50"/>
  <c r="G107" i="50"/>
  <c r="AS107" i="50" s="1"/>
  <c r="N111" i="50"/>
  <c r="C47" i="49"/>
  <c r="H129" i="50"/>
  <c r="AT129" i="50" s="1"/>
  <c r="G189" i="50"/>
  <c r="AS189" i="50" s="1"/>
  <c r="O26" i="50"/>
  <c r="BA26" i="50" s="1"/>
  <c r="N101" i="50"/>
  <c r="AZ101" i="50" s="1"/>
  <c r="O33" i="50"/>
  <c r="BA33" i="50" s="1"/>
  <c r="N108" i="50"/>
  <c r="AZ108" i="50" s="1"/>
  <c r="U108" i="50"/>
  <c r="BG108" i="50" s="1"/>
  <c r="V33" i="50"/>
  <c r="BH33" i="50" s="1"/>
  <c r="N104" i="50"/>
  <c r="AZ104" i="50" s="1"/>
  <c r="O29" i="50"/>
  <c r="BA29" i="50" s="1"/>
  <c r="N102" i="50"/>
  <c r="AZ102" i="50" s="1"/>
  <c r="O27" i="50"/>
  <c r="BA27" i="50" s="1"/>
  <c r="G187" i="50"/>
  <c r="AS187" i="50" s="1"/>
  <c r="H127" i="50"/>
  <c r="AT127" i="50" s="1"/>
  <c r="G13" i="50"/>
  <c r="AS13" i="50" s="1"/>
  <c r="G89" i="50"/>
  <c r="AS89" i="50" s="1"/>
  <c r="H14" i="50"/>
  <c r="AT14" i="50" s="1"/>
  <c r="N90" i="50"/>
  <c r="O15" i="50"/>
  <c r="BA15" i="50" s="1"/>
  <c r="G173" i="50"/>
  <c r="AS173" i="50" s="1"/>
  <c r="H113" i="50"/>
  <c r="AT113" i="50" s="1"/>
  <c r="M171" i="50"/>
  <c r="AY171" i="50" s="1"/>
  <c r="U103" i="50"/>
  <c r="BG103" i="50" s="1"/>
  <c r="V28" i="50"/>
  <c r="BH28" i="50" s="1"/>
  <c r="U87" i="50"/>
  <c r="BG87" i="50" s="1"/>
  <c r="V12" i="50"/>
  <c r="BH12" i="50" s="1"/>
  <c r="G90" i="50"/>
  <c r="AS90" i="50" s="1"/>
  <c r="H15" i="50"/>
  <c r="AT15" i="50" s="1"/>
  <c r="U175" i="50"/>
  <c r="BG175" i="50" s="1"/>
  <c r="V115" i="50"/>
  <c r="BH115" i="50" s="1"/>
  <c r="F88" i="50"/>
  <c r="AR88" i="50" s="1"/>
  <c r="G97" i="50"/>
  <c r="AS97" i="50" s="1"/>
  <c r="H22" i="50"/>
  <c r="AT22" i="50" s="1"/>
  <c r="U189" i="50"/>
  <c r="BG189" i="50" s="1"/>
  <c r="V129" i="50"/>
  <c r="BH129" i="50" s="1"/>
  <c r="G104" i="50"/>
  <c r="AS104" i="50" s="1"/>
  <c r="H29" i="50"/>
  <c r="AT29" i="50" s="1"/>
  <c r="U188" i="50"/>
  <c r="BG188" i="50" s="1"/>
  <c r="V128" i="50"/>
  <c r="BH128" i="50" s="1"/>
  <c r="U178" i="50"/>
  <c r="BG178" i="50" s="1"/>
  <c r="V118" i="50"/>
  <c r="BH118" i="50" s="1"/>
  <c r="N97" i="50"/>
  <c r="AZ97" i="50" s="1"/>
  <c r="O22" i="50"/>
  <c r="BA22" i="50" s="1"/>
  <c r="U179" i="50"/>
  <c r="BG179" i="50" s="1"/>
  <c r="V119" i="50"/>
  <c r="BH119" i="50" s="1"/>
  <c r="U174" i="50"/>
  <c r="BG174" i="50" s="1"/>
  <c r="V114" i="50"/>
  <c r="BH114" i="50" s="1"/>
  <c r="U187" i="50"/>
  <c r="BG187" i="50" s="1"/>
  <c r="V127" i="50"/>
  <c r="BH127" i="50" s="1"/>
  <c r="U176" i="50"/>
  <c r="BG176" i="50" s="1"/>
  <c r="V116" i="50"/>
  <c r="BH116" i="50" s="1"/>
  <c r="U99" i="50"/>
  <c r="BG99" i="50" s="1"/>
  <c r="V24" i="50"/>
  <c r="BH24" i="50" s="1"/>
  <c r="G100" i="50"/>
  <c r="AS100" i="50" s="1"/>
  <c r="H25" i="50"/>
  <c r="AT25" i="50" s="1"/>
  <c r="V106" i="50" l="1"/>
  <c r="BH106" i="50" s="1"/>
  <c r="P20" i="50"/>
  <c r="BB20" i="50" s="1"/>
  <c r="O95" i="50"/>
  <c r="BA95" i="50" s="1"/>
  <c r="P31" i="50"/>
  <c r="BB31" i="50" s="1"/>
  <c r="O106" i="50"/>
  <c r="BA106" i="50" s="1"/>
  <c r="P112" i="50"/>
  <c r="BB112" i="50" s="1"/>
  <c r="I116" i="50"/>
  <c r="AU116" i="50" s="1"/>
  <c r="O172" i="50"/>
  <c r="BA172" i="50" s="1"/>
  <c r="I115" i="50"/>
  <c r="AU115" i="50" s="1"/>
  <c r="H175" i="50"/>
  <c r="AT175" i="50" s="1"/>
  <c r="W31" i="50"/>
  <c r="BI31" i="50" s="1"/>
  <c r="H105" i="50"/>
  <c r="AT105" i="50" s="1"/>
  <c r="I30" i="50"/>
  <c r="AU30" i="50" s="1"/>
  <c r="V181" i="50"/>
  <c r="BH181" i="50" s="1"/>
  <c r="W22" i="50"/>
  <c r="BI22" i="50" s="1"/>
  <c r="V97" i="50"/>
  <c r="BH97" i="50" s="1"/>
  <c r="H176" i="50"/>
  <c r="AT176" i="50" s="1"/>
  <c r="I24" i="50"/>
  <c r="AU24" i="50" s="1"/>
  <c r="H99" i="50"/>
  <c r="AT99" i="50" s="1"/>
  <c r="I23" i="50"/>
  <c r="AU23" i="50" s="1"/>
  <c r="H98" i="50"/>
  <c r="AT98" i="50" s="1"/>
  <c r="I20" i="50"/>
  <c r="AU20" i="50" s="1"/>
  <c r="W17" i="50"/>
  <c r="BI17" i="50" s="1"/>
  <c r="V92" i="50"/>
  <c r="BH92" i="50" s="1"/>
  <c r="O105" i="50"/>
  <c r="BA105" i="50" s="1"/>
  <c r="P30" i="50"/>
  <c r="BB30" i="50" s="1"/>
  <c r="D26" i="49"/>
  <c r="J26" i="49" s="1"/>
  <c r="W32" i="50"/>
  <c r="W107" i="50" s="1"/>
  <c r="BI107" i="50" s="1"/>
  <c r="V107" i="50"/>
  <c r="BH107" i="50" s="1"/>
  <c r="P119" i="50"/>
  <c r="BB119" i="50" s="1"/>
  <c r="O179" i="50"/>
  <c r="BA179" i="50" s="1"/>
  <c r="BH32" i="50"/>
  <c r="P32" i="50"/>
  <c r="BB32" i="50" s="1"/>
  <c r="O107" i="50"/>
  <c r="BA107" i="50" s="1"/>
  <c r="V95" i="50"/>
  <c r="BH95" i="50" s="1"/>
  <c r="W20" i="50"/>
  <c r="BI20" i="50" s="1"/>
  <c r="O183" i="50"/>
  <c r="BA183" i="50" s="1"/>
  <c r="W27" i="50"/>
  <c r="BI27" i="50" s="1"/>
  <c r="V102" i="50"/>
  <c r="BH102" i="50" s="1"/>
  <c r="P14" i="50"/>
  <c r="BB14" i="50" s="1"/>
  <c r="O89" i="50"/>
  <c r="BA89" i="50" s="1"/>
  <c r="O177" i="50"/>
  <c r="BA177" i="50" s="1"/>
  <c r="P117" i="50"/>
  <c r="BB117" i="50" s="1"/>
  <c r="H95" i="50"/>
  <c r="AT95" i="50" s="1"/>
  <c r="H93" i="50"/>
  <c r="AT93" i="50" s="1"/>
  <c r="P123" i="50"/>
  <c r="BB123" i="50" s="1"/>
  <c r="I18" i="50"/>
  <c r="AU18" i="50" s="1"/>
  <c r="O173" i="50"/>
  <c r="BA173" i="50" s="1"/>
  <c r="P113" i="50"/>
  <c r="BB113" i="50" s="1"/>
  <c r="I21" i="50"/>
  <c r="AU21" i="50" s="1"/>
  <c r="O185" i="50"/>
  <c r="BA185" i="50" s="1"/>
  <c r="H96" i="50"/>
  <c r="AT96" i="50" s="1"/>
  <c r="P125" i="50"/>
  <c r="BB125" i="50" s="1"/>
  <c r="I11" i="50"/>
  <c r="AU11" i="50" s="1"/>
  <c r="H86" i="50"/>
  <c r="AT86" i="50" s="1"/>
  <c r="I12" i="50"/>
  <c r="AU12" i="50" s="1"/>
  <c r="H180" i="50"/>
  <c r="AT180" i="50" s="1"/>
  <c r="AT120" i="50"/>
  <c r="I117" i="50"/>
  <c r="AU117" i="50" s="1"/>
  <c r="AT117" i="50"/>
  <c r="O174" i="50"/>
  <c r="BA174" i="50" s="1"/>
  <c r="BA114" i="50"/>
  <c r="I34" i="50"/>
  <c r="AT34" i="50"/>
  <c r="I28" i="50"/>
  <c r="AU28" i="50" s="1"/>
  <c r="AT28" i="50"/>
  <c r="C29" i="67"/>
  <c r="AZ111" i="50"/>
  <c r="C29" i="85" s="1"/>
  <c r="H87" i="50"/>
  <c r="AT87" i="50" s="1"/>
  <c r="I27" i="50"/>
  <c r="AU27" i="50" s="1"/>
  <c r="AT27" i="50"/>
  <c r="V100" i="50"/>
  <c r="BH100" i="50" s="1"/>
  <c r="BH25" i="50"/>
  <c r="V98" i="50"/>
  <c r="BH98" i="50" s="1"/>
  <c r="BH23" i="50"/>
  <c r="O175" i="50"/>
  <c r="BA175" i="50" s="1"/>
  <c r="BA115" i="50"/>
  <c r="W18" i="50"/>
  <c r="BI18" i="50" s="1"/>
  <c r="BH18" i="50"/>
  <c r="O91" i="50"/>
  <c r="BA91" i="50" s="1"/>
  <c r="BA16" i="50"/>
  <c r="H109" i="50"/>
  <c r="AT109" i="50" s="1"/>
  <c r="O184" i="50"/>
  <c r="BA184" i="50" s="1"/>
  <c r="BA124" i="50"/>
  <c r="O86" i="50"/>
  <c r="BA86" i="50" s="1"/>
  <c r="BA11" i="50"/>
  <c r="O92" i="50"/>
  <c r="BA92" i="50" s="1"/>
  <c r="BA17" i="50"/>
  <c r="T280" i="50"/>
  <c r="BF280" i="50" s="1"/>
  <c r="BF10" i="50"/>
  <c r="V180" i="50"/>
  <c r="BH180" i="50" s="1"/>
  <c r="BH120" i="50"/>
  <c r="P34" i="50"/>
  <c r="BB34" i="50" s="1"/>
  <c r="BA34" i="50"/>
  <c r="H108" i="50"/>
  <c r="AT108" i="50" s="1"/>
  <c r="AT33" i="50"/>
  <c r="V105" i="50"/>
  <c r="BH105" i="50" s="1"/>
  <c r="BH30" i="50"/>
  <c r="W117" i="50"/>
  <c r="BI117" i="50" s="1"/>
  <c r="BH117" i="50"/>
  <c r="P130" i="50"/>
  <c r="BB130" i="50" s="1"/>
  <c r="BA130" i="50"/>
  <c r="V186" i="50"/>
  <c r="BH186" i="50" s="1"/>
  <c r="BH126" i="50"/>
  <c r="V104" i="50"/>
  <c r="BH104" i="50" s="1"/>
  <c r="BH29" i="50"/>
  <c r="V182" i="50"/>
  <c r="BH182" i="50" s="1"/>
  <c r="BH122" i="50"/>
  <c r="P18" i="50"/>
  <c r="BA18" i="50"/>
  <c r="BA120" i="50"/>
  <c r="P120" i="50"/>
  <c r="O180" i="50"/>
  <c r="BA180" i="50" s="1"/>
  <c r="H186" i="50"/>
  <c r="AT186" i="50" s="1"/>
  <c r="AT126" i="50"/>
  <c r="D12" i="49"/>
  <c r="J12" i="49" s="1"/>
  <c r="AT32" i="50"/>
  <c r="W121" i="50"/>
  <c r="BI121" i="50" s="1"/>
  <c r="H91" i="50"/>
  <c r="AT91" i="50" s="1"/>
  <c r="AT16" i="50"/>
  <c r="O98" i="50"/>
  <c r="BA98" i="50" s="1"/>
  <c r="BA23" i="50"/>
  <c r="O189" i="50"/>
  <c r="BA189" i="50" s="1"/>
  <c r="BA129" i="50"/>
  <c r="AL24" i="67"/>
  <c r="I47" i="49"/>
  <c r="AL24" i="85" s="1"/>
  <c r="C11" i="67"/>
  <c r="AS111" i="50"/>
  <c r="C11" i="85" s="1"/>
  <c r="C47" i="67"/>
  <c r="BG111" i="50"/>
  <c r="C47" i="85" s="1"/>
  <c r="I114" i="50"/>
  <c r="AU114" i="50" s="1"/>
  <c r="AT114" i="50"/>
  <c r="H106" i="50"/>
  <c r="AT106" i="50" s="1"/>
  <c r="AT31" i="50"/>
  <c r="V184" i="50"/>
  <c r="BH184" i="50" s="1"/>
  <c r="BH124" i="50"/>
  <c r="C25" i="49"/>
  <c r="AY10" i="50"/>
  <c r="U94" i="50"/>
  <c r="BG94" i="50" s="1"/>
  <c r="BG96" i="50"/>
  <c r="M85" i="50"/>
  <c r="AY85" i="50" s="1"/>
  <c r="AY94" i="50"/>
  <c r="N88" i="50"/>
  <c r="AZ88" i="50" s="1"/>
  <c r="AZ90" i="50"/>
  <c r="C11" i="49"/>
  <c r="I11" i="49" s="1"/>
  <c r="AR10" i="50"/>
  <c r="W122" i="50"/>
  <c r="BI122" i="50" s="1"/>
  <c r="O190" i="50"/>
  <c r="BA190" i="50" s="1"/>
  <c r="F280" i="50"/>
  <c r="AR280" i="50" s="1"/>
  <c r="P115" i="50"/>
  <c r="C39" i="49"/>
  <c r="P124" i="50"/>
  <c r="W120" i="50"/>
  <c r="V177" i="50"/>
  <c r="BH177" i="50" s="1"/>
  <c r="W30" i="50"/>
  <c r="I16" i="50"/>
  <c r="P16" i="50"/>
  <c r="P114" i="50"/>
  <c r="W29" i="50"/>
  <c r="P129" i="50"/>
  <c r="G94" i="50"/>
  <c r="AS94" i="50" s="1"/>
  <c r="V93" i="50"/>
  <c r="BH93" i="50" s="1"/>
  <c r="H103" i="50"/>
  <c r="AT103" i="50" s="1"/>
  <c r="I126" i="50"/>
  <c r="P17" i="50"/>
  <c r="P11" i="50"/>
  <c r="M280" i="50"/>
  <c r="AY280" i="50" s="1"/>
  <c r="W23" i="50"/>
  <c r="O13" i="50"/>
  <c r="BA13" i="50" s="1"/>
  <c r="P23" i="50"/>
  <c r="T85" i="50"/>
  <c r="W25" i="50"/>
  <c r="W124" i="50"/>
  <c r="O109" i="50"/>
  <c r="BA109" i="50" s="1"/>
  <c r="U10" i="50"/>
  <c r="BG10" i="50" s="1"/>
  <c r="C42" i="85" s="1"/>
  <c r="O19" i="50"/>
  <c r="BA19" i="50" s="1"/>
  <c r="V19" i="50"/>
  <c r="BH19" i="50" s="1"/>
  <c r="V190" i="50"/>
  <c r="BH190" i="50" s="1"/>
  <c r="W130" i="50"/>
  <c r="BI130" i="50" s="1"/>
  <c r="I33" i="50"/>
  <c r="W126" i="50"/>
  <c r="O111" i="50"/>
  <c r="H177" i="50"/>
  <c r="AT177" i="50" s="1"/>
  <c r="G10" i="50"/>
  <c r="AS10" i="50" s="1"/>
  <c r="C6" i="85" s="1"/>
  <c r="I31" i="50"/>
  <c r="N94" i="50"/>
  <c r="N10" i="50"/>
  <c r="AZ10" i="50" s="1"/>
  <c r="C24" i="85" s="1"/>
  <c r="F85" i="50"/>
  <c r="H102" i="50"/>
  <c r="AT102" i="50" s="1"/>
  <c r="W15" i="50"/>
  <c r="BI15" i="50" s="1"/>
  <c r="V90" i="50"/>
  <c r="BH90" i="50" s="1"/>
  <c r="N171" i="50"/>
  <c r="H174" i="50"/>
  <c r="AT174" i="50" s="1"/>
  <c r="I120" i="50"/>
  <c r="G88" i="50"/>
  <c r="AS88" i="50" s="1"/>
  <c r="W34" i="50"/>
  <c r="BI34" i="50" s="1"/>
  <c r="V109" i="50"/>
  <c r="BH109" i="50" s="1"/>
  <c r="H179" i="50"/>
  <c r="AT179" i="50" s="1"/>
  <c r="I119" i="50"/>
  <c r="AU119" i="50" s="1"/>
  <c r="O187" i="50"/>
  <c r="BA187" i="50" s="1"/>
  <c r="P127" i="50"/>
  <c r="BB127" i="50" s="1"/>
  <c r="P121" i="50"/>
  <c r="BB121" i="50" s="1"/>
  <c r="O181" i="50"/>
  <c r="BA181" i="50" s="1"/>
  <c r="O103" i="50"/>
  <c r="BA103" i="50" s="1"/>
  <c r="P28" i="50"/>
  <c r="BB28" i="50" s="1"/>
  <c r="O176" i="50"/>
  <c r="BA176" i="50" s="1"/>
  <c r="P116" i="50"/>
  <c r="BB116" i="50" s="1"/>
  <c r="U88" i="50"/>
  <c r="H190" i="50"/>
  <c r="AT190" i="50" s="1"/>
  <c r="I130" i="50"/>
  <c r="AU130" i="50" s="1"/>
  <c r="H185" i="50"/>
  <c r="AT185" i="50" s="1"/>
  <c r="I125" i="50"/>
  <c r="AU125" i="50" s="1"/>
  <c r="V187" i="50"/>
  <c r="BH187" i="50" s="1"/>
  <c r="W127" i="50"/>
  <c r="BI127" i="50" s="1"/>
  <c r="V178" i="50"/>
  <c r="BH178" i="50" s="1"/>
  <c r="W118" i="50"/>
  <c r="BI118" i="50" s="1"/>
  <c r="I22" i="50"/>
  <c r="H97" i="50"/>
  <c r="O101" i="50"/>
  <c r="BA101" i="50" s="1"/>
  <c r="P26" i="50"/>
  <c r="BB26" i="50" s="1"/>
  <c r="H189" i="50"/>
  <c r="AT189" i="50" s="1"/>
  <c r="I129" i="50"/>
  <c r="AU129" i="50" s="1"/>
  <c r="V101" i="50"/>
  <c r="BH101" i="50" s="1"/>
  <c r="W26" i="50"/>
  <c r="BI26" i="50" s="1"/>
  <c r="V183" i="50"/>
  <c r="BH183" i="50" s="1"/>
  <c r="W123" i="50"/>
  <c r="BI123" i="50" s="1"/>
  <c r="P24" i="50"/>
  <c r="BB24" i="50" s="1"/>
  <c r="O99" i="50"/>
  <c r="BA99" i="50" s="1"/>
  <c r="O87" i="50"/>
  <c r="BA87" i="50" s="1"/>
  <c r="P12" i="50"/>
  <c r="BB12" i="50" s="1"/>
  <c r="O96" i="50"/>
  <c r="BA96" i="50" s="1"/>
  <c r="P21" i="50"/>
  <c r="BB21" i="50" s="1"/>
  <c r="O186" i="50"/>
  <c r="BA186" i="50" s="1"/>
  <c r="P126" i="50"/>
  <c r="BB126" i="50" s="1"/>
  <c r="V111" i="50"/>
  <c r="V172" i="50"/>
  <c r="BH172" i="50" s="1"/>
  <c r="W112" i="50"/>
  <c r="BI112" i="50" s="1"/>
  <c r="H178" i="50"/>
  <c r="AT178" i="50" s="1"/>
  <c r="I118" i="50"/>
  <c r="AU118" i="50" s="1"/>
  <c r="H100" i="50"/>
  <c r="AT100" i="50" s="1"/>
  <c r="I25" i="50"/>
  <c r="AU25" i="50" s="1"/>
  <c r="V99" i="50"/>
  <c r="BH99" i="50" s="1"/>
  <c r="W24" i="50"/>
  <c r="BI24" i="50" s="1"/>
  <c r="V188" i="50"/>
  <c r="BH188" i="50" s="1"/>
  <c r="W128" i="50"/>
  <c r="BI128" i="50" s="1"/>
  <c r="P106" i="50"/>
  <c r="BB106" i="50" s="1"/>
  <c r="W114" i="50"/>
  <c r="BI114" i="50" s="1"/>
  <c r="V174" i="50"/>
  <c r="BH174" i="50" s="1"/>
  <c r="V179" i="50"/>
  <c r="BH179" i="50" s="1"/>
  <c r="W119" i="50"/>
  <c r="BI119" i="50" s="1"/>
  <c r="H19" i="50"/>
  <c r="AT19" i="50" s="1"/>
  <c r="H104" i="50"/>
  <c r="AT104" i="50" s="1"/>
  <c r="I29" i="50"/>
  <c r="AU29" i="50" s="1"/>
  <c r="V175" i="50"/>
  <c r="BH175" i="50" s="1"/>
  <c r="W115" i="50"/>
  <c r="BI115" i="50" s="1"/>
  <c r="H90" i="50"/>
  <c r="AT90" i="50" s="1"/>
  <c r="I15" i="50"/>
  <c r="AU15" i="50" s="1"/>
  <c r="V87" i="50"/>
  <c r="BH87" i="50" s="1"/>
  <c r="W12" i="50"/>
  <c r="BI12" i="50" s="1"/>
  <c r="V103" i="50"/>
  <c r="BH103" i="50" s="1"/>
  <c r="W28" i="50"/>
  <c r="BI28" i="50" s="1"/>
  <c r="O90" i="50"/>
  <c r="P15" i="50"/>
  <c r="BB15" i="50" s="1"/>
  <c r="H92" i="50"/>
  <c r="AT92" i="50" s="1"/>
  <c r="I17" i="50"/>
  <c r="AU17" i="50" s="1"/>
  <c r="I124" i="50"/>
  <c r="AU124" i="50" s="1"/>
  <c r="H184" i="50"/>
  <c r="AT184" i="50" s="1"/>
  <c r="G171" i="50"/>
  <c r="U171" i="50"/>
  <c r="O97" i="50"/>
  <c r="BA97" i="50" s="1"/>
  <c r="P22" i="50"/>
  <c r="BB22" i="50" s="1"/>
  <c r="H187" i="50"/>
  <c r="AT187" i="50" s="1"/>
  <c r="I127" i="50"/>
  <c r="AU127" i="50" s="1"/>
  <c r="O102" i="50"/>
  <c r="BA102" i="50" s="1"/>
  <c r="P27" i="50"/>
  <c r="BB27" i="50" s="1"/>
  <c r="O108" i="50"/>
  <c r="BA108" i="50" s="1"/>
  <c r="P33" i="50"/>
  <c r="BB33" i="50" s="1"/>
  <c r="V96" i="50"/>
  <c r="W21" i="50"/>
  <c r="BI21" i="50" s="1"/>
  <c r="P182" i="50"/>
  <c r="BB182" i="50" s="1"/>
  <c r="Q122" i="50"/>
  <c r="BC122" i="50" s="1"/>
  <c r="V185" i="50"/>
  <c r="BH185" i="50" s="1"/>
  <c r="W125" i="50"/>
  <c r="BI125" i="50" s="1"/>
  <c r="V91" i="50"/>
  <c r="BH91" i="50" s="1"/>
  <c r="W16" i="50"/>
  <c r="BI16" i="50" s="1"/>
  <c r="P25" i="50"/>
  <c r="BB25" i="50" s="1"/>
  <c r="O100" i="50"/>
  <c r="BA100" i="50" s="1"/>
  <c r="P128" i="50"/>
  <c r="BB128" i="50" s="1"/>
  <c r="O188" i="50"/>
  <c r="BA188" i="50" s="1"/>
  <c r="O178" i="50"/>
  <c r="BA178" i="50" s="1"/>
  <c r="P118" i="50"/>
  <c r="BB118" i="50" s="1"/>
  <c r="H101" i="50"/>
  <c r="AT101" i="50" s="1"/>
  <c r="I26" i="50"/>
  <c r="AU26" i="50" s="1"/>
  <c r="H183" i="50"/>
  <c r="AT183" i="50" s="1"/>
  <c r="I123" i="50"/>
  <c r="AU123" i="50" s="1"/>
  <c r="H181" i="50"/>
  <c r="AT181" i="50" s="1"/>
  <c r="I121" i="50"/>
  <c r="AU121" i="50" s="1"/>
  <c r="V173" i="50"/>
  <c r="BH173" i="50" s="1"/>
  <c r="W113" i="50"/>
  <c r="BI113" i="50" s="1"/>
  <c r="H182" i="50"/>
  <c r="AT182" i="50" s="1"/>
  <c r="I122" i="50"/>
  <c r="AU122" i="50" s="1"/>
  <c r="V176" i="50"/>
  <c r="BH176" i="50" s="1"/>
  <c r="W116" i="50"/>
  <c r="BI116" i="50" s="1"/>
  <c r="Q20" i="50"/>
  <c r="BC20" i="50" s="1"/>
  <c r="W129" i="50"/>
  <c r="BI129" i="50" s="1"/>
  <c r="V189" i="50"/>
  <c r="BH189" i="50" s="1"/>
  <c r="H173" i="50"/>
  <c r="AT173" i="50" s="1"/>
  <c r="I113" i="50"/>
  <c r="AU113" i="50" s="1"/>
  <c r="H13" i="50"/>
  <c r="AT13" i="50" s="1"/>
  <c r="H89" i="50"/>
  <c r="AT89" i="50" s="1"/>
  <c r="I14" i="50"/>
  <c r="AU14" i="50" s="1"/>
  <c r="O104" i="50"/>
  <c r="BA104" i="50" s="1"/>
  <c r="P29" i="50"/>
  <c r="BB29" i="50" s="1"/>
  <c r="V108" i="50"/>
  <c r="BH108" i="50" s="1"/>
  <c r="W33" i="50"/>
  <c r="BI33" i="50" s="1"/>
  <c r="H107" i="50"/>
  <c r="AT107" i="50" s="1"/>
  <c r="I32" i="50"/>
  <c r="AU32" i="50" s="1"/>
  <c r="V86" i="50"/>
  <c r="BH86" i="50" s="1"/>
  <c r="W11" i="50"/>
  <c r="BI11" i="50" s="1"/>
  <c r="H188" i="50"/>
  <c r="AT188" i="50" s="1"/>
  <c r="I128" i="50"/>
  <c r="AU128" i="50" s="1"/>
  <c r="H172" i="50"/>
  <c r="AT172" i="50" s="1"/>
  <c r="H111" i="50"/>
  <c r="I112" i="50"/>
  <c r="AU112" i="50" s="1"/>
  <c r="V13" i="50"/>
  <c r="BH13" i="50" s="1"/>
  <c r="V89" i="50"/>
  <c r="BH89" i="50" s="1"/>
  <c r="W14" i="50"/>
  <c r="BI14" i="50" s="1"/>
  <c r="Q112" i="50" l="1"/>
  <c r="BC112" i="50" s="1"/>
  <c r="P95" i="50"/>
  <c r="BB95" i="50" s="1"/>
  <c r="I176" i="50"/>
  <c r="AU176" i="50" s="1"/>
  <c r="P172" i="50"/>
  <c r="BB172" i="50" s="1"/>
  <c r="J116" i="50"/>
  <c r="AV116" i="50" s="1"/>
  <c r="I175" i="50"/>
  <c r="AU175" i="50" s="1"/>
  <c r="Q31" i="50"/>
  <c r="BC31" i="50" s="1"/>
  <c r="Q32" i="50"/>
  <c r="BC32" i="50" s="1"/>
  <c r="E26" i="49"/>
  <c r="K26" i="49" s="1"/>
  <c r="P107" i="50"/>
  <c r="BB107" i="50" s="1"/>
  <c r="J24" i="50"/>
  <c r="AV24" i="50" s="1"/>
  <c r="I99" i="50"/>
  <c r="AU99" i="50" s="1"/>
  <c r="J115" i="50"/>
  <c r="AV115" i="50" s="1"/>
  <c r="X31" i="50"/>
  <c r="BJ31" i="50" s="1"/>
  <c r="W106" i="50"/>
  <c r="BI106" i="50" s="1"/>
  <c r="J30" i="50"/>
  <c r="AV30" i="50" s="1"/>
  <c r="I105" i="50"/>
  <c r="AU105" i="50" s="1"/>
  <c r="J18" i="50"/>
  <c r="AV18" i="50" s="1"/>
  <c r="I98" i="50"/>
  <c r="AU98" i="50" s="1"/>
  <c r="W97" i="50"/>
  <c r="BI97" i="50" s="1"/>
  <c r="J23" i="50"/>
  <c r="AV23" i="50" s="1"/>
  <c r="X22" i="50"/>
  <c r="BJ22" i="50" s="1"/>
  <c r="P105" i="50"/>
  <c r="BB105" i="50" s="1"/>
  <c r="W95" i="50"/>
  <c r="BI95" i="50" s="1"/>
  <c r="X17" i="50"/>
  <c r="BJ17" i="50" s="1"/>
  <c r="W92" i="50"/>
  <c r="BI92" i="50" s="1"/>
  <c r="Q30" i="50"/>
  <c r="BC30" i="50" s="1"/>
  <c r="J28" i="50"/>
  <c r="AV28" i="50" s="1"/>
  <c r="I103" i="50"/>
  <c r="AU103" i="50" s="1"/>
  <c r="J20" i="50"/>
  <c r="AV20" i="50" s="1"/>
  <c r="I95" i="50"/>
  <c r="AU95" i="50" s="1"/>
  <c r="Q117" i="50"/>
  <c r="BC117" i="50" s="1"/>
  <c r="P177" i="50"/>
  <c r="BB177" i="50" s="1"/>
  <c r="X32" i="50"/>
  <c r="X107" i="50" s="1"/>
  <c r="BJ107" i="50" s="1"/>
  <c r="E40" i="49"/>
  <c r="K40" i="49" s="1"/>
  <c r="BI32" i="50"/>
  <c r="X20" i="50"/>
  <c r="BJ20" i="50" s="1"/>
  <c r="P185" i="50"/>
  <c r="BB185" i="50" s="1"/>
  <c r="X27" i="50"/>
  <c r="BJ27" i="50" s="1"/>
  <c r="Q130" i="50"/>
  <c r="BC130" i="50" s="1"/>
  <c r="W102" i="50"/>
  <c r="BI102" i="50" s="1"/>
  <c r="Q119" i="50"/>
  <c r="BC119" i="50" s="1"/>
  <c r="P179" i="50"/>
  <c r="BB179" i="50" s="1"/>
  <c r="J12" i="50"/>
  <c r="AV12" i="50" s="1"/>
  <c r="I87" i="50"/>
  <c r="AU87" i="50" s="1"/>
  <c r="I93" i="50"/>
  <c r="AU93" i="50" s="1"/>
  <c r="W181" i="50"/>
  <c r="BI181" i="50" s="1"/>
  <c r="Q14" i="50"/>
  <c r="BC14" i="50" s="1"/>
  <c r="P89" i="50"/>
  <c r="BB89" i="50" s="1"/>
  <c r="P190" i="50"/>
  <c r="BB190" i="50" s="1"/>
  <c r="I174" i="50"/>
  <c r="AU174" i="50" s="1"/>
  <c r="Q34" i="50"/>
  <c r="BC34" i="50" s="1"/>
  <c r="J114" i="50"/>
  <c r="AV114" i="50" s="1"/>
  <c r="X122" i="50"/>
  <c r="BJ122" i="50" s="1"/>
  <c r="P109" i="50"/>
  <c r="BB109" i="50" s="1"/>
  <c r="W182" i="50"/>
  <c r="BI182" i="50" s="1"/>
  <c r="Q125" i="50"/>
  <c r="BC125" i="50" s="1"/>
  <c r="Q123" i="50"/>
  <c r="BC123" i="50" s="1"/>
  <c r="P183" i="50"/>
  <c r="BB183" i="50" s="1"/>
  <c r="X117" i="50"/>
  <c r="BJ117" i="50" s="1"/>
  <c r="W177" i="50"/>
  <c r="BI177" i="50" s="1"/>
  <c r="J117" i="50"/>
  <c r="AV117" i="50" s="1"/>
  <c r="J21" i="50"/>
  <c r="AV21" i="50" s="1"/>
  <c r="C10" i="49"/>
  <c r="I10" i="49" s="1"/>
  <c r="AL5" i="85" s="1"/>
  <c r="Q113" i="50"/>
  <c r="BC113" i="50" s="1"/>
  <c r="I177" i="50"/>
  <c r="AU177" i="50" s="1"/>
  <c r="I96" i="50"/>
  <c r="AU96" i="50" s="1"/>
  <c r="P173" i="50"/>
  <c r="BB173" i="50" s="1"/>
  <c r="J11" i="50"/>
  <c r="AV11" i="50" s="1"/>
  <c r="I86" i="50"/>
  <c r="AU86" i="50" s="1"/>
  <c r="J27" i="50"/>
  <c r="AV27" i="50" s="1"/>
  <c r="X18" i="50"/>
  <c r="BJ18" i="50" s="1"/>
  <c r="W93" i="50"/>
  <c r="BI93" i="50" s="1"/>
  <c r="I102" i="50"/>
  <c r="AU102" i="50" s="1"/>
  <c r="J33" i="50"/>
  <c r="AV33" i="50" s="1"/>
  <c r="AU33" i="50"/>
  <c r="Q115" i="50"/>
  <c r="BC115" i="50" s="1"/>
  <c r="BB115" i="50"/>
  <c r="D47" i="67"/>
  <c r="BH111" i="50"/>
  <c r="D47" i="85" s="1"/>
  <c r="P91" i="50"/>
  <c r="BB91" i="50" s="1"/>
  <c r="BB16" i="50"/>
  <c r="BB18" i="50"/>
  <c r="Q18" i="50"/>
  <c r="P93" i="50"/>
  <c r="BB93" i="50" s="1"/>
  <c r="AU34" i="50"/>
  <c r="I109" i="50"/>
  <c r="AU109" i="50" s="1"/>
  <c r="J34" i="50"/>
  <c r="J120" i="50"/>
  <c r="AV120" i="50" s="1"/>
  <c r="AU120" i="50"/>
  <c r="P98" i="50"/>
  <c r="BB98" i="50" s="1"/>
  <c r="BB23" i="50"/>
  <c r="I91" i="50"/>
  <c r="AU91" i="50" s="1"/>
  <c r="AU16" i="50"/>
  <c r="I186" i="50"/>
  <c r="AU186" i="50" s="1"/>
  <c r="AU126" i="50"/>
  <c r="I106" i="50"/>
  <c r="AU106" i="50" s="1"/>
  <c r="AU31" i="50"/>
  <c r="W105" i="50"/>
  <c r="BI105" i="50" s="1"/>
  <c r="BI30" i="50"/>
  <c r="P174" i="50"/>
  <c r="BB174" i="50" s="1"/>
  <c r="BB114" i="50"/>
  <c r="W98" i="50"/>
  <c r="BI98" i="50" s="1"/>
  <c r="BI23" i="50"/>
  <c r="X25" i="50"/>
  <c r="BJ25" i="50" s="1"/>
  <c r="BI25" i="50"/>
  <c r="D11" i="67"/>
  <c r="AT111" i="50"/>
  <c r="D11" i="85" s="1"/>
  <c r="X120" i="50"/>
  <c r="BJ120" i="50" s="1"/>
  <c r="BI120" i="50"/>
  <c r="C24" i="49"/>
  <c r="I25" i="49"/>
  <c r="D29" i="67"/>
  <c r="BA111" i="50"/>
  <c r="D29" i="85" s="1"/>
  <c r="Q11" i="50"/>
  <c r="BC11" i="50" s="1"/>
  <c r="BB11" i="50"/>
  <c r="P189" i="50"/>
  <c r="BB189" i="50" s="1"/>
  <c r="BB129" i="50"/>
  <c r="P184" i="50"/>
  <c r="BB184" i="50" s="1"/>
  <c r="BB124" i="50"/>
  <c r="BB120" i="50"/>
  <c r="Q120" i="50"/>
  <c r="P180" i="50"/>
  <c r="BB180" i="50" s="1"/>
  <c r="X121" i="50"/>
  <c r="BJ121" i="50" s="1"/>
  <c r="I19" i="50"/>
  <c r="AU19" i="50" s="1"/>
  <c r="AU22" i="50"/>
  <c r="X126" i="50"/>
  <c r="BJ126" i="50" s="1"/>
  <c r="BI126" i="50"/>
  <c r="W184" i="50"/>
  <c r="BI184" i="50" s="1"/>
  <c r="BI124" i="50"/>
  <c r="P92" i="50"/>
  <c r="BB92" i="50" s="1"/>
  <c r="BB17" i="50"/>
  <c r="W104" i="50"/>
  <c r="BI104" i="50" s="1"/>
  <c r="BI29" i="50"/>
  <c r="C38" i="49"/>
  <c r="I39" i="49"/>
  <c r="M283" i="50"/>
  <c r="AY283" i="50" s="1"/>
  <c r="H94" i="50"/>
  <c r="AT94" i="50" s="1"/>
  <c r="AT97" i="50"/>
  <c r="F283" i="50"/>
  <c r="AR283" i="50" s="1"/>
  <c r="AR85" i="50"/>
  <c r="C14" i="67"/>
  <c r="AS171" i="50"/>
  <c r="C14" i="85" s="1"/>
  <c r="T283" i="50"/>
  <c r="BF85" i="50"/>
  <c r="C50" i="67"/>
  <c r="BG171" i="50"/>
  <c r="C50" i="85" s="1"/>
  <c r="N85" i="50"/>
  <c r="N283" i="50" s="1"/>
  <c r="AZ283" i="50" s="1"/>
  <c r="AZ94" i="50"/>
  <c r="O88" i="50"/>
  <c r="BA88" i="50" s="1"/>
  <c r="BA90" i="50"/>
  <c r="V94" i="50"/>
  <c r="BH94" i="50" s="1"/>
  <c r="BH96" i="50"/>
  <c r="U85" i="50"/>
  <c r="U283" i="50" s="1"/>
  <c r="BG283" i="50" s="1"/>
  <c r="BG88" i="50"/>
  <c r="C32" i="67"/>
  <c r="AZ171" i="50"/>
  <c r="C32" i="85" s="1"/>
  <c r="G280" i="50"/>
  <c r="AS280" i="50" s="1"/>
  <c r="C6" i="67"/>
  <c r="N280" i="50"/>
  <c r="AZ280" i="50" s="1"/>
  <c r="C24" i="67"/>
  <c r="U280" i="50"/>
  <c r="BG280" i="50" s="1"/>
  <c r="C42" i="67"/>
  <c r="P175" i="50"/>
  <c r="BB175" i="50" s="1"/>
  <c r="Q114" i="50"/>
  <c r="X30" i="50"/>
  <c r="Q124" i="50"/>
  <c r="J16" i="50"/>
  <c r="X124" i="50"/>
  <c r="W180" i="50"/>
  <c r="BI180" i="50" s="1"/>
  <c r="Q16" i="50"/>
  <c r="Q23" i="50"/>
  <c r="J126" i="50"/>
  <c r="D11" i="49"/>
  <c r="W186" i="50"/>
  <c r="BI186" i="50" s="1"/>
  <c r="X29" i="50"/>
  <c r="Q17" i="50"/>
  <c r="W19" i="50"/>
  <c r="BI19" i="50" s="1"/>
  <c r="X23" i="50"/>
  <c r="P86" i="50"/>
  <c r="BB86" i="50" s="1"/>
  <c r="V10" i="50"/>
  <c r="O10" i="50"/>
  <c r="BA10" i="50" s="1"/>
  <c r="D24" i="85" s="1"/>
  <c r="G85" i="50"/>
  <c r="AS85" i="50" s="1"/>
  <c r="C9" i="85" s="1"/>
  <c r="Q129" i="50"/>
  <c r="W100" i="50"/>
  <c r="BI100" i="50" s="1"/>
  <c r="I108" i="50"/>
  <c r="AU108" i="50" s="1"/>
  <c r="D25" i="49"/>
  <c r="D39" i="49"/>
  <c r="I180" i="50"/>
  <c r="AU180" i="50" s="1"/>
  <c r="J31" i="50"/>
  <c r="W190" i="50"/>
  <c r="BI190" i="50" s="1"/>
  <c r="X130" i="50"/>
  <c r="BJ130" i="50" s="1"/>
  <c r="P19" i="50"/>
  <c r="BB19" i="50" s="1"/>
  <c r="W90" i="50"/>
  <c r="BI90" i="50" s="1"/>
  <c r="X15" i="50"/>
  <c r="BJ15" i="50" s="1"/>
  <c r="V88" i="50"/>
  <c r="H10" i="50"/>
  <c r="AT10" i="50" s="1"/>
  <c r="D6" i="85" s="1"/>
  <c r="H88" i="50"/>
  <c r="H171" i="50"/>
  <c r="X34" i="50"/>
  <c r="BJ34" i="50" s="1"/>
  <c r="W109" i="50"/>
  <c r="BI109" i="50" s="1"/>
  <c r="O171" i="50"/>
  <c r="J119" i="50"/>
  <c r="AV119" i="50" s="1"/>
  <c r="I179" i="50"/>
  <c r="AU179" i="50" s="1"/>
  <c r="P176" i="50"/>
  <c r="BB176" i="50" s="1"/>
  <c r="Q116" i="50"/>
  <c r="BC116" i="50" s="1"/>
  <c r="O94" i="50"/>
  <c r="P181" i="50"/>
  <c r="BB181" i="50" s="1"/>
  <c r="Q121" i="50"/>
  <c r="BC121" i="50" s="1"/>
  <c r="Q28" i="50"/>
  <c r="BC28" i="50" s="1"/>
  <c r="P103" i="50"/>
  <c r="BB103" i="50" s="1"/>
  <c r="P187" i="50"/>
  <c r="BB187" i="50" s="1"/>
  <c r="Q127" i="50"/>
  <c r="BC127" i="50" s="1"/>
  <c r="I190" i="50"/>
  <c r="AU190" i="50" s="1"/>
  <c r="J130" i="50"/>
  <c r="AV130" i="50" s="1"/>
  <c r="J125" i="50"/>
  <c r="AV125" i="50" s="1"/>
  <c r="I185" i="50"/>
  <c r="AU185" i="50" s="1"/>
  <c r="W173" i="50"/>
  <c r="BI173" i="50" s="1"/>
  <c r="X113" i="50"/>
  <c r="BJ113" i="50" s="1"/>
  <c r="I183" i="50"/>
  <c r="AU183" i="50" s="1"/>
  <c r="J123" i="50"/>
  <c r="AV123" i="50" s="1"/>
  <c r="P178" i="50"/>
  <c r="BB178" i="50" s="1"/>
  <c r="Q118" i="50"/>
  <c r="BC118" i="50" s="1"/>
  <c r="W91" i="50"/>
  <c r="BI91" i="50" s="1"/>
  <c r="X16" i="50"/>
  <c r="BJ16" i="50" s="1"/>
  <c r="W185" i="50"/>
  <c r="BI185" i="50" s="1"/>
  <c r="X125" i="50"/>
  <c r="BJ125" i="50" s="1"/>
  <c r="P108" i="50"/>
  <c r="BB108" i="50" s="1"/>
  <c r="Q33" i="50"/>
  <c r="BC33" i="50" s="1"/>
  <c r="P97" i="50"/>
  <c r="BB97" i="50" s="1"/>
  <c r="Q22" i="50"/>
  <c r="BC22" i="50" s="1"/>
  <c r="P111" i="50"/>
  <c r="P90" i="50"/>
  <c r="Q15" i="50"/>
  <c r="BC15" i="50" s="1"/>
  <c r="X12" i="50"/>
  <c r="BJ12" i="50" s="1"/>
  <c r="W87" i="50"/>
  <c r="BI87" i="50" s="1"/>
  <c r="J15" i="50"/>
  <c r="AV15" i="50" s="1"/>
  <c r="I90" i="50"/>
  <c r="AU90" i="50" s="1"/>
  <c r="X119" i="50"/>
  <c r="BJ119" i="50" s="1"/>
  <c r="W179" i="50"/>
  <c r="BI179" i="50" s="1"/>
  <c r="P96" i="50"/>
  <c r="BB96" i="50" s="1"/>
  <c r="Q21" i="50"/>
  <c r="BC21" i="50" s="1"/>
  <c r="W101" i="50"/>
  <c r="BI101" i="50" s="1"/>
  <c r="X26" i="50"/>
  <c r="BJ26" i="50" s="1"/>
  <c r="W108" i="50"/>
  <c r="BI108" i="50" s="1"/>
  <c r="X33" i="50"/>
  <c r="BJ33" i="50" s="1"/>
  <c r="W189" i="50"/>
  <c r="BI189" i="50" s="1"/>
  <c r="X129" i="50"/>
  <c r="BJ129" i="50" s="1"/>
  <c r="J122" i="50"/>
  <c r="AV122" i="50" s="1"/>
  <c r="I182" i="50"/>
  <c r="AU182" i="50" s="1"/>
  <c r="W13" i="50"/>
  <c r="BI13" i="50" s="1"/>
  <c r="X14" i="50"/>
  <c r="BJ14" i="50" s="1"/>
  <c r="W89" i="50"/>
  <c r="BI89" i="50" s="1"/>
  <c r="J32" i="50"/>
  <c r="AV32" i="50" s="1"/>
  <c r="E12" i="49"/>
  <c r="K12" i="49" s="1"/>
  <c r="I107" i="50"/>
  <c r="AU107" i="50" s="1"/>
  <c r="I173" i="50"/>
  <c r="AU173" i="50" s="1"/>
  <c r="J113" i="50"/>
  <c r="AV113" i="50" s="1"/>
  <c r="R20" i="50"/>
  <c r="BD20" i="50" s="1"/>
  <c r="Q95" i="50"/>
  <c r="BC95" i="50" s="1"/>
  <c r="W176" i="50"/>
  <c r="BI176" i="50" s="1"/>
  <c r="X116" i="50"/>
  <c r="BJ116" i="50" s="1"/>
  <c r="P188" i="50"/>
  <c r="BB188" i="50" s="1"/>
  <c r="Q128" i="50"/>
  <c r="BC128" i="50" s="1"/>
  <c r="W96" i="50"/>
  <c r="X21" i="50"/>
  <c r="BJ21" i="50" s="1"/>
  <c r="I187" i="50"/>
  <c r="AU187" i="50" s="1"/>
  <c r="J127" i="50"/>
  <c r="AV127" i="50" s="1"/>
  <c r="I104" i="50"/>
  <c r="AU104" i="50" s="1"/>
  <c r="J29" i="50"/>
  <c r="AV29" i="50" s="1"/>
  <c r="P99" i="50"/>
  <c r="BB99" i="50" s="1"/>
  <c r="Q24" i="50"/>
  <c r="P101" i="50"/>
  <c r="BB101" i="50" s="1"/>
  <c r="Q26" i="50"/>
  <c r="BC26" i="50" s="1"/>
  <c r="W187" i="50"/>
  <c r="BI187" i="50" s="1"/>
  <c r="X127" i="50"/>
  <c r="BJ127" i="50" s="1"/>
  <c r="I111" i="50"/>
  <c r="I172" i="50"/>
  <c r="AU172" i="50" s="1"/>
  <c r="J112" i="50"/>
  <c r="AV112" i="50" s="1"/>
  <c r="J128" i="50"/>
  <c r="AV128" i="50" s="1"/>
  <c r="I188" i="50"/>
  <c r="AU188" i="50" s="1"/>
  <c r="P104" i="50"/>
  <c r="BB104" i="50" s="1"/>
  <c r="Q29" i="50"/>
  <c r="BC29" i="50" s="1"/>
  <c r="I101" i="50"/>
  <c r="AU101" i="50" s="1"/>
  <c r="J26" i="50"/>
  <c r="AV26" i="50" s="1"/>
  <c r="P102" i="50"/>
  <c r="BB102" i="50" s="1"/>
  <c r="Q27" i="50"/>
  <c r="BC27" i="50" s="1"/>
  <c r="I184" i="50"/>
  <c r="AU184" i="50" s="1"/>
  <c r="J124" i="50"/>
  <c r="AV124" i="50" s="1"/>
  <c r="W103" i="50"/>
  <c r="BI103" i="50" s="1"/>
  <c r="X28" i="50"/>
  <c r="BJ28" i="50" s="1"/>
  <c r="W175" i="50"/>
  <c r="BI175" i="50" s="1"/>
  <c r="X115" i="50"/>
  <c r="BJ115" i="50" s="1"/>
  <c r="P13" i="50"/>
  <c r="BB13" i="50" s="1"/>
  <c r="W188" i="50"/>
  <c r="BI188" i="50" s="1"/>
  <c r="X128" i="50"/>
  <c r="BJ128" i="50" s="1"/>
  <c r="W99" i="50"/>
  <c r="BI99" i="50" s="1"/>
  <c r="X24" i="50"/>
  <c r="BJ24" i="50" s="1"/>
  <c r="J118" i="50"/>
  <c r="AV118" i="50" s="1"/>
  <c r="I178" i="50"/>
  <c r="AU178" i="50" s="1"/>
  <c r="W111" i="50"/>
  <c r="X112" i="50"/>
  <c r="BJ112" i="50" s="1"/>
  <c r="W172" i="50"/>
  <c r="BI172" i="50" s="1"/>
  <c r="Q126" i="50"/>
  <c r="BC126" i="50" s="1"/>
  <c r="P186" i="50"/>
  <c r="BB186" i="50" s="1"/>
  <c r="P87" i="50"/>
  <c r="BB87" i="50" s="1"/>
  <c r="Q12" i="50"/>
  <c r="BC12" i="50" s="1"/>
  <c r="W183" i="50"/>
  <c r="BI183" i="50" s="1"/>
  <c r="X123" i="50"/>
  <c r="BJ123" i="50" s="1"/>
  <c r="I97" i="50"/>
  <c r="J22" i="50"/>
  <c r="AV22" i="50" s="1"/>
  <c r="I13" i="50"/>
  <c r="I89" i="50"/>
  <c r="AU89" i="50" s="1"/>
  <c r="J14" i="50"/>
  <c r="AV14" i="50" s="1"/>
  <c r="I181" i="50"/>
  <c r="AU181" i="50" s="1"/>
  <c r="J121" i="50"/>
  <c r="AV121" i="50" s="1"/>
  <c r="X11" i="50"/>
  <c r="BJ11" i="50" s="1"/>
  <c r="W86" i="50"/>
  <c r="BI86" i="50" s="1"/>
  <c r="P100" i="50"/>
  <c r="BB100" i="50" s="1"/>
  <c r="Q25" i="50"/>
  <c r="BC25" i="50" s="1"/>
  <c r="Q182" i="50"/>
  <c r="BC182" i="50" s="1"/>
  <c r="R122" i="50"/>
  <c r="Q172" i="50"/>
  <c r="BC172" i="50" s="1"/>
  <c r="R112" i="50"/>
  <c r="BD112" i="50" s="1"/>
  <c r="I92" i="50"/>
  <c r="AU92" i="50" s="1"/>
  <c r="J17" i="50"/>
  <c r="AV17" i="50" s="1"/>
  <c r="W174" i="50"/>
  <c r="BI174" i="50" s="1"/>
  <c r="X114" i="50"/>
  <c r="BJ114" i="50" s="1"/>
  <c r="I100" i="50"/>
  <c r="AU100" i="50" s="1"/>
  <c r="J25" i="50"/>
  <c r="AV25" i="50" s="1"/>
  <c r="V171" i="50"/>
  <c r="I189" i="50"/>
  <c r="AU189" i="50" s="1"/>
  <c r="J129" i="50"/>
  <c r="AV129" i="50" s="1"/>
  <c r="W178" i="50"/>
  <c r="BI178" i="50" s="1"/>
  <c r="X118" i="50"/>
  <c r="BJ118" i="50" s="1"/>
  <c r="J176" i="50" l="1"/>
  <c r="AV176" i="50" s="1"/>
  <c r="K116" i="50"/>
  <c r="K176" i="50" s="1"/>
  <c r="AW176" i="50" s="1"/>
  <c r="F26" i="49"/>
  <c r="L26" i="49" s="1"/>
  <c r="Q106" i="50"/>
  <c r="BC106" i="50" s="1"/>
  <c r="R31" i="50"/>
  <c r="R106" i="50" s="1"/>
  <c r="BD106" i="50" s="1"/>
  <c r="J175" i="50"/>
  <c r="AV175" i="50" s="1"/>
  <c r="K24" i="50"/>
  <c r="AW24" i="50" s="1"/>
  <c r="J99" i="50"/>
  <c r="AV99" i="50" s="1"/>
  <c r="J105" i="50"/>
  <c r="AV105" i="50" s="1"/>
  <c r="Q177" i="50"/>
  <c r="BC177" i="50" s="1"/>
  <c r="K30" i="50"/>
  <c r="K105" i="50" s="1"/>
  <c r="AW105" i="50" s="1"/>
  <c r="Q107" i="50"/>
  <c r="BC107" i="50" s="1"/>
  <c r="R32" i="50"/>
  <c r="BD32" i="50" s="1"/>
  <c r="K115" i="50"/>
  <c r="K175" i="50" s="1"/>
  <c r="AW175" i="50" s="1"/>
  <c r="Y31" i="50"/>
  <c r="BK31" i="50" s="1"/>
  <c r="X106" i="50"/>
  <c r="BJ106" i="50" s="1"/>
  <c r="Y32" i="50"/>
  <c r="BK32" i="50" s="1"/>
  <c r="K18" i="50"/>
  <c r="K93" i="50" s="1"/>
  <c r="AW93" i="50" s="1"/>
  <c r="J93" i="50"/>
  <c r="AV93" i="50" s="1"/>
  <c r="K28" i="50"/>
  <c r="K103" i="50" s="1"/>
  <c r="AW103" i="50" s="1"/>
  <c r="J103" i="50"/>
  <c r="AV103" i="50" s="1"/>
  <c r="K23" i="50"/>
  <c r="AW23" i="50" s="1"/>
  <c r="J98" i="50"/>
  <c r="AV98" i="50" s="1"/>
  <c r="BJ32" i="50"/>
  <c r="F40" i="49"/>
  <c r="L40" i="49" s="1"/>
  <c r="Y22" i="50"/>
  <c r="Y97" i="50" s="1"/>
  <c r="BK97" i="50" s="1"/>
  <c r="J95" i="50"/>
  <c r="AV95" i="50" s="1"/>
  <c r="X97" i="50"/>
  <c r="BJ97" i="50" s="1"/>
  <c r="K20" i="50"/>
  <c r="AW20" i="50" s="1"/>
  <c r="R30" i="50"/>
  <c r="R105" i="50" s="1"/>
  <c r="BD105" i="50" s="1"/>
  <c r="Q105" i="50"/>
  <c r="BC105" i="50" s="1"/>
  <c r="R117" i="50"/>
  <c r="R177" i="50" s="1"/>
  <c r="BD177" i="50" s="1"/>
  <c r="Y20" i="50"/>
  <c r="BK20" i="50" s="1"/>
  <c r="X95" i="50"/>
  <c r="BJ95" i="50" s="1"/>
  <c r="X92" i="50"/>
  <c r="BJ92" i="50" s="1"/>
  <c r="Y17" i="50"/>
  <c r="BK17" i="50" s="1"/>
  <c r="J177" i="50"/>
  <c r="AV177" i="50" s="1"/>
  <c r="Y27" i="50"/>
  <c r="Y102" i="50" s="1"/>
  <c r="BK102" i="50" s="1"/>
  <c r="K21" i="50"/>
  <c r="K96" i="50" s="1"/>
  <c r="AW96" i="50" s="1"/>
  <c r="K27" i="50"/>
  <c r="K102" i="50" s="1"/>
  <c r="AW102" i="50" s="1"/>
  <c r="X102" i="50"/>
  <c r="BJ102" i="50" s="1"/>
  <c r="Q190" i="50"/>
  <c r="BC190" i="50" s="1"/>
  <c r="R130" i="50"/>
  <c r="BD130" i="50" s="1"/>
  <c r="R115" i="50"/>
  <c r="BD115" i="50" s="1"/>
  <c r="J86" i="50"/>
  <c r="AV86" i="50" s="1"/>
  <c r="Q175" i="50"/>
  <c r="BC175" i="50" s="1"/>
  <c r="K11" i="50"/>
  <c r="AW11" i="50" s="1"/>
  <c r="Q179" i="50"/>
  <c r="BC179" i="50" s="1"/>
  <c r="Q86" i="50"/>
  <c r="BC86" i="50" s="1"/>
  <c r="R11" i="50"/>
  <c r="BD11" i="50" s="1"/>
  <c r="K114" i="50"/>
  <c r="K174" i="50" s="1"/>
  <c r="AW174" i="50" s="1"/>
  <c r="J174" i="50"/>
  <c r="AV174" i="50" s="1"/>
  <c r="J87" i="50"/>
  <c r="AV87" i="50" s="1"/>
  <c r="Y117" i="50"/>
  <c r="Y177" i="50" s="1"/>
  <c r="BK177" i="50" s="1"/>
  <c r="X177" i="50"/>
  <c r="BJ177" i="50" s="1"/>
  <c r="R119" i="50"/>
  <c r="BD119" i="50" s="1"/>
  <c r="R34" i="50"/>
  <c r="R109" i="50" s="1"/>
  <c r="BD109" i="50" s="1"/>
  <c r="Q109" i="50"/>
  <c r="BC109" i="50" s="1"/>
  <c r="Q183" i="50"/>
  <c r="BC183" i="50" s="1"/>
  <c r="K12" i="50"/>
  <c r="AW12" i="50" s="1"/>
  <c r="X100" i="50"/>
  <c r="BJ100" i="50" s="1"/>
  <c r="R14" i="50"/>
  <c r="BD14" i="50" s="1"/>
  <c r="Q89" i="50"/>
  <c r="BC89" i="50" s="1"/>
  <c r="R123" i="50"/>
  <c r="BD123" i="50" s="1"/>
  <c r="J108" i="50"/>
  <c r="AV108" i="50" s="1"/>
  <c r="Y25" i="50"/>
  <c r="BK25" i="50" s="1"/>
  <c r="J102" i="50"/>
  <c r="AV102" i="50" s="1"/>
  <c r="J96" i="50"/>
  <c r="AV96" i="50" s="1"/>
  <c r="R125" i="50"/>
  <c r="R185" i="50" s="1"/>
  <c r="BD185" i="50" s="1"/>
  <c r="Q185" i="50"/>
  <c r="BC185" i="50" s="1"/>
  <c r="Y122" i="50"/>
  <c r="Y182" i="50" s="1"/>
  <c r="BK182" i="50" s="1"/>
  <c r="X182" i="50"/>
  <c r="BJ182" i="50" s="1"/>
  <c r="R113" i="50"/>
  <c r="R173" i="50" s="1"/>
  <c r="BD173" i="50" s="1"/>
  <c r="K117" i="50"/>
  <c r="K177" i="50" s="1"/>
  <c r="AW177" i="50" s="1"/>
  <c r="AL5" i="67"/>
  <c r="Y18" i="50"/>
  <c r="Y93" i="50" s="1"/>
  <c r="BK93" i="50" s="1"/>
  <c r="X93" i="50"/>
  <c r="BJ93" i="50" s="1"/>
  <c r="Y121" i="50"/>
  <c r="BK121" i="50" s="1"/>
  <c r="X181" i="50"/>
  <c r="BJ181" i="50" s="1"/>
  <c r="Y126" i="50"/>
  <c r="Y186" i="50" s="1"/>
  <c r="BK186" i="50" s="1"/>
  <c r="Y120" i="50"/>
  <c r="Y180" i="50" s="1"/>
  <c r="BK180" i="50" s="1"/>
  <c r="X186" i="50"/>
  <c r="BJ186" i="50" s="1"/>
  <c r="X180" i="50"/>
  <c r="BJ180" i="50" s="1"/>
  <c r="K120" i="50"/>
  <c r="K180" i="50" s="1"/>
  <c r="AW180" i="50" s="1"/>
  <c r="Q173" i="50"/>
  <c r="BC173" i="50" s="1"/>
  <c r="K33" i="50"/>
  <c r="K108" i="50" s="1"/>
  <c r="AW108" i="50" s="1"/>
  <c r="J180" i="50"/>
  <c r="AV180" i="50" s="1"/>
  <c r="M285" i="50"/>
  <c r="AY285" i="50" s="1"/>
  <c r="E11" i="67"/>
  <c r="AU111" i="50"/>
  <c r="E11" i="85" s="1"/>
  <c r="J186" i="50"/>
  <c r="AV186" i="50" s="1"/>
  <c r="AV126" i="50"/>
  <c r="R114" i="50"/>
  <c r="BC114" i="50"/>
  <c r="F285" i="50"/>
  <c r="AR285" i="50" s="1"/>
  <c r="R23" i="50"/>
  <c r="BC23" i="50"/>
  <c r="E47" i="67"/>
  <c r="BI111" i="50"/>
  <c r="E47" i="85" s="1"/>
  <c r="Y23" i="50"/>
  <c r="BJ23" i="50"/>
  <c r="Q91" i="50"/>
  <c r="BC91" i="50" s="1"/>
  <c r="BC16" i="50"/>
  <c r="AV34" i="50"/>
  <c r="J109" i="50"/>
  <c r="AV109" i="50" s="1"/>
  <c r="K34" i="50"/>
  <c r="R182" i="50"/>
  <c r="BD182" i="50" s="1"/>
  <c r="BD122" i="50"/>
  <c r="I10" i="50"/>
  <c r="E6" i="67" s="1"/>
  <c r="AU13" i="50"/>
  <c r="R24" i="50"/>
  <c r="BD24" i="50" s="1"/>
  <c r="BC24" i="50"/>
  <c r="E29" i="67"/>
  <c r="BB111" i="50"/>
  <c r="E29" i="85" s="1"/>
  <c r="K31" i="50"/>
  <c r="AV31" i="50"/>
  <c r="Q189" i="50"/>
  <c r="BC189" i="50" s="1"/>
  <c r="BC129" i="50"/>
  <c r="R17" i="50"/>
  <c r="BC17" i="50"/>
  <c r="X184" i="50"/>
  <c r="BJ184" i="50" s="1"/>
  <c r="BJ124" i="50"/>
  <c r="BC120" i="50"/>
  <c r="Q180" i="50"/>
  <c r="BC180" i="50" s="1"/>
  <c r="R120" i="50"/>
  <c r="D38" i="49"/>
  <c r="J39" i="49"/>
  <c r="Y29" i="50"/>
  <c r="BJ29" i="50"/>
  <c r="J91" i="50"/>
  <c r="AV91" i="50" s="1"/>
  <c r="AV16" i="50"/>
  <c r="D24" i="49"/>
  <c r="J25" i="49"/>
  <c r="Q184" i="50"/>
  <c r="BC184" i="50" s="1"/>
  <c r="BC124" i="50"/>
  <c r="BC18" i="50"/>
  <c r="Q93" i="50"/>
  <c r="BC93" i="50" s="1"/>
  <c r="R18" i="50"/>
  <c r="V280" i="50"/>
  <c r="BH280" i="50" s="1"/>
  <c r="BH10" i="50"/>
  <c r="D42" i="85" s="1"/>
  <c r="D10" i="49"/>
  <c r="J11" i="49"/>
  <c r="Y30" i="50"/>
  <c r="BJ30" i="50"/>
  <c r="AL21" i="67"/>
  <c r="I38" i="49"/>
  <c r="AL21" i="85" s="1"/>
  <c r="AL13" i="67"/>
  <c r="I24" i="49"/>
  <c r="AL13" i="85" s="1"/>
  <c r="D14" i="67"/>
  <c r="AT171" i="50"/>
  <c r="D14" i="85" s="1"/>
  <c r="C27" i="67"/>
  <c r="AZ85" i="50"/>
  <c r="C27" i="85" s="1"/>
  <c r="V85" i="50"/>
  <c r="V283" i="50" s="1"/>
  <c r="BH88" i="50"/>
  <c r="O85" i="50"/>
  <c r="O283" i="50" s="1"/>
  <c r="BA283" i="50" s="1"/>
  <c r="BA94" i="50"/>
  <c r="H85" i="50"/>
  <c r="H283" i="50" s="1"/>
  <c r="AT283" i="50" s="1"/>
  <c r="AT88" i="50"/>
  <c r="D50" i="67"/>
  <c r="BH171" i="50"/>
  <c r="D50" i="85" s="1"/>
  <c r="P88" i="50"/>
  <c r="BB88" i="50" s="1"/>
  <c r="BB90" i="50"/>
  <c r="T285" i="50"/>
  <c r="BF285" i="50" s="1"/>
  <c r="BF283" i="50"/>
  <c r="I94" i="50"/>
  <c r="AU94" i="50" s="1"/>
  <c r="AU97" i="50"/>
  <c r="D32" i="67"/>
  <c r="BA171" i="50"/>
  <c r="D32" i="85" s="1"/>
  <c r="W94" i="50"/>
  <c r="BI94" i="50" s="1"/>
  <c r="BI96" i="50"/>
  <c r="C45" i="67"/>
  <c r="BG85" i="50"/>
  <c r="C45" i="85" s="1"/>
  <c r="X105" i="50"/>
  <c r="BJ105" i="50" s="1"/>
  <c r="U285" i="50"/>
  <c r="BG285" i="50" s="1"/>
  <c r="Q174" i="50"/>
  <c r="BC174" i="50" s="1"/>
  <c r="N285" i="50"/>
  <c r="AZ285" i="50" s="1"/>
  <c r="H280" i="50"/>
  <c r="AT280" i="50" s="1"/>
  <c r="D6" i="67"/>
  <c r="G283" i="50"/>
  <c r="C9" i="67"/>
  <c r="E25" i="49"/>
  <c r="D24" i="67"/>
  <c r="E39" i="49"/>
  <c r="D42" i="67"/>
  <c r="R124" i="50"/>
  <c r="R16" i="50"/>
  <c r="Y124" i="50"/>
  <c r="Q98" i="50"/>
  <c r="BC98" i="50" s="1"/>
  <c r="Q92" i="50"/>
  <c r="BC92" i="50" s="1"/>
  <c r="K126" i="50"/>
  <c r="X98" i="50"/>
  <c r="BJ98" i="50" s="1"/>
  <c r="X104" i="50"/>
  <c r="BJ104" i="50" s="1"/>
  <c r="K16" i="50"/>
  <c r="X19" i="50"/>
  <c r="BJ19" i="50" s="1"/>
  <c r="Q13" i="50"/>
  <c r="BC13" i="50" s="1"/>
  <c r="O280" i="50"/>
  <c r="BA280" i="50" s="1"/>
  <c r="W10" i="50"/>
  <c r="BI10" i="50" s="1"/>
  <c r="E42" i="85" s="1"/>
  <c r="R129" i="50"/>
  <c r="Q19" i="50"/>
  <c r="BC19" i="50" s="1"/>
  <c r="J106" i="50"/>
  <c r="AV106" i="50" s="1"/>
  <c r="P10" i="50"/>
  <c r="BB10" i="50" s="1"/>
  <c r="E24" i="85" s="1"/>
  <c r="Q111" i="50"/>
  <c r="Y130" i="50"/>
  <c r="X190" i="50"/>
  <c r="BJ190" i="50" s="1"/>
  <c r="E11" i="49"/>
  <c r="K11" i="49" s="1"/>
  <c r="X90" i="50"/>
  <c r="BJ90" i="50" s="1"/>
  <c r="Y15" i="50"/>
  <c r="W88" i="50"/>
  <c r="P94" i="50"/>
  <c r="P171" i="50"/>
  <c r="J179" i="50"/>
  <c r="AV179" i="50" s="1"/>
  <c r="K119" i="50"/>
  <c r="X109" i="50"/>
  <c r="BJ109" i="50" s="1"/>
  <c r="Y34" i="50"/>
  <c r="R28" i="50"/>
  <c r="Q103" i="50"/>
  <c r="BC103" i="50" s="1"/>
  <c r="Q187" i="50"/>
  <c r="BC187" i="50" s="1"/>
  <c r="R127" i="50"/>
  <c r="Q176" i="50"/>
  <c r="BC176" i="50" s="1"/>
  <c r="R116" i="50"/>
  <c r="R121" i="50"/>
  <c r="Q181" i="50"/>
  <c r="BC181" i="50" s="1"/>
  <c r="J185" i="50"/>
  <c r="AV185" i="50" s="1"/>
  <c r="K125" i="50"/>
  <c r="K130" i="50"/>
  <c r="J190" i="50"/>
  <c r="AV190" i="50" s="1"/>
  <c r="J189" i="50"/>
  <c r="AV189" i="50" s="1"/>
  <c r="K129" i="50"/>
  <c r="R172" i="50"/>
  <c r="BD172" i="50" s="1"/>
  <c r="J97" i="50"/>
  <c r="K22" i="50"/>
  <c r="Y128" i="50"/>
  <c r="X188" i="50"/>
  <c r="BJ188" i="50" s="1"/>
  <c r="J101" i="50"/>
  <c r="AV101" i="50" s="1"/>
  <c r="K26" i="50"/>
  <c r="J111" i="50"/>
  <c r="K112" i="50"/>
  <c r="AW112" i="50" s="1"/>
  <c r="J172" i="50"/>
  <c r="AV172" i="50" s="1"/>
  <c r="J104" i="50"/>
  <c r="AV104" i="50" s="1"/>
  <c r="K29" i="50"/>
  <c r="X13" i="50"/>
  <c r="BJ13" i="50" s="1"/>
  <c r="Y14" i="50"/>
  <c r="BK14" i="50" s="1"/>
  <c r="X89" i="50"/>
  <c r="BJ89" i="50" s="1"/>
  <c r="X189" i="50"/>
  <c r="BJ189" i="50" s="1"/>
  <c r="Y129" i="50"/>
  <c r="Q96" i="50"/>
  <c r="BC96" i="50" s="1"/>
  <c r="R21" i="50"/>
  <c r="Q108" i="50"/>
  <c r="BC108" i="50" s="1"/>
  <c r="R33" i="50"/>
  <c r="X91" i="50"/>
  <c r="BJ91" i="50" s="1"/>
  <c r="Y16" i="50"/>
  <c r="J183" i="50"/>
  <c r="AV183" i="50" s="1"/>
  <c r="K123" i="50"/>
  <c r="X173" i="50"/>
  <c r="BJ173" i="50" s="1"/>
  <c r="Y113" i="50"/>
  <c r="J19" i="50"/>
  <c r="AV19" i="50" s="1"/>
  <c r="X86" i="50"/>
  <c r="BJ86" i="50" s="1"/>
  <c r="Y11" i="50"/>
  <c r="BK11" i="50" s="1"/>
  <c r="Y112" i="50"/>
  <c r="BK112" i="50" s="1"/>
  <c r="X111" i="50"/>
  <c r="X172" i="50"/>
  <c r="BJ172" i="50" s="1"/>
  <c r="X174" i="50"/>
  <c r="BJ174" i="50" s="1"/>
  <c r="Y114" i="50"/>
  <c r="Q100" i="50"/>
  <c r="BC100" i="50" s="1"/>
  <c r="R25" i="50"/>
  <c r="J13" i="50"/>
  <c r="AV13" i="50" s="1"/>
  <c r="K14" i="50"/>
  <c r="AW14" i="50" s="1"/>
  <c r="J89" i="50"/>
  <c r="AV89" i="50" s="1"/>
  <c r="X183" i="50"/>
  <c r="BJ183" i="50" s="1"/>
  <c r="Y123" i="50"/>
  <c r="J184" i="50"/>
  <c r="AV184" i="50" s="1"/>
  <c r="K124" i="50"/>
  <c r="I171" i="50"/>
  <c r="K127" i="50"/>
  <c r="J187" i="50"/>
  <c r="AV187" i="50" s="1"/>
  <c r="Q188" i="50"/>
  <c r="BC188" i="50" s="1"/>
  <c r="R128" i="50"/>
  <c r="R95" i="50"/>
  <c r="BD95" i="50" s="1"/>
  <c r="X101" i="50"/>
  <c r="BJ101" i="50" s="1"/>
  <c r="Y26" i="50"/>
  <c r="X87" i="50"/>
  <c r="BJ87" i="50" s="1"/>
  <c r="Y12" i="50"/>
  <c r="Q97" i="50"/>
  <c r="BC97" i="50" s="1"/>
  <c r="R22" i="50"/>
  <c r="X178" i="50"/>
  <c r="BJ178" i="50" s="1"/>
  <c r="Y118" i="50"/>
  <c r="J92" i="50"/>
  <c r="AV92" i="50" s="1"/>
  <c r="K17" i="50"/>
  <c r="J181" i="50"/>
  <c r="AV181" i="50" s="1"/>
  <c r="K121" i="50"/>
  <c r="I88" i="50"/>
  <c r="Q186" i="50"/>
  <c r="BC186" i="50" s="1"/>
  <c r="R126" i="50"/>
  <c r="X99" i="50"/>
  <c r="BJ99" i="50" s="1"/>
  <c r="Y24" i="50"/>
  <c r="Q102" i="50"/>
  <c r="BC102" i="50" s="1"/>
  <c r="R27" i="50"/>
  <c r="Q104" i="50"/>
  <c r="BC104" i="50" s="1"/>
  <c r="R29" i="50"/>
  <c r="X108" i="50"/>
  <c r="BJ108" i="50" s="1"/>
  <c r="Y33" i="50"/>
  <c r="X179" i="50"/>
  <c r="BJ179" i="50" s="1"/>
  <c r="Y119" i="50"/>
  <c r="Q90" i="50"/>
  <c r="BC90" i="50" s="1"/>
  <c r="R15" i="50"/>
  <c r="X185" i="50"/>
  <c r="BJ185" i="50" s="1"/>
  <c r="Y125" i="50"/>
  <c r="Q178" i="50"/>
  <c r="BC178" i="50" s="1"/>
  <c r="R118" i="50"/>
  <c r="J100" i="50"/>
  <c r="AV100" i="50" s="1"/>
  <c r="K25" i="50"/>
  <c r="Q87" i="50"/>
  <c r="BC87" i="50" s="1"/>
  <c r="R12" i="50"/>
  <c r="W171" i="50"/>
  <c r="J178" i="50"/>
  <c r="AV178" i="50" s="1"/>
  <c r="K118" i="50"/>
  <c r="X175" i="50"/>
  <c r="BJ175" i="50" s="1"/>
  <c r="Y115" i="50"/>
  <c r="X103" i="50"/>
  <c r="BJ103" i="50" s="1"/>
  <c r="Y28" i="50"/>
  <c r="J188" i="50"/>
  <c r="AV188" i="50" s="1"/>
  <c r="K128" i="50"/>
  <c r="X187" i="50"/>
  <c r="BJ187" i="50" s="1"/>
  <c r="Y127" i="50"/>
  <c r="Q101" i="50"/>
  <c r="BC101" i="50" s="1"/>
  <c r="R26" i="50"/>
  <c r="Q99" i="50"/>
  <c r="BC99" i="50" s="1"/>
  <c r="X96" i="50"/>
  <c r="BJ96" i="50" s="1"/>
  <c r="Y21" i="50"/>
  <c r="X176" i="50"/>
  <c r="BJ176" i="50" s="1"/>
  <c r="Y116" i="50"/>
  <c r="J173" i="50"/>
  <c r="AV173" i="50" s="1"/>
  <c r="K113" i="50"/>
  <c r="F12" i="49"/>
  <c r="L12" i="49" s="1"/>
  <c r="J107" i="50"/>
  <c r="AV107" i="50" s="1"/>
  <c r="K32" i="50"/>
  <c r="AW32" i="50" s="1"/>
  <c r="K122" i="50"/>
  <c r="J182" i="50"/>
  <c r="AV182" i="50" s="1"/>
  <c r="J90" i="50"/>
  <c r="AV90" i="50" s="1"/>
  <c r="K15" i="50"/>
  <c r="AW116" i="50" l="1"/>
  <c r="BD31" i="50"/>
  <c r="G40" i="49"/>
  <c r="M40" i="49" s="1"/>
  <c r="Y107" i="50"/>
  <c r="BK107" i="50" s="1"/>
  <c r="Y95" i="50"/>
  <c r="BK95" i="50" s="1"/>
  <c r="K99" i="50"/>
  <c r="AW99" i="50" s="1"/>
  <c r="Y106" i="50"/>
  <c r="BK106" i="50" s="1"/>
  <c r="G26" i="49"/>
  <c r="M26" i="49" s="1"/>
  <c r="AW30" i="50"/>
  <c r="AW18" i="50"/>
  <c r="AW115" i="50"/>
  <c r="R107" i="50"/>
  <c r="BD107" i="50" s="1"/>
  <c r="AW28" i="50"/>
  <c r="K98" i="50"/>
  <c r="AW98" i="50" s="1"/>
  <c r="BD117" i="50"/>
  <c r="BK22" i="50"/>
  <c r="R190" i="50"/>
  <c r="BD190" i="50" s="1"/>
  <c r="BD30" i="50"/>
  <c r="BK27" i="50"/>
  <c r="K86" i="50"/>
  <c r="AW86" i="50" s="1"/>
  <c r="AW21" i="50"/>
  <c r="K95" i="50"/>
  <c r="AW95" i="50" s="1"/>
  <c r="Y92" i="50"/>
  <c r="BK92" i="50" s="1"/>
  <c r="AW27" i="50"/>
  <c r="R175" i="50"/>
  <c r="BD175" i="50" s="1"/>
  <c r="K87" i="50"/>
  <c r="AW87" i="50" s="1"/>
  <c r="BD125" i="50"/>
  <c r="R86" i="50"/>
  <c r="BD86" i="50" s="1"/>
  <c r="R179" i="50"/>
  <c r="BD179" i="50" s="1"/>
  <c r="AW114" i="50"/>
  <c r="R183" i="50"/>
  <c r="BD183" i="50" s="1"/>
  <c r="BD34" i="50"/>
  <c r="BK122" i="50"/>
  <c r="BK117" i="50"/>
  <c r="Y100" i="50"/>
  <c r="BK100" i="50" s="1"/>
  <c r="R89" i="50"/>
  <c r="BD89" i="50" s="1"/>
  <c r="AW117" i="50"/>
  <c r="Y181" i="50"/>
  <c r="BK181" i="50" s="1"/>
  <c r="R99" i="50"/>
  <c r="BD99" i="50" s="1"/>
  <c r="BK126" i="50"/>
  <c r="BD113" i="50"/>
  <c r="BK18" i="50"/>
  <c r="BK120" i="50"/>
  <c r="AW120" i="50"/>
  <c r="AU10" i="50"/>
  <c r="E6" i="85" s="1"/>
  <c r="AW33" i="50"/>
  <c r="F11" i="49"/>
  <c r="L11" i="49" s="1"/>
  <c r="I280" i="50"/>
  <c r="AU280" i="50" s="1"/>
  <c r="Y183" i="50"/>
  <c r="BK183" i="50" s="1"/>
  <c r="BK123" i="50"/>
  <c r="K178" i="50"/>
  <c r="AW178" i="50" s="1"/>
  <c r="AW118" i="50"/>
  <c r="R90" i="50"/>
  <c r="BD90" i="50" s="1"/>
  <c r="BD15" i="50"/>
  <c r="Y87" i="50"/>
  <c r="BK87" i="50" s="1"/>
  <c r="BK12" i="50"/>
  <c r="K187" i="50"/>
  <c r="AW187" i="50" s="1"/>
  <c r="AW127" i="50"/>
  <c r="F11" i="67"/>
  <c r="AV111" i="50"/>
  <c r="F11" i="85" s="1"/>
  <c r="K189" i="50"/>
  <c r="AW189" i="50" s="1"/>
  <c r="AW129" i="50"/>
  <c r="R176" i="50"/>
  <c r="BD176" i="50" s="1"/>
  <c r="BD116" i="50"/>
  <c r="K179" i="50"/>
  <c r="AW179" i="50" s="1"/>
  <c r="AW119" i="50"/>
  <c r="K186" i="50"/>
  <c r="AW186" i="50" s="1"/>
  <c r="AW126" i="50"/>
  <c r="R93" i="50"/>
  <c r="BD93" i="50" s="1"/>
  <c r="BD18" i="50"/>
  <c r="Y185" i="50"/>
  <c r="BK185" i="50" s="1"/>
  <c r="BK125" i="50"/>
  <c r="K185" i="50"/>
  <c r="AW185" i="50" s="1"/>
  <c r="AW125" i="50"/>
  <c r="K100" i="50"/>
  <c r="AW100" i="50" s="1"/>
  <c r="AW25" i="50"/>
  <c r="K181" i="50"/>
  <c r="AW181" i="50" s="1"/>
  <c r="AW121" i="50"/>
  <c r="K182" i="50"/>
  <c r="AW182" i="50" s="1"/>
  <c r="AW122" i="50"/>
  <c r="Y96" i="50"/>
  <c r="BK96" i="50" s="1"/>
  <c r="BK21" i="50"/>
  <c r="R102" i="50"/>
  <c r="BD102" i="50" s="1"/>
  <c r="BD27" i="50"/>
  <c r="R100" i="50"/>
  <c r="BD100" i="50" s="1"/>
  <c r="BD25" i="50"/>
  <c r="R108" i="50"/>
  <c r="BD108" i="50" s="1"/>
  <c r="BD33" i="50"/>
  <c r="K101" i="50"/>
  <c r="AW101" i="50" s="1"/>
  <c r="AW26" i="50"/>
  <c r="E24" i="49"/>
  <c r="K25" i="49"/>
  <c r="Y105" i="50"/>
  <c r="BK105" i="50" s="1"/>
  <c r="BK30" i="50"/>
  <c r="Y108" i="50"/>
  <c r="BK108" i="50" s="1"/>
  <c r="BK33" i="50"/>
  <c r="Y187" i="50"/>
  <c r="BK187" i="50" s="1"/>
  <c r="BK127" i="50"/>
  <c r="R178" i="50"/>
  <c r="BD178" i="50" s="1"/>
  <c r="BD118" i="50"/>
  <c r="K92" i="50"/>
  <c r="AW92" i="50" s="1"/>
  <c r="AW17" i="50"/>
  <c r="Y101" i="50"/>
  <c r="BK101" i="50" s="1"/>
  <c r="BK26" i="50"/>
  <c r="K184" i="50"/>
  <c r="AW184" i="50" s="1"/>
  <c r="AW124" i="50"/>
  <c r="R187" i="50"/>
  <c r="BD187" i="50" s="1"/>
  <c r="BD127" i="50"/>
  <c r="Y190" i="50"/>
  <c r="BK190" i="50" s="1"/>
  <c r="BK130" i="50"/>
  <c r="Y104" i="50"/>
  <c r="BK104" i="50" s="1"/>
  <c r="BK29" i="50"/>
  <c r="Y98" i="50"/>
  <c r="BK98" i="50" s="1"/>
  <c r="BK23" i="50"/>
  <c r="Y103" i="50"/>
  <c r="BK103" i="50" s="1"/>
  <c r="BK28" i="50"/>
  <c r="K104" i="50"/>
  <c r="AW104" i="50" s="1"/>
  <c r="AW29" i="50"/>
  <c r="K188" i="50"/>
  <c r="AW188" i="50" s="1"/>
  <c r="AW128" i="50"/>
  <c r="Y179" i="50"/>
  <c r="BK179" i="50" s="1"/>
  <c r="BK119" i="50"/>
  <c r="R87" i="50"/>
  <c r="BD87" i="50" s="1"/>
  <c r="BD12" i="50"/>
  <c r="Y99" i="50"/>
  <c r="BK99" i="50" s="1"/>
  <c r="BK24" i="50"/>
  <c r="Y174" i="50"/>
  <c r="BK174" i="50" s="1"/>
  <c r="BK114" i="50"/>
  <c r="Y173" i="50"/>
  <c r="BK173" i="50" s="1"/>
  <c r="BK113" i="50"/>
  <c r="K190" i="50"/>
  <c r="AW190" i="50" s="1"/>
  <c r="AW130" i="50"/>
  <c r="F29" i="67"/>
  <c r="BC111" i="50"/>
  <c r="F29" i="85" s="1"/>
  <c r="Y184" i="50"/>
  <c r="BK184" i="50" s="1"/>
  <c r="BK124" i="50"/>
  <c r="AM5" i="67"/>
  <c r="J10" i="49"/>
  <c r="AM5" i="85" s="1"/>
  <c r="K106" i="50"/>
  <c r="AW106" i="50" s="1"/>
  <c r="AW31" i="50"/>
  <c r="K109" i="50"/>
  <c r="AW109" i="50" s="1"/>
  <c r="AW34" i="50"/>
  <c r="R98" i="50"/>
  <c r="BD98" i="50" s="1"/>
  <c r="BD23" i="50"/>
  <c r="Y178" i="50"/>
  <c r="BK178" i="50" s="1"/>
  <c r="BK118" i="50"/>
  <c r="R91" i="50"/>
  <c r="BD91" i="50" s="1"/>
  <c r="BD16" i="50"/>
  <c r="AM21" i="67"/>
  <c r="J38" i="49"/>
  <c r="AM21" i="85" s="1"/>
  <c r="R186" i="50"/>
  <c r="BD186" i="50" s="1"/>
  <c r="BD126" i="50"/>
  <c r="K183" i="50"/>
  <c r="AW183" i="50" s="1"/>
  <c r="AW123" i="50"/>
  <c r="K97" i="50"/>
  <c r="AW97" i="50" s="1"/>
  <c r="AW22" i="50"/>
  <c r="R103" i="50"/>
  <c r="BD103" i="50" s="1"/>
  <c r="BD28" i="50"/>
  <c r="K91" i="50"/>
  <c r="AW91" i="50" s="1"/>
  <c r="AW16" i="50"/>
  <c r="R184" i="50"/>
  <c r="BD184" i="50" s="1"/>
  <c r="BD124" i="50"/>
  <c r="R92" i="50"/>
  <c r="BD92" i="50" s="1"/>
  <c r="BD17" i="50"/>
  <c r="R174" i="50"/>
  <c r="BD174" i="50" s="1"/>
  <c r="BD114" i="50"/>
  <c r="Y188" i="50"/>
  <c r="BK188" i="50" s="1"/>
  <c r="BK128" i="50"/>
  <c r="K173" i="50"/>
  <c r="AW173" i="50" s="1"/>
  <c r="AW113" i="50"/>
  <c r="R188" i="50"/>
  <c r="BD188" i="50" s="1"/>
  <c r="BD128" i="50"/>
  <c r="K90" i="50"/>
  <c r="AW90" i="50" s="1"/>
  <c r="AW15" i="50"/>
  <c r="R101" i="50"/>
  <c r="BD101" i="50" s="1"/>
  <c r="BD26" i="50"/>
  <c r="Y175" i="50"/>
  <c r="BK175" i="50" s="1"/>
  <c r="BK115" i="50"/>
  <c r="R97" i="50"/>
  <c r="BD97" i="50" s="1"/>
  <c r="BD22" i="50"/>
  <c r="F47" i="67"/>
  <c r="BJ111" i="50"/>
  <c r="F47" i="85" s="1"/>
  <c r="Y109" i="50"/>
  <c r="BK109" i="50" s="1"/>
  <c r="BK34" i="50"/>
  <c r="Y90" i="50"/>
  <c r="BK90" i="50" s="1"/>
  <c r="BK15" i="50"/>
  <c r="AM13" i="67"/>
  <c r="J24" i="49"/>
  <c r="AM13" i="85" s="1"/>
  <c r="R96" i="50"/>
  <c r="BD96" i="50" s="1"/>
  <c r="BD21" i="50"/>
  <c r="Y176" i="50"/>
  <c r="BK176" i="50" s="1"/>
  <c r="BK116" i="50"/>
  <c r="R104" i="50"/>
  <c r="BD104" i="50" s="1"/>
  <c r="BD29" i="50"/>
  <c r="Y91" i="50"/>
  <c r="BK91" i="50" s="1"/>
  <c r="BK16" i="50"/>
  <c r="Y189" i="50"/>
  <c r="BK189" i="50" s="1"/>
  <c r="BK129" i="50"/>
  <c r="R181" i="50"/>
  <c r="BD181" i="50" s="1"/>
  <c r="BD121" i="50"/>
  <c r="R189" i="50"/>
  <c r="BD189" i="50" s="1"/>
  <c r="BD129" i="50"/>
  <c r="E38" i="49"/>
  <c r="K39" i="49"/>
  <c r="R180" i="50"/>
  <c r="BD180" i="50" s="1"/>
  <c r="BD120" i="50"/>
  <c r="D27" i="67"/>
  <c r="BA85" i="50"/>
  <c r="D27" i="85" s="1"/>
  <c r="E50" i="67"/>
  <c r="BI171" i="50"/>
  <c r="E50" i="85" s="1"/>
  <c r="E32" i="67"/>
  <c r="BB171" i="50"/>
  <c r="E32" i="85" s="1"/>
  <c r="V285" i="50"/>
  <c r="BH285" i="50" s="1"/>
  <c r="BH283" i="50"/>
  <c r="J94" i="50"/>
  <c r="AV94" i="50" s="1"/>
  <c r="AV97" i="50"/>
  <c r="I85" i="50"/>
  <c r="I283" i="50" s="1"/>
  <c r="AU88" i="50"/>
  <c r="D45" i="67"/>
  <c r="BH85" i="50"/>
  <c r="D45" i="85" s="1"/>
  <c r="E14" i="67"/>
  <c r="AU171" i="50"/>
  <c r="E14" i="85" s="1"/>
  <c r="P85" i="50"/>
  <c r="P283" i="50" s="1"/>
  <c r="BB283" i="50" s="1"/>
  <c r="BB94" i="50"/>
  <c r="W85" i="50"/>
  <c r="W283" i="50" s="1"/>
  <c r="BI283" i="50" s="1"/>
  <c r="BI88" i="50"/>
  <c r="G285" i="50"/>
  <c r="AS285" i="50" s="1"/>
  <c r="AS283" i="50"/>
  <c r="D9" i="67"/>
  <c r="AT85" i="50"/>
  <c r="D9" i="85" s="1"/>
  <c r="H285" i="50"/>
  <c r="AT285" i="50" s="1"/>
  <c r="P280" i="50"/>
  <c r="BB280" i="50" s="1"/>
  <c r="E24" i="67"/>
  <c r="W280" i="50"/>
  <c r="BI280" i="50" s="1"/>
  <c r="E42" i="67"/>
  <c r="Q88" i="50"/>
  <c r="BC88" i="50" s="1"/>
  <c r="X10" i="50"/>
  <c r="BJ10" i="50" s="1"/>
  <c r="F42" i="85" s="1"/>
  <c r="X94" i="50"/>
  <c r="BJ94" i="50" s="1"/>
  <c r="Q10" i="50"/>
  <c r="BC10" i="50" s="1"/>
  <c r="F24" i="85" s="1"/>
  <c r="O285" i="50"/>
  <c r="BA285" i="50" s="1"/>
  <c r="F39" i="49"/>
  <c r="E10" i="49"/>
  <c r="Q94" i="50"/>
  <c r="BC94" i="50" s="1"/>
  <c r="F25" i="49"/>
  <c r="K19" i="50"/>
  <c r="AW19" i="50" s="1"/>
  <c r="Q171" i="50"/>
  <c r="J10" i="50"/>
  <c r="AV10" i="50" s="1"/>
  <c r="F6" i="85" s="1"/>
  <c r="R13" i="50"/>
  <c r="BD13" i="50" s="1"/>
  <c r="Y13" i="50"/>
  <c r="BK13" i="50" s="1"/>
  <c r="Y89" i="50"/>
  <c r="R19" i="50"/>
  <c r="BD19" i="50" s="1"/>
  <c r="J88" i="50"/>
  <c r="X171" i="50"/>
  <c r="Y86" i="50"/>
  <c r="BK86" i="50" s="1"/>
  <c r="J171" i="50"/>
  <c r="R111" i="50"/>
  <c r="G12" i="49"/>
  <c r="M12" i="49" s="1"/>
  <c r="K107" i="50"/>
  <c r="AW107" i="50" s="1"/>
  <c r="K13" i="50"/>
  <c r="AW13" i="50" s="1"/>
  <c r="K89" i="50"/>
  <c r="K111" i="50"/>
  <c r="K172" i="50"/>
  <c r="Y19" i="50"/>
  <c r="BK19" i="50" s="1"/>
  <c r="Y172" i="50"/>
  <c r="Y111" i="50"/>
  <c r="X88" i="50"/>
  <c r="BJ88" i="50" s="1"/>
  <c r="R88" i="50" l="1"/>
  <c r="BD88" i="50" s="1"/>
  <c r="F10" i="49"/>
  <c r="L10" i="49" s="1"/>
  <c r="AO5" i="85" s="1"/>
  <c r="K94" i="50"/>
  <c r="AW94" i="50" s="1"/>
  <c r="Y94" i="50"/>
  <c r="BK94" i="50" s="1"/>
  <c r="R171" i="50"/>
  <c r="BD171" i="50" s="1"/>
  <c r="G32" i="85" s="1"/>
  <c r="G29" i="67"/>
  <c r="BD111" i="50"/>
  <c r="G29" i="85" s="1"/>
  <c r="G47" i="67"/>
  <c r="BK111" i="50"/>
  <c r="G47" i="85" s="1"/>
  <c r="G11" i="67"/>
  <c r="AW111" i="50"/>
  <c r="G11" i="85" s="1"/>
  <c r="F24" i="49"/>
  <c r="L25" i="49"/>
  <c r="AN21" i="67"/>
  <c r="K38" i="49"/>
  <c r="AN21" i="85" s="1"/>
  <c r="AN13" i="67"/>
  <c r="K24" i="49"/>
  <c r="AN13" i="85" s="1"/>
  <c r="R94" i="50"/>
  <c r="BD94" i="50" s="1"/>
  <c r="AN5" i="67"/>
  <c r="K10" i="49"/>
  <c r="AN5" i="85" s="1"/>
  <c r="F38" i="49"/>
  <c r="L39" i="49"/>
  <c r="J85" i="50"/>
  <c r="J283" i="50" s="1"/>
  <c r="AV283" i="50" s="1"/>
  <c r="AV88" i="50"/>
  <c r="Y171" i="50"/>
  <c r="BK172" i="50"/>
  <c r="E45" i="67"/>
  <c r="BI85" i="50"/>
  <c r="E45" i="85" s="1"/>
  <c r="E9" i="67"/>
  <c r="AU85" i="50"/>
  <c r="E9" i="85" s="1"/>
  <c r="Y88" i="50"/>
  <c r="BK88" i="50" s="1"/>
  <c r="BK89" i="50"/>
  <c r="F14" i="67"/>
  <c r="AV171" i="50"/>
  <c r="F14" i="85" s="1"/>
  <c r="K88" i="50"/>
  <c r="AW88" i="50" s="1"/>
  <c r="AW89" i="50"/>
  <c r="F50" i="67"/>
  <c r="BJ171" i="50"/>
  <c r="F50" i="85" s="1"/>
  <c r="F32" i="67"/>
  <c r="BC171" i="50"/>
  <c r="F32" i="85" s="1"/>
  <c r="I285" i="50"/>
  <c r="AU285" i="50" s="1"/>
  <c r="AU283" i="50"/>
  <c r="K171" i="50"/>
  <c r="AW172" i="50"/>
  <c r="E27" i="67"/>
  <c r="BB85" i="50"/>
  <c r="E27" i="85" s="1"/>
  <c r="X85" i="50"/>
  <c r="W285" i="50"/>
  <c r="BI285" i="50" s="1"/>
  <c r="P285" i="50"/>
  <c r="BB285" i="50" s="1"/>
  <c r="G25" i="49"/>
  <c r="F24" i="67"/>
  <c r="G11" i="49"/>
  <c r="F6" i="67"/>
  <c r="X280" i="50"/>
  <c r="BJ280" i="50" s="1"/>
  <c r="F42" i="67"/>
  <c r="G39" i="49"/>
  <c r="Q85" i="50"/>
  <c r="BC85" i="50" s="1"/>
  <c r="F27" i="85" s="1"/>
  <c r="Q280" i="50"/>
  <c r="BC280" i="50" s="1"/>
  <c r="K10" i="50"/>
  <c r="AW10" i="50" s="1"/>
  <c r="G6" i="85" s="1"/>
  <c r="J280" i="50"/>
  <c r="AV280" i="50" s="1"/>
  <c r="Y10" i="50"/>
  <c r="BK10" i="50" s="1"/>
  <c r="G42" i="85" s="1"/>
  <c r="R10" i="50"/>
  <c r="BD10" i="50" s="1"/>
  <c r="G24" i="85" s="1"/>
  <c r="G32" i="67" l="1"/>
  <c r="AO5" i="67"/>
  <c r="R85" i="50"/>
  <c r="BD85" i="50" s="1"/>
  <c r="G27" i="85" s="1"/>
  <c r="K85" i="50"/>
  <c r="AW85" i="50" s="1"/>
  <c r="G9" i="85" s="1"/>
  <c r="Y85" i="50"/>
  <c r="BK85" i="50" s="1"/>
  <c r="G45" i="85" s="1"/>
  <c r="G38" i="49"/>
  <c r="M39" i="49"/>
  <c r="G10" i="49"/>
  <c r="M11" i="49"/>
  <c r="AO21" i="67"/>
  <c r="L38" i="49"/>
  <c r="AO21" i="85" s="1"/>
  <c r="G24" i="49"/>
  <c r="M25" i="49"/>
  <c r="AO13" i="67"/>
  <c r="L24" i="49"/>
  <c r="AO13" i="85" s="1"/>
  <c r="G50" i="67"/>
  <c r="BK171" i="50"/>
  <c r="G50" i="85" s="1"/>
  <c r="G14" i="67"/>
  <c r="AW171" i="50"/>
  <c r="G14" i="85" s="1"/>
  <c r="F45" i="67"/>
  <c r="BJ85" i="50"/>
  <c r="F45" i="85" s="1"/>
  <c r="F9" i="67"/>
  <c r="AV85" i="50"/>
  <c r="F9" i="85" s="1"/>
  <c r="X283" i="50"/>
  <c r="Y280" i="50"/>
  <c r="BK280" i="50" s="1"/>
  <c r="G42" i="67"/>
  <c r="Q283" i="50"/>
  <c r="F27" i="67"/>
  <c r="R280" i="50"/>
  <c r="BD280" i="50" s="1"/>
  <c r="G24" i="67"/>
  <c r="K280" i="50"/>
  <c r="AW280" i="50" s="1"/>
  <c r="G6" i="67"/>
  <c r="J285" i="50"/>
  <c r="AV285" i="50" s="1"/>
  <c r="AA102" i="50"/>
  <c r="BM102" i="50" s="1"/>
  <c r="AH187" i="50"/>
  <c r="BT187" i="50" s="1"/>
  <c r="AH175" i="50"/>
  <c r="BT175" i="50" s="1"/>
  <c r="AA106" i="50"/>
  <c r="BM106" i="50" s="1"/>
  <c r="AH177" i="50"/>
  <c r="BT177" i="50" s="1"/>
  <c r="AH91" i="50"/>
  <c r="BT91" i="50" s="1"/>
  <c r="AA95" i="50"/>
  <c r="BM95" i="50" s="1"/>
  <c r="AA92" i="50"/>
  <c r="BM92" i="50" s="1"/>
  <c r="AH93" i="50"/>
  <c r="BT93" i="50" s="1"/>
  <c r="AA103" i="50"/>
  <c r="BM103" i="50" s="1"/>
  <c r="AH173" i="50"/>
  <c r="BT173" i="50" s="1"/>
  <c r="AH92" i="50"/>
  <c r="BT92" i="50" s="1"/>
  <c r="AH188" i="50"/>
  <c r="BT188" i="50" s="1"/>
  <c r="AH182" i="50"/>
  <c r="BT182" i="50" s="1"/>
  <c r="AA101" i="50"/>
  <c r="BM101" i="50" s="1"/>
  <c r="AH87" i="50"/>
  <c r="BT87" i="50" s="1"/>
  <c r="AA99" i="50"/>
  <c r="BM99" i="50" s="1"/>
  <c r="AH189" i="50"/>
  <c r="BT189" i="50" s="1"/>
  <c r="AH102" i="50"/>
  <c r="BT102" i="50" s="1"/>
  <c r="AH99" i="50"/>
  <c r="BT99" i="50" s="1"/>
  <c r="AH104" i="50"/>
  <c r="BT104" i="50" s="1"/>
  <c r="AH108" i="50"/>
  <c r="BT108" i="50" s="1"/>
  <c r="AH180" i="50"/>
  <c r="BT180" i="50" s="1"/>
  <c r="AA93" i="50"/>
  <c r="BM93" i="50" s="1"/>
  <c r="AA89" i="50"/>
  <c r="BM89" i="50" s="1"/>
  <c r="AH183" i="50"/>
  <c r="BT183" i="50" s="1"/>
  <c r="AA91" i="50"/>
  <c r="BM91" i="50" s="1"/>
  <c r="AI190" i="50"/>
  <c r="BU190" i="50" s="1"/>
  <c r="AH105" i="50"/>
  <c r="BT105" i="50" s="1"/>
  <c r="AH100" i="50"/>
  <c r="BT100" i="50" s="1"/>
  <c r="AA107" i="50"/>
  <c r="BM107" i="50" s="1"/>
  <c r="AH97" i="50"/>
  <c r="BT97" i="50" s="1"/>
  <c r="AI106" i="50"/>
  <c r="BU106" i="50" s="1"/>
  <c r="AI172" i="50"/>
  <c r="BU172" i="50" s="1"/>
  <c r="AA90" i="50"/>
  <c r="BM90" i="50" s="1"/>
  <c r="AH186" i="50"/>
  <c r="BT186" i="50" s="1"/>
  <c r="AI179" i="50"/>
  <c r="BU179" i="50" s="1"/>
  <c r="AH90" i="50"/>
  <c r="BT90" i="50" s="1"/>
  <c r="AA86" i="50"/>
  <c r="BM86" i="50" s="1"/>
  <c r="G27" i="67" l="1"/>
  <c r="R283" i="50"/>
  <c r="BD283" i="50" s="1"/>
  <c r="G45" i="67"/>
  <c r="Y283" i="50"/>
  <c r="BK283" i="50" s="1"/>
  <c r="AO85" i="50"/>
  <c r="G9" i="67"/>
  <c r="K283" i="50"/>
  <c r="AW283" i="50" s="1"/>
  <c r="AP13" i="67"/>
  <c r="M24" i="49"/>
  <c r="AP13" i="85" s="1"/>
  <c r="AP5" i="67"/>
  <c r="M10" i="49"/>
  <c r="AP5" i="85" s="1"/>
  <c r="AP21" i="67"/>
  <c r="M38" i="49"/>
  <c r="AP21" i="85" s="1"/>
  <c r="Q285" i="50"/>
  <c r="BC285" i="50" s="1"/>
  <c r="BC283" i="50"/>
  <c r="X285" i="50"/>
  <c r="BJ285" i="50" s="1"/>
  <c r="BJ283" i="50"/>
  <c r="AB93" i="50"/>
  <c r="BN93" i="50" s="1"/>
  <c r="AB89" i="50"/>
  <c r="BN89" i="50" s="1"/>
  <c r="AB106" i="50"/>
  <c r="BN106" i="50" s="1"/>
  <c r="AH190" i="50"/>
  <c r="BT190" i="50" s="1"/>
  <c r="AB91" i="50"/>
  <c r="BN91" i="50" s="1"/>
  <c r="AI182" i="50"/>
  <c r="BU182" i="50" s="1"/>
  <c r="AJ106" i="50"/>
  <c r="BV106" i="50" s="1"/>
  <c r="AI180" i="50"/>
  <c r="BU180" i="50" s="1"/>
  <c r="AI189" i="50"/>
  <c r="BU189" i="50" s="1"/>
  <c r="AI100" i="50"/>
  <c r="BU100" i="50" s="1"/>
  <c r="AH178" i="50"/>
  <c r="BT178" i="50" s="1"/>
  <c r="AI178" i="50"/>
  <c r="BU178" i="50" s="1"/>
  <c r="AJ178" i="50"/>
  <c r="BV178" i="50" s="1"/>
  <c r="AJ179" i="50"/>
  <c r="BV179" i="50" s="1"/>
  <c r="AI90" i="50"/>
  <c r="BU90" i="50" s="1"/>
  <c r="AH172" i="50"/>
  <c r="BT172" i="50" s="1"/>
  <c r="AI105" i="50"/>
  <c r="BU105" i="50" s="1"/>
  <c r="AB108" i="50"/>
  <c r="BN108" i="50" s="1"/>
  <c r="AA108" i="50"/>
  <c r="BM108" i="50" s="1"/>
  <c r="AA100" i="50"/>
  <c r="BM100" i="50" s="1"/>
  <c r="AB90" i="50"/>
  <c r="BN90" i="50" s="1"/>
  <c r="AJ96" i="50"/>
  <c r="BV96" i="50" s="1"/>
  <c r="AI89" i="50"/>
  <c r="BU89" i="50" s="1"/>
  <c r="AH86" i="50"/>
  <c r="BT86" i="50" s="1"/>
  <c r="AI96" i="50"/>
  <c r="BU96" i="50" s="1"/>
  <c r="AH96" i="50"/>
  <c r="BT96" i="50" s="1"/>
  <c r="AA87" i="50"/>
  <c r="BM87" i="50" s="1"/>
  <c r="AA98" i="50"/>
  <c r="BM98" i="50" s="1"/>
  <c r="AH176" i="50"/>
  <c r="BT176" i="50" s="1"/>
  <c r="AH181" i="50"/>
  <c r="BT181" i="50" s="1"/>
  <c r="AI174" i="50"/>
  <c r="BU174" i="50" s="1"/>
  <c r="AH103" i="50"/>
  <c r="BT103" i="50" s="1"/>
  <c r="AH106" i="50"/>
  <c r="BT106" i="50" s="1"/>
  <c r="AH19" i="50"/>
  <c r="BT19" i="50" s="1"/>
  <c r="AH95" i="50"/>
  <c r="BT95" i="50" s="1"/>
  <c r="AH13" i="50"/>
  <c r="BT13" i="50" s="1"/>
  <c r="AH89" i="50"/>
  <c r="AH107" i="50"/>
  <c r="BT107" i="50" s="1"/>
  <c r="AH174" i="50"/>
  <c r="BT174" i="50" s="1"/>
  <c r="AH111" i="50"/>
  <c r="BT111" i="50" s="1"/>
  <c r="AA88" i="50"/>
  <c r="BM88" i="50" s="1"/>
  <c r="AH185" i="50"/>
  <c r="BT185" i="50" s="1"/>
  <c r="AA109" i="50"/>
  <c r="BM109" i="50" s="1"/>
  <c r="AH109" i="50"/>
  <c r="BT109" i="50" s="1"/>
  <c r="AH179" i="50"/>
  <c r="BT179" i="50" s="1"/>
  <c r="AH101" i="50"/>
  <c r="BT101" i="50" s="1"/>
  <c r="AH98" i="50"/>
  <c r="BT98" i="50" s="1"/>
  <c r="AA105" i="50"/>
  <c r="BM105" i="50" s="1"/>
  <c r="AA96" i="50"/>
  <c r="BM96" i="50" s="1"/>
  <c r="AI101" i="50"/>
  <c r="BU101" i="50" s="1"/>
  <c r="AA104" i="50"/>
  <c r="BM104" i="50" s="1"/>
  <c r="AI184" i="50"/>
  <c r="BU184" i="50" s="1"/>
  <c r="AA97" i="50"/>
  <c r="BM97" i="50" s="1"/>
  <c r="AB100" i="50"/>
  <c r="BN100" i="50" s="1"/>
  <c r="AA13" i="50"/>
  <c r="BM13" i="50" s="1"/>
  <c r="AA19" i="50"/>
  <c r="BM19" i="50" s="1"/>
  <c r="AH184" i="50"/>
  <c r="BT184" i="50" s="1"/>
  <c r="R285" i="50" l="1"/>
  <c r="BD285" i="50" s="1"/>
  <c r="K285" i="50"/>
  <c r="AW285" i="50" s="1"/>
  <c r="Y285" i="50"/>
  <c r="BK285" i="50" s="1"/>
  <c r="AH88" i="50"/>
  <c r="BT88" i="50" s="1"/>
  <c r="BT89" i="50"/>
  <c r="AH10" i="50"/>
  <c r="AI183" i="50"/>
  <c r="BU183" i="50" s="1"/>
  <c r="AI104" i="50"/>
  <c r="BU104" i="50" s="1"/>
  <c r="AI92" i="50"/>
  <c r="BU92" i="50" s="1"/>
  <c r="B16" i="48"/>
  <c r="E16" i="48"/>
  <c r="L16" i="48" s="1"/>
  <c r="D16" i="48"/>
  <c r="K16" i="48" s="1"/>
  <c r="AK179" i="50"/>
  <c r="BW179" i="50" s="1"/>
  <c r="AC90" i="50"/>
  <c r="BO90" i="50" s="1"/>
  <c r="AB13" i="50"/>
  <c r="BN13" i="50" s="1"/>
  <c r="AJ104" i="50"/>
  <c r="BV104" i="50" s="1"/>
  <c r="AJ180" i="50"/>
  <c r="BV180" i="50" s="1"/>
  <c r="AC86" i="50"/>
  <c r="BO86" i="50" s="1"/>
  <c r="AB86" i="50"/>
  <c r="BN86" i="50" s="1"/>
  <c r="AC91" i="50"/>
  <c r="BO91" i="50" s="1"/>
  <c r="AK108" i="50"/>
  <c r="BW108" i="50" s="1"/>
  <c r="AJ100" i="50"/>
  <c r="BV100" i="50" s="1"/>
  <c r="AJ108" i="50"/>
  <c r="BV108" i="50" s="1"/>
  <c r="AI97" i="50"/>
  <c r="BU97" i="50" s="1"/>
  <c r="AJ97" i="50"/>
  <c r="BV97" i="50" s="1"/>
  <c r="AB95" i="50"/>
  <c r="BN95" i="50" s="1"/>
  <c r="AJ175" i="50"/>
  <c r="BV175" i="50" s="1"/>
  <c r="AI99" i="50"/>
  <c r="BU99" i="50" s="1"/>
  <c r="AI175" i="50"/>
  <c r="BU175" i="50" s="1"/>
  <c r="AI186" i="50"/>
  <c r="BU186" i="50" s="1"/>
  <c r="AI108" i="50"/>
  <c r="BU108" i="50" s="1"/>
  <c r="AJ90" i="50"/>
  <c r="BV90" i="50" s="1"/>
  <c r="AK97" i="50"/>
  <c r="BW97" i="50" s="1"/>
  <c r="AL97" i="50"/>
  <c r="BX97" i="50" s="1"/>
  <c r="AI188" i="50"/>
  <c r="BU188" i="50" s="1"/>
  <c r="AI187" i="50"/>
  <c r="BU187" i="50" s="1"/>
  <c r="AI87" i="50"/>
  <c r="BU87" i="50" s="1"/>
  <c r="AI102" i="50"/>
  <c r="BU102" i="50" s="1"/>
  <c r="AJ190" i="50"/>
  <c r="BV190" i="50" s="1"/>
  <c r="AJ186" i="50"/>
  <c r="BV186" i="50" s="1"/>
  <c r="AI93" i="50"/>
  <c r="BU93" i="50" s="1"/>
  <c r="AI173" i="50"/>
  <c r="BU173" i="50" s="1"/>
  <c r="AB19" i="50"/>
  <c r="BN19" i="50" s="1"/>
  <c r="AB103" i="50"/>
  <c r="BN103" i="50" s="1"/>
  <c r="AA94" i="50"/>
  <c r="AB101" i="50"/>
  <c r="BN101" i="50" s="1"/>
  <c r="AC108" i="50"/>
  <c r="BO108" i="50" s="1"/>
  <c r="AB99" i="50"/>
  <c r="BN99" i="50" s="1"/>
  <c r="AB104" i="50"/>
  <c r="BN104" i="50" s="1"/>
  <c r="AJ101" i="50"/>
  <c r="BV101" i="50" s="1"/>
  <c r="C54" i="49"/>
  <c r="I54" i="49" s="1"/>
  <c r="AB107" i="50"/>
  <c r="BN107" i="50" s="1"/>
  <c r="AB102" i="50"/>
  <c r="BN102" i="50" s="1"/>
  <c r="AI98" i="50"/>
  <c r="BU98" i="50" s="1"/>
  <c r="AK104" i="50"/>
  <c r="BW104" i="50" s="1"/>
  <c r="AJ92" i="50"/>
  <c r="BV92" i="50" s="1"/>
  <c r="AI185" i="50"/>
  <c r="BU185" i="50" s="1"/>
  <c r="AH171" i="50"/>
  <c r="BT171" i="50" s="1"/>
  <c r="AJ99" i="50"/>
  <c r="BV99" i="50" s="1"/>
  <c r="AI103" i="50"/>
  <c r="BU103" i="50" s="1"/>
  <c r="AI181" i="50"/>
  <c r="BU181" i="50" s="1"/>
  <c r="AJ89" i="50"/>
  <c r="BV89" i="50" s="1"/>
  <c r="AB97" i="50"/>
  <c r="BN97" i="50" s="1"/>
  <c r="AB96" i="50"/>
  <c r="BN96" i="50" s="1"/>
  <c r="AB92" i="50"/>
  <c r="AJ174" i="50"/>
  <c r="BV174" i="50" s="1"/>
  <c r="AJ172" i="50"/>
  <c r="BV172" i="50" s="1"/>
  <c r="AB98" i="50"/>
  <c r="BN98" i="50" s="1"/>
  <c r="AB87" i="50"/>
  <c r="BN87" i="50" s="1"/>
  <c r="AL108" i="50"/>
  <c r="BX108" i="50" s="1"/>
  <c r="AM108" i="50"/>
  <c r="BY108" i="50" s="1"/>
  <c r="AI177" i="50"/>
  <c r="BU177" i="50" s="1"/>
  <c r="AA10" i="50"/>
  <c r="BM10" i="50" s="1"/>
  <c r="AC100" i="50"/>
  <c r="BO100" i="50" s="1"/>
  <c r="AI91" i="50"/>
  <c r="BU91" i="50" s="1"/>
  <c r="AC95" i="50"/>
  <c r="BO95" i="50" s="1"/>
  <c r="AI109" i="50"/>
  <c r="BU109" i="50" s="1"/>
  <c r="AI95" i="50"/>
  <c r="BU95" i="50" s="1"/>
  <c r="AI19" i="50"/>
  <c r="BU19" i="50" s="1"/>
  <c r="AI111" i="50"/>
  <c r="AD86" i="50"/>
  <c r="BP86" i="50" s="1"/>
  <c r="AI13" i="50"/>
  <c r="BU13" i="50" s="1"/>
  <c r="AK96" i="50"/>
  <c r="BW96" i="50" s="1"/>
  <c r="AJ184" i="50"/>
  <c r="BV184" i="50" s="1"/>
  <c r="AB105" i="50"/>
  <c r="BN105" i="50" s="1"/>
  <c r="AK175" i="50"/>
  <c r="BW175" i="50" s="1"/>
  <c r="AB109" i="50"/>
  <c r="BN109" i="50" s="1"/>
  <c r="AC93" i="50"/>
  <c r="BO93" i="50" s="1"/>
  <c r="C68" i="49"/>
  <c r="I68" i="49" s="1"/>
  <c r="AI107" i="50"/>
  <c r="BU107" i="50" s="1"/>
  <c r="AH94" i="50"/>
  <c r="AI176" i="50"/>
  <c r="BU176" i="50" s="1"/>
  <c r="AJ183" i="50"/>
  <c r="BV183" i="50" s="1"/>
  <c r="AI86" i="50"/>
  <c r="BU86" i="50" s="1"/>
  <c r="B14" i="48" l="1"/>
  <c r="I14" i="48" s="1"/>
  <c r="I16" i="48"/>
  <c r="C89" i="67"/>
  <c r="C107" i="67" s="1"/>
  <c r="BU111" i="50"/>
  <c r="C89" i="85" s="1"/>
  <c r="C107" i="85" s="1"/>
  <c r="AB88" i="50"/>
  <c r="BN88" i="50" s="1"/>
  <c r="BN92" i="50"/>
  <c r="AA85" i="50"/>
  <c r="BM94" i="50"/>
  <c r="AH85" i="50"/>
  <c r="BT85" i="50" s="1"/>
  <c r="BT94" i="50"/>
  <c r="C67" i="49"/>
  <c r="I67" i="49" s="1"/>
  <c r="BT10" i="50"/>
  <c r="AH280" i="50"/>
  <c r="BT280" i="50" s="1"/>
  <c r="AA280" i="50"/>
  <c r="C53" i="49"/>
  <c r="I53" i="49" s="1"/>
  <c r="AI88" i="50"/>
  <c r="BU88" i="50" s="1"/>
  <c r="AL179" i="50"/>
  <c r="BX179" i="50" s="1"/>
  <c r="AC106" i="50"/>
  <c r="BO106" i="50" s="1"/>
  <c r="AB10" i="50"/>
  <c r="AK178" i="50"/>
  <c r="BW178" i="50" s="1"/>
  <c r="AK106" i="50"/>
  <c r="BW106" i="50" s="1"/>
  <c r="C16" i="48"/>
  <c r="J16" i="48" s="1"/>
  <c r="G16" i="48"/>
  <c r="N16" i="48" s="1"/>
  <c r="F16" i="48"/>
  <c r="M16" i="48" s="1"/>
  <c r="AJ105" i="50"/>
  <c r="BV105" i="50" s="1"/>
  <c r="AJ182" i="50"/>
  <c r="BV182" i="50" s="1"/>
  <c r="AJ189" i="50"/>
  <c r="BV189" i="50" s="1"/>
  <c r="AC13" i="50"/>
  <c r="BO13" i="50" s="1"/>
  <c r="AC89" i="50"/>
  <c r="BO89" i="50" s="1"/>
  <c r="AE91" i="50"/>
  <c r="BQ91" i="50" s="1"/>
  <c r="AI10" i="50"/>
  <c r="BU10" i="50" s="1"/>
  <c r="C84" i="85" s="1"/>
  <c r="AK90" i="50"/>
  <c r="BW90" i="50" s="1"/>
  <c r="AM97" i="50"/>
  <c r="BY97" i="50" s="1"/>
  <c r="AB94" i="50"/>
  <c r="AJ13" i="50"/>
  <c r="BV13" i="50" s="1"/>
  <c r="AI94" i="50"/>
  <c r="BU94" i="50" s="1"/>
  <c r="AC19" i="50"/>
  <c r="BO19" i="50" s="1"/>
  <c r="AI171" i="50"/>
  <c r="AJ173" i="50"/>
  <c r="BV173" i="50" s="1"/>
  <c r="AK186" i="50"/>
  <c r="BW186" i="50" s="1"/>
  <c r="AJ102" i="50"/>
  <c r="BV102" i="50" s="1"/>
  <c r="AJ187" i="50"/>
  <c r="BV187" i="50" s="1"/>
  <c r="AJ93" i="50"/>
  <c r="BV93" i="50" s="1"/>
  <c r="AK190" i="50"/>
  <c r="BW190" i="50" s="1"/>
  <c r="AJ87" i="50"/>
  <c r="BV87" i="50" s="1"/>
  <c r="AJ188" i="50"/>
  <c r="BV188" i="50" s="1"/>
  <c r="AC103" i="50"/>
  <c r="BO103" i="50" s="1"/>
  <c r="AC101" i="50"/>
  <c r="BO101" i="50" s="1"/>
  <c r="AC99" i="50"/>
  <c r="BO99" i="50" s="1"/>
  <c r="AD108" i="50"/>
  <c r="BP108" i="50" s="1"/>
  <c r="AL175" i="50"/>
  <c r="BX175" i="50" s="1"/>
  <c r="AM175" i="50"/>
  <c r="BY175" i="50" s="1"/>
  <c r="AK183" i="50"/>
  <c r="BW183" i="50" s="1"/>
  <c r="AJ176" i="50"/>
  <c r="BV176" i="50" s="1"/>
  <c r="D68" i="49"/>
  <c r="J68" i="49" s="1"/>
  <c r="AJ107" i="50"/>
  <c r="BV107" i="50" s="1"/>
  <c r="AD93" i="50"/>
  <c r="BP93" i="50" s="1"/>
  <c r="AM178" i="50"/>
  <c r="BY178" i="50" s="1"/>
  <c r="AL178" i="50"/>
  <c r="BX178" i="50" s="1"/>
  <c r="AK182" i="50"/>
  <c r="BW182" i="50" s="1"/>
  <c r="AD90" i="50"/>
  <c r="BP90" i="50" s="1"/>
  <c r="V58" i="53"/>
  <c r="AC96" i="50"/>
  <c r="BO96" i="50" s="1"/>
  <c r="AK89" i="50"/>
  <c r="BW89" i="50" s="1"/>
  <c r="AK99" i="50"/>
  <c r="BW99" i="50" s="1"/>
  <c r="AJ98" i="50"/>
  <c r="BV98" i="50" s="1"/>
  <c r="AC109" i="50"/>
  <c r="BO109" i="50" s="1"/>
  <c r="AL96" i="50"/>
  <c r="BX96" i="50" s="1"/>
  <c r="AM96" i="50"/>
  <c r="BY96" i="50" s="1"/>
  <c r="AK189" i="50"/>
  <c r="BW189" i="50" s="1"/>
  <c r="AD106" i="50"/>
  <c r="BP106" i="50" s="1"/>
  <c r="AD100" i="50"/>
  <c r="BP100" i="50" s="1"/>
  <c r="U58" i="53"/>
  <c r="AC87" i="50"/>
  <c r="BO87" i="50" s="1"/>
  <c r="AK174" i="50"/>
  <c r="BW174" i="50" s="1"/>
  <c r="AC97" i="50"/>
  <c r="BO97" i="50" s="1"/>
  <c r="G58" i="53"/>
  <c r="AJ103" i="50"/>
  <c r="BV103" i="50" s="1"/>
  <c r="AJ185" i="50"/>
  <c r="BV185" i="50" s="1"/>
  <c r="AL104" i="50"/>
  <c r="BX104" i="50" s="1"/>
  <c r="AM104" i="50"/>
  <c r="BY104" i="50" s="1"/>
  <c r="AC102" i="50"/>
  <c r="BO102" i="50" s="1"/>
  <c r="AK101" i="50"/>
  <c r="BW101" i="50" s="1"/>
  <c r="AK184" i="50"/>
  <c r="BW184" i="50" s="1"/>
  <c r="W58" i="53"/>
  <c r="AJ86" i="50"/>
  <c r="BV86" i="50" s="1"/>
  <c r="AK105" i="50"/>
  <c r="BW105" i="50" s="1"/>
  <c r="AJ19" i="50"/>
  <c r="BV19" i="50" s="1"/>
  <c r="AJ95" i="50"/>
  <c r="BV95" i="50" s="1"/>
  <c r="AJ109" i="50"/>
  <c r="BV109" i="50" s="1"/>
  <c r="AC98" i="50"/>
  <c r="BO98" i="50" s="1"/>
  <c r="AK172" i="50"/>
  <c r="BW172" i="50" s="1"/>
  <c r="AC92" i="50"/>
  <c r="BO92" i="50" s="1"/>
  <c r="AL106" i="50"/>
  <c r="BX106" i="50" s="1"/>
  <c r="AM106" i="50"/>
  <c r="BY106" i="50" s="1"/>
  <c r="AK92" i="50"/>
  <c r="BW92" i="50" s="1"/>
  <c r="AC104" i="50"/>
  <c r="BO104" i="50" s="1"/>
  <c r="AC105" i="50"/>
  <c r="BO105" i="50" s="1"/>
  <c r="N58" i="53"/>
  <c r="AE86" i="50"/>
  <c r="BQ86" i="50" s="1"/>
  <c r="AD95" i="50"/>
  <c r="BP95" i="50" s="1"/>
  <c r="AJ91" i="50"/>
  <c r="AJ177" i="50"/>
  <c r="BV177" i="50" s="1"/>
  <c r="P58" i="53"/>
  <c r="AJ111" i="50"/>
  <c r="AJ181" i="50"/>
  <c r="BV181" i="50" s="1"/>
  <c r="D54" i="49"/>
  <c r="J54" i="49" s="1"/>
  <c r="AC107" i="50"/>
  <c r="BO107" i="50" s="1"/>
  <c r="AH283" i="50" l="1"/>
  <c r="BT283" i="50" s="1"/>
  <c r="C60" i="67"/>
  <c r="BN10" i="50"/>
  <c r="C60" i="85" s="1"/>
  <c r="C102" i="85" s="1"/>
  <c r="D89" i="67"/>
  <c r="D107" i="67" s="1"/>
  <c r="BV111" i="50"/>
  <c r="D89" i="85" s="1"/>
  <c r="D107" i="85" s="1"/>
  <c r="W31" i="67"/>
  <c r="BT58" i="53"/>
  <c r="W31" i="85" s="1"/>
  <c r="V52" i="67"/>
  <c r="BZ58" i="53"/>
  <c r="V52" i="85" s="1"/>
  <c r="X10" i="67"/>
  <c r="BN58" i="53"/>
  <c r="X10" i="85" s="1"/>
  <c r="Y31" i="67"/>
  <c r="BV58" i="53"/>
  <c r="Y31" i="85" s="1"/>
  <c r="W52" i="67"/>
  <c r="CA58" i="53"/>
  <c r="W52" i="85" s="1"/>
  <c r="X52" i="67"/>
  <c r="CB58" i="53"/>
  <c r="X52" i="85" s="1"/>
  <c r="AB85" i="50"/>
  <c r="BN85" i="50" s="1"/>
  <c r="C63" i="85" s="1"/>
  <c r="BN94" i="50"/>
  <c r="C92" i="67"/>
  <c r="C110" i="67" s="1"/>
  <c r="BU171" i="50"/>
  <c r="C92" i="85" s="1"/>
  <c r="C110" i="85" s="1"/>
  <c r="AA283" i="50"/>
  <c r="BM283" i="50" s="1"/>
  <c r="BM85" i="50"/>
  <c r="BM280" i="50"/>
  <c r="AJ88" i="50"/>
  <c r="BV88" i="50" s="1"/>
  <c r="BV91" i="50"/>
  <c r="AI280" i="50"/>
  <c r="BU280" i="50" s="1"/>
  <c r="D67" i="49"/>
  <c r="J67" i="49" s="1"/>
  <c r="C84" i="67"/>
  <c r="C102" i="67" s="1"/>
  <c r="AB283" i="50"/>
  <c r="BN283" i="50" s="1"/>
  <c r="C63" i="67"/>
  <c r="C52" i="49"/>
  <c r="D53" i="49"/>
  <c r="J53" i="49" s="1"/>
  <c r="W58" i="73"/>
  <c r="BR58" i="73" s="1"/>
  <c r="X58" i="73"/>
  <c r="N55" i="53"/>
  <c r="S58" i="73"/>
  <c r="BP58" i="73" s="1"/>
  <c r="T58" i="73"/>
  <c r="W55" i="53"/>
  <c r="AG58" i="73"/>
  <c r="AF58" i="73"/>
  <c r="BW58" i="73" s="1"/>
  <c r="U55" i="53"/>
  <c r="AS51" i="79" s="1"/>
  <c r="AM51" i="79" s="1"/>
  <c r="AC58" i="73"/>
  <c r="AB58" i="73"/>
  <c r="BU58" i="73" s="1"/>
  <c r="V55" i="53"/>
  <c r="AE58" i="73"/>
  <c r="AD58" i="73"/>
  <c r="BV58" i="73" s="1"/>
  <c r="AI85" i="50"/>
  <c r="BU85" i="50" s="1"/>
  <c r="C87" i="85" s="1"/>
  <c r="AB280" i="50"/>
  <c r="BN280" i="50" s="1"/>
  <c r="AM179" i="50"/>
  <c r="BY179" i="50" s="1"/>
  <c r="AJ10" i="50"/>
  <c r="BV10" i="50" s="1"/>
  <c r="D84" i="85" s="1"/>
  <c r="AK180" i="50"/>
  <c r="BW180" i="50" s="1"/>
  <c r="AF91" i="50"/>
  <c r="BR91" i="50" s="1"/>
  <c r="AK100" i="50"/>
  <c r="BW100" i="50" s="1"/>
  <c r="AC10" i="50"/>
  <c r="C66" i="49"/>
  <c r="I66" i="49" s="1"/>
  <c r="AL37" i="85" s="1"/>
  <c r="AL42" i="85" s="1"/>
  <c r="AC88" i="50"/>
  <c r="BO88" i="50" s="1"/>
  <c r="AJ94" i="50"/>
  <c r="AD91" i="50"/>
  <c r="BP91" i="50" s="1"/>
  <c r="AL90" i="50"/>
  <c r="BX90" i="50" s="1"/>
  <c r="AD89" i="50"/>
  <c r="BP89" i="50" s="1"/>
  <c r="AD19" i="50"/>
  <c r="BP19" i="50" s="1"/>
  <c r="G55" i="53"/>
  <c r="AU35" i="79" s="1"/>
  <c r="AO35" i="79" s="1"/>
  <c r="BG58" i="53"/>
  <c r="P55" i="53"/>
  <c r="AV43" i="79" s="1"/>
  <c r="AP43" i="79" s="1"/>
  <c r="AJ171" i="50"/>
  <c r="AK87" i="50"/>
  <c r="BW87" i="50" s="1"/>
  <c r="AK93" i="50"/>
  <c r="BW93" i="50" s="1"/>
  <c r="AM186" i="50"/>
  <c r="BY186" i="50" s="1"/>
  <c r="AL186" i="50"/>
  <c r="BX186" i="50" s="1"/>
  <c r="AK102" i="50"/>
  <c r="BW102" i="50" s="1"/>
  <c r="AK173" i="50"/>
  <c r="BW173" i="50" s="1"/>
  <c r="AK111" i="50"/>
  <c r="AK188" i="50"/>
  <c r="BW188" i="50" s="1"/>
  <c r="AL190" i="50"/>
  <c r="BX190" i="50" s="1"/>
  <c r="AM190" i="50"/>
  <c r="BY190" i="50" s="1"/>
  <c r="AK187" i="50"/>
  <c r="BW187" i="50" s="1"/>
  <c r="AC94" i="50"/>
  <c r="BO94" i="50" s="1"/>
  <c r="AD101" i="50"/>
  <c r="BP101" i="50" s="1"/>
  <c r="AD103" i="50"/>
  <c r="BP103" i="50" s="1"/>
  <c r="AE108" i="50"/>
  <c r="BQ108" i="50" s="1"/>
  <c r="AF108" i="50"/>
  <c r="BR108" i="50" s="1"/>
  <c r="AD99" i="50"/>
  <c r="BP99" i="50" s="1"/>
  <c r="AK91" i="50"/>
  <c r="AD105" i="50"/>
  <c r="BP105" i="50" s="1"/>
  <c r="AM100" i="50"/>
  <c r="BY100" i="50" s="1"/>
  <c r="AL100" i="50"/>
  <c r="BX100" i="50" s="1"/>
  <c r="AK103" i="50"/>
  <c r="BW103" i="50" s="1"/>
  <c r="AD87" i="50"/>
  <c r="BP87" i="50" s="1"/>
  <c r="AE100" i="50"/>
  <c r="BQ100" i="50" s="1"/>
  <c r="AF100" i="50"/>
  <c r="BR100" i="50" s="1"/>
  <c r="AD96" i="50"/>
  <c r="BP96" i="50" s="1"/>
  <c r="AE90" i="50"/>
  <c r="BQ90" i="50" s="1"/>
  <c r="AE93" i="50"/>
  <c r="BQ93" i="50" s="1"/>
  <c r="AF93" i="50"/>
  <c r="BR93" i="50" s="1"/>
  <c r="AK176" i="50"/>
  <c r="BW176" i="50" s="1"/>
  <c r="AK181" i="50"/>
  <c r="BW181" i="50" s="1"/>
  <c r="AF86" i="50"/>
  <c r="BR86" i="50" s="1"/>
  <c r="AL92" i="50"/>
  <c r="BX92" i="50" s="1"/>
  <c r="AM92" i="50"/>
  <c r="BY92" i="50" s="1"/>
  <c r="L58" i="53"/>
  <c r="BR58" i="53" s="1"/>
  <c r="U31" i="85" s="1"/>
  <c r="Z31" i="85" s="1"/>
  <c r="AD92" i="50"/>
  <c r="BP92" i="50" s="1"/>
  <c r="M58" i="53"/>
  <c r="AK86" i="50"/>
  <c r="BW86" i="50" s="1"/>
  <c r="AD102" i="50"/>
  <c r="BP102" i="50" s="1"/>
  <c r="AK185" i="50"/>
  <c r="BW185" i="50" s="1"/>
  <c r="AM174" i="50"/>
  <c r="BY174" i="50" s="1"/>
  <c r="AL174" i="50"/>
  <c r="BX174" i="50" s="1"/>
  <c r="Y52" i="67"/>
  <c r="AD109" i="50"/>
  <c r="BP109" i="50" s="1"/>
  <c r="AK98" i="50"/>
  <c r="BW98" i="50" s="1"/>
  <c r="AK177" i="50"/>
  <c r="BW177" i="50" s="1"/>
  <c r="AL180" i="50"/>
  <c r="BX180" i="50" s="1"/>
  <c r="AM180" i="50"/>
  <c r="BY180" i="50" s="1"/>
  <c r="AD104" i="50"/>
  <c r="BP104" i="50" s="1"/>
  <c r="AK19" i="50"/>
  <c r="BW19" i="50" s="1"/>
  <c r="AK95" i="50"/>
  <c r="BW95" i="50" s="1"/>
  <c r="AL105" i="50"/>
  <c r="BX105" i="50" s="1"/>
  <c r="AM105" i="50"/>
  <c r="BY105" i="50" s="1"/>
  <c r="AL184" i="50"/>
  <c r="BX184" i="50" s="1"/>
  <c r="AM184" i="50"/>
  <c r="BY184" i="50" s="1"/>
  <c r="AD97" i="50"/>
  <c r="BP97" i="50" s="1"/>
  <c r="AF106" i="50"/>
  <c r="BR106" i="50" s="1"/>
  <c r="AE106" i="50"/>
  <c r="BQ106" i="50" s="1"/>
  <c r="AL89" i="50"/>
  <c r="BX89" i="50" s="1"/>
  <c r="AM182" i="50"/>
  <c r="BY182" i="50" s="1"/>
  <c r="AL182" i="50"/>
  <c r="BX182" i="50" s="1"/>
  <c r="AK107" i="50"/>
  <c r="BW107" i="50" s="1"/>
  <c r="E68" i="49"/>
  <c r="K68" i="49" s="1"/>
  <c r="AM183" i="50"/>
  <c r="BY183" i="50" s="1"/>
  <c r="AL183" i="50"/>
  <c r="BX183" i="50" s="1"/>
  <c r="E58" i="53"/>
  <c r="AD107" i="50"/>
  <c r="BP107" i="50" s="1"/>
  <c r="E54" i="49"/>
  <c r="K54" i="49" s="1"/>
  <c r="AE95" i="50"/>
  <c r="BQ95" i="50" s="1"/>
  <c r="T58" i="53"/>
  <c r="BY58" i="53" s="1"/>
  <c r="U52" i="85" s="1"/>
  <c r="AL172" i="50"/>
  <c r="BX172" i="50" s="1"/>
  <c r="AD98" i="50"/>
  <c r="BP98" i="50" s="1"/>
  <c r="AK109" i="50"/>
  <c r="BW109" i="50" s="1"/>
  <c r="AL101" i="50"/>
  <c r="BX101" i="50" s="1"/>
  <c r="AM101" i="50"/>
  <c r="BY101" i="50" s="1"/>
  <c r="AL189" i="50"/>
  <c r="BX189" i="50" s="1"/>
  <c r="AM189" i="50"/>
  <c r="BY189" i="50" s="1"/>
  <c r="H58" i="53"/>
  <c r="AL99" i="50"/>
  <c r="BX99" i="50" s="1"/>
  <c r="AM99" i="50"/>
  <c r="BY99" i="50" s="1"/>
  <c r="O58" i="53"/>
  <c r="AK13" i="50"/>
  <c r="BW13" i="50" s="1"/>
  <c r="AD13" i="50"/>
  <c r="BP13" i="50" s="1"/>
  <c r="AH285" i="50" l="1"/>
  <c r="BT285" i="50" s="1"/>
  <c r="CB55" i="53"/>
  <c r="AU51" i="84" s="1"/>
  <c r="AO51" i="84" s="1"/>
  <c r="AU51" i="79"/>
  <c r="AO51" i="79" s="1"/>
  <c r="CA55" i="53"/>
  <c r="AT51" i="84" s="1"/>
  <c r="AN51" i="84" s="1"/>
  <c r="AT51" i="79"/>
  <c r="AN51" i="79" s="1"/>
  <c r="BT55" i="53"/>
  <c r="AT43" i="84" s="1"/>
  <c r="AN43" i="84" s="1"/>
  <c r="AT43" i="79"/>
  <c r="AN43" i="79" s="1"/>
  <c r="X49" i="85"/>
  <c r="X57" i="85" s="1"/>
  <c r="X58" i="85" s="1"/>
  <c r="Z52" i="85"/>
  <c r="AA52" i="85"/>
  <c r="AA31" i="85"/>
  <c r="C105" i="85"/>
  <c r="AA285" i="50"/>
  <c r="BM285" i="50" s="1"/>
  <c r="D60" i="67"/>
  <c r="BO10" i="50"/>
  <c r="D60" i="85" s="1"/>
  <c r="D102" i="85" s="1"/>
  <c r="E89" i="67"/>
  <c r="E107" i="67" s="1"/>
  <c r="BW111" i="50"/>
  <c r="E89" i="85" s="1"/>
  <c r="E107" i="85" s="1"/>
  <c r="C63" i="49"/>
  <c r="I52" i="49"/>
  <c r="AL29" i="85" s="1"/>
  <c r="AL34" i="85" s="1"/>
  <c r="X31" i="67"/>
  <c r="X127" i="67" s="1"/>
  <c r="BU58" i="53"/>
  <c r="X31" i="85" s="1"/>
  <c r="X127" i="85" s="1"/>
  <c r="V49" i="67"/>
  <c r="V57" i="67" s="1"/>
  <c r="V58" i="67" s="1"/>
  <c r="BZ55" i="53"/>
  <c r="AS51" i="84" s="1"/>
  <c r="AM51" i="84" s="1"/>
  <c r="Y28" i="67"/>
  <c r="Y36" i="67" s="1"/>
  <c r="BV55" i="53"/>
  <c r="Y10" i="67"/>
  <c r="Y127" i="67" s="1"/>
  <c r="BO58" i="53"/>
  <c r="Y10" i="85" s="1"/>
  <c r="BG55" i="53"/>
  <c r="DI58" i="53"/>
  <c r="V31" i="67"/>
  <c r="BS58" i="53"/>
  <c r="V31" i="85" s="1"/>
  <c r="X7" i="67"/>
  <c r="X15" i="67" s="1"/>
  <c r="BN55" i="53"/>
  <c r="V10" i="67"/>
  <c r="BL58" i="53"/>
  <c r="V10" i="85" s="1"/>
  <c r="D92" i="67"/>
  <c r="D110" i="67" s="1"/>
  <c r="BV171" i="50"/>
  <c r="D92" i="85" s="1"/>
  <c r="D110" i="85" s="1"/>
  <c r="AK88" i="50"/>
  <c r="BW88" i="50" s="1"/>
  <c r="BW91" i="50"/>
  <c r="AJ85" i="50"/>
  <c r="AJ283" i="50" s="1"/>
  <c r="BV283" i="50" s="1"/>
  <c r="BV94" i="50"/>
  <c r="U31" i="67"/>
  <c r="R58" i="53"/>
  <c r="Q58" i="53"/>
  <c r="BW58" i="53" s="1"/>
  <c r="U52" i="67"/>
  <c r="Z52" i="67" s="1"/>
  <c r="Z58" i="53"/>
  <c r="Y58" i="53"/>
  <c r="CD58" i="53" s="1"/>
  <c r="AB285" i="50"/>
  <c r="BN285" i="50" s="1"/>
  <c r="C58" i="73"/>
  <c r="BG58" i="73" s="1"/>
  <c r="T10" i="67"/>
  <c r="T127" i="67" s="1"/>
  <c r="U88" i="53"/>
  <c r="AS50" i="79" s="1"/>
  <c r="AM50" i="79" s="1"/>
  <c r="E18" i="20"/>
  <c r="L18" i="20" s="1"/>
  <c r="V88" i="53"/>
  <c r="AT50" i="79" s="1"/>
  <c r="AN50" i="79" s="1"/>
  <c r="W49" i="67"/>
  <c r="W57" i="67" s="1"/>
  <c r="W58" i="67" s="1"/>
  <c r="N88" i="53"/>
  <c r="AT42" i="79" s="1"/>
  <c r="AN42" i="79" s="1"/>
  <c r="W28" i="67"/>
  <c r="W36" i="67" s="1"/>
  <c r="W37" i="67" s="1"/>
  <c r="W88" i="53"/>
  <c r="AU50" i="79" s="1"/>
  <c r="AO50" i="79" s="1"/>
  <c r="X49" i="67"/>
  <c r="X57" i="67" s="1"/>
  <c r="X58" i="67" s="1"/>
  <c r="AI283" i="50"/>
  <c r="C87" i="67"/>
  <c r="C105" i="67" s="1"/>
  <c r="D66" i="49"/>
  <c r="E67" i="49"/>
  <c r="K67" i="49" s="1"/>
  <c r="D84" i="67"/>
  <c r="D102" i="67" s="1"/>
  <c r="AC280" i="50"/>
  <c r="BO280" i="50" s="1"/>
  <c r="E53" i="49"/>
  <c r="K53" i="49" s="1"/>
  <c r="AL29" i="67"/>
  <c r="AL34" i="67" s="1"/>
  <c r="C77" i="49"/>
  <c r="AL37" i="67"/>
  <c r="AL42" i="67" s="1"/>
  <c r="AJ280" i="50"/>
  <c r="BV280" i="50" s="1"/>
  <c r="G18" i="20"/>
  <c r="N18" i="20" s="1"/>
  <c r="F18" i="20"/>
  <c r="M18" i="20" s="1"/>
  <c r="F15" i="20"/>
  <c r="M15" i="20" s="1"/>
  <c r="T55" i="53"/>
  <c r="AA58" i="73"/>
  <c r="Z58" i="73"/>
  <c r="BT58" i="73" s="1"/>
  <c r="AI58" i="73"/>
  <c r="AH58" i="73"/>
  <c r="BX58" i="73" s="1"/>
  <c r="H15" i="20"/>
  <c r="O15" i="20" s="1"/>
  <c r="W55" i="73"/>
  <c r="BR55" i="73" s="1"/>
  <c r="X55" i="73"/>
  <c r="AC55" i="73"/>
  <c r="AB55" i="73"/>
  <c r="BU55" i="73" s="1"/>
  <c r="S55" i="73"/>
  <c r="BP55" i="73" s="1"/>
  <c r="T55" i="73"/>
  <c r="O55" i="53"/>
  <c r="V58" i="73"/>
  <c r="U58" i="73"/>
  <c r="BQ58" i="73" s="1"/>
  <c r="M58" i="73"/>
  <c r="L58" i="73"/>
  <c r="BL58" i="73" s="1"/>
  <c r="G58" i="73"/>
  <c r="F58" i="73"/>
  <c r="BI58" i="73" s="1"/>
  <c r="AE55" i="73"/>
  <c r="AD55" i="73"/>
  <c r="BV55" i="73" s="1"/>
  <c r="J58" i="73"/>
  <c r="BK58" i="73" s="1"/>
  <c r="AG55" i="73"/>
  <c r="AF55" i="73"/>
  <c r="BW55" i="73" s="1"/>
  <c r="M55" i="53"/>
  <c r="R58" i="73"/>
  <c r="Q58" i="73"/>
  <c r="BO58" i="73" s="1"/>
  <c r="L55" i="53"/>
  <c r="P58" i="73"/>
  <c r="O58" i="73"/>
  <c r="BN58" i="73" s="1"/>
  <c r="G12" i="20"/>
  <c r="N12" i="20" s="1"/>
  <c r="K58" i="73"/>
  <c r="D52" i="49"/>
  <c r="J52" i="49" s="1"/>
  <c r="AM29" i="85" s="1"/>
  <c r="AM34" i="85" s="1"/>
  <c r="G88" i="53"/>
  <c r="AC85" i="50"/>
  <c r="BO85" i="50" s="1"/>
  <c r="D63" i="85" s="1"/>
  <c r="AD88" i="50"/>
  <c r="BP88" i="50" s="1"/>
  <c r="AM90" i="50"/>
  <c r="BY90" i="50" s="1"/>
  <c r="AL13" i="50"/>
  <c r="BX13" i="50" s="1"/>
  <c r="AE89" i="50"/>
  <c r="BQ89" i="50" s="1"/>
  <c r="AF89" i="50"/>
  <c r="BR89" i="50" s="1"/>
  <c r="AD10" i="50"/>
  <c r="AK171" i="50"/>
  <c r="AL111" i="50"/>
  <c r="BH58" i="53"/>
  <c r="BB58" i="53"/>
  <c r="E55" i="53"/>
  <c r="AS35" i="79" s="1"/>
  <c r="AM35" i="79" s="1"/>
  <c r="BE58" i="53"/>
  <c r="AY58" i="53"/>
  <c r="BA58" i="53"/>
  <c r="P88" i="53"/>
  <c r="C55" i="53"/>
  <c r="BC58" i="53"/>
  <c r="AW58" i="53"/>
  <c r="H55" i="53"/>
  <c r="AV35" i="79" s="1"/>
  <c r="AP35" i="79" s="1"/>
  <c r="X55" i="53"/>
  <c r="AL93" i="50"/>
  <c r="BX93" i="50" s="1"/>
  <c r="AM93" i="50"/>
  <c r="BY93" i="50" s="1"/>
  <c r="AK10" i="50"/>
  <c r="BW10" i="50" s="1"/>
  <c r="E84" i="85" s="1"/>
  <c r="AL173" i="50"/>
  <c r="BX173" i="50" s="1"/>
  <c r="AM173" i="50"/>
  <c r="BY173" i="50" s="1"/>
  <c r="AL87" i="50"/>
  <c r="BX87" i="50" s="1"/>
  <c r="AM87" i="50"/>
  <c r="BY87" i="50" s="1"/>
  <c r="AL188" i="50"/>
  <c r="BX188" i="50" s="1"/>
  <c r="AM188" i="50"/>
  <c r="BY188" i="50" s="1"/>
  <c r="AM187" i="50"/>
  <c r="BY187" i="50" s="1"/>
  <c r="AL187" i="50"/>
  <c r="BX187" i="50" s="1"/>
  <c r="AL102" i="50"/>
  <c r="BX102" i="50" s="1"/>
  <c r="AM102" i="50"/>
  <c r="BY102" i="50" s="1"/>
  <c r="AD94" i="50"/>
  <c r="BP94" i="50" s="1"/>
  <c r="AE103" i="50"/>
  <c r="BQ103" i="50" s="1"/>
  <c r="AF103" i="50"/>
  <c r="BR103" i="50" s="1"/>
  <c r="AF99" i="50"/>
  <c r="BR99" i="50" s="1"/>
  <c r="AE99" i="50"/>
  <c r="BQ99" i="50" s="1"/>
  <c r="AE101" i="50"/>
  <c r="BQ101" i="50" s="1"/>
  <c r="AF101" i="50"/>
  <c r="BR101" i="50" s="1"/>
  <c r="AM172" i="50"/>
  <c r="BY172" i="50" s="1"/>
  <c r="AE97" i="50"/>
  <c r="BQ97" i="50" s="1"/>
  <c r="AF97" i="50"/>
  <c r="BR97" i="50" s="1"/>
  <c r="AE109" i="50"/>
  <c r="BQ109" i="50" s="1"/>
  <c r="AF109" i="50"/>
  <c r="BR109" i="50" s="1"/>
  <c r="AL86" i="50"/>
  <c r="BX86" i="50" s="1"/>
  <c r="AE92" i="50"/>
  <c r="BQ92" i="50" s="1"/>
  <c r="AF92" i="50"/>
  <c r="BR92" i="50" s="1"/>
  <c r="F58" i="53"/>
  <c r="AE105" i="50"/>
  <c r="BQ105" i="50" s="1"/>
  <c r="AF105" i="50"/>
  <c r="BR105" i="50" s="1"/>
  <c r="AF98" i="50"/>
  <c r="BR98" i="50" s="1"/>
  <c r="AE98" i="50"/>
  <c r="BQ98" i="50" s="1"/>
  <c r="AM89" i="50"/>
  <c r="BY89" i="50" s="1"/>
  <c r="D58" i="53"/>
  <c r="BK58" i="53" s="1"/>
  <c r="U10" i="85" s="1"/>
  <c r="AE19" i="50"/>
  <c r="BQ19" i="50" s="1"/>
  <c r="AE107" i="50"/>
  <c r="BQ107" i="50" s="1"/>
  <c r="F54" i="49"/>
  <c r="L54" i="49" s="1"/>
  <c r="AL19" i="50"/>
  <c r="BX19" i="50" s="1"/>
  <c r="AL95" i="50"/>
  <c r="BX95" i="50" s="1"/>
  <c r="AF104" i="50"/>
  <c r="BR104" i="50" s="1"/>
  <c r="AE104" i="50"/>
  <c r="BQ104" i="50" s="1"/>
  <c r="AL177" i="50"/>
  <c r="BX177" i="50" s="1"/>
  <c r="AM177" i="50"/>
  <c r="BY177" i="50" s="1"/>
  <c r="AE102" i="50"/>
  <c r="BQ102" i="50" s="1"/>
  <c r="AF102" i="50"/>
  <c r="BR102" i="50" s="1"/>
  <c r="AF96" i="50"/>
  <c r="BR96" i="50" s="1"/>
  <c r="AE96" i="50"/>
  <c r="BQ96" i="50" s="1"/>
  <c r="AM103" i="50"/>
  <c r="BY103" i="50" s="1"/>
  <c r="AL103" i="50"/>
  <c r="BX103" i="50" s="1"/>
  <c r="AL109" i="50"/>
  <c r="BX109" i="50" s="1"/>
  <c r="AM109" i="50"/>
  <c r="BY109" i="50" s="1"/>
  <c r="AK94" i="50"/>
  <c r="AL98" i="50"/>
  <c r="BX98" i="50" s="1"/>
  <c r="AM98" i="50"/>
  <c r="BY98" i="50" s="1"/>
  <c r="AM181" i="50"/>
  <c r="BY181" i="50" s="1"/>
  <c r="AL181" i="50"/>
  <c r="BX181" i="50" s="1"/>
  <c r="AM176" i="50"/>
  <c r="BY176" i="50" s="1"/>
  <c r="AL176" i="50"/>
  <c r="BX176" i="50" s="1"/>
  <c r="AE13" i="50"/>
  <c r="BQ13" i="50" s="1"/>
  <c r="AL91" i="50"/>
  <c r="AM91" i="50"/>
  <c r="BY91" i="50" s="1"/>
  <c r="AF95" i="50"/>
  <c r="BR95" i="50" s="1"/>
  <c r="AL107" i="50"/>
  <c r="BX107" i="50" s="1"/>
  <c r="F68" i="49"/>
  <c r="L68" i="49" s="1"/>
  <c r="AL185" i="50"/>
  <c r="BX185" i="50" s="1"/>
  <c r="AM185" i="50"/>
  <c r="BY185" i="50" s="1"/>
  <c r="AF90" i="50"/>
  <c r="BR90" i="50" s="1"/>
  <c r="AE87" i="50"/>
  <c r="BQ87" i="50" s="1"/>
  <c r="W49" i="85" l="1"/>
  <c r="W57" i="85" s="1"/>
  <c r="W58" i="85" s="1"/>
  <c r="W28" i="85"/>
  <c r="W36" i="85" s="1"/>
  <c r="W37" i="85" s="1"/>
  <c r="BU55" i="53"/>
  <c r="X28" i="85" s="1"/>
  <c r="X36" i="85" s="1"/>
  <c r="X37" i="85" s="1"/>
  <c r="AU43" i="79"/>
  <c r="AO43" i="79" s="1"/>
  <c r="BR55" i="53"/>
  <c r="AR43" i="84" s="1"/>
  <c r="AL43" i="84" s="1"/>
  <c r="AR43" i="79"/>
  <c r="AL43" i="79" s="1"/>
  <c r="BV88" i="53"/>
  <c r="AV42" i="84" s="1"/>
  <c r="AP42" i="84" s="1"/>
  <c r="AV42" i="79"/>
  <c r="AP42" i="79" s="1"/>
  <c r="BN88" i="53"/>
  <c r="AV34" i="84" s="1"/>
  <c r="AP34" i="84" s="1"/>
  <c r="AU34" i="79"/>
  <c r="AO34" i="79" s="1"/>
  <c r="BS55" i="53"/>
  <c r="V28" i="85" s="1"/>
  <c r="V36" i="85" s="1"/>
  <c r="V37" i="85" s="1"/>
  <c r="AS43" i="79"/>
  <c r="AM43" i="79" s="1"/>
  <c r="BY55" i="53"/>
  <c r="AR51" i="84" s="1"/>
  <c r="AL51" i="84" s="1"/>
  <c r="AR51" i="79"/>
  <c r="AL51" i="79" s="1"/>
  <c r="CC55" i="53"/>
  <c r="AV51" i="84" s="1"/>
  <c r="AP51" i="84" s="1"/>
  <c r="AV51" i="79"/>
  <c r="AP51" i="79" s="1"/>
  <c r="AA52" i="67"/>
  <c r="AU35" i="84"/>
  <c r="AO35" i="84" s="1"/>
  <c r="X7" i="85"/>
  <c r="AV43" i="84"/>
  <c r="AP43" i="84" s="1"/>
  <c r="Y28" i="85"/>
  <c r="Y36" i="85" s="1"/>
  <c r="V49" i="85"/>
  <c r="V57" i="85" s="1"/>
  <c r="V58" i="85" s="1"/>
  <c r="AU43" i="84"/>
  <c r="AO43" i="84" s="1"/>
  <c r="Z10" i="85"/>
  <c r="U127" i="85"/>
  <c r="Z127" i="85" s="1"/>
  <c r="V127" i="85"/>
  <c r="Y127" i="85"/>
  <c r="AA127" i="85" s="1"/>
  <c r="AA10" i="85"/>
  <c r="V127" i="67"/>
  <c r="E60" i="67"/>
  <c r="BP10" i="50"/>
  <c r="E60" i="85" s="1"/>
  <c r="E102" i="85" s="1"/>
  <c r="D20" i="21"/>
  <c r="K20" i="21" s="1"/>
  <c r="AM56" i="85" s="1"/>
  <c r="I63" i="49"/>
  <c r="D21" i="21"/>
  <c r="AM57" i="67" s="1"/>
  <c r="I77" i="49"/>
  <c r="D77" i="49"/>
  <c r="J66" i="49"/>
  <c r="AM37" i="85" s="1"/>
  <c r="AM42" i="85" s="1"/>
  <c r="F89" i="67"/>
  <c r="F107" i="67" s="1"/>
  <c r="BX111" i="50"/>
  <c r="F89" i="85" s="1"/>
  <c r="F107" i="85" s="1"/>
  <c r="AY55" i="53"/>
  <c r="DA58" i="53"/>
  <c r="I89" i="1"/>
  <c r="Y89" i="1" s="1"/>
  <c r="CB88" i="53"/>
  <c r="AU50" i="84" s="1"/>
  <c r="AO50" i="84" s="1"/>
  <c r="AW55" i="53"/>
  <c r="CY58" i="53"/>
  <c r="BE55" i="53"/>
  <c r="DG58" i="53"/>
  <c r="T7" i="67"/>
  <c r="T124" i="67" s="1"/>
  <c r="T132" i="67" s="1"/>
  <c r="BJ55" i="53"/>
  <c r="T7" i="85" s="1"/>
  <c r="BB55" i="53"/>
  <c r="DD58" i="53"/>
  <c r="N91" i="53"/>
  <c r="BT91" i="53" s="1"/>
  <c r="BT88" i="53"/>
  <c r="AT42" i="84" s="1"/>
  <c r="AN42" i="84" s="1"/>
  <c r="BH55" i="53"/>
  <c r="DJ58" i="53"/>
  <c r="AD88" i="73"/>
  <c r="CA88" i="53"/>
  <c r="AT50" i="84" s="1"/>
  <c r="AN50" i="84" s="1"/>
  <c r="BA55" i="53"/>
  <c r="DC58" i="53"/>
  <c r="Y7" i="67"/>
  <c r="Y15" i="67" s="1"/>
  <c r="BO55" i="53"/>
  <c r="AC88" i="73"/>
  <c r="BZ88" i="53"/>
  <c r="AS50" i="84" s="1"/>
  <c r="AM50" i="84" s="1"/>
  <c r="W10" i="67"/>
  <c r="W127" i="67" s="1"/>
  <c r="BM58" i="53"/>
  <c r="W10" i="85" s="1"/>
  <c r="W127" i="85" s="1"/>
  <c r="BC55" i="53"/>
  <c r="DE58" i="53"/>
  <c r="V7" i="67"/>
  <c r="V15" i="67" s="1"/>
  <c r="BL55" i="53"/>
  <c r="BG88" i="53"/>
  <c r="DI55" i="53"/>
  <c r="E92" i="67"/>
  <c r="E110" i="67" s="1"/>
  <c r="BW171" i="50"/>
  <c r="E92" i="85" s="1"/>
  <c r="E110" i="85" s="1"/>
  <c r="AL88" i="50"/>
  <c r="BX88" i="50" s="1"/>
  <c r="BX91" i="50"/>
  <c r="AK85" i="50"/>
  <c r="BW85" i="50" s="1"/>
  <c r="E87" i="85" s="1"/>
  <c r="BW94" i="50"/>
  <c r="AI285" i="50"/>
  <c r="BU285" i="50" s="1"/>
  <c r="BU283" i="50"/>
  <c r="D87" i="67"/>
  <c r="BV85" i="50"/>
  <c r="D87" i="85" s="1"/>
  <c r="D105" i="85" s="1"/>
  <c r="Z55" i="53"/>
  <c r="Y55" i="53"/>
  <c r="CD55" i="53" s="1"/>
  <c r="U10" i="67"/>
  <c r="AA10" i="67" s="1"/>
  <c r="J58" i="53"/>
  <c r="I58" i="53"/>
  <c r="BP58" i="53" s="1"/>
  <c r="R55" i="53"/>
  <c r="Q55" i="53"/>
  <c r="BW55" i="53" s="1"/>
  <c r="Z31" i="67"/>
  <c r="AA31" i="67"/>
  <c r="AA127" i="67"/>
  <c r="U95" i="53"/>
  <c r="E17" i="20"/>
  <c r="S88" i="73"/>
  <c r="U91" i="53"/>
  <c r="F17" i="20"/>
  <c r="AB88" i="73"/>
  <c r="G89" i="1"/>
  <c r="W89" i="1" s="1"/>
  <c r="E24" i="17"/>
  <c r="N95" i="53"/>
  <c r="T88" i="73"/>
  <c r="F14" i="20"/>
  <c r="H87" i="1"/>
  <c r="X87" i="1" s="1"/>
  <c r="F16" i="17"/>
  <c r="AE88" i="73"/>
  <c r="W95" i="53"/>
  <c r="V95" i="53"/>
  <c r="AF88" i="73"/>
  <c r="G17" i="20"/>
  <c r="F24" i="17"/>
  <c r="G24" i="17"/>
  <c r="W91" i="53"/>
  <c r="V91" i="53"/>
  <c r="AG88" i="73"/>
  <c r="H89" i="1"/>
  <c r="X89" i="1" s="1"/>
  <c r="E15" i="20"/>
  <c r="L15" i="20" s="1"/>
  <c r="V28" i="67"/>
  <c r="V36" i="67" s="1"/>
  <c r="V37" i="67" s="1"/>
  <c r="O88" i="53"/>
  <c r="AU42" i="79" s="1"/>
  <c r="AO42" i="79" s="1"/>
  <c r="X28" i="67"/>
  <c r="D18" i="20"/>
  <c r="K18" i="20" s="1"/>
  <c r="U49" i="67"/>
  <c r="X88" i="53"/>
  <c r="AV50" i="79" s="1"/>
  <c r="AP50" i="79" s="1"/>
  <c r="Y49" i="67"/>
  <c r="L88" i="53"/>
  <c r="U28" i="67"/>
  <c r="AA28" i="67" s="1"/>
  <c r="Y37" i="67"/>
  <c r="AJ285" i="50"/>
  <c r="BV285" i="50" s="1"/>
  <c r="AM37" i="67"/>
  <c r="AM42" i="67" s="1"/>
  <c r="E66" i="49"/>
  <c r="F67" i="49"/>
  <c r="L67" i="49" s="1"/>
  <c r="E84" i="67"/>
  <c r="E102" i="67" s="1"/>
  <c r="AD280" i="50"/>
  <c r="BP280" i="50" s="1"/>
  <c r="F53" i="49"/>
  <c r="L53" i="49" s="1"/>
  <c r="AC283" i="50"/>
  <c r="D63" i="67"/>
  <c r="D63" i="49"/>
  <c r="AM29" i="67"/>
  <c r="AM34" i="67" s="1"/>
  <c r="D15" i="20"/>
  <c r="K15" i="20" s="1"/>
  <c r="G15" i="20"/>
  <c r="N15" i="20" s="1"/>
  <c r="G27" i="47"/>
  <c r="D27" i="47"/>
  <c r="J55" i="73"/>
  <c r="BK55" i="73" s="1"/>
  <c r="B27" i="47"/>
  <c r="F27" i="47"/>
  <c r="T88" i="53"/>
  <c r="M88" i="53"/>
  <c r="AS42" i="79" s="1"/>
  <c r="AM42" i="79" s="1"/>
  <c r="E58" i="73"/>
  <c r="D58" i="73"/>
  <c r="BH58" i="73" s="1"/>
  <c r="G95" i="53"/>
  <c r="BN95" i="53" s="1"/>
  <c r="K55" i="73"/>
  <c r="O55" i="73"/>
  <c r="BN55" i="73" s="1"/>
  <c r="P55" i="73"/>
  <c r="H12" i="20"/>
  <c r="O12" i="20" s="1"/>
  <c r="M55" i="73"/>
  <c r="L55" i="73"/>
  <c r="BL55" i="73" s="1"/>
  <c r="H18" i="20"/>
  <c r="O18" i="20" s="1"/>
  <c r="AI55" i="73"/>
  <c r="AH55" i="73"/>
  <c r="BX55" i="73" s="1"/>
  <c r="I58" i="73"/>
  <c r="H58" i="73"/>
  <c r="BJ58" i="73" s="1"/>
  <c r="W88" i="73"/>
  <c r="X88" i="73"/>
  <c r="E12" i="20"/>
  <c r="L12" i="20" s="1"/>
  <c r="G55" i="73"/>
  <c r="F55" i="73"/>
  <c r="BI55" i="73" s="1"/>
  <c r="Q55" i="73"/>
  <c r="BO55" i="73" s="1"/>
  <c r="R55" i="73"/>
  <c r="U55" i="73"/>
  <c r="BQ55" i="73" s="1"/>
  <c r="V55" i="73"/>
  <c r="AA55" i="73"/>
  <c r="Z55" i="73"/>
  <c r="BT55" i="73" s="1"/>
  <c r="G91" i="53"/>
  <c r="BN91" i="53" s="1"/>
  <c r="I85" i="1"/>
  <c r="Y85" i="1" s="1"/>
  <c r="G10" i="17"/>
  <c r="G11" i="20"/>
  <c r="AL10" i="50"/>
  <c r="BX10" i="50" s="1"/>
  <c r="F84" i="85" s="1"/>
  <c r="E88" i="53"/>
  <c r="AE88" i="50"/>
  <c r="BQ88" i="50" s="1"/>
  <c r="AE10" i="50"/>
  <c r="AD85" i="50"/>
  <c r="BP85" i="50" s="1"/>
  <c r="E63" i="85" s="1"/>
  <c r="C55" i="73"/>
  <c r="BG55" i="73" s="1"/>
  <c r="E52" i="49"/>
  <c r="K52" i="49" s="1"/>
  <c r="AN29" i="85" s="1"/>
  <c r="AN34" i="85" s="1"/>
  <c r="H88" i="53"/>
  <c r="AK280" i="50"/>
  <c r="BW280" i="50" s="1"/>
  <c r="AF94" i="50"/>
  <c r="BR94" i="50" s="1"/>
  <c r="AF13" i="50"/>
  <c r="BR13" i="50" s="1"/>
  <c r="C88" i="53"/>
  <c r="AE94" i="50"/>
  <c r="BQ94" i="50" s="1"/>
  <c r="AF88" i="50"/>
  <c r="BR88" i="50" s="1"/>
  <c r="J87" i="1"/>
  <c r="Z87" i="1" s="1"/>
  <c r="P95" i="53"/>
  <c r="BV95" i="53" s="1"/>
  <c r="H14" i="20"/>
  <c r="H16" i="17"/>
  <c r="P91" i="53"/>
  <c r="BV91" i="53" s="1"/>
  <c r="D55" i="53"/>
  <c r="BD58" i="53"/>
  <c r="AX58" i="53"/>
  <c r="F55" i="53"/>
  <c r="BF58" i="53"/>
  <c r="AZ58" i="53"/>
  <c r="AL171" i="50"/>
  <c r="AF19" i="50"/>
  <c r="BR19" i="50" s="1"/>
  <c r="AF87" i="50"/>
  <c r="BR87" i="50" s="1"/>
  <c r="AM19" i="50"/>
  <c r="BY19" i="50" s="1"/>
  <c r="AM95" i="50"/>
  <c r="G54" i="49"/>
  <c r="M54" i="49" s="1"/>
  <c r="AF107" i="50"/>
  <c r="BR107" i="50" s="1"/>
  <c r="AM88" i="50"/>
  <c r="BY88" i="50" s="1"/>
  <c r="AM13" i="50"/>
  <c r="BY13" i="50" s="1"/>
  <c r="AM86" i="50"/>
  <c r="BY86" i="50" s="1"/>
  <c r="AM171" i="50"/>
  <c r="G68" i="49"/>
  <c r="M68" i="49" s="1"/>
  <c r="AM107" i="50"/>
  <c r="BY107" i="50" s="1"/>
  <c r="AM111" i="50"/>
  <c r="AL94" i="50"/>
  <c r="U49" i="85" l="1"/>
  <c r="Z49" i="85" s="1"/>
  <c r="AS43" i="84"/>
  <c r="AM43" i="84" s="1"/>
  <c r="Y49" i="85"/>
  <c r="Y57" i="85" s="1"/>
  <c r="U28" i="85"/>
  <c r="Z28" i="85" s="1"/>
  <c r="BO88" i="53"/>
  <c r="AV34" i="79"/>
  <c r="AP34" i="79" s="1"/>
  <c r="BM55" i="53"/>
  <c r="W7" i="85" s="1"/>
  <c r="AT35" i="79"/>
  <c r="AN35" i="79" s="1"/>
  <c r="T15" i="67"/>
  <c r="X16" i="67" s="1"/>
  <c r="BR88" i="53"/>
  <c r="AR42" i="84" s="1"/>
  <c r="AL42" i="84" s="1"/>
  <c r="AR42" i="79"/>
  <c r="AL42" i="79" s="1"/>
  <c r="BK55" i="53"/>
  <c r="AR35" i="84" s="1"/>
  <c r="AL35" i="84" s="1"/>
  <c r="AR35" i="79"/>
  <c r="AL35" i="79" s="1"/>
  <c r="BL88" i="53"/>
  <c r="AT34" i="84" s="1"/>
  <c r="AN34" i="84" s="1"/>
  <c r="AS34" i="79"/>
  <c r="AM34" i="79" s="1"/>
  <c r="BY88" i="53"/>
  <c r="AR50" i="84" s="1"/>
  <c r="AL50" i="84" s="1"/>
  <c r="AR50" i="79"/>
  <c r="AL50" i="79" s="1"/>
  <c r="Y37" i="85"/>
  <c r="U57" i="85"/>
  <c r="E105" i="85"/>
  <c r="T124" i="85"/>
  <c r="T15" i="85"/>
  <c r="X124" i="85"/>
  <c r="X132" i="85" s="1"/>
  <c r="X15" i="85"/>
  <c r="T91" i="73"/>
  <c r="N93" i="53"/>
  <c r="BT93" i="53" s="1"/>
  <c r="W39" i="85" s="1"/>
  <c r="AA49" i="85"/>
  <c r="AS35" i="84"/>
  <c r="AM35" i="84" s="1"/>
  <c r="V7" i="85"/>
  <c r="AV35" i="84"/>
  <c r="AP35" i="84" s="1"/>
  <c r="Y7" i="85"/>
  <c r="E16" i="20"/>
  <c r="L16" i="20" s="1"/>
  <c r="L17" i="20"/>
  <c r="E21" i="21"/>
  <c r="J77" i="49"/>
  <c r="G10" i="20"/>
  <c r="N10" i="20" s="1"/>
  <c r="N11" i="20"/>
  <c r="AW12" i="67"/>
  <c r="O16" i="17"/>
  <c r="AW12" i="85" s="1"/>
  <c r="G89" i="67"/>
  <c r="G107" i="67" s="1"/>
  <c r="BY111" i="50"/>
  <c r="G89" i="85" s="1"/>
  <c r="G107" i="85" s="1"/>
  <c r="AV6" i="67"/>
  <c r="N10" i="17"/>
  <c r="AV6" i="85" s="1"/>
  <c r="AU12" i="67"/>
  <c r="M16" i="17"/>
  <c r="AU12" i="85" s="1"/>
  <c r="F16" i="20"/>
  <c r="M16" i="20" s="1"/>
  <c r="M17" i="20"/>
  <c r="D40" i="17"/>
  <c r="K21" i="21"/>
  <c r="AM57" i="85" s="1"/>
  <c r="F22" i="47"/>
  <c r="M22" i="47" s="1"/>
  <c r="AH7" i="85" s="1"/>
  <c r="AH9" i="85" s="1"/>
  <c r="M27" i="47"/>
  <c r="AM56" i="67"/>
  <c r="J63" i="49"/>
  <c r="AV18" i="67"/>
  <c r="N24" i="17"/>
  <c r="AV18" i="85" s="1"/>
  <c r="G22" i="47"/>
  <c r="N22" i="47" s="1"/>
  <c r="AI7" i="85" s="1"/>
  <c r="AI9" i="85" s="1"/>
  <c r="N27" i="47"/>
  <c r="AT18" i="67"/>
  <c r="L24" i="17"/>
  <c r="AT18" i="85" s="1"/>
  <c r="H13" i="20"/>
  <c r="O13" i="20" s="1"/>
  <c r="O14" i="20"/>
  <c r="B22" i="47"/>
  <c r="I27" i="47"/>
  <c r="AU18" i="67"/>
  <c r="M24" i="17"/>
  <c r="AU18" i="85" s="1"/>
  <c r="F13" i="20"/>
  <c r="M13" i="20" s="1"/>
  <c r="M14" i="20"/>
  <c r="F60" i="67"/>
  <c r="BQ10" i="50"/>
  <c r="F60" i="85" s="1"/>
  <c r="F102" i="85" s="1"/>
  <c r="AN37" i="67"/>
  <c r="AN42" i="67" s="1"/>
  <c r="K66" i="49"/>
  <c r="AN37" i="85" s="1"/>
  <c r="AN42" i="85" s="1"/>
  <c r="G16" i="20"/>
  <c r="N16" i="20" s="1"/>
  <c r="N17" i="20"/>
  <c r="S91" i="73"/>
  <c r="BP91" i="73" s="1"/>
  <c r="D22" i="47"/>
  <c r="K22" i="47" s="1"/>
  <c r="AF7" i="85" s="1"/>
  <c r="AF9" i="85" s="1"/>
  <c r="K27" i="47"/>
  <c r="AC106" i="73"/>
  <c r="BU88" i="73"/>
  <c r="AG106" i="73"/>
  <c r="BW88" i="73"/>
  <c r="X106" i="73"/>
  <c r="BR88" i="73"/>
  <c r="T106" i="73"/>
  <c r="BP88" i="73"/>
  <c r="AE106" i="73"/>
  <c r="BV88" i="73"/>
  <c r="J88" i="73"/>
  <c r="BJ88" i="53"/>
  <c r="AI88" i="73"/>
  <c r="CC88" i="53"/>
  <c r="AV50" i="84" s="1"/>
  <c r="AP50" i="84" s="1"/>
  <c r="S95" i="73"/>
  <c r="BP95" i="73" s="1"/>
  <c r="BT95" i="53"/>
  <c r="BH88" i="53"/>
  <c r="DJ55" i="53"/>
  <c r="AE95" i="73"/>
  <c r="CA95" i="53"/>
  <c r="AW88" i="53"/>
  <c r="CY55" i="53"/>
  <c r="Q88" i="73"/>
  <c r="BS88" i="53"/>
  <c r="AS42" i="84" s="1"/>
  <c r="AM42" i="84" s="1"/>
  <c r="V93" i="53"/>
  <c r="AD93" i="73" s="1"/>
  <c r="BV93" i="73" s="1"/>
  <c r="CA91" i="53"/>
  <c r="AZ55" i="53"/>
  <c r="DB58" i="53"/>
  <c r="U88" i="73"/>
  <c r="BU88" i="53"/>
  <c r="AU42" i="84" s="1"/>
  <c r="AO42" i="84" s="1"/>
  <c r="AF91" i="73"/>
  <c r="BW91" i="73" s="1"/>
  <c r="CB91" i="53"/>
  <c r="BF55" i="53"/>
  <c r="DH58" i="53"/>
  <c r="U93" i="53"/>
  <c r="BZ91" i="53"/>
  <c r="DI88" i="53"/>
  <c r="BG95" i="53"/>
  <c r="DI95" i="53" s="1"/>
  <c r="BG91" i="53"/>
  <c r="BE88" i="53"/>
  <c r="DG55" i="53"/>
  <c r="AX55" i="53"/>
  <c r="CZ58" i="53"/>
  <c r="BD55" i="53"/>
  <c r="DF58" i="53"/>
  <c r="AF95" i="73"/>
  <c r="BW95" i="73" s="1"/>
  <c r="CB95" i="53"/>
  <c r="AB95" i="73"/>
  <c r="BU95" i="73" s="1"/>
  <c r="BZ95" i="53"/>
  <c r="BC88" i="53"/>
  <c r="DE55" i="53"/>
  <c r="BA88" i="53"/>
  <c r="DC55" i="53"/>
  <c r="BB88" i="53"/>
  <c r="DD55" i="53"/>
  <c r="AY88" i="53"/>
  <c r="DA55" i="53"/>
  <c r="G92" i="67"/>
  <c r="G110" i="67" s="1"/>
  <c r="BY171" i="50"/>
  <c r="G92" i="85" s="1"/>
  <c r="G110" i="85" s="1"/>
  <c r="AC285" i="50"/>
  <c r="BO285" i="50" s="1"/>
  <c r="BO283" i="50"/>
  <c r="F92" i="67"/>
  <c r="F110" i="67" s="1"/>
  <c r="BX171" i="50"/>
  <c r="F92" i="85" s="1"/>
  <c r="F110" i="85" s="1"/>
  <c r="E87" i="67"/>
  <c r="D105" i="67"/>
  <c r="AM94" i="50"/>
  <c r="BY94" i="50" s="1"/>
  <c r="BY95" i="50"/>
  <c r="AL85" i="50"/>
  <c r="AL283" i="50" s="1"/>
  <c r="BX283" i="50" s="1"/>
  <c r="BX94" i="50"/>
  <c r="AK283" i="50"/>
  <c r="BW283" i="50" s="1"/>
  <c r="I55" i="53"/>
  <c r="BP55" i="53" s="1"/>
  <c r="J55" i="53"/>
  <c r="Z88" i="53"/>
  <c r="Y88" i="53"/>
  <c r="CD88" i="53" s="1"/>
  <c r="L91" i="53"/>
  <c r="R88" i="53"/>
  <c r="Q88" i="53"/>
  <c r="BW88" i="53" s="1"/>
  <c r="Y124" i="67"/>
  <c r="AA124" i="67" s="1"/>
  <c r="AA49" i="67"/>
  <c r="Z10" i="67"/>
  <c r="U127" i="67"/>
  <c r="Z127" i="67" s="1"/>
  <c r="E77" i="49"/>
  <c r="AC95" i="73"/>
  <c r="AB91" i="73"/>
  <c r="BU91" i="73" s="1"/>
  <c r="AC91" i="73"/>
  <c r="T95" i="73"/>
  <c r="O95" i="53"/>
  <c r="X91" i="53"/>
  <c r="CC91" i="53" s="1"/>
  <c r="H24" i="17"/>
  <c r="H17" i="20"/>
  <c r="G16" i="17"/>
  <c r="P88" i="73"/>
  <c r="L95" i="53"/>
  <c r="BR95" i="53" s="1"/>
  <c r="F87" i="1"/>
  <c r="V87" i="1" s="1"/>
  <c r="O88" i="73"/>
  <c r="AG91" i="73"/>
  <c r="AG95" i="73"/>
  <c r="D14" i="20"/>
  <c r="D16" i="17"/>
  <c r="E20" i="21"/>
  <c r="W93" i="53"/>
  <c r="AD95" i="73"/>
  <c r="BV95" i="73" s="1"/>
  <c r="AD91" i="73"/>
  <c r="BV91" i="73" s="1"/>
  <c r="X95" i="53"/>
  <c r="AH88" i="73"/>
  <c r="AE91" i="73"/>
  <c r="V88" i="73"/>
  <c r="I87" i="1"/>
  <c r="Y87" i="1" s="1"/>
  <c r="J89" i="1"/>
  <c r="Z89" i="1" s="1"/>
  <c r="G14" i="20"/>
  <c r="O91" i="53"/>
  <c r="E27" i="47"/>
  <c r="W7" i="67"/>
  <c r="C27" i="47"/>
  <c r="U7" i="67"/>
  <c r="AA7" i="67" s="1"/>
  <c r="U36" i="67"/>
  <c r="AA36" i="67" s="1"/>
  <c r="Z28" i="67"/>
  <c r="U57" i="67"/>
  <c r="Z49" i="67"/>
  <c r="D34" i="17"/>
  <c r="Y57" i="67"/>
  <c r="X36" i="67"/>
  <c r="X37" i="67" s="1"/>
  <c r="X124" i="67"/>
  <c r="X132" i="67" s="1"/>
  <c r="X133" i="67" s="1"/>
  <c r="V124" i="67"/>
  <c r="V132" i="67" s="1"/>
  <c r="V133" i="67" s="1"/>
  <c r="F66" i="49"/>
  <c r="G67" i="49"/>
  <c r="M67" i="49" s="1"/>
  <c r="F84" i="67"/>
  <c r="F102" i="67" s="1"/>
  <c r="F52" i="49"/>
  <c r="G53" i="49"/>
  <c r="M53" i="49" s="1"/>
  <c r="AD283" i="50"/>
  <c r="E63" i="67"/>
  <c r="E63" i="49"/>
  <c r="AN29" i="67"/>
  <c r="AN34" i="67" s="1"/>
  <c r="AA88" i="73"/>
  <c r="F89" i="1"/>
  <c r="V89" i="1" s="1"/>
  <c r="AE280" i="50"/>
  <c r="BQ280" i="50" s="1"/>
  <c r="D24" i="17"/>
  <c r="D17" i="20"/>
  <c r="T91" i="53"/>
  <c r="BY91" i="53" s="1"/>
  <c r="Z88" i="73"/>
  <c r="T95" i="53"/>
  <c r="BY95" i="53" s="1"/>
  <c r="M95" i="53"/>
  <c r="E16" i="17"/>
  <c r="E14" i="20"/>
  <c r="G87" i="1"/>
  <c r="W87" i="1" s="1"/>
  <c r="R88" i="73"/>
  <c r="M91" i="53"/>
  <c r="AL280" i="50"/>
  <c r="BX280" i="50" s="1"/>
  <c r="E55" i="73"/>
  <c r="D55" i="73"/>
  <c r="BH55" i="73" s="1"/>
  <c r="G93" i="53"/>
  <c r="K88" i="73"/>
  <c r="P93" i="53"/>
  <c r="BV93" i="53" s="1"/>
  <c r="Y39" i="85" s="1"/>
  <c r="X91" i="73"/>
  <c r="W91" i="73"/>
  <c r="BR91" i="73" s="1"/>
  <c r="W95" i="73"/>
  <c r="BR95" i="73" s="1"/>
  <c r="X95" i="73"/>
  <c r="I55" i="73"/>
  <c r="H55" i="73"/>
  <c r="BJ55" i="73" s="1"/>
  <c r="H10" i="17"/>
  <c r="M88" i="73"/>
  <c r="L88" i="73"/>
  <c r="E10" i="17"/>
  <c r="G88" i="73"/>
  <c r="F88" i="73"/>
  <c r="E95" i="53"/>
  <c r="BL95" i="53" s="1"/>
  <c r="G85" i="1"/>
  <c r="W85" i="1" s="1"/>
  <c r="E11" i="20"/>
  <c r="E91" i="53"/>
  <c r="BL91" i="53" s="1"/>
  <c r="AE85" i="50"/>
  <c r="BQ85" i="50" s="1"/>
  <c r="F63" i="85" s="1"/>
  <c r="J85" i="1"/>
  <c r="Z85" i="1" s="1"/>
  <c r="H91" i="53"/>
  <c r="BO91" i="53" s="1"/>
  <c r="H95" i="53"/>
  <c r="BO95" i="53" s="1"/>
  <c r="F12" i="20"/>
  <c r="M12" i="20" s="1"/>
  <c r="H11" i="20"/>
  <c r="C88" i="73"/>
  <c r="BG88" i="73" s="1"/>
  <c r="D88" i="53"/>
  <c r="D12" i="20"/>
  <c r="K12" i="20" s="1"/>
  <c r="F88" i="53"/>
  <c r="AF10" i="50"/>
  <c r="BR10" i="50" s="1"/>
  <c r="G60" i="85" s="1"/>
  <c r="C95" i="53"/>
  <c r="C91" i="53"/>
  <c r="BJ91" i="53" s="1"/>
  <c r="E85" i="1"/>
  <c r="AF85" i="50"/>
  <c r="BR85" i="50" s="1"/>
  <c r="G63" i="85" s="1"/>
  <c r="AM10" i="50"/>
  <c r="BY10" i="50" s="1"/>
  <c r="G84" i="85" s="1"/>
  <c r="W39" i="67" l="1"/>
  <c r="F27" i="20"/>
  <c r="M27" i="20" s="1"/>
  <c r="S93" i="73"/>
  <c r="BP93" i="73" s="1"/>
  <c r="G25" i="20"/>
  <c r="F20" i="49" s="1"/>
  <c r="L20" i="49" s="1"/>
  <c r="AO9" i="85" s="1"/>
  <c r="AO10" i="85" s="1"/>
  <c r="E27" i="20"/>
  <c r="D48" i="49" s="1"/>
  <c r="U36" i="85"/>
  <c r="AA36" i="85" s="1"/>
  <c r="F26" i="20"/>
  <c r="M26" i="20" s="1"/>
  <c r="AA28" i="85"/>
  <c r="H26" i="20"/>
  <c r="G34" i="49" s="1"/>
  <c r="M34" i="49" s="1"/>
  <c r="AP17" i="85" s="1"/>
  <c r="AP18" i="85" s="1"/>
  <c r="T93" i="73"/>
  <c r="AT35" i="84"/>
  <c r="AN35" i="84" s="1"/>
  <c r="AH7" i="67"/>
  <c r="AH9" i="67" s="1"/>
  <c r="AI7" i="67"/>
  <c r="AI9" i="67" s="1"/>
  <c r="U7" i="85"/>
  <c r="U124" i="85" s="1"/>
  <c r="U132" i="85" s="1"/>
  <c r="G21" i="47"/>
  <c r="N21" i="47" s="1"/>
  <c r="Y16" i="67"/>
  <c r="V16" i="67"/>
  <c r="X16" i="85"/>
  <c r="BM88" i="53"/>
  <c r="AU34" i="84" s="1"/>
  <c r="AO34" i="84" s="1"/>
  <c r="AT34" i="79"/>
  <c r="AN34" i="79" s="1"/>
  <c r="BK88" i="53"/>
  <c r="AR34" i="84" s="1"/>
  <c r="AL34" i="84" s="1"/>
  <c r="AR34" i="79"/>
  <c r="AL34" i="79" s="1"/>
  <c r="E105" i="67"/>
  <c r="G102" i="85"/>
  <c r="Z57" i="85"/>
  <c r="U58" i="85"/>
  <c r="V124" i="85"/>
  <c r="V132" i="85" s="1"/>
  <c r="V15" i="85"/>
  <c r="V16" i="85" s="1"/>
  <c r="Y124" i="85"/>
  <c r="Y15" i="85"/>
  <c r="Y16" i="85" s="1"/>
  <c r="Y58" i="85"/>
  <c r="AA57" i="85"/>
  <c r="T132" i="85"/>
  <c r="W15" i="85"/>
  <c r="W16" i="85" s="1"/>
  <c r="W124" i="85"/>
  <c r="W132" i="85" s="1"/>
  <c r="F21" i="47"/>
  <c r="M21" i="47" s="1"/>
  <c r="AF7" i="67"/>
  <c r="AF9" i="67" s="1"/>
  <c r="D21" i="47"/>
  <c r="K21" i="47" s="1"/>
  <c r="AE93" i="73"/>
  <c r="E13" i="20"/>
  <c r="L13" i="20" s="1"/>
  <c r="L14" i="20"/>
  <c r="D16" i="20"/>
  <c r="K16" i="20" s="1"/>
  <c r="K17" i="20"/>
  <c r="E34" i="17"/>
  <c r="E36" i="17" s="1"/>
  <c r="L20" i="21"/>
  <c r="AN56" i="85" s="1"/>
  <c r="AT6" i="67"/>
  <c r="L10" i="17"/>
  <c r="AT6" i="85" s="1"/>
  <c r="AT12" i="67"/>
  <c r="L16" i="17"/>
  <c r="AT12" i="85" s="1"/>
  <c r="AS18" i="67"/>
  <c r="K24" i="17"/>
  <c r="AS18" i="85" s="1"/>
  <c r="AS12" i="67"/>
  <c r="K16" i="17"/>
  <c r="AS12" i="85" s="1"/>
  <c r="AV12" i="67"/>
  <c r="N16" i="17"/>
  <c r="AV12" i="85" s="1"/>
  <c r="F21" i="21"/>
  <c r="AO57" i="67" s="1"/>
  <c r="K77" i="49"/>
  <c r="F20" i="21"/>
  <c r="F34" i="17" s="1"/>
  <c r="K63" i="49"/>
  <c r="G13" i="20"/>
  <c r="N13" i="20" s="1"/>
  <c r="N14" i="20"/>
  <c r="AD7" i="67"/>
  <c r="I22" i="47"/>
  <c r="AD7" i="85" s="1"/>
  <c r="F63" i="49"/>
  <c r="L52" i="49"/>
  <c r="AO29" i="85" s="1"/>
  <c r="AO34" i="85" s="1"/>
  <c r="C22" i="47"/>
  <c r="J22" i="47" s="1"/>
  <c r="AE7" i="85" s="1"/>
  <c r="AE9" i="85" s="1"/>
  <c r="J27" i="47"/>
  <c r="D13" i="20"/>
  <c r="K13" i="20" s="1"/>
  <c r="K14" i="20"/>
  <c r="H16" i="20"/>
  <c r="O16" i="20" s="1"/>
  <c r="O17" i="20"/>
  <c r="F77" i="49"/>
  <c r="L66" i="49"/>
  <c r="AO37" i="85" s="1"/>
  <c r="AO42" i="85" s="1"/>
  <c r="E48" i="49"/>
  <c r="K48" i="49" s="1"/>
  <c r="AN25" i="85" s="1"/>
  <c r="AN26" i="85" s="1"/>
  <c r="B21" i="47"/>
  <c r="AW18" i="67"/>
  <c r="O24" i="17"/>
  <c r="AW18" i="85" s="1"/>
  <c r="L21" i="21"/>
  <c r="AN57" i="85" s="1"/>
  <c r="E40" i="17"/>
  <c r="AN57" i="67"/>
  <c r="E10" i="20"/>
  <c r="L11" i="20"/>
  <c r="AW6" i="67"/>
  <c r="O10" i="17"/>
  <c r="AW6" i="85" s="1"/>
  <c r="B39" i="47"/>
  <c r="I39" i="47" s="1"/>
  <c r="E22" i="47"/>
  <c r="L22" i="47" s="1"/>
  <c r="AG7" i="85" s="1"/>
  <c r="AG9" i="85" s="1"/>
  <c r="L27" i="47"/>
  <c r="G27" i="20"/>
  <c r="H10" i="20"/>
  <c r="O10" i="20" s="1"/>
  <c r="O11" i="20"/>
  <c r="D36" i="17"/>
  <c r="F132" i="1" s="1"/>
  <c r="K34" i="17"/>
  <c r="AS23" i="85" s="1"/>
  <c r="AS26" i="85" s="1"/>
  <c r="K40" i="17"/>
  <c r="AS29" i="85" s="1"/>
  <c r="AS32" i="85" s="1"/>
  <c r="D42" i="17"/>
  <c r="AS29" i="67"/>
  <c r="AS32" i="67" s="1"/>
  <c r="AI106" i="73"/>
  <c r="BX88" i="73"/>
  <c r="AA106" i="73"/>
  <c r="BT88" i="73"/>
  <c r="G106" i="73"/>
  <c r="BI88" i="73"/>
  <c r="M106" i="73"/>
  <c r="BL88" i="73"/>
  <c r="V106" i="73"/>
  <c r="BQ88" i="73"/>
  <c r="P106" i="73"/>
  <c r="BN88" i="73"/>
  <c r="K106" i="73"/>
  <c r="BK88" i="73"/>
  <c r="R106" i="73"/>
  <c r="BO88" i="73"/>
  <c r="L93" i="53"/>
  <c r="BR93" i="53" s="1"/>
  <c r="U39" i="85" s="1"/>
  <c r="Z39" i="85" s="1"/>
  <c r="BR91" i="53"/>
  <c r="BG93" i="53"/>
  <c r="DI93" i="53" s="1"/>
  <c r="DI91" i="53"/>
  <c r="DD88" i="53"/>
  <c r="BB91" i="53"/>
  <c r="BB95" i="53"/>
  <c r="DD95" i="53" s="1"/>
  <c r="Q95" i="73"/>
  <c r="BO95" i="73" s="1"/>
  <c r="BS95" i="53"/>
  <c r="BD88" i="53"/>
  <c r="DF55" i="53"/>
  <c r="V60" i="67"/>
  <c r="BZ93" i="53"/>
  <c r="V60" i="85" s="1"/>
  <c r="AZ88" i="53"/>
  <c r="DB55" i="53"/>
  <c r="K95" i="73"/>
  <c r="BJ95" i="53"/>
  <c r="AB93" i="73"/>
  <c r="BU93" i="73" s="1"/>
  <c r="Q91" i="73"/>
  <c r="BO91" i="73" s="1"/>
  <c r="BS91" i="53"/>
  <c r="U91" i="73"/>
  <c r="BQ91" i="73" s="1"/>
  <c r="BU91" i="53"/>
  <c r="U95" i="73"/>
  <c r="BQ95" i="73" s="1"/>
  <c r="BU95" i="53"/>
  <c r="DE88" i="53"/>
  <c r="BC95" i="53"/>
  <c r="DE95" i="53" s="1"/>
  <c r="BC91" i="53"/>
  <c r="AX88" i="53"/>
  <c r="CZ55" i="53"/>
  <c r="X60" i="67"/>
  <c r="CB93" i="53"/>
  <c r="X60" i="85" s="1"/>
  <c r="DA88" i="53"/>
  <c r="AY91" i="53"/>
  <c r="AY95" i="53"/>
  <c r="DA95" i="53" s="1"/>
  <c r="DG88" i="53"/>
  <c r="BE95" i="53"/>
  <c r="DG95" i="53" s="1"/>
  <c r="BE91" i="53"/>
  <c r="DJ88" i="53"/>
  <c r="BH95" i="53"/>
  <c r="DJ95" i="53" s="1"/>
  <c r="BH91" i="53"/>
  <c r="X18" i="67"/>
  <c r="BN93" i="53"/>
  <c r="X18" i="85" s="1"/>
  <c r="CY88" i="53"/>
  <c r="AW91" i="53"/>
  <c r="AW95" i="53"/>
  <c r="CY95" i="53" s="1"/>
  <c r="DC88" i="53"/>
  <c r="BA95" i="53"/>
  <c r="DC95" i="53" s="1"/>
  <c r="BA91" i="53"/>
  <c r="AH95" i="73"/>
  <c r="BX95" i="73" s="1"/>
  <c r="CC95" i="53"/>
  <c r="AC93" i="73"/>
  <c r="BF88" i="53"/>
  <c r="DH55" i="53"/>
  <c r="W60" i="67"/>
  <c r="CA93" i="53"/>
  <c r="W60" i="85" s="1"/>
  <c r="AM85" i="50"/>
  <c r="BY85" i="50" s="1"/>
  <c r="G87" i="85" s="1"/>
  <c r="G105" i="85" s="1"/>
  <c r="AD285" i="50"/>
  <c r="BP285" i="50" s="1"/>
  <c r="BP283" i="50"/>
  <c r="F87" i="67"/>
  <c r="BX85" i="50"/>
  <c r="F87" i="85" s="1"/>
  <c r="F105" i="85" s="1"/>
  <c r="AK285" i="50"/>
  <c r="BW285" i="50" s="1"/>
  <c r="E28" i="2"/>
  <c r="U85" i="1"/>
  <c r="O91" i="73"/>
  <c r="BN91" i="73" s="1"/>
  <c r="AA57" i="67"/>
  <c r="P91" i="73"/>
  <c r="O95" i="73"/>
  <c r="BN95" i="73" s="1"/>
  <c r="R95" i="53"/>
  <c r="Q95" i="53"/>
  <c r="BW95" i="53" s="1"/>
  <c r="R91" i="53"/>
  <c r="Q91" i="53"/>
  <c r="BW91" i="53" s="1"/>
  <c r="Z95" i="73"/>
  <c r="BT95" i="73" s="1"/>
  <c r="Z95" i="53"/>
  <c r="Y95" i="53"/>
  <c r="CD95" i="53" s="1"/>
  <c r="I88" i="53"/>
  <c r="BP88" i="53" s="1"/>
  <c r="J88" i="53"/>
  <c r="Y132" i="67"/>
  <c r="AA132" i="67" s="1"/>
  <c r="T93" i="53"/>
  <c r="Z91" i="53"/>
  <c r="Y91" i="53"/>
  <c r="CD91" i="53" s="1"/>
  <c r="AO10" i="50"/>
  <c r="AO29" i="67"/>
  <c r="AO34" i="67" s="1"/>
  <c r="AI91" i="73"/>
  <c r="X93" i="53"/>
  <c r="V95" i="73"/>
  <c r="G52" i="49"/>
  <c r="G60" i="67"/>
  <c r="AH91" i="73"/>
  <c r="BX91" i="73" s="1"/>
  <c r="AI95" i="73"/>
  <c r="O93" i="53"/>
  <c r="P95" i="73"/>
  <c r="AN56" i="67"/>
  <c r="AG93" i="73"/>
  <c r="AF93" i="73"/>
  <c r="BW93" i="73" s="1"/>
  <c r="V91" i="73"/>
  <c r="AS23" i="67"/>
  <c r="AS26" i="67" s="1"/>
  <c r="W124" i="67"/>
  <c r="W132" i="67" s="1"/>
  <c r="W133" i="67" s="1"/>
  <c r="W15" i="67"/>
  <c r="W16" i="67" s="1"/>
  <c r="Y58" i="67"/>
  <c r="U58" i="67"/>
  <c r="Z57" i="67"/>
  <c r="Z7" i="67"/>
  <c r="U15" i="67"/>
  <c r="AA15" i="67" s="1"/>
  <c r="U124" i="67"/>
  <c r="Y39" i="67"/>
  <c r="U37" i="67"/>
  <c r="Z36" i="67"/>
  <c r="AO37" i="67"/>
  <c r="AO42" i="67" s="1"/>
  <c r="AM280" i="50"/>
  <c r="BY280" i="50" s="1"/>
  <c r="G84" i="67"/>
  <c r="AE283" i="50"/>
  <c r="F63" i="67"/>
  <c r="AF283" i="50"/>
  <c r="BR283" i="50" s="1"/>
  <c r="G63" i="67"/>
  <c r="K91" i="73"/>
  <c r="C93" i="53"/>
  <c r="AA95" i="73"/>
  <c r="AL285" i="50"/>
  <c r="BX285" i="50" s="1"/>
  <c r="R91" i="73"/>
  <c r="Z91" i="73"/>
  <c r="BT91" i="73" s="1"/>
  <c r="AA91" i="73"/>
  <c r="M93" i="53"/>
  <c r="BS93" i="53" s="1"/>
  <c r="V39" i="85" s="1"/>
  <c r="R95" i="73"/>
  <c r="H93" i="53"/>
  <c r="M91" i="73"/>
  <c r="L91" i="73"/>
  <c r="BL91" i="73" s="1"/>
  <c r="J95" i="73"/>
  <c r="BK95" i="73" s="1"/>
  <c r="J91" i="73"/>
  <c r="BK91" i="73" s="1"/>
  <c r="D95" i="53"/>
  <c r="BK95" i="53" s="1"/>
  <c r="E88" i="73"/>
  <c r="D88" i="73"/>
  <c r="G95" i="73"/>
  <c r="F95" i="73"/>
  <c r="BI95" i="73" s="1"/>
  <c r="W93" i="73"/>
  <c r="BR93" i="73" s="1"/>
  <c r="X93" i="73"/>
  <c r="E93" i="53"/>
  <c r="G91" i="73"/>
  <c r="F91" i="73"/>
  <c r="BI91" i="73" s="1"/>
  <c r="F95" i="53"/>
  <c r="BM95" i="53" s="1"/>
  <c r="I88" i="73"/>
  <c r="H88" i="73"/>
  <c r="M95" i="73"/>
  <c r="L95" i="73"/>
  <c r="BL95" i="73" s="1"/>
  <c r="D10" i="17"/>
  <c r="F85" i="1"/>
  <c r="V85" i="1" s="1"/>
  <c r="D11" i="20"/>
  <c r="F10" i="17"/>
  <c r="D91" i="53"/>
  <c r="BK91" i="53" s="1"/>
  <c r="AF280" i="50"/>
  <c r="BR280" i="50" s="1"/>
  <c r="C95" i="73"/>
  <c r="BG95" i="73" s="1"/>
  <c r="C91" i="73"/>
  <c r="BG91" i="73" s="1"/>
  <c r="F91" i="53"/>
  <c r="BM91" i="53" s="1"/>
  <c r="F11" i="20"/>
  <c r="H85" i="1"/>
  <c r="X85" i="1" s="1"/>
  <c r="G66" i="49"/>
  <c r="M66" i="49" s="1"/>
  <c r="AP37" i="85" s="1"/>
  <c r="AP42" i="85" s="1"/>
  <c r="N25" i="20" l="1"/>
  <c r="L27" i="20"/>
  <c r="U37" i="85"/>
  <c r="E34" i="49"/>
  <c r="K34" i="49" s="1"/>
  <c r="AN17" i="85" s="1"/>
  <c r="AN18" i="85" s="1"/>
  <c r="Z36" i="85"/>
  <c r="J48" i="49"/>
  <c r="AM25" i="85" s="1"/>
  <c r="AM26" i="85" s="1"/>
  <c r="D49" i="49"/>
  <c r="J49" i="49" s="1"/>
  <c r="H27" i="20"/>
  <c r="G48" i="49" s="1"/>
  <c r="M48" i="49" s="1"/>
  <c r="AP25" i="85" s="1"/>
  <c r="AP26" i="85" s="1"/>
  <c r="D27" i="20"/>
  <c r="C48" i="49" s="1"/>
  <c r="AM25" i="67"/>
  <c r="AM26" i="67" s="1"/>
  <c r="P93" i="73"/>
  <c r="O26" i="20"/>
  <c r="O93" i="73"/>
  <c r="BN93" i="73" s="1"/>
  <c r="U39" i="67"/>
  <c r="Z39" i="67" s="1"/>
  <c r="Q93" i="53"/>
  <c r="BW93" i="53" s="1"/>
  <c r="R93" i="53"/>
  <c r="AM283" i="50"/>
  <c r="BY283" i="50" s="1"/>
  <c r="F105" i="67"/>
  <c r="E26" i="20"/>
  <c r="L26" i="20" s="1"/>
  <c r="AS34" i="84"/>
  <c r="AM34" i="84" s="1"/>
  <c r="H25" i="20"/>
  <c r="G20" i="49" s="1"/>
  <c r="AA7" i="85"/>
  <c r="Z7" i="85"/>
  <c r="AG7" i="67"/>
  <c r="AG9" i="67" s="1"/>
  <c r="U15" i="85"/>
  <c r="AA15" i="85" s="1"/>
  <c r="AO9" i="67"/>
  <c r="AO10" i="67" s="1"/>
  <c r="F21" i="49"/>
  <c r="L21" i="49" s="1"/>
  <c r="W133" i="85"/>
  <c r="AB23" i="78"/>
  <c r="AB23" i="83"/>
  <c r="U133" i="85"/>
  <c r="Z132" i="85"/>
  <c r="Z124" i="85"/>
  <c r="V133" i="85"/>
  <c r="AA124" i="85"/>
  <c r="Y132" i="85"/>
  <c r="AD9" i="85"/>
  <c r="AD11" i="85" s="1"/>
  <c r="AD10" i="85"/>
  <c r="AD14" i="85" s="1"/>
  <c r="X133" i="85"/>
  <c r="AA39" i="85"/>
  <c r="AE7" i="67"/>
  <c r="AE9" i="67" s="1"/>
  <c r="E21" i="47"/>
  <c r="L21" i="47" s="1"/>
  <c r="C21" i="47"/>
  <c r="J21" i="47" s="1"/>
  <c r="G87" i="67"/>
  <c r="G105" i="67" s="1"/>
  <c r="AP29" i="67"/>
  <c r="AP34" i="67" s="1"/>
  <c r="M52" i="49"/>
  <c r="AP29" i="85" s="1"/>
  <c r="AP34" i="85" s="1"/>
  <c r="G132" i="1"/>
  <c r="L36" i="17"/>
  <c r="AP17" i="67"/>
  <c r="AP18" i="67" s="1"/>
  <c r="AO56" i="67"/>
  <c r="M20" i="21"/>
  <c r="AO56" i="85" s="1"/>
  <c r="AT23" i="67"/>
  <c r="AT26" i="67" s="1"/>
  <c r="L34" i="17"/>
  <c r="AT23" i="85" s="1"/>
  <c r="AT26" i="85" s="1"/>
  <c r="F36" i="17"/>
  <c r="H132" i="1" s="1"/>
  <c r="M34" i="17"/>
  <c r="AU23" i="85" s="1"/>
  <c r="AU26" i="85" s="1"/>
  <c r="G35" i="49"/>
  <c r="E42" i="17"/>
  <c r="L40" i="17"/>
  <c r="AT29" i="85" s="1"/>
  <c r="AT32" i="85" s="1"/>
  <c r="AT29" i="67"/>
  <c r="AT32" i="67" s="1"/>
  <c r="G26" i="20"/>
  <c r="D19" i="22"/>
  <c r="K36" i="17"/>
  <c r="G21" i="21"/>
  <c r="L77" i="49"/>
  <c r="G20" i="21"/>
  <c r="L63" i="49"/>
  <c r="F40" i="17"/>
  <c r="M21" i="21"/>
  <c r="AO57" i="85" s="1"/>
  <c r="AU6" i="67"/>
  <c r="M10" i="17"/>
  <c r="AU6" i="85" s="1"/>
  <c r="D10" i="20"/>
  <c r="K11" i="20"/>
  <c r="F10" i="20"/>
  <c r="M10" i="20" s="1"/>
  <c r="M11" i="20"/>
  <c r="D26" i="20"/>
  <c r="AN25" i="67"/>
  <c r="AN26" i="67" s="1"/>
  <c r="E25" i="20"/>
  <c r="L10" i="20"/>
  <c r="B40" i="47"/>
  <c r="I21" i="47"/>
  <c r="AD9" i="67"/>
  <c r="AD11" i="67" s="1"/>
  <c r="AD10" i="67"/>
  <c r="AD14" i="67" s="1"/>
  <c r="AS6" i="67"/>
  <c r="K10" i="17"/>
  <c r="AS6" i="85" s="1"/>
  <c r="E49" i="49"/>
  <c r="D20" i="22"/>
  <c r="K42" i="17"/>
  <c r="F48" i="49"/>
  <c r="N27" i="20"/>
  <c r="E106" i="73"/>
  <c r="BH88" i="73"/>
  <c r="I106" i="73"/>
  <c r="BJ88" i="73"/>
  <c r="BA93" i="53"/>
  <c r="DC93" i="53" s="1"/>
  <c r="DC91" i="53"/>
  <c r="X39" i="67"/>
  <c r="X135" i="67" s="1"/>
  <c r="BU93" i="53"/>
  <c r="X39" i="85" s="1"/>
  <c r="X135" i="85" s="1"/>
  <c r="AA93" i="73"/>
  <c r="BY93" i="53"/>
  <c r="U60" i="85" s="1"/>
  <c r="Y18" i="67"/>
  <c r="BO93" i="53"/>
  <c r="Y18" i="85" s="1"/>
  <c r="T18" i="67"/>
  <c r="T135" i="67" s="1"/>
  <c r="BJ93" i="53"/>
  <c r="T18" i="85" s="1"/>
  <c r="T135" i="85" s="1"/>
  <c r="DB88" i="53"/>
  <c r="AZ95" i="53"/>
  <c r="DB95" i="53" s="1"/>
  <c r="AZ91" i="53"/>
  <c r="DH88" i="53"/>
  <c r="BF95" i="53"/>
  <c r="DH95" i="53" s="1"/>
  <c r="BF91" i="53"/>
  <c r="BC93" i="53"/>
  <c r="DE93" i="53" s="1"/>
  <c r="DE91" i="53"/>
  <c r="DF88" i="53"/>
  <c r="BD95" i="53"/>
  <c r="DF95" i="53" s="1"/>
  <c r="BD91" i="53"/>
  <c r="BH93" i="53"/>
  <c r="DJ93" i="53" s="1"/>
  <c r="DJ91" i="53"/>
  <c r="BB93" i="53"/>
  <c r="DD93" i="53" s="1"/>
  <c r="DD91" i="53"/>
  <c r="BE93" i="53"/>
  <c r="DG93" i="53" s="1"/>
  <c r="DG91" i="53"/>
  <c r="AW93" i="53"/>
  <c r="CY93" i="53" s="1"/>
  <c r="CY91" i="53"/>
  <c r="CZ88" i="53"/>
  <c r="AX95" i="53"/>
  <c r="CZ95" i="53" s="1"/>
  <c r="AX91" i="53"/>
  <c r="V18" i="67"/>
  <c r="BL93" i="53"/>
  <c r="V18" i="85" s="1"/>
  <c r="V135" i="85" s="1"/>
  <c r="Y60" i="67"/>
  <c r="CC93" i="53"/>
  <c r="Y60" i="85" s="1"/>
  <c r="AY93" i="53"/>
  <c r="DA93" i="53" s="1"/>
  <c r="DA91" i="53"/>
  <c r="AE285" i="50"/>
  <c r="BQ285" i="50" s="1"/>
  <c r="BQ283" i="50"/>
  <c r="G44" i="2"/>
  <c r="W132" i="1"/>
  <c r="F44" i="2"/>
  <c r="V132" i="1"/>
  <c r="G102" i="67"/>
  <c r="Z93" i="73"/>
  <c r="BT93" i="73" s="1"/>
  <c r="U60" i="67"/>
  <c r="Z60" i="67" s="1"/>
  <c r="Z93" i="53"/>
  <c r="Y93" i="53"/>
  <c r="CD93" i="53" s="1"/>
  <c r="J95" i="53"/>
  <c r="I95" i="53"/>
  <c r="BP95" i="53" s="1"/>
  <c r="Y133" i="67"/>
  <c r="J91" i="53"/>
  <c r="I91" i="53"/>
  <c r="BP91" i="53" s="1"/>
  <c r="AH93" i="73"/>
  <c r="BX93" i="73" s="1"/>
  <c r="AI93" i="73"/>
  <c r="G63" i="49"/>
  <c r="V93" i="73"/>
  <c r="U93" i="73"/>
  <c r="BQ93" i="73" s="1"/>
  <c r="C93" i="73"/>
  <c r="BG93" i="73" s="1"/>
  <c r="R93" i="73"/>
  <c r="V39" i="67"/>
  <c r="U132" i="67"/>
  <c r="Z124" i="67"/>
  <c r="U16" i="67"/>
  <c r="Z15" i="67"/>
  <c r="AU23" i="67"/>
  <c r="AU26" i="67" s="1"/>
  <c r="AF285" i="50"/>
  <c r="BR285" i="50" s="1"/>
  <c r="G77" i="49"/>
  <c r="AP37" i="67"/>
  <c r="AP42" i="67" s="1"/>
  <c r="E19" i="22"/>
  <c r="Q93" i="73"/>
  <c r="BO93" i="73" s="1"/>
  <c r="I95" i="73"/>
  <c r="H95" i="73"/>
  <c r="BJ95" i="73" s="1"/>
  <c r="E95" i="73"/>
  <c r="D95" i="73"/>
  <c r="BH95" i="73" s="1"/>
  <c r="D93" i="53"/>
  <c r="BK93" i="53" s="1"/>
  <c r="U18" i="85" s="1"/>
  <c r="E91" i="73"/>
  <c r="D91" i="73"/>
  <c r="BH91" i="73" s="1"/>
  <c r="J93" i="73"/>
  <c r="BK93" i="73" s="1"/>
  <c r="G93" i="73"/>
  <c r="F93" i="73"/>
  <c r="BI93" i="73" s="1"/>
  <c r="K93" i="73"/>
  <c r="F93" i="53"/>
  <c r="I91" i="73"/>
  <c r="H91" i="73"/>
  <c r="BJ91" i="73" s="1"/>
  <c r="M93" i="73"/>
  <c r="L93" i="73"/>
  <c r="BL93" i="73" s="1"/>
  <c r="B10" i="48"/>
  <c r="E35" i="49" l="1"/>
  <c r="K35" i="49" s="1"/>
  <c r="E19" i="21"/>
  <c r="L19" i="21" s="1"/>
  <c r="AN55" i="85" s="1"/>
  <c r="K27" i="20"/>
  <c r="I48" i="49"/>
  <c r="AL25" i="85" s="1"/>
  <c r="AL26" i="85" s="1"/>
  <c r="AL25" i="67"/>
  <c r="AL26" i="67" s="1"/>
  <c r="C49" i="49"/>
  <c r="I49" i="49" s="1"/>
  <c r="AN17" i="67"/>
  <c r="AN18" i="67" s="1"/>
  <c r="O27" i="20"/>
  <c r="AP25" i="67"/>
  <c r="AP26" i="67" s="1"/>
  <c r="G49" i="49"/>
  <c r="H19" i="21" s="1"/>
  <c r="AQ55" i="67" s="1"/>
  <c r="AM285" i="50"/>
  <c r="BY285" i="50" s="1"/>
  <c r="AA39" i="67"/>
  <c r="D34" i="49"/>
  <c r="J34" i="49" s="1"/>
  <c r="AM17" i="85" s="1"/>
  <c r="AM18" i="85" s="1"/>
  <c r="U16" i="85"/>
  <c r="Z15" i="85"/>
  <c r="M20" i="49"/>
  <c r="AP9" i="85" s="1"/>
  <c r="AP10" i="85" s="1"/>
  <c r="G21" i="49"/>
  <c r="H17" i="21" s="1"/>
  <c r="AQ53" i="67" s="1"/>
  <c r="O25" i="20"/>
  <c r="F25" i="20"/>
  <c r="M25" i="20" s="1"/>
  <c r="G17" i="21"/>
  <c r="G9" i="17" s="1"/>
  <c r="AU39" i="79" s="1"/>
  <c r="AO39" i="79" s="1"/>
  <c r="AP9" i="67"/>
  <c r="AP10" i="67" s="1"/>
  <c r="Y135" i="85"/>
  <c r="AA135" i="85" s="1"/>
  <c r="AD41" i="78"/>
  <c r="AD41" i="83"/>
  <c r="AA60" i="85"/>
  <c r="Z60" i="85"/>
  <c r="Q44" i="2"/>
  <c r="AC41" i="83"/>
  <c r="AA18" i="85"/>
  <c r="Z18" i="85"/>
  <c r="U135" i="85"/>
  <c r="Z135" i="85" s="1"/>
  <c r="Y133" i="85"/>
  <c r="AA132" i="85"/>
  <c r="Y135" i="67"/>
  <c r="AA135" i="67" s="1"/>
  <c r="H18" i="21"/>
  <c r="M35" i="49"/>
  <c r="V135" i="67"/>
  <c r="F19" i="21"/>
  <c r="K49" i="49"/>
  <c r="B43" i="47"/>
  <c r="I43" i="47" s="1"/>
  <c r="I40" i="47"/>
  <c r="D25" i="20"/>
  <c r="K10" i="20"/>
  <c r="AL15" i="79"/>
  <c r="J19" i="22"/>
  <c r="AL15" i="84" s="1"/>
  <c r="F34" i="49"/>
  <c r="N26" i="20"/>
  <c r="F19" i="22"/>
  <c r="M36" i="17"/>
  <c r="L25" i="20"/>
  <c r="D20" i="49"/>
  <c r="F42" i="17"/>
  <c r="M40" i="17"/>
  <c r="AU29" i="85" s="1"/>
  <c r="AU32" i="85" s="1"/>
  <c r="AU29" i="67"/>
  <c r="AU32" i="67" s="1"/>
  <c r="C34" i="49"/>
  <c r="K26" i="20"/>
  <c r="G34" i="17"/>
  <c r="N20" i="21"/>
  <c r="AP56" i="85" s="1"/>
  <c r="AP56" i="67"/>
  <c r="E20" i="22"/>
  <c r="L42" i="17"/>
  <c r="J20" i="22"/>
  <c r="AL17" i="84" s="1"/>
  <c r="AL17" i="79"/>
  <c r="H21" i="21"/>
  <c r="H40" i="17" s="1"/>
  <c r="M77" i="49"/>
  <c r="H20" i="21"/>
  <c r="AQ56" i="67" s="1"/>
  <c r="M63" i="49"/>
  <c r="L48" i="49"/>
  <c r="AO25" i="85" s="1"/>
  <c r="AO26" i="85" s="1"/>
  <c r="F49" i="49"/>
  <c r="AO25" i="67"/>
  <c r="AO26" i="67" s="1"/>
  <c r="B9" i="48"/>
  <c r="I9" i="48" s="1"/>
  <c r="I10" i="48"/>
  <c r="AP57" i="67"/>
  <c r="N21" i="21"/>
  <c r="AP57" i="85" s="1"/>
  <c r="G40" i="17"/>
  <c r="AX93" i="53"/>
  <c r="CZ93" i="53" s="1"/>
  <c r="CZ91" i="53"/>
  <c r="BF93" i="53"/>
  <c r="DH93" i="53" s="1"/>
  <c r="DH91" i="53"/>
  <c r="W18" i="67"/>
  <c r="W135" i="67" s="1"/>
  <c r="BM93" i="53"/>
  <c r="W18" i="85" s="1"/>
  <c r="W135" i="85" s="1"/>
  <c r="BD93" i="53"/>
  <c r="DF93" i="53" s="1"/>
  <c r="DF91" i="53"/>
  <c r="AZ93" i="53"/>
  <c r="DB93" i="53" s="1"/>
  <c r="DB91" i="53"/>
  <c r="AC41" i="78"/>
  <c r="R44" i="2"/>
  <c r="H44" i="2"/>
  <c r="X132" i="1"/>
  <c r="AA60" i="67"/>
  <c r="AM15" i="79"/>
  <c r="K19" i="22"/>
  <c r="AM15" i="84" s="1"/>
  <c r="U18" i="67"/>
  <c r="Z18" i="67" s="1"/>
  <c r="J93" i="53"/>
  <c r="I93" i="53"/>
  <c r="BP93" i="53" s="1"/>
  <c r="Z132" i="67"/>
  <c r="U133" i="67"/>
  <c r="I93" i="73"/>
  <c r="H93" i="73"/>
  <c r="BJ93" i="73" s="1"/>
  <c r="E93" i="73"/>
  <c r="D93" i="73"/>
  <c r="BH93" i="73" s="1"/>
  <c r="F18" i="21" l="1"/>
  <c r="AO54" i="67" s="1"/>
  <c r="AN55" i="67"/>
  <c r="E23" i="17"/>
  <c r="E25" i="17" s="1"/>
  <c r="L25" i="17" s="1"/>
  <c r="D19" i="21"/>
  <c r="D23" i="17" s="1"/>
  <c r="D25" i="17" s="1"/>
  <c r="M49" i="49"/>
  <c r="M21" i="49"/>
  <c r="D35" i="49"/>
  <c r="AM17" i="67"/>
  <c r="AM18" i="67" s="1"/>
  <c r="N9" i="17"/>
  <c r="AV5" i="85" s="1"/>
  <c r="AV8" i="85" s="1"/>
  <c r="AV5" i="67"/>
  <c r="AV8" i="67" s="1"/>
  <c r="G11" i="17"/>
  <c r="I84" i="1" s="1"/>
  <c r="Y84" i="1" s="1"/>
  <c r="AU39" i="84"/>
  <c r="AO39" i="84" s="1"/>
  <c r="AP53" i="67"/>
  <c r="E20" i="49"/>
  <c r="K20" i="49" s="1"/>
  <c r="AN9" i="85" s="1"/>
  <c r="AN10" i="85" s="1"/>
  <c r="N17" i="21"/>
  <c r="AP53" i="85" s="1"/>
  <c r="B42" i="48"/>
  <c r="I42" i="48" s="1"/>
  <c r="S44" i="2"/>
  <c r="AE41" i="83"/>
  <c r="B8" i="48"/>
  <c r="I8" i="48" s="1"/>
  <c r="H22" i="21"/>
  <c r="O22" i="21" s="1"/>
  <c r="G19" i="21"/>
  <c r="L49" i="49"/>
  <c r="K20" i="22"/>
  <c r="AM17" i="84" s="1"/>
  <c r="AM17" i="79"/>
  <c r="L34" i="49"/>
  <c r="AO17" i="85" s="1"/>
  <c r="AO18" i="85" s="1"/>
  <c r="F35" i="49"/>
  <c r="AO17" i="67"/>
  <c r="AO18" i="67" s="1"/>
  <c r="K25" i="20"/>
  <c r="C20" i="49"/>
  <c r="H34" i="17"/>
  <c r="O20" i="21"/>
  <c r="AQ56" i="85" s="1"/>
  <c r="F20" i="22"/>
  <c r="M42" i="17"/>
  <c r="H42" i="17"/>
  <c r="O40" i="17"/>
  <c r="AW29" i="85" s="1"/>
  <c r="AW32" i="85" s="1"/>
  <c r="G36" i="17"/>
  <c r="N34" i="17"/>
  <c r="AV23" i="85" s="1"/>
  <c r="AV26" i="85" s="1"/>
  <c r="AV23" i="67"/>
  <c r="AV26" i="67" s="1"/>
  <c r="H9" i="17"/>
  <c r="O17" i="21"/>
  <c r="AQ53" i="85" s="1"/>
  <c r="J20" i="49"/>
  <c r="AM9" i="85" s="1"/>
  <c r="AM10" i="85" s="1"/>
  <c r="D21" i="49"/>
  <c r="AM9" i="67"/>
  <c r="AM10" i="67" s="1"/>
  <c r="AO55" i="67"/>
  <c r="M19" i="21"/>
  <c r="AO55" i="85" s="1"/>
  <c r="F23" i="17"/>
  <c r="I34" i="49"/>
  <c r="AL17" i="85" s="1"/>
  <c r="AL18" i="85" s="1"/>
  <c r="C35" i="49"/>
  <c r="AL17" i="67"/>
  <c r="AL18" i="67" s="1"/>
  <c r="AQ57" i="67"/>
  <c r="O21" i="21"/>
  <c r="AQ57" i="85" s="1"/>
  <c r="G42" i="17"/>
  <c r="N40" i="17"/>
  <c r="AV29" i="85" s="1"/>
  <c r="AV32" i="85" s="1"/>
  <c r="AV29" i="67"/>
  <c r="AV32" i="67" s="1"/>
  <c r="H23" i="17"/>
  <c r="O19" i="21"/>
  <c r="AQ55" i="85" s="1"/>
  <c r="L19" i="22"/>
  <c r="AN15" i="84" s="1"/>
  <c r="AN15" i="79"/>
  <c r="H15" i="17"/>
  <c r="O18" i="21"/>
  <c r="AQ54" i="85" s="1"/>
  <c r="AQ54" i="67"/>
  <c r="AE41" i="78"/>
  <c r="U135" i="67"/>
  <c r="Z135" i="67" s="1"/>
  <c r="AA18" i="67"/>
  <c r="AW29" i="67"/>
  <c r="AW32" i="67" s="1"/>
  <c r="F15" i="17" l="1"/>
  <c r="F17" i="17" s="1"/>
  <c r="F12" i="22" s="1"/>
  <c r="AS55" i="79"/>
  <c r="AM55" i="79" s="1"/>
  <c r="M18" i="21"/>
  <c r="AO54" i="85" s="1"/>
  <c r="AS55" i="84"/>
  <c r="AM55" i="84" s="1"/>
  <c r="G88" i="1"/>
  <c r="W88" i="1" s="1"/>
  <c r="L23" i="17"/>
  <c r="AT17" i="85" s="1"/>
  <c r="AT20" i="85" s="1"/>
  <c r="E14" i="22"/>
  <c r="K14" i="22" s="1"/>
  <c r="AM9" i="84" s="1"/>
  <c r="AS49" i="84" s="1"/>
  <c r="AM49" i="84" s="1"/>
  <c r="AM61" i="84" s="1"/>
  <c r="K23" i="17"/>
  <c r="AS17" i="85" s="1"/>
  <c r="AS20" i="85" s="1"/>
  <c r="AT17" i="67"/>
  <c r="AT20" i="67" s="1"/>
  <c r="AS17" i="67"/>
  <c r="AS20" i="67" s="1"/>
  <c r="AR55" i="79"/>
  <c r="AL55" i="79" s="1"/>
  <c r="K19" i="21"/>
  <c r="AM55" i="85" s="1"/>
  <c r="AM55" i="67"/>
  <c r="AR55" i="84"/>
  <c r="AL55" i="84" s="1"/>
  <c r="N11" i="17"/>
  <c r="G10" i="22"/>
  <c r="AO5" i="79" s="1"/>
  <c r="AU33" i="79" s="1"/>
  <c r="AO33" i="79" s="1"/>
  <c r="AO59" i="79" s="1"/>
  <c r="E18" i="21"/>
  <c r="J35" i="49"/>
  <c r="AN9" i="67"/>
  <c r="AN10" i="67" s="1"/>
  <c r="E21" i="49"/>
  <c r="K21" i="49" s="1"/>
  <c r="B43" i="48"/>
  <c r="I43" i="48" s="1"/>
  <c r="AV39" i="84"/>
  <c r="AP39" i="84" s="1"/>
  <c r="AV39" i="79"/>
  <c r="AP39" i="79" s="1"/>
  <c r="AT55" i="79"/>
  <c r="AN55" i="79" s="1"/>
  <c r="AT55" i="84"/>
  <c r="AN55" i="84" s="1"/>
  <c r="AV47" i="84"/>
  <c r="AP47" i="84" s="1"/>
  <c r="AV47" i="79"/>
  <c r="AP47" i="79" s="1"/>
  <c r="AV55" i="79"/>
  <c r="AP55" i="79" s="1"/>
  <c r="AV55" i="84"/>
  <c r="AP55" i="84" s="1"/>
  <c r="AQ58" i="85"/>
  <c r="AQ58" i="67"/>
  <c r="H25" i="17"/>
  <c r="O23" i="17"/>
  <c r="AW17" i="85" s="1"/>
  <c r="AW20" i="85" s="1"/>
  <c r="AW17" i="67"/>
  <c r="AW20" i="67" s="1"/>
  <c r="E17" i="21"/>
  <c r="J21" i="49"/>
  <c r="H20" i="22"/>
  <c r="O42" i="17"/>
  <c r="I20" i="49"/>
  <c r="AL9" i="85" s="1"/>
  <c r="AL10" i="85" s="1"/>
  <c r="AL9" i="67"/>
  <c r="AL10" i="67" s="1"/>
  <c r="C21" i="49"/>
  <c r="G19" i="22"/>
  <c r="N36" i="17"/>
  <c r="I132" i="1"/>
  <c r="AW11" i="67"/>
  <c r="AW14" i="67" s="1"/>
  <c r="O15" i="17"/>
  <c r="AW11" i="85" s="1"/>
  <c r="AW14" i="85" s="1"/>
  <c r="H17" i="17"/>
  <c r="D18" i="21"/>
  <c r="I35" i="49"/>
  <c r="G20" i="22"/>
  <c r="N42" i="17"/>
  <c r="AW5" i="67"/>
  <c r="AW8" i="67" s="1"/>
  <c r="O9" i="17"/>
  <c r="AW5" i="85" s="1"/>
  <c r="AW8" i="85" s="1"/>
  <c r="H11" i="17"/>
  <c r="D14" i="22"/>
  <c r="J14" i="22" s="1"/>
  <c r="AL9" i="84" s="1"/>
  <c r="AR49" i="84" s="1"/>
  <c r="AL49" i="84" s="1"/>
  <c r="K25" i="17"/>
  <c r="F25" i="17"/>
  <c r="M23" i="17"/>
  <c r="AU17" i="85" s="1"/>
  <c r="AU20" i="85" s="1"/>
  <c r="AU17" i="67"/>
  <c r="AU20" i="67" s="1"/>
  <c r="AN17" i="79"/>
  <c r="L20" i="22"/>
  <c r="AN17" i="84" s="1"/>
  <c r="G18" i="21"/>
  <c r="L35" i="49"/>
  <c r="AW23" i="67"/>
  <c r="AW26" i="67" s="1"/>
  <c r="O34" i="17"/>
  <c r="AW23" i="85" s="1"/>
  <c r="AW26" i="85" s="1"/>
  <c r="H36" i="17"/>
  <c r="N19" i="21"/>
  <c r="AP55" i="85" s="1"/>
  <c r="G23" i="17"/>
  <c r="AP55" i="67"/>
  <c r="I28" i="2"/>
  <c r="F88" i="1"/>
  <c r="V88" i="1" s="1"/>
  <c r="G30" i="2" l="1"/>
  <c r="AD25" i="83" s="1"/>
  <c r="H86" i="1"/>
  <c r="X86" i="1" s="1"/>
  <c r="AT47" i="84"/>
  <c r="AN47" i="84" s="1"/>
  <c r="AT47" i="79"/>
  <c r="AN47" i="79" s="1"/>
  <c r="AU11" i="67"/>
  <c r="AU14" i="67" s="1"/>
  <c r="M17" i="17"/>
  <c r="M15" i="17"/>
  <c r="AU11" i="85" s="1"/>
  <c r="AU14" i="85" s="1"/>
  <c r="AL61" i="84"/>
  <c r="E16" i="22"/>
  <c r="K16" i="22" s="1"/>
  <c r="AM11" i="84" s="1"/>
  <c r="E18" i="22"/>
  <c r="AM13" i="79" s="1"/>
  <c r="F10" i="16"/>
  <c r="O10" i="16" s="1"/>
  <c r="E17" i="22"/>
  <c r="AM12" i="79" s="1"/>
  <c r="AM9" i="79"/>
  <c r="AS49" i="79" s="1"/>
  <c r="AM49" i="79" s="1"/>
  <c r="AM61" i="79" s="1"/>
  <c r="M10" i="22"/>
  <c r="AO5" i="84" s="1"/>
  <c r="AU33" i="84" s="1"/>
  <c r="AO33" i="84" s="1"/>
  <c r="AO59" i="84" s="1"/>
  <c r="H8" i="16"/>
  <c r="Q8" i="16" s="1"/>
  <c r="F17" i="21"/>
  <c r="F22" i="21" s="1"/>
  <c r="M22" i="21" s="1"/>
  <c r="AN54" i="67"/>
  <c r="E15" i="17"/>
  <c r="L18" i="21"/>
  <c r="AN54" i="85" s="1"/>
  <c r="B44" i="48"/>
  <c r="B46" i="48" s="1"/>
  <c r="AU55" i="79"/>
  <c r="AO55" i="79" s="1"/>
  <c r="AU55" i="84"/>
  <c r="AO55" i="84" s="1"/>
  <c r="AF23" i="78"/>
  <c r="AF23" i="83"/>
  <c r="AD25" i="78"/>
  <c r="D18" i="22"/>
  <c r="AL13" i="79" s="1"/>
  <c r="D17" i="22"/>
  <c r="AL12" i="79" s="1"/>
  <c r="D16" i="22"/>
  <c r="AL11" i="79" s="1"/>
  <c r="E10" i="16"/>
  <c r="N10" i="16" s="1"/>
  <c r="AN7" i="79"/>
  <c r="AT41" i="79" s="1"/>
  <c r="AN41" i="79" s="1"/>
  <c r="AN60" i="79" s="1"/>
  <c r="L12" i="22"/>
  <c r="AN7" i="84" s="1"/>
  <c r="G9" i="16"/>
  <c r="P9" i="16" s="1"/>
  <c r="H19" i="22"/>
  <c r="O36" i="17"/>
  <c r="J132" i="1"/>
  <c r="AP17" i="79"/>
  <c r="N20" i="22"/>
  <c r="AP17" i="84" s="1"/>
  <c r="Y132" i="1"/>
  <c r="I44" i="2"/>
  <c r="AF41" i="83" s="1"/>
  <c r="F14" i="22"/>
  <c r="M25" i="17"/>
  <c r="H88" i="1"/>
  <c r="M19" i="22"/>
  <c r="AO15" i="84" s="1"/>
  <c r="AO15" i="79"/>
  <c r="L17" i="21"/>
  <c r="AN53" i="85" s="1"/>
  <c r="AN53" i="67"/>
  <c r="E22" i="21"/>
  <c r="L22" i="21" s="1"/>
  <c r="E9" i="17"/>
  <c r="AO17" i="79"/>
  <c r="M20" i="22"/>
  <c r="AO17" i="84" s="1"/>
  <c r="D15" i="17"/>
  <c r="K18" i="21"/>
  <c r="AM54" i="85" s="1"/>
  <c r="AM54" i="67"/>
  <c r="N23" i="17"/>
  <c r="AV17" i="85" s="1"/>
  <c r="AV20" i="85" s="1"/>
  <c r="AV17" i="67"/>
  <c r="AV20" i="67" s="1"/>
  <c r="G25" i="17"/>
  <c r="G15" i="17"/>
  <c r="N18" i="21"/>
  <c r="AP54" i="85" s="1"/>
  <c r="AP58" i="85" s="1"/>
  <c r="AP54" i="67"/>
  <c r="AP58" i="67" s="1"/>
  <c r="G22" i="21"/>
  <c r="N22" i="21" s="1"/>
  <c r="H12" i="22"/>
  <c r="O17" i="17"/>
  <c r="J86" i="1"/>
  <c r="D17" i="21"/>
  <c r="I21" i="49"/>
  <c r="H10" i="22"/>
  <c r="O11" i="17"/>
  <c r="G10" i="47"/>
  <c r="J84" i="1"/>
  <c r="AL9" i="79"/>
  <c r="AR49" i="79" s="1"/>
  <c r="AL49" i="79" s="1"/>
  <c r="AL61" i="79" s="1"/>
  <c r="H14" i="22"/>
  <c r="O25" i="17"/>
  <c r="J88" i="1"/>
  <c r="F30" i="2"/>
  <c r="K17" i="22" l="1"/>
  <c r="AM12" i="84" s="1"/>
  <c r="AM11" i="79"/>
  <c r="H29" i="2"/>
  <c r="AE24" i="78" s="1"/>
  <c r="K18" i="22"/>
  <c r="AM13" i="84" s="1"/>
  <c r="AN58" i="67"/>
  <c r="F9" i="17"/>
  <c r="AT39" i="79" s="1"/>
  <c r="AN39" i="79" s="1"/>
  <c r="M17" i="21"/>
  <c r="AO53" i="85" s="1"/>
  <c r="AO58" i="85" s="1"/>
  <c r="AO53" i="67"/>
  <c r="AO58" i="67" s="1"/>
  <c r="J18" i="22"/>
  <c r="AL13" i="84" s="1"/>
  <c r="AN58" i="85"/>
  <c r="L15" i="17"/>
  <c r="AT11" i="85" s="1"/>
  <c r="AT14" i="85" s="1"/>
  <c r="E17" i="17"/>
  <c r="AS47" i="84"/>
  <c r="AM47" i="84" s="1"/>
  <c r="AS47" i="79"/>
  <c r="AM47" i="79" s="1"/>
  <c r="AT11" i="67"/>
  <c r="AT14" i="67" s="1"/>
  <c r="I44" i="48"/>
  <c r="J16" i="22"/>
  <c r="AL11" i="84" s="1"/>
  <c r="J17" i="22"/>
  <c r="AL12" i="84" s="1"/>
  <c r="AR47" i="84"/>
  <c r="AL47" i="84" s="1"/>
  <c r="AR47" i="79"/>
  <c r="AL47" i="79" s="1"/>
  <c r="AS39" i="84"/>
  <c r="AM39" i="84" s="1"/>
  <c r="AS39" i="79"/>
  <c r="AM39" i="79" s="1"/>
  <c r="AU47" i="84"/>
  <c r="AO47" i="84" s="1"/>
  <c r="AU47" i="79"/>
  <c r="AO47" i="79" s="1"/>
  <c r="AC25" i="78"/>
  <c r="AC25" i="83"/>
  <c r="AT41" i="84"/>
  <c r="AN41" i="84" s="1"/>
  <c r="AN60" i="84" s="1"/>
  <c r="N25" i="17"/>
  <c r="I88" i="1"/>
  <c r="G14" i="22"/>
  <c r="E11" i="17"/>
  <c r="L9" i="17"/>
  <c r="AT5" i="85" s="1"/>
  <c r="AT8" i="85" s="1"/>
  <c r="AT5" i="67"/>
  <c r="AT8" i="67" s="1"/>
  <c r="F18" i="22"/>
  <c r="AN9" i="79"/>
  <c r="AT49" i="79" s="1"/>
  <c r="AN49" i="79" s="1"/>
  <c r="AN61" i="79" s="1"/>
  <c r="F17" i="22"/>
  <c r="L14" i="22"/>
  <c r="AN9" i="84" s="1"/>
  <c r="AT49" i="84" s="1"/>
  <c r="AN49" i="84" s="1"/>
  <c r="AN61" i="84" s="1"/>
  <c r="F16" i="22"/>
  <c r="G10" i="16"/>
  <c r="P10" i="16" s="1"/>
  <c r="Z84" i="1"/>
  <c r="J28" i="2"/>
  <c r="AG23" i="83" s="1"/>
  <c r="I9" i="16"/>
  <c r="R9" i="16" s="1"/>
  <c r="AP7" i="79"/>
  <c r="AV41" i="79" s="1"/>
  <c r="AP41" i="79" s="1"/>
  <c r="AP60" i="79" s="1"/>
  <c r="N12" i="22"/>
  <c r="AP7" i="84" s="1"/>
  <c r="AV41" i="84" s="1"/>
  <c r="AP41" i="84" s="1"/>
  <c r="AP60" i="84" s="1"/>
  <c r="AF41" i="78"/>
  <c r="T44" i="2"/>
  <c r="AP15" i="79"/>
  <c r="N19" i="22"/>
  <c r="AP15" i="84" s="1"/>
  <c r="G9" i="47"/>
  <c r="J90" i="1"/>
  <c r="G10" i="48"/>
  <c r="N10" i="47"/>
  <c r="AP5" i="79"/>
  <c r="AV33" i="79" s="1"/>
  <c r="AP33" i="79" s="1"/>
  <c r="AP59" i="79" s="1"/>
  <c r="N10" i="22"/>
  <c r="AP5" i="84" s="1"/>
  <c r="I8" i="16"/>
  <c r="AD18" i="67"/>
  <c r="I46" i="48"/>
  <c r="AD18" i="85" s="1"/>
  <c r="Z88" i="1"/>
  <c r="J30" i="2"/>
  <c r="AG25" i="83" s="1"/>
  <c r="AS11" i="67"/>
  <c r="AS14" i="67" s="1"/>
  <c r="K15" i="17"/>
  <c r="AS11" i="85" s="1"/>
  <c r="AS14" i="85" s="1"/>
  <c r="D17" i="17"/>
  <c r="K17" i="21"/>
  <c r="AM53" i="85" s="1"/>
  <c r="AM58" i="85" s="1"/>
  <c r="D22" i="21"/>
  <c r="K22" i="21" s="1"/>
  <c r="AM53" i="67"/>
  <c r="AM58" i="67" s="1"/>
  <c r="D9" i="17"/>
  <c r="X88" i="1"/>
  <c r="H30" i="2"/>
  <c r="AE25" i="83" s="1"/>
  <c r="H17" i="22"/>
  <c r="I10" i="16"/>
  <c r="R10" i="16" s="1"/>
  <c r="H16" i="22"/>
  <c r="H18" i="22"/>
  <c r="N14" i="22"/>
  <c r="AP9" i="84" s="1"/>
  <c r="AV49" i="84" s="1"/>
  <c r="AP49" i="84" s="1"/>
  <c r="AP61" i="84" s="1"/>
  <c r="AP9" i="79"/>
  <c r="AV49" i="79" s="1"/>
  <c r="AP49" i="79" s="1"/>
  <c r="AP61" i="79" s="1"/>
  <c r="Z86" i="1"/>
  <c r="J29" i="2"/>
  <c r="AG24" i="83" s="1"/>
  <c r="AV11" i="67"/>
  <c r="AV14" i="67" s="1"/>
  <c r="N15" i="17"/>
  <c r="AV11" i="85" s="1"/>
  <c r="AV14" i="85" s="1"/>
  <c r="G17" i="17"/>
  <c r="J44" i="2"/>
  <c r="AG41" i="83" s="1"/>
  <c r="Z132" i="1"/>
  <c r="Q30" i="2"/>
  <c r="R30" i="2"/>
  <c r="AE24" i="83" l="1"/>
  <c r="AU5" i="67"/>
  <c r="AU8" i="67" s="1"/>
  <c r="M9" i="17"/>
  <c r="AU5" i="85" s="1"/>
  <c r="AU8" i="85" s="1"/>
  <c r="AT39" i="84"/>
  <c r="AN39" i="84" s="1"/>
  <c r="F11" i="17"/>
  <c r="H84" i="1" s="1"/>
  <c r="G86" i="1"/>
  <c r="E12" i="22"/>
  <c r="L17" i="17"/>
  <c r="AR39" i="84"/>
  <c r="AL39" i="84" s="1"/>
  <c r="AR39" i="79"/>
  <c r="AL39" i="79" s="1"/>
  <c r="AV33" i="84"/>
  <c r="AP33" i="84" s="1"/>
  <c r="AP59" i="84" s="1"/>
  <c r="AS27" i="84"/>
  <c r="AG24" i="78"/>
  <c r="V29" i="2"/>
  <c r="Z90" i="1"/>
  <c r="J31" i="2"/>
  <c r="AG26" i="83" s="1"/>
  <c r="AN13" i="79"/>
  <c r="L18" i="22"/>
  <c r="AN13" i="84" s="1"/>
  <c r="AE25" i="78"/>
  <c r="S30" i="2"/>
  <c r="I11" i="16"/>
  <c r="R8" i="16"/>
  <c r="G39" i="47"/>
  <c r="N39" i="47" s="1"/>
  <c r="G8" i="47"/>
  <c r="N9" i="47"/>
  <c r="AI4" i="85" s="1"/>
  <c r="AI4" i="67"/>
  <c r="AG23" i="78"/>
  <c r="V28" i="2"/>
  <c r="U28" i="2"/>
  <c r="AG25" i="78"/>
  <c r="V30" i="2"/>
  <c r="D11" i="17"/>
  <c r="K9" i="17"/>
  <c r="AS5" i="85" s="1"/>
  <c r="AS8" i="85" s="1"/>
  <c r="AS5" i="67"/>
  <c r="AS8" i="67" s="1"/>
  <c r="AS27" i="79"/>
  <c r="L11" i="17"/>
  <c r="G84" i="1"/>
  <c r="E10" i="22"/>
  <c r="D10" i="47"/>
  <c r="D12" i="22"/>
  <c r="K17" i="17"/>
  <c r="F86" i="1"/>
  <c r="U44" i="2"/>
  <c r="AG41" i="78"/>
  <c r="AP13" i="79"/>
  <c r="N18" i="22"/>
  <c r="AP13" i="84" s="1"/>
  <c r="AN11" i="79"/>
  <c r="L16" i="22"/>
  <c r="AN11" i="84" s="1"/>
  <c r="M14" i="22"/>
  <c r="AO9" i="84" s="1"/>
  <c r="AU49" i="84" s="1"/>
  <c r="AO49" i="84" s="1"/>
  <c r="AO61" i="84" s="1"/>
  <c r="G16" i="22"/>
  <c r="G17" i="22"/>
  <c r="H10" i="16"/>
  <c r="Q10" i="16" s="1"/>
  <c r="G18" i="22"/>
  <c r="AO9" i="79"/>
  <c r="AU49" i="79" s="1"/>
  <c r="AO49" i="79" s="1"/>
  <c r="AO61" i="79" s="1"/>
  <c r="AP12" i="79"/>
  <c r="N17" i="22"/>
  <c r="AP12" i="84" s="1"/>
  <c r="I86" i="1"/>
  <c r="N17" i="17"/>
  <c r="F10" i="47"/>
  <c r="G12" i="22"/>
  <c r="AP11" i="79"/>
  <c r="N16" i="22"/>
  <c r="AP11" i="84" s="1"/>
  <c r="Y88" i="1"/>
  <c r="I30" i="2"/>
  <c r="AF25" i="83" s="1"/>
  <c r="G40" i="48"/>
  <c r="N40" i="48" s="1"/>
  <c r="N10" i="48"/>
  <c r="G9" i="48"/>
  <c r="AN12" i="79"/>
  <c r="L17" i="22"/>
  <c r="AN12" i="84" s="1"/>
  <c r="M11" i="17" l="1"/>
  <c r="E10" i="47"/>
  <c r="H90" i="1" s="1"/>
  <c r="F10" i="22"/>
  <c r="L10" i="22" s="1"/>
  <c r="AN5" i="84" s="1"/>
  <c r="K12" i="22"/>
  <c r="AM7" i="84" s="1"/>
  <c r="AS41" i="84" s="1"/>
  <c r="AM41" i="84" s="1"/>
  <c r="AM60" i="84" s="1"/>
  <c r="AM7" i="79"/>
  <c r="AS41" i="79" s="1"/>
  <c r="AM41" i="79" s="1"/>
  <c r="AM60" i="79" s="1"/>
  <c r="F9" i="16"/>
  <c r="O9" i="16" s="1"/>
  <c r="W86" i="1"/>
  <c r="G29" i="2"/>
  <c r="X84" i="1"/>
  <c r="H28" i="2"/>
  <c r="AI6" i="85"/>
  <c r="AI11" i="85" s="1"/>
  <c r="AI10" i="85"/>
  <c r="AI14" i="85" s="1"/>
  <c r="V86" i="1"/>
  <c r="F29" i="2"/>
  <c r="AC24" i="83" s="1"/>
  <c r="AI10" i="67"/>
  <c r="AI14" i="67" s="1"/>
  <c r="AI6" i="67"/>
  <c r="AI11" i="67" s="1"/>
  <c r="AF25" i="78"/>
  <c r="T30" i="2"/>
  <c r="E9" i="16"/>
  <c r="N9" i="16" s="1"/>
  <c r="AL7" i="79"/>
  <c r="AR41" i="79" s="1"/>
  <c r="AL41" i="79" s="1"/>
  <c r="AL60" i="79" s="1"/>
  <c r="J12" i="22"/>
  <c r="AL7" i="84" s="1"/>
  <c r="AR41" i="84" s="1"/>
  <c r="AL41" i="84" s="1"/>
  <c r="AL60" i="84" s="1"/>
  <c r="D10" i="22"/>
  <c r="K11" i="17"/>
  <c r="F84" i="1"/>
  <c r="C10" i="47"/>
  <c r="AO13" i="79"/>
  <c r="M18" i="22"/>
  <c r="AO13" i="84" s="1"/>
  <c r="K10" i="47"/>
  <c r="G90" i="1"/>
  <c r="D10" i="48"/>
  <c r="D9" i="47"/>
  <c r="U30" i="2"/>
  <c r="N8" i="47"/>
  <c r="G40" i="47"/>
  <c r="AG26" i="78"/>
  <c r="V31" i="2"/>
  <c r="H9" i="16"/>
  <c r="M12" i="22"/>
  <c r="AO7" i="84" s="1"/>
  <c r="AO7" i="79"/>
  <c r="AM5" i="79"/>
  <c r="K10" i="22"/>
  <c r="AM5" i="84" s="1"/>
  <c r="F8" i="16"/>
  <c r="G42" i="48"/>
  <c r="N9" i="48"/>
  <c r="G18" i="48"/>
  <c r="I90" i="1"/>
  <c r="F10" i="48"/>
  <c r="M10" i="47"/>
  <c r="F9" i="47"/>
  <c r="AO12" i="79"/>
  <c r="M17" i="22"/>
  <c r="AO12" i="84" s="1"/>
  <c r="W84" i="1"/>
  <c r="G28" i="2"/>
  <c r="AD23" i="83" s="1"/>
  <c r="AO11" i="79"/>
  <c r="M16" i="22"/>
  <c r="AO11" i="84" s="1"/>
  <c r="R11" i="16"/>
  <c r="I13" i="16"/>
  <c r="Y86" i="1"/>
  <c r="I29" i="2"/>
  <c r="AF24" i="83" s="1"/>
  <c r="E10" i="48" l="1"/>
  <c r="E40" i="48" s="1"/>
  <c r="L40" i="48" s="1"/>
  <c r="G8" i="16"/>
  <c r="G11" i="16" s="1"/>
  <c r="L10" i="47"/>
  <c r="E9" i="47"/>
  <c r="E39" i="47" s="1"/>
  <c r="L39" i="47" s="1"/>
  <c r="AN5" i="79"/>
  <c r="AT33" i="79" s="1"/>
  <c r="AN33" i="79" s="1"/>
  <c r="AN59" i="79" s="1"/>
  <c r="AD24" i="83"/>
  <c r="AD24" i="78"/>
  <c r="S29" i="2"/>
  <c r="AP27" i="79"/>
  <c r="AS33" i="79"/>
  <c r="AM33" i="79" s="1"/>
  <c r="AM59" i="79" s="1"/>
  <c r="AR27" i="79"/>
  <c r="AU41" i="79"/>
  <c r="AO41" i="79" s="1"/>
  <c r="AO60" i="79" s="1"/>
  <c r="AU41" i="84"/>
  <c r="AO41" i="84" s="1"/>
  <c r="AO60" i="84" s="1"/>
  <c r="AR27" i="84"/>
  <c r="AT33" i="84"/>
  <c r="AN33" i="84" s="1"/>
  <c r="AN59" i="84" s="1"/>
  <c r="AQ27" i="84"/>
  <c r="AS33" i="84"/>
  <c r="AM33" i="84" s="1"/>
  <c r="AM59" i="84" s="1"/>
  <c r="AP27" i="84"/>
  <c r="X90" i="1"/>
  <c r="H31" i="2"/>
  <c r="T28" i="2"/>
  <c r="AE23" i="83"/>
  <c r="AE23" i="78"/>
  <c r="R13" i="16"/>
  <c r="AS22" i="84" s="1"/>
  <c r="AS22" i="79"/>
  <c r="I19" i="16"/>
  <c r="O8" i="16"/>
  <c r="F11" i="16"/>
  <c r="F8" i="47"/>
  <c r="AH4" i="67"/>
  <c r="F39" i="47"/>
  <c r="M39" i="47" s="1"/>
  <c r="M9" i="47"/>
  <c r="AH4" i="85" s="1"/>
  <c r="G41" i="47"/>
  <c r="N40" i="47"/>
  <c r="F90" i="1"/>
  <c r="C9" i="47"/>
  <c r="J10" i="47"/>
  <c r="C10" i="48"/>
  <c r="G43" i="48"/>
  <c r="N42" i="48"/>
  <c r="V84" i="1"/>
  <c r="F28" i="2"/>
  <c r="Y90" i="1"/>
  <c r="I31" i="2"/>
  <c r="AF26" i="83" s="1"/>
  <c r="AF4" i="67"/>
  <c r="K9" i="47"/>
  <c r="AF4" i="85" s="1"/>
  <c r="D8" i="47"/>
  <c r="D39" i="47"/>
  <c r="K39" i="47" s="1"/>
  <c r="AD23" i="78"/>
  <c r="S28" i="2"/>
  <c r="N18" i="48"/>
  <c r="G48" i="48"/>
  <c r="N48" i="48" s="1"/>
  <c r="G14" i="48"/>
  <c r="Q9" i="16"/>
  <c r="H11" i="16"/>
  <c r="K10" i="48"/>
  <c r="D40" i="48"/>
  <c r="K40" i="48" s="1"/>
  <c r="D9" i="48"/>
  <c r="E8" i="16"/>
  <c r="AL5" i="79"/>
  <c r="J10" i="22"/>
  <c r="AL5" i="84" s="1"/>
  <c r="Q29" i="2"/>
  <c r="AC24" i="78"/>
  <c r="R29" i="2"/>
  <c r="F9" i="48"/>
  <c r="F40" i="48"/>
  <c r="M40" i="48" s="1"/>
  <c r="M10" i="48"/>
  <c r="AF24" i="78"/>
  <c r="T29" i="2"/>
  <c r="U29" i="2"/>
  <c r="W90" i="1"/>
  <c r="G31" i="2"/>
  <c r="AD26" i="83" s="1"/>
  <c r="L10" i="48" l="1"/>
  <c r="E9" i="48"/>
  <c r="E42" i="48" s="1"/>
  <c r="P8" i="16"/>
  <c r="AG4" i="67"/>
  <c r="AG6" i="67" s="1"/>
  <c r="AG11" i="67" s="1"/>
  <c r="E8" i="47"/>
  <c r="L8" i="47" s="1"/>
  <c r="L9" i="47"/>
  <c r="AG4" i="85" s="1"/>
  <c r="AG10" i="85" s="1"/>
  <c r="AG14" i="85" s="1"/>
  <c r="AQ27" i="79"/>
  <c r="AO27" i="79"/>
  <c r="AR33" i="79"/>
  <c r="AL33" i="79" s="1"/>
  <c r="AL59" i="79" s="1"/>
  <c r="R28" i="2"/>
  <c r="AC23" i="83"/>
  <c r="AH6" i="85"/>
  <c r="AH11" i="85" s="1"/>
  <c r="AH10" i="85"/>
  <c r="AH14" i="85" s="1"/>
  <c r="AE26" i="83"/>
  <c r="AE26" i="78"/>
  <c r="AF6" i="85"/>
  <c r="AF11" i="85" s="1"/>
  <c r="AF10" i="85"/>
  <c r="AF14" i="85" s="1"/>
  <c r="AR33" i="84"/>
  <c r="AL33" i="84" s="1"/>
  <c r="AL59" i="84" s="1"/>
  <c r="AO27" i="84"/>
  <c r="G13" i="16"/>
  <c r="P11" i="16"/>
  <c r="AF6" i="67"/>
  <c r="AF11" i="67" s="1"/>
  <c r="AF10" i="67"/>
  <c r="AF14" i="67" s="1"/>
  <c r="F40" i="47"/>
  <c r="M8" i="47"/>
  <c r="N14" i="48"/>
  <c r="G8" i="48"/>
  <c r="N8" i="48" s="1"/>
  <c r="N8" i="16"/>
  <c r="E11" i="16"/>
  <c r="AF26" i="78"/>
  <c r="U31" i="2"/>
  <c r="T31" i="2"/>
  <c r="J9" i="47"/>
  <c r="AE4" i="85" s="1"/>
  <c r="C39" i="47"/>
  <c r="J39" i="47" s="1"/>
  <c r="AE4" i="67"/>
  <c r="C8" i="47"/>
  <c r="O11" i="16"/>
  <c r="F13" i="16"/>
  <c r="K9" i="48"/>
  <c r="D42" i="48"/>
  <c r="D18" i="48"/>
  <c r="V90" i="1"/>
  <c r="F31" i="2"/>
  <c r="D40" i="47"/>
  <c r="K8" i="47"/>
  <c r="AH6" i="67"/>
  <c r="AH11" i="67" s="1"/>
  <c r="AH10" i="67"/>
  <c r="AH14" i="67" s="1"/>
  <c r="F18" i="48"/>
  <c r="M9" i="48"/>
  <c r="F42" i="48"/>
  <c r="AC23" i="78"/>
  <c r="Q28" i="2"/>
  <c r="C9" i="48"/>
  <c r="J10" i="48"/>
  <c r="C40" i="48"/>
  <c r="AD26" i="78"/>
  <c r="S31" i="2"/>
  <c r="N41" i="47"/>
  <c r="G43" i="47"/>
  <c r="N43" i="47" s="1"/>
  <c r="N43" i="48"/>
  <c r="H13" i="16"/>
  <c r="Q11" i="16"/>
  <c r="AG10" i="67" l="1"/>
  <c r="AG14" i="67" s="1"/>
  <c r="E40" i="47"/>
  <c r="E41" i="47" s="1"/>
  <c r="L9" i="48"/>
  <c r="E18" i="48"/>
  <c r="E14" i="48" s="1"/>
  <c r="AG6" i="85"/>
  <c r="AG11" i="85" s="1"/>
  <c r="G19" i="16"/>
  <c r="AQ22" i="79"/>
  <c r="P13" i="16"/>
  <c r="AQ22" i="84" s="1"/>
  <c r="E43" i="48"/>
  <c r="L43" i="48" s="1"/>
  <c r="L42" i="48"/>
  <c r="R31" i="2"/>
  <c r="AC26" i="83"/>
  <c r="AE6" i="85"/>
  <c r="AE11" i="85" s="1"/>
  <c r="AE10" i="85"/>
  <c r="AE14" i="85" s="1"/>
  <c r="J8" i="47"/>
  <c r="C40" i="47"/>
  <c r="M42" i="48"/>
  <c r="F43" i="48"/>
  <c r="M43" i="48" s="1"/>
  <c r="AE6" i="67"/>
  <c r="AE11" i="67" s="1"/>
  <c r="AE10" i="67"/>
  <c r="AE14" i="67" s="1"/>
  <c r="E13" i="16"/>
  <c r="N11" i="16"/>
  <c r="C34" i="48"/>
  <c r="J40" i="48"/>
  <c r="F48" i="48"/>
  <c r="M48" i="48" s="1"/>
  <c r="F14" i="48"/>
  <c r="M18" i="48"/>
  <c r="K18" i="48"/>
  <c r="D14" i="48"/>
  <c r="D48" i="48"/>
  <c r="K48" i="48" s="1"/>
  <c r="D41" i="47"/>
  <c r="D43" i="47" s="1"/>
  <c r="K43" i="47" s="1"/>
  <c r="K40" i="47"/>
  <c r="AR22" i="79"/>
  <c r="H19" i="16"/>
  <c r="Q13" i="16"/>
  <c r="AR22" i="84" s="1"/>
  <c r="K42" i="48"/>
  <c r="D43" i="48"/>
  <c r="F41" i="47"/>
  <c r="F43" i="47" s="1"/>
  <c r="M43" i="47" s="1"/>
  <c r="M40" i="47"/>
  <c r="AC26" i="78"/>
  <c r="Q31" i="2"/>
  <c r="C18" i="48"/>
  <c r="J9" i="48"/>
  <c r="C42" i="48"/>
  <c r="AP22" i="79"/>
  <c r="O13" i="16"/>
  <c r="AP22" i="84" s="1"/>
  <c r="F19" i="16"/>
  <c r="L40" i="47" l="1"/>
  <c r="L18" i="48"/>
  <c r="E48" i="48"/>
  <c r="L48" i="48" s="1"/>
  <c r="L41" i="47"/>
  <c r="F38" i="48"/>
  <c r="E43" i="47"/>
  <c r="L43" i="47" s="1"/>
  <c r="E8" i="48"/>
  <c r="L8" i="48" s="1"/>
  <c r="L14" i="48"/>
  <c r="C48" i="48"/>
  <c r="J48" i="48" s="1"/>
  <c r="C14" i="48"/>
  <c r="J18" i="48"/>
  <c r="C43" i="48"/>
  <c r="J42" i="48"/>
  <c r="AO22" i="79"/>
  <c r="N13" i="16"/>
  <c r="AO22" i="84" s="1"/>
  <c r="E19" i="16"/>
  <c r="K14" i="48"/>
  <c r="D8" i="48"/>
  <c r="K8" i="48" s="1"/>
  <c r="M14" i="48"/>
  <c r="F8" i="48"/>
  <c r="M8" i="48" s="1"/>
  <c r="C41" i="47"/>
  <c r="C43" i="47" s="1"/>
  <c r="J43" i="47" s="1"/>
  <c r="J40" i="47"/>
  <c r="K43" i="48"/>
  <c r="G38" i="48"/>
  <c r="M41" i="47"/>
  <c r="E38" i="48"/>
  <c r="K41" i="47"/>
  <c r="C19" i="48"/>
  <c r="J19" i="48" s="1"/>
  <c r="J34" i="48"/>
  <c r="M38" i="48" l="1"/>
  <c r="F34" i="48"/>
  <c r="L38" i="48"/>
  <c r="E34" i="48"/>
  <c r="J43" i="48"/>
  <c r="C44" i="48"/>
  <c r="G34" i="48"/>
  <c r="N38" i="48"/>
  <c r="D38" i="48"/>
  <c r="J41" i="47"/>
  <c r="J14" i="48"/>
  <c r="C8" i="48"/>
  <c r="J8" i="48" s="1"/>
  <c r="M34" i="48" l="1"/>
  <c r="F19" i="48"/>
  <c r="M19" i="48" s="1"/>
  <c r="F44" i="48"/>
  <c r="M44" i="48" s="1"/>
  <c r="N34" i="48"/>
  <c r="G19" i="48"/>
  <c r="N19" i="48" s="1"/>
  <c r="G44" i="48"/>
  <c r="N44" i="48" s="1"/>
  <c r="E19" i="48"/>
  <c r="L19" i="48" s="1"/>
  <c r="L34" i="48"/>
  <c r="E44" i="48"/>
  <c r="L44" i="48" s="1"/>
  <c r="D34" i="48"/>
  <c r="K38" i="48"/>
  <c r="J44" i="48"/>
  <c r="C46" i="48"/>
  <c r="K34" i="48" l="1"/>
  <c r="D19" i="48"/>
  <c r="K19" i="48" s="1"/>
  <c r="D44" i="48"/>
  <c r="AE18" i="67"/>
  <c r="J46" i="48"/>
  <c r="AE18" i="85" s="1"/>
  <c r="D45" i="48"/>
  <c r="AF17" i="67" l="1"/>
  <c r="K45" i="48"/>
  <c r="AF17" i="85" s="1"/>
  <c r="K44" i="48"/>
  <c r="D46" i="48"/>
  <c r="E45" i="48" l="1"/>
  <c r="K46" i="48"/>
  <c r="AF18" i="85" s="1"/>
  <c r="AF18" i="67"/>
  <c r="AG17" i="67" l="1"/>
  <c r="L45" i="48"/>
  <c r="AG17" i="85" s="1"/>
  <c r="E46" i="48"/>
  <c r="L46" i="48" l="1"/>
  <c r="AG18" i="85" s="1"/>
  <c r="F45" i="48"/>
  <c r="AG18" i="67"/>
  <c r="AH17" i="67" l="1"/>
  <c r="F46" i="48"/>
  <c r="M45" i="48"/>
  <c r="AH17" i="85" s="1"/>
  <c r="M46" i="48" l="1"/>
  <c r="AH18" i="85" s="1"/>
  <c r="G45" i="48"/>
  <c r="AH18" i="67"/>
  <c r="N45" i="48" l="1"/>
  <c r="AI17" i="85" s="1"/>
  <c r="G46" i="48"/>
  <c r="AI17" i="67"/>
  <c r="N46" i="48" l="1"/>
  <c r="AI18" i="85" s="1"/>
  <c r="AI18" i="67"/>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sharedStrings.xml><?xml version="1.0" encoding="utf-8"?>
<sst xmlns="http://schemas.openxmlformats.org/spreadsheetml/2006/main" count="7501" uniqueCount="1991">
  <si>
    <t>Приложение № 2</t>
  </si>
  <si>
    <t>№</t>
  </si>
  <si>
    <t>Описание на параметъра</t>
  </si>
  <si>
    <t>F1</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</si>
  <si>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</si>
  <si>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</si>
  <si>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</si>
  <si>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</si>
  <si>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</si>
  <si>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</si>
  <si>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</si>
  <si>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</si>
  <si>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</si>
  <si>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</si>
  <si>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</si>
  <si>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</si>
  <si>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</si>
  <si>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</si>
  <si>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</si>
  <si>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</si>
  <si>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</si>
  <si>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</si>
  <si>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</si>
  <si>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</si>
  <si>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</si>
  <si>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</si>
  <si>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</si>
  <si>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</si>
  <si>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</si>
  <si>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</si>
  <si>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</si>
  <si>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</si>
  <si>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</si>
  <si>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</si>
  <si>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</si>
  <si>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</si>
  <si>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</si>
  <si>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</si>
  <si>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</si>
  <si>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</si>
  <si>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</si>
  <si>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</si>
  <si>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</si>
  <si>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</si>
  <si>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</si>
  <si>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</si>
  <si>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</si>
  <si>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</si>
  <si>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</si>
  <si>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</si>
  <si>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</si>
  <si>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</si>
  <si>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</si>
  <si>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</si>
  <si>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</si>
  <si>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</si>
  <si>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</si>
  <si>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</si>
  <si>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</si>
  <si>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</si>
  <si>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</si>
  <si>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</si>
  <si>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</si>
  <si>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</si>
  <si>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</si>
  <si>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</si>
  <si>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</si>
  <si>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</si>
  <si>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</si>
  <si>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</si>
  <si>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</si>
  <si>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</si>
  <si>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</si>
  <si>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</si>
  <si>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</si>
  <si>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</si>
  <si>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</si>
  <si>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</si>
  <si>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</si>
  <si>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</si>
  <si>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</si>
  <si>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</si>
  <si>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</si>
  <si>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</si>
  <si>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</si>
  <si>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</si>
  <si>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</si>
  <si>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</si>
  <si>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</si>
  <si>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</si>
  <si>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</si>
  <si>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</si>
  <si>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</si>
  <si>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</si>
  <si>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</si>
  <si>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</si>
  <si>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</si>
  <si>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</si>
  <si>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</si>
  <si>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</si>
  <si>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</si>
  <si>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</si>
  <si>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</si>
  <si>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</si>
  <si>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</si>
  <si>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</si>
  <si>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</si>
  <si>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</si>
  <si>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</si>
  <si>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</si>
  <si>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</si>
  <si>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</si>
  <si>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</si>
  <si>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</si>
  <si>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</si>
  <si>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</si>
  <si>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</si>
  <si>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</si>
  <si>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</si>
  <si>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</si>
  <si>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</si>
  <si>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</si>
  <si>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</si>
  <si>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</si>
  <si>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</si>
  <si>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</si>
  <si>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</si>
  <si>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</si>
  <si>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</si>
  <si>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</si>
  <si>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</si>
  <si>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</si>
  <si>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</si>
  <si>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</si>
  <si>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</si>
  <si>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</si>
  <si>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</si>
  <si>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</si>
  <si>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</si>
  <si>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</si>
  <si>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</si>
  <si>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</si>
  <si>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</si>
  <si>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</si>
  <si>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</si>
  <si>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</si>
  <si>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</si>
  <si>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</si>
  <si>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</si>
  <si>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</si>
  <si>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</si>
  <si>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</si>
  <si>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</si>
  <si>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</si>
  <si>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</si>
  <si>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</si>
  <si>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</si>
  <si>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</si>
  <si>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</si>
  <si>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</si>
  <si>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</si>
  <si>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</si>
  <si>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</si>
  <si>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</si>
  <si>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</si>
  <si>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</si>
  <si>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</si>
  <si>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</si>
  <si>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</si>
  <si>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</si>
  <si>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</si>
  <si>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</si>
  <si>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</si>
  <si>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</si>
  <si>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</si>
  <si>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</si>
  <si>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</si>
  <si>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</si>
  <si>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</si>
  <si>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</si>
  <si>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</si>
  <si>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</si>
  <si>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</si>
  <si>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</si>
  <si>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</si>
  <si>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</si>
  <si>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</si>
  <si>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</si>
  <si>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</si>
  <si>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</si>
  <si>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</si>
  <si>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</si>
  <si>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</si>
  <si>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</si>
  <si>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</si>
  <si>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</si>
  <si>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</si>
  <si>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</si>
  <si>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</si>
  <si>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</si>
  <si>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</si>
  <si>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</si>
  <si>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</si>
  <si>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</si>
  <si>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</si>
  <si>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</si>
  <si>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</si>
  <si>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</si>
  <si>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</si>
  <si>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</si>
  <si>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</si>
  <si>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</si>
  <si>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</si>
  <si>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</si>
  <si>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</si>
  <si>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</si>
  <si>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</si>
  <si>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</si>
  <si>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</si>
  <si>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</si>
  <si>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</si>
  <si>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</si>
  <si>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</si>
  <si>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</si>
  <si>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</si>
  <si>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</si>
  <si>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</si>
  <si>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</si>
  <si>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</si>
  <si>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</si>
  <si>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</si>
  <si>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</si>
  <si>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</si>
  <si>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</si>
  <si>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</si>
  <si>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</si>
  <si>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</si>
  <si>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</si>
  <si>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</si>
  <si>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</si>
  <si>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</si>
  <si>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</si>
  <si>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</si>
  <si>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</si>
  <si>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</si>
  <si>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</si>
  <si>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</si>
  <si>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</si>
  <si>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</si>
  <si>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</si>
  <si>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</si>
  <si>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</si>
  <si>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</si>
  <si>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</si>
  <si>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</si>
  <si>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</si>
  <si>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</si>
  <si>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</si>
  <si>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</si>
  <si>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</si>
  <si>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</si>
  <si>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</si>
  <si>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</si>
  <si>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</si>
  <si>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</si>
  <si>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</si>
  <si>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</si>
  <si>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</si>
  <si>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</si>
  <si>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</si>
  <si>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</si>
  <si>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</si>
  <si>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</si>
  <si>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</si>
  <si>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</si>
  <si>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</si>
  <si>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</si>
  <si>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</si>
  <si>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</si>
  <si>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</si>
  <si>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</si>
  <si>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</si>
  <si>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</si>
  <si>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</si>
  <si>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</si>
  <si>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</si>
  <si>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</si>
  <si>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</si>
  <si>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</si>
  <si>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</si>
  <si>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</si>
  <si>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</si>
  <si>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</si>
  <si>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</si>
  <si>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</si>
  <si>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</si>
  <si>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</si>
  <si>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</si>
  <si>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</si>
  <si>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</si>
  <si>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</si>
  <si>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</si>
  <si>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</si>
  <si>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</si>
  <si>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</si>
  <si>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</si>
  <si>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</si>
  <si>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</si>
  <si>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</si>
  <si>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</si>
  <si>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</si>
  <si>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</si>
  <si>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</si>
  <si>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</si>
  <si>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</si>
  <si>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</si>
  <si>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</si>
  <si>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</si>
  <si>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</si>
  <si>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</si>
  <si>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</si>
  <si>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</si>
  <si>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</si>
  <si>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</si>
  <si>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</si>
  <si>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</si>
  <si>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</si>
  <si>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</si>
  <si>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</si>
  <si>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</si>
  <si>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</si>
  <si>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</si>
  <si>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</si>
  <si>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</si>
  <si>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</si>
  <si>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</si>
  <si>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</si>
  <si>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</si>
  <si>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</si>
  <si>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</si>
  <si>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</si>
  <si>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</si>
  <si>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</si>
  <si>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</si>
  <si>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</si>
  <si>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</si>
  <si>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</si>
  <si>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</si>
  <si>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</si>
  <si>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</si>
  <si>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</si>
  <si>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</si>
  <si>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</si>
  <si>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</si>
  <si>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</si>
  <si>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</si>
  <si>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</si>
  <si>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</si>
  <si>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</si>
  <si>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</si>
  <si>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</si>
  <si>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</si>
  <si>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</si>
  <si>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</si>
  <si>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</si>
  <si>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</si>
  <si>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</si>
  <si>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</si>
  <si>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</si>
  <si>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</si>
  <si>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</si>
  <si>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</si>
  <si>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</si>
  <si>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</si>
  <si>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</si>
  <si>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</si>
  <si>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</si>
  <si>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</si>
  <si>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</si>
  <si>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</si>
  <si>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</si>
  <si>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</si>
  <si>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</si>
  <si>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</si>
  <si>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</si>
  <si>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</si>
  <si>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</si>
  <si>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</si>
  <si>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</si>
  <si>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</si>
  <si>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</si>
  <si>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</si>
  <si>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</si>
  <si>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</si>
  <si>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</si>
  <si>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</si>
  <si>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</si>
  <si>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</si>
  <si>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</si>
  <si>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</si>
  <si>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</si>
  <si>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</si>
  <si>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</si>
  <si>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</si>
  <si>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</si>
  <si>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</si>
  <si>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</si>
  <si>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</si>
  <si>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</si>
  <si>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</si>
  <si>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</si>
  <si>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</si>
  <si>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</si>
  <si>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</si>
  <si>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</si>
  <si>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</si>
  <si>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</si>
  <si>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</si>
  <si>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</si>
  <si>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</si>
  <si>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</si>
  <si>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</si>
  <si>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</si>
  <si>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</si>
  <si>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</si>
  <si>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</si>
  <si>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</si>
  <si>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</si>
  <si>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</si>
  <si>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</si>
  <si>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</si>
  <si>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</si>
  <si>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</si>
  <si>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</si>
  <si>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</si>
  <si>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</si>
  <si>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</si>
  <si>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</si>
  <si>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</si>
  <si>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</si>
  <si>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</si>
  <si>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</si>
  <si>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</si>
  <si>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</si>
  <si>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</si>
  <si>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</si>
  <si>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</si>
  <si>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</si>
  <si>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</si>
  <si>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</si>
  <si>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</si>
  <si>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</si>
  <si>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</si>
  <si>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</si>
  <si>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</si>
  <si>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</si>
  <si>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</si>
  <si>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</si>
  <si>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</si>
  <si>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</si>
  <si>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</si>
  <si>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</si>
  <si>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</si>
  <si>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</si>
  <si>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</si>
  <si>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</si>
  <si>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</si>
  <si>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</si>
  <si>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</si>
  <si>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</si>
  <si>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</si>
  <si>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</si>
  <si>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</si>
  <si>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</si>
  <si>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</si>
  <si>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</si>
  <si>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</si>
  <si>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</si>
  <si>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</si>
  <si>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</si>
  <si>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</si>
  <si>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</si>
  <si>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</si>
  <si>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</si>
  <si>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</si>
  <si>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</si>
  <si>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</si>
  <si>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</si>
  <si>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</si>
  <si>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</si>
  <si>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</si>
  <si>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</si>
  <si>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</si>
  <si>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</si>
  <si>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</si>
  <si>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</si>
  <si>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</si>
  <si>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</si>
  <si>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</si>
  <si>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</si>
  <si>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</si>
  <si>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</si>
  <si>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</si>
  <si>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</si>
  <si>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</si>
  <si>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</si>
  <si>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</si>
  <si>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</si>
  <si>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</si>
  <si>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</si>
  <si>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</si>
  <si>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</si>
  <si>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</si>
  <si>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</si>
  <si>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</si>
  <si>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</si>
  <si>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</si>
  <si>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</si>
  <si>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</si>
  <si>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</si>
  <si>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</si>
  <si>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</si>
  <si>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</si>
  <si>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</si>
  <si>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</si>
  <si>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</si>
  <si>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</si>
  <si>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</si>
  <si>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</si>
  <si>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</si>
  <si>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</si>
  <si>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</si>
  <si>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</si>
  <si>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</si>
  <si>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</si>
  <si>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</si>
  <si>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</si>
  <si>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</si>
  <si>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</si>
  <si>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</si>
  <si>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</si>
  <si>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</si>
  <si>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</si>
  <si>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</si>
  <si>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</si>
  <si>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</si>
  <si>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</si>
  <si>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</si>
  <si>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</si>
  <si>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</si>
  <si>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</si>
  <si>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</si>
  <si>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</si>
  <si>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</si>
  <si>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</si>
  <si>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</si>
  <si>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</si>
  <si>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</si>
  <si>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</si>
  <si>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</si>
  <si>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</si>
  <si>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</si>
  <si>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</si>
  <si>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</si>
  <si>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</si>
  <si>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</si>
  <si>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</si>
  <si>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</si>
  <si>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</si>
  <si>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</si>
  <si>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</si>
  <si>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</si>
  <si>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</si>
  <si>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</si>
  <si>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</si>
  <si>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</si>
  <si>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</si>
  <si>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</si>
  <si>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</si>
  <si>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</si>
  <si>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</si>
  <si>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</si>
  <si>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</si>
  <si>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</si>
  <si>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</si>
  <si>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</si>
  <si>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</si>
  <si>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</si>
  <si>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</si>
  <si>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</si>
  <si>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</si>
  <si>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</si>
  <si>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</si>
  <si>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</si>
  <si>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</si>
  <si>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</si>
  <si>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</si>
  <si>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</si>
  <si>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</si>
  <si>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</si>
  <si>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</si>
  <si>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</si>
  <si>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</si>
  <si>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</si>
  <si>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</si>
  <si>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</si>
  <si>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</si>
  <si>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</si>
  <si>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</si>
  <si>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</si>
  <si>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</si>
  <si>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</si>
  <si>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</si>
  <si>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</si>
  <si>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</si>
  <si>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</si>
  <si>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</si>
  <si>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</si>
  <si>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</si>
  <si>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</si>
  <si>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</si>
  <si>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</si>
  <si>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</si>
  <si>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</si>
  <si>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</si>
  <si>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</si>
  <si>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</si>
  <si>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</si>
  <si>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</si>
  <si>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</si>
  <si>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</si>
  <si>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</si>
  <si>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</si>
  <si>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</si>
  <si>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</si>
  <si>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</si>
  <si>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</si>
  <si>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</si>
  <si>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</si>
  <si>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</si>
  <si>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</si>
  <si>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</si>
  <si>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</si>
  <si>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</si>
  <si>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</si>
  <si>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</si>
  <si>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</si>
  <si>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</si>
  <si>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</si>
  <si>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</si>
  <si>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</si>
  <si>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</si>
  <si>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</si>
  <si>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</si>
  <si>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</si>
  <si>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</si>
  <si>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</si>
  <si>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</si>
  <si>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</si>
  <si>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</si>
  <si>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</si>
  <si>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</si>
  <si>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</si>
  <si>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</si>
  <si>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</si>
  <si>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</si>
  <si>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</si>
  <si>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</si>
  <si>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</si>
  <si>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</si>
  <si>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</si>
  <si>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</si>
  <si>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</si>
  <si>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</si>
  <si>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</si>
  <si>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</si>
  <si>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</si>
  <si>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</si>
  <si>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</si>
  <si>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</si>
  <si>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</si>
  <si>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</si>
  <si>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</si>
  <si>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</si>
  <si>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</si>
  <si>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</si>
  <si>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</si>
  <si>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</si>
  <si>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</si>
  <si>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</si>
  <si>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</si>
  <si>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</si>
  <si>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</si>
  <si>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</si>
  <si>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</si>
  <si>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</si>
  <si>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</si>
  <si>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</si>
  <si>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</si>
  <si>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</si>
  <si>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</si>
  <si>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</si>
  <si>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</si>
  <si>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</si>
  <si>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</si>
  <si>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</si>
  <si>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</si>
  <si>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</si>
  <si>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</si>
  <si>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</si>
  <si>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</si>
  <si>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</si>
  <si>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</si>
  <si>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</si>
  <si>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</si>
  <si>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</si>
  <si>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</si>
  <si>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</si>
  <si>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</si>
  <si>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</si>
  <si>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</si>
  <si>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</si>
  <si>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</si>
  <si>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</si>
  <si>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</si>
  <si>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</si>
  <si>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</si>
  <si>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</si>
  <si>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</si>
  <si>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</si>
  <si>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</si>
  <si>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</si>
  <si>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</si>
  <si>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</si>
  <si>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</si>
  <si>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</si>
  <si>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</si>
  <si>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</si>
  <si>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</si>
  <si>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</si>
  <si>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</si>
  <si>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</si>
  <si>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</si>
  <si>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</si>
  <si>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</si>
  <si>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</si>
  <si>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</si>
  <si>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</si>
  <si>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</si>
  <si>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</si>
  <si>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</si>
  <si>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</si>
  <si>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</si>
  <si>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</si>
  <si>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</si>
  <si>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</si>
  <si>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</si>
  <si>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</si>
  <si>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</si>
  <si>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</si>
  <si>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</si>
  <si>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</si>
  <si>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</si>
  <si>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</si>
  <si>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</si>
  <si>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</si>
  <si>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</si>
  <si>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</si>
  <si>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</si>
  <si>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</si>
  <si>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</si>
  <si>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</si>
  <si>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</si>
  <si>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</si>
  <si>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</si>
  <si>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</si>
  <si>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</si>
  <si>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</si>
  <si>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</si>
  <si>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</si>
  <si>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</si>
  <si>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</si>
  <si>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</si>
  <si>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</si>
  <si>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</si>
  <si>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</si>
  <si>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</si>
  <si>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</si>
  <si>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</si>
  <si>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</si>
  <si>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</si>
  <si>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</si>
  <si>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</si>
  <si>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</si>
  <si>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</si>
  <si>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</si>
  <si>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</si>
  <si>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</si>
  <si>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</si>
  <si>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</si>
  <si>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</si>
  <si>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</si>
  <si>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</si>
  <si>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</si>
  <si>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</si>
  <si>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</si>
  <si>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</si>
  <si>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</si>
  <si>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</si>
  <si>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</si>
  <si>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</si>
  <si>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</si>
  <si>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</si>
  <si>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</si>
  <si>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</si>
  <si>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</si>
  <si>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</si>
  <si>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</si>
  <si>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</si>
  <si>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</si>
  <si>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</si>
  <si>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</si>
  <si>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</si>
  <si>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</si>
  <si>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</si>
  <si>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</si>
  <si>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</si>
  <si>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</si>
  <si>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</si>
  <si>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</si>
  <si>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</si>
  <si>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</si>
  <si>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</si>
  <si>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</si>
  <si>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</si>
  <si>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</si>
  <si>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</si>
  <si>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</si>
  <si>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</si>
  <si>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</si>
  <si>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</si>
  <si>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</si>
  <si>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</si>
  <si>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</si>
  <si>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</si>
  <si>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</si>
  <si>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</si>
  <si>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</si>
  <si>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</si>
  <si>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</si>
  <si>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</si>
  <si>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</si>
  <si>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</si>
  <si>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</si>
  <si>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</si>
  <si>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</si>
  <si>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</si>
  <si>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</si>
  <si>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</si>
  <si>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</si>
  <si>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</si>
  <si>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</si>
  <si>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</si>
  <si>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</si>
  <si>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</si>
  <si>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</si>
  <si>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</si>
  <si>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</si>
  <si>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</si>
  <si>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</si>
  <si>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</si>
  <si>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</si>
  <si>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</si>
  <si>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</si>
  <si>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</si>
  <si>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</si>
  <si>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</si>
  <si>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</si>
  <si>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</si>
  <si>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</si>
  <si>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</si>
  <si>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</si>
  <si>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</si>
  <si>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</si>
  <si>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</si>
  <si>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</si>
  <si>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</si>
  <si>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</si>
  <si>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</si>
  <si>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</si>
  <si>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</si>
  <si>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</si>
  <si>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</si>
  <si>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</si>
  <si>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</si>
  <si>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</si>
  <si>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</si>
  <si>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</si>
  <si>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</si>
  <si>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</si>
  <si>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</si>
  <si>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</si>
  <si>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</si>
  <si>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</si>
  <si>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</si>
  <si>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</si>
  <si>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</si>
  <si>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</si>
  <si>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</si>
  <si>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</si>
  <si>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</si>
  <si>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</si>
  <si>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</si>
  <si>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</si>
  <si>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</si>
  <si>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</si>
  <si>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</si>
  <si>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</si>
  <si>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</si>
  <si>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</si>
  <si>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</si>
  <si>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</si>
  <si>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</si>
  <si>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</si>
  <si>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</si>
  <si>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</si>
  <si>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</si>
  <si>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</si>
  <si>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</si>
  <si>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</si>
  <si>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</si>
  <si>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</si>
  <si>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</si>
  <si>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</si>
  <si>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</si>
  <si>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</si>
  <si>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</si>
  <si>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</si>
  <si>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</si>
  <si>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</si>
  <si>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</si>
  <si>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</si>
  <si>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</si>
  <si>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</si>
  <si>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</si>
  <si>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</si>
  <si>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</si>
  <si>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</si>
  <si>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</si>
  <si>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</si>
  <si>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</si>
  <si>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</si>
  <si>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</si>
  <si>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</si>
  <si>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</si>
  <si>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</si>
  <si>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</si>
  <si>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</si>
  <si>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</si>
  <si>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</si>
  <si>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</si>
  <si>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</si>
  <si>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</si>
  <si>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</si>
  <si>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</si>
  <si>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</si>
  <si>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</si>
  <si>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</si>
  <si>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</si>
  <si>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</si>
  <si>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</si>
  <si>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</si>
  <si>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</si>
  <si>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</si>
  <si>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</si>
  <si>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</si>
  <si>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</si>
  <si>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</si>
  <si>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</si>
  <si>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</si>
  <si>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</si>
  <si>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</si>
  <si>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</si>
  <si>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</si>
  <si>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</si>
  <si>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</si>
  <si>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</si>
  <si>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</si>
  <si>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</si>
  <si>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</si>
  <si>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</si>
  <si>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</si>
  <si>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</si>
  <si>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</si>
  <si>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</si>
  <si>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</si>
  <si>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</si>
  <si>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</si>
  <si>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</si>
  <si>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</si>
  <si>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</si>
  <si>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</si>
  <si>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</si>
  <si>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</si>
  <si>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</si>
  <si>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</si>
  <si>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</si>
  <si>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</si>
  <si>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</si>
  <si>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</si>
  <si>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</si>
  <si>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</si>
  <si>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</si>
  <si>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</si>
  <si>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</si>
  <si>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</si>
  <si>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</si>
  <si>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</si>
  <si>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</si>
  <si>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</si>
  <si>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</si>
  <si>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</si>
  <si>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</si>
  <si>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</si>
  <si>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</si>
  <si>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</si>
  <si>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</si>
  <si>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</si>
  <si>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</si>
  <si>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</si>
  <si>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</si>
  <si>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</si>
  <si>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</si>
  <si>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</si>
  <si>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</si>
  <si>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</si>
  <si>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</si>
  <si>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</si>
  <si>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</si>
  <si>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</si>
  <si>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</si>
  <si>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</si>
  <si>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</si>
  <si>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</si>
  <si>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</si>
  <si>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</si>
  <si>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</si>
  <si>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</si>
  <si>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</si>
  <si>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</si>
  <si>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</si>
  <si>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</si>
  <si>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</si>
  <si>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</si>
  <si>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</si>
  <si>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</si>
  <si>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</si>
  <si>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</si>
  <si>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</si>
  <si>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</si>
  <si>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</si>
  <si>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</si>
  <si>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</si>
  <si>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</si>
  <si>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</si>
  <si>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</si>
  <si>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</si>
  <si>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</si>
  <si>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</si>
  <si>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</si>
  <si>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</si>
  <si>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</si>
  <si>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</si>
  <si>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</si>
  <si>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</si>
  <si>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</si>
  <si>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</si>
  <si>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</si>
  <si>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</si>
  <si>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</si>
  <si>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</si>
  <si>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</si>
  <si>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</si>
  <si>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</si>
  <si>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</si>
  <si>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</si>
  <si>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</si>
  <si>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</si>
  <si>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</si>
  <si>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</si>
  <si>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</si>
  <si>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</si>
  <si>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</si>
  <si>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</si>
  <si>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</si>
  <si>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</si>
  <si>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</si>
  <si>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</si>
  <si>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</si>
  <si>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</si>
  <si>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</si>
  <si>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</si>
  <si>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</si>
  <si>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</si>
  <si>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</si>
  <si>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</si>
  <si>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</si>
  <si>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</si>
  <si>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</si>
  <si>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</si>
  <si>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</si>
  <si>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</si>
  <si>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</si>
  <si>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</si>
  <si>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</si>
  <si>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</si>
  <si>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</si>
  <si>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</si>
  <si>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</si>
  <si>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</si>
  <si>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</si>
  <si>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</si>
  <si>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</si>
  <si>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</si>
  <si>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</si>
  <si>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</si>
  <si>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</si>
  <si>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</si>
  <si>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</si>
  <si>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</si>
  <si>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</si>
  <si>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</si>
  <si>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</si>
  <si>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</si>
  <si>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</si>
  <si>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</si>
  <si>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</si>
  <si>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</si>
  <si>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</si>
  <si>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</si>
  <si>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</si>
  <si>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</si>
  <si>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</si>
  <si>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</si>
  <si>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</si>
  <si>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</si>
  <si>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</si>
  <si>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</si>
  <si>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</si>
  <si>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</si>
  <si>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</si>
  <si>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</si>
  <si>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</si>
  <si>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</si>
  <si>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</si>
  <si>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</si>
  <si>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</si>
  <si>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</si>
  <si>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</si>
  <si>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</si>
  <si>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</si>
  <si>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</si>
  <si>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</si>
  <si>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</si>
  <si>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</si>
  <si>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</si>
  <si>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</si>
  <si>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</si>
  <si>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</si>
  <si>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</si>
  <si>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</si>
  <si>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</si>
  <si>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</si>
  <si>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</si>
  <si>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</si>
  <si>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</si>
  <si>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</si>
  <si>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</si>
  <si>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</si>
  <si>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</si>
  <si>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</si>
  <si>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</si>
  <si>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</si>
  <si>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</si>
  <si>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</si>
  <si>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</si>
  <si>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</si>
  <si>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</si>
  <si>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</si>
  <si>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</si>
  <si>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</si>
  <si>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</si>
  <si>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</si>
  <si>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Произведени утайки през годината</t>
  </si>
  <si>
    <t>Доставяне на вода nа друг ВиК оператор</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</si>
  <si>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</si>
  <si>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</si>
  <si>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</si>
  <si>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</si>
  <si>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</si>
  <si>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</si>
  <si>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</si>
  <si>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</si>
  <si>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</si>
  <si>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</si>
  <si>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</si>
  <si>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</si>
  <si>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</si>
  <si>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</si>
  <si>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</si>
  <si>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</si>
  <si>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</si>
  <si>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</si>
  <si>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</si>
  <si>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</si>
  <si>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</si>
  <si>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</si>
  <si>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</si>
  <si>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</si>
  <si>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</si>
  <si>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</si>
  <si>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</si>
  <si>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</si>
  <si>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</si>
  <si>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</si>
  <si>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</si>
  <si>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</si>
  <si>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</si>
  <si>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</si>
  <si>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</si>
  <si>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</si>
  <si>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</si>
  <si>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</si>
  <si>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</si>
  <si>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</si>
  <si>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</si>
  <si>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</si>
  <si>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</si>
  <si>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</si>
  <si>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</si>
  <si>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</si>
  <si>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</si>
  <si>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</si>
  <si>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</si>
  <si>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</si>
  <si>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</si>
  <si>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</si>
  <si>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</si>
  <si>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</si>
  <si>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</si>
  <si>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</si>
  <si>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</si>
  <si>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</si>
  <si>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</si>
  <si>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</si>
  <si>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</si>
  <si>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</si>
  <si>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</si>
  <si>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</si>
  <si>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</si>
  <si>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</si>
  <si>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</si>
  <si>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</si>
  <si>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</si>
  <si>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</si>
  <si>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</si>
  <si>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</si>
  <si>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</si>
  <si>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</si>
  <si>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</si>
  <si>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</si>
  <si>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</si>
  <si>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</si>
  <si>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</si>
  <si>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</si>
  <si>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</si>
  <si>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</si>
  <si>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</si>
  <si>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</si>
  <si>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</si>
  <si>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</si>
  <si>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</si>
  <si>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</si>
  <si>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</si>
  <si>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</si>
  <si>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</si>
  <si>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</si>
  <si>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</si>
  <si>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</si>
  <si>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</si>
  <si>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</si>
  <si>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</si>
  <si>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</si>
  <si>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</si>
  <si>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</si>
  <si>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</si>
  <si>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</si>
  <si>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</si>
  <si>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</si>
  <si>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</si>
  <si>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</si>
  <si>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</si>
  <si>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</si>
  <si>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</si>
  <si>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</si>
  <si>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</si>
  <si>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</si>
  <si>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</si>
  <si>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</si>
  <si>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</si>
  <si>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</si>
  <si>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</si>
  <si>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</si>
  <si>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</si>
  <si>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</si>
  <si>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</si>
  <si>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</si>
  <si>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</si>
  <si>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</si>
  <si>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</si>
  <si>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</si>
  <si>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</si>
  <si>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</si>
  <si>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</si>
  <si>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</si>
  <si>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</si>
  <si>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</si>
  <si>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</si>
  <si>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</si>
  <si>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отчет</t>
  </si>
  <si>
    <t>разчет</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</si>
  <si>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</si>
  <si>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</si>
  <si>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</si>
  <si>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</si>
  <si>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</si>
  <si>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</si>
  <si>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</si>
  <si>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</si>
  <si>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</si>
  <si>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</si>
  <si>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</si>
  <si>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</si>
  <si>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</si>
  <si>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</si>
  <si>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</si>
  <si>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</si>
  <si>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</si>
  <si>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</si>
  <si>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</si>
  <si>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</si>
  <si>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</si>
  <si>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</si>
  <si>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</si>
  <si>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</si>
  <si>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</si>
  <si>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</si>
  <si>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</si>
  <si>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</si>
  <si>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</si>
  <si>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</si>
  <si>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</si>
  <si>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</si>
  <si>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</si>
  <si>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</si>
  <si>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</si>
  <si>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</si>
  <si>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</si>
  <si>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</si>
  <si>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</si>
  <si>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</si>
  <si>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</si>
  <si>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</si>
  <si>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</si>
  <si>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</si>
  <si>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Справка № 9</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</si>
  <si>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</si>
  <si>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</si>
  <si>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</si>
  <si>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</si>
  <si>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</si>
  <si>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9.8.</t>
  </si>
  <si>
    <t>% за собствени активи</t>
  </si>
  <si>
    <t>9.9.</t>
  </si>
  <si>
    <t>% за публични активи</t>
  </si>
  <si>
    <t>10.8.</t>
  </si>
  <si>
    <t>10.9.</t>
  </si>
  <si>
    <t>11.8.</t>
  </si>
  <si>
    <t>11.9.</t>
  </si>
  <si>
    <t>Група ВиК оператор</t>
  </si>
  <si>
    <t>Малък ВиК оператор</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</si>
  <si>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</si>
  <si>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</si>
  <si>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</si>
  <si>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</si>
  <si>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</si>
  <si>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</si>
  <si>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</si>
  <si>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</si>
  <si>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</si>
  <si>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</si>
  <si>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</si>
  <si>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</si>
  <si>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</si>
  <si>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</si>
  <si>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</si>
  <si>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</si>
  <si>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</si>
  <si>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</si>
  <si>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</si>
  <si>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</si>
  <si>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</si>
  <si>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</si>
  <si>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</si>
  <si>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</si>
  <si>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</si>
  <si>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</si>
  <si>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</si>
  <si>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</si>
  <si>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</si>
  <si>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</si>
  <si>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</si>
  <si>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</si>
  <si>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</si>
  <si>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</si>
  <si>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</si>
  <si>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</si>
  <si>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</si>
  <si>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</si>
  <si>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</si>
  <si>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</si>
  <si>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</si>
  <si>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</si>
  <si>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</si>
  <si>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</si>
  <si>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</si>
  <si>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</si>
  <si>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</si>
  <si>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</si>
  <si>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</si>
  <si>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</si>
  <si>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</si>
  <si>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</si>
  <si>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</si>
  <si>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</si>
  <si>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</si>
  <si>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</si>
  <si>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</si>
  <si>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</si>
  <si>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</si>
  <si>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</si>
  <si>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</si>
  <si>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</si>
  <si>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</si>
  <si>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</si>
  <si>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</si>
  <si>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</si>
  <si>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</si>
  <si>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</si>
  <si>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</si>
  <si>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</si>
  <si>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</si>
  <si>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</si>
  <si>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</si>
  <si>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</si>
  <si>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</si>
  <si>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</si>
  <si>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</si>
  <si>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</si>
  <si>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</si>
  <si>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</si>
  <si>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</si>
  <si>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</si>
  <si>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</si>
  <si>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</si>
  <si>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</si>
  <si>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</si>
  <si>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</si>
  <si>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</si>
  <si>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 xml:space="preserve">3. В колона „Заеми“ се посочват инвестициите планирани от дружеството, които ще се финансират чрез заеми. </t>
  </si>
  <si>
    <t>1. Справката е резултативна.</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</si>
  <si>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</si>
  <si>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</si>
  <si>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</si>
  <si>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</si>
  <si>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</si>
  <si>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</si>
  <si>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</si>
  <si>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</si>
  <si>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</si>
  <si>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</si>
  <si>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</si>
  <si>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</si>
  <si>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</si>
  <si>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</si>
  <si>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</si>
  <si>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</si>
  <si>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</si>
  <si>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</si>
  <si>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</si>
  <si>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</si>
  <si>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</si>
  <si>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</si>
  <si>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</si>
  <si>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</si>
  <si>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</si>
  <si>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</si>
  <si>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</si>
  <si>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</si>
  <si>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</si>
  <si>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</si>
  <si>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</si>
  <si>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</si>
  <si>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</si>
  <si>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</si>
  <si>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</si>
  <si>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</si>
  <si>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</si>
  <si>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</si>
  <si>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</si>
  <si>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</si>
  <si>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</si>
  <si>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</si>
  <si>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</si>
  <si>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</si>
  <si>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</si>
  <si>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</si>
  <si>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</si>
  <si>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</si>
  <si>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</si>
  <si>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</si>
  <si>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</si>
  <si>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</si>
  <si>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</si>
  <si>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</si>
  <si>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</si>
  <si>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</si>
  <si>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</si>
  <si>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</si>
  <si>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</si>
  <si>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</si>
  <si>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</si>
  <si>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</si>
  <si>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</si>
  <si>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</si>
  <si>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</si>
  <si>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</si>
  <si>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</si>
  <si>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</si>
  <si>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</si>
  <si>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</si>
  <si>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r>
      <t>кВтч/м</t>
    </r>
    <r>
      <rPr>
        <b/>
        <vertAlign val="superscript"/>
        <sz val="8"/>
        <color rgb="FF1F497D"/>
        <rFont val="Times New Roman"/>
        <family val="1"/>
        <charset val="204"/>
      </rPr>
      <t>3</t>
    </r>
  </si>
  <si>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</si>
  <si>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</si>
  <si>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</si>
  <si>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</si>
  <si>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</si>
  <si>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</si>
  <si>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</si>
  <si>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</si>
  <si>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</si>
  <si>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</si>
  <si>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</si>
  <si>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</si>
  <si>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</si>
  <si>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</si>
  <si>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</si>
  <si>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</si>
  <si>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</si>
  <si>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</si>
  <si>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</si>
  <si>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</si>
  <si>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</si>
  <si>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</si>
  <si>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</si>
  <si>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</si>
  <si>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</si>
  <si>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</si>
  <si>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</si>
  <si>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</si>
  <si>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</si>
  <si>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</si>
  <si>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</si>
  <si>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</si>
  <si>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</si>
  <si>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</si>
  <si>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</si>
  <si>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</si>
  <si>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</si>
  <si>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</si>
  <si>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</si>
  <si>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</si>
  <si>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</si>
  <si>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</si>
  <si>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</si>
  <si>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</si>
  <si>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</si>
  <si>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</si>
  <si>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</si>
  <si>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</si>
  <si>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</si>
  <si>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</si>
  <si>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</si>
  <si>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</si>
  <si>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</si>
  <si>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</si>
  <si>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</si>
  <si>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</si>
  <si>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</si>
  <si>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</si>
  <si>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</si>
  <si>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</si>
  <si>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</si>
  <si>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</si>
  <si>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</si>
  <si>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</si>
  <si>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</si>
  <si>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</si>
  <si>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</si>
  <si>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</si>
  <si>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</si>
  <si>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</si>
  <si>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</si>
  <si>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</si>
  <si>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</si>
  <si>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</si>
  <si>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</si>
  <si>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</si>
  <si>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</si>
  <si>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</si>
  <si>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</si>
  <si>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</si>
  <si>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</si>
  <si>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</si>
  <si>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</si>
  <si>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</si>
  <si>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</si>
  <si>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</si>
  <si>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</si>
  <si>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</si>
  <si>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</si>
  <si>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</si>
  <si>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</si>
  <si>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</si>
  <si>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</si>
  <si>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</si>
  <si>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</si>
  <si>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</si>
  <si>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</si>
  <si>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</si>
  <si>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</si>
  <si>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</si>
  <si>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</si>
  <si>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</si>
  <si>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</si>
  <si>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</si>
  <si>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</si>
  <si>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</si>
  <si>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</si>
  <si>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</si>
  <si>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</si>
  <si>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</si>
  <si>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</si>
  <si>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</si>
  <si>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</si>
  <si>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</si>
  <si>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</si>
  <si>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</si>
  <si>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</si>
  <si>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ПРЕКИ РАЗХОДИ</t>
  </si>
  <si>
    <t>разходи за административна дейност</t>
  </si>
  <si>
    <t>НЕПРЕКИ РАЗХОДИ, в т.ч.:</t>
  </si>
  <si>
    <t>Оперативни разходи</t>
  </si>
  <si>
    <t>ОБЩО РАЗХОДИ за оперативен ремонт</t>
  </si>
  <si>
    <t>Бъдещи нови активи и/ или дейности (хил.лв.)</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</si>
  <si>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</si>
  <si>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</si>
  <si>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</si>
  <si>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</si>
  <si>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</si>
  <si>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</si>
  <si>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</si>
  <si>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</si>
  <si>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</si>
  <si>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</si>
  <si>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</si>
  <si>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</si>
  <si>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</si>
  <si>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</si>
  <si>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</si>
  <si>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</si>
  <si>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</si>
  <si>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</si>
  <si>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</si>
  <si>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</si>
  <si>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</si>
  <si>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</si>
  <si>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</si>
  <si>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</si>
  <si>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</si>
  <si>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</si>
  <si>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</si>
  <si>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</si>
  <si>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</si>
  <si>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</si>
  <si>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</si>
  <si>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</si>
  <si>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</si>
  <si>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</si>
  <si>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</si>
  <si>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</si>
  <si>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</si>
  <si>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</si>
  <si>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</si>
  <si>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</si>
  <si>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</si>
  <si>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</si>
  <si>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</si>
  <si>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</si>
  <si>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</si>
  <si>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</si>
  <si>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</si>
  <si>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</si>
  <si>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</si>
  <si>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</si>
  <si>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</si>
  <si>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</si>
  <si>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</si>
  <si>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</si>
  <si>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куб.м/мес. на 1 чов.</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</si>
  <si>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</si>
  <si>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</si>
  <si>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</si>
  <si>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</si>
  <si>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</si>
  <si>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</si>
  <si>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</si>
  <si>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</si>
  <si>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</si>
  <si>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</si>
  <si>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</si>
  <si>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</si>
  <si>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</si>
  <si>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</si>
  <si>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</si>
  <si>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</si>
  <si>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</si>
  <si>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</si>
  <si>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</si>
  <si>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</si>
  <si>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</si>
  <si>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2070209;207080209</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</si>
  <si>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</si>
  <si>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</si>
  <si>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</si>
  <si>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</si>
  <si>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Общо изразходвана електроенергия</t>
  </si>
  <si>
    <t>Изразходвана електроенергия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</si>
  <si>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</si>
  <si>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</si>
  <si>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</si>
  <si>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</si>
  <si>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</si>
  <si>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</si>
  <si>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</si>
  <si>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Средна цена на електроенергия, лв/МВтч</t>
  </si>
  <si>
    <t>Обобщена справка за консумацията и производството на електроенергия</t>
  </si>
  <si>
    <t>1. Попълват се само клетките в жълт цвят за съответната група ВиК оператори, съгласно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</si>
  <si>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</si>
  <si>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</si>
  <si>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</si>
  <si>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</si>
  <si>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</si>
  <si>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</si>
  <si>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</si>
  <si>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</si>
  <si>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</si>
  <si>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2027 г.</t>
  </si>
  <si>
    <t>2028 г.</t>
  </si>
  <si>
    <t>2029 г.</t>
  </si>
  <si>
    <t>2030 г.</t>
  </si>
  <si>
    <t>2031 г.</t>
  </si>
  <si>
    <t>Закупени водни количества за ВС "Доставяне на вода с непитейни качества"</t>
  </si>
  <si>
    <t>Изразходвана електроенергия, произведена от собствени източници (ФЕЦ, когенерация, други) в т.ч.:</t>
  </si>
  <si>
    <t>Описание на технически параметри на собствени източници за производство на електроенергия (когенерация, ФЕЦ, други), година на въвеждане в експлоатация, инсталирана мощност</t>
  </si>
  <si>
    <t xml:space="preserve">2.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</si>
  <si>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Нарастване на БВП съгласно средносрочна бюджетна прогноза 2026 - 2028 г.</t>
  </si>
  <si>
    <t>в т.ч.електроенергия за технологични нужди</t>
  </si>
  <si>
    <t>Справка № 11.3</t>
  </si>
  <si>
    <t>Отписани</t>
  </si>
  <si>
    <t>Прогноза</t>
  </si>
  <si>
    <t>Постъпили през годината</t>
  </si>
  <si>
    <t>Трансфер (отрицателна стойност)</t>
  </si>
  <si>
    <t>Трансферите от см. 207 в собствени и публични ДА</t>
  </si>
  <si>
    <t>2070101;207080101</t>
  </si>
  <si>
    <t>2070102;207080102</t>
  </si>
  <si>
    <t>2070103;207080103</t>
  </si>
  <si>
    <t>2070104;207080104</t>
  </si>
  <si>
    <t>2070105;207080105</t>
  </si>
  <si>
    <t>2070106;207080106</t>
  </si>
  <si>
    <t>2070107;207080107</t>
  </si>
  <si>
    <t>2070108;207080108</t>
  </si>
  <si>
    <t>2070109;207080109</t>
  </si>
  <si>
    <t>2070110;207080110</t>
  </si>
  <si>
    <t>2070111;207080111</t>
  </si>
  <si>
    <t>2070112;207080112</t>
  </si>
  <si>
    <t>2070113;207080113</t>
  </si>
  <si>
    <t>2070114;207080114</t>
  </si>
  <si>
    <t>2070115;207080115</t>
  </si>
  <si>
    <t>2070116;207080116</t>
  </si>
  <si>
    <t>2070117;207080117</t>
  </si>
  <si>
    <t>2070118;207080118</t>
  </si>
  <si>
    <t>2070119;207080119</t>
  </si>
  <si>
    <t>2070120;207080120</t>
  </si>
  <si>
    <t>2070121;207080121</t>
  </si>
  <si>
    <t>2070122;207080122</t>
  </si>
  <si>
    <t>2070123;207080123</t>
  </si>
  <si>
    <t>2070124;207080124</t>
  </si>
  <si>
    <t>2070201;207080201</t>
  </si>
  <si>
    <t>2070202;207080202</t>
  </si>
  <si>
    <t>2070203;207080203</t>
  </si>
  <si>
    <t>2070204;207080204</t>
  </si>
  <si>
    <t>2070205;207080205</t>
  </si>
  <si>
    <t>2070206;207080206</t>
  </si>
  <si>
    <t>2070207;207080207</t>
  </si>
  <si>
    <t>2070208;207080208</t>
  </si>
  <si>
    <t>2070210;207080210</t>
  </si>
  <si>
    <t>2070211;207080211</t>
  </si>
  <si>
    <t>2070301;207080301</t>
  </si>
  <si>
    <t>2070302;207080302</t>
  </si>
  <si>
    <t>2070303;207080303</t>
  </si>
  <si>
    <t>2070304;207080304</t>
  </si>
  <si>
    <t>2070305;207080305</t>
  </si>
  <si>
    <t>2070306;207080306</t>
  </si>
  <si>
    <t>2070307;207080307</t>
  </si>
  <si>
    <t>2070308;207080308</t>
  </si>
  <si>
    <t>2070401;207080401</t>
  </si>
  <si>
    <t>2070402;207080402</t>
  </si>
  <si>
    <t>2070601;207080601</t>
  </si>
  <si>
    <t>2070602;207080602</t>
  </si>
  <si>
    <t>2070603;207080603</t>
  </si>
  <si>
    <t>2070609;207080609</t>
  </si>
  <si>
    <t>2070604;207080604</t>
  </si>
  <si>
    <t>2070610;207080610</t>
  </si>
  <si>
    <t>2070611;207080611</t>
  </si>
  <si>
    <t>2070605;207080605</t>
  </si>
  <si>
    <t>2070606;207080606</t>
  </si>
  <si>
    <t>2070607;207080607</t>
  </si>
  <si>
    <t>2070608;207080608</t>
  </si>
  <si>
    <t>5.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</si>
  <si>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програми с финансиране от ЕС, по които ВиК операторът е бенефициент, ако ще се осигурят със собствени средства.</t>
  </si>
  <si>
    <t>Заеми за съфинансиране по програми с финансиране от ЕС (хил.лв.)</t>
  </si>
  <si>
    <t>Постъпили трансфери / начислена амортизация</t>
  </si>
  <si>
    <r>
      <t>лв./м</t>
    </r>
    <r>
      <rPr>
        <vertAlign val="superscript"/>
        <sz val="10"/>
        <rFont val="Times New Roman"/>
        <family val="1"/>
      </rPr>
      <t>3</t>
    </r>
  </si>
  <si>
    <r>
      <t>кВтч/м</t>
    </r>
    <r>
      <rPr>
        <vertAlign val="superscript"/>
        <sz val="8"/>
        <rFont val="Times New Roman"/>
        <family val="1"/>
      </rPr>
      <t>3</t>
    </r>
  </si>
  <si>
    <t>10</t>
  </si>
  <si>
    <t>11</t>
  </si>
  <si>
    <t xml:space="preserve"> Нов дългосрочен заем за изграждане на  ДА по програми с финансиране от ЕС</t>
  </si>
  <si>
    <r>
      <t xml:space="preserve">Изменение дял на ра-ди </t>
    </r>
    <r>
      <rPr>
        <u/>
        <sz val="8"/>
        <rFont val="Times New Roman"/>
        <family val="1"/>
        <charset val="204"/>
      </rPr>
      <t>Водоснабдяване</t>
    </r>
    <r>
      <rPr>
        <sz val="8"/>
        <rFont val="Times New Roman"/>
        <family val="1"/>
        <charset val="204"/>
      </rPr>
      <t>: 
Ремонт на:</t>
    </r>
  </si>
  <si>
    <r>
      <t xml:space="preserve">Изменение дял на ра-ди </t>
    </r>
    <r>
      <rPr>
        <u/>
        <sz val="8"/>
        <rFont val="Times New Roman"/>
        <family val="1"/>
        <charset val="204"/>
      </rPr>
      <t>Отвеждане</t>
    </r>
    <r>
      <rPr>
        <sz val="8"/>
        <rFont val="Times New Roman"/>
        <family val="1"/>
        <charset val="204"/>
      </rPr>
      <t>: 
Ремонт на:</t>
    </r>
  </si>
  <si>
    <r>
      <t xml:space="preserve">Изменение дял на ра-ди </t>
    </r>
    <r>
      <rPr>
        <u/>
        <sz val="8"/>
        <rFont val="Times New Roman"/>
        <family val="1"/>
        <charset val="204"/>
      </rPr>
      <t>Пречистване</t>
    </r>
    <r>
      <rPr>
        <sz val="8"/>
        <rFont val="Times New Roman"/>
        <family val="1"/>
        <charset val="204"/>
      </rPr>
      <t>: 
Ремонт на:</t>
    </r>
  </si>
  <si>
    <t xml:space="preserve">4. В колона „Заеми за съфинансиране по програми с финансиране от ЕС“ се посочва частта на съфинансиране на инвестиции, които ще се осигурят със заем. </t>
  </si>
  <si>
    <t>Съществуващи дългосрочни заеми за ДА</t>
  </si>
  <si>
    <t xml:space="preserve"> Нови дългосрочни заеми за изграждане на  ДА </t>
  </si>
  <si>
    <t>2.Ред 4 обобщава разходите за главници от текущите инвестиционни заеми, както и от бъдещи заеми за изграждане на публични ДА</t>
  </si>
  <si>
    <r>
      <t xml:space="preserve">3. Ред 7.2  се попълва </t>
    </r>
    <r>
      <rPr>
        <b/>
        <i/>
        <sz val="1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</si>
  <si>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4.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</si>
  <si>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5. В раздел  9 се посочва обобщенба информация за съществуващи инвестиционни заеми, по които са изградени ДА.</t>
  </si>
  <si>
    <t xml:space="preserve">Нарастване на БВП </t>
  </si>
  <si>
    <t>EUR/куб.м</t>
  </si>
  <si>
    <t xml:space="preserve">Разходи за експлоатация и поддръжка на нови активи и/или осъществяване на нови дейности, включени в коефициент Qр  </t>
  </si>
  <si>
    <t>1. Справката е резултативна</t>
  </si>
  <si>
    <t>Обратен курс: евро за един лев</t>
  </si>
  <si>
    <t>евро</t>
  </si>
  <si>
    <t xml:space="preserve">евро с вкл. ДДС </t>
  </si>
  <si>
    <t>Фиксиран курс на лева към 1 евро</t>
  </si>
  <si>
    <t>хил.евро/год.</t>
  </si>
  <si>
    <t>хил. евро</t>
  </si>
  <si>
    <t>хил. евро/ ЕПЗ</t>
  </si>
  <si>
    <t>Разход хил. евро</t>
  </si>
  <si>
    <t>Средна цена на електроенергия, евро/МВтч</t>
  </si>
  <si>
    <t>Приход хил. евро</t>
  </si>
  <si>
    <t>евро/тон с.в.</t>
  </si>
  <si>
    <t>евро/тон</t>
  </si>
  <si>
    <t xml:space="preserve">Средна цена(лв./бр. ремонт) </t>
  </si>
  <si>
    <t>Обща стойност на обектите (хил.евро)</t>
  </si>
  <si>
    <t xml:space="preserve">Средна цена (евро./бр. ремонт) </t>
  </si>
  <si>
    <t>График за изграждане по години, (хил.евро)</t>
  </si>
  <si>
    <t>Собствени средства (хил.евро)</t>
  </si>
  <si>
    <t>Заеми (хил.евро)</t>
  </si>
  <si>
    <t>Заеми за съфинансиране по програми с финансиране от ЕС (хил.евро)</t>
  </si>
  <si>
    <t>(хил. евро)</t>
  </si>
  <si>
    <r>
      <t>евро/куб.м (</t>
    </r>
    <r>
      <rPr>
        <i/>
        <sz val="9"/>
        <rFont val="Times New Roman"/>
        <family val="1"/>
        <charset val="204"/>
      </rPr>
      <t>без ДДС</t>
    </r>
    <r>
      <rPr>
        <sz val="9"/>
        <rFont val="Times New Roman"/>
        <family val="1"/>
        <charset val="204"/>
      </rPr>
      <t>)</t>
    </r>
  </si>
  <si>
    <r>
      <t>евро/куб.м (</t>
    </r>
    <r>
      <rPr>
        <b/>
        <i/>
        <sz val="9"/>
        <rFont val="Times New Roman"/>
        <family val="1"/>
        <charset val="204"/>
      </rPr>
      <t>с ДДС</t>
    </r>
    <r>
      <rPr>
        <b/>
        <sz val="9"/>
        <rFont val="Times New Roman"/>
        <family val="1"/>
        <charset val="204"/>
      </rPr>
      <t>)</t>
    </r>
  </si>
  <si>
    <t>евро за месец</t>
  </si>
  <si>
    <t xml:space="preserve">евро/куб.м </t>
  </si>
  <si>
    <t>хил.евро</t>
  </si>
  <si>
    <t>w</t>
  </si>
  <si>
    <r>
      <t>евро/м</t>
    </r>
    <r>
      <rPr>
        <vertAlign val="superscript"/>
        <sz val="10"/>
        <rFont val="Times New Roman"/>
        <family val="1"/>
        <charset val="204"/>
      </rPr>
      <t>3</t>
    </r>
  </si>
  <si>
    <t>0,511292 евро</t>
  </si>
  <si>
    <t>хил. евро/ бр.</t>
  </si>
  <si>
    <t>Разход, хил. €</t>
  </si>
  <si>
    <t>€/тон  с.в.</t>
  </si>
  <si>
    <t>€/т.</t>
  </si>
  <si>
    <t>хил.€ /ЕПЗ</t>
  </si>
  <si>
    <t>хил.€/ЕПЗ</t>
  </si>
  <si>
    <t>Обща стойност на обектите (хил.€)</t>
  </si>
  <si>
    <t>Среден размер на възнаграждение на единица персонал на ЕПЗ (хил.€/ЕПЗ)</t>
  </si>
  <si>
    <t>Цени на ВиК услуги €/куб.м без ДДС</t>
  </si>
  <si>
    <t xml:space="preserve">€/куб.м </t>
  </si>
  <si>
    <t>€/куб.м</t>
  </si>
  <si>
    <t>(хил.€)</t>
  </si>
  <si>
    <t>Общо инвестиции за доставяне на вода, отвеждане и пречистване на отпадъчни води (хил. €)</t>
  </si>
  <si>
    <t>Инвестиции на жител (€ / брой)</t>
  </si>
  <si>
    <t>Остатъчна стойност от предишния период (хил. €)</t>
  </si>
  <si>
    <t>Получен през периода (хил. €)</t>
  </si>
  <si>
    <t>Погасяване на главници (хил. €)</t>
  </si>
  <si>
    <t>Лихви (хил. €)</t>
  </si>
  <si>
    <t>Общо погасителни вноски (хил. €)</t>
  </si>
  <si>
    <t>Остатък главница (хил. €)</t>
  </si>
  <si>
    <t>Параметър (хил. €)</t>
  </si>
  <si>
    <t>Разходи по икономически елементи (хил. €)</t>
  </si>
  <si>
    <t>Бъдещи нови активи и/ или дейности (хил. €)</t>
  </si>
  <si>
    <t>Наименование  (хил. €)</t>
  </si>
  <si>
    <t>Наименование (хил. €)</t>
  </si>
  <si>
    <t>Описание (хил. €)</t>
  </si>
  <si>
    <t>хил. €</t>
  </si>
  <si>
    <t>Постоянни разходи, в т.ч.:</t>
  </si>
  <si>
    <t>разходи за амортизация на корпоративни и публични ВиК активи</t>
  </si>
  <si>
    <t>разходи за персонал</t>
  </si>
  <si>
    <t>Променливи разходи, в т.ч.:</t>
  </si>
  <si>
    <t>разходи за електроенергия</t>
  </si>
  <si>
    <t>Възвръщаемост на вложения капитал</t>
  </si>
  <si>
    <t>коефициент пречистване:</t>
  </si>
  <si>
    <t>проверка:</t>
  </si>
  <si>
    <t>доставяне на вода</t>
  </si>
  <si>
    <t>отвеждане на отпадъчни води</t>
  </si>
  <si>
    <t>пречистване на отпадъчни води</t>
  </si>
  <si>
    <t>Нов дългосрочен заем за изграждане на собствени ДА по програми с финансиране от ЕС</t>
  </si>
  <si>
    <t>Нов дългосрочен заем за изграждане на ДА по програми финансиране от ЕС</t>
  </si>
  <si>
    <t>Справка № 11.3. - Амортизационен план на дълготрайни активи за базова година</t>
  </si>
  <si>
    <r>
      <t>Образец на електронен модел на бизнес план за регулаторен период 2027-2031 г., разработен във вариант за базова</t>
    </r>
    <r>
      <rPr>
        <b/>
        <u/>
        <sz val="12"/>
        <rFont val="Times New Roman"/>
        <family val="1"/>
        <charset val="204"/>
      </rPr>
      <t xml:space="preserve"> 2024 г.</t>
    </r>
    <r>
      <rPr>
        <b/>
        <sz val="12"/>
        <rFont val="Times New Roman"/>
        <family val="1"/>
        <charset val="204"/>
      </rPr>
      <t>,                                     приет с Решение № У-1 от 16.07.2025 г. на КЕВР.</t>
    </r>
  </si>
  <si>
    <t>"ВОДОСНАБДЯВАНЕ И КАНАЛИЗАЦИЯ" ЕООД</t>
  </si>
  <si>
    <t>БЛАГОЕВГРАД</t>
  </si>
  <si>
    <t>811047831</t>
  </si>
  <si>
    <t>15.04.2026 г.</t>
  </si>
  <si>
    <t>гр. Благоевград, ул. "Антон Чехов" № 3</t>
  </si>
  <si>
    <t>инж. Мартин Петров</t>
  </si>
  <si>
    <t>073 884170</t>
  </si>
  <si>
    <t>vik_bl@vikblg.com</t>
  </si>
  <si>
    <t>Мария Василева</t>
  </si>
  <si>
    <t>0878121872</t>
  </si>
  <si>
    <t>m.b.vasileva@vikblg.com</t>
  </si>
  <si>
    <t>инж. Величка Димкова</t>
  </si>
  <si>
    <t>0889514606</t>
  </si>
  <si>
    <t>vdimkova@vikblg.com</t>
  </si>
  <si>
    <t>bzlatkova@vikblg.com</t>
  </si>
  <si>
    <t>Йорданка Кацарска</t>
  </si>
  <si>
    <t>Богдана Златкова</t>
  </si>
  <si>
    <t xml:space="preserve">0884292323 </t>
  </si>
  <si>
    <t>073 88 4170</t>
  </si>
  <si>
    <t>НСИ</t>
  </si>
  <si>
    <t>Система за отчитане и фактуриране</t>
  </si>
  <si>
    <t>ГРАО</t>
  </si>
  <si>
    <t>Регистър Активи</t>
  </si>
  <si>
    <t>БД Контролни разходомери</t>
  </si>
  <si>
    <t>Регистър Лабораторни изследвания</t>
  </si>
  <si>
    <t>Регистър ПУО</t>
  </si>
  <si>
    <t>Регистър АВАРИИ</t>
  </si>
  <si>
    <t>БД Количества вода на вход</t>
  </si>
  <si>
    <t>БД неизмерена законна консумация</t>
  </si>
  <si>
    <t>БД количества вода на вход ПСОВ</t>
  </si>
  <si>
    <t>БД Водоизточници, БД Изм.устройства</t>
  </si>
  <si>
    <t>Регистър Водомери</t>
  </si>
  <si>
    <t>БД Разходомери</t>
  </si>
  <si>
    <t>БД извършени обследвания</t>
  </si>
  <si>
    <t>БД изразходвана ел.енергия</t>
  </si>
  <si>
    <t>Регистър утайки ПСОВ</t>
  </si>
  <si>
    <t>Счетоводна система</t>
  </si>
  <si>
    <t xml:space="preserve">Регистър оплаквания </t>
  </si>
  <si>
    <t>БД сключени и изпълнени договори</t>
  </si>
  <si>
    <t>БД длъжности и задължения на персонала</t>
  </si>
  <si>
    <t>ВиК оператор (наименование на продавача): "УВЕКС" ЕООД, гр. Сандански</t>
  </si>
  <si>
    <t>ВиК оператор (наименование на продавача): НЕК Язовири и каскади - КК "Семково"</t>
  </si>
  <si>
    <t>ВиК оператор (наименование на продавача): НЕК Язовири и каскади - Деривация "Доспат"</t>
  </si>
  <si>
    <t>гр. Благоевград, ул. "Антон Чехов" 3</t>
  </si>
  <si>
    <t>vikblg.com</t>
  </si>
  <si>
    <t>26709</t>
  </si>
  <si>
    <t>13.05.1994</t>
  </si>
  <si>
    <t>Договор с Асоциация по ВиК Благоевград</t>
  </si>
  <si>
    <t>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</si>
</sst>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 numFmtId="179" formatCode="#,##0.00000\ &quot;лв.&quot;"/>
    <numFmt numFmtId="180" formatCode="#,##0.00000"/>
  </numFmts>
  <fonts count="173">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i/>
      <sz val="8"/>
      <name val="Arial"/>
      <family val="2"/>
      <charset val="204"/>
    </font>
    <font>
      <b/>
      <sz val="11"/>
      <name val="Arial"/>
      <family val="2"/>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theme="1"/>
      <name val="Times New Roman"/>
      <family val="1"/>
      <charset val="204"/>
    </font>
    <font>
      <vertAlign val="superscript"/>
      <sz val="7"/>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vertAlign val="superscript"/>
      <sz val="9"/>
      <color theme="3"/>
      <name val="Times New Roman"/>
      <family val="1"/>
      <charset val="204"/>
    </font>
    <font>
      <i/>
      <sz val="9"/>
      <color rgb="FFFF00FF"/>
      <name val="Times New Roman"/>
      <family val="1"/>
      <charset val="204"/>
    </font>
    <font>
      <i/>
      <sz val="8"/>
      <color rgb="FFFF33CC"/>
      <name val="Times New Roman"/>
      <family val="1"/>
      <charset val="204"/>
    </font>
    <font>
      <b/>
      <i/>
      <sz val="9"/>
      <color rgb="FFFF0000"/>
      <name val="Times New Roman"/>
      <family val="1"/>
      <charset val="204"/>
    </font>
    <font>
      <vertAlign val="superscript"/>
      <sz val="8"/>
      <name val="Times New Roman"/>
      <family val="1"/>
    </font>
    <font>
      <b/>
      <i/>
      <sz val="8"/>
      <name val="Times New Roman"/>
      <family val="1"/>
      <charset val="204"/>
    </font>
    <font>
      <u/>
      <sz val="8"/>
      <name val="Times New Roman"/>
      <family val="1"/>
      <charset val="204"/>
    </font>
    <font>
      <sz val="12"/>
      <color theme="4" tint="-0.499984740745262"/>
      <name val="Times New Roman"/>
      <family val="1"/>
      <charset val="204"/>
    </font>
    <font>
      <b/>
      <i/>
      <sz val="12"/>
      <color theme="4" tint="-0.499984740745262"/>
      <name val="Times New Roman"/>
      <family val="1"/>
      <charset val="204"/>
    </font>
    <font>
      <sz val="10"/>
      <color rgb="FFFF0000"/>
      <name val="Times New Roman"/>
      <family val="1"/>
    </font>
    <font>
      <b/>
      <i/>
      <sz val="14"/>
      <name val="Times New Roman"/>
      <family val="1"/>
      <charset val="204"/>
    </font>
  </fonts>
  <fills count="55">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theme="1"/>
        <bgColor indexed="64"/>
      </patternFill>
    </fill>
    <fill>
      <patternFill patternType="solid">
        <fgColor rgb="FFFF8080"/>
        <bgColor indexed="64"/>
      </patternFill>
    </fill>
    <fill>
      <patternFill patternType="solid">
        <fgColor theme="0" tint="-0.24994659260841701"/>
        <bgColor indexed="64"/>
      </patternFill>
    </fill>
    <fill>
      <patternFill patternType="solid">
        <fgColor theme="4" tint="0.79998168889431442"/>
        <bgColor indexed="63"/>
      </patternFill>
    </fill>
    <fill>
      <patternFill patternType="mediumGray">
        <bgColor rgb="FFFFFFFF"/>
      </patternFill>
    </fill>
  </fills>
  <borders count="178">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bottom/>
      <diagonal style="thin">
        <color indexed="64"/>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right/>
      <top style="medium">
        <color theme="0" tint="-0.24994659260841701"/>
      </top>
      <bottom/>
      <diagonal/>
    </border>
    <border>
      <left/>
      <right/>
      <top/>
      <bottom style="medium">
        <color theme="0" tint="-0.24994659260841701"/>
      </bottom>
      <diagonal/>
    </border>
    <border>
      <left/>
      <right/>
      <top/>
      <bottom style="thin">
        <color theme="0" tint="-0.24994659260841701"/>
      </bottom>
      <diagonal/>
    </border>
    <border>
      <left/>
      <right/>
      <top style="thin">
        <color theme="0" tint="-0.24994659260841701"/>
      </top>
      <bottom/>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5" fontId="38" fillId="0" borderId="0" applyFont="0" applyFill="0" applyBorder="0" applyAlignment="0" applyProtection="0"/>
    <xf numFmtId="0" fontId="10" fillId="0" borderId="0"/>
    <xf numFmtId="43" fontId="26" fillId="0" borderId="0" applyFont="0" applyFill="0" applyBorder="0" applyAlignment="0" applyProtection="0"/>
    <xf numFmtId="0" fontId="75" fillId="0" borderId="0"/>
    <xf numFmtId="165" fontId="26" fillId="0" borderId="0" applyFont="0" applyFill="0" applyBorder="0" applyAlignment="0" applyProtection="0"/>
    <xf numFmtId="0" fontId="77" fillId="0" borderId="0"/>
    <xf numFmtId="9" fontId="9" fillId="0" borderId="0" applyFont="0" applyFill="0" applyBorder="0" applyAlignment="0" applyProtection="0"/>
    <xf numFmtId="9" fontId="8" fillId="0" borderId="0" applyFont="0" applyFill="0" applyBorder="0" applyAlignment="0" applyProtection="0"/>
    <xf numFmtId="0" fontId="82" fillId="0" borderId="0"/>
    <xf numFmtId="0" fontId="96" fillId="0" borderId="0"/>
    <xf numFmtId="0" fontId="82" fillId="0" borderId="0"/>
    <xf numFmtId="164" fontId="109"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64" fontId="26" fillId="0" borderId="0" applyFont="0" applyFill="0" applyBorder="0" applyAlignment="0" applyProtection="0"/>
    <xf numFmtId="9" fontId="114" fillId="0" borderId="0" applyFont="0" applyFill="0" applyBorder="0" applyAlignment="0" applyProtection="0"/>
    <xf numFmtId="0" fontId="6" fillId="0" borderId="0"/>
    <xf numFmtId="0" fontId="6" fillId="0" borderId="0"/>
    <xf numFmtId="0" fontId="114"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7"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690">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pplyProtection="1">
      <alignment vertical="center"/>
    </xf>
    <xf numFmtId="0" fontId="56" fillId="0" borderId="0" xfId="40" quotePrefix="1" applyFont="1" applyBorder="1" applyAlignment="1" applyProtection="1">
      <alignment horizontal="center" vertical="center" wrapText="1"/>
    </xf>
    <xf numFmtId="49" fontId="11" fillId="0" borderId="52" xfId="0" applyNumberFormat="1" applyFont="1" applyBorder="1" applyAlignment="1" applyProtection="1">
      <alignment horizontal="center" vertical="center" wrapText="1"/>
    </xf>
    <xf numFmtId="0" fontId="51" fillId="0" borderId="0" xfId="0" applyFont="1" applyAlignment="1" applyProtection="1">
      <alignment vertical="center"/>
    </xf>
    <xf numFmtId="0" fontId="51" fillId="20" borderId="0" xfId="0" applyFont="1" applyFill="1" applyAlignment="1" applyProtection="1">
      <alignment vertical="center"/>
    </xf>
    <xf numFmtId="0" fontId="44" fillId="20" borderId="0" xfId="40" applyFont="1" applyFill="1" applyAlignment="1" applyProtection="1">
      <alignment vertical="center"/>
    </xf>
    <xf numFmtId="0" fontId="44" fillId="0" borderId="0" xfId="40" applyFont="1" applyAlignment="1" applyProtection="1">
      <alignment vertical="center"/>
    </xf>
    <xf numFmtId="0" fontId="26" fillId="0" borderId="0" xfId="0" applyFont="1"/>
    <xf numFmtId="0" fontId="56" fillId="0" borderId="0" xfId="40" applyFont="1" applyAlignment="1" applyProtection="1">
      <alignment vertical="center"/>
    </xf>
    <xf numFmtId="0" fontId="59" fillId="0" borderId="0" xfId="40" applyFont="1" applyAlignment="1" applyProtection="1">
      <alignment vertical="center"/>
    </xf>
    <xf numFmtId="0" fontId="60" fillId="0" borderId="0" xfId="4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0" fontId="0" fillId="0" borderId="0" xfId="0" applyFill="1"/>
    <xf numFmtId="0" fontId="26" fillId="27" borderId="0" xfId="32" applyFill="1"/>
    <xf numFmtId="49" fontId="68" fillId="20" borderId="17" xfId="32" applyNumberFormat="1" applyFont="1" applyFill="1" applyBorder="1" applyAlignment="1" applyProtection="1">
      <alignment horizontal="left" vertical="center"/>
    </xf>
    <xf numFmtId="0" fontId="51" fillId="26" borderId="0" xfId="0" applyFont="1" applyFill="1" applyAlignment="1">
      <alignment vertical="center"/>
    </xf>
    <xf numFmtId="0" fontId="44" fillId="0" borderId="0" xfId="32" applyFont="1" applyAlignment="1" applyProtection="1">
      <alignment vertical="center"/>
    </xf>
    <xf numFmtId="0" fontId="44" fillId="20" borderId="0" xfId="32" applyFont="1" applyFill="1" applyAlignment="1" applyProtection="1">
      <alignment vertical="center"/>
    </xf>
    <xf numFmtId="0" fontId="11" fillId="27" borderId="0" xfId="32" applyFont="1" applyFill="1"/>
    <xf numFmtId="0" fontId="26" fillId="27" borderId="0" xfId="32" applyFont="1" applyFill="1"/>
    <xf numFmtId="0" fontId="34" fillId="27" borderId="0" xfId="40" applyFont="1" applyFill="1" applyAlignment="1" applyProtection="1">
      <alignment vertical="center"/>
    </xf>
    <xf numFmtId="0" fontId="11" fillId="27" borderId="0" xfId="0" applyFont="1" applyFill="1"/>
    <xf numFmtId="49" fontId="33" fillId="27" borderId="5" xfId="0" applyNumberFormat="1" applyFont="1" applyFill="1" applyBorder="1" applyAlignment="1" applyProtection="1">
      <alignment horizontal="left" vertical="center"/>
    </xf>
    <xf numFmtId="49" fontId="33" fillId="27" borderId="17" xfId="0" applyNumberFormat="1" applyFont="1" applyFill="1" applyBorder="1" applyAlignment="1" applyProtection="1">
      <alignment horizontal="left" vertical="center"/>
    </xf>
    <xf numFmtId="0" fontId="11" fillId="27" borderId="0" xfId="0" applyNumberFormat="1" applyFont="1" applyFill="1"/>
    <xf numFmtId="0" fontId="11" fillId="27" borderId="0" xfId="0" applyNumberFormat="1" applyFont="1" applyFill="1" applyAlignment="1"/>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Border="1" applyAlignment="1" applyProtection="1">
      <alignment horizontal="left" vertical="center" wrapText="1"/>
    </xf>
    <xf numFmtId="0" fontId="11" fillId="27" borderId="0" xfId="0" applyFont="1" applyFill="1" applyAlignment="1">
      <alignment vertical="center"/>
    </xf>
    <xf numFmtId="0" fontId="20" fillId="27" borderId="0" xfId="0" applyNumberFormat="1" applyFont="1" applyFill="1" applyAlignment="1">
      <alignment horizontal="right"/>
    </xf>
    <xf numFmtId="0" fontId="11" fillId="27" borderId="0" xfId="31" applyFont="1" applyFill="1"/>
    <xf numFmtId="0" fontId="35" fillId="27" borderId="0" xfId="0" applyNumberFormat="1" applyFont="1" applyFill="1" applyAlignment="1">
      <alignment horizontal="center"/>
    </xf>
    <xf numFmtId="0" fontId="20" fillId="27" borderId="0" xfId="0" applyNumberFormat="1" applyFont="1" applyFill="1" applyAlignment="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0" fontId="67" fillId="27" borderId="0" xfId="49" applyFont="1" applyFill="1" applyAlignment="1">
      <alignment vertical="center"/>
    </xf>
    <xf numFmtId="167" fontId="20" fillId="27" borderId="0" xfId="49" applyNumberFormat="1" applyFont="1" applyFill="1" applyBorder="1" applyAlignment="1">
      <alignment horizontal="right" vertical="center"/>
    </xf>
    <xf numFmtId="0" fontId="77" fillId="27" borderId="0" xfId="49" applyFont="1"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7" fontId="56" fillId="20" borderId="0" xfId="52" applyNumberFormat="1" applyFont="1" applyFill="1" applyBorder="1" applyAlignment="1" applyProtection="1">
      <alignment vertical="center"/>
      <protection locked="0"/>
    </xf>
    <xf numFmtId="167" fontId="56" fillId="20" borderId="0" xfId="52" applyNumberFormat="1" applyFont="1" applyFill="1" applyBorder="1" applyAlignment="1" applyProtection="1">
      <alignment horizontal="right" vertical="center"/>
      <protection locked="0"/>
    </xf>
    <xf numFmtId="167" fontId="56" fillId="20" borderId="0" xfId="52" applyNumberFormat="1" applyFont="1" applyFill="1" applyBorder="1" applyAlignment="1" applyProtection="1">
      <alignment vertical="center"/>
    </xf>
    <xf numFmtId="49" fontId="39" fillId="24" borderId="52" xfId="32" applyNumberFormat="1" applyFont="1" applyFill="1" applyBorder="1" applyAlignment="1" applyProtection="1">
      <alignment horizontal="center" vertical="center" wrapText="1"/>
    </xf>
    <xf numFmtId="0" fontId="39" fillId="24" borderId="53" xfId="32" applyFont="1" applyFill="1" applyBorder="1" applyAlignment="1" applyProtection="1">
      <alignment horizontal="left" vertical="center"/>
    </xf>
    <xf numFmtId="49" fontId="40" fillId="0" borderId="52" xfId="32" applyNumberFormat="1" applyFont="1" applyBorder="1" applyAlignment="1" applyProtection="1">
      <alignment horizontal="center" vertical="center" wrapText="1"/>
    </xf>
    <xf numFmtId="0" fontId="40" fillId="20" borderId="53" xfId="32" applyFont="1" applyFill="1" applyBorder="1" applyAlignment="1" applyProtection="1">
      <alignment vertical="center"/>
    </xf>
    <xf numFmtId="0" fontId="39" fillId="24" borderId="53" xfId="32" applyFont="1" applyFill="1" applyBorder="1" applyAlignment="1" applyProtection="1">
      <alignment horizontal="left" vertical="center" wrapText="1"/>
    </xf>
    <xf numFmtId="49" fontId="40" fillId="0" borderId="54" xfId="32" applyNumberFormat="1" applyFont="1" applyBorder="1" applyAlignment="1" applyProtection="1">
      <alignment horizontal="center" vertical="center" wrapText="1"/>
    </xf>
    <xf numFmtId="0" fontId="40" fillId="20" borderId="53" xfId="32" applyFont="1" applyFill="1" applyBorder="1" applyAlignment="1" applyProtection="1">
      <alignment horizontal="left" vertical="center" wrapText="1"/>
    </xf>
    <xf numFmtId="167" fontId="40" fillId="20" borderId="0" xfId="32" applyNumberFormat="1" applyFont="1" applyFill="1" applyBorder="1" applyAlignment="1" applyProtection="1">
      <alignment horizontal="right" vertical="center"/>
      <protection locked="0"/>
    </xf>
    <xf numFmtId="167" fontId="40" fillId="20" borderId="0" xfId="32" applyNumberFormat="1" applyFont="1" applyFill="1" applyBorder="1" applyAlignment="1" applyProtection="1">
      <alignment vertical="center"/>
    </xf>
    <xf numFmtId="167" fontId="40" fillId="20" borderId="0" xfId="32" applyNumberFormat="1" applyFont="1" applyFill="1" applyBorder="1" applyAlignment="1" applyProtection="1">
      <alignment horizontal="right" vertical="center"/>
    </xf>
    <xf numFmtId="0" fontId="52" fillId="26" borderId="0" xfId="32" applyFont="1" applyFill="1" applyBorder="1" applyAlignment="1">
      <alignment horizontal="right" vertical="center"/>
    </xf>
    <xf numFmtId="49" fontId="39" fillId="0" borderId="0" xfId="32" applyNumberFormat="1" applyFont="1" applyFill="1" applyBorder="1" applyAlignment="1" applyProtection="1">
      <alignment horizontal="center" vertical="center" wrapText="1"/>
    </xf>
    <xf numFmtId="0" fontId="39" fillId="0" borderId="0" xfId="32" applyFont="1" applyFill="1" applyBorder="1" applyAlignment="1" applyProtection="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7" fontId="40" fillId="20" borderId="0" xfId="32" applyNumberFormat="1" applyFont="1" applyFill="1" applyBorder="1" applyAlignment="1" applyProtection="1">
      <alignment horizontal="center" vertical="center"/>
    </xf>
    <xf numFmtId="0" fontId="51" fillId="27" borderId="0" xfId="0" applyFont="1" applyFill="1" applyBorder="1" applyAlignment="1" applyProtection="1">
      <alignment horizontal="left" vertical="center" wrapText="1"/>
    </xf>
    <xf numFmtId="0" fontId="98" fillId="27" borderId="0" xfId="49" applyFont="1" applyFill="1"/>
    <xf numFmtId="0" fontId="11" fillId="27" borderId="0" xfId="49" applyFont="1" applyFill="1" applyAlignment="1">
      <alignment horizontal="center"/>
    </xf>
    <xf numFmtId="0" fontId="11" fillId="0"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5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pplyProtection="1">
      <alignment horizontal="center" vertical="center" wrapText="1"/>
    </xf>
    <xf numFmtId="49" fontId="83" fillId="27" borderId="17" xfId="52" applyNumberFormat="1" applyFont="1" applyFill="1" applyBorder="1" applyAlignment="1" applyProtection="1">
      <alignment horizontal="center" vertical="center" wrapText="1"/>
    </xf>
    <xf numFmtId="49" fontId="64" fillId="27" borderId="21" xfId="52" applyNumberFormat="1" applyFont="1" applyFill="1" applyBorder="1" applyAlignment="1" applyProtection="1">
      <alignment horizontal="center" vertical="center" wrapText="1"/>
    </xf>
    <xf numFmtId="49" fontId="56" fillId="26" borderId="17" xfId="52" applyNumberFormat="1" applyFont="1" applyFill="1" applyBorder="1" applyAlignment="1" applyProtection="1">
      <alignment horizontal="center" vertical="center" wrapText="1"/>
    </xf>
    <xf numFmtId="49" fontId="56" fillId="26" borderId="21" xfId="52" applyNumberFormat="1" applyFont="1" applyFill="1" applyBorder="1" applyAlignment="1" applyProtection="1">
      <alignment horizontal="center" vertical="center" wrapText="1"/>
    </xf>
    <xf numFmtId="49" fontId="64" fillId="23" borderId="2" xfId="52" applyNumberFormat="1" applyFont="1" applyFill="1" applyBorder="1" applyAlignment="1" applyProtection="1">
      <alignment horizontal="center" vertical="center" wrapText="1"/>
    </xf>
    <xf numFmtId="0" fontId="56" fillId="27" borderId="51" xfId="40" quotePrefix="1" applyFont="1" applyFill="1" applyBorder="1" applyAlignment="1" applyProtection="1">
      <alignment horizontal="center" vertical="center" wrapText="1"/>
    </xf>
    <xf numFmtId="49" fontId="56" fillId="27" borderId="17" xfId="40" applyNumberFormat="1" applyFont="1" applyFill="1" applyBorder="1" applyAlignment="1" applyProtection="1">
      <alignment horizontal="center" vertical="center" wrapText="1"/>
    </xf>
    <xf numFmtId="0" fontId="64" fillId="23" borderId="2" xfId="40" applyFont="1" applyFill="1" applyBorder="1" applyAlignment="1" applyProtection="1">
      <alignment horizontal="center" vertical="center" wrapText="1"/>
    </xf>
    <xf numFmtId="49" fontId="56" fillId="27" borderId="51" xfId="40" quotePrefix="1" applyNumberFormat="1" applyFont="1" applyFill="1" applyBorder="1" applyAlignment="1" applyProtection="1">
      <alignment horizontal="center" vertical="center" wrapText="1"/>
    </xf>
    <xf numFmtId="49" fontId="56" fillId="27" borderId="21" xfId="40" applyNumberFormat="1" applyFont="1" applyFill="1" applyBorder="1" applyAlignment="1" applyProtection="1">
      <alignment horizontal="center" vertical="center" wrapText="1"/>
    </xf>
    <xf numFmtId="0" fontId="83" fillId="20" borderId="17" xfId="52" applyFont="1" applyFill="1" applyBorder="1" applyAlignment="1" applyProtection="1">
      <alignment horizontal="left" vertical="center"/>
    </xf>
    <xf numFmtId="0" fontId="64" fillId="20" borderId="21" xfId="52" applyFont="1" applyFill="1" applyBorder="1" applyAlignment="1" applyProtection="1">
      <alignment horizontal="left" vertical="center" wrapText="1"/>
    </xf>
    <xf numFmtId="0" fontId="56" fillId="26" borderId="17" xfId="52" applyFont="1" applyFill="1" applyBorder="1" applyAlignment="1" applyProtection="1">
      <alignment horizontal="left" vertical="center"/>
    </xf>
    <xf numFmtId="0" fontId="56" fillId="26" borderId="21" xfId="52" applyFont="1" applyFill="1" applyBorder="1" applyAlignment="1" applyProtection="1">
      <alignment horizontal="left" vertical="center"/>
    </xf>
    <xf numFmtId="0" fontId="56" fillId="26" borderId="17" xfId="52" applyFont="1" applyFill="1" applyBorder="1" applyAlignment="1" applyProtection="1">
      <alignment horizontal="left" vertical="center" wrapText="1"/>
    </xf>
    <xf numFmtId="0" fontId="56" fillId="20" borderId="21" xfId="52" applyFont="1" applyFill="1" applyBorder="1" applyAlignment="1" applyProtection="1">
      <alignment horizontal="left" vertical="center"/>
    </xf>
    <xf numFmtId="0" fontId="40" fillId="27" borderId="7" xfId="0" applyFont="1" applyFill="1" applyBorder="1" applyAlignment="1" applyProtection="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pplyProtection="1">
      <alignment horizontal="center" vertical="center" wrapText="1"/>
    </xf>
    <xf numFmtId="0" fontId="44" fillId="0" borderId="52" xfId="40" quotePrefix="1" applyFont="1" applyBorder="1" applyAlignment="1" applyProtection="1">
      <alignment horizontal="center" vertical="center" wrapText="1"/>
    </xf>
    <xf numFmtId="0" fontId="44" fillId="0" borderId="56" xfId="40" quotePrefix="1" applyFont="1" applyBorder="1" applyAlignment="1" applyProtection="1">
      <alignment horizontal="center" vertical="center" wrapText="1"/>
    </xf>
    <xf numFmtId="49" fontId="11" fillId="0" borderId="75" xfId="0" applyNumberFormat="1" applyFont="1" applyBorder="1" applyAlignment="1" applyProtection="1">
      <alignment horizontal="center" vertical="center" wrapText="1"/>
    </xf>
    <xf numFmtId="49" fontId="11" fillId="0" borderId="56" xfId="0" applyNumberFormat="1" applyFont="1" applyBorder="1" applyAlignment="1" applyProtection="1">
      <alignment horizontal="center" vertical="center" wrapText="1"/>
    </xf>
    <xf numFmtId="49" fontId="40" fillId="27" borderId="49" xfId="49" applyNumberFormat="1" applyFont="1" applyFill="1" applyBorder="1" applyAlignment="1" applyProtection="1">
      <alignment horizontal="left" vertical="center" wrapText="1"/>
    </xf>
    <xf numFmtId="49" fontId="39" fillId="24" borderId="38" xfId="49" applyNumberFormat="1" applyFont="1" applyFill="1" applyBorder="1" applyAlignment="1" applyProtection="1">
      <alignment horizontal="left" vertical="center" wrapText="1"/>
    </xf>
    <xf numFmtId="0" fontId="39" fillId="24" borderId="38" xfId="49" applyFont="1" applyFill="1" applyBorder="1" applyAlignment="1" applyProtection="1">
      <alignment horizontal="left" vertical="center" wrapText="1"/>
    </xf>
    <xf numFmtId="0" fontId="40" fillId="20" borderId="27" xfId="49" applyFont="1" applyFill="1" applyBorder="1" applyAlignment="1" applyProtection="1">
      <alignment horizontal="left" vertical="center" wrapText="1"/>
    </xf>
    <xf numFmtId="0" fontId="40" fillId="27" borderId="54" xfId="49" applyFont="1" applyFill="1" applyBorder="1" applyAlignment="1" applyProtection="1">
      <alignment horizontal="left" vertical="center" wrapText="1"/>
    </xf>
    <xf numFmtId="0" fontId="40" fillId="20" borderId="52" xfId="49" applyFont="1" applyFill="1" applyBorder="1" applyAlignment="1" applyProtection="1">
      <alignment horizontal="left" vertical="center" wrapText="1"/>
    </xf>
    <xf numFmtId="0" fontId="46" fillId="0" borderId="7" xfId="0" applyFont="1" applyFill="1" applyBorder="1" applyAlignment="1" applyProtection="1">
      <alignment horizontal="left" vertical="center" wrapText="1"/>
    </xf>
    <xf numFmtId="0" fontId="46" fillId="0" borderId="7" xfId="0" applyFont="1" applyFill="1" applyBorder="1" applyAlignment="1" applyProtection="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pplyProtection="1">
      <alignment horizontal="left" vertical="center" wrapText="1"/>
    </xf>
    <xf numFmtId="0" fontId="46" fillId="21" borderId="7" xfId="0" applyFont="1" applyFill="1" applyBorder="1" applyAlignment="1" applyProtection="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0" fontId="46" fillId="0" borderId="52" xfId="0" applyFont="1" applyFill="1" applyBorder="1" applyAlignment="1" applyProtection="1">
      <alignment horizontal="center" vertical="center" wrapText="1"/>
    </xf>
    <xf numFmtId="0" fontId="46" fillId="21" borderId="52" xfId="0" applyFont="1" applyFill="1" applyBorder="1" applyAlignment="1" applyProtection="1">
      <alignment horizontal="center" vertical="center" wrapText="1"/>
    </xf>
    <xf numFmtId="0" fontId="46" fillId="21" borderId="38" xfId="32" applyFont="1" applyFill="1" applyBorder="1" applyAlignment="1" applyProtection="1">
      <alignment horizontal="center" vertical="center" wrapText="1"/>
    </xf>
    <xf numFmtId="0" fontId="46" fillId="21" borderId="8" xfId="32" applyFont="1" applyFill="1" applyBorder="1" applyAlignment="1" applyProtection="1">
      <alignment vertical="center" wrapText="1"/>
    </xf>
    <xf numFmtId="0" fontId="11" fillId="3" borderId="31"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74" xfId="0" applyFont="1" applyFill="1" applyBorder="1" applyAlignment="1" applyProtection="1">
      <alignment horizontal="center" vertical="center" wrapText="1"/>
      <protection locked="0"/>
    </xf>
    <xf numFmtId="0" fontId="11" fillId="3" borderId="62"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pplyProtection="1">
      <alignment horizontal="left" vertical="center" wrapText="1"/>
    </xf>
    <xf numFmtId="49" fontId="39" fillId="20" borderId="52" xfId="32" applyNumberFormat="1" applyFont="1" applyFill="1" applyBorder="1" applyAlignment="1" applyProtection="1">
      <alignment horizontal="center" vertical="center" wrapText="1"/>
    </xf>
    <xf numFmtId="0" fontId="39" fillId="0" borderId="23" xfId="32" applyFont="1" applyFill="1" applyBorder="1" applyAlignment="1" applyProtection="1">
      <alignment vertical="center" wrapText="1"/>
    </xf>
    <xf numFmtId="0" fontId="39" fillId="0" borderId="0" xfId="32" applyFont="1" applyAlignment="1" applyProtection="1">
      <alignment vertical="center"/>
    </xf>
    <xf numFmtId="49" fontId="39" fillId="0" borderId="52" xfId="32" applyNumberFormat="1" applyFont="1" applyFill="1" applyBorder="1" applyAlignment="1" applyProtection="1">
      <alignment horizontal="center" vertical="center" wrapText="1"/>
    </xf>
    <xf numFmtId="49" fontId="39" fillId="20" borderId="49" xfId="32" applyNumberFormat="1" applyFont="1" applyFill="1" applyBorder="1" applyAlignment="1" applyProtection="1">
      <alignment horizontal="center" vertical="center" wrapText="1"/>
    </xf>
    <xf numFmtId="0" fontId="39" fillId="0" borderId="33" xfId="32" applyFont="1" applyFill="1" applyBorder="1" applyAlignment="1" applyProtection="1">
      <alignment vertical="center" wrapText="1"/>
    </xf>
    <xf numFmtId="49" fontId="39" fillId="0" borderId="52" xfId="32" applyNumberFormat="1" applyFont="1" applyBorder="1" applyAlignment="1" applyProtection="1">
      <alignment horizontal="center" vertical="center" wrapText="1"/>
    </xf>
    <xf numFmtId="0" fontId="39" fillId="0" borderId="54" xfId="32" applyFont="1" applyBorder="1" applyAlignment="1" applyProtection="1">
      <alignment horizontal="center" vertical="center"/>
    </xf>
    <xf numFmtId="0" fontId="39"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Border="1" applyAlignment="1" applyProtection="1">
      <alignment vertical="center" wrapText="1"/>
    </xf>
    <xf numFmtId="0" fontId="18" fillId="26" borderId="0" xfId="0" applyFont="1" applyFill="1" applyBorder="1" applyAlignment="1" applyProtection="1">
      <alignment horizontal="center" vertical="center" wrapText="1"/>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0" fontId="39" fillId="37" borderId="56" xfId="0" applyNumberFormat="1" applyFont="1" applyFill="1" applyBorder="1" applyAlignment="1" applyProtection="1">
      <alignment horizontal="center" vertical="center" wrapText="1"/>
    </xf>
    <xf numFmtId="170" fontId="39" fillId="37" borderId="77" xfId="0" applyNumberFormat="1" applyFont="1" applyFill="1" applyBorder="1" applyAlignment="1" applyProtection="1">
      <alignment horizontal="center" vertical="center" wrapText="1"/>
    </xf>
    <xf numFmtId="170" fontId="39" fillId="37" borderId="57" xfId="0" applyNumberFormat="1" applyFont="1" applyFill="1" applyBorder="1" applyAlignment="1" applyProtection="1">
      <alignment horizontal="center" vertical="center" wrapText="1"/>
    </xf>
    <xf numFmtId="170" fontId="39" fillId="37" borderId="56" xfId="32" applyNumberFormat="1" applyFont="1" applyFill="1" applyBorder="1" applyAlignment="1" applyProtection="1">
      <alignment horizontal="center" vertical="center" wrapText="1"/>
    </xf>
    <xf numFmtId="170" fontId="39" fillId="37" borderId="77" xfId="32" applyNumberFormat="1" applyFont="1" applyFill="1" applyBorder="1" applyAlignment="1" applyProtection="1">
      <alignment horizontal="center" vertical="center" wrapText="1"/>
    </xf>
    <xf numFmtId="170" fontId="39" fillId="37" borderId="57" xfId="32" applyNumberFormat="1" applyFont="1" applyFill="1" applyBorder="1" applyAlignment="1" applyProtection="1">
      <alignment horizontal="center" vertical="center" wrapText="1"/>
    </xf>
    <xf numFmtId="170" fontId="39" fillId="31" borderId="75" xfId="0" applyNumberFormat="1" applyFont="1" applyFill="1" applyBorder="1" applyAlignment="1" applyProtection="1">
      <alignment horizontal="center" vertical="center" wrapText="1"/>
    </xf>
    <xf numFmtId="170" fontId="39" fillId="31" borderId="73" xfId="0" applyNumberFormat="1" applyFont="1" applyFill="1" applyBorder="1" applyAlignment="1" applyProtection="1">
      <alignment horizontal="center" vertical="center" wrapText="1"/>
    </xf>
    <xf numFmtId="170" fontId="39" fillId="31" borderId="76" xfId="0" applyNumberFormat="1" applyFont="1" applyFill="1" applyBorder="1" applyAlignment="1" applyProtection="1">
      <alignment horizontal="center" vertical="center" wrapText="1"/>
    </xf>
    <xf numFmtId="170" fontId="39" fillId="31" borderId="75" xfId="32" applyNumberFormat="1" applyFont="1" applyFill="1" applyBorder="1" applyAlignment="1" applyProtection="1">
      <alignment horizontal="center" vertical="center" wrapText="1"/>
    </xf>
    <xf numFmtId="170" fontId="39" fillId="31" borderId="73" xfId="32" applyNumberFormat="1" applyFont="1" applyFill="1" applyBorder="1" applyAlignment="1" applyProtection="1">
      <alignment horizontal="center" vertical="center" wrapText="1"/>
    </xf>
    <xf numFmtId="170" fontId="39" fillId="31" borderId="76" xfId="32" applyNumberFormat="1" applyFont="1" applyFill="1" applyBorder="1" applyAlignment="1" applyProtection="1">
      <alignment horizontal="center" vertical="center" wrapText="1"/>
    </xf>
    <xf numFmtId="0" fontId="26" fillId="26" borderId="0" xfId="0" applyFont="1" applyFill="1" applyAlignment="1">
      <alignment vertical="center"/>
    </xf>
    <xf numFmtId="0" fontId="67" fillId="27" borderId="0" xfId="0" applyFont="1" applyFill="1" applyAlignment="1">
      <alignment vertical="center"/>
    </xf>
    <xf numFmtId="0" fontId="87" fillId="27" borderId="0" xfId="0" applyFont="1" applyFill="1" applyAlignment="1">
      <alignment vertical="center"/>
    </xf>
    <xf numFmtId="0" fontId="64" fillId="23" borderId="35" xfId="52" applyFont="1" applyFill="1" applyBorder="1" applyAlignment="1" applyProtection="1">
      <alignment horizontal="center" vertical="center" wrapText="1"/>
    </xf>
    <xf numFmtId="49" fontId="64" fillId="31" borderId="29" xfId="52" applyNumberFormat="1" applyFont="1" applyFill="1" applyBorder="1" applyAlignment="1" applyProtection="1">
      <alignment horizontal="center" vertical="center" wrapText="1"/>
    </xf>
    <xf numFmtId="49" fontId="56" fillId="27" borderId="24" xfId="52" applyNumberFormat="1" applyFont="1" applyFill="1" applyBorder="1" applyAlignment="1" applyProtection="1">
      <alignment horizontal="center" vertical="center" wrapText="1"/>
    </xf>
    <xf numFmtId="49" fontId="56" fillId="27" borderId="30" xfId="52" applyNumberFormat="1" applyFont="1" applyFill="1" applyBorder="1" applyAlignment="1" applyProtection="1">
      <alignment horizontal="center" vertical="center" wrapText="1"/>
    </xf>
    <xf numFmtId="0" fontId="64" fillId="31" borderId="29" xfId="52" applyFont="1" applyFill="1" applyBorder="1" applyAlignment="1" applyProtection="1">
      <alignment horizontal="left" vertical="center" wrapText="1"/>
    </xf>
    <xf numFmtId="0" fontId="64" fillId="23" borderId="11" xfId="52" applyFont="1" applyFill="1" applyBorder="1" applyAlignment="1" applyProtection="1">
      <alignment horizontal="center" vertical="center" wrapText="1"/>
    </xf>
    <xf numFmtId="0" fontId="64" fillId="23" borderId="41" xfId="52" applyFont="1" applyFill="1" applyBorder="1" applyAlignment="1" applyProtection="1">
      <alignment horizontal="center" vertical="center" wrapText="1"/>
    </xf>
    <xf numFmtId="0" fontId="64" fillId="37" borderId="2" xfId="52" applyFont="1" applyFill="1" applyBorder="1" applyAlignment="1" applyProtection="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Border="1" applyAlignment="1" applyProtection="1">
      <alignment horizontal="center" vertical="center" wrapText="1"/>
    </xf>
    <xf numFmtId="0" fontId="18" fillId="27" borderId="0" xfId="49" applyFont="1" applyFill="1" applyBorder="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pplyProtection="1">
      <alignment vertical="center" wrapText="1"/>
    </xf>
    <xf numFmtId="0" fontId="19" fillId="27" borderId="0" xfId="32" applyFont="1" applyFill="1" applyAlignment="1" applyProtection="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2" fontId="11" fillId="3" borderId="7" xfId="0" applyNumberFormat="1" applyFont="1" applyFill="1" applyBorder="1" applyAlignment="1" applyProtection="1">
      <alignment horizontal="center" vertical="center" wrapText="1"/>
      <protection locked="0"/>
    </xf>
    <xf numFmtId="172"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pplyProtection="1">
      <alignment horizontal="center" vertical="center" wrapText="1"/>
    </xf>
    <xf numFmtId="3" fontId="64" fillId="24" borderId="31" xfId="52" applyNumberFormat="1" applyFont="1" applyFill="1" applyBorder="1" applyAlignment="1" applyProtection="1">
      <alignment horizontal="center" vertical="center" wrapText="1"/>
    </xf>
    <xf numFmtId="3" fontId="64" fillId="24" borderId="50" xfId="52" applyNumberFormat="1" applyFont="1" applyFill="1" applyBorder="1" applyAlignment="1" applyProtection="1">
      <alignment horizontal="center" vertical="center" wrapText="1"/>
    </xf>
    <xf numFmtId="172" fontId="64" fillId="24" borderId="69" xfId="52" applyNumberFormat="1" applyFont="1" applyFill="1" applyBorder="1" applyAlignment="1" applyProtection="1">
      <alignment horizontal="center" vertical="center" wrapText="1"/>
    </xf>
    <xf numFmtId="172" fontId="64" fillId="24" borderId="63" xfId="52" applyNumberFormat="1" applyFont="1" applyFill="1" applyBorder="1" applyAlignment="1" applyProtection="1">
      <alignment horizontal="center" vertical="center" wrapText="1"/>
    </xf>
    <xf numFmtId="172" fontId="64" fillId="24" borderId="55" xfId="52" applyNumberFormat="1" applyFont="1" applyFill="1" applyBorder="1" applyAlignment="1" applyProtection="1">
      <alignment horizontal="center" vertical="center" wrapText="1"/>
    </xf>
    <xf numFmtId="3" fontId="64" fillId="31" borderId="72" xfId="52" applyNumberFormat="1" applyFont="1" applyFill="1" applyBorder="1" applyAlignment="1" applyProtection="1">
      <alignment horizontal="center" vertical="center"/>
    </xf>
    <xf numFmtId="3" fontId="64" fillId="31" borderId="14" xfId="52" applyNumberFormat="1" applyFont="1" applyFill="1" applyBorder="1" applyAlignment="1" applyProtection="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pplyProtection="1">
      <alignment horizontal="center" vertical="center"/>
    </xf>
    <xf numFmtId="3" fontId="64" fillId="31" borderId="31" xfId="52" applyNumberFormat="1" applyFont="1" applyFill="1" applyBorder="1" applyAlignment="1" applyProtection="1">
      <alignment horizontal="center" vertical="center"/>
    </xf>
    <xf numFmtId="3" fontId="64" fillId="31" borderId="50" xfId="52" applyNumberFormat="1" applyFont="1" applyFill="1" applyBorder="1" applyAlignment="1" applyProtection="1">
      <alignment horizontal="center" vertical="center"/>
    </xf>
    <xf numFmtId="172" fontId="64" fillId="31" borderId="69" xfId="52" applyNumberFormat="1" applyFont="1" applyFill="1" applyBorder="1" applyAlignment="1" applyProtection="1">
      <alignment horizontal="center" vertical="center"/>
    </xf>
    <xf numFmtId="172" fontId="64" fillId="31" borderId="63" xfId="52" applyNumberFormat="1" applyFont="1" applyFill="1" applyBorder="1" applyAlignment="1" applyProtection="1">
      <alignment horizontal="center" vertical="center"/>
    </xf>
    <xf numFmtId="172" fontId="64" fillId="31" borderId="55" xfId="52" applyNumberFormat="1" applyFont="1" applyFill="1" applyBorder="1" applyAlignment="1" applyProtection="1">
      <alignment horizontal="center" vertical="center"/>
    </xf>
    <xf numFmtId="3" fontId="64" fillId="27" borderId="72" xfId="52" applyNumberFormat="1" applyFont="1" applyFill="1" applyBorder="1" applyAlignment="1" applyProtection="1">
      <alignment horizontal="center" vertical="center"/>
    </xf>
    <xf numFmtId="3" fontId="64" fillId="27" borderId="73" xfId="52" applyNumberFormat="1" applyFont="1" applyFill="1" applyBorder="1" applyAlignment="1" applyProtection="1">
      <alignment horizontal="center" vertical="center"/>
    </xf>
    <xf numFmtId="3" fontId="64" fillId="27" borderId="76" xfId="52" applyNumberFormat="1" applyFont="1" applyFill="1" applyBorder="1" applyAlignment="1" applyProtection="1">
      <alignment horizontal="center" vertical="center"/>
    </xf>
    <xf numFmtId="172" fontId="64" fillId="27" borderId="32" xfId="52" applyNumberFormat="1" applyFont="1" applyFill="1" applyBorder="1" applyAlignment="1" applyProtection="1">
      <alignment horizontal="center" vertical="center"/>
    </xf>
    <xf numFmtId="172" fontId="64" fillId="27" borderId="7" xfId="52" applyNumberFormat="1" applyFont="1" applyFill="1" applyBorder="1" applyAlignment="1" applyProtection="1">
      <alignment horizontal="center" vertical="center"/>
    </xf>
    <xf numFmtId="172" fontId="64" fillId="27" borderId="53" xfId="52" applyNumberFormat="1" applyFont="1" applyFill="1" applyBorder="1" applyAlignment="1" applyProtection="1">
      <alignment horizontal="center" vertical="center"/>
    </xf>
    <xf numFmtId="3" fontId="64" fillId="27" borderId="7" xfId="52" applyNumberFormat="1" applyFont="1" applyFill="1" applyBorder="1" applyAlignment="1" applyProtection="1">
      <alignment horizontal="center" vertical="center"/>
    </xf>
    <xf numFmtId="3" fontId="64" fillId="27" borderId="53" xfId="52" applyNumberFormat="1" applyFont="1" applyFill="1" applyBorder="1" applyAlignment="1" applyProtection="1">
      <alignment horizontal="center" vertical="center"/>
    </xf>
    <xf numFmtId="10" fontId="64" fillId="27" borderId="32" xfId="52" applyNumberFormat="1" applyFont="1" applyFill="1" applyBorder="1" applyAlignment="1" applyProtection="1">
      <alignment horizontal="center" vertical="center"/>
    </xf>
    <xf numFmtId="10" fontId="64" fillId="27" borderId="7" xfId="52" applyNumberFormat="1" applyFont="1" applyFill="1" applyBorder="1" applyAlignment="1" applyProtection="1">
      <alignment horizontal="center" vertical="center"/>
    </xf>
    <xf numFmtId="10" fontId="64" fillId="27" borderId="53" xfId="52" applyNumberFormat="1" applyFont="1" applyFill="1" applyBorder="1" applyAlignment="1" applyProtection="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pplyProtection="1">
      <alignment horizontal="center" vertical="center"/>
    </xf>
    <xf numFmtId="3" fontId="64" fillId="31" borderId="76" xfId="52" applyNumberFormat="1" applyFont="1" applyFill="1" applyBorder="1" applyAlignment="1" applyProtection="1">
      <alignment horizontal="center" vertical="center"/>
    </xf>
    <xf numFmtId="172" fontId="64" fillId="31" borderId="32" xfId="52" applyNumberFormat="1" applyFont="1" applyFill="1" applyBorder="1" applyAlignment="1" applyProtection="1">
      <alignment horizontal="center" vertical="center"/>
    </xf>
    <xf numFmtId="172" fontId="64" fillId="31" borderId="7" xfId="52" applyNumberFormat="1" applyFont="1" applyFill="1" applyBorder="1" applyAlignment="1" applyProtection="1">
      <alignment horizontal="center" vertical="center"/>
    </xf>
    <xf numFmtId="172" fontId="64" fillId="31" borderId="53" xfId="52" applyNumberFormat="1" applyFont="1" applyFill="1" applyBorder="1" applyAlignment="1" applyProtection="1">
      <alignment horizontal="center" vertical="center"/>
    </xf>
    <xf numFmtId="4" fontId="64" fillId="31" borderId="69" xfId="52" applyNumberFormat="1" applyFont="1" applyFill="1" applyBorder="1" applyAlignment="1" applyProtection="1">
      <alignment horizontal="center" vertical="center"/>
    </xf>
    <xf numFmtId="4" fontId="64" fillId="31" borderId="63" xfId="52" applyNumberFormat="1" applyFont="1" applyFill="1" applyBorder="1" applyAlignment="1" applyProtection="1">
      <alignment horizontal="center" vertical="center"/>
    </xf>
    <xf numFmtId="4" fontId="64" fillId="31" borderId="55" xfId="52" applyNumberFormat="1" applyFont="1" applyFill="1" applyBorder="1" applyAlignment="1" applyProtection="1">
      <alignment horizontal="center" vertical="center"/>
    </xf>
    <xf numFmtId="3" fontId="64" fillId="26" borderId="72" xfId="52" applyNumberFormat="1" applyFont="1" applyFill="1" applyBorder="1" applyAlignment="1" applyProtection="1">
      <alignment horizontal="center" vertical="center"/>
    </xf>
    <xf numFmtId="3" fontId="64" fillId="26" borderId="73" xfId="52" applyNumberFormat="1" applyFont="1" applyFill="1" applyBorder="1" applyAlignment="1" applyProtection="1">
      <alignment horizontal="center" vertical="center"/>
    </xf>
    <xf numFmtId="3" fontId="64" fillId="26" borderId="76" xfId="52" applyNumberFormat="1" applyFont="1" applyFill="1" applyBorder="1" applyAlignment="1" applyProtection="1">
      <alignment horizontal="center" vertical="center"/>
    </xf>
    <xf numFmtId="172" fontId="64" fillId="26" borderId="32" xfId="52" applyNumberFormat="1" applyFont="1" applyFill="1" applyBorder="1" applyAlignment="1" applyProtection="1">
      <alignment horizontal="center" vertical="center"/>
    </xf>
    <xf numFmtId="172" fontId="64" fillId="26" borderId="7" xfId="52" applyNumberFormat="1" applyFont="1" applyFill="1" applyBorder="1" applyAlignment="1" applyProtection="1">
      <alignment horizontal="center" vertical="center"/>
    </xf>
    <xf numFmtId="172" fontId="64" fillId="26" borderId="53" xfId="52" applyNumberFormat="1" applyFont="1" applyFill="1" applyBorder="1" applyAlignment="1" applyProtection="1">
      <alignment horizontal="center" vertical="center"/>
    </xf>
    <xf numFmtId="4" fontId="64" fillId="31" borderId="32" xfId="52" applyNumberFormat="1" applyFont="1" applyFill="1" applyBorder="1" applyAlignment="1" applyProtection="1">
      <alignment horizontal="center" vertical="center"/>
    </xf>
    <xf numFmtId="4" fontId="64" fillId="31" borderId="7" xfId="52" applyNumberFormat="1" applyFont="1" applyFill="1" applyBorder="1" applyAlignment="1" applyProtection="1">
      <alignment horizontal="center" vertical="center"/>
    </xf>
    <xf numFmtId="4" fontId="64" fillId="31" borderId="53" xfId="52" applyNumberFormat="1" applyFont="1" applyFill="1" applyBorder="1" applyAlignment="1" applyProtection="1">
      <alignment horizontal="center" vertical="center"/>
    </xf>
    <xf numFmtId="3" fontId="97" fillId="31" borderId="79" xfId="52" applyNumberFormat="1" applyFont="1" applyFill="1" applyBorder="1" applyAlignment="1" applyProtection="1">
      <alignment horizontal="center" vertical="center"/>
    </xf>
    <xf numFmtId="3" fontId="97" fillId="31" borderId="77" xfId="52" applyNumberFormat="1" applyFont="1" applyFill="1" applyBorder="1" applyAlignment="1" applyProtection="1">
      <alignment horizontal="center" vertical="center"/>
    </xf>
    <xf numFmtId="3" fontId="97" fillId="31" borderId="57" xfId="52" applyNumberFormat="1" applyFont="1" applyFill="1" applyBorder="1" applyAlignment="1" applyProtection="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Fill="1" applyBorder="1" applyAlignment="1" applyProtection="1">
      <alignment vertical="center" wrapText="1"/>
    </xf>
    <xf numFmtId="0" fontId="39" fillId="0" borderId="1" xfId="31" applyFont="1" applyFill="1" applyBorder="1" applyAlignment="1" applyProtection="1">
      <alignment horizontal="center" vertical="center" wrapText="1"/>
    </xf>
    <xf numFmtId="0" fontId="39" fillId="0" borderId="3" xfId="31" applyFont="1" applyFill="1" applyBorder="1" applyAlignment="1" applyProtection="1">
      <alignment horizontal="center" vertical="center" wrapText="1"/>
    </xf>
    <xf numFmtId="170" fontId="39" fillId="37" borderId="2" xfId="32" applyNumberFormat="1" applyFont="1" applyFill="1" applyBorder="1" applyAlignment="1" applyProtection="1">
      <alignment horizontal="center" wrapText="1"/>
    </xf>
    <xf numFmtId="170" fontId="39" fillId="37" borderId="65" xfId="32" applyNumberFormat="1" applyFont="1" applyFill="1" applyBorder="1" applyAlignment="1" applyProtection="1">
      <alignment horizontal="center" wrapText="1"/>
    </xf>
    <xf numFmtId="170" fontId="39" fillId="37" borderId="9" xfId="32" applyNumberFormat="1" applyFont="1" applyFill="1" applyBorder="1" applyAlignment="1" applyProtection="1">
      <alignment horizontal="center" wrapText="1"/>
    </xf>
    <xf numFmtId="170" fontId="39" fillId="37" borderId="10" xfId="32" applyNumberFormat="1" applyFont="1" applyFill="1" applyBorder="1" applyAlignment="1" applyProtection="1">
      <alignment horizontal="center" wrapText="1"/>
    </xf>
    <xf numFmtId="170" fontId="46" fillId="37" borderId="77" xfId="0" applyNumberFormat="1" applyFont="1" applyFill="1" applyBorder="1" applyAlignment="1" applyProtection="1">
      <alignment horizontal="center" wrapText="1"/>
    </xf>
    <xf numFmtId="170" fontId="46" fillId="37" borderId="57" xfId="0" applyNumberFormat="1" applyFont="1" applyFill="1" applyBorder="1" applyAlignment="1" applyProtection="1">
      <alignment horizontal="center" wrapText="1"/>
    </xf>
    <xf numFmtId="170" fontId="46" fillId="37" borderId="56" xfId="0" applyNumberFormat="1" applyFont="1" applyFill="1" applyBorder="1" applyAlignment="1" applyProtection="1">
      <alignment horizontal="center" wrapText="1"/>
    </xf>
    <xf numFmtId="0" fontId="46" fillId="37" borderId="38" xfId="0" applyFont="1" applyFill="1" applyBorder="1" applyAlignment="1" applyProtection="1">
      <alignment horizontal="center" vertical="center" wrapText="1"/>
    </xf>
    <xf numFmtId="0" fontId="46" fillId="37" borderId="9" xfId="0" applyFont="1" applyFill="1" applyBorder="1" applyAlignment="1" applyProtection="1">
      <alignment horizontal="center" vertical="center" wrapText="1"/>
    </xf>
    <xf numFmtId="0" fontId="46" fillId="37" borderId="9" xfId="40" applyFont="1" applyFill="1" applyBorder="1" applyAlignment="1" applyProtection="1">
      <alignment horizontal="center" vertical="center"/>
    </xf>
    <xf numFmtId="173" fontId="95" fillId="26" borderId="9" xfId="37" applyNumberFormat="1" applyFont="1" applyFill="1" applyBorder="1" applyAlignment="1" applyProtection="1">
      <alignment horizontal="left" vertical="center" wrapText="1"/>
    </xf>
    <xf numFmtId="173" fontId="94"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Fill="1" applyBorder="1" applyAlignment="1" applyProtection="1">
      <alignment horizontal="center" vertical="center"/>
    </xf>
    <xf numFmtId="4" fontId="40" fillId="0" borderId="15" xfId="0" applyNumberFormat="1" applyFont="1" applyFill="1" applyBorder="1" applyAlignment="1" applyProtection="1">
      <alignment horizontal="center" vertical="center"/>
    </xf>
    <xf numFmtId="4" fontId="40" fillId="0" borderId="7"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7"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0" fillId="20" borderId="69" xfId="0" applyNumberFormat="1" applyFont="1" applyFill="1" applyBorder="1" applyAlignment="1" applyProtection="1">
      <alignment horizontal="center" vertical="center"/>
    </xf>
    <xf numFmtId="4" fontId="40" fillId="20" borderId="63" xfId="0" applyNumberFormat="1" applyFont="1" applyFill="1" applyBorder="1" applyAlignment="1" applyProtection="1">
      <alignment horizontal="center" vertical="center"/>
    </xf>
    <xf numFmtId="4" fontId="40" fillId="20" borderId="55" xfId="0" applyNumberFormat="1" applyFont="1" applyFill="1" applyBorder="1" applyAlignment="1" applyProtection="1">
      <alignment horizontal="center" vertical="center"/>
    </xf>
    <xf numFmtId="0" fontId="20" fillId="0" borderId="40" xfId="40" quotePrefix="1" applyFont="1" applyBorder="1" applyAlignment="1" applyProtection="1">
      <alignment horizontal="center" vertical="center" wrapText="1"/>
    </xf>
    <xf numFmtId="170" fontId="46" fillId="37" borderId="63" xfId="0" applyNumberFormat="1" applyFont="1" applyFill="1" applyBorder="1" applyAlignment="1" applyProtection="1">
      <alignment horizontal="center" wrapText="1"/>
    </xf>
    <xf numFmtId="170" fontId="46" fillId="37" borderId="55" xfId="0" applyNumberFormat="1" applyFont="1" applyFill="1" applyBorder="1" applyAlignment="1" applyProtection="1">
      <alignment horizontal="center" wrapText="1"/>
    </xf>
    <xf numFmtId="0" fontId="44" fillId="0" borderId="0" xfId="40" applyFont="1" applyAlignment="1" applyProtection="1">
      <alignment horizontal="right" vertical="center"/>
    </xf>
    <xf numFmtId="3" fontId="11" fillId="0" borderId="73" xfId="0" applyNumberFormat="1" applyFont="1" applyFill="1" applyBorder="1" applyAlignment="1" applyProtection="1">
      <alignment horizontal="center" vertical="center" wrapText="1"/>
    </xf>
    <xf numFmtId="3" fontId="11" fillId="0" borderId="76" xfId="0" applyNumberFormat="1" applyFont="1" applyFill="1" applyBorder="1" applyAlignment="1" applyProtection="1">
      <alignment horizontal="center" vertical="center" wrapText="1"/>
    </xf>
    <xf numFmtId="3" fontId="11" fillId="0" borderId="77" xfId="0" applyNumberFormat="1" applyFont="1" applyFill="1" applyBorder="1" applyAlignment="1" applyProtection="1">
      <alignment horizontal="center" vertical="center" wrapText="1"/>
    </xf>
    <xf numFmtId="3" fontId="11" fillId="0" borderId="57" xfId="0" applyNumberFormat="1" applyFont="1" applyFill="1" applyBorder="1" applyAlignment="1" applyProtection="1">
      <alignment horizontal="center" vertical="center" wrapText="1"/>
    </xf>
    <xf numFmtId="3" fontId="11" fillId="0" borderId="7" xfId="0" applyNumberFormat="1" applyFont="1" applyFill="1" applyBorder="1" applyAlignment="1" applyProtection="1">
      <alignment horizontal="center" vertical="center" wrapText="1"/>
    </xf>
    <xf numFmtId="3" fontId="11" fillId="0" borderId="53" xfId="0" applyNumberFormat="1" applyFont="1" applyFill="1" applyBorder="1" applyAlignment="1" applyProtection="1">
      <alignment horizontal="center" vertical="center" wrapText="1"/>
    </xf>
    <xf numFmtId="3" fontId="11" fillId="26" borderId="73" xfId="0" applyNumberFormat="1" applyFont="1" applyFill="1" applyBorder="1" applyAlignment="1" applyProtection="1">
      <alignment horizontal="center" vertical="center" wrapText="1"/>
    </xf>
    <xf numFmtId="3" fontId="11" fillId="26" borderId="76" xfId="0" applyNumberFormat="1" applyFont="1" applyFill="1" applyBorder="1" applyAlignment="1" applyProtection="1">
      <alignment horizontal="center" vertical="center" wrapText="1"/>
    </xf>
    <xf numFmtId="3" fontId="11" fillId="26" borderId="77" xfId="0" applyNumberFormat="1" applyFont="1" applyFill="1" applyBorder="1" applyAlignment="1" applyProtection="1">
      <alignment horizontal="center" vertical="center" wrapText="1"/>
    </xf>
    <xf numFmtId="3" fontId="11" fillId="26" borderId="57" xfId="0" applyNumberFormat="1" applyFont="1" applyFill="1" applyBorder="1" applyAlignment="1" applyProtection="1">
      <alignment horizontal="center" vertical="center" wrapText="1"/>
    </xf>
    <xf numFmtId="172" fontId="20" fillId="26" borderId="7" xfId="0" applyNumberFormat="1" applyFont="1" applyFill="1" applyBorder="1" applyAlignment="1" applyProtection="1">
      <alignment horizontal="center" vertical="center" wrapText="1"/>
    </xf>
    <xf numFmtId="172" fontId="20" fillId="26" borderId="53" xfId="0" applyNumberFormat="1" applyFont="1" applyFill="1" applyBorder="1" applyAlignment="1" applyProtection="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1" fontId="40" fillId="27" borderId="7" xfId="0" applyNumberFormat="1" applyFont="1" applyFill="1" applyBorder="1" applyAlignment="1" applyProtection="1">
      <alignment horizontal="center" vertical="center"/>
    </xf>
    <xf numFmtId="171" fontId="39" fillId="24" borderId="7" xfId="0" applyNumberFormat="1" applyFont="1" applyFill="1" applyBorder="1" applyAlignment="1" applyProtection="1">
      <alignment horizontal="center" vertical="center"/>
    </xf>
    <xf numFmtId="3" fontId="40" fillId="29" borderId="7" xfId="49" applyNumberFormat="1" applyFont="1" applyFill="1" applyBorder="1" applyAlignment="1" applyProtection="1">
      <alignment horizontal="right" vertical="center"/>
    </xf>
    <xf numFmtId="4" fontId="13" fillId="26" borderId="7" xfId="0" applyNumberFormat="1" applyFont="1" applyFill="1" applyBorder="1" applyAlignment="1" applyProtection="1">
      <alignment horizontal="center" vertical="center"/>
    </xf>
    <xf numFmtId="171" fontId="103" fillId="26" borderId="7" xfId="49" applyNumberFormat="1" applyFont="1" applyFill="1" applyBorder="1" applyAlignment="1" applyProtection="1">
      <alignment horizontal="center" vertical="center"/>
    </xf>
    <xf numFmtId="3" fontId="40"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2"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39" fillId="24" borderId="7" xfId="0" applyNumberFormat="1" applyFont="1" applyFill="1" applyBorder="1" applyAlignment="1" applyProtection="1">
      <alignment horizontal="left" vertical="center" wrapText="1"/>
    </xf>
    <xf numFmtId="3" fontId="39" fillId="24" borderId="17" xfId="32" applyNumberFormat="1" applyFont="1" applyFill="1" applyBorder="1" applyAlignment="1" applyProtection="1">
      <alignment horizontal="center" vertical="center"/>
    </xf>
    <xf numFmtId="3" fontId="40" fillId="26" borderId="17" xfId="32" applyNumberFormat="1" applyFont="1" applyFill="1" applyBorder="1" applyAlignment="1" applyProtection="1">
      <alignment horizontal="center" vertical="center"/>
    </xf>
    <xf numFmtId="3" fontId="40" fillId="26" borderId="23" xfId="32" applyNumberFormat="1" applyFont="1" applyFill="1" applyBorder="1" applyAlignment="1" applyProtection="1">
      <alignment horizontal="center" vertical="center"/>
    </xf>
    <xf numFmtId="3" fontId="40" fillId="26" borderId="24" xfId="32" applyNumberFormat="1" applyFont="1" applyFill="1" applyBorder="1" applyAlignment="1" applyProtection="1">
      <alignment horizontal="center" vertical="center"/>
    </xf>
    <xf numFmtId="3" fontId="39" fillId="31" borderId="17" xfId="32" applyNumberFormat="1" applyFont="1" applyFill="1" applyBorder="1" applyAlignment="1" applyProtection="1">
      <alignment horizontal="center" vertical="center"/>
    </xf>
    <xf numFmtId="175" fontId="39" fillId="24" borderId="17" xfId="32" applyNumberFormat="1" applyFont="1" applyFill="1" applyBorder="1" applyAlignment="1" applyProtection="1">
      <alignment horizontal="center" vertical="center"/>
    </xf>
    <xf numFmtId="175" fontId="39" fillId="0" borderId="0" xfId="32" applyNumberFormat="1" applyFont="1" applyFill="1" applyBorder="1" applyAlignment="1" applyProtection="1">
      <alignment horizontal="center" vertical="center"/>
    </xf>
    <xf numFmtId="3" fontId="39" fillId="31" borderId="38" xfId="32" applyNumberFormat="1" applyFont="1" applyFill="1" applyBorder="1" applyAlignment="1" applyProtection="1">
      <alignment horizontal="center" vertical="center"/>
    </xf>
    <xf numFmtId="3" fontId="39" fillId="31" borderId="9" xfId="32" applyNumberFormat="1" applyFont="1" applyFill="1" applyBorder="1" applyAlignment="1" applyProtection="1">
      <alignment horizontal="center" vertical="center"/>
    </xf>
    <xf numFmtId="3" fontId="39" fillId="31" borderId="65" xfId="32" applyNumberFormat="1" applyFont="1" applyFill="1" applyBorder="1" applyAlignment="1" applyProtection="1">
      <alignment horizontal="center" vertical="center"/>
    </xf>
    <xf numFmtId="3" fontId="39" fillId="31" borderId="80" xfId="32" applyNumberFormat="1" applyFont="1" applyFill="1" applyBorder="1" applyAlignment="1" applyProtection="1">
      <alignment horizontal="center" vertical="center"/>
    </xf>
    <xf numFmtId="3" fontId="39" fillId="31" borderId="58" xfId="32" applyNumberFormat="1" applyFont="1" applyFill="1" applyBorder="1" applyAlignment="1" applyProtection="1">
      <alignment horizontal="center" vertical="center"/>
    </xf>
    <xf numFmtId="0" fontId="39" fillId="31" borderId="75" xfId="32" applyFont="1" applyFill="1" applyBorder="1" applyAlignment="1" applyProtection="1">
      <alignment horizontal="center" vertical="center"/>
    </xf>
    <xf numFmtId="0" fontId="39" fillId="31" borderId="76" xfId="32" applyFont="1" applyFill="1" applyBorder="1" applyAlignment="1" applyProtection="1">
      <alignment vertical="center"/>
    </xf>
    <xf numFmtId="49" fontId="40" fillId="27" borderId="56" xfId="32" applyNumberFormat="1" applyFont="1" applyFill="1" applyBorder="1" applyAlignment="1" applyProtection="1">
      <alignment horizontal="center" vertical="center" wrapText="1"/>
    </xf>
    <xf numFmtId="49" fontId="20" fillId="37" borderId="35" xfId="0" applyNumberFormat="1" applyFont="1" applyFill="1" applyBorder="1" applyAlignment="1" applyProtection="1">
      <alignment horizontal="center" vertical="center"/>
    </xf>
    <xf numFmtId="49" fontId="20" fillId="37" borderId="41" xfId="0" applyNumberFormat="1" applyFont="1" applyFill="1" applyBorder="1" applyAlignment="1" applyProtection="1">
      <alignment horizontal="center" vertical="center"/>
    </xf>
    <xf numFmtId="0" fontId="20" fillId="37" borderId="35" xfId="0" applyFont="1" applyFill="1" applyBorder="1" applyAlignment="1" applyProtection="1">
      <alignment horizontal="center" vertical="center"/>
    </xf>
    <xf numFmtId="0" fontId="20" fillId="37" borderId="2" xfId="0" applyFont="1" applyFill="1" applyBorder="1" applyAlignment="1" applyProtection="1">
      <alignment horizontal="center" vertical="center" wrapText="1"/>
    </xf>
    <xf numFmtId="0" fontId="20" fillId="37" borderId="3" xfId="0" applyFont="1" applyFill="1" applyBorder="1" applyAlignment="1" applyProtection="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Fill="1" applyBorder="1" applyAlignment="1" applyProtection="1">
      <alignment horizontal="center" vertical="center" wrapText="1"/>
    </xf>
    <xf numFmtId="3" fontId="11" fillId="0" borderId="17" xfId="0" applyNumberFormat="1" applyFont="1" applyFill="1" applyBorder="1" applyAlignment="1" applyProtection="1">
      <alignment horizontal="center" vertical="center" wrapText="1"/>
    </xf>
    <xf numFmtId="3" fontId="11" fillId="0" borderId="39" xfId="0" applyNumberFormat="1" applyFont="1" applyFill="1" applyBorder="1" applyAlignment="1" applyProtection="1">
      <alignment horizontal="center" vertical="center" wrapText="1"/>
    </xf>
    <xf numFmtId="172" fontId="11" fillId="3" borderId="17" xfId="0" applyNumberFormat="1" applyFont="1" applyFill="1" applyBorder="1" applyAlignment="1" applyProtection="1">
      <alignment horizontal="center" vertical="center" wrapText="1"/>
      <protection locked="0"/>
    </xf>
    <xf numFmtId="172" fontId="20" fillId="26" borderId="17" xfId="0" applyNumberFormat="1" applyFont="1" applyFill="1" applyBorder="1" applyAlignment="1" applyProtection="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pplyProtection="1">
      <alignment horizontal="center" vertical="center" wrapText="1"/>
    </xf>
    <xf numFmtId="3" fontId="11" fillId="26" borderId="21" xfId="0" applyNumberFormat="1" applyFont="1" applyFill="1" applyBorder="1" applyAlignment="1" applyProtection="1">
      <alignment horizontal="center" vertical="center" wrapText="1"/>
    </xf>
    <xf numFmtId="3" fontId="11" fillId="0" borderId="21" xfId="0" applyNumberFormat="1" applyFont="1" applyFill="1" applyBorder="1" applyAlignment="1" applyProtection="1">
      <alignment horizontal="center" vertical="center" wrapText="1"/>
    </xf>
    <xf numFmtId="0" fontId="11" fillId="0" borderId="0" xfId="2" applyFont="1" applyBorder="1" applyAlignment="1" applyProtection="1">
      <alignment horizontal="center" vertical="center"/>
    </xf>
    <xf numFmtId="0" fontId="69" fillId="27" borderId="29" xfId="0" applyNumberFormat="1" applyFont="1" applyFill="1" applyBorder="1" applyAlignment="1" applyProtection="1">
      <alignment horizontal="left" vertical="center"/>
    </xf>
    <xf numFmtId="49" fontId="32" fillId="27" borderId="14" xfId="0" applyNumberFormat="1" applyFont="1" applyFill="1" applyBorder="1" applyAlignment="1" applyProtection="1">
      <alignment horizontal="left" vertical="center"/>
    </xf>
    <xf numFmtId="49" fontId="32" fillId="27" borderId="6" xfId="0" applyNumberFormat="1" applyFont="1" applyFill="1" applyBorder="1" applyAlignment="1" applyProtection="1">
      <alignment horizontal="left" vertical="center"/>
    </xf>
    <xf numFmtId="49" fontId="32" fillId="27" borderId="24" xfId="0" applyNumberFormat="1" applyFont="1" applyFill="1" applyBorder="1" applyAlignment="1" applyProtection="1">
      <alignment horizontal="left" vertical="center"/>
    </xf>
    <xf numFmtId="49" fontId="32" fillId="27" borderId="15" xfId="0" applyNumberFormat="1" applyFont="1" applyFill="1" applyBorder="1" applyAlignment="1" applyProtection="1">
      <alignment horizontal="left" vertical="center"/>
    </xf>
    <xf numFmtId="167" fontId="11" fillId="27" borderId="0" xfId="49" applyNumberFormat="1" applyFont="1" applyFill="1" applyBorder="1" applyAlignment="1" applyProtection="1">
      <alignment horizontal="right" vertical="center" wrapText="1"/>
    </xf>
    <xf numFmtId="167" fontId="11" fillId="27" borderId="0" xfId="49" applyNumberFormat="1" applyFont="1" applyFill="1" applyBorder="1" applyAlignment="1" applyProtection="1">
      <alignment horizontal="center" vertical="center" wrapText="1"/>
    </xf>
    <xf numFmtId="4" fontId="39" fillId="27" borderId="75" xfId="49" applyNumberFormat="1" applyFont="1" applyFill="1" applyBorder="1" applyAlignment="1" applyProtection="1">
      <alignment horizontal="center" vertical="center"/>
    </xf>
    <xf numFmtId="4" fontId="39" fillId="27" borderId="73" xfId="49" applyNumberFormat="1" applyFont="1" applyFill="1" applyBorder="1" applyAlignment="1" applyProtection="1">
      <alignment horizontal="center" vertical="center"/>
    </xf>
    <xf numFmtId="4" fontId="39" fillId="27" borderId="76" xfId="49" applyNumberFormat="1" applyFont="1" applyFill="1" applyBorder="1" applyAlignment="1" applyProtection="1">
      <alignment horizontal="center" vertical="center"/>
    </xf>
    <xf numFmtId="4" fontId="39" fillId="27" borderId="72" xfId="49" applyNumberFormat="1" applyFont="1" applyFill="1" applyBorder="1" applyAlignment="1" applyProtection="1">
      <alignment horizontal="center" vertical="center"/>
    </xf>
    <xf numFmtId="4" fontId="39" fillId="27" borderId="52" xfId="49" applyNumberFormat="1" applyFont="1" applyFill="1" applyBorder="1" applyAlignment="1" applyProtection="1">
      <alignment horizontal="center" vertical="center"/>
    </xf>
    <xf numFmtId="4" fontId="39" fillId="27" borderId="7" xfId="49" applyNumberFormat="1" applyFont="1" applyFill="1" applyBorder="1" applyAlignment="1" applyProtection="1">
      <alignment horizontal="center" vertical="center"/>
    </xf>
    <xf numFmtId="4" fontId="39" fillId="27" borderId="53" xfId="49" applyNumberFormat="1" applyFont="1" applyFill="1" applyBorder="1" applyAlignment="1" applyProtection="1">
      <alignment horizontal="center" vertical="center"/>
    </xf>
    <xf numFmtId="4" fontId="39" fillId="27" borderId="32" xfId="49" applyNumberFormat="1" applyFont="1" applyFill="1" applyBorder="1" applyAlignment="1" applyProtection="1">
      <alignment horizontal="center" vertical="center"/>
    </xf>
    <xf numFmtId="4" fontId="39" fillId="27" borderId="56" xfId="49" applyNumberFormat="1" applyFont="1" applyFill="1" applyBorder="1" applyAlignment="1" applyProtection="1">
      <alignment horizontal="center" vertical="center"/>
    </xf>
    <xf numFmtId="4" fontId="39" fillId="27" borderId="77" xfId="49" applyNumberFormat="1" applyFont="1" applyFill="1" applyBorder="1" applyAlignment="1" applyProtection="1">
      <alignment horizontal="center" vertical="center"/>
    </xf>
    <xf numFmtId="4" fontId="39" fillId="27" borderId="57" xfId="49" applyNumberFormat="1" applyFont="1" applyFill="1" applyBorder="1" applyAlignment="1" applyProtection="1">
      <alignment horizontal="center" vertical="center"/>
    </xf>
    <xf numFmtId="4" fontId="39" fillId="27" borderId="79" xfId="49" applyNumberFormat="1" applyFont="1" applyFill="1" applyBorder="1" applyAlignment="1" applyProtection="1">
      <alignment horizontal="center" vertical="center"/>
    </xf>
    <xf numFmtId="0" fontId="64" fillId="37" borderId="2" xfId="52" applyFont="1" applyFill="1" applyBorder="1" applyAlignment="1" applyProtection="1">
      <alignment horizontal="center" vertical="center"/>
    </xf>
    <xf numFmtId="0" fontId="64" fillId="37" borderId="65" xfId="52" applyFont="1" applyFill="1" applyBorder="1" applyAlignment="1" applyProtection="1">
      <alignment horizontal="center" vertical="center"/>
    </xf>
    <xf numFmtId="0" fontId="64" fillId="23" borderId="11" xfId="52" applyFont="1" applyFill="1" applyBorder="1" applyAlignment="1" applyProtection="1">
      <alignment horizontal="center" vertical="center"/>
    </xf>
    <xf numFmtId="0" fontId="56" fillId="31" borderId="51" xfId="52" applyFont="1" applyFill="1" applyBorder="1" applyAlignment="1" applyProtection="1">
      <alignment horizontal="center" vertical="center" wrapText="1"/>
    </xf>
    <xf numFmtId="0" fontId="40" fillId="26" borderId="24" xfId="0" applyFont="1" applyFill="1" applyBorder="1" applyAlignment="1" applyProtection="1">
      <alignment vertical="center" wrapText="1"/>
    </xf>
    <xf numFmtId="0" fontId="56" fillId="20" borderId="17" xfId="52" applyFont="1" applyFill="1" applyBorder="1" applyAlignment="1" applyProtection="1">
      <alignment horizontal="center" vertical="center" wrapText="1"/>
    </xf>
    <xf numFmtId="0" fontId="56" fillId="31" borderId="5" xfId="52" applyFont="1" applyFill="1" applyBorder="1" applyAlignment="1" applyProtection="1">
      <alignment horizontal="center" vertical="center" wrapText="1"/>
    </xf>
    <xf numFmtId="0" fontId="56" fillId="31" borderId="39" xfId="52" applyFont="1" applyFill="1" applyBorder="1" applyAlignment="1" applyProtection="1">
      <alignment horizontal="center" vertical="center" wrapText="1"/>
    </xf>
    <xf numFmtId="0" fontId="56" fillId="20" borderId="51" xfId="52" applyFont="1" applyFill="1" applyBorder="1" applyAlignment="1" applyProtection="1">
      <alignment horizontal="center" vertical="center" wrapText="1"/>
    </xf>
    <xf numFmtId="0" fontId="56" fillId="20" borderId="21" xfId="52" applyFont="1" applyFill="1" applyBorder="1" applyAlignment="1" applyProtection="1">
      <alignment horizontal="center" vertical="center" wrapText="1"/>
    </xf>
    <xf numFmtId="0" fontId="56" fillId="31" borderId="17" xfId="52" applyFont="1" applyFill="1" applyBorder="1" applyAlignment="1" applyProtection="1">
      <alignment horizontal="center" vertical="center" wrapText="1"/>
    </xf>
    <xf numFmtId="0" fontId="56" fillId="31" borderId="21" xfId="52" applyFont="1" applyFill="1" applyBorder="1" applyAlignment="1" applyProtection="1">
      <alignment horizontal="center" vertical="center" wrapText="1"/>
    </xf>
    <xf numFmtId="0" fontId="56" fillId="23" borderId="8" xfId="52" applyFont="1" applyFill="1" applyBorder="1" applyAlignment="1" applyProtection="1">
      <alignment horizontal="center" vertical="center" wrapText="1"/>
    </xf>
    <xf numFmtId="4" fontId="40" fillId="0" borderId="17" xfId="0" applyNumberFormat="1" applyFont="1" applyFill="1" applyBorder="1" applyAlignment="1" applyProtection="1">
      <alignment horizontal="center" vertical="center"/>
    </xf>
    <xf numFmtId="4" fontId="40" fillId="20" borderId="17" xfId="0" applyNumberFormat="1" applyFont="1" applyFill="1" applyBorder="1" applyAlignment="1" applyProtection="1">
      <alignment horizontal="center" vertical="center"/>
    </xf>
    <xf numFmtId="4" fontId="40" fillId="20" borderId="39" xfId="0" applyNumberFormat="1" applyFont="1" applyFill="1" applyBorder="1" applyAlignment="1" applyProtection="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pplyProtection="1">
      <alignment horizontal="left" vertical="center"/>
    </xf>
    <xf numFmtId="0" fontId="40" fillId="0" borderId="10" xfId="49" applyFont="1" applyFill="1" applyBorder="1" applyAlignment="1" applyProtection="1">
      <alignment horizontal="left" vertical="center" wrapText="1"/>
    </xf>
    <xf numFmtId="0" fontId="40" fillId="26" borderId="60" xfId="49" applyFont="1" applyFill="1" applyBorder="1" applyAlignment="1" applyProtection="1">
      <alignment horizontal="left" vertical="center" wrapText="1"/>
    </xf>
    <xf numFmtId="168" fontId="41" fillId="26" borderId="99" xfId="49" applyNumberFormat="1" applyFont="1" applyFill="1" applyBorder="1" applyAlignment="1" applyProtection="1">
      <alignment horizontal="center" vertical="center" wrapText="1"/>
    </xf>
    <xf numFmtId="168" fontId="41" fillId="26" borderId="90" xfId="49" applyNumberFormat="1" applyFont="1" applyFill="1" applyBorder="1" applyAlignment="1" applyProtection="1">
      <alignment horizontal="center" vertical="center" wrapText="1"/>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pplyProtection="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171" fontId="40" fillId="0" borderId="72" xfId="0" applyNumberFormat="1" applyFont="1" applyFill="1" applyBorder="1" applyAlignment="1" applyProtection="1">
      <alignment horizontal="center" vertical="center"/>
    </xf>
    <xf numFmtId="171" fontId="40" fillId="0" borderId="14" xfId="0" applyNumberFormat="1" applyFont="1" applyFill="1" applyBorder="1" applyAlignment="1" applyProtection="1">
      <alignment horizontal="center" vertical="center"/>
    </xf>
    <xf numFmtId="171" fontId="40" fillId="0" borderId="32" xfId="0" applyNumberFormat="1" applyFont="1" applyFill="1" applyBorder="1" applyAlignment="1" applyProtection="1">
      <alignment horizontal="center" vertical="center"/>
    </xf>
    <xf numFmtId="171" fontId="40" fillId="0" borderId="15" xfId="0" applyNumberFormat="1" applyFont="1" applyFill="1" applyBorder="1" applyAlignment="1" applyProtection="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pplyProtection="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5" fontId="40" fillId="3" borderId="23" xfId="32" applyNumberFormat="1" applyFont="1" applyFill="1" applyBorder="1" applyAlignment="1" applyProtection="1">
      <alignment horizontal="center" vertical="center"/>
      <protection locked="0"/>
    </xf>
    <xf numFmtId="175"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pplyProtection="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pplyProtection="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pplyProtection="1">
      <alignment horizontal="right" vertical="center"/>
    </xf>
    <xf numFmtId="3" fontId="40" fillId="29" borderId="77" xfId="49" applyNumberFormat="1" applyFont="1" applyFill="1" applyBorder="1" applyAlignment="1" applyProtection="1">
      <alignment horizontal="right" vertical="center"/>
    </xf>
    <xf numFmtId="3" fontId="40" fillId="29" borderId="57" xfId="49" applyNumberFormat="1" applyFont="1" applyFill="1" applyBorder="1" applyAlignment="1" applyProtection="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pplyProtection="1">
      <alignment vertical="center"/>
    </xf>
    <xf numFmtId="3" fontId="39" fillId="31" borderId="3" xfId="32" applyNumberFormat="1" applyFont="1" applyFill="1" applyBorder="1" applyAlignment="1" applyProtection="1">
      <alignment vertical="center"/>
    </xf>
    <xf numFmtId="0" fontId="40" fillId="27" borderId="49" xfId="32" applyFont="1" applyFill="1" applyBorder="1" applyAlignment="1" applyProtection="1">
      <alignment horizontal="center" vertical="center"/>
    </xf>
    <xf numFmtId="0" fontId="40" fillId="27" borderId="52" xfId="32" applyFont="1" applyFill="1" applyBorder="1" applyAlignment="1" applyProtection="1">
      <alignment horizontal="center" vertical="center"/>
    </xf>
    <xf numFmtId="0" fontId="40" fillId="27" borderId="54" xfId="32" applyFont="1" applyFill="1" applyBorder="1" applyAlignment="1" applyProtection="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pplyProtection="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2"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78" fillId="27" borderId="0" xfId="49" applyNumberFormat="1" applyFont="1" applyFill="1" applyBorder="1" applyAlignment="1" applyProtection="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15"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38"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9"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3" fontId="11" fillId="3" borderId="3"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3" fontId="11" fillId="3" borderId="73" xfId="31" applyNumberFormat="1" applyFont="1" applyFill="1" applyBorder="1" applyAlignment="1" applyProtection="1">
      <alignment horizontal="center" vertical="center" wrapText="1"/>
      <protection locked="0"/>
    </xf>
    <xf numFmtId="0" fontId="11" fillId="3" borderId="72" xfId="31" applyFont="1" applyFill="1" applyBorder="1" applyAlignment="1" applyProtection="1">
      <alignment horizontal="center" vertical="center" wrapText="1"/>
      <protection locked="0"/>
    </xf>
    <xf numFmtId="0" fontId="11" fillId="3" borderId="74" xfId="31" applyFont="1" applyFill="1" applyBorder="1" applyAlignment="1" applyProtection="1">
      <alignment horizontal="center" vertical="center" wrapText="1"/>
      <protection locked="0"/>
    </xf>
    <xf numFmtId="3" fontId="11" fillId="3" borderId="76"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74" xfId="31" applyNumberFormat="1" applyFont="1" applyFill="1" applyBorder="1" applyAlignment="1" applyProtection="1">
      <alignment horizontal="center" vertical="center" wrapText="1"/>
      <protection locked="0"/>
    </xf>
    <xf numFmtId="0" fontId="11" fillId="3" borderId="76" xfId="31" applyFont="1" applyFill="1" applyBorder="1" applyAlignment="1" applyProtection="1">
      <alignment horizontal="center" vertical="center" wrapText="1"/>
      <protection locked="0"/>
    </xf>
    <xf numFmtId="3" fontId="11" fillId="3" borderId="77" xfId="31" applyNumberFormat="1" applyFont="1" applyFill="1" applyBorder="1" applyAlignment="1" applyProtection="1">
      <alignment horizontal="center" vertical="center" wrapText="1"/>
      <protection locked="0"/>
    </xf>
    <xf numFmtId="0" fontId="11" fillId="3" borderId="32" xfId="31" applyFont="1" applyFill="1" applyBorder="1" applyAlignment="1" applyProtection="1">
      <alignment horizontal="center" vertical="center" wrapText="1"/>
      <protection locked="0"/>
    </xf>
    <xf numFmtId="0" fontId="11" fillId="3" borderId="62"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56" xfId="3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3" borderId="64" xfId="31" applyNumberFormat="1" applyFont="1" applyFill="1" applyBorder="1" applyAlignment="1" applyProtection="1">
      <alignment horizontal="center" vertical="center" wrapText="1"/>
      <protection locked="0"/>
    </xf>
    <xf numFmtId="0" fontId="11" fillId="3" borderId="57" xfId="31" applyFont="1" applyFill="1" applyBorder="1" applyAlignment="1" applyProtection="1">
      <alignment horizontal="center" vertical="center" wrapText="1"/>
      <protection locked="0"/>
    </xf>
    <xf numFmtId="0" fontId="11" fillId="3" borderId="37" xfId="31" applyFont="1" applyFill="1" applyBorder="1" applyAlignment="1" applyProtection="1">
      <alignment horizontal="center" vertical="center" wrapText="1"/>
      <protection locked="0"/>
    </xf>
    <xf numFmtId="3" fontId="11" fillId="3" borderId="57" xfId="31" applyNumberFormat="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3" fontId="11" fillId="28" borderId="73" xfId="31" applyNumberFormat="1" applyFont="1" applyFill="1" applyBorder="1" applyAlignment="1" applyProtection="1">
      <alignment horizontal="center" vertical="center" wrapText="1"/>
      <protection locked="0"/>
    </xf>
    <xf numFmtId="0" fontId="11" fillId="28" borderId="74" xfId="31" applyFont="1" applyFill="1" applyBorder="1" applyAlignment="1" applyProtection="1">
      <alignment horizontal="center" vertical="center" wrapText="1"/>
      <protection locked="0"/>
    </xf>
    <xf numFmtId="3" fontId="11" fillId="28" borderId="77" xfId="31" applyNumberFormat="1" applyFont="1" applyFill="1" applyBorder="1" applyAlignment="1" applyProtection="1">
      <alignment horizontal="center" vertical="center" wrapText="1"/>
      <protection locked="0"/>
    </xf>
    <xf numFmtId="0" fontId="11" fillId="28" borderId="57"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Fill="1" applyBorder="1" applyAlignment="1" applyProtection="1">
      <alignment horizontal="center" vertical="center" wrapText="1"/>
    </xf>
    <xf numFmtId="3" fontId="20" fillId="0" borderId="73" xfId="0" applyNumberFormat="1" applyFont="1" applyFill="1" applyBorder="1" applyAlignment="1" applyProtection="1">
      <alignment horizontal="center" vertical="center" wrapText="1"/>
    </xf>
    <xf numFmtId="3" fontId="20" fillId="0" borderId="76" xfId="0" applyNumberFormat="1" applyFont="1" applyFill="1" applyBorder="1" applyAlignment="1" applyProtection="1">
      <alignment horizontal="center" vertical="center" wrapText="1"/>
    </xf>
    <xf numFmtId="3" fontId="20" fillId="0" borderId="17"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center" vertical="center" wrapText="1"/>
    </xf>
    <xf numFmtId="3" fontId="20" fillId="0" borderId="53" xfId="0" applyNumberFormat="1" applyFont="1" applyFill="1" applyBorder="1" applyAlignment="1" applyProtection="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pplyProtection="1">
      <alignment horizontal="center" vertical="center" wrapText="1"/>
    </xf>
    <xf numFmtId="0" fontId="64" fillId="23" borderId="65" xfId="57" applyFont="1" applyFill="1" applyBorder="1" applyAlignment="1" applyProtection="1">
      <alignment horizontal="center" vertical="center" wrapText="1"/>
    </xf>
    <xf numFmtId="0" fontId="64" fillId="23" borderId="9" xfId="57" applyFont="1" applyFill="1" applyBorder="1" applyAlignment="1" applyProtection="1">
      <alignment horizontal="center" vertical="center" wrapText="1"/>
    </xf>
    <xf numFmtId="0" fontId="64" fillId="23" borderId="10" xfId="57" applyFont="1" applyFill="1" applyBorder="1" applyAlignment="1" applyProtection="1">
      <alignment horizontal="center" vertical="center" wrapText="1"/>
    </xf>
    <xf numFmtId="49" fontId="64" fillId="31" borderId="17" xfId="57" applyNumberFormat="1" applyFont="1" applyFill="1" applyBorder="1" applyAlignment="1" applyProtection="1">
      <alignment horizontal="center" vertical="center" wrapText="1"/>
    </xf>
    <xf numFmtId="0" fontId="64" fillId="31" borderId="15" xfId="57" applyFont="1" applyFill="1" applyBorder="1" applyAlignment="1" applyProtection="1">
      <alignment horizontal="left" vertical="center" wrapText="1"/>
    </xf>
    <xf numFmtId="0" fontId="56" fillId="31" borderId="51" xfId="57" applyFont="1" applyFill="1" applyBorder="1" applyAlignment="1" applyProtection="1">
      <alignment horizontal="center" vertical="center" wrapText="1"/>
    </xf>
    <xf numFmtId="3" fontId="64" fillId="31" borderId="49" xfId="57" applyNumberFormat="1" applyFont="1" applyFill="1" applyBorder="1" applyAlignment="1" applyProtection="1">
      <alignment horizontal="center" vertical="center"/>
    </xf>
    <xf numFmtId="3" fontId="64" fillId="31" borderId="31" xfId="57" applyNumberFormat="1" applyFont="1" applyFill="1" applyBorder="1" applyAlignment="1" applyProtection="1">
      <alignment horizontal="center" vertical="center"/>
    </xf>
    <xf numFmtId="3" fontId="64" fillId="31" borderId="50" xfId="57" applyNumberFormat="1" applyFont="1" applyFill="1" applyBorder="1" applyAlignment="1" applyProtection="1">
      <alignment horizontal="center" vertical="center"/>
    </xf>
    <xf numFmtId="49" fontId="56" fillId="27" borderId="17" xfId="57" applyNumberFormat="1" applyFont="1" applyFill="1" applyBorder="1" applyAlignment="1" applyProtection="1">
      <alignment horizontal="center" vertical="center" wrapText="1"/>
    </xf>
    <xf numFmtId="0" fontId="56" fillId="20" borderId="17" xfId="57" applyFont="1" applyFill="1" applyBorder="1" applyAlignment="1" applyProtection="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pplyProtection="1">
      <alignment horizontal="center" vertical="center" wrapText="1"/>
    </xf>
    <xf numFmtId="3" fontId="64" fillId="31" borderId="75" xfId="57" applyNumberFormat="1" applyFont="1" applyFill="1" applyBorder="1" applyAlignment="1" applyProtection="1">
      <alignment horizontal="center" vertical="center"/>
    </xf>
    <xf numFmtId="3" fontId="64" fillId="31" borderId="73" xfId="57" applyNumberFormat="1" applyFont="1" applyFill="1" applyBorder="1" applyAlignment="1" applyProtection="1">
      <alignment horizontal="center" vertical="center"/>
    </xf>
    <xf numFmtId="3" fontId="64" fillId="31" borderId="76" xfId="57" applyNumberFormat="1" applyFont="1" applyFill="1" applyBorder="1" applyAlignment="1" applyProtection="1">
      <alignment horizontal="center" vertical="center"/>
    </xf>
    <xf numFmtId="0" fontId="56" fillId="31" borderId="17" xfId="57" applyFont="1" applyFill="1" applyBorder="1" applyAlignment="1" applyProtection="1">
      <alignment horizontal="center" vertical="center" wrapText="1"/>
    </xf>
    <xf numFmtId="172" fontId="64" fillId="31" borderId="52" xfId="57" applyNumberFormat="1" applyFont="1" applyFill="1" applyBorder="1" applyAlignment="1" applyProtection="1">
      <alignment horizontal="center" vertical="center"/>
    </xf>
    <xf numFmtId="172" fontId="64" fillId="31" borderId="7" xfId="57" applyNumberFormat="1" applyFont="1" applyFill="1" applyBorder="1" applyAlignment="1" applyProtection="1">
      <alignment horizontal="center" vertical="center"/>
    </xf>
    <xf numFmtId="172" fontId="64" fillId="31" borderId="53" xfId="57" applyNumberFormat="1" applyFont="1" applyFill="1" applyBorder="1" applyAlignment="1" applyProtection="1">
      <alignment horizontal="center" vertical="center"/>
    </xf>
    <xf numFmtId="0" fontId="56" fillId="20" borderId="5" xfId="57" applyFont="1" applyFill="1" applyBorder="1" applyAlignment="1" applyProtection="1">
      <alignment horizontal="center" vertical="center" wrapText="1"/>
    </xf>
    <xf numFmtId="3" fontId="64" fillId="27" borderId="49" xfId="57" applyNumberFormat="1" applyFont="1" applyFill="1" applyBorder="1" applyAlignment="1" applyProtection="1">
      <alignment horizontal="center" vertical="center"/>
    </xf>
    <xf numFmtId="3" fontId="64" fillId="27" borderId="31" xfId="57" applyNumberFormat="1" applyFont="1" applyFill="1" applyBorder="1" applyAlignment="1" applyProtection="1">
      <alignment horizontal="center" vertical="center"/>
    </xf>
    <xf numFmtId="3" fontId="64" fillId="27" borderId="50" xfId="57" applyNumberFormat="1" applyFont="1" applyFill="1" applyBorder="1" applyAlignment="1" applyProtection="1">
      <alignment horizontal="center" vertical="center"/>
    </xf>
    <xf numFmtId="172" fontId="64" fillId="27" borderId="52" xfId="57" applyNumberFormat="1" applyFont="1" applyFill="1" applyBorder="1" applyAlignment="1" applyProtection="1">
      <alignment horizontal="center" vertical="center"/>
    </xf>
    <xf numFmtId="172" fontId="64" fillId="27" borderId="7" xfId="57" applyNumberFormat="1" applyFont="1" applyFill="1" applyBorder="1" applyAlignment="1" applyProtection="1">
      <alignment horizontal="center" vertical="center"/>
    </xf>
    <xf numFmtId="172" fontId="64" fillId="27" borderId="53" xfId="57" applyNumberFormat="1" applyFont="1" applyFill="1" applyBorder="1" applyAlignment="1" applyProtection="1">
      <alignment horizontal="center" vertical="center"/>
    </xf>
    <xf numFmtId="0" fontId="56" fillId="20" borderId="21" xfId="57" applyFont="1" applyFill="1" applyBorder="1" applyAlignment="1" applyProtection="1">
      <alignment horizontal="center" vertical="center" wrapText="1"/>
    </xf>
    <xf numFmtId="49" fontId="64" fillId="27" borderId="17" xfId="57" applyNumberFormat="1" applyFont="1" applyFill="1" applyBorder="1" applyAlignment="1" applyProtection="1">
      <alignment horizontal="center" vertical="center" wrapText="1"/>
    </xf>
    <xf numFmtId="0" fontId="64" fillId="20" borderId="15" xfId="57" applyFont="1" applyFill="1" applyBorder="1" applyAlignment="1" applyProtection="1">
      <alignment horizontal="left" vertical="center" wrapText="1"/>
    </xf>
    <xf numFmtId="49" fontId="64" fillId="27" borderId="21" xfId="57" applyNumberFormat="1" applyFont="1" applyFill="1" applyBorder="1" applyAlignment="1" applyProtection="1">
      <alignment horizontal="center" vertical="center" wrapText="1"/>
    </xf>
    <xf numFmtId="0" fontId="64" fillId="20" borderId="19" xfId="57" applyFont="1" applyFill="1" applyBorder="1" applyAlignment="1" applyProtection="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pplyProtection="1">
      <alignment horizontal="center" vertical="center"/>
    </xf>
    <xf numFmtId="4" fontId="64" fillId="31" borderId="7" xfId="57" applyNumberFormat="1" applyFont="1" applyFill="1" applyBorder="1" applyAlignment="1" applyProtection="1">
      <alignment horizontal="center" vertical="center"/>
    </xf>
    <xf numFmtId="3" fontId="64" fillId="26" borderId="49" xfId="57" applyNumberFormat="1" applyFont="1" applyFill="1" applyBorder="1" applyAlignment="1" applyProtection="1">
      <alignment horizontal="center" vertical="center"/>
    </xf>
    <xf numFmtId="3" fontId="64" fillId="26" borderId="31" xfId="57" applyNumberFormat="1" applyFont="1" applyFill="1" applyBorder="1" applyAlignment="1" applyProtection="1">
      <alignment horizontal="center" vertical="center"/>
    </xf>
    <xf numFmtId="3" fontId="64" fillId="26" borderId="50" xfId="57" applyNumberFormat="1" applyFont="1" applyFill="1" applyBorder="1" applyAlignment="1" applyProtection="1">
      <alignment horizontal="center" vertical="center"/>
    </xf>
    <xf numFmtId="172" fontId="64" fillId="26" borderId="52" xfId="57" applyNumberFormat="1" applyFont="1" applyFill="1" applyBorder="1" applyAlignment="1" applyProtection="1">
      <alignment horizontal="center" vertical="center"/>
    </xf>
    <xf numFmtId="172" fontId="64" fillId="26" borderId="7" xfId="57" applyNumberFormat="1" applyFont="1" applyFill="1" applyBorder="1" applyAlignment="1" applyProtection="1">
      <alignment horizontal="center" vertical="center"/>
    </xf>
    <xf numFmtId="172" fontId="64" fillId="26" borderId="53" xfId="57" applyNumberFormat="1" applyFont="1" applyFill="1" applyBorder="1" applyAlignment="1" applyProtection="1">
      <alignment horizontal="center" vertical="center"/>
    </xf>
    <xf numFmtId="49" fontId="56" fillId="26" borderId="17" xfId="57" applyNumberFormat="1"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xf>
    <xf numFmtId="49" fontId="56" fillId="26" borderId="21" xfId="57" applyNumberFormat="1" applyFont="1" applyFill="1" applyBorder="1" applyAlignment="1" applyProtection="1">
      <alignment horizontal="center" vertical="center" wrapText="1"/>
    </xf>
    <xf numFmtId="0" fontId="56" fillId="26" borderId="19" xfId="57" applyFont="1" applyFill="1" applyBorder="1" applyAlignment="1" applyProtection="1">
      <alignment horizontal="left" vertical="center"/>
    </xf>
    <xf numFmtId="0" fontId="56" fillId="20" borderId="51" xfId="57"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wrapText="1"/>
    </xf>
    <xf numFmtId="0" fontId="56" fillId="20" borderId="19" xfId="57" applyFont="1" applyFill="1" applyBorder="1" applyAlignment="1" applyProtection="1">
      <alignment horizontal="left" vertical="center"/>
    </xf>
    <xf numFmtId="0" fontId="56" fillId="31" borderId="5" xfId="57" applyFont="1" applyFill="1" applyBorder="1" applyAlignment="1" applyProtection="1">
      <alignment horizontal="center" vertical="center" wrapText="1"/>
    </xf>
    <xf numFmtId="0" fontId="56" fillId="31" borderId="21" xfId="57" applyFont="1" applyFill="1" applyBorder="1" applyAlignment="1" applyProtection="1">
      <alignment horizontal="center" vertical="center" wrapText="1"/>
    </xf>
    <xf numFmtId="3" fontId="97" fillId="31" borderId="56" xfId="58" applyNumberFormat="1" applyFont="1" applyFill="1" applyBorder="1" applyAlignment="1" applyProtection="1">
      <alignment horizontal="center" vertical="center"/>
    </xf>
    <xf numFmtId="3" fontId="97" fillId="31" borderId="77" xfId="58" applyNumberFormat="1" applyFont="1" applyFill="1" applyBorder="1" applyAlignment="1" applyProtection="1">
      <alignment horizontal="center" vertical="center"/>
    </xf>
    <xf numFmtId="3" fontId="97" fillId="31" borderId="57" xfId="58" applyNumberFormat="1" applyFont="1" applyFill="1" applyBorder="1" applyAlignment="1" applyProtection="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pplyProtection="1">
      <alignment horizontal="center" vertical="center"/>
    </xf>
    <xf numFmtId="4" fontId="64" fillId="31" borderId="62" xfId="57" applyNumberFormat="1" applyFont="1" applyFill="1" applyBorder="1" applyAlignment="1" applyProtection="1">
      <alignment horizontal="center" vertical="center"/>
    </xf>
    <xf numFmtId="4" fontId="64" fillId="31" borderId="23" xfId="57" applyNumberFormat="1" applyFont="1" applyFill="1" applyBorder="1" applyAlignment="1" applyProtection="1">
      <alignment horizontal="center" vertical="center"/>
    </xf>
    <xf numFmtId="4" fontId="64" fillId="31" borderId="53" xfId="57" applyNumberFormat="1" applyFont="1" applyFill="1" applyBorder="1" applyAlignment="1" applyProtection="1">
      <alignment horizontal="center" vertical="center"/>
    </xf>
    <xf numFmtId="49" fontId="64" fillId="0" borderId="29" xfId="80" applyNumberFormat="1" applyFont="1" applyFill="1" applyBorder="1" applyAlignment="1" applyProtection="1">
      <alignment horizontal="center" vertical="center" wrapText="1"/>
    </xf>
    <xf numFmtId="0" fontId="56" fillId="20" borderId="17" xfId="80" applyFont="1" applyFill="1" applyBorder="1" applyAlignment="1" applyProtection="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Fill="1" applyBorder="1" applyAlignment="1" applyProtection="1">
      <alignment vertical="center" wrapText="1"/>
    </xf>
    <xf numFmtId="0" fontId="40" fillId="0" borderId="17" xfId="0" applyFont="1" applyFill="1" applyBorder="1" applyAlignment="1" applyProtection="1">
      <alignment vertical="center" wrapText="1"/>
    </xf>
    <xf numFmtId="0" fontId="40" fillId="0" borderId="21" xfId="0" applyFont="1" applyFill="1" applyBorder="1" applyAlignment="1" applyProtection="1">
      <alignment vertical="center" wrapText="1"/>
    </xf>
    <xf numFmtId="0" fontId="11" fillId="3" borderId="48" xfId="0"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56"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pplyProtection="1">
      <alignment horizontal="right" vertical="center"/>
    </xf>
    <xf numFmtId="0" fontId="40" fillId="26" borderId="36" xfId="0" applyFont="1" applyFill="1" applyBorder="1" applyAlignment="1" applyProtection="1">
      <alignment vertical="center" wrapText="1"/>
    </xf>
    <xf numFmtId="0" fontId="39" fillId="24" borderId="55" xfId="32" applyFont="1" applyFill="1" applyBorder="1" applyAlignment="1" applyProtection="1">
      <alignment horizontal="left" vertical="center"/>
    </xf>
    <xf numFmtId="0" fontId="18" fillId="27" borderId="20" xfId="32" applyFont="1" applyFill="1" applyBorder="1" applyAlignment="1" applyProtection="1">
      <alignment horizontal="center" vertical="center" wrapText="1"/>
    </xf>
    <xf numFmtId="171" fontId="13" fillId="26" borderId="7" xfId="0" applyNumberFormat="1" applyFont="1" applyFill="1" applyBorder="1" applyAlignment="1" applyProtection="1">
      <alignment horizontal="center" vertical="center"/>
    </xf>
    <xf numFmtId="170" fontId="39" fillId="37" borderId="47" xfId="32" applyNumberFormat="1" applyFont="1" applyFill="1" applyBorder="1" applyAlignment="1" applyProtection="1">
      <alignment horizontal="center" vertical="center" wrapText="1"/>
    </xf>
    <xf numFmtId="170" fontId="39" fillId="37" borderId="71" xfId="32" applyNumberFormat="1" applyFont="1" applyFill="1" applyBorder="1" applyAlignment="1" applyProtection="1">
      <alignment horizontal="center" vertical="center" wrapText="1"/>
    </xf>
    <xf numFmtId="170" fontId="39" fillId="37" borderId="48" xfId="32" applyNumberFormat="1" applyFont="1" applyFill="1" applyBorder="1" applyAlignment="1" applyProtection="1">
      <alignment horizontal="center" vertical="center" wrapText="1"/>
    </xf>
    <xf numFmtId="170" fontId="39" fillId="31" borderId="51" xfId="32" applyNumberFormat="1" applyFont="1" applyFill="1" applyBorder="1" applyAlignment="1" applyProtection="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pplyProtection="1">
      <alignment vertical="center" wrapText="1"/>
    </xf>
    <xf numFmtId="0" fontId="41" fillId="27" borderId="25" xfId="0"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0" borderId="53" xfId="0" applyFont="1" applyFill="1" applyBorder="1" applyAlignment="1" applyProtection="1">
      <alignment horizontal="right" vertical="center" wrapText="1"/>
    </xf>
    <xf numFmtId="0" fontId="41" fillId="0" borderId="57" xfId="0" applyFont="1" applyFill="1" applyBorder="1" applyAlignment="1" applyProtection="1">
      <alignment horizontal="right" vertical="center"/>
    </xf>
    <xf numFmtId="3" fontId="120" fillId="28" borderId="52" xfId="0" applyNumberFormat="1" applyFont="1" applyFill="1" applyBorder="1" applyAlignment="1" applyProtection="1">
      <alignment horizontal="center" vertical="center"/>
      <protection locked="0"/>
    </xf>
    <xf numFmtId="3" fontId="120" fillId="28" borderId="7" xfId="0" applyNumberFormat="1" applyFont="1" applyFill="1" applyBorder="1" applyAlignment="1" applyProtection="1">
      <alignment horizontal="center" vertical="center"/>
      <protection locked="0"/>
    </xf>
    <xf numFmtId="3" fontId="120" fillId="28" borderId="53"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wrapText="1"/>
      <protection locked="0"/>
    </xf>
    <xf numFmtId="167" fontId="39" fillId="24" borderId="7" xfId="0" applyNumberFormat="1" applyFont="1" applyFill="1" applyBorder="1" applyAlignment="1" applyProtection="1">
      <alignment horizontal="center" vertical="center"/>
    </xf>
    <xf numFmtId="167" fontId="40" fillId="29" borderId="7" xfId="49" applyNumberFormat="1" applyFont="1" applyFill="1" applyBorder="1" applyAlignment="1" applyProtection="1">
      <alignment horizontal="right" vertical="center"/>
    </xf>
    <xf numFmtId="167" fontId="13" fillId="26" borderId="7" xfId="0" applyNumberFormat="1" applyFont="1" applyFill="1" applyBorder="1" applyAlignment="1" applyProtection="1">
      <alignment horizontal="center" vertical="center"/>
    </xf>
    <xf numFmtId="167" fontId="40" fillId="27" borderId="7" xfId="0" applyNumberFormat="1" applyFont="1" applyFill="1" applyBorder="1" applyAlignment="1" applyProtection="1">
      <alignment horizontal="center" vertical="center"/>
    </xf>
    <xf numFmtId="0" fontId="44" fillId="0" borderId="0" xfId="32" applyFont="1" applyAlignment="1" applyProtection="1">
      <alignment horizontal="center" vertical="center"/>
    </xf>
    <xf numFmtId="0" fontId="44" fillId="0" borderId="0" xfId="43" applyFont="1" applyBorder="1" applyAlignment="1" applyProtection="1">
      <alignment horizontal="center" vertical="center"/>
    </xf>
    <xf numFmtId="167" fontId="46" fillId="21" borderId="38" xfId="48" applyNumberFormat="1" applyFont="1" applyFill="1" applyBorder="1" applyAlignment="1" applyProtection="1">
      <alignment horizontal="center" vertical="center"/>
    </xf>
    <xf numFmtId="167" fontId="46" fillId="21" borderId="9" xfId="48" applyNumberFormat="1" applyFont="1" applyFill="1" applyBorder="1" applyAlignment="1" applyProtection="1">
      <alignment horizontal="center" vertical="center"/>
    </xf>
    <xf numFmtId="167" fontId="46" fillId="21" borderId="10" xfId="48" applyNumberFormat="1" applyFont="1" applyFill="1" applyBorder="1" applyAlignment="1" applyProtection="1">
      <alignment horizontal="center" vertical="center"/>
    </xf>
    <xf numFmtId="0" fontId="122" fillId="0" borderId="0" xfId="0" quotePrefix="1" applyFont="1" applyFill="1" applyBorder="1" applyAlignment="1" applyProtection="1">
      <alignment horizontal="center" vertical="center"/>
    </xf>
    <xf numFmtId="0" fontId="122" fillId="0" borderId="0" xfId="0" applyFont="1" applyFill="1" applyBorder="1" applyAlignment="1" applyProtection="1">
      <alignment vertical="center"/>
    </xf>
    <xf numFmtId="0" fontId="121" fillId="0" borderId="0" xfId="0" applyFont="1" applyFill="1" applyBorder="1" applyAlignment="1" applyProtection="1">
      <alignment horizontal="center" vertical="center"/>
    </xf>
    <xf numFmtId="3" fontId="121" fillId="0" borderId="0" xfId="0" applyNumberFormat="1" applyFont="1" applyFill="1" applyBorder="1" applyAlignment="1" applyProtection="1">
      <alignment horizontal="center" vertical="center"/>
    </xf>
    <xf numFmtId="170" fontId="46" fillId="37" borderId="79" xfId="0" applyNumberFormat="1" applyFont="1" applyFill="1" applyBorder="1" applyAlignment="1" applyProtection="1">
      <alignment horizontal="center" wrapText="1"/>
    </xf>
    <xf numFmtId="0" fontId="26" fillId="27" borderId="0" xfId="0" applyFont="1" applyFill="1" applyAlignment="1">
      <alignment vertical="center"/>
    </xf>
    <xf numFmtId="0" fontId="41" fillId="0" borderId="53" xfId="0" applyFont="1" applyFill="1" applyBorder="1" applyAlignment="1" applyProtection="1">
      <alignment horizontal="right" vertical="center"/>
    </xf>
    <xf numFmtId="0" fontId="86" fillId="27" borderId="0" xfId="49" applyFont="1" applyFill="1" applyAlignment="1">
      <alignment vertical="center"/>
    </xf>
    <xf numFmtId="49" fontId="40" fillId="0" borderId="53" xfId="0" applyNumberFormat="1" applyFont="1" applyFill="1" applyBorder="1" applyAlignment="1" applyProtection="1">
      <alignment vertical="center" wrapText="1"/>
    </xf>
    <xf numFmtId="49" fontId="40" fillId="0" borderId="57" xfId="0" applyNumberFormat="1" applyFont="1" applyFill="1" applyBorder="1" applyAlignment="1" applyProtection="1">
      <alignment vertical="center" wrapText="1"/>
    </xf>
    <xf numFmtId="0" fontId="40" fillId="26" borderId="7" xfId="0" applyFont="1" applyFill="1" applyBorder="1" applyAlignment="1" applyProtection="1">
      <alignment horizontal="left" vertical="center" wrapText="1"/>
    </xf>
    <xf numFmtId="0" fontId="19" fillId="27" borderId="0" xfId="49" applyFont="1" applyFill="1" applyBorder="1" applyAlignment="1">
      <alignment horizontal="center" vertical="center"/>
    </xf>
    <xf numFmtId="0" fontId="26" fillId="27" borderId="0" xfId="32" applyFont="1" applyFill="1" applyAlignment="1">
      <alignment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Fill="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Fill="1" applyAlignment="1">
      <alignment vertical="center"/>
    </xf>
    <xf numFmtId="0" fontId="11" fillId="0" borderId="0" xfId="31" applyFont="1" applyFill="1" applyAlignment="1">
      <alignment horizontal="center" vertical="center"/>
    </xf>
    <xf numFmtId="0" fontId="20" fillId="0" borderId="0" xfId="31" applyFont="1" applyAlignment="1">
      <alignment horizontal="center" vertical="center"/>
    </xf>
    <xf numFmtId="0" fontId="11" fillId="0" borderId="0" xfId="0" applyFont="1" applyFill="1" applyBorder="1" applyAlignment="1">
      <alignment vertical="center"/>
    </xf>
    <xf numFmtId="173" fontId="40" fillId="0" borderId="73" xfId="28" applyNumberFormat="1" applyFont="1" applyFill="1" applyBorder="1" applyAlignment="1" applyProtection="1">
      <alignment horizontal="right" vertical="center" wrapText="1"/>
    </xf>
    <xf numFmtId="173" fontId="40" fillId="0" borderId="76" xfId="28" applyNumberFormat="1" applyFont="1" applyFill="1" applyBorder="1" applyAlignment="1" applyProtection="1">
      <alignment horizontal="right" vertical="center" wrapText="1"/>
    </xf>
    <xf numFmtId="173" fontId="40" fillId="0" borderId="73" xfId="37" applyNumberFormat="1" applyFont="1" applyFill="1" applyBorder="1" applyAlignment="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7" fillId="27" borderId="0" xfId="49" applyFont="1" applyFill="1" applyAlignment="1">
      <alignment vertical="center"/>
    </xf>
    <xf numFmtId="0" fontId="14" fillId="27" borderId="0" xfId="49" applyFont="1" applyFill="1" applyAlignment="1" applyProtection="1">
      <alignment vertical="center" wrapText="1"/>
    </xf>
    <xf numFmtId="0" fontId="51" fillId="27" borderId="0" xfId="49" applyFont="1" applyFill="1" applyAlignment="1">
      <alignment horizontal="left" vertical="center"/>
    </xf>
    <xf numFmtId="0" fontId="79" fillId="27" borderId="0" xfId="2" quotePrefix="1" applyFont="1" applyFill="1" applyAlignment="1" applyProtection="1">
      <alignment vertical="center"/>
    </xf>
    <xf numFmtId="10" fontId="61"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vertical="center" wrapText="1"/>
    </xf>
    <xf numFmtId="169" fontId="18"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horizontal="center" vertical="center" wrapText="1"/>
    </xf>
    <xf numFmtId="9" fontId="61" fillId="27" borderId="0" xfId="49" applyNumberFormat="1" applyFont="1" applyFill="1" applyBorder="1" applyAlignment="1" applyProtection="1">
      <alignment horizontal="center" vertical="center" wrapText="1"/>
    </xf>
    <xf numFmtId="1" fontId="39" fillId="27" borderId="0" xfId="49" applyNumberFormat="1" applyFont="1" applyFill="1" applyBorder="1" applyAlignment="1" applyProtection="1">
      <alignment horizontal="center" vertical="center" wrapText="1"/>
    </xf>
    <xf numFmtId="0" fontId="34" fillId="27" borderId="20" xfId="49" applyFont="1" applyFill="1" applyBorder="1" applyAlignment="1" applyProtection="1">
      <alignment vertical="center" wrapText="1"/>
    </xf>
    <xf numFmtId="170" fontId="39" fillId="37" borderId="2" xfId="49" applyNumberFormat="1" applyFont="1" applyFill="1" applyBorder="1" applyAlignment="1" applyProtection="1">
      <alignment horizontal="center" vertical="center" wrapText="1"/>
    </xf>
    <xf numFmtId="170" fontId="39" fillId="37" borderId="79" xfId="49" applyNumberFormat="1" applyFont="1" applyFill="1" applyBorder="1" applyAlignment="1" applyProtection="1">
      <alignment horizontal="center" vertical="center" wrapText="1"/>
    </xf>
    <xf numFmtId="170" fontId="39" fillId="37" borderId="77" xfId="49" applyNumberFormat="1" applyFont="1" applyFill="1" applyBorder="1" applyAlignment="1" applyProtection="1">
      <alignment horizontal="center" vertical="center" wrapText="1"/>
    </xf>
    <xf numFmtId="170" fontId="39" fillId="37" borderId="43" xfId="49" applyNumberFormat="1" applyFont="1" applyFill="1" applyBorder="1" applyAlignment="1" applyProtection="1">
      <alignment horizontal="center" vertical="center" wrapText="1"/>
    </xf>
    <xf numFmtId="0" fontId="36" fillId="27" borderId="0" xfId="49" applyFont="1" applyFill="1" applyAlignment="1">
      <alignment vertical="center"/>
    </xf>
    <xf numFmtId="0" fontId="26" fillId="27" borderId="0" xfId="49" applyFont="1" applyFill="1" applyAlignment="1">
      <alignment vertical="center"/>
    </xf>
    <xf numFmtId="0" fontId="77" fillId="26" borderId="0" xfId="49" applyFont="1" applyFill="1" applyAlignment="1">
      <alignment vertical="center"/>
    </xf>
    <xf numFmtId="0" fontId="51" fillId="26" borderId="0" xfId="49" applyFont="1" applyFill="1" applyAlignment="1">
      <alignment vertical="center"/>
    </xf>
    <xf numFmtId="0" fontId="51" fillId="27" borderId="0" xfId="49" applyFont="1" applyFill="1" applyBorder="1" applyAlignment="1">
      <alignment vertical="center"/>
    </xf>
    <xf numFmtId="0" fontId="77" fillId="27" borderId="0" xfId="49" applyFont="1" applyFill="1" applyBorder="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NumberFormat="1" applyFont="1" applyFill="1" applyAlignment="1">
      <alignment horizontal="right" vertical="center"/>
    </xf>
    <xf numFmtId="0" fontId="11" fillId="27" borderId="0" xfId="0" applyNumberFormat="1" applyFont="1" applyFill="1" applyAlignment="1">
      <alignmen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NumberFormat="1"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pplyProtection="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Border="1" applyAlignment="1">
      <alignment horizontal="center" vertical="center"/>
    </xf>
    <xf numFmtId="0" fontId="51" fillId="27" borderId="0"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51" fillId="27" borderId="0" xfId="49" applyFont="1" applyFill="1" applyAlignment="1" applyProtection="1">
      <alignment horizontal="left" vertical="center" wrapText="1"/>
    </xf>
    <xf numFmtId="170" fontId="39" fillId="37" borderId="78" xfId="49" applyNumberFormat="1"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wrapText="1"/>
    </xf>
    <xf numFmtId="170" fontId="39" fillId="37" borderId="20" xfId="49" applyNumberFormat="1" applyFont="1" applyFill="1" applyBorder="1" applyAlignment="1" applyProtection="1">
      <alignment horizontal="center" vertical="center" wrapText="1"/>
    </xf>
    <xf numFmtId="0" fontId="51" fillId="27" borderId="0" xfId="49" applyFont="1" applyFill="1" applyAlignment="1" applyProtection="1">
      <alignment vertical="center"/>
    </xf>
    <xf numFmtId="0" fontId="18" fillId="27" borderId="0" xfId="49" applyFont="1" applyFill="1" applyAlignment="1" applyProtection="1">
      <alignment horizontal="center" vertical="center"/>
    </xf>
    <xf numFmtId="170" fontId="39" fillId="37" borderId="56" xfId="49" applyNumberFormat="1" applyFont="1" applyFill="1" applyBorder="1" applyAlignment="1" applyProtection="1">
      <alignment horizontal="center" vertical="center"/>
    </xf>
    <xf numFmtId="170" fontId="39" fillId="37" borderId="77" xfId="49" applyNumberFormat="1" applyFont="1" applyFill="1" applyBorder="1" applyAlignment="1" applyProtection="1">
      <alignment horizontal="center" vertical="center"/>
    </xf>
    <xf numFmtId="170" fontId="39" fillId="37" borderId="57" xfId="49" applyNumberFormat="1" applyFont="1" applyFill="1" applyBorder="1" applyAlignment="1" applyProtection="1">
      <alignment horizontal="center" vertical="center"/>
    </xf>
    <xf numFmtId="170" fontId="39" fillId="37" borderId="79" xfId="49" applyNumberFormat="1" applyFont="1" applyFill="1" applyBorder="1" applyAlignment="1" applyProtection="1">
      <alignment horizontal="center" vertical="center"/>
    </xf>
    <xf numFmtId="0" fontId="40" fillId="27" borderId="29" xfId="49" applyFont="1" applyFill="1" applyBorder="1" applyAlignment="1" applyProtection="1">
      <alignment vertical="center" wrapText="1"/>
    </xf>
    <xf numFmtId="0" fontId="40" fillId="27" borderId="24" xfId="49" applyFont="1" applyFill="1" applyBorder="1" applyAlignment="1" applyProtection="1">
      <alignment vertical="center" wrapText="1"/>
    </xf>
    <xf numFmtId="0" fontId="40" fillId="27" borderId="30" xfId="49" applyFont="1" applyFill="1" applyBorder="1" applyAlignment="1" applyProtection="1">
      <alignment vertical="center" wrapText="1"/>
    </xf>
    <xf numFmtId="9" fontId="40" fillId="33" borderId="53" xfId="1" applyFont="1" applyFill="1" applyBorder="1" applyAlignment="1" applyProtection="1">
      <alignment horizontal="center" vertical="center" wrapText="1"/>
    </xf>
    <xf numFmtId="174" fontId="51" fillId="27" borderId="0" xfId="49" applyNumberFormat="1" applyFont="1" applyFill="1" applyAlignment="1">
      <alignment horizontal="center" vertical="center"/>
    </xf>
    <xf numFmtId="174" fontId="51" fillId="27" borderId="0" xfId="49" applyNumberFormat="1" applyFont="1" applyFill="1" applyAlignment="1" applyProtection="1">
      <alignment horizontal="center" vertical="center" wrapText="1"/>
    </xf>
    <xf numFmtId="174" fontId="18" fillId="27" borderId="0" xfId="49" applyNumberFormat="1" applyFont="1" applyFill="1" applyBorder="1" applyAlignment="1" applyProtection="1">
      <alignment horizontal="center" vertical="center" wrapText="1"/>
    </xf>
    <xf numFmtId="174" fontId="14" fillId="27" borderId="0" xfId="49" applyNumberFormat="1" applyFont="1" applyFill="1" applyAlignment="1" applyProtection="1">
      <alignment vertical="center" wrapText="1"/>
    </xf>
    <xf numFmtId="174" fontId="39" fillId="27" borderId="0" xfId="49" applyNumberFormat="1" applyFont="1" applyFill="1" applyBorder="1" applyAlignment="1" applyProtection="1">
      <alignment horizontal="center" vertical="center" wrapText="1"/>
    </xf>
    <xf numFmtId="49" fontId="40" fillId="0" borderId="49" xfId="32" applyNumberFormat="1" applyFont="1" applyFill="1" applyBorder="1" applyAlignment="1" applyProtection="1">
      <alignment horizontal="center" vertical="center" wrapText="1"/>
    </xf>
    <xf numFmtId="49" fontId="40" fillId="0" borderId="50" xfId="0" applyNumberFormat="1" applyFont="1" applyFill="1" applyBorder="1" applyAlignment="1" applyProtection="1">
      <alignment vertical="center" wrapText="1"/>
    </xf>
    <xf numFmtId="0" fontId="26" fillId="0" borderId="0" xfId="0" applyFont="1" applyFill="1" applyAlignment="1">
      <alignment vertical="center"/>
    </xf>
    <xf numFmtId="49" fontId="40" fillId="0" borderId="52" xfId="32" applyNumberFormat="1" applyFont="1" applyFill="1" applyBorder="1" applyAlignment="1" applyProtection="1">
      <alignment horizontal="center" vertical="center" wrapText="1"/>
    </xf>
    <xf numFmtId="0" fontId="39" fillId="31" borderId="76" xfId="32" applyFont="1" applyFill="1" applyBorder="1" applyAlignment="1" applyProtection="1">
      <alignment vertical="center" wrapText="1"/>
    </xf>
    <xf numFmtId="16" fontId="40" fillId="26" borderId="24" xfId="32" applyNumberFormat="1" applyFont="1" applyFill="1" applyBorder="1" applyAlignment="1" applyProtection="1">
      <alignment horizontal="center" vertical="center"/>
    </xf>
    <xf numFmtId="0" fontId="41" fillId="27" borderId="29" xfId="0" applyFont="1" applyFill="1" applyBorder="1" applyAlignment="1" applyProtection="1">
      <alignment horizontal="center" vertical="center" wrapText="1"/>
    </xf>
    <xf numFmtId="0" fontId="41" fillId="0" borderId="76" xfId="0" applyFont="1" applyFill="1" applyBorder="1" applyAlignment="1" applyProtection="1">
      <alignment horizontal="right" vertical="center" wrapText="1"/>
    </xf>
    <xf numFmtId="167"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pplyProtection="1">
      <alignment horizontal="right" vertical="center"/>
    </xf>
    <xf numFmtId="0" fontId="19" fillId="20" borderId="24" xfId="0" applyFont="1" applyFill="1" applyBorder="1" applyAlignment="1" applyProtection="1">
      <alignment horizontal="right" vertical="center"/>
    </xf>
    <xf numFmtId="0" fontId="64" fillId="31" borderId="15" xfId="52" applyFont="1" applyFill="1" applyBorder="1" applyAlignment="1" applyProtection="1">
      <alignment horizontal="left" vertical="center" wrapText="1"/>
    </xf>
    <xf numFmtId="0" fontId="56" fillId="20" borderId="15" xfId="52" applyFont="1" applyFill="1" applyBorder="1" applyAlignment="1" applyProtection="1">
      <alignment horizontal="left" vertical="center"/>
    </xf>
    <xf numFmtId="49" fontId="56" fillId="27" borderId="39" xfId="52" applyNumberFormat="1" applyFont="1" applyFill="1" applyBorder="1" applyAlignment="1" applyProtection="1">
      <alignment horizontal="center" vertical="center" wrapText="1"/>
    </xf>
    <xf numFmtId="0" fontId="56" fillId="20" borderId="39" xfId="52" applyFont="1" applyFill="1" applyBorder="1" applyAlignment="1" applyProtection="1">
      <alignment horizontal="center" vertical="center" wrapText="1"/>
    </xf>
    <xf numFmtId="49" fontId="61" fillId="27" borderId="0" xfId="40" applyNumberFormat="1" applyFont="1" applyFill="1" applyBorder="1" applyAlignment="1" applyProtection="1">
      <alignment horizontal="center" vertical="center" wrapText="1"/>
    </xf>
    <xf numFmtId="0" fontId="56" fillId="20" borderId="30" xfId="80" applyFont="1" applyFill="1" applyBorder="1" applyAlignment="1" applyProtection="1">
      <alignment horizontal="center" vertical="center" wrapText="1"/>
    </xf>
    <xf numFmtId="0" fontId="81" fillId="44" borderId="2" xfId="52"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pplyProtection="1">
      <alignment horizontal="center" vertical="center" wrapText="1"/>
    </xf>
    <xf numFmtId="172" fontId="64" fillId="31" borderId="54" xfId="57" applyNumberFormat="1" applyFont="1" applyFill="1" applyBorder="1" applyAlignment="1" applyProtection="1">
      <alignment horizontal="center" vertical="center"/>
    </xf>
    <xf numFmtId="3" fontId="64" fillId="26" borderId="75" xfId="57" applyNumberFormat="1" applyFont="1" applyFill="1" applyBorder="1" applyAlignment="1" applyProtection="1">
      <alignment horizontal="center" vertical="center"/>
    </xf>
    <xf numFmtId="172" fontId="64" fillId="31" borderId="63" xfId="57" applyNumberFormat="1" applyFont="1" applyFill="1" applyBorder="1" applyAlignment="1" applyProtection="1">
      <alignment horizontal="center" vertical="center"/>
    </xf>
    <xf numFmtId="3" fontId="64" fillId="26" borderId="73" xfId="57" applyNumberFormat="1" applyFont="1" applyFill="1" applyBorder="1" applyAlignment="1" applyProtection="1">
      <alignment horizontal="center" vertical="center"/>
    </xf>
    <xf numFmtId="172" fontId="64" fillId="31" borderId="77" xfId="57" applyNumberFormat="1" applyFont="1" applyFill="1" applyBorder="1" applyAlignment="1" applyProtection="1">
      <alignment horizontal="center" vertical="center"/>
    </xf>
    <xf numFmtId="172" fontId="64" fillId="31" borderId="55" xfId="57" applyNumberFormat="1" applyFont="1" applyFill="1" applyBorder="1" applyAlignment="1" applyProtection="1">
      <alignment horizontal="center" vertical="center"/>
    </xf>
    <xf numFmtId="3" fontId="64" fillId="26" borderId="76" xfId="57" applyNumberFormat="1" applyFont="1" applyFill="1" applyBorder="1" applyAlignment="1" applyProtection="1">
      <alignment horizontal="center" vertical="center"/>
    </xf>
    <xf numFmtId="0" fontId="68" fillId="20" borderId="1" xfId="32" applyFont="1" applyFill="1" applyBorder="1" applyAlignment="1" applyProtection="1">
      <alignment horizontal="right" vertical="center"/>
    </xf>
    <xf numFmtId="0" fontId="56" fillId="20" borderId="39" xfId="80" applyFont="1" applyFill="1" applyBorder="1" applyAlignment="1" applyProtection="1">
      <alignment horizontal="center" vertical="center" wrapText="1"/>
    </xf>
    <xf numFmtId="0" fontId="56" fillId="20" borderId="21" xfId="80" applyFont="1" applyFill="1" applyBorder="1" applyAlignment="1" applyProtection="1">
      <alignment horizontal="center" vertical="center" wrapText="1"/>
    </xf>
    <xf numFmtId="0" fontId="99" fillId="0" borderId="17" xfId="2" applyFont="1" applyBorder="1" applyAlignment="1" applyProtection="1">
      <alignment horizontal="center" vertical="center" wrapText="1"/>
    </xf>
    <xf numFmtId="0" fontId="99" fillId="0" borderId="21" xfId="2" applyFont="1" applyBorder="1" applyAlignment="1" applyProtection="1">
      <alignment horizontal="center" vertical="center" wrapText="1"/>
    </xf>
    <xf numFmtId="0" fontId="15" fillId="27" borderId="0" xfId="32" applyFont="1" applyFill="1" applyAlignment="1" applyProtection="1">
      <alignment vertical="center" wrapText="1"/>
    </xf>
    <xf numFmtId="0" fontId="33" fillId="27" borderId="0" xfId="32" applyFont="1" applyFill="1" applyAlignment="1" applyProtection="1">
      <alignment vertical="center" wrapText="1"/>
    </xf>
    <xf numFmtId="170" fontId="40" fillId="31" borderId="51" xfId="32" applyNumberFormat="1" applyFont="1" applyFill="1" applyBorder="1" applyAlignment="1" applyProtection="1">
      <alignment horizontal="center" vertical="center" wrapText="1"/>
    </xf>
    <xf numFmtId="0" fontId="77" fillId="27" borderId="0" xfId="0" applyFont="1" applyFill="1" applyAlignment="1">
      <alignment vertical="center"/>
    </xf>
    <xf numFmtId="0" fontId="39" fillId="26" borderId="53" xfId="0" applyFont="1" applyFill="1" applyBorder="1" applyAlignment="1" applyProtection="1">
      <alignment horizontal="left" vertical="center" wrapText="1"/>
    </xf>
    <xf numFmtId="49" fontId="40" fillId="27" borderId="47" xfId="32" applyNumberFormat="1" applyFont="1" applyFill="1" applyBorder="1" applyAlignment="1" applyProtection="1">
      <alignment horizontal="center" vertical="center" wrapText="1"/>
    </xf>
    <xf numFmtId="0" fontId="40" fillId="27" borderId="48" xfId="32" applyFont="1" applyFill="1" applyBorder="1" applyAlignment="1" applyProtection="1">
      <alignment horizontal="left" vertical="center" wrapText="1"/>
    </xf>
    <xf numFmtId="49" fontId="40" fillId="27" borderId="75" xfId="32" applyNumberFormat="1" applyFont="1" applyFill="1" applyBorder="1" applyAlignment="1" applyProtection="1">
      <alignment horizontal="center" vertical="center" wrapText="1"/>
    </xf>
    <xf numFmtId="49" fontId="40" fillId="27" borderId="6" xfId="32" applyNumberFormat="1" applyFont="1" applyFill="1" applyBorder="1" applyAlignment="1" applyProtection="1">
      <alignment vertical="center" wrapText="1"/>
    </xf>
    <xf numFmtId="49" fontId="40" fillId="27" borderId="19" xfId="32" applyNumberFormat="1" applyFont="1" applyFill="1" applyBorder="1" applyAlignment="1" applyProtection="1">
      <alignment vertical="center" wrapText="1"/>
    </xf>
    <xf numFmtId="0" fontId="41" fillId="27" borderId="27"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24" xfId="0" applyFont="1" applyFill="1" applyBorder="1" applyAlignment="1" applyProtection="1">
      <alignment horizontal="center" vertical="center" wrapText="1"/>
    </xf>
    <xf numFmtId="0" fontId="86" fillId="0" borderId="0" xfId="49" applyFont="1" applyFill="1" applyAlignment="1">
      <alignment vertical="center"/>
    </xf>
    <xf numFmtId="0" fontId="39" fillId="0" borderId="29" xfId="31" applyFont="1" applyFill="1" applyBorder="1" applyAlignment="1" applyProtection="1">
      <alignment horizontal="center" vertical="center" wrapText="1"/>
    </xf>
    <xf numFmtId="0" fontId="39" fillId="0" borderId="14" xfId="31" applyFont="1" applyFill="1" applyBorder="1" applyAlignment="1" applyProtection="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Fill="1" applyBorder="1" applyAlignment="1" applyProtection="1">
      <alignment horizontal="center" vertical="center"/>
    </xf>
    <xf numFmtId="10" fontId="11" fillId="0" borderId="73" xfId="0" applyNumberFormat="1" applyFont="1" applyFill="1" applyBorder="1" applyAlignment="1" applyProtection="1">
      <alignment horizontal="center" vertical="center"/>
    </xf>
    <xf numFmtId="10" fontId="11" fillId="0" borderId="52" xfId="0" applyNumberFormat="1" applyFont="1" applyFill="1" applyBorder="1" applyAlignment="1" applyProtection="1">
      <alignment horizontal="center" vertical="center"/>
    </xf>
    <xf numFmtId="10" fontId="11" fillId="0" borderId="7" xfId="0" applyNumberFormat="1" applyFont="1" applyFill="1" applyBorder="1" applyAlignment="1" applyProtection="1">
      <alignment horizontal="center" vertical="center"/>
    </xf>
    <xf numFmtId="10" fontId="11" fillId="0" borderId="14" xfId="0" applyNumberFormat="1" applyFont="1" applyFill="1" applyBorder="1" applyAlignment="1" applyProtection="1">
      <alignment horizontal="center" vertical="center"/>
    </xf>
    <xf numFmtId="10" fontId="11" fillId="0" borderId="15" xfId="0" applyNumberFormat="1" applyFont="1" applyFill="1" applyBorder="1" applyAlignment="1" applyProtection="1">
      <alignment horizontal="center" vertical="center"/>
    </xf>
    <xf numFmtId="2" fontId="11" fillId="0" borderId="15" xfId="0" applyNumberFormat="1" applyFont="1" applyFill="1" applyBorder="1" applyAlignment="1" applyProtection="1">
      <alignment horizontal="center" vertical="center"/>
    </xf>
    <xf numFmtId="0" fontId="18" fillId="2" borderId="42" xfId="0" applyFont="1" applyFill="1" applyBorder="1" applyAlignment="1" applyProtection="1">
      <alignment vertical="center" wrapText="1"/>
    </xf>
    <xf numFmtId="0" fontId="18" fillId="2" borderId="48" xfId="0" applyFont="1" applyFill="1" applyBorder="1" applyAlignment="1" applyProtection="1">
      <alignment vertical="center" wrapText="1"/>
    </xf>
    <xf numFmtId="0" fontId="18" fillId="2" borderId="101" xfId="0" applyFont="1" applyFill="1" applyBorder="1" applyAlignment="1" applyProtection="1">
      <alignment vertical="center" wrapText="1"/>
    </xf>
    <xf numFmtId="3" fontId="64" fillId="31" borderId="29" xfId="57" applyNumberFormat="1" applyFont="1" applyFill="1" applyBorder="1" applyAlignment="1" applyProtection="1">
      <alignment horizontal="center" vertical="center"/>
    </xf>
    <xf numFmtId="3" fontId="64" fillId="31" borderId="49" xfId="52" applyNumberFormat="1" applyFont="1" applyFill="1" applyBorder="1" applyAlignment="1" applyProtection="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pplyProtection="1">
      <alignment horizontal="center" vertical="center"/>
    </xf>
    <xf numFmtId="3" fontId="64" fillId="31" borderId="75" xfId="52" applyNumberFormat="1" applyFont="1" applyFill="1" applyBorder="1" applyAlignment="1" applyProtection="1">
      <alignment horizontal="center" vertical="center"/>
    </xf>
    <xf numFmtId="3" fontId="97" fillId="31" borderId="56" xfId="54" applyNumberFormat="1" applyFont="1" applyFill="1" applyBorder="1" applyAlignment="1" applyProtection="1">
      <alignment horizontal="center" vertical="center"/>
    </xf>
    <xf numFmtId="3" fontId="97" fillId="31" borderId="77" xfId="54" applyNumberFormat="1" applyFont="1" applyFill="1" applyBorder="1" applyAlignment="1" applyProtection="1">
      <alignment horizontal="center" vertical="center"/>
    </xf>
    <xf numFmtId="3" fontId="97" fillId="31" borderId="57" xfId="54" applyNumberFormat="1" applyFont="1" applyFill="1" applyBorder="1" applyAlignment="1" applyProtection="1">
      <alignment horizontal="center" vertical="center"/>
    </xf>
    <xf numFmtId="3" fontId="64" fillId="27" borderId="73" xfId="57" applyNumberFormat="1" applyFont="1" applyFill="1" applyBorder="1" applyAlignment="1" applyProtection="1">
      <alignment horizontal="center" vertical="center"/>
    </xf>
    <xf numFmtId="3" fontId="64" fillId="27" borderId="76" xfId="57" applyNumberFormat="1" applyFont="1" applyFill="1" applyBorder="1" applyAlignment="1" applyProtection="1">
      <alignment horizontal="center" vertical="center"/>
    </xf>
    <xf numFmtId="0" fontId="51" fillId="27" borderId="0" xfId="49" applyFont="1" applyFill="1" applyBorder="1" applyAlignment="1" applyProtection="1">
      <alignment horizontal="left" vertical="center" wrapText="1"/>
    </xf>
    <xf numFmtId="0" fontId="41" fillId="0" borderId="50" xfId="32" applyFont="1" applyFill="1" applyBorder="1" applyAlignment="1" applyProtection="1">
      <alignment horizontal="right" vertical="center" wrapText="1"/>
    </xf>
    <xf numFmtId="49" fontId="40" fillId="0" borderId="25" xfId="32" applyNumberFormat="1" applyFont="1" applyFill="1" applyBorder="1" applyAlignment="1" applyProtection="1">
      <alignment horizontal="center" vertical="center" wrapText="1"/>
    </xf>
    <xf numFmtId="49" fontId="40" fillId="26" borderId="49" xfId="32" applyNumberFormat="1" applyFont="1" applyFill="1" applyBorder="1" applyAlignment="1" applyProtection="1">
      <alignment horizontal="center" vertical="center" wrapText="1"/>
    </xf>
    <xf numFmtId="0" fontId="40" fillId="26" borderId="50" xfId="32" applyFont="1" applyFill="1" applyBorder="1" applyAlignment="1" applyProtection="1">
      <alignment vertical="center" wrapText="1"/>
    </xf>
    <xf numFmtId="0" fontId="40" fillId="0" borderId="50" xfId="32" applyFont="1" applyFill="1" applyBorder="1" applyAlignment="1" applyProtection="1">
      <alignment vertical="center" wrapText="1"/>
    </xf>
    <xf numFmtId="0" fontId="40" fillId="0" borderId="53" xfId="32" applyFont="1" applyFill="1" applyBorder="1" applyAlignment="1" applyProtection="1">
      <alignment vertical="center" wrapText="1"/>
    </xf>
    <xf numFmtId="16" fontId="39" fillId="26" borderId="52" xfId="32" applyNumberFormat="1" applyFont="1" applyFill="1" applyBorder="1" applyAlignment="1" applyProtection="1">
      <alignment horizontal="center" vertical="center"/>
    </xf>
    <xf numFmtId="0" fontId="39" fillId="26" borderId="53" xfId="0" applyFont="1" applyFill="1" applyBorder="1" applyAlignment="1" applyProtection="1">
      <alignment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3" borderId="76" xfId="1" applyFont="1" applyFill="1" applyBorder="1" applyAlignment="1" applyProtection="1">
      <alignment horizontal="center" vertical="center" wrapText="1"/>
    </xf>
    <xf numFmtId="9" fontId="40" fillId="43" borderId="53" xfId="1" applyFont="1" applyFill="1" applyBorder="1" applyAlignment="1" applyProtection="1">
      <alignment horizontal="center" vertical="center" wrapText="1"/>
    </xf>
    <xf numFmtId="9" fontId="40" fillId="43"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170" fontId="39" fillId="37" borderId="19" xfId="49" applyNumberFormat="1" applyFont="1" applyFill="1" applyBorder="1" applyAlignment="1" applyProtection="1">
      <alignment horizontal="center" vertical="center"/>
    </xf>
    <xf numFmtId="4" fontId="39" fillId="27" borderId="14" xfId="49" applyNumberFormat="1" applyFont="1" applyFill="1" applyBorder="1" applyAlignment="1" applyProtection="1">
      <alignment horizontal="center" vertical="center"/>
    </xf>
    <xf numFmtId="4" fontId="39" fillId="27" borderId="15" xfId="49" applyNumberFormat="1" applyFont="1" applyFill="1" applyBorder="1" applyAlignment="1" applyProtection="1">
      <alignment horizontal="center" vertical="center"/>
    </xf>
    <xf numFmtId="4" fontId="39" fillId="27" borderId="19" xfId="49" applyNumberFormat="1" applyFont="1" applyFill="1" applyBorder="1" applyAlignment="1" applyProtection="1">
      <alignment horizontal="center" vertical="center"/>
    </xf>
    <xf numFmtId="0" fontId="39" fillId="37" borderId="22" xfId="49"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xf>
    <xf numFmtId="4" fontId="39" fillId="27" borderId="22" xfId="49" applyNumberFormat="1" applyFont="1" applyFill="1" applyBorder="1" applyAlignment="1" applyProtection="1">
      <alignment horizontal="center" vertical="center"/>
    </xf>
    <xf numFmtId="4" fontId="39" fillId="27" borderId="23" xfId="49" applyNumberFormat="1" applyFont="1" applyFill="1" applyBorder="1" applyAlignment="1" applyProtection="1">
      <alignment horizontal="center" vertical="center"/>
    </xf>
    <xf numFmtId="4" fontId="39" fillId="27" borderId="28" xfId="49" applyNumberFormat="1" applyFont="1" applyFill="1" applyBorder="1" applyAlignment="1" applyProtection="1">
      <alignment horizontal="center" vertical="center"/>
    </xf>
    <xf numFmtId="49" fontId="40" fillId="27" borderId="52" xfId="49" applyNumberFormat="1" applyFont="1" applyFill="1" applyBorder="1" applyAlignment="1" applyProtection="1">
      <alignment horizontal="left" vertical="center" wrapText="1"/>
    </xf>
    <xf numFmtId="49" fontId="41" fillId="27" borderId="52" xfId="49" applyNumberFormat="1" applyFont="1" applyFill="1" applyBorder="1" applyAlignment="1" applyProtection="1">
      <alignment horizontal="left" vertical="center" wrapText="1"/>
    </xf>
    <xf numFmtId="49" fontId="41" fillId="27" borderId="49" xfId="49" applyNumberFormat="1" applyFont="1" applyFill="1" applyBorder="1" applyAlignment="1" applyProtection="1">
      <alignment horizontal="left" vertical="center" wrapText="1"/>
    </xf>
    <xf numFmtId="49" fontId="41" fillId="27" borderId="54" xfId="49" applyNumberFormat="1" applyFont="1" applyFill="1" applyBorder="1" applyAlignment="1" applyProtection="1">
      <alignment horizontal="left" vertical="center" wrapText="1"/>
    </xf>
    <xf numFmtId="0" fontId="39" fillId="0" borderId="42" xfId="31" applyFont="1" applyFill="1" applyBorder="1" applyAlignment="1" applyProtection="1">
      <alignment horizontal="center" vertical="center" wrapText="1"/>
    </xf>
    <xf numFmtId="0" fontId="39" fillId="0" borderId="43" xfId="31" applyFont="1" applyFill="1" applyBorder="1" applyAlignment="1" applyProtection="1">
      <alignment horizontal="center" vertical="center" wrapText="1"/>
    </xf>
    <xf numFmtId="167" fontId="51" fillId="27" borderId="0" xfId="49" applyNumberFormat="1" applyFont="1" applyFill="1" applyAlignment="1">
      <alignment horizontal="center" vertical="center"/>
    </xf>
    <xf numFmtId="167" fontId="61" fillId="27" borderId="0" xfId="49" applyNumberFormat="1" applyFont="1" applyFill="1" applyBorder="1" applyAlignment="1" applyProtection="1">
      <alignment horizontal="center" vertical="center" wrapText="1"/>
    </xf>
    <xf numFmtId="167" fontId="61" fillId="27" borderId="0" xfId="49" applyNumberFormat="1" applyFont="1" applyFill="1" applyBorder="1" applyAlignment="1" applyProtection="1">
      <alignment horizontal="right" vertical="center" wrapText="1"/>
    </xf>
    <xf numFmtId="167" fontId="51" fillId="27" borderId="0" xfId="49" applyNumberFormat="1" applyFont="1" applyFill="1" applyAlignment="1" applyProtection="1">
      <alignment horizontal="center" vertical="center" wrapText="1"/>
    </xf>
    <xf numFmtId="167" fontId="18" fillId="27" borderId="0" xfId="49" applyNumberFormat="1" applyFont="1" applyFill="1" applyBorder="1" applyAlignment="1" applyProtection="1">
      <alignment horizontal="center" vertical="center" wrapText="1"/>
    </xf>
    <xf numFmtId="167" fontId="51" fillId="27" borderId="0" xfId="49" applyNumberFormat="1" applyFont="1" applyFill="1" applyBorder="1" applyAlignment="1" applyProtection="1">
      <alignment horizontal="center" vertical="center" wrapText="1"/>
    </xf>
    <xf numFmtId="167" fontId="18" fillId="27" borderId="0" xfId="49" applyNumberFormat="1" applyFont="1" applyFill="1" applyAlignment="1">
      <alignment horizontal="center" vertical="center"/>
    </xf>
    <xf numFmtId="167" fontId="18" fillId="27" borderId="0" xfId="49" applyNumberFormat="1" applyFont="1" applyFill="1" applyAlignment="1" applyProtection="1">
      <alignment horizontal="center" vertical="center"/>
    </xf>
    <xf numFmtId="167" fontId="39" fillId="37" borderId="29" xfId="49" applyNumberFormat="1" applyFont="1" applyFill="1" applyBorder="1" applyAlignment="1" applyProtection="1">
      <alignment horizontal="center" vertical="center" wrapText="1"/>
    </xf>
    <xf numFmtId="167" fontId="39" fillId="37" borderId="30" xfId="49" applyNumberFormat="1" applyFont="1" applyFill="1" applyBorder="1" applyAlignment="1" applyProtection="1">
      <alignment horizontal="center" vertical="center"/>
    </xf>
    <xf numFmtId="167" fontId="39" fillId="27" borderId="29" xfId="49" applyNumberFormat="1" applyFont="1" applyFill="1" applyBorder="1" applyAlignment="1" applyProtection="1">
      <alignment horizontal="center" vertical="center"/>
    </xf>
    <xf numFmtId="167" fontId="39" fillId="27" borderId="24" xfId="49" applyNumberFormat="1" applyFont="1" applyFill="1" applyBorder="1" applyAlignment="1" applyProtection="1">
      <alignment horizontal="center" vertical="center"/>
    </xf>
    <xf numFmtId="167" fontId="39" fillId="27" borderId="30" xfId="49" applyNumberFormat="1" applyFont="1" applyFill="1" applyBorder="1" applyAlignment="1" applyProtection="1">
      <alignment horizontal="center" vertical="center"/>
    </xf>
    <xf numFmtId="167" fontId="39" fillId="37" borderId="22" xfId="49" applyNumberFormat="1" applyFont="1" applyFill="1" applyBorder="1" applyAlignment="1" applyProtection="1">
      <alignment horizontal="center" vertical="center" wrapText="1"/>
    </xf>
    <xf numFmtId="167" fontId="39" fillId="37" borderId="28" xfId="49" applyNumberFormat="1" applyFont="1" applyFill="1" applyBorder="1" applyAlignment="1" applyProtection="1">
      <alignment horizontal="center" vertical="center"/>
    </xf>
    <xf numFmtId="167" fontId="39" fillId="27" borderId="22" xfId="49" applyNumberFormat="1" applyFont="1" applyFill="1" applyBorder="1" applyAlignment="1" applyProtection="1">
      <alignment horizontal="center" vertical="center"/>
    </xf>
    <xf numFmtId="167" fontId="39" fillId="27" borderId="23" xfId="49" applyNumberFormat="1" applyFont="1" applyFill="1" applyBorder="1" applyAlignment="1" applyProtection="1">
      <alignment horizontal="center" vertical="center"/>
    </xf>
    <xf numFmtId="167" fontId="39" fillId="27" borderId="28" xfId="49" applyNumberFormat="1" applyFont="1" applyFill="1" applyBorder="1" applyAlignment="1" applyProtection="1">
      <alignment horizontal="center" vertical="center"/>
    </xf>
    <xf numFmtId="167" fontId="14" fillId="27" borderId="0" xfId="49" applyNumberFormat="1" applyFont="1" applyFill="1" applyAlignment="1" applyProtection="1">
      <alignment vertical="center" wrapText="1"/>
    </xf>
    <xf numFmtId="0" fontId="20" fillId="26" borderId="0" xfId="0" applyFont="1" applyFill="1" applyBorder="1" applyAlignment="1" applyProtection="1">
      <alignment horizontal="center" vertical="center" wrapText="1"/>
    </xf>
    <xf numFmtId="49" fontId="20" fillId="26" borderId="0" xfId="0" applyNumberFormat="1" applyFont="1" applyFill="1" applyBorder="1" applyAlignment="1" applyProtection="1">
      <alignment horizontal="center" vertical="center"/>
    </xf>
    <xf numFmtId="10" fontId="20" fillId="0" borderId="52" xfId="0" applyNumberFormat="1" applyFont="1" applyFill="1" applyBorder="1" applyAlignment="1" applyProtection="1">
      <alignment horizontal="center" vertical="center"/>
    </xf>
    <xf numFmtId="10" fontId="20" fillId="0" borderId="45" xfId="0" applyNumberFormat="1" applyFont="1" applyFill="1" applyBorder="1" applyAlignment="1" applyProtection="1">
      <alignment horizontal="center" vertical="center"/>
    </xf>
    <xf numFmtId="10" fontId="20" fillId="0" borderId="21" xfId="0" applyNumberFormat="1" applyFont="1" applyFill="1" applyBorder="1" applyAlignment="1" applyProtection="1">
      <alignment horizontal="center" vertical="center"/>
    </xf>
    <xf numFmtId="10" fontId="20" fillId="0" borderId="17" xfId="0" applyNumberFormat="1" applyFont="1" applyFill="1" applyBorder="1" applyAlignment="1" applyProtection="1">
      <alignment horizontal="center" vertical="center"/>
    </xf>
    <xf numFmtId="10" fontId="20" fillId="0" borderId="66" xfId="0" applyNumberFormat="1" applyFont="1" applyFill="1" applyBorder="1" applyAlignment="1" applyProtection="1">
      <alignment horizontal="center" vertical="center"/>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Fill="1" applyBorder="1" applyAlignment="1" applyProtection="1">
      <alignment horizontal="center" vertical="center" wrapText="1"/>
    </xf>
    <xf numFmtId="3" fontId="11" fillId="0" borderId="78" xfId="0" applyNumberFormat="1" applyFont="1" applyFill="1" applyBorder="1" applyAlignment="1" applyProtection="1">
      <alignment horizontal="center" vertical="center" wrapText="1"/>
    </xf>
    <xf numFmtId="0" fontId="39" fillId="24" borderId="76" xfId="78" applyFont="1" applyFill="1" applyBorder="1" applyAlignment="1" applyProtection="1">
      <alignment horizontal="left" vertical="center"/>
    </xf>
    <xf numFmtId="0" fontId="40" fillId="26" borderId="53" xfId="78" applyFont="1" applyFill="1" applyBorder="1" applyAlignment="1" applyProtection="1">
      <alignment horizontal="left" vertical="center"/>
    </xf>
    <xf numFmtId="0" fontId="39" fillId="31" borderId="53" xfId="78" applyFont="1" applyFill="1" applyBorder="1" applyAlignment="1" applyProtection="1">
      <alignment horizontal="left" vertical="center"/>
    </xf>
    <xf numFmtId="0" fontId="39" fillId="24" borderId="53" xfId="78" applyFont="1" applyFill="1" applyBorder="1" applyAlignment="1" applyProtection="1">
      <alignment horizontal="left" vertical="center"/>
    </xf>
    <xf numFmtId="0" fontId="51" fillId="27" borderId="0" xfId="49" applyFont="1" applyFill="1" applyBorder="1" applyAlignment="1" applyProtection="1">
      <alignment horizontal="left" vertical="center" wrapText="1"/>
    </xf>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3" borderId="73" xfId="1" applyFont="1" applyFill="1" applyBorder="1" applyAlignment="1" applyProtection="1">
      <alignment horizontal="center" vertical="center" wrapText="1"/>
    </xf>
    <xf numFmtId="9" fontId="40" fillId="43" borderId="7" xfId="1" applyFont="1" applyFill="1" applyBorder="1" applyAlignment="1" applyProtection="1">
      <alignment horizontal="center" vertical="center" wrapText="1"/>
    </xf>
    <xf numFmtId="9" fontId="40" fillId="43"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pplyProtection="1">
      <alignment horizontal="left" vertical="center" wrapText="1"/>
    </xf>
    <xf numFmtId="0" fontId="40" fillId="27" borderId="50"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39" fillId="24" borderId="10" xfId="49" applyFont="1" applyFill="1" applyBorder="1" applyAlignment="1" applyProtection="1">
      <alignment horizontal="left" vertical="center" wrapText="1"/>
    </xf>
    <xf numFmtId="0" fontId="40" fillId="0" borderId="50" xfId="49" applyFont="1" applyFill="1" applyBorder="1" applyAlignment="1" applyProtection="1">
      <alignment horizontal="left" vertical="center" wrapText="1"/>
    </xf>
    <xf numFmtId="49" fontId="41" fillId="27" borderId="36" xfId="49" applyNumberFormat="1"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0" fontId="40" fillId="0" borderId="50" xfId="31" applyFont="1" applyFill="1" applyBorder="1" applyAlignment="1" applyProtection="1">
      <alignment horizontal="left" vertical="center" wrapText="1"/>
    </xf>
    <xf numFmtId="49" fontId="40" fillId="0" borderId="53" xfId="49" applyNumberFormat="1" applyFont="1" applyFill="1" applyBorder="1" applyAlignment="1" applyProtection="1">
      <alignment horizontal="left" vertical="center" wrapText="1"/>
    </xf>
    <xf numFmtId="49" fontId="40" fillId="27" borderId="53" xfId="49" applyNumberFormat="1" applyFont="1" applyFill="1" applyBorder="1" applyAlignment="1" applyProtection="1">
      <alignment horizontal="left" vertical="center" wrapText="1"/>
    </xf>
    <xf numFmtId="0" fontId="39" fillId="37" borderId="2" xfId="49" applyFont="1" applyFill="1" applyBorder="1" applyAlignment="1" applyProtection="1">
      <alignment horizontal="center" vertical="center"/>
    </xf>
    <xf numFmtId="3" fontId="39" fillId="24" borderId="65"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Fill="1" applyBorder="1" applyAlignment="1" applyProtection="1">
      <alignment horizontal="center" vertical="center" wrapText="1"/>
    </xf>
    <xf numFmtId="49" fontId="64" fillId="0" borderId="135" xfId="57" applyNumberFormat="1" applyFont="1" applyFill="1" applyBorder="1" applyAlignment="1" applyProtection="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pplyProtection="1">
      <alignment horizontal="center" vertical="center"/>
    </xf>
    <xf numFmtId="3" fontId="64" fillId="31" borderId="74" xfId="57" applyNumberFormat="1" applyFont="1" applyFill="1" applyBorder="1" applyAlignment="1" applyProtection="1">
      <alignment horizontal="center" vertical="center"/>
    </xf>
    <xf numFmtId="3" fontId="11" fillId="26" borderId="5" xfId="0" applyNumberFormat="1" applyFont="1" applyFill="1" applyBorder="1" applyAlignment="1" applyProtection="1">
      <alignment horizontal="center" vertical="center" wrapText="1"/>
    </xf>
    <xf numFmtId="0" fontId="11" fillId="26" borderId="17" xfId="0" applyFont="1" applyFill="1" applyBorder="1" applyAlignment="1" applyProtection="1">
      <alignment horizontal="center" vertical="center" wrapText="1"/>
    </xf>
    <xf numFmtId="1" fontId="11" fillId="26" borderId="17" xfId="0" applyNumberFormat="1" applyFont="1" applyFill="1" applyBorder="1" applyAlignment="1" applyProtection="1">
      <alignment horizontal="center" vertical="center" wrapText="1"/>
    </xf>
    <xf numFmtId="0" fontId="11" fillId="26" borderId="21" xfId="0" applyFont="1" applyFill="1" applyBorder="1" applyAlignment="1" applyProtection="1">
      <alignment horizontal="center" vertical="center" wrapText="1"/>
    </xf>
    <xf numFmtId="3" fontId="11" fillId="26" borderId="17" xfId="0" applyNumberFormat="1" applyFont="1" applyFill="1" applyBorder="1" applyAlignment="1" applyProtection="1">
      <alignment horizontal="center" vertical="center" wrapText="1"/>
    </xf>
    <xf numFmtId="3" fontId="11" fillId="26" borderId="39" xfId="0" applyNumberFormat="1" applyFont="1" applyFill="1" applyBorder="1" applyAlignment="1" applyProtection="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2" fontId="64" fillId="31" borderId="56" xfId="57" applyNumberFormat="1" applyFont="1" applyFill="1" applyBorder="1" applyAlignment="1" applyProtection="1">
      <alignment horizontal="center" vertical="center"/>
    </xf>
    <xf numFmtId="172" fontId="64" fillId="31" borderId="57" xfId="57" applyNumberFormat="1" applyFont="1" applyFill="1" applyBorder="1" applyAlignment="1" applyProtection="1">
      <alignment horizontal="center" vertical="center"/>
    </xf>
    <xf numFmtId="0" fontId="56" fillId="20" borderId="39" xfId="57" applyFont="1" applyFill="1" applyBorder="1" applyAlignment="1" applyProtection="1">
      <alignment horizontal="center" vertical="center" wrapText="1"/>
    </xf>
    <xf numFmtId="172" fontId="64" fillId="27" borderId="56" xfId="57" applyNumberFormat="1" applyFont="1" applyFill="1" applyBorder="1" applyAlignment="1" applyProtection="1">
      <alignment horizontal="center" vertical="center"/>
    </xf>
    <xf numFmtId="172" fontId="64" fillId="27" borderId="77" xfId="57" applyNumberFormat="1" applyFont="1" applyFill="1" applyBorder="1" applyAlignment="1" applyProtection="1">
      <alignment horizontal="center" vertical="center"/>
    </xf>
    <xf numFmtId="172" fontId="64" fillId="27" borderId="57" xfId="57" applyNumberFormat="1" applyFont="1" applyFill="1" applyBorder="1" applyAlignment="1" applyProtection="1">
      <alignment horizontal="center" vertical="center"/>
    </xf>
    <xf numFmtId="172" fontId="64" fillId="26" borderId="56" xfId="57" applyNumberFormat="1" applyFont="1" applyFill="1" applyBorder="1" applyAlignment="1" applyProtection="1">
      <alignment horizontal="center" vertical="center"/>
    </xf>
    <xf numFmtId="172" fontId="64" fillId="26" borderId="77" xfId="57" applyNumberFormat="1" applyFont="1" applyFill="1" applyBorder="1" applyAlignment="1" applyProtection="1">
      <alignment horizontal="center" vertical="center"/>
    </xf>
    <xf numFmtId="172" fontId="64" fillId="26" borderId="57" xfId="57" applyNumberFormat="1" applyFont="1" applyFill="1" applyBorder="1" applyAlignment="1" applyProtection="1">
      <alignment horizontal="center" vertical="center"/>
    </xf>
    <xf numFmtId="0" fontId="64" fillId="23" borderId="8" xfId="57" applyFont="1" applyFill="1" applyBorder="1" applyAlignment="1" applyProtection="1">
      <alignment horizontal="center" vertical="center"/>
    </xf>
    <xf numFmtId="3" fontId="56" fillId="0" borderId="32" xfId="52" applyNumberFormat="1" applyFont="1" applyFill="1" applyBorder="1" applyAlignment="1" applyProtection="1">
      <alignment horizontal="center" vertical="center"/>
    </xf>
    <xf numFmtId="3" fontId="56" fillId="0" borderId="53" xfId="52" applyNumberFormat="1" applyFont="1" applyFill="1" applyBorder="1" applyAlignment="1" applyProtection="1">
      <alignment horizontal="center" vertical="center"/>
    </xf>
    <xf numFmtId="3" fontId="56" fillId="0" borderId="57" xfId="52" applyNumberFormat="1" applyFont="1" applyFill="1" applyBorder="1" applyAlignment="1" applyProtection="1">
      <alignment horizontal="center" vertical="center"/>
    </xf>
    <xf numFmtId="0" fontId="118" fillId="20" borderId="119" xfId="88" applyFont="1" applyFill="1" applyBorder="1" applyAlignment="1" applyProtection="1">
      <alignment horizontal="right" vertical="center" wrapText="1"/>
    </xf>
    <xf numFmtId="3" fontId="118" fillId="20" borderId="118" xfId="88" applyNumberFormat="1" applyFont="1" applyFill="1" applyBorder="1" applyAlignment="1" applyProtection="1">
      <alignment horizontal="center" vertical="center" wrapText="1"/>
    </xf>
    <xf numFmtId="3" fontId="118" fillId="20" borderId="136" xfId="88" applyNumberFormat="1" applyFont="1" applyFill="1" applyBorder="1" applyAlignment="1" applyProtection="1">
      <alignment horizontal="center" vertical="center" wrapText="1"/>
    </xf>
    <xf numFmtId="0" fontId="37" fillId="26" borderId="121" xfId="88" applyFont="1" applyFill="1" applyBorder="1" applyAlignment="1" applyProtection="1">
      <alignment horizontal="center" vertical="center" wrapText="1"/>
    </xf>
    <xf numFmtId="3" fontId="118" fillId="20" borderId="119" xfId="88" applyNumberFormat="1" applyFont="1" applyFill="1" applyBorder="1" applyAlignment="1" applyProtection="1">
      <alignment horizontal="center" vertical="center" wrapText="1"/>
    </xf>
    <xf numFmtId="3" fontId="118" fillId="20" borderId="121" xfId="88" applyNumberFormat="1" applyFont="1" applyFill="1" applyBorder="1" applyAlignment="1" applyProtection="1">
      <alignment horizontal="center" vertical="center" wrapText="1"/>
    </xf>
    <xf numFmtId="10" fontId="64" fillId="31" borderId="52" xfId="57" applyNumberFormat="1" applyFont="1" applyFill="1" applyBorder="1" applyAlignment="1" applyProtection="1">
      <alignment horizontal="center" vertical="center"/>
    </xf>
    <xf numFmtId="10" fontId="64" fillId="31" borderId="7" xfId="57" applyNumberFormat="1" applyFont="1" applyFill="1" applyBorder="1" applyAlignment="1" applyProtection="1">
      <alignment horizontal="center" vertical="center"/>
    </xf>
    <xf numFmtId="10" fontId="64" fillId="31" borderId="53" xfId="57" applyNumberFormat="1" applyFont="1" applyFill="1" applyBorder="1" applyAlignment="1" applyProtection="1">
      <alignment horizontal="center" vertical="center"/>
    </xf>
    <xf numFmtId="10" fontId="64" fillId="31" borderId="32" xfId="52" applyNumberFormat="1" applyFont="1" applyFill="1" applyBorder="1" applyAlignment="1" applyProtection="1">
      <alignment horizontal="center" vertical="center"/>
    </xf>
    <xf numFmtId="10" fontId="64" fillId="31" borderId="7" xfId="52" applyNumberFormat="1" applyFont="1" applyFill="1" applyBorder="1" applyAlignment="1" applyProtection="1">
      <alignment horizontal="center" vertical="center"/>
    </xf>
    <xf numFmtId="10" fontId="64" fillId="31" borderId="53" xfId="52" applyNumberFormat="1" applyFont="1" applyFill="1" applyBorder="1" applyAlignment="1" applyProtection="1">
      <alignment horizontal="center" vertical="center"/>
    </xf>
    <xf numFmtId="3" fontId="40" fillId="29" borderId="19" xfId="49" applyNumberFormat="1" applyFont="1" applyFill="1" applyBorder="1" applyAlignment="1" applyProtection="1">
      <alignment horizontal="right" vertical="center"/>
    </xf>
    <xf numFmtId="3" fontId="41" fillId="3" borderId="54" xfId="32" applyNumberFormat="1" applyFont="1" applyFill="1" applyBorder="1" applyAlignment="1" applyProtection="1">
      <alignment horizontal="center" vertical="center"/>
      <protection locked="0"/>
    </xf>
    <xf numFmtId="3" fontId="40" fillId="29" borderId="8" xfId="49" applyNumberFormat="1" applyFont="1" applyFill="1" applyBorder="1" applyAlignment="1" applyProtection="1">
      <alignment horizontal="right" vertical="center"/>
    </xf>
    <xf numFmtId="3" fontId="40" fillId="29" borderId="3" xfId="49" applyNumberFormat="1" applyFont="1" applyFill="1" applyBorder="1" applyAlignment="1" applyProtection="1">
      <alignment horizontal="right" vertical="center"/>
    </xf>
    <xf numFmtId="3" fontId="40" fillId="29" borderId="79" xfId="49" applyNumberFormat="1" applyFont="1" applyFill="1" applyBorder="1" applyAlignment="1" applyProtection="1">
      <alignment horizontal="right" vertical="center"/>
    </xf>
    <xf numFmtId="3" fontId="39" fillId="31" borderId="10" xfId="32" applyNumberFormat="1" applyFont="1" applyFill="1" applyBorder="1" applyAlignment="1" applyProtection="1">
      <alignment horizontal="center" vertical="center"/>
    </xf>
    <xf numFmtId="0" fontId="39" fillId="26" borderId="49" xfId="32" applyFont="1" applyFill="1" applyBorder="1" applyAlignment="1" applyProtection="1">
      <alignment horizontal="center" vertical="center"/>
    </xf>
    <xf numFmtId="0" fontId="39" fillId="26" borderId="50" xfId="32" applyFont="1" applyFill="1" applyBorder="1" applyAlignment="1" applyProtection="1">
      <alignment vertical="center"/>
    </xf>
    <xf numFmtId="49" fontId="39" fillId="27" borderId="49" xfId="32" applyNumberFormat="1" applyFont="1" applyFill="1" applyBorder="1" applyAlignment="1" applyProtection="1">
      <alignment horizontal="center" vertical="center" wrapText="1"/>
    </xf>
    <xf numFmtId="0" fontId="39" fillId="27" borderId="50" xfId="32" applyFont="1" applyFill="1" applyBorder="1" applyAlignment="1" applyProtection="1">
      <alignment horizontal="left" vertical="center" wrapText="1"/>
    </xf>
    <xf numFmtId="1" fontId="20" fillId="26" borderId="51" xfId="0" applyNumberFormat="1" applyFont="1" applyFill="1" applyBorder="1" applyAlignment="1" applyProtection="1">
      <alignment horizontal="center" vertical="center"/>
    </xf>
    <xf numFmtId="9" fontId="20" fillId="26" borderId="17" xfId="0" applyNumberFormat="1" applyFont="1" applyFill="1" applyBorder="1" applyAlignment="1" applyProtection="1">
      <alignment horizontal="center" vertical="center"/>
    </xf>
    <xf numFmtId="1" fontId="20" fillId="26" borderId="17" xfId="0" applyNumberFormat="1" applyFont="1" applyFill="1" applyBorder="1" applyAlignment="1" applyProtection="1">
      <alignment horizontal="center" vertical="center"/>
    </xf>
    <xf numFmtId="10" fontId="20" fillId="26" borderId="17" xfId="0" applyNumberFormat="1" applyFont="1" applyFill="1" applyBorder="1" applyAlignment="1" applyProtection="1">
      <alignment horizontal="center" vertical="center"/>
    </xf>
    <xf numFmtId="177" fontId="20" fillId="26" borderId="21" xfId="0" applyNumberFormat="1" applyFont="1" applyFill="1" applyBorder="1" applyAlignment="1" applyProtection="1">
      <alignment horizontal="center" vertical="center"/>
    </xf>
    <xf numFmtId="3" fontId="39" fillId="0" borderId="52" xfId="0" applyNumberFormat="1" applyFont="1" applyFill="1" applyBorder="1" applyAlignment="1" applyProtection="1">
      <alignment horizontal="center" vertical="center"/>
    </xf>
    <xf numFmtId="3" fontId="39" fillId="0" borderId="7" xfId="0" applyNumberFormat="1" applyFont="1" applyFill="1" applyBorder="1" applyAlignment="1" applyProtection="1">
      <alignment horizontal="center" vertical="center"/>
    </xf>
    <xf numFmtId="3" fontId="39" fillId="0" borderId="53" xfId="0" applyNumberFormat="1" applyFont="1" applyFill="1" applyBorder="1" applyAlignment="1" applyProtection="1">
      <alignment horizontal="center" vertical="center"/>
    </xf>
    <xf numFmtId="3" fontId="39" fillId="27" borderId="52" xfId="0" applyNumberFormat="1" applyFont="1" applyFill="1" applyBorder="1" applyAlignment="1" applyProtection="1">
      <alignment horizontal="center" vertical="center"/>
    </xf>
    <xf numFmtId="3" fontId="39" fillId="27" borderId="7" xfId="0" applyNumberFormat="1" applyFont="1" applyFill="1" applyBorder="1" applyAlignment="1" applyProtection="1">
      <alignment horizontal="center" vertical="center"/>
    </xf>
    <xf numFmtId="3" fontId="39" fillId="27" borderId="53" xfId="0" applyNumberFormat="1" applyFont="1" applyFill="1" applyBorder="1" applyAlignment="1" applyProtection="1">
      <alignment horizontal="center" vertical="center"/>
    </xf>
    <xf numFmtId="172"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172"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pplyProtection="1">
      <alignment horizontal="center" vertical="center"/>
    </xf>
    <xf numFmtId="3" fontId="56" fillId="26" borderId="53" xfId="80" applyNumberFormat="1" applyFont="1" applyFill="1" applyBorder="1" applyAlignment="1" applyProtection="1">
      <alignment horizontal="center" vertical="center"/>
    </xf>
    <xf numFmtId="3" fontId="56" fillId="26" borderId="30" xfId="80" applyNumberFormat="1" applyFont="1" applyFill="1" applyBorder="1" applyAlignment="1" applyProtection="1">
      <alignment horizontal="center" vertical="center"/>
    </xf>
    <xf numFmtId="3" fontId="56" fillId="26" borderId="77" xfId="80" applyNumberFormat="1" applyFont="1" applyFill="1" applyBorder="1" applyAlignment="1" applyProtection="1">
      <alignment horizontal="center" vertical="center"/>
    </xf>
    <xf numFmtId="3" fontId="56" fillId="26" borderId="28" xfId="80" applyNumberFormat="1" applyFont="1" applyFill="1" applyBorder="1" applyAlignment="1" applyProtection="1">
      <alignment horizontal="center" vertical="center"/>
    </xf>
    <xf numFmtId="3" fontId="56" fillId="26" borderId="78" xfId="80" applyNumberFormat="1" applyFont="1" applyFill="1" applyBorder="1" applyAlignment="1" applyProtection="1">
      <alignment horizontal="center" vertical="center"/>
    </xf>
    <xf numFmtId="3" fontId="56" fillId="26" borderId="57" xfId="80" applyNumberFormat="1" applyFont="1" applyFill="1" applyBorder="1" applyAlignment="1" applyProtection="1">
      <alignment horizontal="center" vertical="center"/>
    </xf>
    <xf numFmtId="3" fontId="56" fillId="0" borderId="69" xfId="80" applyNumberFormat="1" applyFont="1" applyFill="1" applyBorder="1" applyAlignment="1" applyProtection="1">
      <alignment horizontal="center" vertical="center"/>
    </xf>
    <xf numFmtId="3" fontId="56" fillId="0" borderId="18" xfId="80" applyNumberFormat="1" applyFont="1" applyFill="1" applyBorder="1" applyAlignment="1" applyProtection="1">
      <alignment horizontal="center" vertical="center"/>
    </xf>
    <xf numFmtId="3" fontId="56" fillId="0" borderId="56" xfId="80" applyNumberFormat="1" applyFont="1" applyFill="1" applyBorder="1" applyAlignment="1" applyProtection="1">
      <alignment horizontal="center" vertical="center"/>
    </xf>
    <xf numFmtId="3" fontId="56" fillId="0" borderId="4" xfId="80" applyNumberFormat="1" applyFont="1" applyFill="1" applyBorder="1" applyAlignment="1" applyProtection="1">
      <alignment horizontal="center" vertical="center"/>
    </xf>
    <xf numFmtId="3" fontId="56" fillId="0" borderId="77" xfId="80" applyNumberFormat="1" applyFont="1" applyFill="1" applyBorder="1" applyAlignment="1" applyProtection="1">
      <alignment horizontal="center" vertical="center"/>
    </xf>
    <xf numFmtId="3" fontId="56" fillId="0" borderId="57" xfId="80" applyNumberFormat="1" applyFont="1" applyFill="1" applyBorder="1" applyAlignment="1" applyProtection="1">
      <alignment horizontal="center" vertical="center"/>
    </xf>
    <xf numFmtId="3" fontId="56" fillId="0" borderId="31" xfId="80" applyNumberFormat="1" applyFont="1" applyFill="1" applyBorder="1" applyAlignment="1" applyProtection="1">
      <alignment horizontal="center" vertical="center"/>
    </xf>
    <xf numFmtId="3" fontId="56" fillId="0" borderId="53" xfId="80" applyNumberFormat="1" applyFont="1" applyFill="1" applyBorder="1" applyAlignment="1" applyProtection="1">
      <alignment horizontal="center" vertical="center"/>
    </xf>
    <xf numFmtId="3" fontId="11" fillId="26" borderId="90" xfId="88" applyNumberFormat="1" applyFont="1" applyFill="1" applyBorder="1" applyAlignment="1" applyProtection="1">
      <alignment horizontal="center" vertical="center" wrapText="1"/>
    </xf>
    <xf numFmtId="3" fontId="11" fillId="26" borderId="112" xfId="88" applyNumberFormat="1" applyFont="1" applyFill="1" applyBorder="1" applyAlignment="1" applyProtection="1">
      <alignment horizontal="center" vertical="center" wrapText="1"/>
    </xf>
    <xf numFmtId="3" fontId="11" fillId="26" borderId="91" xfId="88" applyNumberFormat="1" applyFont="1" applyFill="1" applyBorder="1" applyAlignment="1" applyProtection="1">
      <alignment horizontal="center" vertical="center" wrapText="1"/>
    </xf>
    <xf numFmtId="3" fontId="11" fillId="26" borderId="72" xfId="88" applyNumberFormat="1" applyFont="1" applyFill="1" applyBorder="1" applyAlignment="1" applyProtection="1">
      <alignment horizontal="center" vertical="center" wrapText="1"/>
    </xf>
    <xf numFmtId="3" fontId="11" fillId="26" borderId="73" xfId="88" applyNumberFormat="1" applyFont="1" applyFill="1" applyBorder="1" applyAlignment="1" applyProtection="1">
      <alignment horizontal="center" vertical="center" wrapText="1"/>
    </xf>
    <xf numFmtId="3" fontId="11" fillId="26" borderId="49" xfId="88" applyNumberFormat="1" applyFont="1" applyFill="1" applyBorder="1" applyAlignment="1" applyProtection="1">
      <alignment horizontal="center" vertical="center" wrapText="1"/>
    </xf>
    <xf numFmtId="3" fontId="11" fillId="26" borderId="44" xfId="88" applyNumberFormat="1" applyFont="1" applyFill="1" applyBorder="1" applyAlignment="1" applyProtection="1">
      <alignment horizontal="center" vertical="center" wrapText="1"/>
    </xf>
    <xf numFmtId="172" fontId="42" fillId="26" borderId="44" xfId="70" applyNumberFormat="1" applyFont="1" applyFill="1" applyBorder="1" applyAlignment="1" applyProtection="1">
      <alignment horizontal="center" vertical="center" wrapText="1"/>
    </xf>
    <xf numFmtId="10" fontId="119" fillId="26" borderId="31" xfId="70" applyNumberFormat="1" applyFont="1" applyFill="1" applyBorder="1" applyAlignment="1" applyProtection="1">
      <alignment horizontal="center" vertical="center" wrapText="1"/>
    </xf>
    <xf numFmtId="10" fontId="119" fillId="26" borderId="50" xfId="70" applyNumberFormat="1" applyFont="1" applyFill="1" applyBorder="1" applyAlignment="1" applyProtection="1">
      <alignment horizontal="center" vertical="center" wrapText="1"/>
    </xf>
    <xf numFmtId="3" fontId="116" fillId="20" borderId="72" xfId="88" applyNumberFormat="1" applyFont="1" applyFill="1" applyBorder="1" applyAlignment="1" applyProtection="1">
      <alignment horizontal="center" vertical="center" wrapText="1"/>
    </xf>
    <xf numFmtId="3" fontId="116" fillId="20" borderId="73" xfId="88" applyNumberFormat="1" applyFont="1" applyFill="1" applyBorder="1" applyAlignment="1" applyProtection="1">
      <alignment horizontal="center" vertical="center" wrapText="1"/>
    </xf>
    <xf numFmtId="3" fontId="116" fillId="20" borderId="76" xfId="88" applyNumberFormat="1" applyFont="1" applyFill="1" applyBorder="1" applyAlignment="1" applyProtection="1">
      <alignment horizontal="center" vertical="center" wrapText="1"/>
    </xf>
    <xf numFmtId="3" fontId="116" fillId="20" borderId="32" xfId="88" applyNumberFormat="1" applyFont="1" applyFill="1" applyBorder="1" applyAlignment="1" applyProtection="1">
      <alignment horizontal="center" vertical="center" wrapText="1"/>
    </xf>
    <xf numFmtId="3" fontId="116" fillId="20" borderId="7" xfId="88" applyNumberFormat="1" applyFont="1" applyFill="1" applyBorder="1" applyAlignment="1" applyProtection="1">
      <alignment horizontal="center" vertical="center" wrapText="1"/>
    </xf>
    <xf numFmtId="3" fontId="116" fillId="20" borderId="53" xfId="88" applyNumberFormat="1" applyFont="1" applyFill="1" applyBorder="1" applyAlignment="1" applyProtection="1">
      <alignment horizontal="center" vertical="center" wrapText="1"/>
    </xf>
    <xf numFmtId="3" fontId="11" fillId="26" borderId="99" xfId="88" applyNumberFormat="1" applyFont="1" applyFill="1" applyBorder="1" applyAlignment="1" applyProtection="1">
      <alignment horizontal="center" vertical="center" wrapText="1"/>
    </xf>
    <xf numFmtId="3" fontId="11" fillId="26" borderId="113" xfId="88" applyNumberFormat="1" applyFont="1" applyFill="1" applyBorder="1" applyAlignment="1" applyProtection="1">
      <alignment horizontal="center" vertical="center" wrapText="1"/>
    </xf>
    <xf numFmtId="3" fontId="11" fillId="26" borderId="95" xfId="88" applyNumberFormat="1" applyFont="1" applyFill="1" applyBorder="1" applyAlignment="1" applyProtection="1">
      <alignment horizontal="center" vertical="center" wrapText="1"/>
    </xf>
    <xf numFmtId="3" fontId="117" fillId="26" borderId="24" xfId="88" applyNumberFormat="1" applyFont="1" applyFill="1" applyBorder="1" applyAlignment="1" applyProtection="1">
      <alignment horizontal="center" vertical="center" wrapText="1"/>
    </xf>
    <xf numFmtId="3" fontId="117" fillId="26" borderId="7" xfId="88" applyNumberFormat="1" applyFont="1" applyFill="1" applyBorder="1" applyAlignment="1" applyProtection="1">
      <alignment horizontal="center" vertical="center" wrapText="1"/>
    </xf>
    <xf numFmtId="3" fontId="117" fillId="26" borderId="15" xfId="88" applyNumberFormat="1" applyFont="1" applyFill="1" applyBorder="1" applyAlignment="1" applyProtection="1">
      <alignment horizontal="center" vertical="center" wrapText="1"/>
    </xf>
    <xf numFmtId="3" fontId="11" fillId="26" borderId="31" xfId="88" applyNumberFormat="1" applyFont="1" applyFill="1" applyBorder="1" applyAlignment="1" applyProtection="1">
      <alignment horizontal="center" vertical="center" wrapText="1"/>
    </xf>
    <xf numFmtId="10" fontId="119" fillId="26" borderId="61" xfId="70" applyNumberFormat="1" applyFont="1" applyFill="1" applyBorder="1" applyAlignment="1" applyProtection="1">
      <alignment horizontal="center" vertical="center" wrapText="1"/>
    </xf>
    <xf numFmtId="3" fontId="117" fillId="26" borderId="79" xfId="88" applyNumberFormat="1" applyFont="1" applyFill="1" applyBorder="1" applyAlignment="1" applyProtection="1">
      <alignment horizontal="center" vertical="center" wrapText="1"/>
    </xf>
    <xf numFmtId="0" fontId="40" fillId="26" borderId="29" xfId="49" applyFont="1" applyFill="1" applyBorder="1" applyAlignment="1" applyProtection="1">
      <alignment vertical="center" wrapText="1"/>
    </xf>
    <xf numFmtId="168" fontId="40" fillId="26" borderId="75" xfId="49" applyNumberFormat="1" applyFont="1" applyFill="1" applyBorder="1" applyAlignment="1" applyProtection="1">
      <alignment horizontal="center" vertical="center"/>
    </xf>
    <xf numFmtId="168" fontId="40" fillId="26" borderId="73" xfId="49" applyNumberFormat="1" applyFont="1" applyFill="1" applyBorder="1" applyAlignment="1" applyProtection="1">
      <alignment horizontal="center" vertical="center"/>
    </xf>
    <xf numFmtId="168" fontId="40" fillId="26" borderId="76" xfId="49" applyNumberFormat="1" applyFont="1" applyFill="1" applyBorder="1" applyAlignment="1" applyProtection="1">
      <alignment horizontal="center" vertical="center"/>
    </xf>
    <xf numFmtId="167" fontId="40" fillId="26" borderId="29" xfId="49" applyNumberFormat="1" applyFont="1" applyFill="1" applyBorder="1" applyAlignment="1" applyProtection="1">
      <alignment horizontal="center" vertical="center"/>
    </xf>
    <xf numFmtId="168" fontId="40" fillId="26" borderId="14" xfId="49" applyNumberFormat="1" applyFont="1" applyFill="1" applyBorder="1" applyAlignment="1" applyProtection="1">
      <alignment horizontal="center" vertical="center"/>
    </xf>
    <xf numFmtId="168" fontId="40" fillId="26" borderId="72" xfId="49" applyNumberFormat="1" applyFont="1" applyFill="1" applyBorder="1" applyAlignment="1" applyProtection="1">
      <alignment horizontal="center" vertical="center"/>
    </xf>
    <xf numFmtId="167" fontId="40" fillId="26" borderId="22" xfId="49" applyNumberFormat="1" applyFont="1" applyFill="1" applyBorder="1" applyAlignment="1" applyProtection="1">
      <alignment horizontal="center" vertical="center"/>
    </xf>
    <xf numFmtId="168" fontId="40" fillId="26" borderId="22" xfId="49" applyNumberFormat="1" applyFont="1" applyFill="1" applyBorder="1" applyAlignment="1" applyProtection="1">
      <alignment horizontal="center" vertical="center"/>
    </xf>
    <xf numFmtId="0" fontId="40" fillId="26" borderId="24" xfId="49" applyFont="1" applyFill="1" applyBorder="1" applyAlignment="1" applyProtection="1">
      <alignment vertical="center"/>
    </xf>
    <xf numFmtId="168" fontId="40" fillId="26" borderId="52" xfId="49" applyNumberFormat="1" applyFont="1" applyFill="1" applyBorder="1" applyAlignment="1" applyProtection="1">
      <alignment horizontal="center" vertical="center"/>
    </xf>
    <xf numFmtId="168" fontId="40" fillId="26" borderId="7" xfId="49" applyNumberFormat="1" applyFont="1" applyFill="1" applyBorder="1" applyAlignment="1" applyProtection="1">
      <alignment horizontal="center" vertical="center"/>
    </xf>
    <xf numFmtId="168" fontId="40" fillId="26" borderId="53" xfId="49" applyNumberFormat="1" applyFont="1" applyFill="1" applyBorder="1" applyAlignment="1" applyProtection="1">
      <alignment horizontal="center" vertical="center"/>
    </xf>
    <xf numFmtId="167" fontId="40" fillId="26" borderId="24" xfId="49" applyNumberFormat="1" applyFont="1" applyFill="1" applyBorder="1" applyAlignment="1" applyProtection="1">
      <alignment horizontal="center" vertical="center"/>
    </xf>
    <xf numFmtId="168" fontId="40" fillId="26" borderId="15" xfId="49" applyNumberFormat="1" applyFont="1" applyFill="1" applyBorder="1" applyAlignment="1" applyProtection="1">
      <alignment horizontal="center" vertical="center"/>
    </xf>
    <xf numFmtId="168" fontId="40" fillId="26" borderId="32" xfId="49" applyNumberFormat="1" applyFont="1" applyFill="1" applyBorder="1" applyAlignment="1" applyProtection="1">
      <alignment horizontal="center" vertical="center"/>
    </xf>
    <xf numFmtId="167" fontId="40" fillId="26" borderId="23" xfId="49" applyNumberFormat="1" applyFont="1" applyFill="1" applyBorder="1" applyAlignment="1" applyProtection="1">
      <alignment horizontal="center" vertical="center"/>
    </xf>
    <xf numFmtId="168" fontId="40" fillId="26" borderId="23" xfId="49" applyNumberFormat="1" applyFont="1" applyFill="1" applyBorder="1" applyAlignment="1" applyProtection="1">
      <alignment horizontal="center" vertical="center"/>
    </xf>
    <xf numFmtId="0" fontId="40" fillId="26" borderId="30" xfId="49" applyFont="1" applyFill="1" applyBorder="1" applyAlignment="1" applyProtection="1">
      <alignment vertical="center"/>
    </xf>
    <xf numFmtId="168" fontId="40" fillId="26" borderId="56" xfId="49" applyNumberFormat="1" applyFont="1" applyFill="1" applyBorder="1" applyAlignment="1" applyProtection="1">
      <alignment horizontal="center" vertical="center"/>
    </xf>
    <xf numFmtId="168" fontId="40" fillId="26" borderId="77" xfId="49" applyNumberFormat="1" applyFont="1" applyFill="1" applyBorder="1" applyAlignment="1" applyProtection="1">
      <alignment horizontal="center" vertical="center"/>
    </xf>
    <xf numFmtId="168" fontId="40" fillId="26" borderId="57" xfId="49" applyNumberFormat="1" applyFont="1" applyFill="1" applyBorder="1" applyAlignment="1" applyProtection="1">
      <alignment horizontal="center" vertical="center"/>
    </xf>
    <xf numFmtId="167" fontId="40" fillId="26" borderId="30" xfId="49" applyNumberFormat="1" applyFont="1" applyFill="1" applyBorder="1" applyAlignment="1" applyProtection="1">
      <alignment horizontal="center" vertical="center"/>
    </xf>
    <xf numFmtId="168" fontId="40" fillId="26" borderId="19" xfId="49" applyNumberFormat="1" applyFont="1" applyFill="1" applyBorder="1" applyAlignment="1" applyProtection="1">
      <alignment horizontal="center" vertical="center"/>
    </xf>
    <xf numFmtId="168" fontId="40" fillId="26" borderId="79" xfId="49" applyNumberFormat="1" applyFont="1" applyFill="1" applyBorder="1" applyAlignment="1" applyProtection="1">
      <alignment horizontal="center" vertical="center"/>
    </xf>
    <xf numFmtId="167" fontId="40" fillId="26" borderId="28" xfId="49" applyNumberFormat="1" applyFont="1" applyFill="1" applyBorder="1" applyAlignment="1" applyProtection="1">
      <alignment horizontal="center" vertical="center"/>
    </xf>
    <xf numFmtId="168" fontId="40" fillId="26" borderId="28" xfId="49" applyNumberFormat="1" applyFont="1" applyFill="1" applyBorder="1" applyAlignment="1" applyProtection="1">
      <alignment horizontal="center" vertical="center"/>
    </xf>
    <xf numFmtId="0" fontId="40" fillId="26" borderId="1" xfId="49" applyFont="1" applyFill="1" applyBorder="1" applyAlignment="1" applyProtection="1">
      <alignment vertical="center"/>
    </xf>
    <xf numFmtId="0" fontId="40" fillId="26" borderId="38"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39" fillId="26" borderId="1" xfId="49" applyNumberFormat="1" applyFont="1" applyFill="1" applyBorder="1" applyAlignment="1" applyProtection="1">
      <alignment horizontal="center" vertical="center"/>
    </xf>
    <xf numFmtId="0" fontId="39" fillId="26" borderId="3" xfId="49" applyFont="1" applyFill="1" applyBorder="1" applyAlignment="1" applyProtection="1">
      <alignment horizontal="center" vertical="center"/>
    </xf>
    <xf numFmtId="0" fontId="39" fillId="26" borderId="65" xfId="49" applyFont="1" applyFill="1" applyBorder="1" applyAlignment="1" applyProtection="1">
      <alignment horizontal="center" vertical="center"/>
    </xf>
    <xf numFmtId="0" fontId="39" fillId="26" borderId="9" xfId="49" applyFont="1" applyFill="1" applyBorder="1" applyAlignment="1" applyProtection="1">
      <alignment horizontal="center" vertical="center"/>
    </xf>
    <xf numFmtId="0" fontId="39" fillId="26" borderId="10" xfId="49" applyFont="1" applyFill="1" applyBorder="1" applyAlignment="1" applyProtection="1">
      <alignment horizontal="center" vertical="center"/>
    </xf>
    <xf numFmtId="167" fontId="39" fillId="26" borderId="8" xfId="49" applyNumberFormat="1" applyFont="1" applyFill="1" applyBorder="1" applyAlignment="1" applyProtection="1">
      <alignment horizontal="center" vertical="center"/>
    </xf>
    <xf numFmtId="0" fontId="39" fillId="26" borderId="8" xfId="49" applyFont="1" applyFill="1" applyBorder="1" applyAlignment="1" applyProtection="1">
      <alignment horizontal="center" vertical="center"/>
    </xf>
    <xf numFmtId="0" fontId="39" fillId="26" borderId="38" xfId="49" applyFont="1" applyFill="1" applyBorder="1" applyAlignment="1" applyProtection="1">
      <alignment horizontal="center" vertical="center"/>
    </xf>
    <xf numFmtId="0" fontId="40" fillId="26" borderId="29" xfId="49" applyFont="1" applyFill="1" applyBorder="1" applyAlignment="1" applyProtection="1">
      <alignment vertical="center"/>
    </xf>
    <xf numFmtId="3" fontId="40" fillId="26" borderId="75" xfId="49" applyNumberFormat="1" applyFont="1" applyFill="1" applyBorder="1" applyAlignment="1" applyProtection="1">
      <alignment horizontal="center" vertical="center"/>
    </xf>
    <xf numFmtId="3" fontId="40" fillId="26" borderId="73" xfId="49" applyNumberFormat="1" applyFont="1" applyFill="1" applyBorder="1" applyAlignment="1" applyProtection="1">
      <alignment horizontal="center" vertical="center"/>
    </xf>
    <xf numFmtId="3" fontId="40" fillId="26" borderId="76" xfId="49" applyNumberFormat="1" applyFont="1" applyFill="1" applyBorder="1" applyAlignment="1" applyProtection="1">
      <alignment horizontal="center" vertical="center"/>
    </xf>
    <xf numFmtId="167" fontId="40" fillId="29" borderId="29" xfId="49" applyNumberFormat="1" applyFont="1" applyFill="1" applyBorder="1" applyAlignment="1" applyProtection="1">
      <alignment horizontal="center" vertical="center"/>
    </xf>
    <xf numFmtId="3" fontId="40" fillId="29" borderId="14" xfId="49" applyNumberFormat="1" applyFont="1" applyFill="1" applyBorder="1" applyAlignment="1" applyProtection="1">
      <alignment horizontal="center" vertical="center"/>
    </xf>
    <xf numFmtId="3" fontId="40" fillId="29" borderId="72" xfId="49" applyNumberFormat="1" applyFont="1" applyFill="1" applyBorder="1" applyAlignment="1" applyProtection="1">
      <alignment horizontal="center" vertical="center"/>
    </xf>
    <xf numFmtId="3" fontId="40" fillId="29" borderId="73" xfId="49" applyNumberFormat="1" applyFont="1" applyFill="1" applyBorder="1" applyAlignment="1" applyProtection="1">
      <alignment horizontal="center" vertical="center"/>
    </xf>
    <xf numFmtId="3" fontId="40" fillId="29" borderId="76" xfId="49" applyNumberFormat="1" applyFont="1" applyFill="1" applyBorder="1" applyAlignment="1" applyProtection="1">
      <alignment horizontal="center" vertical="center"/>
    </xf>
    <xf numFmtId="167" fontId="40" fillId="29" borderId="22" xfId="49" applyNumberFormat="1" applyFont="1" applyFill="1" applyBorder="1" applyAlignment="1" applyProtection="1">
      <alignment horizontal="center" vertical="center"/>
    </xf>
    <xf numFmtId="3" fontId="40" fillId="29" borderId="22" xfId="49" applyNumberFormat="1" applyFont="1" applyFill="1" applyBorder="1" applyAlignment="1" applyProtection="1">
      <alignment horizontal="center" vertical="center"/>
    </xf>
    <xf numFmtId="3" fontId="40" fillId="29" borderId="75" xfId="49" applyNumberFormat="1" applyFont="1" applyFill="1" applyBorder="1" applyAlignment="1" applyProtection="1">
      <alignment horizontal="center" vertical="center"/>
    </xf>
    <xf numFmtId="0" fontId="107" fillId="26" borderId="52" xfId="49" applyFont="1" applyFill="1" applyBorder="1" applyAlignment="1" applyProtection="1">
      <alignment horizontal="center" vertical="center"/>
    </xf>
    <xf numFmtId="3" fontId="40" fillId="29" borderId="7" xfId="49" applyNumberFormat="1" applyFont="1" applyFill="1" applyBorder="1" applyAlignment="1" applyProtection="1">
      <alignment horizontal="center" vertical="center"/>
    </xf>
    <xf numFmtId="3" fontId="40" fillId="29" borderId="53" xfId="49"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xf>
    <xf numFmtId="3" fontId="40" fillId="26" borderId="32" xfId="49" applyNumberFormat="1" applyFont="1" applyFill="1" applyBorder="1" applyAlignment="1" applyProtection="1">
      <alignment horizontal="center" vertical="center"/>
    </xf>
    <xf numFmtId="3" fontId="40" fillId="26" borderId="7" xfId="49" applyNumberFormat="1" applyFont="1" applyFill="1" applyBorder="1" applyAlignment="1" applyProtection="1">
      <alignment horizontal="center" vertical="center"/>
    </xf>
    <xf numFmtId="3" fontId="40" fillId="26" borderId="53" xfId="49" applyNumberFormat="1" applyFont="1" applyFill="1" applyBorder="1" applyAlignment="1" applyProtection="1">
      <alignment horizontal="center" vertical="center"/>
    </xf>
    <xf numFmtId="3" fontId="40" fillId="26" borderId="23" xfId="49" applyNumberFormat="1" applyFont="1" applyFill="1" applyBorder="1" applyAlignment="1" applyProtection="1">
      <alignment horizontal="center" vertical="center"/>
    </xf>
    <xf numFmtId="3" fontId="40" fillId="29" borderId="52" xfId="49" applyNumberFormat="1" applyFont="1" applyFill="1" applyBorder="1" applyAlignment="1" applyProtection="1">
      <alignment horizontal="center" vertical="center"/>
    </xf>
    <xf numFmtId="3" fontId="40" fillId="26" borderId="52" xfId="49" applyNumberFormat="1" applyFont="1" applyFill="1" applyBorder="1" applyAlignment="1" applyProtection="1">
      <alignment horizontal="center" vertical="center"/>
    </xf>
    <xf numFmtId="167" fontId="40" fillId="29" borderId="24" xfId="49" applyNumberFormat="1" applyFont="1" applyFill="1" applyBorder="1" applyAlignment="1" applyProtection="1">
      <alignment horizontal="center" vertical="center"/>
    </xf>
    <xf numFmtId="3" fontId="40" fillId="29" borderId="15" xfId="49" applyNumberFormat="1" applyFont="1" applyFill="1" applyBorder="1" applyAlignment="1" applyProtection="1">
      <alignment horizontal="center" vertical="center"/>
    </xf>
    <xf numFmtId="3" fontId="40" fillId="29" borderId="32" xfId="49" applyNumberFormat="1" applyFont="1" applyFill="1" applyBorder="1" applyAlignment="1" applyProtection="1">
      <alignment horizontal="center" vertical="center"/>
    </xf>
    <xf numFmtId="167" fontId="40" fillId="29" borderId="23" xfId="49" applyNumberFormat="1" applyFont="1" applyFill="1" applyBorder="1" applyAlignment="1" applyProtection="1">
      <alignment horizontal="center" vertical="center"/>
    </xf>
    <xf numFmtId="3" fontId="40" fillId="29" borderId="23" xfId="49" applyNumberFormat="1" applyFont="1" applyFill="1" applyBorder="1" applyAlignment="1" applyProtection="1">
      <alignment horizontal="center" vertical="center"/>
    </xf>
    <xf numFmtId="167" fontId="40" fillId="29" borderId="30" xfId="49" applyNumberFormat="1" applyFont="1" applyFill="1" applyBorder="1" applyAlignment="1" applyProtection="1">
      <alignment horizontal="right" vertical="center"/>
    </xf>
    <xf numFmtId="167" fontId="40" fillId="29" borderId="28" xfId="49" applyNumberFormat="1" applyFont="1" applyFill="1" applyBorder="1" applyAlignment="1" applyProtection="1">
      <alignment horizontal="right" vertical="center"/>
    </xf>
    <xf numFmtId="3" fontId="40" fillId="29" borderId="28" xfId="49" applyNumberFormat="1" applyFont="1" applyFill="1" applyBorder="1" applyAlignment="1" applyProtection="1">
      <alignment horizontal="right" vertical="center"/>
    </xf>
    <xf numFmtId="3" fontId="40" fillId="26" borderId="56" xfId="49" applyNumberFormat="1" applyFont="1" applyFill="1" applyBorder="1" applyAlignment="1" applyProtection="1">
      <alignment horizontal="center" vertical="center"/>
    </xf>
    <xf numFmtId="3" fontId="40" fillId="26" borderId="77" xfId="49" applyNumberFormat="1" applyFont="1" applyFill="1" applyBorder="1" applyAlignment="1" applyProtection="1">
      <alignment horizontal="center" vertical="center"/>
    </xf>
    <xf numFmtId="3" fontId="40" fillId="26" borderId="57" xfId="49" applyNumberFormat="1" applyFont="1" applyFill="1" applyBorder="1" applyAlignment="1" applyProtection="1">
      <alignment horizontal="center" vertical="center"/>
    </xf>
    <xf numFmtId="0" fontId="51" fillId="26" borderId="1" xfId="49" applyFont="1" applyFill="1" applyBorder="1" applyAlignment="1" applyProtection="1">
      <alignment vertical="center"/>
    </xf>
    <xf numFmtId="3" fontId="51" fillId="26" borderId="38" xfId="49" applyNumberFormat="1" applyFont="1" applyFill="1" applyBorder="1" applyAlignment="1" applyProtection="1">
      <alignment horizontal="center" vertical="center"/>
    </xf>
    <xf numFmtId="3" fontId="51" fillId="26" borderId="9" xfId="49" applyNumberFormat="1" applyFont="1" applyFill="1" applyBorder="1" applyAlignment="1" applyProtection="1">
      <alignment horizontal="center" vertical="center"/>
    </xf>
    <xf numFmtId="3" fontId="51" fillId="26" borderId="10" xfId="49" applyNumberFormat="1" applyFont="1" applyFill="1" applyBorder="1" applyAlignment="1" applyProtection="1">
      <alignment horizontal="center" vertical="center"/>
    </xf>
    <xf numFmtId="167" fontId="18" fillId="26" borderId="1" xfId="49" applyNumberFormat="1" applyFont="1" applyFill="1" applyBorder="1" applyAlignment="1" applyProtection="1">
      <alignment horizontal="center" vertical="center"/>
    </xf>
    <xf numFmtId="0" fontId="18" fillId="26" borderId="3" xfId="49" applyFont="1" applyFill="1" applyBorder="1" applyAlignment="1" applyProtection="1">
      <alignment horizontal="center" vertical="center"/>
    </xf>
    <xf numFmtId="0" fontId="18" fillId="26" borderId="65" xfId="49" applyFont="1" applyFill="1" applyBorder="1" applyAlignment="1" applyProtection="1">
      <alignment horizontal="center" vertical="center"/>
    </xf>
    <xf numFmtId="0" fontId="18" fillId="26" borderId="9" xfId="49" applyFont="1" applyFill="1" applyBorder="1" applyAlignment="1" applyProtection="1">
      <alignment horizontal="center" vertical="center"/>
    </xf>
    <xf numFmtId="0" fontId="18" fillId="26" borderId="10" xfId="49" applyFont="1" applyFill="1" applyBorder="1" applyAlignment="1" applyProtection="1">
      <alignment horizontal="center" vertical="center"/>
    </xf>
    <xf numFmtId="167" fontId="18" fillId="26" borderId="8" xfId="49" applyNumberFormat="1" applyFont="1" applyFill="1" applyBorder="1" applyAlignment="1" applyProtection="1">
      <alignment horizontal="center" vertical="center"/>
    </xf>
    <xf numFmtId="0" fontId="18" fillId="26" borderId="8" xfId="49" applyFont="1" applyFill="1" applyBorder="1" applyAlignment="1" applyProtection="1">
      <alignment horizontal="center" vertical="center"/>
    </xf>
    <xf numFmtId="0" fontId="18" fillId="26" borderId="38" xfId="49" applyFont="1" applyFill="1" applyBorder="1" applyAlignment="1" applyProtection="1">
      <alignment horizontal="center" vertical="center"/>
    </xf>
    <xf numFmtId="0" fontId="51" fillId="26" borderId="10" xfId="49" applyFont="1" applyFill="1" applyBorder="1" applyAlignment="1" applyProtection="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Fill="1" applyBorder="1" applyAlignment="1" applyProtection="1">
      <alignment horizontal="center" vertical="center" wrapText="1"/>
    </xf>
    <xf numFmtId="0" fontId="40" fillId="37" borderId="26" xfId="49" applyFont="1" applyFill="1" applyBorder="1" applyAlignment="1" applyProtection="1">
      <alignment horizontal="center" vertical="center" wrapText="1"/>
    </xf>
    <xf numFmtId="3" fontId="39" fillId="24" borderId="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0" borderId="39" xfId="49" applyNumberFormat="1" applyFont="1" applyFill="1" applyBorder="1" applyAlignment="1" applyProtection="1">
      <alignment horizontal="center" vertical="center" wrapText="1"/>
    </xf>
    <xf numFmtId="3" fontId="40" fillId="0" borderId="5" xfId="31" applyNumberFormat="1" applyFont="1" applyFill="1" applyBorder="1" applyAlignment="1" applyProtection="1">
      <alignment horizontal="center" vertical="center" wrapText="1"/>
    </xf>
    <xf numFmtId="3" fontId="40" fillId="0" borderId="26" xfId="31"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3" fontId="39" fillId="0" borderId="2" xfId="31" applyNumberFormat="1" applyFont="1" applyFill="1" applyBorder="1" applyAlignment="1" applyProtection="1">
      <alignment horizontal="center" vertical="center" wrapText="1"/>
    </xf>
    <xf numFmtId="3" fontId="39" fillId="0" borderId="51" xfId="31" applyNumberFormat="1" applyFont="1" applyFill="1" applyBorder="1" applyAlignment="1" applyProtection="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pplyProtection="1">
      <alignment horizontal="center" vertical="center" wrapText="1"/>
    </xf>
    <xf numFmtId="3" fontId="40" fillId="33" borderId="31" xfId="49" applyNumberFormat="1" applyFont="1" applyFill="1" applyBorder="1" applyAlignment="1" applyProtection="1">
      <alignment horizontal="center" vertical="center" wrapText="1"/>
    </xf>
    <xf numFmtId="3" fontId="40" fillId="26" borderId="32" xfId="49" applyNumberFormat="1" applyFont="1" applyFill="1" applyBorder="1" applyAlignment="1" applyProtection="1">
      <alignment horizontal="center" vertical="center" wrapText="1"/>
    </xf>
    <xf numFmtId="3" fontId="40" fillId="26" borderId="7" xfId="49" applyNumberFormat="1" applyFont="1" applyFill="1" applyBorder="1" applyAlignment="1" applyProtection="1">
      <alignment horizontal="center" vertical="center" wrapText="1"/>
    </xf>
    <xf numFmtId="3" fontId="40" fillId="33" borderId="32" xfId="49" applyNumberFormat="1" applyFont="1" applyFill="1" applyBorder="1" applyAlignment="1" applyProtection="1">
      <alignment horizontal="center" vertical="center" wrapText="1"/>
    </xf>
    <xf numFmtId="3" fontId="40" fillId="33" borderId="7"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22"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33" borderId="23" xfId="49" applyNumberFormat="1" applyFont="1" applyFill="1" applyBorder="1" applyAlignment="1" applyProtection="1">
      <alignment horizontal="center" vertical="center" wrapText="1"/>
    </xf>
    <xf numFmtId="3" fontId="40" fillId="26" borderId="23" xfId="49" applyNumberFormat="1" applyFont="1" applyFill="1" applyBorder="1" applyAlignment="1" applyProtection="1">
      <alignment horizontal="center" vertical="center" wrapText="1"/>
    </xf>
    <xf numFmtId="3" fontId="40" fillId="33" borderId="33"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81" xfId="49" applyNumberFormat="1" applyFont="1" applyFill="1" applyBorder="1" applyAlignment="1" applyProtection="1">
      <alignment horizontal="center" vertical="center" wrapText="1"/>
    </xf>
    <xf numFmtId="3" fontId="39" fillId="24" borderId="9" xfId="49" applyNumberFormat="1" applyFont="1" applyFill="1" applyBorder="1" applyAlignment="1" applyProtection="1">
      <alignment horizontal="center" vertical="center" wrapText="1"/>
    </xf>
    <xf numFmtId="3" fontId="39" fillId="24" borderId="8" xfId="49" applyNumberFormat="1" applyFont="1" applyFill="1" applyBorder="1" applyAlignment="1" applyProtection="1">
      <alignment horizontal="center" vertical="center" wrapText="1"/>
    </xf>
    <xf numFmtId="3" fontId="40" fillId="33" borderId="62" xfId="49" applyNumberFormat="1" applyFont="1" applyFill="1" applyBorder="1" applyAlignment="1" applyProtection="1">
      <alignment horizontal="center" vertical="center" wrapText="1"/>
    </xf>
    <xf numFmtId="3" fontId="39" fillId="24" borderId="60" xfId="49" applyNumberFormat="1" applyFont="1" applyFill="1" applyBorder="1" applyAlignment="1" applyProtection="1">
      <alignment horizontal="center" vertical="center" wrapText="1"/>
    </xf>
    <xf numFmtId="3" fontId="40" fillId="26" borderId="28" xfId="49" applyNumberFormat="1" applyFont="1" applyFill="1" applyBorder="1" applyAlignment="1" applyProtection="1">
      <alignment horizontal="center" vertical="center" wrapText="1"/>
    </xf>
    <xf numFmtId="3" fontId="40" fillId="26" borderId="77" xfId="49" applyNumberFormat="1" applyFont="1" applyFill="1" applyBorder="1" applyAlignment="1" applyProtection="1">
      <alignment horizontal="center" vertical="center" wrapText="1"/>
    </xf>
    <xf numFmtId="3" fontId="39" fillId="0" borderId="8" xfId="31" applyNumberFormat="1" applyFont="1" applyFill="1" applyBorder="1" applyAlignment="1" applyProtection="1">
      <alignment horizontal="center" vertical="center" wrapText="1"/>
    </xf>
    <xf numFmtId="3" fontId="39" fillId="0" borderId="9" xfId="31" applyNumberFormat="1" applyFont="1" applyFill="1" applyBorder="1" applyAlignment="1" applyProtection="1">
      <alignment horizontal="center" vertical="center" wrapText="1"/>
    </xf>
    <xf numFmtId="3" fontId="39" fillId="0" borderId="8" xfId="49" applyNumberFormat="1" applyFont="1" applyFill="1" applyBorder="1" applyAlignment="1" applyProtection="1">
      <alignment horizontal="center" vertical="center" wrapText="1"/>
    </xf>
    <xf numFmtId="3" fontId="39" fillId="0" borderId="9" xfId="49" applyNumberFormat="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0" fontId="87"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Fill="1" applyBorder="1" applyAlignment="1" applyProtection="1">
      <alignment horizontal="center" vertical="center" wrapText="1"/>
    </xf>
    <xf numFmtId="0" fontId="40" fillId="27" borderId="0" xfId="49" applyFont="1" applyFill="1" applyBorder="1" applyAlignment="1" applyProtection="1">
      <alignment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67" fontId="39" fillId="27" borderId="0" xfId="49" applyNumberFormat="1" applyFont="1" applyFill="1" applyBorder="1" applyAlignment="1" applyProtection="1">
      <alignment horizontal="center" vertical="center"/>
    </xf>
    <xf numFmtId="0" fontId="39" fillId="27" borderId="0" xfId="49" applyFont="1" applyFill="1" applyBorder="1" applyAlignment="1" applyProtection="1">
      <alignment horizontal="center" vertical="center"/>
    </xf>
    <xf numFmtId="174" fontId="39" fillId="27" borderId="0" xfId="49" applyNumberFormat="1"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0" fontId="40" fillId="27" borderId="0" xfId="49" applyFont="1" applyFill="1" applyAlignment="1" applyProtection="1">
      <alignment horizontal="center" vertical="center" wrapText="1"/>
    </xf>
    <xf numFmtId="174" fontId="40" fillId="27" borderId="0" xfId="49" applyNumberFormat="1" applyFont="1" applyFill="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pplyProtection="1">
      <alignment horizontal="center" vertical="center" wrapText="1"/>
    </xf>
    <xf numFmtId="3" fontId="40" fillId="33" borderId="5" xfId="49" applyNumberFormat="1" applyFont="1" applyFill="1" applyBorder="1" applyAlignment="1" applyProtection="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pplyProtection="1">
      <alignment horizontal="left" vertical="center" wrapText="1"/>
    </xf>
    <xf numFmtId="0" fontId="35" fillId="27" borderId="50" xfId="49" applyFont="1" applyFill="1" applyBorder="1" applyAlignment="1" applyProtection="1">
      <alignment horizontal="left" vertical="center" wrapText="1"/>
    </xf>
    <xf numFmtId="3" fontId="35" fillId="27" borderId="5" xfId="49" applyNumberFormat="1" applyFont="1" applyFill="1" applyBorder="1" applyAlignment="1" applyProtection="1">
      <alignment horizontal="center" vertical="center" wrapText="1"/>
    </xf>
    <xf numFmtId="3" fontId="35" fillId="0" borderId="32" xfId="32" applyNumberFormat="1" applyFont="1" applyFill="1" applyBorder="1" applyAlignment="1" applyProtection="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Fill="1" applyBorder="1" applyAlignment="1" applyProtection="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Fill="1" applyBorder="1" applyAlignment="1" applyProtection="1">
      <alignment horizontal="center" vertical="center"/>
    </xf>
    <xf numFmtId="0" fontId="123" fillId="27" borderId="0" xfId="49" applyFont="1" applyFill="1" applyAlignment="1">
      <alignment vertical="center"/>
    </xf>
    <xf numFmtId="0" fontId="35" fillId="0" borderId="50" xfId="49" applyFont="1" applyFill="1" applyBorder="1" applyAlignment="1" applyProtection="1">
      <alignment horizontal="left" vertical="center" wrapText="1"/>
    </xf>
    <xf numFmtId="3" fontId="35" fillId="0" borderId="5" xfId="49" applyNumberFormat="1" applyFont="1" applyFill="1" applyBorder="1" applyAlignment="1" applyProtection="1">
      <alignment horizontal="center" vertical="center" wrapText="1"/>
    </xf>
    <xf numFmtId="49" fontId="35" fillId="27" borderId="52" xfId="49" applyNumberFormat="1" applyFont="1" applyFill="1" applyBorder="1" applyAlignment="1" applyProtection="1">
      <alignment horizontal="left" vertical="center" wrapText="1"/>
    </xf>
    <xf numFmtId="0" fontId="35" fillId="0" borderId="53" xfId="49" applyFont="1" applyFill="1" applyBorder="1" applyAlignment="1" applyProtection="1">
      <alignment horizontal="left" vertical="center" wrapText="1"/>
    </xf>
    <xf numFmtId="3" fontId="35" fillId="0" borderId="17" xfId="49" applyNumberFormat="1" applyFont="1" applyFill="1" applyBorder="1" applyAlignment="1" applyProtection="1">
      <alignment horizontal="center" vertical="center" wrapText="1"/>
    </xf>
    <xf numFmtId="3" fontId="35" fillId="0" borderId="32" xfId="49" applyNumberFormat="1" applyFont="1" applyFill="1" applyBorder="1" applyAlignment="1" applyProtection="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Fill="1" applyBorder="1" applyAlignment="1" applyProtection="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Fill="1" applyBorder="1" applyAlignment="1" applyProtection="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24" fillId="0" borderId="0" xfId="49" applyFont="1" applyFill="1" applyAlignment="1">
      <alignment vertical="center"/>
    </xf>
    <xf numFmtId="0" fontId="124"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87" fillId="0" borderId="0" xfId="49" applyFont="1" applyFill="1" applyAlignment="1">
      <alignment vertical="center"/>
    </xf>
    <xf numFmtId="0" fontId="125" fillId="27" borderId="0" xfId="49" applyFont="1" applyFill="1" applyAlignment="1">
      <alignment vertical="center"/>
    </xf>
    <xf numFmtId="3" fontId="40" fillId="27" borderId="7"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50"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49" xfId="49" applyNumberFormat="1" applyFont="1" applyFill="1" applyBorder="1" applyAlignment="1" applyProtection="1">
      <alignment horizontal="center" vertical="center" wrapText="1"/>
    </xf>
    <xf numFmtId="2" fontId="40" fillId="0" borderId="61" xfId="83" applyNumberFormat="1" applyFont="1" applyFill="1" applyBorder="1" applyAlignment="1" applyProtection="1">
      <alignment horizontal="left" vertical="center" wrapText="1"/>
    </xf>
    <xf numFmtId="2" fontId="40" fillId="0" borderId="62" xfId="83" applyNumberFormat="1" applyFont="1" applyFill="1" applyBorder="1" applyAlignment="1" applyProtection="1">
      <alignment horizontal="left" vertical="center" wrapText="1"/>
    </xf>
    <xf numFmtId="2" fontId="40" fillId="0" borderId="78" xfId="83" applyNumberFormat="1" applyFont="1" applyFill="1" applyBorder="1" applyAlignment="1" applyProtection="1">
      <alignment horizontal="left" vertical="center" wrapText="1"/>
    </xf>
    <xf numFmtId="3" fontId="40" fillId="27" borderId="79" xfId="49" applyNumberFormat="1" applyFont="1" applyFill="1" applyBorder="1" applyAlignment="1" applyProtection="1">
      <alignment horizontal="center" vertical="center" wrapText="1"/>
    </xf>
    <xf numFmtId="2" fontId="40" fillId="37" borderId="26" xfId="83" applyNumberFormat="1" applyFont="1" applyFill="1" applyBorder="1" applyAlignment="1" applyProtection="1">
      <alignment horizontal="center" vertical="center" wrapText="1"/>
    </xf>
    <xf numFmtId="2" fontId="40" fillId="37" borderId="34" xfId="83" applyNumberFormat="1" applyFont="1" applyFill="1" applyBorder="1" applyAlignment="1" applyProtection="1">
      <alignment horizontal="center"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170" fontId="46" fillId="37" borderId="56" xfId="32" applyNumberFormat="1" applyFont="1" applyFill="1" applyBorder="1" applyAlignment="1" applyProtection="1">
      <alignment horizontal="center" vertical="center" wrapText="1"/>
    </xf>
    <xf numFmtId="170" fontId="46" fillId="37" borderId="77" xfId="32" applyNumberFormat="1" applyFont="1" applyFill="1" applyBorder="1" applyAlignment="1" applyProtection="1">
      <alignment horizontal="center" vertical="center" wrapText="1"/>
    </xf>
    <xf numFmtId="170" fontId="46" fillId="37" borderId="57" xfId="32" applyNumberFormat="1" applyFont="1" applyFill="1" applyBorder="1" applyAlignment="1" applyProtection="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pplyProtection="1">
      <alignment horizontal="center" vertical="center" wrapText="1"/>
    </xf>
    <xf numFmtId="3" fontId="40" fillId="33" borderId="25" xfId="49" applyNumberFormat="1" applyFont="1" applyFill="1" applyBorder="1" applyAlignment="1" applyProtection="1">
      <alignment horizontal="center" vertical="center" wrapText="1"/>
    </xf>
    <xf numFmtId="3" fontId="11" fillId="0" borderId="24" xfId="32" applyNumberFormat="1" applyFont="1" applyFill="1" applyBorder="1" applyAlignment="1" applyProtection="1">
      <alignment horizontal="center" vertical="center"/>
    </xf>
    <xf numFmtId="3" fontId="40" fillId="26" borderId="24" xfId="49" applyNumberFormat="1" applyFont="1" applyFill="1" applyBorder="1" applyAlignment="1" applyProtection="1">
      <alignment horizontal="center" vertical="center" wrapText="1"/>
    </xf>
    <xf numFmtId="3" fontId="40" fillId="33" borderId="24"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43" borderId="29" xfId="49" applyNumberFormat="1" applyFont="1" applyFill="1" applyBorder="1" applyAlignment="1" applyProtection="1">
      <alignment horizontal="center" vertical="center" wrapText="1"/>
    </xf>
    <xf numFmtId="3" fontId="40" fillId="43" borderId="24" xfId="49" applyNumberFormat="1" applyFont="1" applyFill="1" applyBorder="1" applyAlignment="1" applyProtection="1">
      <alignment horizontal="center" vertical="center" wrapText="1"/>
    </xf>
    <xf numFmtId="3" fontId="40" fillId="43" borderId="30" xfId="49" applyNumberFormat="1" applyFont="1" applyFill="1" applyBorder="1" applyAlignment="1" applyProtection="1">
      <alignment horizontal="center" vertical="center" wrapText="1"/>
    </xf>
    <xf numFmtId="3" fontId="40" fillId="0" borderId="24" xfId="49" applyNumberFormat="1" applyFont="1" applyFill="1" applyBorder="1" applyAlignment="1" applyProtection="1">
      <alignment horizontal="center" vertical="center" wrapText="1"/>
    </xf>
    <xf numFmtId="3" fontId="39" fillId="0" borderId="1" xfId="31" applyNumberFormat="1" applyFont="1" applyFill="1" applyBorder="1" applyAlignment="1" applyProtection="1">
      <alignment horizontal="center" vertical="center" wrapText="1"/>
    </xf>
    <xf numFmtId="3" fontId="39" fillId="0" borderId="1" xfId="49" applyNumberFormat="1" applyFont="1" applyFill="1" applyBorder="1" applyAlignment="1" applyProtection="1">
      <alignment horizontal="center" vertical="center" wrapText="1"/>
    </xf>
    <xf numFmtId="3" fontId="41" fillId="26" borderId="24" xfId="49" applyNumberFormat="1" applyFont="1" applyFill="1" applyBorder="1" applyAlignment="1" applyProtection="1">
      <alignment horizontal="center" vertical="center" wrapText="1"/>
    </xf>
    <xf numFmtId="49" fontId="44" fillId="0" borderId="52"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7" xfId="0" applyFont="1" applyFill="1" applyBorder="1" applyAlignment="1" applyProtection="1">
      <alignment horizontal="center" vertical="center" wrapText="1"/>
    </xf>
    <xf numFmtId="0" fontId="56" fillId="0" borderId="0" xfId="40" applyFont="1" applyFill="1" applyAlignment="1" applyProtection="1">
      <alignment vertical="center"/>
    </xf>
    <xf numFmtId="0" fontId="44" fillId="0" borderId="0" xfId="40" applyFont="1" applyFill="1" applyAlignment="1" applyProtection="1">
      <alignment vertical="center"/>
    </xf>
    <xf numFmtId="3" fontId="44" fillId="0" borderId="63" xfId="59" applyNumberFormat="1"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46" fillId="0" borderId="77" xfId="0" applyFont="1" applyFill="1" applyBorder="1" applyAlignment="1" applyProtection="1">
      <alignment horizontal="left" vertical="center" wrapText="1"/>
    </xf>
    <xf numFmtId="0" fontId="46" fillId="0" borderId="77" xfId="0" applyFont="1" applyFill="1" applyBorder="1" applyAlignment="1" applyProtection="1">
      <alignment horizontal="center" vertical="center" wrapText="1"/>
    </xf>
    <xf numFmtId="3" fontId="46" fillId="0" borderId="77" xfId="0" applyNumberFormat="1" applyFont="1" applyFill="1" applyBorder="1" applyAlignment="1" applyProtection="1">
      <alignment horizontal="center" vertical="center"/>
    </xf>
    <xf numFmtId="0" fontId="14" fillId="26" borderId="0" xfId="83" applyFont="1" applyFill="1" applyAlignment="1" applyProtection="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3" fillId="27" borderId="0" xfId="32" applyFont="1" applyFill="1" applyAlignment="1">
      <alignment horizontal="center" vertical="center"/>
    </xf>
    <xf numFmtId="0" fontId="56" fillId="27" borderId="0" xfId="32" applyFont="1" applyFill="1" applyAlignment="1">
      <alignment horizontal="center" vertical="center" wrapText="1"/>
    </xf>
    <xf numFmtId="0" fontId="83" fillId="27" borderId="0" xfId="32" applyFont="1" applyFill="1" applyAlignment="1">
      <alignment horizontal="left" vertical="center" wrapText="1"/>
    </xf>
    <xf numFmtId="0" fontId="127"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3"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30" fillId="27" borderId="0" xfId="32" applyFont="1" applyFill="1" applyAlignment="1">
      <alignment vertical="center"/>
    </xf>
    <xf numFmtId="0" fontId="132"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26"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28" fillId="27" borderId="0" xfId="0" applyFont="1" applyFill="1" applyAlignment="1">
      <alignment horizontal="center" vertical="center"/>
    </xf>
    <xf numFmtId="0" fontId="46" fillId="27" borderId="0" xfId="0" applyFont="1" applyFill="1" applyAlignment="1">
      <alignment horizontal="center" vertical="center"/>
    </xf>
    <xf numFmtId="0" fontId="126" fillId="27" borderId="0" xfId="31" applyFont="1" applyFill="1" applyBorder="1" applyAlignment="1">
      <alignment horizontal="left" vertical="center"/>
    </xf>
    <xf numFmtId="0" fontId="77" fillId="27" borderId="0" xfId="49" applyFill="1" applyAlignment="1">
      <alignment vertical="center" wrapText="1"/>
    </xf>
    <xf numFmtId="0" fontId="13" fillId="27" borderId="0" xfId="49" applyFont="1" applyFill="1" applyAlignment="1">
      <alignment vertical="center" wrapText="1"/>
    </xf>
    <xf numFmtId="0" fontId="77" fillId="27" borderId="0" xfId="49" applyFont="1" applyFill="1" applyAlignment="1">
      <alignment vertical="center" wrapText="1"/>
    </xf>
    <xf numFmtId="0" fontId="11" fillId="27" borderId="0" xfId="49" applyFont="1" applyFill="1" applyAlignment="1">
      <alignment horizontal="center" vertical="center"/>
    </xf>
    <xf numFmtId="0" fontId="91" fillId="27" borderId="0" xfId="49" applyFont="1" applyFill="1" applyAlignment="1">
      <alignmen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5" fillId="0" borderId="0" xfId="0" applyFont="1" applyBorder="1" applyAlignment="1">
      <alignment vertical="center"/>
    </xf>
    <xf numFmtId="0" fontId="17" fillId="0" borderId="0" xfId="2" quotePrefix="1" applyFont="1" applyFill="1" applyAlignment="1" applyProtection="1">
      <alignment vertical="center"/>
    </xf>
    <xf numFmtId="0" fontId="13" fillId="0" borderId="0" xfId="0" applyFont="1" applyFill="1" applyAlignment="1">
      <alignment vertical="center"/>
    </xf>
    <xf numFmtId="0" fontId="15" fillId="0" borderId="0" xfId="0" applyFont="1" applyFill="1" applyBorder="1" applyAlignment="1">
      <alignment vertical="center"/>
    </xf>
    <xf numFmtId="0" fontId="16" fillId="0" borderId="0" xfId="2" quotePrefix="1" applyAlignment="1" applyProtection="1">
      <alignment vertical="center"/>
    </xf>
    <xf numFmtId="0" fontId="54" fillId="0" borderId="0" xfId="0" applyFont="1" applyAlignment="1">
      <alignment vertical="center"/>
    </xf>
    <xf numFmtId="0" fontId="33" fillId="0" borderId="0" xfId="0" applyFont="1" applyAlignment="1" applyProtection="1">
      <alignment vertical="center"/>
    </xf>
    <xf numFmtId="0" fontId="44" fillId="0" borderId="0" xfId="40" applyFont="1" applyBorder="1" applyAlignment="1" applyProtection="1">
      <alignment vertical="center"/>
    </xf>
    <xf numFmtId="170" fontId="46" fillId="37" borderId="9" xfId="0" applyNumberFormat="1" applyFont="1" applyFill="1" applyBorder="1" applyAlignment="1" applyProtection="1">
      <alignment horizontal="center" vertical="center" wrapText="1"/>
    </xf>
    <xf numFmtId="170" fontId="46" fillId="37" borderId="10" xfId="0" applyNumberFormat="1" applyFont="1" applyFill="1" applyBorder="1" applyAlignment="1" applyProtection="1">
      <alignment horizontal="center" vertical="center" wrapText="1"/>
    </xf>
    <xf numFmtId="0" fontId="51" fillId="0" borderId="0" xfId="0" applyFont="1" applyAlignment="1">
      <alignment vertical="center"/>
    </xf>
    <xf numFmtId="0" fontId="11" fillId="0" borderId="0" xfId="40" quotePrefix="1" applyFont="1" applyBorder="1" applyAlignment="1" applyProtection="1">
      <alignment horizontal="center" vertical="center" wrapText="1"/>
    </xf>
    <xf numFmtId="0" fontId="44" fillId="26" borderId="0" xfId="32" applyFont="1" applyFill="1" applyAlignment="1" applyProtection="1">
      <alignment vertical="center"/>
    </xf>
    <xf numFmtId="49" fontId="46" fillId="26" borderId="75" xfId="32" applyNumberFormat="1" applyFont="1" applyFill="1" applyBorder="1" applyAlignment="1" applyProtection="1">
      <alignment horizontal="center" vertical="center" wrapText="1"/>
    </xf>
    <xf numFmtId="0" fontId="46" fillId="26" borderId="22" xfId="32" applyFont="1" applyFill="1" applyBorder="1" applyAlignment="1" applyProtection="1">
      <alignment vertical="center" wrapText="1"/>
    </xf>
    <xf numFmtId="0" fontId="46" fillId="26" borderId="0" xfId="32" applyFont="1" applyFill="1" applyAlignment="1" applyProtection="1">
      <alignment vertical="center"/>
    </xf>
    <xf numFmtId="49" fontId="44" fillId="26" borderId="52" xfId="32" applyNumberFormat="1" applyFont="1" applyFill="1" applyBorder="1" applyAlignment="1" applyProtection="1">
      <alignment horizontal="center" vertical="center" wrapText="1"/>
    </xf>
    <xf numFmtId="0" fontId="44" fillId="26" borderId="23" xfId="32" applyFont="1" applyFill="1" applyBorder="1" applyAlignment="1" applyProtection="1">
      <alignment vertical="center" wrapText="1"/>
    </xf>
    <xf numFmtId="49" fontId="46" fillId="26" borderId="52" xfId="32" applyNumberFormat="1" applyFont="1" applyFill="1" applyBorder="1" applyAlignment="1" applyProtection="1">
      <alignment horizontal="center" vertical="center" wrapText="1"/>
    </xf>
    <xf numFmtId="0" fontId="46" fillId="26" borderId="23" xfId="32" applyFont="1" applyFill="1" applyBorder="1" applyAlignment="1" applyProtection="1">
      <alignment vertical="center" wrapText="1"/>
    </xf>
    <xf numFmtId="0" fontId="46" fillId="26" borderId="56" xfId="32" applyFont="1" applyFill="1" applyBorder="1" applyAlignment="1" applyProtection="1">
      <alignment horizontal="center" vertical="center"/>
    </xf>
    <xf numFmtId="0" fontId="46" fillId="26" borderId="28" xfId="32" applyFont="1" applyFill="1" applyBorder="1" applyAlignment="1" applyProtection="1">
      <alignment vertical="center" wrapText="1"/>
    </xf>
    <xf numFmtId="49" fontId="46" fillId="26" borderId="49" xfId="32" applyNumberFormat="1" applyFont="1" applyFill="1" applyBorder="1" applyAlignment="1" applyProtection="1">
      <alignment horizontal="center" vertical="center" wrapText="1"/>
    </xf>
    <xf numFmtId="0" fontId="46" fillId="26" borderId="33" xfId="32" applyFont="1" applyFill="1" applyBorder="1" applyAlignment="1" applyProtection="1">
      <alignment vertical="center" wrapText="1"/>
    </xf>
    <xf numFmtId="0" fontId="46" fillId="26" borderId="54" xfId="32" applyFont="1" applyFill="1" applyBorder="1" applyAlignment="1" applyProtection="1">
      <alignment horizontal="center" vertical="center"/>
    </xf>
    <xf numFmtId="0" fontId="46" fillId="26" borderId="37" xfId="32" applyFont="1" applyFill="1" applyBorder="1" applyAlignment="1" applyProtection="1">
      <alignment vertical="center" wrapText="1"/>
    </xf>
    <xf numFmtId="0" fontId="40" fillId="31" borderId="38" xfId="32" applyFont="1" applyFill="1" applyBorder="1" applyAlignment="1" applyProtection="1">
      <alignment horizontal="center" vertical="center"/>
    </xf>
    <xf numFmtId="0" fontId="41" fillId="27" borderId="75"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49"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0" fontId="64" fillId="23" borderId="35" xfId="52" applyFont="1" applyFill="1" applyBorder="1" applyAlignment="1" applyProtection="1">
      <alignment horizontal="left" vertical="center"/>
    </xf>
    <xf numFmtId="3" fontId="56" fillId="20" borderId="0" xfId="52" applyNumberFormat="1" applyFont="1" applyFill="1" applyBorder="1" applyAlignment="1" applyProtection="1">
      <alignment horizontal="right" vertical="center"/>
      <protection locked="0"/>
    </xf>
    <xf numFmtId="0" fontId="84" fillId="27" borderId="17" xfId="52" applyFont="1" applyFill="1" applyBorder="1" applyAlignment="1" applyProtection="1">
      <alignment vertical="center"/>
    </xf>
    <xf numFmtId="3" fontId="56" fillId="26" borderId="0" xfId="52" applyNumberFormat="1" applyFont="1" applyFill="1" applyBorder="1" applyAlignment="1" applyProtection="1">
      <alignment horizontal="right" vertical="center"/>
      <protection locked="0"/>
    </xf>
    <xf numFmtId="0" fontId="64" fillId="23" borderId="2" xfId="52" applyFont="1" applyFill="1" applyBorder="1" applyAlignment="1" applyProtection="1">
      <alignment horizontal="left" vertical="center"/>
    </xf>
    <xf numFmtId="0" fontId="56" fillId="27" borderId="51" xfId="52" applyFont="1" applyFill="1" applyBorder="1" applyAlignment="1" applyProtection="1">
      <alignment horizontal="left" vertical="center" wrapText="1"/>
    </xf>
    <xf numFmtId="0" fontId="56" fillId="27" borderId="17" xfId="52" applyFont="1" applyFill="1" applyBorder="1" applyAlignment="1" applyProtection="1">
      <alignment horizontal="left" vertical="center" wrapText="1"/>
    </xf>
    <xf numFmtId="49" fontId="56" fillId="27" borderId="17" xfId="52" applyNumberFormat="1" applyFont="1" applyFill="1" applyBorder="1" applyAlignment="1" applyProtection="1">
      <alignment vertical="center"/>
    </xf>
    <xf numFmtId="0" fontId="56" fillId="27" borderId="17" xfId="52" applyFont="1" applyFill="1" applyBorder="1" applyAlignment="1" applyProtection="1">
      <alignment horizontal="right" vertical="center"/>
    </xf>
    <xf numFmtId="0" fontId="56" fillId="27" borderId="21" xfId="52" applyFont="1" applyFill="1" applyBorder="1" applyAlignment="1" applyProtection="1">
      <alignment horizontal="right" vertical="center"/>
    </xf>
    <xf numFmtId="0" fontId="20" fillId="0" borderId="0" xfId="0" applyFont="1" applyAlignment="1">
      <alignment vertical="center"/>
    </xf>
    <xf numFmtId="0" fontId="40" fillId="0" borderId="68" xfId="0" applyFont="1" applyFill="1" applyBorder="1" applyAlignment="1" applyProtection="1">
      <alignment horizontal="left" vertical="center"/>
    </xf>
    <xf numFmtId="0" fontId="40" fillId="27" borderId="27" xfId="0" applyFont="1" applyFill="1" applyBorder="1" applyAlignment="1" applyProtection="1">
      <alignment horizontal="center" vertical="center" wrapText="1"/>
    </xf>
    <xf numFmtId="0" fontId="40" fillId="27" borderId="25" xfId="0" applyFont="1" applyFill="1" applyBorder="1" applyAlignment="1" applyProtection="1">
      <alignment horizontal="center" vertical="center" wrapText="1"/>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3" fontId="40" fillId="26" borderId="73" xfId="37" applyNumberFormat="1" applyFont="1" applyFill="1" applyBorder="1" applyAlignment="1" applyProtection="1">
      <alignment horizontal="right" vertical="center" wrapText="1"/>
    </xf>
    <xf numFmtId="173" fontId="40" fillId="26" borderId="73" xfId="28" applyNumberFormat="1" applyFont="1" applyFill="1" applyBorder="1" applyAlignment="1" applyProtection="1">
      <alignment horizontal="right" vertical="center" wrapText="1"/>
    </xf>
    <xf numFmtId="173" fontId="40" fillId="26" borderId="76" xfId="28" applyNumberFormat="1" applyFont="1" applyFill="1" applyBorder="1" applyAlignment="1" applyProtection="1">
      <alignment horizontal="right" vertical="center" wrapText="1"/>
    </xf>
    <xf numFmtId="0" fontId="18" fillId="0" borderId="1" xfId="40" applyFont="1" applyBorder="1" applyProtection="1"/>
    <xf numFmtId="0" fontId="53" fillId="0" borderId="0" xfId="0" applyFont="1" applyAlignment="1">
      <alignment vertical="center"/>
    </xf>
    <xf numFmtId="0" fontId="40" fillId="0" borderId="7" xfId="40" applyFont="1" applyBorder="1" applyAlignment="1" applyProtection="1">
      <alignment vertical="center"/>
    </xf>
    <xf numFmtId="0" fontId="40" fillId="0" borderId="77" xfId="40" applyFont="1" applyBorder="1" applyAlignment="1" applyProtection="1">
      <alignment vertical="center"/>
    </xf>
    <xf numFmtId="0" fontId="44" fillId="0" borderId="0" xfId="40" applyFont="1" applyBorder="1" applyProtection="1"/>
    <xf numFmtId="0" fontId="39" fillId="0" borderId="73" xfId="40" applyFont="1" applyBorder="1" applyAlignment="1" applyProtection="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pplyProtection="1">
      <alignment horizontal="center" vertical="center"/>
    </xf>
    <xf numFmtId="0" fontId="40" fillId="0" borderId="56" xfId="40" applyFont="1" applyBorder="1" applyAlignment="1" applyProtection="1">
      <alignment horizontal="center" vertical="center"/>
    </xf>
    <xf numFmtId="3" fontId="11" fillId="20" borderId="39" xfId="88" applyNumberFormat="1" applyFont="1" applyFill="1" applyBorder="1" applyAlignment="1" applyProtection="1">
      <alignment horizontal="center" vertical="center" wrapText="1"/>
    </xf>
    <xf numFmtId="3" fontId="11" fillId="26" borderId="32" xfId="88" applyNumberFormat="1" applyFont="1" applyFill="1" applyBorder="1" applyAlignment="1" applyProtection="1">
      <alignment horizontal="center" vertical="center" wrapText="1"/>
    </xf>
    <xf numFmtId="3" fontId="40" fillId="0" borderId="73" xfId="37" applyFont="1" applyFill="1" applyBorder="1" applyAlignment="1" applyProtection="1">
      <alignment horizontal="right" vertical="center" wrapText="1"/>
    </xf>
    <xf numFmtId="38" fontId="40" fillId="0" borderId="73" xfId="28" applyFont="1" applyFill="1" applyBorder="1" applyAlignment="1" applyProtection="1">
      <alignment horizontal="right" vertical="center" wrapText="1"/>
    </xf>
    <xf numFmtId="38" fontId="40" fillId="0" borderId="76" xfId="28" applyFont="1" applyFill="1" applyBorder="1" applyAlignment="1" applyProtection="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pplyProtection="1">
      <alignment horizontal="center" vertical="center" wrapText="1"/>
    </xf>
    <xf numFmtId="170" fontId="40" fillId="37" borderId="56"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57" xfId="49" applyNumberFormat="1"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3" fontId="117" fillId="26" borderId="56" xfId="88" applyNumberFormat="1" applyFont="1" applyFill="1" applyBorder="1" applyAlignment="1" applyProtection="1">
      <alignment horizontal="center" vertical="center" wrapText="1"/>
    </xf>
    <xf numFmtId="3" fontId="117" fillId="26" borderId="19" xfId="88" applyNumberFormat="1" applyFont="1" applyFill="1" applyBorder="1" applyAlignment="1" applyProtection="1">
      <alignment horizontal="center" vertical="center" wrapText="1"/>
    </xf>
    <xf numFmtId="3" fontId="56" fillId="26" borderId="32" xfId="52" applyNumberFormat="1" applyFont="1" applyFill="1" applyBorder="1" applyAlignment="1" applyProtection="1">
      <alignment horizontal="center" vertical="center"/>
    </xf>
    <xf numFmtId="3" fontId="56" fillId="26" borderId="15" xfId="52" applyNumberFormat="1" applyFont="1" applyFill="1" applyBorder="1" applyAlignment="1" applyProtection="1">
      <alignment horizontal="center" vertical="center"/>
    </xf>
    <xf numFmtId="3" fontId="20" fillId="26" borderId="72" xfId="52" applyNumberFormat="1" applyFont="1" applyFill="1" applyBorder="1" applyAlignment="1" applyProtection="1">
      <alignment horizontal="center" vertical="center"/>
    </xf>
    <xf numFmtId="3" fontId="20" fillId="26" borderId="73" xfId="52" applyNumberFormat="1" applyFont="1" applyFill="1" applyBorder="1" applyAlignment="1" applyProtection="1">
      <alignment horizontal="center" vertical="center"/>
    </xf>
    <xf numFmtId="3" fontId="20" fillId="26" borderId="76" xfId="52" applyNumberFormat="1" applyFont="1" applyFill="1" applyBorder="1" applyAlignment="1" applyProtection="1">
      <alignment horizontal="center" vertical="center"/>
    </xf>
    <xf numFmtId="3" fontId="20" fillId="26" borderId="32" xfId="52" applyNumberFormat="1" applyFont="1" applyFill="1" applyBorder="1" applyAlignment="1" applyProtection="1">
      <alignment horizontal="center" vertical="center"/>
    </xf>
    <xf numFmtId="3" fontId="20" fillId="26" borderId="7" xfId="52" applyNumberFormat="1" applyFont="1" applyFill="1" applyBorder="1" applyAlignment="1" applyProtection="1">
      <alignment horizontal="center" vertical="center"/>
    </xf>
    <xf numFmtId="3" fontId="20" fillId="26" borderId="53" xfId="52" applyNumberFormat="1" applyFont="1" applyFill="1" applyBorder="1" applyAlignment="1" applyProtection="1">
      <alignment horizontal="center" vertical="center"/>
    </xf>
    <xf numFmtId="0" fontId="56" fillId="20" borderId="14" xfId="52" applyFont="1" applyFill="1" applyBorder="1" applyAlignment="1" applyProtection="1">
      <alignment horizontal="center" vertical="center" wrapText="1"/>
    </xf>
    <xf numFmtId="0" fontId="56" fillId="20" borderId="15" xfId="52" applyFont="1" applyFill="1" applyBorder="1" applyAlignment="1" applyProtection="1">
      <alignment horizontal="center" vertical="center" wrapText="1"/>
    </xf>
    <xf numFmtId="0" fontId="56" fillId="20" borderId="19" xfId="52" applyFont="1" applyFill="1" applyBorder="1" applyAlignment="1" applyProtection="1">
      <alignment horizontal="center" vertical="center" wrapText="1"/>
    </xf>
    <xf numFmtId="3" fontId="97" fillId="27" borderId="32" xfId="52" applyNumberFormat="1" applyFont="1" applyFill="1" applyBorder="1" applyAlignment="1" applyProtection="1">
      <alignment horizontal="center" vertical="center"/>
    </xf>
    <xf numFmtId="3" fontId="97" fillId="27" borderId="7" xfId="52" applyNumberFormat="1" applyFont="1" applyFill="1" applyBorder="1" applyAlignment="1" applyProtection="1">
      <alignment horizontal="center" vertical="center"/>
    </xf>
    <xf numFmtId="3" fontId="97" fillId="27" borderId="53" xfId="52" applyNumberFormat="1" applyFont="1" applyFill="1" applyBorder="1" applyAlignment="1" applyProtection="1">
      <alignment horizontal="center" vertical="center"/>
    </xf>
    <xf numFmtId="3" fontId="64" fillId="27" borderId="75" xfId="57"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wrapText="1"/>
    </xf>
    <xf numFmtId="170" fontId="40" fillId="37" borderId="38" xfId="49" applyNumberFormat="1" applyFont="1" applyFill="1" applyBorder="1" applyAlignment="1" applyProtection="1">
      <alignment horizontal="center" vertical="center" wrapText="1"/>
    </xf>
    <xf numFmtId="170" fontId="40" fillId="37" borderId="9"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2" fontId="11" fillId="0" borderId="52" xfId="0" applyNumberFormat="1" applyFont="1" applyFill="1" applyBorder="1" applyAlignment="1" applyProtection="1">
      <alignment horizontal="center" vertical="center"/>
    </xf>
    <xf numFmtId="2" fontId="11" fillId="0" borderId="7" xfId="0" applyNumberFormat="1" applyFont="1" applyFill="1" applyBorder="1" applyAlignment="1" applyProtection="1">
      <alignment horizontal="center" vertical="center"/>
    </xf>
    <xf numFmtId="176" fontId="11" fillId="0" borderId="52" xfId="0" applyNumberFormat="1" applyFont="1" applyFill="1" applyBorder="1" applyAlignment="1" applyProtection="1">
      <alignment horizontal="center" vertical="center"/>
    </xf>
    <xf numFmtId="176" fontId="11" fillId="0" borderId="7" xfId="0" applyNumberFormat="1" applyFont="1" applyFill="1" applyBorder="1" applyAlignment="1" applyProtection="1">
      <alignment horizontal="center" vertical="center"/>
    </xf>
    <xf numFmtId="2" fontId="11" fillId="0" borderId="77" xfId="0" applyNumberFormat="1" applyFont="1" applyFill="1" applyBorder="1" applyAlignment="1" applyProtection="1">
      <alignment horizontal="center" vertical="center"/>
    </xf>
    <xf numFmtId="2" fontId="11" fillId="0" borderId="73" xfId="0" applyNumberFormat="1" applyFont="1" applyFill="1" applyBorder="1" applyAlignment="1" applyProtection="1">
      <alignment horizontal="center" vertical="center"/>
    </xf>
    <xf numFmtId="176" fontId="11" fillId="0" borderId="15" xfId="0" applyNumberFormat="1" applyFont="1" applyFill="1" applyBorder="1" applyAlignment="1" applyProtection="1">
      <alignment horizontal="center" vertical="center"/>
    </xf>
    <xf numFmtId="2" fontId="11" fillId="0" borderId="53" xfId="0" applyNumberFormat="1" applyFont="1" applyFill="1" applyBorder="1" applyAlignment="1" applyProtection="1">
      <alignment horizontal="center" vertical="center"/>
    </xf>
    <xf numFmtId="2" fontId="11" fillId="0" borderId="57" xfId="0" applyNumberFormat="1" applyFont="1" applyFill="1" applyBorder="1" applyAlignment="1" applyProtection="1">
      <alignment horizontal="center" vertical="center"/>
    </xf>
    <xf numFmtId="2" fontId="11" fillId="0" borderId="75" xfId="0" applyNumberFormat="1" applyFont="1" applyFill="1" applyBorder="1" applyAlignment="1" applyProtection="1">
      <alignment horizontal="center" vertical="center"/>
    </xf>
    <xf numFmtId="2" fontId="11" fillId="0" borderId="56" xfId="0" applyNumberFormat="1" applyFont="1" applyFill="1" applyBorder="1" applyAlignment="1" applyProtection="1">
      <alignment horizontal="center" vertical="center"/>
    </xf>
    <xf numFmtId="167" fontId="18" fillId="27" borderId="0" xfId="49" applyNumberFormat="1" applyFont="1" applyFill="1" applyAlignment="1" applyProtection="1">
      <alignment horizontal="left" vertical="center"/>
    </xf>
    <xf numFmtId="173" fontId="95" fillId="26" borderId="0" xfId="37" applyNumberFormat="1" applyFont="1" applyFill="1" applyBorder="1" applyAlignment="1" applyProtection="1">
      <alignment horizontal="left" vertical="center" wrapText="1"/>
    </xf>
    <xf numFmtId="173" fontId="94" fillId="26" borderId="0" xfId="37" applyNumberFormat="1" applyFont="1" applyFill="1" applyBorder="1" applyAlignment="1" applyProtection="1">
      <alignment horizontal="center" vertical="center" wrapText="1"/>
    </xf>
    <xf numFmtId="171" fontId="40" fillId="0" borderId="75" xfId="0" applyNumberFormat="1" applyFont="1" applyFill="1" applyBorder="1" applyAlignment="1" applyProtection="1">
      <alignment horizontal="center" vertical="center"/>
    </xf>
    <xf numFmtId="171" fontId="40" fillId="0" borderId="52" xfId="0" applyNumberFormat="1" applyFont="1" applyFill="1" applyBorder="1" applyAlignment="1" applyProtection="1">
      <alignment horizontal="center" vertical="center"/>
    </xf>
    <xf numFmtId="4" fontId="40"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0" fillId="20" borderId="54" xfId="0" applyNumberFormat="1" applyFont="1" applyFill="1" applyBorder="1" applyAlignment="1" applyProtection="1">
      <alignment horizontal="center" vertical="center"/>
    </xf>
    <xf numFmtId="0" fontId="42" fillId="27" borderId="0" xfId="40" applyFont="1" applyFill="1" applyAlignment="1" applyProtection="1">
      <alignment horizontal="left" vertical="center"/>
    </xf>
    <xf numFmtId="170" fontId="39" fillId="37" borderId="38" xfId="0" applyNumberFormat="1" applyFont="1" applyFill="1" applyBorder="1" applyAlignment="1" applyProtection="1">
      <alignment horizontal="center" vertical="center" wrapText="1"/>
    </xf>
    <xf numFmtId="170" fontId="39" fillId="37" borderId="9" xfId="0" applyNumberFormat="1" applyFont="1" applyFill="1" applyBorder="1" applyAlignment="1" applyProtection="1">
      <alignment horizontal="center" vertical="center" wrapText="1"/>
    </xf>
    <xf numFmtId="170" fontId="39" fillId="37" borderId="10" xfId="0" applyNumberFormat="1" applyFont="1" applyFill="1" applyBorder="1" applyAlignment="1" applyProtection="1">
      <alignment horizontal="center" vertical="center" wrapText="1"/>
    </xf>
    <xf numFmtId="0" fontId="40" fillId="0" borderId="50" xfId="0" applyFont="1" applyFill="1" applyBorder="1" applyAlignment="1" applyProtection="1">
      <alignment horizontal="right" vertical="center" wrapText="1"/>
    </xf>
    <xf numFmtId="0" fontId="40" fillId="26" borderId="53" xfId="0" applyFont="1" applyFill="1" applyBorder="1" applyAlignment="1" applyProtection="1">
      <alignment horizontal="right" vertical="center" wrapText="1"/>
    </xf>
    <xf numFmtId="0" fontId="40" fillId="27" borderId="30" xfId="0" applyFont="1" applyFill="1" applyBorder="1" applyAlignment="1" applyProtection="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49" fontId="39" fillId="0" borderId="52" xfId="0" applyNumberFormat="1" applyFont="1" applyBorder="1" applyAlignment="1" applyProtection="1">
      <alignment horizontal="center" vertical="center"/>
    </xf>
    <xf numFmtId="0" fontId="39" fillId="0" borderId="7" xfId="0" applyFont="1" applyFill="1" applyBorder="1" applyAlignment="1" applyProtection="1">
      <alignment horizontal="left" vertical="center" wrapText="1"/>
    </xf>
    <xf numFmtId="3" fontId="40" fillId="0" borderId="62" xfId="0" applyNumberFormat="1" applyFont="1" applyFill="1" applyBorder="1" applyAlignment="1" applyProtection="1">
      <alignment horizontal="center" vertical="center"/>
    </xf>
    <xf numFmtId="0" fontId="39" fillId="0" borderId="7" xfId="0" applyFont="1" applyFill="1" applyBorder="1" applyAlignment="1" applyProtection="1">
      <alignment vertical="center" wrapText="1"/>
    </xf>
    <xf numFmtId="3" fontId="39" fillId="0" borderId="7" xfId="0" applyNumberFormat="1" applyFont="1" applyBorder="1" applyAlignment="1" applyProtection="1">
      <alignment horizontal="center" vertical="center"/>
    </xf>
    <xf numFmtId="3" fontId="39" fillId="0" borderId="53" xfId="0" applyNumberFormat="1" applyFont="1" applyBorder="1" applyAlignment="1" applyProtection="1">
      <alignment horizontal="center" vertical="center"/>
    </xf>
    <xf numFmtId="49" fontId="40" fillId="0" borderId="56" xfId="0" applyNumberFormat="1" applyFont="1" applyBorder="1" applyAlignment="1" applyProtection="1">
      <alignment horizontal="center" vertical="center"/>
    </xf>
    <xf numFmtId="0" fontId="40" fillId="0" borderId="77" xfId="0" applyFont="1" applyFill="1" applyBorder="1" applyAlignment="1" applyProtection="1">
      <alignment horizontal="left" vertical="center" wrapText="1"/>
    </xf>
    <xf numFmtId="0" fontId="40" fillId="0" borderId="77" xfId="0" applyFont="1" applyFill="1" applyBorder="1" applyAlignment="1" applyProtection="1">
      <alignment horizontal="center" vertical="center"/>
    </xf>
    <xf numFmtId="3" fontId="40" fillId="0" borderId="78" xfId="0" applyNumberFormat="1" applyFont="1" applyFill="1" applyBorder="1" applyAlignment="1" applyProtection="1">
      <alignment horizontal="center" vertical="center"/>
    </xf>
    <xf numFmtId="3" fontId="40" fillId="0" borderId="57" xfId="0" applyNumberFormat="1" applyFont="1" applyFill="1" applyBorder="1" applyAlignment="1" applyProtection="1">
      <alignment horizontal="center" vertical="center"/>
    </xf>
    <xf numFmtId="49" fontId="39" fillId="0" borderId="49" xfId="0" applyNumberFormat="1" applyFont="1" applyFill="1" applyBorder="1" applyAlignment="1" applyProtection="1">
      <alignment horizontal="center" vertical="center"/>
    </xf>
    <xf numFmtId="0" fontId="39" fillId="0" borderId="31" xfId="0" applyFont="1" applyFill="1" applyBorder="1" applyAlignment="1" applyProtection="1">
      <alignment horizontal="left" vertical="center" wrapText="1"/>
    </xf>
    <xf numFmtId="0" fontId="40" fillId="0" borderId="31" xfId="0" applyFont="1" applyFill="1" applyBorder="1" applyAlignment="1" applyProtection="1">
      <alignment horizontal="center" vertical="center"/>
    </xf>
    <xf numFmtId="3" fontId="39" fillId="0" borderId="31" xfId="0" applyNumberFormat="1" applyFont="1" applyFill="1" applyBorder="1" applyAlignment="1" applyProtection="1">
      <alignment horizontal="center" vertical="center"/>
    </xf>
    <xf numFmtId="3" fontId="39" fillId="0" borderId="50"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49" fontId="39" fillId="0" borderId="52" xfId="0" applyNumberFormat="1" applyFont="1" applyFill="1" applyBorder="1" applyAlignment="1" applyProtection="1">
      <alignment horizontal="center" vertical="center"/>
    </xf>
    <xf numFmtId="0" fontId="39" fillId="21" borderId="38" xfId="0" quotePrefix="1" applyFont="1" applyFill="1" applyBorder="1" applyAlignment="1" applyProtection="1">
      <alignment horizontal="center" vertical="center"/>
    </xf>
    <xf numFmtId="0" fontId="39" fillId="21" borderId="9" xfId="0" applyFont="1" applyFill="1" applyBorder="1" applyAlignment="1" applyProtection="1">
      <alignment vertical="center"/>
    </xf>
    <xf numFmtId="0" fontId="39" fillId="21" borderId="9" xfId="0" applyFont="1" applyFill="1" applyBorder="1" applyAlignment="1" applyProtection="1">
      <alignment horizontal="center" vertical="center"/>
    </xf>
    <xf numFmtId="3" fontId="39" fillId="21" borderId="9" xfId="0" applyNumberFormat="1" applyFont="1" applyFill="1" applyBorder="1" applyAlignment="1" applyProtection="1">
      <alignment horizontal="center" vertical="center"/>
    </xf>
    <xf numFmtId="3" fontId="39" fillId="21" borderId="3" xfId="0" applyNumberFormat="1" applyFont="1" applyFill="1" applyBorder="1" applyAlignment="1" applyProtection="1">
      <alignment horizontal="center" vertical="center"/>
    </xf>
    <xf numFmtId="0" fontId="40" fillId="0" borderId="0" xfId="0" applyFont="1" applyAlignment="1" applyProtection="1">
      <alignment vertical="center"/>
    </xf>
    <xf numFmtId="3" fontId="39" fillId="21" borderId="10" xfId="0" applyNumberFormat="1" applyFont="1" applyFill="1" applyBorder="1" applyAlignment="1" applyProtection="1">
      <alignment horizontal="center" vertical="center"/>
    </xf>
    <xf numFmtId="3" fontId="40" fillId="27" borderId="61"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xf>
    <xf numFmtId="3" fontId="39" fillId="31" borderId="60" xfId="32" applyNumberFormat="1" applyFont="1" applyFill="1" applyBorder="1" applyAlignment="1" applyProtection="1">
      <alignment horizontal="left" vertical="center" wrapText="1"/>
    </xf>
    <xf numFmtId="3" fontId="40" fillId="31" borderId="2" xfId="32" applyNumberFormat="1" applyFont="1" applyFill="1" applyBorder="1" applyAlignment="1" applyProtection="1">
      <alignment horizontal="center" vertical="center"/>
    </xf>
    <xf numFmtId="3" fontId="41" fillId="0" borderId="74" xfId="32" applyNumberFormat="1" applyFont="1" applyFill="1" applyBorder="1" applyAlignment="1" applyProtection="1">
      <alignment horizontal="left" vertical="center" wrapText="1"/>
    </xf>
    <xf numFmtId="3" fontId="41" fillId="26" borderId="5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6" borderId="17" xfId="32" applyNumberFormat="1" applyFont="1" applyFill="1" applyBorder="1" applyAlignment="1" applyProtection="1">
      <alignment horizontal="center" vertical="center"/>
    </xf>
    <xf numFmtId="3" fontId="40" fillId="0" borderId="62" xfId="32" applyNumberFormat="1" applyFont="1" applyFill="1" applyBorder="1" applyAlignment="1" applyProtection="1">
      <alignment horizontal="left" vertical="center" wrapText="1"/>
    </xf>
    <xf numFmtId="3" fontId="40" fillId="27" borderId="64" xfId="32" applyNumberFormat="1" applyFont="1" applyFill="1" applyBorder="1" applyAlignment="1" applyProtection="1">
      <alignment horizontal="left" vertical="center" wrapText="1"/>
    </xf>
    <xf numFmtId="3" fontId="40" fillId="26" borderId="39" xfId="32" applyNumberFormat="1" applyFont="1" applyFill="1" applyBorder="1" applyAlignment="1" applyProtection="1">
      <alignment horizontal="center" vertical="center"/>
    </xf>
    <xf numFmtId="3" fontId="39" fillId="31" borderId="60" xfId="32" applyNumberFormat="1" applyFont="1" applyFill="1" applyBorder="1" applyAlignment="1" applyProtection="1">
      <alignment vertical="center"/>
    </xf>
    <xf numFmtId="3" fontId="41" fillId="0" borderId="61" xfId="32" applyNumberFormat="1" applyFont="1" applyFill="1" applyBorder="1" applyAlignment="1" applyProtection="1">
      <alignment horizontal="left" vertical="center" wrapText="1"/>
    </xf>
    <xf numFmtId="3" fontId="41" fillId="0" borderId="64" xfId="32" applyNumberFormat="1" applyFont="1" applyFill="1" applyBorder="1" applyAlignment="1" applyProtection="1">
      <alignment horizontal="left" vertical="center" wrapText="1"/>
    </xf>
    <xf numFmtId="3" fontId="41" fillId="0" borderId="76" xfId="32" applyNumberFormat="1" applyFont="1" applyFill="1" applyBorder="1" applyAlignment="1" applyProtection="1">
      <alignment horizontal="left" vertical="center" wrapText="1"/>
    </xf>
    <xf numFmtId="3" fontId="41" fillId="0" borderId="53" xfId="32" applyNumberFormat="1" applyFont="1" applyFill="1" applyBorder="1" applyAlignment="1" applyProtection="1">
      <alignment horizontal="left" vertical="center" wrapText="1"/>
    </xf>
    <xf numFmtId="3" fontId="40" fillId="31" borderId="1" xfId="32" applyNumberFormat="1" applyFont="1" applyFill="1" applyBorder="1" applyAlignment="1" applyProtection="1">
      <alignment horizontal="center" vertical="center"/>
    </xf>
    <xf numFmtId="3" fontId="39" fillId="31" borderId="20" xfId="32" applyNumberFormat="1" applyFont="1" applyFill="1" applyBorder="1" applyAlignment="1" applyProtection="1">
      <alignment vertical="center"/>
    </xf>
    <xf numFmtId="3" fontId="40" fillId="27" borderId="61" xfId="32" applyNumberFormat="1" applyFont="1" applyFill="1" applyBorder="1" applyAlignment="1" applyProtection="1">
      <alignment vertical="center" wrapText="1"/>
    </xf>
    <xf numFmtId="0" fontId="64" fillId="45" borderId="11" xfId="52" applyFont="1" applyFill="1" applyBorder="1" applyAlignment="1" applyProtection="1">
      <alignment horizontal="center" vertical="center" wrapText="1"/>
    </xf>
    <xf numFmtId="0" fontId="39" fillId="39" borderId="47" xfId="32" applyFont="1" applyFill="1" applyBorder="1" applyAlignment="1" applyProtection="1">
      <alignment horizontal="center" vertical="center" wrapText="1"/>
    </xf>
    <xf numFmtId="3" fontId="39" fillId="39" borderId="8" xfId="32" applyNumberFormat="1" applyFont="1" applyFill="1" applyBorder="1" applyAlignment="1" applyProtection="1">
      <alignment vertical="center" wrapText="1"/>
    </xf>
    <xf numFmtId="0" fontId="39" fillId="39" borderId="38" xfId="32" applyFont="1" applyFill="1" applyBorder="1" applyAlignment="1" applyProtection="1">
      <alignment horizontal="center" vertical="center" wrapText="1"/>
    </xf>
    <xf numFmtId="0" fontId="40" fillId="26" borderId="27" xfId="49" applyFont="1" applyFill="1" applyBorder="1" applyAlignment="1" applyProtection="1">
      <alignment horizontal="left" vertical="center" wrapText="1"/>
    </xf>
    <xf numFmtId="0" fontId="40" fillId="26" borderId="50" xfId="49" applyFont="1" applyFill="1" applyBorder="1" applyAlignment="1" applyProtection="1">
      <alignment horizontal="left" vertical="center" wrapText="1"/>
    </xf>
    <xf numFmtId="3" fontId="40" fillId="26" borderId="5" xfId="49" applyNumberFormat="1" applyFont="1" applyFill="1" applyBorder="1" applyAlignment="1" applyProtection="1">
      <alignment horizontal="center" vertical="center" wrapText="1"/>
    </xf>
    <xf numFmtId="3" fontId="40" fillId="26" borderId="22" xfId="49" applyNumberFormat="1" applyFont="1" applyFill="1" applyBorder="1" applyAlignment="1" applyProtection="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pplyProtection="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pplyProtection="1">
      <alignment horizontal="left" vertical="center" wrapText="1"/>
    </xf>
    <xf numFmtId="0" fontId="40" fillId="26" borderId="54" xfId="49" applyFont="1" applyFill="1" applyBorder="1" applyAlignment="1" applyProtection="1">
      <alignment horizontal="left" vertical="center" wrapText="1"/>
    </xf>
    <xf numFmtId="0" fontId="40" fillId="26" borderId="55" xfId="49" applyFont="1" applyFill="1" applyBorder="1" applyAlignment="1" applyProtection="1">
      <alignment horizontal="left" vertical="center" wrapText="1"/>
    </xf>
    <xf numFmtId="3" fontId="40" fillId="26" borderId="39" xfId="49" applyNumberFormat="1" applyFont="1" applyFill="1" applyBorder="1" applyAlignment="1" applyProtection="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0" borderId="1" xfId="83" applyNumberFormat="1" applyFont="1" applyFill="1" applyBorder="1" applyAlignment="1" applyProtection="1">
      <alignment vertical="center"/>
    </xf>
    <xf numFmtId="49" fontId="20" fillId="40" borderId="8" xfId="83" applyNumberFormat="1" applyFont="1" applyFill="1" applyBorder="1" applyAlignment="1" applyProtection="1">
      <alignment vertical="center" wrapText="1"/>
    </xf>
    <xf numFmtId="3" fontId="41" fillId="0" borderId="37" xfId="32" applyNumberFormat="1" applyFont="1" applyFill="1" applyBorder="1" applyAlignment="1" applyProtection="1">
      <alignment horizontal="left" vertical="center" wrapText="1"/>
    </xf>
    <xf numFmtId="49" fontId="39" fillId="24" borderId="75" xfId="78" applyNumberFormat="1" applyFont="1" applyFill="1" applyBorder="1" applyAlignment="1" applyProtection="1">
      <alignment horizontal="center" vertical="center" wrapText="1"/>
    </xf>
    <xf numFmtId="49" fontId="40" fillId="26" borderId="52" xfId="78" applyNumberFormat="1" applyFont="1" applyFill="1" applyBorder="1" applyAlignment="1" applyProtection="1">
      <alignment horizontal="center" vertical="center" wrapText="1"/>
    </xf>
    <xf numFmtId="49" fontId="39" fillId="31" borderId="52" xfId="78" applyNumberFormat="1" applyFont="1" applyFill="1" applyBorder="1" applyAlignment="1" applyProtection="1">
      <alignment horizontal="center" vertical="center" wrapText="1"/>
    </xf>
    <xf numFmtId="49" fontId="39" fillId="24" borderId="52" xfId="78" applyNumberFormat="1" applyFont="1" applyFill="1" applyBorder="1" applyAlignment="1" applyProtection="1">
      <alignment horizontal="center" vertical="center" wrapText="1"/>
    </xf>
    <xf numFmtId="49" fontId="40" fillId="26" borderId="56" xfId="78" applyNumberFormat="1" applyFont="1" applyFill="1" applyBorder="1" applyAlignment="1" applyProtection="1">
      <alignment horizontal="center" vertical="center" wrapText="1"/>
    </xf>
    <xf numFmtId="3" fontId="142" fillId="0" borderId="66" xfId="0" applyNumberFormat="1" applyFont="1" applyFill="1" applyBorder="1" applyAlignment="1" applyProtection="1">
      <alignment horizontal="center" vertical="center"/>
    </xf>
    <xf numFmtId="3" fontId="142" fillId="0" borderId="4" xfId="0" applyNumberFormat="1" applyFont="1" applyFill="1" applyBorder="1" applyAlignment="1" applyProtection="1">
      <alignment horizontal="center" vertical="center"/>
    </xf>
    <xf numFmtId="3" fontId="142" fillId="0" borderId="68"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3" fontId="40" fillId="0" borderId="49" xfId="0" applyNumberFormat="1"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39" fillId="26" borderId="31" xfId="0" applyNumberFormat="1" applyFont="1" applyFill="1" applyBorder="1" applyAlignment="1" applyProtection="1">
      <alignment horizontal="center" vertical="center"/>
    </xf>
    <xf numFmtId="3" fontId="39" fillId="26" borderId="50" xfId="0" applyNumberFormat="1" applyFont="1" applyFill="1" applyBorder="1" applyAlignment="1" applyProtection="1">
      <alignment horizontal="center" vertical="center"/>
    </xf>
    <xf numFmtId="3" fontId="39" fillId="26" borderId="49" xfId="0" applyNumberFormat="1" applyFont="1" applyFill="1" applyBorder="1" applyAlignment="1" applyProtection="1">
      <alignment horizontal="center" vertical="center"/>
    </xf>
    <xf numFmtId="3" fontId="40" fillId="27" borderId="56" xfId="0" applyNumberFormat="1" applyFont="1" applyFill="1" applyBorder="1" applyAlignment="1" applyProtection="1">
      <alignment horizontal="center" vertical="center"/>
    </xf>
    <xf numFmtId="3" fontId="40" fillId="27" borderId="77" xfId="0" applyNumberFormat="1" applyFont="1" applyFill="1" applyBorder="1" applyAlignment="1" applyProtection="1">
      <alignment horizontal="center" vertical="center"/>
    </xf>
    <xf numFmtId="3" fontId="40" fillId="27" borderId="57" xfId="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39" fillId="27" borderId="39"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172" fontId="39" fillId="27" borderId="51" xfId="70" applyNumberFormat="1" applyFont="1" applyFill="1" applyBorder="1" applyAlignment="1" applyProtection="1">
      <alignment horizontal="center" vertical="center"/>
    </xf>
    <xf numFmtId="3" fontId="40" fillId="0" borderId="66" xfId="0" applyNumberFormat="1" applyFont="1" applyFill="1" applyBorder="1" applyAlignment="1" applyProtection="1">
      <alignment horizontal="center" vertical="center"/>
    </xf>
    <xf numFmtId="3" fontId="40" fillId="0" borderId="4" xfId="0" applyNumberFormat="1" applyFont="1" applyFill="1" applyBorder="1" applyAlignment="1" applyProtection="1">
      <alignment horizontal="center" vertical="center"/>
    </xf>
    <xf numFmtId="3" fontId="40" fillId="27" borderId="4" xfId="0" applyNumberFormat="1" applyFont="1" applyFill="1" applyBorder="1" applyAlignment="1" applyProtection="1">
      <alignment horizontal="center" vertical="center"/>
    </xf>
    <xf numFmtId="3" fontId="40" fillId="27" borderId="68" xfId="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172"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pplyProtection="1">
      <alignment horizontal="center" vertical="center"/>
    </xf>
    <xf numFmtId="3" fontId="40" fillId="31" borderId="73" xfId="0" applyNumberFormat="1" applyFont="1" applyFill="1" applyBorder="1" applyAlignment="1" applyProtection="1">
      <alignment horizontal="center" vertical="center"/>
    </xf>
    <xf numFmtId="3" fontId="40" fillId="31" borderId="76" xfId="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39" fillId="31" borderId="51" xfId="70" applyNumberFormat="1" applyFont="1" applyFill="1" applyBorder="1" applyAlignment="1" applyProtection="1">
      <alignment horizontal="center" vertical="center"/>
    </xf>
    <xf numFmtId="172" fontId="39" fillId="26" borderId="5" xfId="70"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39" fillId="27" borderId="5"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39" fillId="27" borderId="17" xfId="51"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39" fillId="0" borderId="5"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39" fillId="27" borderId="21"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172"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pplyProtection="1">
      <alignment horizontal="center" vertical="center"/>
    </xf>
    <xf numFmtId="4" fontId="39" fillId="26" borderId="31" xfId="0" applyNumberFormat="1" applyFont="1" applyFill="1" applyBorder="1" applyAlignment="1" applyProtection="1">
      <alignment horizontal="center" vertical="center"/>
    </xf>
    <xf numFmtId="4" fontId="39" fillId="26" borderId="50" xfId="0" applyNumberFormat="1" applyFont="1" applyFill="1" applyBorder="1" applyAlignment="1" applyProtection="1">
      <alignment horizontal="center" vertical="center"/>
    </xf>
    <xf numFmtId="4" fontId="94" fillId="26" borderId="130" xfId="0" applyNumberFormat="1" applyFont="1" applyFill="1" applyBorder="1" applyAlignment="1" applyProtection="1">
      <alignment horizontal="center" vertical="center"/>
    </xf>
    <xf numFmtId="4" fontId="104" fillId="26" borderId="130" xfId="0" applyNumberFormat="1" applyFont="1" applyFill="1" applyBorder="1" applyAlignment="1" applyProtection="1">
      <alignment horizontal="center" vertical="center"/>
    </xf>
    <xf numFmtId="4" fontId="40" fillId="0" borderId="99" xfId="0" applyNumberFormat="1" applyFont="1" applyFill="1" applyBorder="1" applyAlignment="1" applyProtection="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Fill="1" applyBorder="1" applyAlignment="1" applyProtection="1">
      <alignment horizontal="center" vertical="center"/>
    </xf>
    <xf numFmtId="10" fontId="40" fillId="0" borderId="4" xfId="70" applyNumberFormat="1" applyFont="1" applyFill="1" applyBorder="1" applyAlignment="1" applyProtection="1">
      <alignment horizontal="center" vertical="center"/>
    </xf>
    <xf numFmtId="4" fontId="94" fillId="26" borderId="92" xfId="0" applyNumberFormat="1" applyFont="1" applyFill="1" applyBorder="1" applyAlignment="1" applyProtection="1">
      <alignment horizontal="center" vertical="center"/>
    </xf>
    <xf numFmtId="4" fontId="104" fillId="26" borderId="92" xfId="0" applyNumberFormat="1" applyFont="1" applyFill="1" applyBorder="1" applyAlignment="1" applyProtection="1">
      <alignment horizontal="center" vertical="center"/>
    </xf>
    <xf numFmtId="4" fontId="39" fillId="26" borderId="73" xfId="0" applyNumberFormat="1" applyFont="1" applyFill="1" applyBorder="1" applyAlignment="1" applyProtection="1">
      <alignment horizontal="center" vertical="center"/>
    </xf>
    <xf numFmtId="4" fontId="39" fillId="26" borderId="76" xfId="0" applyNumberFormat="1" applyFont="1" applyFill="1" applyBorder="1" applyAlignment="1" applyProtection="1">
      <alignment horizontal="center" vertical="center"/>
    </xf>
    <xf numFmtId="4" fontId="39" fillId="26" borderId="7" xfId="0" applyNumberFormat="1" applyFont="1" applyFill="1" applyBorder="1" applyAlignment="1" applyProtection="1">
      <alignment horizontal="center" vertical="center"/>
    </xf>
    <xf numFmtId="4" fontId="39" fillId="26" borderId="53" xfId="0" applyNumberFormat="1" applyFont="1" applyFill="1" applyBorder="1" applyAlignment="1" applyProtection="1">
      <alignment horizontal="center" vertical="center"/>
    </xf>
    <xf numFmtId="4" fontId="39" fillId="26" borderId="77" xfId="0" applyNumberFormat="1" applyFont="1" applyFill="1" applyBorder="1" applyAlignment="1" applyProtection="1">
      <alignment horizontal="center" vertical="center"/>
    </xf>
    <xf numFmtId="4" fontId="39" fillId="26" borderId="57" xfId="0" applyNumberFormat="1" applyFont="1" applyFill="1" applyBorder="1" applyAlignment="1" applyProtection="1">
      <alignment horizontal="center" vertical="center"/>
    </xf>
    <xf numFmtId="9" fontId="39" fillId="27" borderId="49" xfId="51" applyNumberFormat="1" applyFont="1" applyFill="1" applyBorder="1" applyAlignment="1" applyProtection="1">
      <alignment horizontal="center" vertical="center"/>
    </xf>
    <xf numFmtId="9" fontId="39" fillId="27" borderId="31" xfId="51" applyNumberFormat="1" applyFont="1" applyFill="1" applyBorder="1" applyAlignment="1" applyProtection="1">
      <alignment horizontal="center" vertical="center"/>
    </xf>
    <xf numFmtId="9" fontId="39" fillId="27" borderId="50" xfId="51" applyNumberFormat="1" applyFont="1" applyFill="1" applyBorder="1" applyAlignment="1" applyProtection="1">
      <alignment horizontal="center" vertical="center"/>
    </xf>
    <xf numFmtId="9" fontId="39" fillId="26" borderId="56" xfId="51" applyNumberFormat="1" applyFont="1" applyFill="1" applyBorder="1" applyAlignment="1" applyProtection="1">
      <alignment horizontal="center" vertical="center"/>
    </xf>
    <xf numFmtId="9" fontId="39" fillId="26" borderId="77" xfId="51" applyNumberFormat="1" applyFont="1" applyFill="1" applyBorder="1" applyAlignment="1" applyProtection="1">
      <alignment horizontal="center" vertical="center"/>
    </xf>
    <xf numFmtId="9" fontId="39" fillId="26" borderId="57" xfId="51" applyNumberFormat="1" applyFont="1" applyFill="1" applyBorder="1" applyAlignment="1" applyProtection="1">
      <alignment horizontal="center" vertical="center"/>
    </xf>
    <xf numFmtId="4" fontId="40" fillId="26" borderId="47" xfId="0" applyNumberFormat="1" applyFont="1" applyFill="1" applyBorder="1" applyAlignment="1" applyProtection="1">
      <alignment horizontal="center" vertical="center"/>
    </xf>
    <xf numFmtId="4" fontId="40" fillId="26" borderId="71" xfId="0" applyNumberFormat="1" applyFont="1" applyFill="1" applyBorder="1" applyAlignment="1" applyProtection="1">
      <alignment horizontal="center" vertical="center"/>
    </xf>
    <xf numFmtId="4" fontId="40" fillId="26" borderId="48" xfId="0" applyNumberFormat="1" applyFont="1" applyFill="1" applyBorder="1" applyAlignment="1" applyProtection="1">
      <alignment horizontal="center"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69" fillId="0" borderId="0" xfId="32" applyFont="1" applyProtection="1"/>
    <xf numFmtId="0" fontId="68" fillId="37" borderId="30" xfId="32" applyFont="1" applyFill="1" applyBorder="1" applyAlignment="1" applyProtection="1">
      <alignment horizontal="center" vertical="center"/>
    </xf>
    <xf numFmtId="49" fontId="68" fillId="0" borderId="5" xfId="32" applyNumberFormat="1" applyFont="1" applyBorder="1" applyAlignment="1" applyProtection="1">
      <alignment horizontal="left" vertical="center"/>
    </xf>
    <xf numFmtId="0" fontId="68" fillId="0" borderId="29" xfId="32" applyFont="1" applyBorder="1" applyAlignment="1" applyProtection="1">
      <alignment horizontal="right" vertical="center"/>
    </xf>
    <xf numFmtId="49" fontId="69" fillId="0" borderId="17" xfId="32" applyNumberFormat="1" applyFont="1" applyBorder="1" applyAlignment="1" applyProtection="1">
      <alignment horizontal="left" vertical="center"/>
    </xf>
    <xf numFmtId="0" fontId="69" fillId="0" borderId="24" xfId="32" applyFont="1" applyBorder="1" applyAlignment="1" applyProtection="1">
      <alignment horizontal="right" vertical="center"/>
    </xf>
    <xf numFmtId="49" fontId="68" fillId="0" borderId="39" xfId="32" applyNumberFormat="1" applyFont="1" applyBorder="1" applyAlignment="1" applyProtection="1">
      <alignment horizontal="left" vertical="center"/>
    </xf>
    <xf numFmtId="0" fontId="68" fillId="0" borderId="36" xfId="32" applyFont="1" applyBorder="1" applyAlignment="1" applyProtection="1">
      <alignment horizontal="right" vertical="center"/>
    </xf>
    <xf numFmtId="0" fontId="68" fillId="0" borderId="25" xfId="32" applyFont="1" applyBorder="1" applyAlignment="1" applyProtection="1">
      <alignment horizontal="right" vertical="center"/>
    </xf>
    <xf numFmtId="49" fontId="19" fillId="27" borderId="2" xfId="0" applyNumberFormat="1" applyFont="1" applyFill="1" applyBorder="1" applyAlignment="1" applyProtection="1">
      <alignment horizontal="left" vertical="center"/>
    </xf>
    <xf numFmtId="0" fontId="19" fillId="27" borderId="1" xfId="0" applyFont="1" applyFill="1" applyBorder="1" applyAlignment="1" applyProtection="1">
      <alignment horizontal="right" vertical="center"/>
    </xf>
    <xf numFmtId="49" fontId="33" fillId="27" borderId="1" xfId="0" applyNumberFormat="1" applyFont="1" applyFill="1" applyBorder="1" applyAlignment="1" applyProtection="1">
      <alignment horizontal="left" vertical="center"/>
    </xf>
    <xf numFmtId="49" fontId="33" fillId="27" borderId="3" xfId="0" applyNumberFormat="1" applyFont="1" applyFill="1" applyBorder="1" applyAlignment="1" applyProtection="1">
      <alignment horizontal="left" vertical="center"/>
    </xf>
    <xf numFmtId="0" fontId="31" fillId="27" borderId="24" xfId="0" applyFont="1" applyFill="1" applyBorder="1" applyAlignment="1" applyProtection="1">
      <alignment horizontal="right"/>
    </xf>
    <xf numFmtId="0" fontId="33" fillId="27" borderId="24" xfId="0" applyFont="1" applyFill="1" applyBorder="1" applyAlignment="1" applyProtection="1">
      <alignment horizontal="right"/>
    </xf>
    <xf numFmtId="49" fontId="33" fillId="27" borderId="21" xfId="0" applyNumberFormat="1" applyFont="1" applyFill="1" applyBorder="1" applyAlignment="1" applyProtection="1">
      <alignment horizontal="left" vertical="center"/>
    </xf>
    <xf numFmtId="0" fontId="33" fillId="27" borderId="30" xfId="0" applyFont="1" applyFill="1" applyBorder="1" applyAlignment="1" applyProtection="1">
      <alignment horizontal="right"/>
    </xf>
    <xf numFmtId="49" fontId="68" fillId="0" borderId="17" xfId="32" applyNumberFormat="1" applyFont="1" applyBorder="1" applyAlignment="1" applyProtection="1">
      <alignment horizontal="left" vertical="center"/>
    </xf>
    <xf numFmtId="0" fontId="68" fillId="0" borderId="51" xfId="32" applyFont="1" applyBorder="1" applyAlignment="1" applyProtection="1">
      <alignment horizontal="right" vertical="center"/>
    </xf>
    <xf numFmtId="0" fontId="85" fillId="0" borderId="23" xfId="2" applyNumberFormat="1" applyFont="1" applyFill="1" applyBorder="1" applyAlignment="1" applyProtection="1">
      <alignment horizontal="left" vertical="center" wrapText="1"/>
    </xf>
    <xf numFmtId="14" fontId="68" fillId="0" borderId="0" xfId="32" applyNumberFormat="1" applyFont="1" applyProtection="1"/>
    <xf numFmtId="0" fontId="68" fillId="0" borderId="0" xfId="32" applyFont="1" applyAlignment="1" applyProtection="1">
      <alignment horizontal="right"/>
    </xf>
    <xf numFmtId="0" fontId="69" fillId="0" borderId="0" xfId="32" applyFont="1" applyAlignment="1" applyProtection="1"/>
    <xf numFmtId="0" fontId="71" fillId="0" borderId="0" xfId="32" applyNumberFormat="1" applyFont="1" applyAlignment="1" applyProtection="1">
      <alignment horizontal="center"/>
    </xf>
    <xf numFmtId="0" fontId="69" fillId="0" borderId="0" xfId="32" applyNumberFormat="1" applyFont="1" applyProtection="1"/>
    <xf numFmtId="49" fontId="69" fillId="0" borderId="0" xfId="32" applyNumberFormat="1" applyFont="1" applyAlignment="1" applyProtection="1"/>
    <xf numFmtId="0" fontId="69" fillId="0" borderId="0" xfId="32" applyNumberFormat="1" applyFont="1" applyAlignment="1" applyProtection="1"/>
    <xf numFmtId="0" fontId="20" fillId="0" borderId="0" xfId="0" applyFont="1" applyAlignment="1" applyProtection="1"/>
    <xf numFmtId="0" fontId="71" fillId="0" borderId="0" xfId="31" applyFont="1" applyFill="1" applyBorder="1" applyProtection="1"/>
    <xf numFmtId="0" fontId="40" fillId="0" borderId="0" xfId="0" applyFont="1" applyProtection="1"/>
    <xf numFmtId="0" fontId="42" fillId="0" borderId="0" xfId="0" applyFont="1" applyAlignment="1" applyProtection="1"/>
    <xf numFmtId="0" fontId="47" fillId="0" borderId="0" xfId="0" applyFont="1" applyAlignment="1" applyProtection="1"/>
    <xf numFmtId="0" fontId="39" fillId="0" borderId="0" xfId="0" applyFont="1" applyBorder="1" applyProtection="1"/>
    <xf numFmtId="0" fontId="11" fillId="27" borderId="0" xfId="0" applyFont="1" applyFill="1" applyProtection="1"/>
    <xf numFmtId="0" fontId="12" fillId="27" borderId="0" xfId="0" applyFont="1" applyFill="1" applyAlignment="1" applyProtection="1">
      <alignment horizontal="right"/>
    </xf>
    <xf numFmtId="0" fontId="19" fillId="37" borderId="30" xfId="0" applyFont="1" applyFill="1" applyBorder="1" applyAlignment="1" applyProtection="1">
      <alignment horizontal="center" vertical="center"/>
    </xf>
    <xf numFmtId="49" fontId="19" fillId="27" borderId="2" xfId="0" applyNumberFormat="1" applyFont="1" applyFill="1" applyBorder="1" applyAlignment="1" applyProtection="1">
      <alignment horizontal="center" vertical="center"/>
    </xf>
    <xf numFmtId="0" fontId="20" fillId="27" borderId="1" xfId="0" applyFont="1" applyFill="1" applyBorder="1" applyAlignment="1" applyProtection="1">
      <alignment horizontal="left" vertical="center"/>
    </xf>
    <xf numFmtId="49" fontId="33" fillId="27" borderId="5" xfId="0" applyNumberFormat="1" applyFont="1" applyFill="1" applyBorder="1" applyAlignment="1" applyProtection="1">
      <alignment horizontal="center" vertical="center"/>
    </xf>
    <xf numFmtId="0" fontId="11" fillId="27" borderId="29" xfId="0" applyFont="1" applyFill="1" applyBorder="1" applyAlignment="1" applyProtection="1">
      <alignment horizontal="right" vertical="center"/>
    </xf>
    <xf numFmtId="0" fontId="11" fillId="27" borderId="24" xfId="0" applyFont="1" applyFill="1" applyBorder="1" applyAlignment="1" applyProtection="1">
      <alignment horizontal="right" vertical="center"/>
    </xf>
    <xf numFmtId="49" fontId="33" fillId="27" borderId="17" xfId="0" applyNumberFormat="1" applyFont="1" applyFill="1" applyBorder="1" applyAlignment="1" applyProtection="1">
      <alignment horizontal="center" vertical="center"/>
    </xf>
    <xf numFmtId="49" fontId="33" fillId="27" borderId="39" xfId="0" applyNumberFormat="1" applyFont="1" applyFill="1" applyBorder="1" applyAlignment="1" applyProtection="1">
      <alignment horizontal="center" vertical="center"/>
    </xf>
    <xf numFmtId="0" fontId="11" fillId="27" borderId="30" xfId="0" applyFont="1" applyFill="1" applyBorder="1" applyAlignment="1" applyProtection="1">
      <alignment horizontal="right" vertical="center"/>
    </xf>
    <xf numFmtId="49" fontId="19" fillId="27" borderId="2" xfId="31" applyNumberFormat="1" applyFont="1" applyFill="1" applyBorder="1" applyAlignment="1" applyProtection="1">
      <alignment horizontal="center" vertical="center"/>
    </xf>
    <xf numFmtId="0" fontId="20" fillId="27" borderId="1" xfId="31" applyFont="1" applyFill="1" applyBorder="1" applyAlignment="1" applyProtection="1">
      <alignment horizontal="left" vertical="center"/>
    </xf>
    <xf numFmtId="49" fontId="33" fillId="27" borderId="17" xfId="31" applyNumberFormat="1" applyFont="1" applyFill="1" applyBorder="1" applyAlignment="1" applyProtection="1">
      <alignment horizontal="center" vertical="center"/>
    </xf>
    <xf numFmtId="0" fontId="11" fillId="27" borderId="24" xfId="31" applyFont="1" applyFill="1" applyBorder="1" applyAlignment="1" applyProtection="1">
      <alignment horizontal="right" vertical="center" wrapText="1"/>
    </xf>
    <xf numFmtId="0" fontId="11" fillId="27" borderId="24" xfId="31" applyFont="1" applyFill="1" applyBorder="1" applyAlignment="1" applyProtection="1">
      <alignment horizontal="right" vertical="center"/>
    </xf>
    <xf numFmtId="49" fontId="19" fillId="27" borderId="26" xfId="31" applyNumberFormat="1" applyFont="1" applyFill="1" applyBorder="1" applyAlignment="1" applyProtection="1">
      <alignment horizontal="center" vertical="center"/>
    </xf>
    <xf numFmtId="0" fontId="11" fillId="0" borderId="24" xfId="31" applyFont="1" applyFill="1" applyBorder="1" applyAlignment="1" applyProtection="1">
      <alignment horizontal="right" vertical="center" wrapText="1"/>
    </xf>
    <xf numFmtId="49" fontId="19" fillId="27" borderId="34" xfId="31" applyNumberFormat="1" applyFont="1" applyFill="1" applyBorder="1" applyAlignment="1" applyProtection="1">
      <alignment horizontal="center" vertical="center"/>
    </xf>
    <xf numFmtId="0" fontId="11" fillId="0" borderId="21" xfId="31" applyFont="1" applyFill="1" applyBorder="1" applyAlignment="1" applyProtection="1">
      <alignment horizontal="right" vertical="center" wrapText="1"/>
    </xf>
    <xf numFmtId="14" fontId="39"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right"/>
    </xf>
    <xf numFmtId="0" fontId="40" fillId="27" borderId="0" xfId="0" applyNumberFormat="1" applyFont="1" applyFill="1" applyAlignment="1" applyProtection="1">
      <alignment horizontal="center"/>
    </xf>
    <xf numFmtId="0" fontId="20" fillId="27" borderId="0" xfId="0" applyFont="1" applyFill="1" applyAlignment="1" applyProtection="1"/>
    <xf numFmtId="0" fontId="41" fillId="27" borderId="0" xfId="0" applyNumberFormat="1" applyFont="1" applyFill="1" applyAlignment="1" applyProtection="1">
      <alignment horizontal="center"/>
    </xf>
    <xf numFmtId="49" fontId="40" fillId="27" borderId="0" xfId="0" applyNumberFormat="1" applyFont="1" applyFill="1" applyAlignment="1" applyProtection="1">
      <alignment horizontal="center"/>
    </xf>
    <xf numFmtId="0" fontId="69" fillId="27" borderId="0" xfId="32" applyFont="1" applyFill="1" applyProtection="1"/>
    <xf numFmtId="0" fontId="11" fillId="27" borderId="0" xfId="0" applyNumberFormat="1" applyFont="1" applyFill="1" applyProtection="1"/>
    <xf numFmtId="0" fontId="47" fillId="27" borderId="0" xfId="0" applyFont="1" applyFill="1" applyAlignment="1" applyProtection="1"/>
    <xf numFmtId="49" fontId="40" fillId="27" borderId="0" xfId="0" applyNumberFormat="1" applyFont="1" applyFill="1" applyAlignment="1" applyProtection="1">
      <alignment horizontal="right"/>
    </xf>
    <xf numFmtId="49" fontId="69" fillId="27" borderId="0" xfId="32" applyNumberFormat="1" applyFont="1" applyFill="1" applyAlignment="1" applyProtection="1"/>
    <xf numFmtId="0" fontId="69" fillId="27" borderId="0" xfId="32" applyNumberFormat="1" applyFont="1" applyFill="1" applyAlignment="1" applyProtection="1"/>
    <xf numFmtId="0" fontId="40" fillId="27" borderId="0" xfId="0" applyFont="1" applyFill="1" applyProtection="1"/>
    <xf numFmtId="49" fontId="11" fillId="27" borderId="0" xfId="0" applyNumberFormat="1" applyFont="1" applyFill="1" applyAlignment="1" applyProtection="1"/>
    <xf numFmtId="0" fontId="11" fillId="27" borderId="0" xfId="0" applyNumberFormat="1" applyFont="1" applyFill="1" applyAlignme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12" fillId="0" borderId="0" xfId="0" applyFont="1" applyAlignment="1" applyProtection="1">
      <alignment horizontal="center" vertical="center"/>
    </xf>
    <xf numFmtId="0" fontId="40" fillId="0" borderId="0" xfId="0" applyFont="1" applyAlignment="1" applyProtection="1">
      <alignment horizontal="center"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11" fillId="0" borderId="76" xfId="0" applyFont="1" applyBorder="1" applyAlignment="1" applyProtection="1">
      <alignment vertical="center" wrapText="1"/>
    </xf>
    <xf numFmtId="3" fontId="11" fillId="26" borderId="75" xfId="0" applyNumberFormat="1" applyFont="1" applyFill="1" applyBorder="1" applyAlignment="1" applyProtection="1">
      <alignment horizontal="center" vertical="center" wrapText="1"/>
    </xf>
    <xf numFmtId="0" fontId="11" fillId="0" borderId="53" xfId="0" applyFont="1" applyBorder="1" applyAlignment="1" applyProtection="1">
      <alignment vertical="center" wrapText="1"/>
    </xf>
    <xf numFmtId="3" fontId="11" fillId="26" borderId="52" xfId="0" applyNumberFormat="1" applyFont="1" applyFill="1" applyBorder="1" applyAlignment="1" applyProtection="1">
      <alignment horizontal="center" vertical="center" wrapText="1"/>
    </xf>
    <xf numFmtId="3" fontId="11" fillId="26" borderId="7" xfId="0" applyNumberFormat="1" applyFont="1" applyFill="1" applyBorder="1" applyAlignment="1" applyProtection="1">
      <alignment horizontal="center" vertical="center" wrapText="1"/>
    </xf>
    <xf numFmtId="3" fontId="11" fillId="26" borderId="53" xfId="0" applyNumberFormat="1" applyFont="1" applyFill="1" applyBorder="1" applyAlignment="1" applyProtection="1">
      <alignment horizontal="center" vertical="center" wrapText="1"/>
    </xf>
    <xf numFmtId="0" fontId="11" fillId="0" borderId="57" xfId="0" applyFont="1" applyBorder="1" applyAlignment="1" applyProtection="1">
      <alignment vertical="center" wrapText="1"/>
    </xf>
    <xf numFmtId="0" fontId="11" fillId="0" borderId="76" xfId="0" applyFont="1" applyFill="1" applyBorder="1" applyAlignment="1" applyProtection="1">
      <alignment vertical="center" wrapText="1"/>
    </xf>
    <xf numFmtId="0" fontId="11" fillId="0" borderId="53" xfId="0" applyFont="1" applyFill="1" applyBorder="1" applyAlignment="1" applyProtection="1">
      <alignment vertical="center" wrapText="1"/>
    </xf>
    <xf numFmtId="0" fontId="11" fillId="0" borderId="57" xfId="0" applyFont="1" applyFill="1" applyBorder="1" applyAlignment="1" applyProtection="1">
      <alignment vertical="center" wrapText="1"/>
    </xf>
    <xf numFmtId="3" fontId="11" fillId="26" borderId="56" xfId="0" applyNumberFormat="1" applyFont="1" applyFill="1" applyBorder="1" applyAlignment="1" applyProtection="1">
      <alignment horizontal="center" vertical="center" wrapText="1"/>
    </xf>
    <xf numFmtId="0" fontId="11" fillId="0" borderId="32" xfId="0" applyFont="1" applyFill="1" applyBorder="1" applyAlignment="1" applyProtection="1">
      <alignment vertical="center" wrapText="1"/>
    </xf>
    <xf numFmtId="0" fontId="11" fillId="0" borderId="79" xfId="0" applyFont="1" applyFill="1" applyBorder="1" applyAlignment="1" applyProtection="1">
      <alignment vertical="center" wrapText="1"/>
    </xf>
    <xf numFmtId="0" fontId="11" fillId="0" borderId="72" xfId="0" applyFont="1" applyFill="1" applyBorder="1" applyAlignment="1" applyProtection="1">
      <alignment vertical="center" wrapText="1"/>
    </xf>
    <xf numFmtId="0" fontId="11" fillId="0" borderId="44" xfId="0" applyFont="1" applyFill="1" applyBorder="1" applyAlignment="1" applyProtection="1">
      <alignment vertical="center" wrapText="1"/>
    </xf>
    <xf numFmtId="0" fontId="11" fillId="0" borderId="50" xfId="0" applyFont="1" applyFill="1" applyBorder="1" applyAlignment="1" applyProtection="1">
      <alignment vertical="center" wrapText="1"/>
    </xf>
    <xf numFmtId="0" fontId="11" fillId="0" borderId="32" xfId="0" applyFont="1" applyBorder="1" applyAlignment="1" applyProtection="1">
      <alignment vertical="center" wrapText="1"/>
    </xf>
    <xf numFmtId="0" fontId="11" fillId="0" borderId="53" xfId="0" applyFont="1" applyBorder="1" applyAlignment="1" applyProtection="1">
      <alignment horizontal="justify" vertical="center" wrapText="1"/>
    </xf>
    <xf numFmtId="0" fontId="66" fillId="0" borderId="72" xfId="0" applyFont="1" applyFill="1" applyBorder="1" applyAlignment="1" applyProtection="1">
      <alignment vertical="center" wrapText="1"/>
    </xf>
    <xf numFmtId="0" fontId="66" fillId="0" borderId="76" xfId="0" applyFont="1" applyFill="1" applyBorder="1" applyAlignment="1" applyProtection="1">
      <alignment vertical="center" wrapText="1"/>
    </xf>
    <xf numFmtId="3" fontId="20" fillId="0" borderId="29" xfId="0" applyNumberFormat="1" applyFont="1" applyFill="1" applyBorder="1" applyAlignment="1" applyProtection="1">
      <alignment horizontal="center" vertical="center" wrapText="1"/>
    </xf>
    <xf numFmtId="3" fontId="20" fillId="0" borderId="22" xfId="0" applyNumberFormat="1" applyFont="1" applyFill="1" applyBorder="1" applyAlignment="1" applyProtection="1">
      <alignment horizontal="center" vertical="center" wrapText="1"/>
    </xf>
    <xf numFmtId="3" fontId="20" fillId="0" borderId="74" xfId="0" applyNumberFormat="1" applyFont="1" applyFill="1" applyBorder="1" applyAlignment="1" applyProtection="1">
      <alignment horizontal="center" vertical="center" wrapText="1"/>
    </xf>
    <xf numFmtId="0" fontId="66" fillId="0" borderId="32" xfId="0" applyFont="1" applyFill="1" applyBorder="1" applyAlignment="1" applyProtection="1">
      <alignment vertical="center" wrapText="1"/>
    </xf>
    <xf numFmtId="0" fontId="66" fillId="0" borderId="53" xfId="0" applyFont="1" applyFill="1" applyBorder="1" applyAlignment="1" applyProtection="1">
      <alignment vertical="center" wrapText="1"/>
    </xf>
    <xf numFmtId="3" fontId="20" fillId="0" borderId="24" xfId="0" applyNumberFormat="1" applyFont="1" applyFill="1" applyBorder="1" applyAlignment="1" applyProtection="1">
      <alignment horizontal="center" vertical="center" wrapText="1"/>
    </xf>
    <xf numFmtId="3" fontId="20" fillId="0" borderId="62" xfId="0" applyNumberFormat="1" applyFont="1" applyFill="1" applyBorder="1" applyAlignment="1" applyProtection="1">
      <alignment horizontal="center" vertical="center" wrapText="1"/>
    </xf>
    <xf numFmtId="3" fontId="20" fillId="0" borderId="14" xfId="0" applyNumberFormat="1" applyFont="1" applyFill="1" applyBorder="1" applyAlignment="1" applyProtection="1">
      <alignment horizontal="center" vertical="center" wrapText="1"/>
    </xf>
    <xf numFmtId="0" fontId="11" fillId="0" borderId="72" xfId="0" applyFont="1" applyBorder="1" applyAlignment="1" applyProtection="1">
      <alignment vertical="center" wrapText="1"/>
    </xf>
    <xf numFmtId="0" fontId="11" fillId="0" borderId="79" xfId="0" applyFont="1" applyBorder="1" applyAlignment="1" applyProtection="1">
      <alignment vertical="center" wrapText="1"/>
    </xf>
    <xf numFmtId="3" fontId="11" fillId="26" borderId="24" xfId="0" applyNumberFormat="1" applyFont="1" applyFill="1" applyBorder="1" applyAlignment="1" applyProtection="1">
      <alignment horizontal="center" vertical="center" wrapText="1"/>
    </xf>
    <xf numFmtId="3" fontId="11" fillId="26" borderId="62" xfId="0" applyNumberFormat="1" applyFont="1" applyFill="1" applyBorder="1" applyAlignment="1" applyProtection="1">
      <alignment horizontal="center" vertical="center" wrapText="1"/>
    </xf>
    <xf numFmtId="0" fontId="11" fillId="0" borderId="69" xfId="0" applyFont="1" applyFill="1" applyBorder="1" applyAlignment="1" applyProtection="1">
      <alignment vertical="center" wrapText="1"/>
    </xf>
    <xf numFmtId="0" fontId="11" fillId="0" borderId="55" xfId="0" applyFont="1" applyBorder="1" applyAlignment="1" applyProtection="1">
      <alignment vertical="center" wrapText="1"/>
    </xf>
    <xf numFmtId="0" fontId="11" fillId="0" borderId="75" xfId="0" applyFont="1" applyBorder="1" applyAlignment="1" applyProtection="1">
      <alignment vertical="center" wrapText="1"/>
    </xf>
    <xf numFmtId="0" fontId="11" fillId="0" borderId="52" xfId="0" applyFont="1" applyBorder="1" applyAlignment="1" applyProtection="1">
      <alignment vertical="center" wrapText="1"/>
    </xf>
    <xf numFmtId="0" fontId="20" fillId="0" borderId="52" xfId="0" applyFont="1" applyFill="1" applyBorder="1" applyAlignment="1" applyProtection="1">
      <alignment vertical="center" wrapText="1"/>
    </xf>
    <xf numFmtId="0" fontId="20" fillId="0" borderId="53" xfId="0" applyFont="1" applyBorder="1" applyAlignment="1" applyProtection="1">
      <alignment vertical="center" wrapText="1"/>
    </xf>
    <xf numFmtId="0" fontId="11" fillId="26" borderId="7" xfId="0" applyFont="1" applyFill="1" applyBorder="1" applyAlignment="1" applyProtection="1">
      <alignment horizontal="center" vertical="center" wrapText="1"/>
    </xf>
    <xf numFmtId="0" fontId="11" fillId="26" borderId="62" xfId="0" applyFont="1" applyFill="1" applyBorder="1" applyAlignment="1" applyProtection="1">
      <alignment horizontal="center" vertical="center" wrapText="1"/>
    </xf>
    <xf numFmtId="0" fontId="11" fillId="26" borderId="52" xfId="0" applyFont="1" applyFill="1" applyBorder="1" applyAlignment="1" applyProtection="1">
      <alignment horizontal="center" vertical="center" wrapText="1"/>
    </xf>
    <xf numFmtId="0" fontId="11" fillId="26" borderId="53" xfId="0" applyFont="1" applyFill="1" applyBorder="1" applyAlignment="1" applyProtection="1">
      <alignment horizontal="center" vertical="center" wrapText="1"/>
    </xf>
    <xf numFmtId="0" fontId="11" fillId="0" borderId="56" xfId="0" applyFont="1" applyBorder="1" applyAlignment="1" applyProtection="1">
      <alignment vertical="center" wrapText="1"/>
    </xf>
    <xf numFmtId="0" fontId="11" fillId="0" borderId="50" xfId="0" applyFont="1" applyBorder="1" applyAlignment="1" applyProtection="1">
      <alignment vertical="center" wrapText="1"/>
    </xf>
    <xf numFmtId="0" fontId="11" fillId="26" borderId="53" xfId="0" applyFont="1" applyFill="1" applyBorder="1" applyAlignment="1" applyProtection="1">
      <alignment vertical="center" wrapText="1"/>
    </xf>
    <xf numFmtId="0" fontId="66" fillId="0" borderId="72" xfId="0" applyFont="1" applyBorder="1" applyAlignment="1" applyProtection="1">
      <alignment vertical="center" wrapText="1"/>
    </xf>
    <xf numFmtId="0" fontId="66" fillId="0" borderId="76" xfId="0" applyFont="1" applyBorder="1" applyAlignment="1" applyProtection="1">
      <alignment vertical="center" wrapText="1"/>
    </xf>
    <xf numFmtId="0" fontId="100" fillId="0" borderId="32" xfId="0" applyFont="1" applyBorder="1" applyAlignment="1" applyProtection="1">
      <alignment vertical="center" wrapText="1"/>
    </xf>
    <xf numFmtId="0" fontId="100" fillId="0" borderId="53" xfId="0" applyFont="1" applyBorder="1" applyAlignment="1" applyProtection="1">
      <alignment vertical="center" wrapText="1"/>
    </xf>
    <xf numFmtId="0" fontId="11" fillId="0" borderId="15" xfId="0" applyFont="1" applyFill="1" applyBorder="1" applyAlignment="1" applyProtection="1">
      <alignment vertical="center" wrapText="1"/>
    </xf>
    <xf numFmtId="0" fontId="42" fillId="0" borderId="79" xfId="0" applyFont="1" applyBorder="1" applyAlignment="1" applyProtection="1">
      <alignment vertical="center" wrapText="1"/>
    </xf>
    <xf numFmtId="0" fontId="42" fillId="0" borderId="57" xfId="0" applyFont="1" applyBorder="1" applyAlignment="1" applyProtection="1">
      <alignment vertical="center" wrapText="1"/>
    </xf>
    <xf numFmtId="0" fontId="33" fillId="0" borderId="40" xfId="31" applyFont="1" applyFill="1" applyBorder="1" applyAlignment="1" applyProtection="1">
      <alignment horizontal="center" vertical="center" wrapText="1"/>
    </xf>
    <xf numFmtId="0" fontId="11" fillId="0" borderId="51" xfId="31" applyFont="1" applyFill="1" applyBorder="1" applyAlignment="1" applyProtection="1">
      <alignment vertical="center" wrapText="1"/>
    </xf>
    <xf numFmtId="0" fontId="11" fillId="0" borderId="76" xfId="31" applyFont="1" applyFill="1" applyBorder="1" applyAlignment="1" applyProtection="1">
      <alignment vertical="center" wrapText="1"/>
    </xf>
    <xf numFmtId="0" fontId="33" fillId="0" borderId="51" xfId="31" applyFont="1" applyBorder="1" applyAlignment="1" applyProtection="1">
      <alignment vertical="center" wrapText="1"/>
    </xf>
    <xf numFmtId="0" fontId="11" fillId="0" borderId="14" xfId="31" applyFont="1" applyBorder="1" applyAlignment="1" applyProtection="1">
      <alignment vertical="center" wrapText="1"/>
    </xf>
    <xf numFmtId="0" fontId="33" fillId="0" borderId="17" xfId="31" applyFont="1" applyBorder="1" applyAlignment="1" applyProtection="1">
      <alignment vertical="center" wrapText="1"/>
    </xf>
    <xf numFmtId="0" fontId="11" fillId="0" borderId="15" xfId="31" applyFont="1" applyBorder="1" applyAlignment="1" applyProtection="1">
      <alignment vertical="center" wrapText="1"/>
    </xf>
    <xf numFmtId="0" fontId="11" fillId="0" borderId="15" xfId="31" applyFont="1" applyFill="1" applyBorder="1" applyAlignment="1" applyProtection="1">
      <alignment vertical="center" wrapText="1"/>
    </xf>
    <xf numFmtId="0" fontId="33" fillId="0" borderId="26" xfId="31" applyFont="1" applyBorder="1" applyAlignment="1" applyProtection="1">
      <alignment vertical="center" wrapText="1"/>
    </xf>
    <xf numFmtId="0" fontId="11" fillId="0" borderId="17" xfId="31" applyFont="1" applyFill="1" applyBorder="1" applyAlignment="1" applyProtection="1">
      <alignment vertical="center" wrapText="1"/>
    </xf>
    <xf numFmtId="0" fontId="11" fillId="0" borderId="53" xfId="31" applyFont="1" applyBorder="1" applyAlignment="1" applyProtection="1">
      <alignment vertical="center" wrapText="1"/>
    </xf>
    <xf numFmtId="0" fontId="11" fillId="0" borderId="39" xfId="31" applyFont="1" applyFill="1" applyBorder="1" applyAlignment="1" applyProtection="1">
      <alignment vertical="center" wrapText="1"/>
    </xf>
    <xf numFmtId="0" fontId="11" fillId="0" borderId="21" xfId="31" applyFont="1" applyBorder="1" applyAlignment="1" applyProtection="1">
      <alignment vertical="center" wrapText="1"/>
    </xf>
    <xf numFmtId="0" fontId="11" fillId="0" borderId="2" xfId="31" applyFont="1" applyBorder="1" applyAlignment="1" applyProtection="1">
      <alignment vertical="center" wrapText="1"/>
    </xf>
    <xf numFmtId="0" fontId="11" fillId="0" borderId="50" xfId="31" applyFont="1" applyBorder="1" applyAlignment="1" applyProtection="1">
      <alignment vertical="center" wrapText="1"/>
    </xf>
    <xf numFmtId="0" fontId="11" fillId="0" borderId="53" xfId="31" applyFont="1" applyFill="1" applyBorder="1" applyAlignment="1" applyProtection="1">
      <alignment vertical="center" wrapText="1"/>
    </xf>
    <xf numFmtId="0" fontId="11" fillId="0" borderId="55" xfId="31" applyFont="1" applyFill="1" applyBorder="1" applyAlignment="1" applyProtection="1">
      <alignment vertical="center" wrapText="1"/>
    </xf>
    <xf numFmtId="0" fontId="11" fillId="0" borderId="51" xfId="31" applyFont="1" applyBorder="1" applyAlignment="1" applyProtection="1">
      <alignment vertical="center" wrapText="1"/>
    </xf>
    <xf numFmtId="0" fontId="11" fillId="0" borderId="57" xfId="31" applyFont="1" applyBorder="1" applyAlignment="1" applyProtection="1">
      <alignment vertical="center" wrapText="1"/>
    </xf>
    <xf numFmtId="0" fontId="11" fillId="0" borderId="57" xfId="31" applyFont="1" applyFill="1" applyBorder="1" applyAlignment="1" applyProtection="1">
      <alignment vertical="center" wrapText="1"/>
    </xf>
    <xf numFmtId="14" fontId="20" fillId="0" borderId="0" xfId="0" applyNumberFormat="1" applyFont="1" applyAlignment="1" applyProtection="1">
      <alignment horizontal="left" vertical="center"/>
    </xf>
    <xf numFmtId="0" fontId="20" fillId="0" borderId="0" xfId="0" applyFont="1" applyAlignment="1" applyProtection="1">
      <alignment horizontal="right" vertical="center"/>
    </xf>
    <xf numFmtId="0" fontId="12" fillId="0" borderId="0" xfId="0" applyFont="1" applyAlignment="1" applyProtection="1">
      <alignment horizontal="left" vertical="center"/>
    </xf>
    <xf numFmtId="14" fontId="64" fillId="0" borderId="0" xfId="0" applyNumberFormat="1" applyFont="1" applyAlignment="1" applyProtection="1">
      <alignment vertical="center"/>
    </xf>
    <xf numFmtId="0" fontId="20" fillId="0" borderId="0" xfId="0" applyFont="1" applyAlignment="1" applyProtection="1">
      <alignment horizontal="center" vertical="center"/>
    </xf>
    <xf numFmtId="0" fontId="20" fillId="27" borderId="0" xfId="0" applyFont="1" applyFill="1" applyAlignment="1" applyProtection="1">
      <alignment vertical="center"/>
    </xf>
    <xf numFmtId="0" fontId="11" fillId="0" borderId="0" xfId="0" applyFont="1" applyAlignment="1" applyProtection="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22" xfId="77" applyNumberFormat="1" applyFont="1" applyFill="1" applyBorder="1" applyAlignment="1" applyProtection="1">
      <alignment horizontal="center" vertical="center" wrapText="1"/>
      <protection locked="0"/>
    </xf>
    <xf numFmtId="3" fontId="11" fillId="28" borderId="74" xfId="77" applyNumberFormat="1" applyFont="1" applyFill="1" applyBorder="1" applyAlignment="1" applyProtection="1">
      <alignment horizontal="center" vertical="center" wrapText="1"/>
      <protection locked="0"/>
    </xf>
    <xf numFmtId="3" fontId="11" fillId="28" borderId="14"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62" xfId="77" applyNumberFormat="1" applyFont="1" applyFill="1" applyBorder="1" applyAlignment="1" applyProtection="1">
      <alignment horizontal="center" vertical="center" wrapText="1"/>
      <protection locked="0"/>
    </xf>
    <xf numFmtId="3" fontId="11" fillId="28" borderId="7" xfId="77" applyNumberFormat="1" applyFont="1" applyFill="1" applyBorder="1" applyAlignment="1" applyProtection="1">
      <alignment horizontal="center" vertical="center" wrapText="1"/>
      <protection locked="0"/>
    </xf>
    <xf numFmtId="3" fontId="11" fillId="28" borderId="5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3" fontId="11" fillId="28" borderId="77" xfId="77" applyNumberFormat="1" applyFont="1" applyFill="1" applyBorder="1" applyAlignment="1" applyProtection="1">
      <alignment horizontal="center" vertical="center" wrapText="1"/>
      <protection locked="0"/>
    </xf>
    <xf numFmtId="3" fontId="11" fillId="28" borderId="19" xfId="77" applyNumberFormat="1" applyFont="1" applyFill="1" applyBorder="1" applyAlignment="1" applyProtection="1">
      <alignment horizontal="center" vertical="center" wrapText="1"/>
      <protection locked="0"/>
    </xf>
    <xf numFmtId="0" fontId="11" fillId="28" borderId="73" xfId="77" applyFont="1" applyFill="1" applyBorder="1" applyAlignment="1" applyProtection="1">
      <alignment horizontal="center" vertical="center" wrapText="1"/>
      <protection locked="0"/>
    </xf>
    <xf numFmtId="0" fontId="11" fillId="28" borderId="77" xfId="77" applyFont="1" applyFill="1" applyBorder="1" applyAlignment="1" applyProtection="1">
      <alignment horizontal="center" vertical="center" wrapText="1"/>
      <protection locked="0"/>
    </xf>
    <xf numFmtId="49" fontId="20" fillId="0" borderId="0" xfId="0" applyNumberFormat="1" applyFont="1" applyBorder="1" applyAlignment="1" applyProtection="1">
      <alignment horizontal="left" vertical="center"/>
    </xf>
    <xf numFmtId="0" fontId="11" fillId="0" borderId="0" xfId="0" applyFont="1" applyBorder="1" applyAlignment="1" applyProtection="1">
      <alignment vertical="center"/>
    </xf>
    <xf numFmtId="0" fontId="20" fillId="0" borderId="0" xfId="0" applyFont="1" applyAlignment="1" applyProtection="1">
      <alignment vertical="center"/>
    </xf>
    <xf numFmtId="0" fontId="40" fillId="0" borderId="0" xfId="0" applyFont="1" applyFill="1" applyAlignment="1" applyProtection="1">
      <alignment vertical="center"/>
    </xf>
    <xf numFmtId="0" fontId="20" fillId="0" borderId="0" xfId="0" applyFont="1" applyFill="1" applyAlignment="1" applyProtection="1">
      <alignment vertical="center"/>
    </xf>
    <xf numFmtId="0" fontId="20" fillId="26" borderId="0" xfId="0" applyFont="1" applyFill="1" applyAlignment="1" applyProtection="1">
      <alignment vertical="center"/>
    </xf>
    <xf numFmtId="49" fontId="20" fillId="0" borderId="0" xfId="0" applyNumberFormat="1" applyFont="1" applyBorder="1" applyAlignment="1" applyProtection="1">
      <alignment vertical="center"/>
    </xf>
    <xf numFmtId="0" fontId="20" fillId="0" borderId="0" xfId="0" applyFont="1" applyBorder="1" applyAlignment="1" applyProtection="1">
      <alignment vertical="center"/>
    </xf>
    <xf numFmtId="0" fontId="18" fillId="0" borderId="0" xfId="0" applyFont="1" applyBorder="1" applyAlignment="1" applyProtection="1">
      <alignment horizontal="center" vertical="center"/>
    </xf>
    <xf numFmtId="0" fontId="11" fillId="0" borderId="17" xfId="0" applyNumberFormat="1" applyFont="1" applyBorder="1" applyAlignment="1" applyProtection="1">
      <alignment horizontal="center" vertical="center"/>
    </xf>
    <xf numFmtId="0" fontId="18" fillId="0" borderId="14" xfId="0" applyFont="1" applyFill="1" applyBorder="1" applyAlignment="1" applyProtection="1">
      <alignment vertical="center"/>
    </xf>
    <xf numFmtId="9" fontId="20" fillId="22" borderId="50" xfId="0" applyNumberFormat="1" applyFont="1" applyFill="1" applyBorder="1" applyAlignment="1" applyProtection="1">
      <alignment horizontal="center" vertical="center"/>
    </xf>
    <xf numFmtId="9" fontId="20" fillId="26" borderId="0" xfId="0" applyNumberFormat="1" applyFont="1" applyFill="1" applyBorder="1" applyAlignment="1" applyProtection="1">
      <alignment horizontal="center" vertical="center"/>
    </xf>
    <xf numFmtId="0" fontId="18" fillId="0" borderId="15" xfId="0" applyFont="1" applyFill="1" applyBorder="1" applyAlignment="1" applyProtection="1">
      <alignment vertical="center"/>
    </xf>
    <xf numFmtId="0" fontId="11" fillId="0" borderId="17" xfId="0" applyFont="1" applyFill="1" applyBorder="1" applyAlignment="1" applyProtection="1">
      <alignment horizontal="left" vertical="center" wrapText="1"/>
    </xf>
    <xf numFmtId="9" fontId="20" fillId="22" borderId="53" xfId="0" applyNumberFormat="1" applyFont="1" applyFill="1" applyBorder="1" applyAlignment="1" applyProtection="1">
      <alignment horizontal="center" vertical="center"/>
    </xf>
    <xf numFmtId="0" fontId="20" fillId="22" borderId="53" xfId="0" applyFont="1" applyFill="1" applyBorder="1" applyAlignment="1" applyProtection="1">
      <alignment horizontal="center" vertical="center"/>
    </xf>
    <xf numFmtId="0" fontId="20" fillId="26" borderId="0" xfId="0" applyFont="1" applyFill="1" applyBorder="1" applyAlignment="1" applyProtection="1">
      <alignment horizontal="center" vertical="center"/>
    </xf>
    <xf numFmtId="0" fontId="37" fillId="0" borderId="17" xfId="0" applyFont="1" applyFill="1" applyBorder="1" applyAlignment="1" applyProtection="1">
      <alignment vertical="center" wrapText="1"/>
    </xf>
    <xf numFmtId="10" fontId="20" fillId="22" borderId="53" xfId="0" applyNumberFormat="1" applyFont="1" applyFill="1" applyBorder="1" applyAlignment="1" applyProtection="1">
      <alignment horizontal="center" vertical="center"/>
    </xf>
    <xf numFmtId="10" fontId="20" fillId="26" borderId="0" xfId="0" applyNumberFormat="1" applyFont="1" applyFill="1" applyBorder="1" applyAlignment="1" applyProtection="1">
      <alignment horizontal="center" vertical="center"/>
    </xf>
    <xf numFmtId="0" fontId="11" fillId="0" borderId="21" xfId="0" applyNumberFormat="1" applyFont="1" applyBorder="1" applyAlignment="1" applyProtection="1">
      <alignment horizontal="center" vertical="center"/>
    </xf>
    <xf numFmtId="0" fontId="18" fillId="0" borderId="19" xfId="0" applyFont="1" applyFill="1" applyBorder="1" applyAlignment="1" applyProtection="1">
      <alignment vertical="center"/>
    </xf>
    <xf numFmtId="0" fontId="37" fillId="0" borderId="21" xfId="0" applyFont="1" applyFill="1" applyBorder="1" applyAlignment="1" applyProtection="1">
      <alignment vertical="center" wrapText="1"/>
    </xf>
    <xf numFmtId="0" fontId="20" fillId="22" borderId="57" xfId="0" applyFont="1" applyFill="1" applyBorder="1" applyAlignment="1" applyProtection="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91" xfId="0" applyFont="1" applyFill="1" applyBorder="1" applyAlignment="1" applyProtection="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pplyProtection="1">
      <alignment horizontal="center" vertical="center" wrapText="1"/>
    </xf>
    <xf numFmtId="9" fontId="20" fillId="0" borderId="81" xfId="0" applyNumberFormat="1" applyFont="1" applyFill="1" applyBorder="1" applyAlignment="1" applyProtection="1">
      <alignment horizontal="center" vertical="center"/>
    </xf>
    <xf numFmtId="9" fontId="20" fillId="0" borderId="0" xfId="0" applyNumberFormat="1" applyFont="1" applyFill="1" applyBorder="1" applyAlignment="1" applyProtection="1">
      <alignment horizontal="center" vertical="center"/>
    </xf>
    <xf numFmtId="9" fontId="20" fillId="0" borderId="95" xfId="0" applyNumberFormat="1" applyFont="1" applyFill="1" applyBorder="1" applyAlignment="1" applyProtection="1">
      <alignment horizontal="center" vertical="center"/>
    </xf>
    <xf numFmtId="0" fontId="11" fillId="26" borderId="81" xfId="0" applyFont="1" applyFill="1" applyBorder="1" applyAlignment="1" applyProtection="1">
      <alignment horizontal="center" vertical="center" wrapText="1"/>
    </xf>
    <xf numFmtId="0" fontId="20" fillId="0" borderId="81" xfId="0" applyFont="1" applyFill="1" applyBorder="1" applyAlignment="1" applyProtection="1">
      <alignment horizontal="center" vertical="center"/>
    </xf>
    <xf numFmtId="0" fontId="20" fillId="0" borderId="95" xfId="0" applyFont="1" applyFill="1" applyBorder="1" applyAlignment="1" applyProtection="1">
      <alignment horizontal="center" vertical="center"/>
    </xf>
    <xf numFmtId="10" fontId="20" fillId="0" borderId="81" xfId="0" applyNumberFormat="1" applyFont="1" applyFill="1" applyBorder="1" applyAlignment="1" applyProtection="1">
      <alignment horizontal="center" vertical="center"/>
    </xf>
    <xf numFmtId="10" fontId="20" fillId="0" borderId="0" xfId="0" applyNumberFormat="1" applyFont="1" applyFill="1" applyBorder="1" applyAlignment="1" applyProtection="1">
      <alignment horizontal="center" vertical="center"/>
    </xf>
    <xf numFmtId="0" fontId="11" fillId="0" borderId="21" xfId="0" applyFont="1" applyFill="1" applyBorder="1" applyAlignment="1" applyProtection="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pplyProtection="1">
      <alignment horizontal="center" vertical="center" wrapText="1"/>
    </xf>
    <xf numFmtId="0" fontId="20" fillId="0" borderId="92" xfId="0" applyFont="1" applyFill="1" applyBorder="1" applyAlignment="1" applyProtection="1">
      <alignment horizontal="center" vertical="center"/>
    </xf>
    <xf numFmtId="0" fontId="20" fillId="0" borderId="94"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0" fontId="11" fillId="0" borderId="11" xfId="0" applyFont="1" applyBorder="1" applyAlignment="1" applyProtection="1">
      <alignment vertical="center"/>
    </xf>
    <xf numFmtId="0" fontId="42" fillId="0" borderId="0" xfId="0" applyFont="1" applyAlignment="1" applyProtection="1">
      <alignment vertical="center"/>
    </xf>
    <xf numFmtId="0" fontId="56" fillId="27" borderId="0" xfId="52" applyFont="1" applyFill="1" applyAlignment="1" applyProtection="1">
      <alignment vertical="center"/>
    </xf>
    <xf numFmtId="0" fontId="80" fillId="27" borderId="0" xfId="52" applyFont="1" applyFill="1" applyAlignment="1" applyProtection="1">
      <alignment vertical="center"/>
    </xf>
    <xf numFmtId="0" fontId="80" fillId="27" borderId="0" xfId="52" applyFont="1" applyFill="1" applyAlignment="1" applyProtection="1">
      <alignment horizontal="right" vertical="center"/>
    </xf>
    <xf numFmtId="1" fontId="80" fillId="23" borderId="8" xfId="52" applyNumberFormat="1" applyFont="1" applyFill="1" applyBorder="1" applyAlignment="1" applyProtection="1">
      <alignment horizontal="center" vertical="center"/>
    </xf>
    <xf numFmtId="1" fontId="80" fillId="23" borderId="3" xfId="52" applyNumberFormat="1" applyFont="1" applyFill="1" applyBorder="1" applyAlignment="1" applyProtection="1">
      <alignment horizontal="center" vertical="center"/>
    </xf>
    <xf numFmtId="3" fontId="56" fillId="23" borderId="8" xfId="52" applyNumberFormat="1" applyFont="1" applyFill="1" applyBorder="1" applyAlignment="1" applyProtection="1">
      <alignment horizontal="center" vertical="center"/>
    </xf>
    <xf numFmtId="3" fontId="56" fillId="23" borderId="3" xfId="52" applyNumberFormat="1" applyFont="1" applyFill="1" applyBorder="1" applyAlignment="1" applyProtection="1">
      <alignment horizontal="center" vertical="center"/>
    </xf>
    <xf numFmtId="0" fontId="64" fillId="23" borderId="8" xfId="57" applyFont="1" applyFill="1" applyBorder="1" applyAlignment="1" applyProtection="1">
      <alignment horizontal="left" vertical="center"/>
    </xf>
    <xf numFmtId="14" fontId="64" fillId="27" borderId="0" xfId="52" applyNumberFormat="1" applyFont="1" applyFill="1" applyAlignment="1" applyProtection="1">
      <alignment vertical="center"/>
    </xf>
    <xf numFmtId="0" fontId="20" fillId="27" borderId="0" xfId="52" applyFont="1" applyFill="1" applyAlignment="1" applyProtection="1">
      <alignment horizontal="right" vertical="center"/>
    </xf>
    <xf numFmtId="0" fontId="56" fillId="27" borderId="0" xfId="52" applyNumberFormat="1" applyFont="1" applyFill="1" applyAlignment="1" applyProtection="1">
      <alignment vertical="center"/>
    </xf>
    <xf numFmtId="3" fontId="42" fillId="27" borderId="0" xfId="52" applyNumberFormat="1" applyFont="1" applyFill="1" applyAlignment="1" applyProtection="1">
      <alignment vertical="center"/>
    </xf>
    <xf numFmtId="167" fontId="56" fillId="20" borderId="0" xfId="52" applyNumberFormat="1" applyFont="1" applyFill="1" applyBorder="1" applyAlignment="1" applyProtection="1">
      <alignment horizontal="right" vertical="center"/>
    </xf>
    <xf numFmtId="0" fontId="64" fillId="27" borderId="0" xfId="52" applyFont="1" applyFill="1" applyAlignment="1" applyProtection="1">
      <alignment vertical="center"/>
    </xf>
    <xf numFmtId="0" fontId="42" fillId="27" borderId="0" xfId="52" applyFont="1" applyFill="1" applyAlignment="1" applyProtection="1">
      <alignment vertical="center"/>
    </xf>
    <xf numFmtId="0" fontId="83" fillId="27" borderId="0" xfId="52" applyFont="1" applyFill="1" applyAlignment="1" applyProtection="1">
      <alignment vertical="center"/>
    </xf>
    <xf numFmtId="0" fontId="83" fillId="27" borderId="0" xfId="31" applyFont="1" applyFill="1" applyBorder="1" applyAlignment="1" applyProtection="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16" fillId="20" borderId="0" xfId="88" applyFont="1" applyFill="1" applyAlignment="1" applyProtection="1">
      <alignment horizontal="center" vertical="center" wrapText="1"/>
    </xf>
    <xf numFmtId="0" fontId="80" fillId="27" borderId="0" xfId="91" applyFont="1" applyFill="1" applyAlignment="1" applyProtection="1">
      <alignment horizontal="right"/>
    </xf>
    <xf numFmtId="0" fontId="20" fillId="20" borderId="0" xfId="88" applyFont="1" applyFill="1" applyBorder="1" applyAlignment="1" applyProtection="1">
      <alignment horizontal="left" vertical="center" wrapText="1"/>
    </xf>
    <xf numFmtId="177" fontId="116" fillId="20" borderId="0" xfId="88" applyNumberFormat="1" applyFont="1" applyFill="1" applyAlignment="1" applyProtection="1">
      <alignment horizontal="center" vertical="center" wrapText="1"/>
    </xf>
    <xf numFmtId="0" fontId="117" fillId="41" borderId="11" xfId="88" applyFont="1" applyFill="1" applyBorder="1" applyAlignment="1" applyProtection="1">
      <alignment horizontal="center" vertical="center" wrapText="1"/>
    </xf>
    <xf numFmtId="0" fontId="116" fillId="20" borderId="22" xfId="88" applyFont="1" applyFill="1" applyBorder="1" applyAlignment="1" applyProtection="1">
      <alignment horizontal="center" vertical="center" wrapText="1"/>
    </xf>
    <xf numFmtId="0" fontId="119" fillId="20" borderId="33" xfId="88" applyFont="1" applyFill="1" applyBorder="1" applyAlignment="1" applyProtection="1">
      <alignment horizontal="center" vertical="center" wrapText="1"/>
    </xf>
    <xf numFmtId="10" fontId="42" fillId="26" borderId="44" xfId="70" applyNumberFormat="1" applyFont="1" applyFill="1" applyBorder="1" applyAlignment="1" applyProtection="1">
      <alignment horizontal="center" vertical="center" wrapText="1"/>
    </xf>
    <xf numFmtId="0" fontId="116" fillId="20" borderId="53" xfId="88" applyFont="1" applyFill="1" applyBorder="1" applyAlignment="1" applyProtection="1">
      <alignment horizontal="left" vertical="center" wrapText="1"/>
    </xf>
    <xf numFmtId="0" fontId="116" fillId="20" borderId="23" xfId="88" applyFont="1" applyFill="1" applyBorder="1" applyAlignment="1" applyProtection="1">
      <alignment horizontal="center" vertical="center" wrapText="1"/>
    </xf>
    <xf numFmtId="0" fontId="117" fillId="20" borderId="57" xfId="88" applyFont="1" applyFill="1" applyBorder="1" applyAlignment="1" applyProtection="1">
      <alignment horizontal="center" vertical="center" wrapText="1"/>
    </xf>
    <xf numFmtId="0" fontId="117" fillId="20" borderId="28" xfId="88" applyFont="1" applyFill="1" applyBorder="1" applyAlignment="1" applyProtection="1">
      <alignment horizontal="center" vertical="center" wrapText="1"/>
    </xf>
    <xf numFmtId="0" fontId="117" fillId="20" borderId="53" xfId="88" applyFont="1" applyFill="1" applyBorder="1" applyAlignment="1" applyProtection="1">
      <alignment horizontal="center" vertical="center" wrapText="1"/>
    </xf>
    <xf numFmtId="0" fontId="117" fillId="20" borderId="23" xfId="88" applyFont="1" applyFill="1" applyBorder="1" applyAlignment="1" applyProtection="1">
      <alignment horizontal="center" vertical="center" wrapText="1"/>
    </xf>
    <xf numFmtId="3" fontId="117" fillId="26" borderId="52" xfId="88" applyNumberFormat="1" applyFont="1" applyFill="1" applyBorder="1" applyAlignment="1" applyProtection="1">
      <alignment horizontal="center" vertical="center" wrapText="1"/>
    </xf>
    <xf numFmtId="3" fontId="117" fillId="26" borderId="32" xfId="88" applyNumberFormat="1" applyFont="1" applyFill="1" applyBorder="1" applyAlignment="1" applyProtection="1">
      <alignment horizontal="center" vertical="center" wrapText="1"/>
    </xf>
    <xf numFmtId="0" fontId="116" fillId="20" borderId="33" xfId="88" applyFont="1" applyFill="1" applyBorder="1" applyAlignment="1" applyProtection="1">
      <alignment horizontal="center" vertical="center" wrapText="1"/>
    </xf>
    <xf numFmtId="3" fontId="11" fillId="26" borderId="133" xfId="88" applyNumberFormat="1" applyFont="1" applyFill="1" applyBorder="1" applyAlignment="1" applyProtection="1">
      <alignment horizontal="center" vertical="center" wrapText="1"/>
    </xf>
    <xf numFmtId="3" fontId="11" fillId="26" borderId="117" xfId="88" applyNumberFormat="1" applyFont="1" applyFill="1" applyBorder="1" applyAlignment="1" applyProtection="1">
      <alignment horizontal="center" vertical="center" wrapText="1"/>
    </xf>
    <xf numFmtId="3" fontId="11" fillId="26" borderId="137" xfId="88" applyNumberFormat="1" applyFont="1" applyFill="1" applyBorder="1" applyAlignment="1" applyProtection="1">
      <alignment horizontal="center" vertical="center" wrapText="1"/>
    </xf>
    <xf numFmtId="0" fontId="116" fillId="20" borderId="0" xfId="88" applyFont="1" applyFill="1" applyBorder="1" applyAlignment="1" applyProtection="1">
      <alignment horizontal="center" vertical="center" wrapText="1"/>
    </xf>
    <xf numFmtId="0" fontId="116" fillId="20" borderId="20" xfId="88" applyFont="1" applyFill="1" applyBorder="1" applyAlignment="1" applyProtection="1">
      <alignment horizontal="center" vertical="center" wrapText="1"/>
    </xf>
    <xf numFmtId="3" fontId="116" fillId="20" borderId="74" xfId="88" applyNumberFormat="1" applyFont="1" applyFill="1" applyBorder="1" applyAlignment="1" applyProtection="1">
      <alignment horizontal="center" vertical="center" wrapText="1"/>
    </xf>
    <xf numFmtId="3" fontId="116" fillId="20" borderId="62" xfId="88" applyNumberFormat="1" applyFont="1" applyFill="1" applyBorder="1" applyAlignment="1" applyProtection="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pplyProtection="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pplyProtection="1">
      <alignment horizontal="center" vertical="center" wrapText="1"/>
    </xf>
    <xf numFmtId="0" fontId="37" fillId="26" borderId="0" xfId="88" applyFont="1" applyFill="1" applyAlignment="1" applyProtection="1">
      <alignment horizontal="center" vertical="center" wrapText="1"/>
    </xf>
    <xf numFmtId="3" fontId="116" fillId="20" borderId="0" xfId="88" applyNumberFormat="1" applyFont="1" applyFill="1" applyAlignment="1" applyProtection="1">
      <alignment horizontal="center" vertical="center" wrapText="1"/>
    </xf>
    <xf numFmtId="0" fontId="117" fillId="20" borderId="20" xfId="88" applyFont="1" applyFill="1" applyBorder="1" applyAlignment="1" applyProtection="1">
      <alignment vertical="center" wrapText="1"/>
    </xf>
    <xf numFmtId="0" fontId="117" fillId="20" borderId="0" xfId="88" applyFont="1" applyFill="1" applyBorder="1" applyAlignment="1" applyProtection="1">
      <alignment vertical="center" wrapText="1"/>
    </xf>
    <xf numFmtId="3" fontId="117" fillId="41" borderId="45" xfId="88" applyNumberFormat="1" applyFont="1" applyFill="1" applyBorder="1" applyAlignment="1" applyProtection="1">
      <alignment horizontal="center" vertical="center" wrapText="1"/>
    </xf>
    <xf numFmtId="3" fontId="117" fillId="41" borderId="80" xfId="88" applyNumberFormat="1" applyFont="1" applyFill="1" applyBorder="1" applyAlignment="1" applyProtection="1">
      <alignment horizontal="center" vertical="center" wrapText="1"/>
    </xf>
    <xf numFmtId="3" fontId="117" fillId="41" borderId="41" xfId="88" applyNumberFormat="1" applyFont="1" applyFill="1" applyBorder="1" applyAlignment="1" applyProtection="1">
      <alignment horizontal="center" vertical="center" wrapText="1"/>
    </xf>
    <xf numFmtId="0" fontId="116" fillId="20" borderId="14" xfId="88" applyFont="1" applyFill="1" applyBorder="1" applyAlignment="1" applyProtection="1">
      <alignment horizontal="center" vertical="center" wrapText="1"/>
    </xf>
    <xf numFmtId="0" fontId="116" fillId="20" borderId="6" xfId="88" applyFont="1" applyFill="1" applyBorder="1" applyAlignment="1" applyProtection="1">
      <alignment horizontal="center" vertical="center" wrapText="1"/>
    </xf>
    <xf numFmtId="0" fontId="116" fillId="20" borderId="43" xfId="88" applyFont="1" applyFill="1" applyBorder="1" applyAlignment="1" applyProtection="1">
      <alignment horizontal="center" vertical="center" wrapText="1"/>
    </xf>
    <xf numFmtId="0" fontId="117" fillId="20" borderId="0" xfId="88" applyFont="1" applyFill="1" applyAlignment="1" applyProtection="1">
      <alignment horizontal="left" vertical="center" wrapText="1"/>
    </xf>
    <xf numFmtId="0" fontId="117" fillId="41" borderId="38" xfId="88" applyFont="1" applyFill="1" applyBorder="1" applyAlignment="1" applyProtection="1">
      <alignment horizontal="center" vertical="center" wrapText="1"/>
    </xf>
    <xf numFmtId="0" fontId="117" fillId="41" borderId="10" xfId="88" applyFont="1" applyFill="1" applyBorder="1" applyAlignment="1" applyProtection="1">
      <alignment horizontal="center" vertical="center" wrapText="1"/>
    </xf>
    <xf numFmtId="3" fontId="117" fillId="41" borderId="124" xfId="88" applyNumberFormat="1" applyFont="1" applyFill="1" applyBorder="1" applyAlignment="1" applyProtection="1">
      <alignment horizontal="center" vertical="center" wrapText="1"/>
    </xf>
    <xf numFmtId="0" fontId="116" fillId="20" borderId="76" xfId="88" applyFont="1" applyFill="1" applyBorder="1" applyAlignment="1" applyProtection="1">
      <alignment horizontal="center" vertical="center" wrapText="1"/>
    </xf>
    <xf numFmtId="3" fontId="116" fillId="20" borderId="75" xfId="88" applyNumberFormat="1" applyFont="1" applyFill="1" applyBorder="1" applyAlignment="1" applyProtection="1">
      <alignment horizontal="center" vertical="center" wrapText="1"/>
    </xf>
    <xf numFmtId="3" fontId="116" fillId="20" borderId="14" xfId="88" applyNumberFormat="1" applyFont="1" applyFill="1" applyBorder="1" applyAlignment="1" applyProtection="1">
      <alignment horizontal="center" vertical="center" wrapText="1"/>
    </xf>
    <xf numFmtId="3" fontId="116" fillId="20" borderId="125" xfId="88" applyNumberFormat="1" applyFont="1" applyFill="1" applyBorder="1" applyAlignment="1" applyProtection="1">
      <alignment horizontal="center" vertical="center" wrapText="1"/>
    </xf>
    <xf numFmtId="0" fontId="116" fillId="20" borderId="53" xfId="88" applyFont="1" applyFill="1" applyBorder="1" applyAlignment="1" applyProtection="1">
      <alignment horizontal="center" vertical="center" wrapText="1"/>
    </xf>
    <xf numFmtId="3" fontId="116" fillId="20" borderId="52" xfId="88" applyNumberFormat="1" applyFont="1" applyFill="1" applyBorder="1" applyAlignment="1" applyProtection="1">
      <alignment horizontal="center" vertical="center" wrapText="1"/>
    </xf>
    <xf numFmtId="3" fontId="116" fillId="20" borderId="15" xfId="88" applyNumberFormat="1" applyFont="1" applyFill="1" applyBorder="1" applyAlignment="1" applyProtection="1">
      <alignment horizontal="center" vertical="center" wrapText="1"/>
    </xf>
    <xf numFmtId="3" fontId="116" fillId="20" borderId="82" xfId="88" applyNumberFormat="1" applyFont="1" applyFill="1" applyBorder="1" applyAlignment="1" applyProtection="1">
      <alignment horizontal="center" vertical="center" wrapText="1"/>
    </xf>
    <xf numFmtId="0" fontId="116" fillId="20" borderId="55" xfId="88" applyFont="1" applyFill="1" applyBorder="1" applyAlignment="1" applyProtection="1">
      <alignment horizontal="center" vertical="center" wrapText="1"/>
    </xf>
    <xf numFmtId="0" fontId="116" fillId="20" borderId="37" xfId="88" applyFont="1" applyFill="1" applyBorder="1" applyAlignment="1" applyProtection="1">
      <alignment horizontal="center" vertical="center" wrapText="1"/>
    </xf>
    <xf numFmtId="3" fontId="116" fillId="20" borderId="56" xfId="88" applyNumberFormat="1" applyFont="1" applyFill="1" applyBorder="1" applyAlignment="1" applyProtection="1">
      <alignment horizontal="center" vertical="center" wrapText="1"/>
    </xf>
    <xf numFmtId="3" fontId="116" fillId="20" borderId="79" xfId="88" applyNumberFormat="1" applyFont="1" applyFill="1" applyBorder="1" applyAlignment="1" applyProtection="1">
      <alignment horizontal="center" vertical="center" wrapText="1"/>
    </xf>
    <xf numFmtId="3" fontId="116" fillId="20" borderId="19" xfId="88" applyNumberFormat="1" applyFont="1" applyFill="1" applyBorder="1" applyAlignment="1" applyProtection="1">
      <alignment horizontal="center" vertical="center" wrapText="1"/>
    </xf>
    <xf numFmtId="3" fontId="116" fillId="20" borderId="77" xfId="88" applyNumberFormat="1" applyFont="1" applyFill="1" applyBorder="1" applyAlignment="1" applyProtection="1">
      <alignment horizontal="center" vertical="center" wrapText="1"/>
    </xf>
    <xf numFmtId="3" fontId="116" fillId="20" borderId="126" xfId="88" applyNumberFormat="1" applyFont="1" applyFill="1" applyBorder="1" applyAlignment="1" applyProtection="1">
      <alignment horizontal="center" vertical="center" wrapText="1"/>
    </xf>
    <xf numFmtId="0" fontId="116" fillId="20" borderId="51" xfId="88" applyFont="1" applyFill="1" applyBorder="1" applyAlignment="1" applyProtection="1">
      <alignment horizontal="center" vertical="center" wrapText="1"/>
    </xf>
    <xf numFmtId="4" fontId="116" fillId="20" borderId="75" xfId="88" applyNumberFormat="1" applyFont="1" applyFill="1" applyBorder="1" applyAlignment="1" applyProtection="1">
      <alignment horizontal="center" vertical="center" wrapText="1"/>
    </xf>
    <xf numFmtId="4" fontId="116" fillId="20" borderId="72" xfId="88" applyNumberFormat="1" applyFont="1" applyFill="1" applyBorder="1" applyAlignment="1" applyProtection="1">
      <alignment horizontal="center" vertical="center" wrapText="1"/>
    </xf>
    <xf numFmtId="4" fontId="116" fillId="20" borderId="14" xfId="88" applyNumberFormat="1" applyFont="1" applyFill="1" applyBorder="1" applyAlignment="1" applyProtection="1">
      <alignment horizontal="center" vertical="center" wrapText="1"/>
    </xf>
    <xf numFmtId="4" fontId="116" fillId="20" borderId="73" xfId="88" applyNumberFormat="1" applyFont="1" applyFill="1" applyBorder="1" applyAlignment="1" applyProtection="1">
      <alignment horizontal="center" vertical="center" wrapText="1"/>
    </xf>
    <xf numFmtId="0" fontId="116" fillId="20" borderId="5" xfId="88" applyFont="1" applyFill="1" applyBorder="1" applyAlignment="1" applyProtection="1">
      <alignment horizontal="center" vertical="center" wrapText="1"/>
    </xf>
    <xf numFmtId="4" fontId="116" fillId="20" borderId="52" xfId="88" applyNumberFormat="1" applyFont="1" applyFill="1" applyBorder="1" applyAlignment="1" applyProtection="1">
      <alignment horizontal="center" vertical="center" wrapText="1"/>
    </xf>
    <xf numFmtId="4" fontId="116" fillId="20" borderId="32" xfId="88" applyNumberFormat="1" applyFont="1" applyFill="1" applyBorder="1" applyAlignment="1" applyProtection="1">
      <alignment horizontal="center" vertical="center" wrapText="1"/>
    </xf>
    <xf numFmtId="4" fontId="116" fillId="20" borderId="15" xfId="88" applyNumberFormat="1" applyFont="1" applyFill="1" applyBorder="1" applyAlignment="1" applyProtection="1">
      <alignment horizontal="center" vertical="center" wrapText="1"/>
    </xf>
    <xf numFmtId="4" fontId="116" fillId="20" borderId="7" xfId="88" applyNumberFormat="1" applyFont="1" applyFill="1" applyBorder="1" applyAlignment="1" applyProtection="1">
      <alignment horizontal="center" vertical="center" wrapText="1"/>
    </xf>
    <xf numFmtId="0" fontId="116" fillId="20" borderId="57" xfId="88" applyFont="1" applyFill="1" applyBorder="1" applyAlignment="1" applyProtection="1">
      <alignment horizontal="center" vertical="center" wrapText="1"/>
    </xf>
    <xf numFmtId="4" fontId="116" fillId="20" borderId="56" xfId="88" applyNumberFormat="1" applyFont="1" applyFill="1" applyBorder="1" applyAlignment="1" applyProtection="1">
      <alignment horizontal="center" vertical="center" wrapText="1"/>
    </xf>
    <xf numFmtId="4" fontId="116" fillId="20" borderId="79" xfId="88" applyNumberFormat="1" applyFont="1" applyFill="1" applyBorder="1" applyAlignment="1" applyProtection="1">
      <alignment horizontal="center" vertical="center" wrapText="1"/>
    </xf>
    <xf numFmtId="4" fontId="116" fillId="20" borderId="19" xfId="88" applyNumberFormat="1" applyFont="1" applyFill="1" applyBorder="1" applyAlignment="1" applyProtection="1">
      <alignment horizontal="center" vertical="center" wrapText="1"/>
    </xf>
    <xf numFmtId="4" fontId="116" fillId="20" borderId="77" xfId="88" applyNumberFormat="1" applyFont="1" applyFill="1" applyBorder="1" applyAlignment="1" applyProtection="1">
      <alignment horizontal="center" vertical="center" wrapText="1"/>
    </xf>
    <xf numFmtId="0" fontId="116" fillId="20" borderId="50" xfId="88" applyFont="1" applyFill="1" applyBorder="1" applyAlignment="1" applyProtection="1">
      <alignment horizontal="center" vertical="center" wrapText="1"/>
    </xf>
    <xf numFmtId="0" fontId="116" fillId="20" borderId="38" xfId="88" applyFont="1" applyFill="1" applyBorder="1" applyAlignment="1" applyProtection="1">
      <alignment horizontal="center" vertical="center" wrapText="1"/>
    </xf>
    <xf numFmtId="0" fontId="116" fillId="20" borderId="8" xfId="88" applyFont="1" applyFill="1" applyBorder="1" applyAlignment="1" applyProtection="1">
      <alignment horizontal="center" vertical="center" wrapText="1"/>
    </xf>
    <xf numFmtId="0" fontId="116" fillId="20" borderId="2" xfId="88" applyFont="1" applyFill="1" applyBorder="1" applyAlignment="1" applyProtection="1">
      <alignment horizontal="center" vertical="center" wrapText="1"/>
    </xf>
    <xf numFmtId="3" fontId="116" fillId="20" borderId="132" xfId="88" applyNumberFormat="1" applyFont="1" applyFill="1" applyBorder="1" applyAlignment="1" applyProtection="1">
      <alignment horizontal="center" vertical="center" wrapText="1"/>
    </xf>
    <xf numFmtId="3" fontId="116" fillId="20" borderId="105" xfId="88" applyNumberFormat="1" applyFont="1" applyFill="1" applyBorder="1" applyAlignment="1" applyProtection="1">
      <alignment horizontal="center" vertical="center" wrapText="1"/>
    </xf>
    <xf numFmtId="3" fontId="116" fillId="20" borderId="70" xfId="88" applyNumberFormat="1" applyFont="1" applyFill="1" applyBorder="1" applyAlignment="1" applyProtection="1">
      <alignment horizontal="center" vertical="center" wrapText="1"/>
    </xf>
    <xf numFmtId="3" fontId="116" fillId="20" borderId="71" xfId="88" applyNumberFormat="1" applyFont="1" applyFill="1" applyBorder="1" applyAlignment="1" applyProtection="1">
      <alignment horizontal="center" vertical="center" wrapText="1"/>
    </xf>
    <xf numFmtId="3" fontId="116" fillId="20" borderId="131" xfId="88" applyNumberFormat="1" applyFont="1" applyFill="1" applyBorder="1" applyAlignment="1" applyProtection="1">
      <alignment horizontal="center" vertical="center" wrapText="1"/>
    </xf>
    <xf numFmtId="0" fontId="11" fillId="26" borderId="46" xfId="88" applyFont="1" applyFill="1" applyBorder="1" applyAlignment="1" applyProtection="1">
      <alignment horizontal="center" vertical="center" wrapText="1"/>
    </xf>
    <xf numFmtId="0" fontId="11" fillId="26" borderId="11" xfId="88" applyFont="1" applyFill="1" applyBorder="1" applyAlignment="1" applyProtection="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8" fillId="26" borderId="91" xfId="88" applyFont="1" applyFill="1" applyBorder="1" applyAlignment="1" applyProtection="1">
      <alignment horizontal="left" vertical="center" wrapText="1"/>
    </xf>
    <xf numFmtId="0" fontId="11" fillId="26" borderId="57" xfId="88" applyFont="1" applyFill="1" applyBorder="1" applyAlignment="1" applyProtection="1">
      <alignment horizontal="center" vertical="center" wrapText="1"/>
    </xf>
    <xf numFmtId="0" fontId="11" fillId="26" borderId="37" xfId="88" applyFont="1" applyFill="1" applyBorder="1" applyAlignment="1" applyProtection="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8" fillId="26" borderId="95" xfId="88" applyFont="1" applyFill="1" applyBorder="1" applyAlignment="1" applyProtection="1">
      <alignment horizontal="left" vertical="center" wrapText="1"/>
    </xf>
    <xf numFmtId="0" fontId="11" fillId="26" borderId="76" xfId="88" applyFont="1" applyFill="1" applyBorder="1" applyAlignment="1" applyProtection="1">
      <alignment horizontal="center" vertical="center" wrapText="1"/>
    </xf>
    <xf numFmtId="0" fontId="11" fillId="26" borderId="22" xfId="88" applyFont="1" applyFill="1" applyBorder="1" applyAlignment="1" applyProtection="1">
      <alignment horizontal="center" vertical="center" wrapText="1"/>
    </xf>
    <xf numFmtId="0" fontId="11" fillId="26" borderId="55" xfId="88" applyFont="1" applyFill="1" applyBorder="1" applyAlignment="1" applyProtection="1">
      <alignment horizontal="center" vertical="center" wrapText="1"/>
    </xf>
    <xf numFmtId="10" fontId="78" fillId="26" borderId="95" xfId="89" applyNumberFormat="1" applyFont="1" applyFill="1" applyBorder="1" applyAlignment="1" applyProtection="1">
      <alignment horizontal="center" vertical="center" wrapText="1"/>
    </xf>
    <xf numFmtId="0" fontId="11" fillId="26" borderId="28" xfId="88" applyFont="1" applyFill="1" applyBorder="1" applyAlignment="1" applyProtection="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8" fillId="26" borderId="94" xfId="88" applyFont="1" applyFill="1" applyBorder="1" applyAlignment="1" applyProtection="1">
      <alignment horizontal="left" vertical="center" wrapText="1"/>
    </xf>
    <xf numFmtId="0" fontId="11" fillId="26" borderId="0" xfId="88" applyFont="1" applyFill="1" applyBorder="1" applyAlignment="1" applyProtection="1">
      <alignment horizontal="center" vertical="center" wrapText="1"/>
    </xf>
    <xf numFmtId="10" fontId="11" fillId="26" borderId="0" xfId="89" applyNumberFormat="1" applyFont="1" applyFill="1" applyBorder="1" applyAlignment="1" applyProtection="1">
      <alignment horizontal="center" vertical="center" wrapText="1"/>
    </xf>
    <xf numFmtId="0" fontId="78" fillId="26" borderId="0" xfId="88" applyFont="1" applyFill="1" applyBorder="1" applyAlignment="1" applyProtection="1">
      <alignment horizontal="left" vertical="center" wrapText="1"/>
    </xf>
    <xf numFmtId="14" fontId="117" fillId="20" borderId="0" xfId="88" applyNumberFormat="1" applyFont="1" applyFill="1" applyAlignment="1" applyProtection="1">
      <alignment horizontal="left" vertical="center"/>
    </xf>
    <xf numFmtId="0" fontId="11" fillId="20" borderId="0" xfId="88" applyFont="1" applyFill="1" applyBorder="1" applyAlignment="1" applyProtection="1">
      <alignment horizontal="center" vertical="center"/>
    </xf>
    <xf numFmtId="0" fontId="20" fillId="20" borderId="0" xfId="88" applyFont="1" applyFill="1" applyBorder="1" applyAlignment="1" applyProtection="1">
      <alignment horizontal="right" vertical="center"/>
    </xf>
    <xf numFmtId="0" fontId="11" fillId="20" borderId="0" xfId="88" applyFont="1" applyFill="1" applyBorder="1" applyAlignment="1" applyProtection="1">
      <alignment horizontal="left" vertical="center"/>
    </xf>
    <xf numFmtId="0" fontId="42" fillId="20" borderId="0" xfId="88" applyFont="1" applyFill="1" applyBorder="1" applyAlignment="1" applyProtection="1">
      <alignment horizontal="left" vertical="center"/>
    </xf>
    <xf numFmtId="3" fontId="117" fillId="28" borderId="56" xfId="88" applyNumberFormat="1" applyFont="1" applyFill="1" applyBorder="1" applyAlignment="1" applyProtection="1">
      <alignment horizontal="center" vertical="center" wrapText="1"/>
      <protection locked="0"/>
    </xf>
    <xf numFmtId="3" fontId="117" fillId="28" borderId="79" xfId="88" applyNumberFormat="1" applyFont="1" applyFill="1" applyBorder="1" applyAlignment="1" applyProtection="1">
      <alignment horizontal="center" vertical="center" wrapText="1"/>
      <protection locked="0"/>
    </xf>
    <xf numFmtId="3" fontId="117" fillId="28" borderId="19" xfId="88" applyNumberFormat="1" applyFont="1" applyFill="1" applyBorder="1" applyAlignment="1" applyProtection="1">
      <alignment horizontal="center" vertical="center" wrapText="1"/>
      <protection locked="0"/>
    </xf>
    <xf numFmtId="3" fontId="117" fillId="28" borderId="54" xfId="88" applyNumberFormat="1" applyFont="1" applyFill="1" applyBorder="1" applyAlignment="1" applyProtection="1">
      <alignment horizontal="center" vertical="center" wrapText="1"/>
      <protection locked="0"/>
    </xf>
    <xf numFmtId="3" fontId="117" fillId="28" borderId="69" xfId="88" applyNumberFormat="1" applyFont="1" applyFill="1" applyBorder="1" applyAlignment="1" applyProtection="1">
      <alignment horizontal="center" vertical="center" wrapText="1"/>
      <protection locked="0"/>
    </xf>
    <xf numFmtId="3" fontId="117" fillId="28" borderId="18" xfId="88" applyNumberFormat="1" applyFont="1" applyFill="1" applyBorder="1" applyAlignment="1" applyProtection="1">
      <alignment horizontal="center" vertical="center" wrapText="1"/>
      <protection locked="0"/>
    </xf>
    <xf numFmtId="3" fontId="116" fillId="28" borderId="32" xfId="88" applyNumberFormat="1" applyFont="1" applyFill="1" applyBorder="1" applyAlignment="1" applyProtection="1">
      <alignment horizontal="center" vertical="center" wrapText="1"/>
      <protection locked="0"/>
    </xf>
    <xf numFmtId="3" fontId="116" fillId="28" borderId="7" xfId="88" applyNumberFormat="1" applyFont="1" applyFill="1" applyBorder="1" applyAlignment="1" applyProtection="1">
      <alignment horizontal="center" vertical="center" wrapText="1"/>
      <protection locked="0"/>
    </xf>
    <xf numFmtId="0" fontId="81" fillId="44" borderId="2" xfId="52" applyFont="1" applyFill="1" applyBorder="1" applyAlignment="1" applyProtection="1">
      <alignment horizontal="center" vertical="center"/>
    </xf>
    <xf numFmtId="0" fontId="39" fillId="39" borderId="42" xfId="49" applyFont="1" applyFill="1" applyBorder="1" applyAlignment="1" applyProtection="1">
      <alignment horizontal="center" vertical="center" wrapText="1"/>
    </xf>
    <xf numFmtId="0" fontId="20" fillId="39" borderId="42" xfId="49" applyNumberFormat="1" applyFont="1" applyFill="1" applyBorder="1" applyAlignment="1" applyProtection="1">
      <alignment horizontal="left" vertical="center" wrapText="1"/>
    </xf>
    <xf numFmtId="0" fontId="39" fillId="39" borderId="38" xfId="49" applyFont="1" applyFill="1" applyBorder="1" applyAlignment="1" applyProtection="1">
      <alignment horizontal="center" vertical="center" wrapText="1"/>
    </xf>
    <xf numFmtId="0" fontId="39" fillId="39" borderId="9" xfId="49" applyFont="1" applyFill="1" applyBorder="1" applyAlignment="1" applyProtection="1">
      <alignment horizontal="center" vertical="center" wrapText="1"/>
    </xf>
    <xf numFmtId="0" fontId="39" fillId="39" borderId="10" xfId="49" applyFont="1" applyFill="1" applyBorder="1" applyAlignment="1" applyProtection="1">
      <alignment horizontal="center" vertical="center" wrapText="1"/>
    </xf>
    <xf numFmtId="0" fontId="56" fillId="27" borderId="15" xfId="52" applyFont="1" applyFill="1" applyBorder="1" applyAlignment="1" applyProtection="1">
      <alignment horizontal="left" vertical="center"/>
    </xf>
    <xf numFmtId="0" fontId="39" fillId="39" borderId="47" xfId="49" applyFont="1" applyFill="1" applyBorder="1" applyAlignment="1" applyProtection="1">
      <alignment horizontal="center" vertical="center" wrapText="1"/>
    </xf>
    <xf numFmtId="0" fontId="39" fillId="39" borderId="71" xfId="49" applyFont="1" applyFill="1" applyBorder="1" applyAlignment="1" applyProtection="1">
      <alignment horizontal="center" vertical="center" wrapText="1"/>
    </xf>
    <xf numFmtId="0" fontId="39" fillId="39" borderId="48" xfId="49" applyFont="1" applyFill="1" applyBorder="1" applyAlignment="1" applyProtection="1">
      <alignment horizontal="center" vertical="center" wrapText="1"/>
    </xf>
    <xf numFmtId="0" fontId="39" fillId="26" borderId="42" xfId="49" applyFont="1" applyFill="1" applyBorder="1" applyAlignment="1" applyProtection="1">
      <alignment horizontal="center" vertical="center" wrapText="1"/>
    </xf>
    <xf numFmtId="0" fontId="61" fillId="27" borderId="0" xfId="52" applyFont="1" applyFill="1" applyAlignment="1" applyProtection="1">
      <alignment vertical="center"/>
    </xf>
    <xf numFmtId="0" fontId="40" fillId="27" borderId="0" xfId="52" applyFont="1" applyFill="1" applyAlignment="1" applyProtection="1">
      <alignment vertical="center"/>
    </xf>
    <xf numFmtId="14" fontId="81" fillId="27" borderId="0" xfId="52" applyNumberFormat="1" applyFont="1" applyFill="1" applyAlignment="1" applyProtection="1">
      <alignment horizontal="left" vertical="center"/>
    </xf>
    <xf numFmtId="14" fontId="39" fillId="27" borderId="0" xfId="52" applyNumberFormat="1" applyFont="1" applyFill="1" applyAlignment="1" applyProtection="1">
      <alignment vertical="center"/>
    </xf>
    <xf numFmtId="3" fontId="20" fillId="27" borderId="0" xfId="84" applyNumberFormat="1" applyFont="1" applyFill="1" applyBorder="1" applyAlignment="1" applyProtection="1">
      <alignment horizontal="right" vertical="center"/>
    </xf>
    <xf numFmtId="3" fontId="11" fillId="27" borderId="0" xfId="84" applyNumberFormat="1" applyFont="1" applyFill="1" applyBorder="1" applyAlignment="1" applyProtection="1">
      <alignment horizontal="left" vertical="center"/>
    </xf>
    <xf numFmtId="0" fontId="39" fillId="27" borderId="0" xfId="52" applyFont="1" applyFill="1" applyAlignment="1" applyProtection="1">
      <alignment horizontal="right" vertical="center"/>
    </xf>
    <xf numFmtId="0" fontId="40" fillId="27" borderId="0" xfId="52" applyNumberFormat="1" applyFont="1" applyFill="1" applyAlignment="1" applyProtection="1">
      <alignment vertical="center"/>
    </xf>
    <xf numFmtId="3" fontId="11" fillId="27" borderId="0" xfId="84" applyNumberFormat="1" applyFont="1" applyFill="1" applyAlignment="1" applyProtection="1">
      <alignment horizontal="right" vertical="center"/>
    </xf>
    <xf numFmtId="3" fontId="42" fillId="27" borderId="0" xfId="84" applyNumberFormat="1" applyFont="1" applyFill="1" applyBorder="1" applyAlignment="1" applyProtection="1">
      <alignment horizontal="left" vertical="center"/>
    </xf>
    <xf numFmtId="0" fontId="41" fillId="27" borderId="0" xfId="52" applyFont="1" applyFill="1" applyAlignment="1" applyProtection="1">
      <alignment vertical="center"/>
    </xf>
    <xf numFmtId="0" fontId="11" fillId="27" borderId="0" xfId="52" applyFont="1" applyFill="1" applyAlignment="1" applyProtection="1">
      <alignment vertical="center"/>
    </xf>
    <xf numFmtId="0" fontId="56" fillId="27" borderId="0" xfId="54" applyFont="1" applyFill="1" applyAlignment="1" applyProtection="1">
      <alignment vertical="center"/>
    </xf>
    <xf numFmtId="0" fontId="64" fillId="27" borderId="0" xfId="54" applyFont="1" applyFill="1" applyBorder="1" applyAlignment="1" applyProtection="1">
      <alignment vertical="center"/>
    </xf>
    <xf numFmtId="0" fontId="64" fillId="27" borderId="0" xfId="54" applyFont="1" applyFill="1" applyAlignment="1" applyProtection="1">
      <alignment vertical="center"/>
    </xf>
    <xf numFmtId="0" fontId="101" fillId="27" borderId="0" xfId="54" applyFont="1" applyFill="1" applyAlignment="1" applyProtection="1">
      <alignment vertical="center" wrapText="1"/>
    </xf>
    <xf numFmtId="0" fontId="42" fillId="26" borderId="0" xfId="0" applyFont="1" applyFill="1" applyAlignment="1" applyProtection="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pplyProtection="1">
      <alignment vertical="center"/>
    </xf>
    <xf numFmtId="0" fontId="26" fillId="27" borderId="0" xfId="32" applyFill="1" applyAlignment="1" applyProtection="1">
      <alignment vertical="center"/>
    </xf>
    <xf numFmtId="0" fontId="12" fillId="26" borderId="0" xfId="32" applyFont="1" applyFill="1" applyAlignment="1" applyProtection="1">
      <alignment horizontal="right" vertical="center"/>
    </xf>
    <xf numFmtId="0" fontId="0" fillId="27" borderId="0" xfId="0" applyFill="1" applyAlignment="1" applyProtection="1">
      <alignment vertical="center"/>
    </xf>
    <xf numFmtId="0" fontId="26" fillId="27" borderId="0" xfId="32" applyFont="1" applyFill="1" applyAlignment="1" applyProtection="1">
      <alignment vertical="center"/>
    </xf>
    <xf numFmtId="0" fontId="67" fillId="27" borderId="0" xfId="32" applyFont="1" applyFill="1" applyAlignment="1" applyProtection="1">
      <alignment vertical="center"/>
    </xf>
    <xf numFmtId="49" fontId="39" fillId="27" borderId="24" xfId="0" applyNumberFormat="1" applyFont="1" applyFill="1" applyBorder="1" applyAlignment="1" applyProtection="1">
      <alignment horizontal="center" vertical="center" wrapText="1"/>
    </xf>
    <xf numFmtId="3" fontId="39" fillId="26" borderId="52" xfId="0" applyNumberFormat="1" applyFont="1" applyFill="1" applyBorder="1" applyAlignment="1" applyProtection="1">
      <alignment horizontal="center" vertical="center"/>
    </xf>
    <xf numFmtId="3" fontId="39" fillId="26" borderId="7" xfId="0" applyNumberFormat="1" applyFont="1" applyFill="1" applyBorder="1" applyAlignment="1" applyProtection="1">
      <alignment horizontal="center" vertical="center"/>
    </xf>
    <xf numFmtId="3" fontId="39" fillId="26" borderId="53" xfId="0" applyNumberFormat="1" applyFont="1" applyFill="1" applyBorder="1" applyAlignment="1" applyProtection="1">
      <alignment horizontal="center" vertical="center"/>
    </xf>
    <xf numFmtId="3" fontId="40" fillId="0" borderId="99" xfId="0" applyNumberFormat="1" applyFont="1" applyFill="1" applyBorder="1" applyAlignment="1" applyProtection="1">
      <alignment horizontal="right" vertical="center"/>
    </xf>
    <xf numFmtId="3" fontId="40" fillId="0" borderId="113" xfId="0" applyNumberFormat="1" applyFont="1" applyFill="1" applyBorder="1" applyAlignment="1" applyProtection="1">
      <alignment horizontal="right" vertical="center"/>
    </xf>
    <xf numFmtId="3" fontId="40" fillId="0" borderId="95" xfId="0" applyNumberFormat="1" applyFont="1" applyFill="1" applyBorder="1" applyAlignment="1" applyProtection="1">
      <alignment horizontal="right" vertical="center"/>
    </xf>
    <xf numFmtId="3" fontId="142" fillId="0" borderId="25" xfId="0" applyNumberFormat="1" applyFont="1" applyFill="1" applyBorder="1" applyAlignment="1" applyProtection="1">
      <alignment horizontal="center" vertical="center"/>
    </xf>
    <xf numFmtId="3" fontId="142" fillId="0" borderId="77" xfId="0" applyNumberFormat="1" applyFont="1" applyFill="1" applyBorder="1" applyAlignment="1" applyProtection="1">
      <alignment horizontal="center" vertical="center"/>
    </xf>
    <xf numFmtId="3" fontId="142" fillId="0" borderId="44" xfId="0" applyNumberFormat="1" applyFont="1" applyFill="1" applyBorder="1" applyAlignment="1" applyProtection="1">
      <alignment horizontal="center" vertical="center"/>
    </xf>
    <xf numFmtId="3" fontId="142" fillId="0" borderId="31" xfId="0" applyNumberFormat="1" applyFont="1" applyFill="1" applyBorder="1" applyAlignment="1" applyProtection="1">
      <alignment horizontal="center" vertical="center"/>
    </xf>
    <xf numFmtId="3" fontId="142" fillId="0" borderId="50" xfId="0" applyNumberFormat="1" applyFont="1" applyFill="1" applyBorder="1" applyAlignment="1" applyProtection="1">
      <alignment horizontal="center" vertical="center"/>
    </xf>
    <xf numFmtId="3" fontId="142" fillId="0" borderId="49" xfId="0" applyNumberFormat="1" applyFont="1" applyFill="1" applyBorder="1" applyAlignment="1" applyProtection="1">
      <alignment horizontal="center" vertical="center"/>
    </xf>
    <xf numFmtId="3" fontId="40" fillId="0" borderId="93" xfId="0" applyNumberFormat="1" applyFont="1" applyFill="1" applyBorder="1" applyAlignment="1" applyProtection="1">
      <alignment horizontal="right" vertical="center"/>
    </xf>
    <xf numFmtId="3" fontId="40" fillId="0" borderId="114" xfId="0" applyNumberFormat="1" applyFont="1" applyFill="1" applyBorder="1" applyAlignment="1" applyProtection="1">
      <alignment horizontal="right" vertical="center"/>
    </xf>
    <xf numFmtId="3" fontId="40" fillId="0" borderId="94" xfId="0" applyNumberFormat="1" applyFont="1" applyFill="1" applyBorder="1" applyAlignment="1" applyProtection="1">
      <alignment horizontal="right" vertical="center"/>
    </xf>
    <xf numFmtId="3" fontId="40" fillId="31" borderId="75" xfId="0" applyNumberFormat="1" applyFont="1" applyFill="1" applyBorder="1" applyAlignment="1" applyProtection="1">
      <alignment horizontal="right" vertical="center"/>
    </xf>
    <xf numFmtId="3" fontId="40" fillId="31" borderId="73" xfId="0" applyNumberFormat="1" applyFont="1" applyFill="1" applyBorder="1" applyAlignment="1" applyProtection="1">
      <alignment horizontal="right" vertical="center"/>
    </xf>
    <xf numFmtId="3" fontId="40" fillId="31" borderId="76" xfId="0" applyNumberFormat="1" applyFont="1" applyFill="1" applyBorder="1" applyAlignment="1" applyProtection="1">
      <alignment horizontal="right" vertical="center"/>
    </xf>
    <xf numFmtId="9" fontId="39" fillId="0" borderId="56" xfId="51" applyNumberFormat="1" applyFont="1" applyFill="1" applyBorder="1" applyAlignment="1" applyProtection="1">
      <alignment horizontal="center" vertical="center"/>
    </xf>
    <xf numFmtId="9" fontId="39" fillId="0" borderId="77" xfId="51" applyNumberFormat="1" applyFont="1" applyFill="1" applyBorder="1" applyAlignment="1" applyProtection="1">
      <alignment horizontal="center" vertical="center"/>
    </xf>
    <xf numFmtId="9" fontId="39" fillId="0" borderId="57" xfId="51" applyNumberFormat="1" applyFont="1" applyFill="1" applyBorder="1" applyAlignment="1" applyProtection="1">
      <alignment horizontal="center" vertical="center"/>
    </xf>
    <xf numFmtId="0" fontId="26" fillId="27" borderId="0" xfId="32" applyFill="1" applyAlignment="1" applyProtection="1">
      <alignment horizontal="center" vertical="center"/>
    </xf>
    <xf numFmtId="0" fontId="0" fillId="27" borderId="0" xfId="0" applyFill="1" applyAlignment="1" applyProtection="1">
      <alignment horizontal="center" vertical="center"/>
    </xf>
    <xf numFmtId="0" fontId="26" fillId="27" borderId="0" xfId="0" applyFont="1" applyFill="1" applyAlignment="1" applyProtection="1">
      <alignment vertical="center"/>
    </xf>
    <xf numFmtId="0" fontId="67" fillId="27" borderId="0" xfId="0" applyFont="1" applyFill="1" applyAlignment="1" applyProtection="1">
      <alignment vertical="center"/>
    </xf>
    <xf numFmtId="14" fontId="39" fillId="26" borderId="0" xfId="32" applyNumberFormat="1" applyFont="1" applyFill="1" applyBorder="1" applyAlignment="1" applyProtection="1">
      <alignment horizontal="center" vertical="center"/>
    </xf>
    <xf numFmtId="14" fontId="39" fillId="26" borderId="0" xfId="32" applyNumberFormat="1" applyFont="1" applyFill="1" applyBorder="1" applyAlignment="1" applyProtection="1">
      <alignment vertical="center"/>
    </xf>
    <xf numFmtId="0" fontId="40" fillId="26" borderId="0" xfId="32" applyNumberFormat="1" applyFont="1" applyFill="1" applyBorder="1" applyAlignment="1" applyProtection="1">
      <alignment horizontal="center" vertical="center"/>
    </xf>
    <xf numFmtId="0" fontId="39" fillId="26" borderId="0" xfId="32" applyNumberFormat="1" applyFont="1" applyFill="1" applyBorder="1" applyAlignment="1" applyProtection="1">
      <alignment horizontal="right" vertical="center"/>
    </xf>
    <xf numFmtId="0" fontId="40" fillId="26" borderId="0" xfId="32" applyNumberFormat="1" applyFont="1" applyFill="1" applyBorder="1" applyAlignment="1" applyProtection="1">
      <alignment horizontal="left" vertical="center"/>
    </xf>
    <xf numFmtId="0" fontId="40" fillId="26" borderId="0" xfId="32" applyFont="1" applyFill="1" applyBorder="1" applyAlignment="1" applyProtection="1">
      <alignment horizontal="center" vertical="center"/>
    </xf>
    <xf numFmtId="0" fontId="40" fillId="26" borderId="0" xfId="32" applyFont="1" applyFill="1" applyBorder="1" applyAlignment="1" applyProtection="1">
      <alignment vertical="center"/>
    </xf>
    <xf numFmtId="49" fontId="40" fillId="26" borderId="0" xfId="32" applyNumberFormat="1" applyFont="1" applyFill="1" applyBorder="1" applyAlignment="1" applyProtection="1">
      <alignment horizontal="right" vertical="center"/>
    </xf>
    <xf numFmtId="0" fontId="126" fillId="26" borderId="0" xfId="32" applyNumberFormat="1" applyFont="1" applyFill="1" applyBorder="1" applyAlignment="1" applyProtection="1">
      <alignment horizontal="left" vertical="center"/>
    </xf>
    <xf numFmtId="14" fontId="137" fillId="27" borderId="0" xfId="0" applyNumberFormat="1" applyFont="1" applyFill="1" applyAlignment="1" applyProtection="1">
      <alignment vertical="center"/>
    </xf>
    <xf numFmtId="0" fontId="138" fillId="27" borderId="0" xfId="0" applyFont="1" applyFill="1" applyAlignment="1" applyProtection="1">
      <alignment vertical="center"/>
    </xf>
    <xf numFmtId="0" fontId="137" fillId="27" borderId="0" xfId="0" applyFont="1" applyFill="1" applyAlignment="1" applyProtection="1">
      <alignment vertical="center"/>
    </xf>
    <xf numFmtId="0" fontId="137" fillId="27" borderId="0" xfId="0" applyFont="1" applyFill="1" applyAlignment="1" applyProtection="1">
      <alignment horizontal="right" vertical="center"/>
    </xf>
    <xf numFmtId="0" fontId="138" fillId="27" borderId="0" xfId="0" applyFont="1" applyFill="1" applyAlignment="1" applyProtection="1">
      <alignment horizontal="center" vertical="center"/>
    </xf>
    <xf numFmtId="0" fontId="26" fillId="27" borderId="0" xfId="32" applyFill="1" applyAlignment="1" applyProtection="1">
      <alignment horizontal="right" vertical="center"/>
    </xf>
    <xf numFmtId="0" fontId="77" fillId="27" borderId="0" xfId="0" applyFont="1" applyFill="1" applyAlignment="1" applyProtection="1">
      <alignment vertical="center"/>
    </xf>
    <xf numFmtId="0" fontId="141" fillId="27" borderId="0" xfId="0" applyFont="1" applyFill="1" applyAlignment="1" applyProtection="1">
      <alignment horizontal="center" vertical="center"/>
    </xf>
    <xf numFmtId="0" fontId="26" fillId="27" borderId="0" xfId="32" applyFont="1" applyFill="1" applyAlignment="1" applyProtection="1">
      <alignment horizontal="center" vertical="center"/>
    </xf>
    <xf numFmtId="0" fontId="26" fillId="27" borderId="0" xfId="0" applyFont="1" applyFill="1" applyAlignment="1" applyProtection="1">
      <alignment horizontal="center" vertical="center"/>
    </xf>
    <xf numFmtId="0" fontId="26" fillId="27" borderId="0" xfId="32" applyFont="1" applyFill="1" applyAlignment="1" applyProtection="1">
      <alignment horizontal="right" vertical="center"/>
    </xf>
    <xf numFmtId="0" fontId="139" fillId="27" borderId="0" xfId="32" applyFont="1" applyFill="1" applyAlignment="1" applyProtection="1">
      <alignment horizontal="center" vertical="center"/>
    </xf>
    <xf numFmtId="0" fontId="140" fillId="27" borderId="0" xfId="32" applyFont="1" applyFill="1" applyAlignment="1" applyProtection="1">
      <alignment horizontal="center" vertical="center"/>
    </xf>
    <xf numFmtId="0" fontId="87" fillId="27" borderId="0" xfId="0" applyFont="1" applyFill="1" applyAlignment="1" applyProtection="1">
      <alignment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pplyProtection="1">
      <alignment horizontal="center" vertical="center"/>
    </xf>
    <xf numFmtId="0" fontId="12" fillId="26" borderId="0" xfId="0" applyFont="1" applyFill="1" applyBorder="1" applyAlignment="1" applyProtection="1">
      <alignment horizontal="center" vertical="center"/>
    </xf>
    <xf numFmtId="0" fontId="0" fillId="26" borderId="0" xfId="0" applyFill="1" applyAlignment="1" applyProtection="1">
      <alignment vertical="center"/>
    </xf>
    <xf numFmtId="167" fontId="40" fillId="26" borderId="7" xfId="0" applyNumberFormat="1" applyFont="1" applyFill="1" applyBorder="1" applyAlignment="1" applyProtection="1">
      <alignment horizontal="center" vertical="center" wrapText="1"/>
    </xf>
    <xf numFmtId="3" fontId="40" fillId="26" borderId="113" xfId="32" applyNumberFormat="1" applyFont="1" applyFill="1" applyBorder="1" applyAlignment="1" applyProtection="1">
      <alignment horizontal="center" vertical="center"/>
    </xf>
    <xf numFmtId="167" fontId="40"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0" fillId="26" borderId="7" xfId="0" applyNumberFormat="1" applyFont="1" applyFill="1" applyBorder="1" applyAlignment="1" applyProtection="1">
      <alignment horizontal="center" vertical="center"/>
    </xf>
    <xf numFmtId="14" fontId="40" fillId="26" borderId="0" xfId="0" applyNumberFormat="1" applyFont="1" applyFill="1" applyBorder="1" applyAlignment="1" applyProtection="1">
      <alignment vertical="center"/>
    </xf>
    <xf numFmtId="14" fontId="39" fillId="26" borderId="0" xfId="0" applyNumberFormat="1" applyFont="1" applyFill="1" applyBorder="1" applyAlignment="1" applyProtection="1">
      <alignment vertical="center"/>
    </xf>
    <xf numFmtId="0" fontId="40" fillId="26" borderId="0" xfId="0" applyFont="1" applyFill="1" applyBorder="1" applyAlignment="1" applyProtection="1">
      <alignment horizontal="center" vertical="center"/>
    </xf>
    <xf numFmtId="0" fontId="39" fillId="26" borderId="0" xfId="0" applyFont="1" applyFill="1" applyBorder="1" applyAlignment="1" applyProtection="1">
      <alignment horizontal="right" vertical="center"/>
    </xf>
    <xf numFmtId="0" fontId="40" fillId="26" borderId="0" xfId="0" applyFont="1" applyFill="1" applyBorder="1" applyAlignment="1" applyProtection="1">
      <alignment horizontal="left" vertical="center"/>
    </xf>
    <xf numFmtId="0" fontId="40" fillId="26" borderId="0" xfId="0" applyFont="1" applyFill="1" applyBorder="1" applyAlignment="1" applyProtection="1">
      <alignment vertical="center"/>
    </xf>
    <xf numFmtId="0" fontId="40" fillId="26" borderId="0" xfId="0" applyNumberFormat="1" applyFont="1" applyFill="1" applyBorder="1" applyAlignment="1" applyProtection="1">
      <alignment vertical="center"/>
    </xf>
    <xf numFmtId="0" fontId="39" fillId="26" borderId="0" xfId="0" applyNumberFormat="1"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1" fillId="27" borderId="0" xfId="31" applyFont="1" applyFill="1" applyBorder="1" applyAlignment="1" applyProtection="1">
      <alignment horizontal="center"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41" fillId="26" borderId="0" xfId="0" applyNumberFormat="1" applyFont="1" applyFill="1" applyBorder="1" applyAlignment="1" applyProtection="1">
      <alignment horizontal="center" vertical="center"/>
    </xf>
    <xf numFmtId="0" fontId="26" fillId="26" borderId="0" xfId="0" applyFont="1" applyFill="1" applyAlignment="1" applyProtection="1">
      <alignment horizontal="center" vertical="center"/>
    </xf>
    <xf numFmtId="0" fontId="11" fillId="0" borderId="0" xfId="32" applyFont="1" applyAlignment="1" applyProtection="1">
      <alignment vertical="center"/>
    </xf>
    <xf numFmtId="0" fontId="12" fillId="0" borderId="0" xfId="32" applyFont="1" applyAlignment="1" applyProtection="1">
      <alignment horizontal="center" vertical="center"/>
    </xf>
    <xf numFmtId="0" fontId="19" fillId="0" borderId="0" xfId="32" applyFont="1" applyFill="1" applyBorder="1" applyAlignment="1" applyProtection="1">
      <alignment horizontal="center" vertical="center"/>
    </xf>
    <xf numFmtId="0" fontId="40" fillId="24" borderId="17" xfId="32" applyFont="1" applyFill="1" applyBorder="1" applyAlignment="1" applyProtection="1">
      <alignment horizontal="center" vertical="center" wrapText="1"/>
    </xf>
    <xf numFmtId="0" fontId="40" fillId="0" borderId="53" xfId="32" applyFont="1" applyBorder="1" applyAlignment="1" applyProtection="1">
      <alignment horizontal="left" vertical="center" wrapText="1"/>
    </xf>
    <xf numFmtId="0" fontId="40" fillId="20" borderId="5" xfId="32" applyFont="1" applyFill="1" applyBorder="1" applyAlignment="1" applyProtection="1">
      <alignment horizontal="center" vertical="center" wrapText="1"/>
    </xf>
    <xf numFmtId="0" fontId="40" fillId="20" borderId="17" xfId="32" applyFont="1" applyFill="1" applyBorder="1" applyAlignment="1" applyProtection="1">
      <alignment horizontal="center" vertical="center" wrapText="1"/>
    </xf>
    <xf numFmtId="0" fontId="40" fillId="24" borderId="51" xfId="78" applyFont="1" applyFill="1" applyBorder="1" applyAlignment="1" applyProtection="1">
      <alignment horizontal="center" vertical="center" wrapText="1"/>
    </xf>
    <xf numFmtId="175" fontId="39" fillId="24" borderId="51" xfId="78" applyNumberFormat="1" applyFont="1" applyFill="1" applyBorder="1" applyAlignment="1" applyProtection="1">
      <alignment horizontal="center" vertical="center"/>
    </xf>
    <xf numFmtId="175" fontId="39" fillId="24" borderId="75" xfId="78" applyNumberFormat="1" applyFont="1" applyFill="1" applyBorder="1" applyAlignment="1" applyProtection="1">
      <alignment horizontal="center" vertical="center"/>
    </xf>
    <xf numFmtId="0" fontId="40" fillId="26" borderId="17" xfId="78" applyFont="1" applyFill="1" applyBorder="1" applyAlignment="1" applyProtection="1">
      <alignment horizontal="center" vertical="center" wrapText="1"/>
    </xf>
    <xf numFmtId="175" fontId="40" fillId="26" borderId="17" xfId="78" applyNumberFormat="1" applyFont="1" applyFill="1" applyBorder="1" applyAlignment="1" applyProtection="1">
      <alignment horizontal="center" vertical="center"/>
    </xf>
    <xf numFmtId="3" fontId="40" fillId="26" borderId="39" xfId="78" applyNumberFormat="1" applyFont="1" applyFill="1" applyBorder="1" applyAlignment="1" applyProtection="1">
      <alignment horizontal="center" vertical="center"/>
    </xf>
    <xf numFmtId="0" fontId="40" fillId="31" borderId="17" xfId="78" applyFont="1" applyFill="1" applyBorder="1" applyAlignment="1" applyProtection="1">
      <alignment horizontal="center" vertical="center" wrapText="1"/>
    </xf>
    <xf numFmtId="175" fontId="39" fillId="24" borderId="17" xfId="78" applyNumberFormat="1" applyFont="1" applyFill="1" applyBorder="1" applyAlignment="1" applyProtection="1">
      <alignment horizontal="center" vertical="center"/>
    </xf>
    <xf numFmtId="175" fontId="39" fillId="24" borderId="52" xfId="78" applyNumberFormat="1" applyFont="1" applyFill="1" applyBorder="1" applyAlignment="1" applyProtection="1">
      <alignment horizontal="center" vertical="center"/>
    </xf>
    <xf numFmtId="3" fontId="40" fillId="26" borderId="17" xfId="78" applyNumberFormat="1" applyFont="1" applyFill="1" applyBorder="1" applyAlignment="1" applyProtection="1">
      <alignment horizontal="center" vertical="center"/>
    </xf>
    <xf numFmtId="0" fontId="40" fillId="24" borderId="17" xfId="78" applyFont="1" applyFill="1" applyBorder="1" applyAlignment="1" applyProtection="1">
      <alignment horizontal="center" vertical="center" wrapText="1"/>
    </xf>
    <xf numFmtId="175" fontId="39" fillId="24" borderId="49" xfId="78" applyNumberFormat="1" applyFont="1" applyFill="1" applyBorder="1" applyAlignment="1" applyProtection="1">
      <alignment horizontal="center" vertical="center"/>
    </xf>
    <xf numFmtId="175" fontId="39" fillId="24" borderId="5" xfId="78" applyNumberFormat="1" applyFont="1" applyFill="1" applyBorder="1" applyAlignment="1" applyProtection="1">
      <alignment horizontal="center" vertical="center"/>
    </xf>
    <xf numFmtId="14" fontId="40" fillId="26" borderId="57" xfId="78" applyNumberFormat="1" applyFont="1" applyFill="1" applyBorder="1" applyAlignment="1" applyProtection="1">
      <alignment vertical="center"/>
    </xf>
    <xf numFmtId="0" fontId="40" fillId="26" borderId="21" xfId="78" applyFont="1" applyFill="1" applyBorder="1" applyAlignment="1" applyProtection="1">
      <alignment horizontal="center" vertical="center" wrapText="1"/>
    </xf>
    <xf numFmtId="175" fontId="40" fillId="26" borderId="21" xfId="78" applyNumberFormat="1" applyFont="1" applyFill="1" applyBorder="1" applyAlignment="1" applyProtection="1">
      <alignment horizontal="center" vertical="center"/>
    </xf>
    <xf numFmtId="0" fontId="40" fillId="0" borderId="0" xfId="32" applyFont="1" applyFill="1" applyBorder="1" applyAlignment="1" applyProtection="1">
      <alignment horizontal="center" vertical="center" wrapText="1"/>
    </xf>
    <xf numFmtId="0" fontId="40" fillId="0" borderId="0" xfId="32" applyFont="1" applyAlignment="1" applyProtection="1">
      <alignment vertical="center"/>
    </xf>
    <xf numFmtId="14" fontId="39" fillId="0" borderId="0" xfId="32" applyNumberFormat="1" applyFont="1" applyAlignment="1" applyProtection="1">
      <alignment horizontal="left" vertical="center"/>
    </xf>
    <xf numFmtId="0" fontId="40" fillId="0" borderId="0" xfId="32" applyFont="1" applyFill="1" applyAlignment="1" applyProtection="1">
      <alignment vertical="center"/>
    </xf>
    <xf numFmtId="0" fontId="40" fillId="0" borderId="0" xfId="32" applyFont="1" applyFill="1" applyAlignment="1" applyProtection="1">
      <alignment horizontal="center" vertical="center"/>
    </xf>
    <xf numFmtId="0" fontId="39" fillId="0" borderId="0" xfId="32" applyFont="1" applyAlignment="1" applyProtection="1">
      <alignment horizontal="right" vertical="center"/>
    </xf>
    <xf numFmtId="0" fontId="40" fillId="0" borderId="0" xfId="32" applyFont="1" applyAlignment="1" applyProtection="1">
      <alignment horizontal="left" vertical="center"/>
    </xf>
    <xf numFmtId="0" fontId="40" fillId="0" borderId="0" xfId="32" applyFont="1" applyAlignment="1" applyProtection="1">
      <alignment horizontal="center" vertical="center"/>
    </xf>
    <xf numFmtId="0" fontId="40" fillId="0" borderId="0" xfId="32" applyNumberFormat="1" applyFont="1" applyFill="1" applyAlignment="1" applyProtection="1">
      <alignment vertical="center"/>
    </xf>
    <xf numFmtId="0" fontId="39" fillId="0" borderId="0" xfId="32" applyNumberFormat="1" applyFont="1" applyFill="1" applyAlignment="1" applyProtection="1">
      <alignment horizontal="center" vertical="center"/>
    </xf>
    <xf numFmtId="0" fontId="41" fillId="0" borderId="0" xfId="32" applyFont="1" applyAlignment="1" applyProtection="1">
      <alignment horizontal="left" vertical="center"/>
    </xf>
    <xf numFmtId="3" fontId="40" fillId="0" borderId="0" xfId="32" applyNumberFormat="1" applyFont="1" applyAlignment="1" applyProtection="1">
      <alignment horizontal="center" vertical="center"/>
    </xf>
    <xf numFmtId="0" fontId="41" fillId="0" borderId="0" xfId="32" applyNumberFormat="1" applyFont="1" applyFill="1" applyAlignment="1" applyProtection="1">
      <alignment horizontal="center" vertical="center"/>
    </xf>
    <xf numFmtId="49" fontId="39" fillId="0" borderId="0" xfId="32" applyNumberFormat="1" applyFont="1" applyFill="1" applyAlignment="1" applyProtection="1">
      <alignment horizontal="center" vertical="center"/>
    </xf>
    <xf numFmtId="0" fontId="42" fillId="0" borderId="0" xfId="31" applyFont="1" applyFill="1" applyBorder="1" applyAlignment="1" applyProtection="1">
      <alignment horizontal="center" vertical="center"/>
    </xf>
    <xf numFmtId="0" fontId="41" fillId="0" borderId="0" xfId="31" applyFont="1" applyFill="1" applyBorder="1" applyAlignment="1" applyProtection="1">
      <alignment horizontal="center" vertical="center"/>
    </xf>
    <xf numFmtId="0" fontId="39" fillId="0" borderId="0" xfId="32" applyFont="1" applyBorder="1" applyAlignment="1" applyProtection="1">
      <alignment horizontal="center" vertical="center"/>
    </xf>
    <xf numFmtId="0" fontId="39" fillId="0" borderId="0" xfId="32" applyFont="1" applyAlignment="1" applyProtection="1">
      <alignment horizontal="center" vertical="center"/>
    </xf>
    <xf numFmtId="0" fontId="40" fillId="27" borderId="0" xfId="32" applyFont="1" applyFill="1" applyAlignment="1" applyProtection="1">
      <alignment vertical="center"/>
    </xf>
    <xf numFmtId="0" fontId="40" fillId="27" borderId="0" xfId="32" applyFont="1" applyFill="1" applyAlignment="1" applyProtection="1">
      <alignment vertical="center" wrapText="1"/>
    </xf>
    <xf numFmtId="0" fontId="45" fillId="27" borderId="0" xfId="0" applyFont="1" applyFill="1" applyBorder="1" applyAlignment="1" applyProtection="1">
      <alignment vertical="center"/>
    </xf>
    <xf numFmtId="3" fontId="40" fillId="27" borderId="53" xfId="32" applyNumberFormat="1" applyFont="1" applyFill="1" applyBorder="1" applyAlignment="1" applyProtection="1">
      <alignment horizontal="left" vertical="center" wrapText="1"/>
    </xf>
    <xf numFmtId="3" fontId="40" fillId="26" borderId="93" xfId="32" applyNumberFormat="1" applyFont="1" applyFill="1" applyBorder="1" applyAlignment="1" applyProtection="1">
      <alignment horizontal="center" vertical="center"/>
    </xf>
    <xf numFmtId="3" fontId="40" fillId="26" borderId="114" xfId="32" applyNumberFormat="1" applyFont="1" applyFill="1" applyBorder="1" applyAlignment="1" applyProtection="1">
      <alignment horizontal="center" vertical="center"/>
    </xf>
    <xf numFmtId="3" fontId="40" fillId="26" borderId="94" xfId="32" applyNumberFormat="1" applyFont="1" applyFill="1" applyBorder="1" applyAlignment="1" applyProtection="1">
      <alignment horizontal="center" vertical="center"/>
    </xf>
    <xf numFmtId="0" fontId="41" fillId="26" borderId="24" xfId="32" applyFont="1" applyFill="1" applyBorder="1" applyAlignment="1" applyProtection="1">
      <alignment horizontal="center" vertical="center"/>
    </xf>
    <xf numFmtId="3" fontId="40" fillId="26" borderId="90" xfId="32" applyNumberFormat="1" applyFont="1" applyFill="1" applyBorder="1" applyAlignment="1" applyProtection="1">
      <alignment horizontal="center" vertical="center"/>
    </xf>
    <xf numFmtId="3" fontId="40" fillId="26" borderId="112" xfId="32" applyNumberFormat="1" applyFont="1" applyFill="1" applyBorder="1" applyAlignment="1" applyProtection="1">
      <alignment horizontal="center" vertical="center"/>
    </xf>
    <xf numFmtId="3" fontId="40" fillId="26" borderId="91" xfId="32" applyNumberFormat="1" applyFont="1" applyFill="1" applyBorder="1" applyAlignment="1" applyProtection="1">
      <alignment horizontal="center" vertical="center"/>
    </xf>
    <xf numFmtId="3" fontId="40" fillId="26" borderId="99" xfId="32" applyNumberFormat="1" applyFont="1" applyFill="1" applyBorder="1" applyAlignment="1" applyProtection="1">
      <alignment horizontal="center" vertical="center"/>
    </xf>
    <xf numFmtId="3" fontId="40" fillId="26" borderId="95" xfId="32" applyNumberFormat="1" applyFont="1" applyFill="1" applyBorder="1" applyAlignment="1" applyProtection="1">
      <alignment horizontal="center" vertical="center"/>
    </xf>
    <xf numFmtId="3" fontId="40" fillId="26" borderId="134" xfId="32" applyNumberFormat="1" applyFont="1" applyFill="1" applyBorder="1" applyAlignment="1" applyProtection="1">
      <alignment horizontal="center" vertical="center"/>
    </xf>
    <xf numFmtId="3" fontId="40" fillId="26" borderId="138" xfId="32" applyNumberFormat="1" applyFont="1" applyFill="1" applyBorder="1" applyAlignment="1" applyProtection="1">
      <alignment horizontal="center" vertical="center"/>
    </xf>
    <xf numFmtId="3" fontId="40" fillId="26" borderId="139" xfId="32" applyNumberFormat="1" applyFont="1" applyFill="1" applyBorder="1" applyAlignment="1" applyProtection="1">
      <alignment horizontal="center" vertical="center"/>
    </xf>
    <xf numFmtId="0" fontId="40" fillId="26" borderId="0" xfId="0" applyFont="1" applyFill="1" applyAlignment="1" applyProtection="1">
      <alignment vertical="center"/>
    </xf>
    <xf numFmtId="0" fontId="40" fillId="26" borderId="0" xfId="0" applyFont="1" applyFill="1" applyBorder="1" applyAlignment="1" applyProtection="1">
      <alignment vertical="center" wrapText="1"/>
    </xf>
    <xf numFmtId="0" fontId="40" fillId="27" borderId="0" xfId="0" applyFont="1" applyFill="1" applyBorder="1" applyAlignment="1" applyProtection="1">
      <alignment vertical="center"/>
    </xf>
    <xf numFmtId="14" fontId="39" fillId="26" borderId="0" xfId="0" applyNumberFormat="1" applyFont="1" applyFill="1" applyBorder="1" applyAlignment="1" applyProtection="1">
      <alignment horizontal="left" vertical="center"/>
    </xf>
    <xf numFmtId="0" fontId="41" fillId="27" borderId="0" xfId="0" applyNumberFormat="1" applyFont="1" applyFill="1" applyBorder="1" applyAlignment="1" applyProtection="1">
      <alignment horizontal="center" vertical="center"/>
    </xf>
    <xf numFmtId="0" fontId="41" fillId="27" borderId="0" xfId="31" applyFont="1" applyFill="1" applyBorder="1" applyAlignment="1" applyProtection="1">
      <alignment vertical="center"/>
    </xf>
    <xf numFmtId="0" fontId="41" fillId="27" borderId="0" xfId="0" applyFont="1" applyFill="1" applyAlignment="1" applyProtection="1">
      <alignment horizontal="left" vertical="center"/>
    </xf>
    <xf numFmtId="0" fontId="56" fillId="27" borderId="0" xfId="32" applyFont="1" applyFill="1" applyAlignment="1" applyProtection="1">
      <alignment horizontal="center" vertical="center"/>
    </xf>
    <xf numFmtId="0" fontId="56" fillId="27" borderId="0" xfId="32" applyFont="1" applyFill="1" applyAlignment="1" applyProtection="1">
      <alignment vertical="center"/>
    </xf>
    <xf numFmtId="0" fontId="56" fillId="27" borderId="0" xfId="32" applyFont="1" applyFill="1" applyAlignment="1" applyProtection="1">
      <alignment vertical="center" wrapText="1"/>
    </xf>
    <xf numFmtId="0" fontId="83" fillId="27" borderId="0" xfId="32" applyFont="1" applyFill="1" applyAlignment="1" applyProtection="1">
      <alignment horizontal="center" vertical="center"/>
    </xf>
    <xf numFmtId="0" fontId="44" fillId="27" borderId="0" xfId="32" applyFont="1" applyFill="1" applyAlignment="1" applyProtection="1">
      <alignment horizontal="center" vertical="center"/>
    </xf>
    <xf numFmtId="0" fontId="83" fillId="27" borderId="0" xfId="32" applyFont="1" applyFill="1" applyAlignment="1" applyProtection="1">
      <alignment vertical="center"/>
    </xf>
    <xf numFmtId="0" fontId="56" fillId="27" borderId="0" xfId="32" applyFont="1" applyFill="1" applyAlignment="1" applyProtection="1">
      <alignment horizontal="center" vertical="center" wrapText="1"/>
    </xf>
    <xf numFmtId="0" fontId="80" fillId="27" borderId="0" xfId="32" applyFont="1" applyFill="1" applyBorder="1" applyAlignment="1" applyProtection="1">
      <alignment horizontal="right" vertical="center"/>
    </xf>
    <xf numFmtId="0" fontId="83" fillId="27" borderId="0" xfId="32" applyFont="1" applyFill="1" applyAlignment="1" applyProtection="1">
      <alignment horizontal="left" vertical="center" wrapText="1"/>
    </xf>
    <xf numFmtId="0" fontId="76" fillId="27" borderId="0" xfId="32" applyFont="1" applyFill="1" applyAlignment="1" applyProtection="1">
      <alignment vertical="center" wrapText="1"/>
    </xf>
    <xf numFmtId="0" fontId="56" fillId="27" borderId="0" xfId="32" applyFont="1" applyFill="1" applyAlignment="1" applyProtection="1">
      <alignment horizontal="left" vertical="center"/>
    </xf>
    <xf numFmtId="0" fontId="68" fillId="27" borderId="0" xfId="32" applyFont="1" applyFill="1" applyBorder="1" applyAlignment="1" applyProtection="1">
      <alignment vertical="center"/>
    </xf>
    <xf numFmtId="0" fontId="127" fillId="27" borderId="0" xfId="32" applyFont="1" applyFill="1" applyAlignment="1" applyProtection="1">
      <alignment horizontal="center" vertical="center"/>
    </xf>
    <xf numFmtId="0" fontId="127" fillId="27" borderId="0" xfId="32" applyFont="1" applyFill="1" applyAlignment="1" applyProtection="1">
      <alignment vertical="center"/>
    </xf>
    <xf numFmtId="0" fontId="127" fillId="27" borderId="0" xfId="32" applyFont="1" applyFill="1" applyAlignment="1" applyProtection="1">
      <alignment horizontal="left" vertical="center"/>
    </xf>
    <xf numFmtId="0" fontId="64" fillId="27" borderId="20" xfId="32" applyFont="1" applyFill="1" applyBorder="1" applyAlignment="1" applyProtection="1">
      <alignment vertical="center"/>
    </xf>
    <xf numFmtId="0" fontId="83" fillId="27" borderId="20" xfId="32" applyFont="1" applyFill="1" applyBorder="1" applyAlignment="1" applyProtection="1">
      <alignment vertical="center"/>
    </xf>
    <xf numFmtId="0" fontId="64" fillId="27" borderId="20" xfId="32" applyFont="1" applyFill="1" applyBorder="1" applyAlignment="1" applyProtection="1">
      <alignment horizontal="center" vertical="center"/>
    </xf>
    <xf numFmtId="3" fontId="128" fillId="37" borderId="38" xfId="32" applyNumberFormat="1" applyFont="1" applyFill="1" applyBorder="1" applyAlignment="1" applyProtection="1">
      <alignment horizontal="center" vertical="center"/>
    </xf>
    <xf numFmtId="3" fontId="128" fillId="37" borderId="10" xfId="32" applyNumberFormat="1" applyFont="1" applyFill="1" applyBorder="1" applyAlignment="1" applyProtection="1">
      <alignment horizontal="center" vertical="center"/>
    </xf>
    <xf numFmtId="3" fontId="46" fillId="37" borderId="65" xfId="32" applyNumberFormat="1" applyFont="1" applyFill="1" applyBorder="1" applyAlignment="1" applyProtection="1">
      <alignment horizontal="center" vertical="center"/>
    </xf>
    <xf numFmtId="3" fontId="46" fillId="37" borderId="9" xfId="32" applyNumberFormat="1" applyFont="1" applyFill="1" applyBorder="1" applyAlignment="1" applyProtection="1">
      <alignment horizontal="center" vertical="center"/>
    </xf>
    <xf numFmtId="3" fontId="46" fillId="37" borderId="10" xfId="32" applyNumberFormat="1" applyFont="1" applyFill="1" applyBorder="1" applyAlignment="1" applyProtection="1">
      <alignment horizontal="center" vertical="center"/>
    </xf>
    <xf numFmtId="1" fontId="128" fillId="37" borderId="65" xfId="32" applyNumberFormat="1" applyFont="1" applyFill="1" applyBorder="1" applyAlignment="1" applyProtection="1">
      <alignment horizontal="center" vertical="center" wrapText="1"/>
    </xf>
    <xf numFmtId="1" fontId="128" fillId="37" borderId="10" xfId="32" applyNumberFormat="1" applyFont="1" applyFill="1" applyBorder="1" applyAlignment="1" applyProtection="1">
      <alignment horizontal="center" vertical="center" wrapText="1"/>
    </xf>
    <xf numFmtId="1" fontId="46" fillId="37" borderId="65" xfId="32" applyNumberFormat="1" applyFont="1" applyFill="1" applyBorder="1" applyAlignment="1" applyProtection="1">
      <alignment horizontal="center" vertical="center" wrapText="1"/>
    </xf>
    <xf numFmtId="1" fontId="46" fillId="37" borderId="9" xfId="32" applyNumberFormat="1" applyFont="1" applyFill="1" applyBorder="1" applyAlignment="1" applyProtection="1">
      <alignment horizontal="center" vertical="center" wrapText="1"/>
    </xf>
    <xf numFmtId="1" fontId="46" fillId="37" borderId="60" xfId="32" applyNumberFormat="1" applyFont="1" applyFill="1" applyBorder="1" applyAlignment="1" applyProtection="1">
      <alignment horizontal="center" vertical="center" wrapText="1"/>
    </xf>
    <xf numFmtId="1" fontId="128" fillId="37" borderId="38" xfId="32" applyNumberFormat="1" applyFont="1" applyFill="1" applyBorder="1" applyAlignment="1" applyProtection="1">
      <alignment horizontal="center" vertical="center" wrapText="1"/>
    </xf>
    <xf numFmtId="0" fontId="46" fillId="37" borderId="2" xfId="0" applyFont="1" applyFill="1" applyBorder="1" applyAlignment="1" applyProtection="1">
      <alignment horizontal="center" vertical="center" wrapText="1"/>
    </xf>
    <xf numFmtId="1" fontId="46" fillId="37" borderId="20" xfId="32" applyNumberFormat="1" applyFont="1" applyFill="1" applyBorder="1" applyAlignment="1" applyProtection="1">
      <alignment horizontal="center" vertical="center"/>
    </xf>
    <xf numFmtId="1" fontId="46" fillId="37" borderId="71" xfId="32" applyNumberFormat="1" applyFont="1" applyFill="1" applyBorder="1" applyAlignment="1" applyProtection="1">
      <alignment horizontal="center" vertical="center"/>
    </xf>
    <xf numFmtId="1" fontId="46" fillId="37" borderId="48" xfId="32" applyNumberFormat="1" applyFont="1" applyFill="1" applyBorder="1" applyAlignment="1" applyProtection="1">
      <alignment vertical="center"/>
    </xf>
    <xf numFmtId="0" fontId="46" fillId="31" borderId="2" xfId="32" applyFont="1" applyFill="1" applyBorder="1" applyAlignment="1" applyProtection="1">
      <alignment horizontal="center" vertical="center"/>
    </xf>
    <xf numFmtId="0" fontId="46" fillId="31" borderId="2" xfId="32" applyFont="1" applyFill="1" applyBorder="1" applyAlignment="1" applyProtection="1">
      <alignment horizontal="left" vertical="center"/>
    </xf>
    <xf numFmtId="0" fontId="46" fillId="31" borderId="2" xfId="32" applyFont="1" applyFill="1" applyBorder="1" applyAlignment="1" applyProtection="1">
      <alignment vertical="center" wrapText="1"/>
    </xf>
    <xf numFmtId="3" fontId="128" fillId="31" borderId="38" xfId="55" applyNumberFormat="1" applyFont="1" applyFill="1" applyBorder="1" applyAlignment="1" applyProtection="1">
      <alignment horizontal="center" vertical="center"/>
    </xf>
    <xf numFmtId="3" fontId="128"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xf>
    <xf numFmtId="3" fontId="128" fillId="31" borderId="38" xfId="32" applyNumberFormat="1" applyFont="1" applyFill="1" applyBorder="1" applyAlignment="1" applyProtection="1">
      <alignment horizontal="center" vertical="center"/>
    </xf>
    <xf numFmtId="3" fontId="128" fillId="31" borderId="10" xfId="32" applyNumberFormat="1" applyFont="1" applyFill="1" applyBorder="1" applyAlignment="1" applyProtection="1">
      <alignment horizontal="center" vertical="center"/>
    </xf>
    <xf numFmtId="3" fontId="46" fillId="31" borderId="65" xfId="32" applyNumberFormat="1" applyFont="1" applyFill="1" applyBorder="1" applyAlignment="1" applyProtection="1">
      <alignment horizontal="center" vertical="center"/>
    </xf>
    <xf numFmtId="3" fontId="46" fillId="31" borderId="9" xfId="32" applyNumberFormat="1" applyFont="1" applyFill="1" applyBorder="1" applyAlignment="1" applyProtection="1">
      <alignment horizontal="center" vertical="center"/>
    </xf>
    <xf numFmtId="3" fontId="46" fillId="31" borderId="10" xfId="32" applyNumberFormat="1" applyFont="1" applyFill="1" applyBorder="1" applyAlignment="1" applyProtection="1">
      <alignment horizontal="center" vertical="center"/>
    </xf>
    <xf numFmtId="3" fontId="46" fillId="31" borderId="60" xfId="32" applyNumberFormat="1" applyFont="1" applyFill="1" applyBorder="1" applyAlignment="1" applyProtection="1">
      <alignment horizontal="center" vertical="center"/>
    </xf>
    <xf numFmtId="3" fontId="44" fillId="29" borderId="38" xfId="49" applyNumberFormat="1" applyFont="1" applyFill="1" applyBorder="1" applyAlignment="1" applyProtection="1">
      <alignment horizontal="center" vertical="center"/>
    </xf>
    <xf numFmtId="3" fontId="44" fillId="29" borderId="60" xfId="49" applyNumberFormat="1" applyFont="1" applyFill="1" applyBorder="1" applyAlignment="1" applyProtection="1">
      <alignment horizontal="right" vertical="center"/>
    </xf>
    <xf numFmtId="3" fontId="44" fillId="29" borderId="2" xfId="49" applyNumberFormat="1" applyFont="1" applyFill="1" applyBorder="1" applyAlignment="1" applyProtection="1">
      <alignment horizontal="center" vertical="center"/>
    </xf>
    <xf numFmtId="3" fontId="44" fillId="29" borderId="9" xfId="49" applyNumberFormat="1" applyFont="1" applyFill="1" applyBorder="1" applyAlignment="1" applyProtection="1">
      <alignment horizontal="center" vertical="center"/>
    </xf>
    <xf numFmtId="3" fontId="44" fillId="29" borderId="10"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left" vertical="center"/>
    </xf>
    <xf numFmtId="0" fontId="46" fillId="27" borderId="5" xfId="32" applyFont="1" applyFill="1" applyBorder="1" applyAlignment="1" applyProtection="1">
      <alignment horizontal="center" vertical="center"/>
    </xf>
    <xf numFmtId="0" fontId="44" fillId="0" borderId="5" xfId="0" applyFont="1" applyFill="1" applyBorder="1" applyAlignment="1" applyProtection="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pplyProtection="1">
      <alignment horizontal="left" vertical="center" wrapText="1"/>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center" vertical="center" wrapText="1"/>
    </xf>
    <xf numFmtId="3" fontId="126" fillId="27" borderId="5" xfId="32" applyNumberFormat="1" applyFont="1" applyFill="1" applyBorder="1" applyAlignment="1" applyProtection="1">
      <alignment horizontal="left" vertical="center" wrapText="1"/>
    </xf>
    <xf numFmtId="0" fontId="46" fillId="27" borderId="17" xfId="32" applyFont="1" applyFill="1" applyBorder="1" applyAlignment="1" applyProtection="1">
      <alignment horizontal="center" vertical="center"/>
    </xf>
    <xf numFmtId="0" fontId="44" fillId="0" borderId="17" xfId="0" applyFont="1" applyFill="1" applyBorder="1" applyAlignment="1" applyProtection="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pplyProtection="1">
      <alignment horizontal="left" vertical="center" wrapText="1"/>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center" vertical="center" wrapText="1"/>
    </xf>
    <xf numFmtId="3" fontId="126" fillId="27" borderId="17" xfId="32"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Fill="1" applyBorder="1" applyAlignment="1" applyProtection="1">
      <alignment horizontal="left" vertical="center" wrapText="1"/>
    </xf>
    <xf numFmtId="9" fontId="44" fillId="0" borderId="17" xfId="70" applyFont="1" applyFill="1" applyBorder="1" applyAlignment="1" applyProtection="1">
      <alignment horizontal="center" vertical="center"/>
    </xf>
    <xf numFmtId="3" fontId="126" fillId="26" borderId="17" xfId="32" applyNumberFormat="1" applyFont="1" applyFill="1" applyBorder="1" applyAlignment="1" applyProtection="1">
      <alignment horizontal="left" vertical="center" wrapText="1"/>
    </xf>
    <xf numFmtId="3" fontId="126" fillId="0" borderId="17" xfId="32" applyNumberFormat="1" applyFont="1" applyFill="1" applyBorder="1" applyAlignment="1" applyProtection="1">
      <alignment horizontal="left" vertical="center" wrapText="1"/>
    </xf>
    <xf numFmtId="3" fontId="44" fillId="26" borderId="17" xfId="32" applyNumberFormat="1" applyFont="1" applyFill="1" applyBorder="1" applyAlignment="1" applyProtection="1">
      <alignment horizontal="center" vertical="center" wrapText="1"/>
    </xf>
    <xf numFmtId="0" fontId="46" fillId="22" borderId="17" xfId="32" applyFont="1" applyFill="1" applyBorder="1" applyAlignment="1" applyProtection="1">
      <alignment horizontal="center" vertical="center"/>
    </xf>
    <xf numFmtId="0" fontId="46" fillId="22" borderId="39" xfId="32"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pplyProtection="1">
      <alignment horizontal="left" vertical="center" wrapText="1"/>
    </xf>
    <xf numFmtId="3" fontId="46" fillId="27" borderId="21"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wrapText="1"/>
    </xf>
    <xf numFmtId="3" fontId="126" fillId="0" borderId="39" xfId="32" applyNumberFormat="1" applyFont="1" applyFill="1" applyBorder="1" applyAlignment="1" applyProtection="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right" vertical="center" wrapText="1"/>
    </xf>
    <xf numFmtId="3" fontId="46" fillId="31" borderId="65" xfId="32" applyNumberFormat="1" applyFont="1" applyFill="1" applyBorder="1" applyAlignment="1" applyProtection="1">
      <alignment horizontal="center" vertical="center" wrapText="1"/>
    </xf>
    <xf numFmtId="3" fontId="46" fillId="31" borderId="9"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center" vertical="center" wrapText="1"/>
    </xf>
    <xf numFmtId="0" fontId="128" fillId="31" borderId="2" xfId="32" applyFont="1" applyFill="1" applyBorder="1" applyAlignment="1" applyProtection="1">
      <alignment horizontal="left" vertical="center" wrapText="1"/>
    </xf>
    <xf numFmtId="0" fontId="44" fillId="27" borderId="5" xfId="32" applyFont="1" applyFill="1" applyBorder="1" applyAlignment="1" applyProtection="1">
      <alignment horizontal="center" vertical="center"/>
    </xf>
    <xf numFmtId="0" fontId="44" fillId="0" borderId="5" xfId="32" applyFont="1" applyFill="1" applyBorder="1" applyAlignment="1" applyProtection="1">
      <alignment horizontal="center" vertical="center"/>
    </xf>
    <xf numFmtId="3" fontId="44" fillId="27" borderId="5" xfId="32" applyNumberFormat="1" applyFont="1" applyFill="1" applyBorder="1" applyAlignment="1" applyProtection="1">
      <alignment horizontal="left" vertical="center" wrapText="1"/>
    </xf>
    <xf numFmtId="3" fontId="46" fillId="27" borderId="25" xfId="32" applyNumberFormat="1" applyFont="1" applyFill="1" applyBorder="1" applyAlignment="1" applyProtection="1">
      <alignment horizontal="center" vertical="center"/>
    </xf>
    <xf numFmtId="3" fontId="126" fillId="26" borderId="5" xfId="32" applyNumberFormat="1" applyFont="1" applyFill="1" applyBorder="1" applyAlignment="1" applyProtection="1">
      <alignment horizontal="left" vertical="center" wrapText="1"/>
    </xf>
    <xf numFmtId="0" fontId="44" fillId="27" borderId="17" xfId="32" applyFont="1" applyFill="1" applyBorder="1" applyAlignment="1" applyProtection="1">
      <alignment horizontal="center" vertical="center"/>
    </xf>
    <xf numFmtId="0" fontId="44" fillId="0" borderId="17" xfId="32"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wrapText="1"/>
    </xf>
    <xf numFmtId="3" fontId="46" fillId="27" borderId="24"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left" vertical="center" wrapText="1"/>
    </xf>
    <xf numFmtId="3" fontId="126" fillId="26" borderId="32" xfId="32" applyNumberFormat="1" applyFont="1" applyFill="1" applyBorder="1" applyAlignment="1" applyProtection="1">
      <alignment horizontal="center" vertical="center"/>
    </xf>
    <xf numFmtId="3" fontId="126" fillId="26" borderId="62" xfId="32" applyNumberFormat="1" applyFont="1" applyFill="1" applyBorder="1" applyAlignment="1" applyProtection="1">
      <alignment horizontal="center" vertical="center"/>
    </xf>
    <xf numFmtId="3" fontId="126" fillId="26" borderId="52" xfId="32" applyNumberFormat="1" applyFont="1" applyFill="1" applyBorder="1" applyAlignment="1" applyProtection="1">
      <alignment horizontal="center" vertical="center"/>
    </xf>
    <xf numFmtId="3" fontId="126" fillId="26" borderId="7" xfId="32" applyNumberFormat="1" applyFont="1" applyFill="1" applyBorder="1" applyAlignment="1" applyProtection="1">
      <alignment horizontal="center" vertical="center"/>
    </xf>
    <xf numFmtId="3" fontId="126" fillId="26" borderId="53" xfId="32" applyNumberFormat="1" applyFont="1" applyFill="1" applyBorder="1" applyAlignment="1" applyProtection="1">
      <alignment horizontal="center" vertical="center"/>
    </xf>
    <xf numFmtId="0" fontId="44" fillId="22" borderId="17" xfId="32" applyFont="1" applyFill="1" applyBorder="1" applyAlignment="1" applyProtection="1">
      <alignment horizontal="center" vertical="center"/>
    </xf>
    <xf numFmtId="0" fontId="44" fillId="22" borderId="39" xfId="32" applyFont="1" applyFill="1" applyBorder="1" applyAlignment="1" applyProtection="1">
      <alignment horizontal="center" vertical="center"/>
    </xf>
    <xf numFmtId="0" fontId="44" fillId="0" borderId="39" xfId="32" applyFont="1" applyFill="1" applyBorder="1" applyAlignment="1" applyProtection="1">
      <alignment horizontal="center" vertical="center"/>
    </xf>
    <xf numFmtId="3" fontId="44" fillId="27" borderId="39" xfId="32" applyNumberFormat="1" applyFont="1" applyFill="1" applyBorder="1" applyAlignment="1" applyProtection="1">
      <alignment horizontal="left" vertical="center" wrapText="1"/>
    </xf>
    <xf numFmtId="3" fontId="46" fillId="27" borderId="36"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left" vertical="center" wrapText="1"/>
    </xf>
    <xf numFmtId="3" fontId="56" fillId="0" borderId="49" xfId="32" applyNumberFormat="1" applyFont="1" applyFill="1" applyBorder="1" applyAlignment="1" applyProtection="1">
      <alignment horizontal="center" vertical="center"/>
    </xf>
    <xf numFmtId="3" fontId="56" fillId="0" borderId="50" xfId="32" applyNumberFormat="1" applyFont="1" applyFill="1" applyBorder="1" applyAlignment="1" applyProtection="1">
      <alignment horizontal="center" vertical="center"/>
    </xf>
    <xf numFmtId="3" fontId="56" fillId="0" borderId="44" xfId="32" applyNumberFormat="1" applyFont="1" applyFill="1" applyBorder="1" applyAlignment="1" applyProtection="1">
      <alignment horizontal="center" vertical="center"/>
    </xf>
    <xf numFmtId="3" fontId="56" fillId="0" borderId="31" xfId="32" applyNumberFormat="1" applyFont="1" applyFill="1" applyBorder="1" applyAlignment="1" applyProtection="1">
      <alignment horizontal="center" vertical="center"/>
    </xf>
    <xf numFmtId="3" fontId="56" fillId="0" borderId="52" xfId="32" applyNumberFormat="1" applyFont="1" applyFill="1" applyBorder="1" applyAlignment="1" applyProtection="1">
      <alignment horizontal="center" vertical="center"/>
    </xf>
    <xf numFmtId="3" fontId="56" fillId="0" borderId="53" xfId="32" applyNumberFormat="1" applyFont="1" applyFill="1" applyBorder="1" applyAlignment="1" applyProtection="1">
      <alignment horizontal="center" vertical="center"/>
    </xf>
    <xf numFmtId="3" fontId="56" fillId="0" borderId="32" xfId="32" applyNumberFormat="1" applyFont="1" applyFill="1" applyBorder="1" applyAlignment="1" applyProtection="1">
      <alignment horizontal="center" vertical="center"/>
    </xf>
    <xf numFmtId="3" fontId="56" fillId="0" borderId="7" xfId="32" applyNumberFormat="1" applyFont="1" applyFill="1" applyBorder="1" applyAlignment="1" applyProtection="1">
      <alignment horizontal="center" vertical="center"/>
    </xf>
    <xf numFmtId="3" fontId="56" fillId="0" borderId="54" xfId="32" applyNumberFormat="1" applyFont="1" applyFill="1" applyBorder="1" applyAlignment="1" applyProtection="1">
      <alignment horizontal="center" vertical="center"/>
    </xf>
    <xf numFmtId="3" fontId="56" fillId="0" borderId="55" xfId="32" applyNumberFormat="1" applyFont="1" applyFill="1" applyBorder="1" applyAlignment="1" applyProtection="1">
      <alignment horizontal="center" vertical="center"/>
    </xf>
    <xf numFmtId="3" fontId="56" fillId="0" borderId="69" xfId="32" applyNumberFormat="1" applyFont="1" applyFill="1" applyBorder="1" applyAlignment="1" applyProtection="1">
      <alignment horizontal="center" vertical="center"/>
    </xf>
    <xf numFmtId="3" fontId="56" fillId="0" borderId="63" xfId="32" applyNumberFormat="1" applyFont="1" applyFill="1" applyBorder="1" applyAlignment="1" applyProtection="1">
      <alignment horizontal="center" vertical="center"/>
    </xf>
    <xf numFmtId="9" fontId="44" fillId="0" borderId="5" xfId="70" applyFont="1" applyFill="1" applyBorder="1" applyAlignment="1" applyProtection="1">
      <alignment horizontal="center" vertical="center"/>
    </xf>
    <xf numFmtId="3" fontId="126" fillId="0" borderId="5" xfId="32" applyNumberFormat="1" applyFont="1" applyFill="1" applyBorder="1" applyAlignment="1" applyProtection="1">
      <alignment horizontal="left" vertical="center" wrapText="1"/>
    </xf>
    <xf numFmtId="0" fontId="44" fillId="27" borderId="39" xfId="32" applyFont="1" applyFill="1" applyBorder="1" applyAlignment="1" applyProtection="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Fill="1" applyBorder="1" applyAlignment="1" applyProtection="1">
      <alignment horizontal="left" vertical="center" wrapText="1"/>
    </xf>
    <xf numFmtId="0" fontId="44" fillId="22" borderId="5" xfId="32" applyFont="1" applyFill="1" applyBorder="1" applyAlignment="1" applyProtection="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pplyProtection="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xf>
    <xf numFmtId="3" fontId="44" fillId="0" borderId="21" xfId="32" applyNumberFormat="1" applyFont="1" applyFill="1" applyBorder="1" applyAlignment="1" applyProtection="1">
      <alignment horizontal="center" vertical="center" wrapText="1"/>
    </xf>
    <xf numFmtId="3" fontId="44" fillId="26" borderId="5" xfId="32" applyNumberFormat="1" applyFont="1" applyFill="1" applyBorder="1" applyAlignment="1" applyProtection="1">
      <alignment horizontal="center" vertical="center" wrapText="1"/>
    </xf>
    <xf numFmtId="3" fontId="126" fillId="27" borderId="21" xfId="32" applyNumberFormat="1" applyFont="1" applyFill="1" applyBorder="1" applyAlignment="1" applyProtection="1">
      <alignment horizontal="left" vertical="center" wrapText="1"/>
    </xf>
    <xf numFmtId="1" fontId="128" fillId="31" borderId="38" xfId="55" applyNumberFormat="1" applyFont="1" applyFill="1" applyBorder="1" applyAlignment="1" applyProtection="1">
      <alignment horizontal="center" vertical="center"/>
    </xf>
    <xf numFmtId="1" fontId="128"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pplyProtection="1">
      <alignment horizontal="center" vertical="center"/>
    </xf>
    <xf numFmtId="3" fontId="44" fillId="29" borderId="65" xfId="49" applyNumberFormat="1" applyFont="1" applyFill="1" applyBorder="1" applyAlignment="1" applyProtection="1">
      <alignment horizontal="center" vertical="center"/>
    </xf>
    <xf numFmtId="0" fontId="46" fillId="31" borderId="51" xfId="32" applyFont="1" applyFill="1" applyBorder="1" applyAlignment="1" applyProtection="1">
      <alignment horizontal="center" vertical="center"/>
    </xf>
    <xf numFmtId="0" fontId="46" fillId="31" borderId="51" xfId="32" applyFont="1" applyFill="1" applyBorder="1" applyAlignment="1" applyProtection="1">
      <alignment horizontal="left" vertical="center"/>
    </xf>
    <xf numFmtId="0" fontId="46" fillId="31" borderId="51" xfId="32" applyFont="1" applyFill="1" applyBorder="1" applyAlignment="1" applyProtection="1">
      <alignment vertical="center" wrapText="1"/>
    </xf>
    <xf numFmtId="3" fontId="128" fillId="31" borderId="75" xfId="55" applyNumberFormat="1" applyFont="1" applyFill="1" applyBorder="1" applyAlignment="1" applyProtection="1">
      <alignment horizontal="center" vertical="center"/>
    </xf>
    <xf numFmtId="3" fontId="128"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pplyProtection="1">
      <alignment horizontal="center" vertical="center"/>
    </xf>
    <xf numFmtId="3" fontId="128" fillId="31" borderId="75" xfId="32" applyNumberFormat="1" applyFont="1" applyFill="1" applyBorder="1" applyAlignment="1" applyProtection="1">
      <alignment horizontal="center" vertical="center"/>
    </xf>
    <xf numFmtId="3" fontId="128" fillId="31" borderId="76" xfId="32" applyNumberFormat="1" applyFont="1" applyFill="1" applyBorder="1" applyAlignment="1" applyProtection="1">
      <alignment horizontal="center" vertical="center"/>
    </xf>
    <xf numFmtId="3" fontId="46" fillId="31" borderId="72" xfId="32" applyNumberFormat="1" applyFont="1" applyFill="1" applyBorder="1" applyAlignment="1" applyProtection="1">
      <alignment horizontal="center" vertical="center"/>
    </xf>
    <xf numFmtId="3" fontId="46" fillId="31" borderId="73" xfId="32" applyNumberFormat="1" applyFont="1" applyFill="1" applyBorder="1" applyAlignment="1" applyProtection="1">
      <alignment horizontal="center" vertical="center"/>
    </xf>
    <xf numFmtId="3" fontId="46" fillId="31" borderId="74" xfId="32" applyNumberFormat="1" applyFont="1" applyFill="1" applyBorder="1" applyAlignment="1" applyProtection="1">
      <alignment horizontal="center" vertical="center"/>
    </xf>
    <xf numFmtId="3" fontId="46" fillId="31" borderId="76" xfId="32"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right" vertical="center"/>
    </xf>
    <xf numFmtId="3" fontId="44" fillId="29" borderId="76" xfId="49" applyNumberFormat="1" applyFont="1" applyFill="1" applyBorder="1" applyAlignment="1" applyProtection="1">
      <alignment horizontal="left" vertical="center"/>
    </xf>
    <xf numFmtId="0" fontId="46" fillId="26" borderId="5" xfId="32" applyFont="1" applyFill="1" applyBorder="1" applyAlignment="1" applyProtection="1">
      <alignment horizontal="center" vertical="center"/>
    </xf>
    <xf numFmtId="0" fontId="46" fillId="26" borderId="5" xfId="32" applyFont="1" applyFill="1" applyBorder="1" applyAlignment="1" applyProtection="1">
      <alignment horizontal="left" vertical="center"/>
    </xf>
    <xf numFmtId="0" fontId="46" fillId="26" borderId="5" xfId="32" applyFont="1" applyFill="1" applyBorder="1" applyAlignment="1" applyProtection="1">
      <alignment vertical="center" wrapText="1"/>
    </xf>
    <xf numFmtId="3" fontId="128" fillId="26" borderId="52" xfId="55" applyNumberFormat="1" applyFont="1" applyFill="1" applyBorder="1" applyAlignment="1" applyProtection="1">
      <alignment horizontal="center" vertical="center"/>
    </xf>
    <xf numFmtId="3" fontId="128"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pplyProtection="1">
      <alignment horizontal="center" vertical="center"/>
    </xf>
    <xf numFmtId="3" fontId="128" fillId="26" borderId="52" xfId="32" applyNumberFormat="1" applyFont="1" applyFill="1" applyBorder="1" applyAlignment="1" applyProtection="1">
      <alignment horizontal="center" vertical="center"/>
    </xf>
    <xf numFmtId="3" fontId="128" fillId="26" borderId="53" xfId="32" applyNumberFormat="1" applyFont="1" applyFill="1" applyBorder="1" applyAlignment="1" applyProtection="1">
      <alignment horizontal="center" vertical="center"/>
    </xf>
    <xf numFmtId="3" fontId="46" fillId="26" borderId="32" xfId="32" applyNumberFormat="1" applyFont="1" applyFill="1" applyBorder="1" applyAlignment="1" applyProtection="1">
      <alignment horizontal="center" vertical="center"/>
    </xf>
    <xf numFmtId="3" fontId="46" fillId="26" borderId="7" xfId="32" applyNumberFormat="1" applyFont="1" applyFill="1" applyBorder="1" applyAlignment="1" applyProtection="1">
      <alignment horizontal="center" vertical="center"/>
    </xf>
    <xf numFmtId="3" fontId="46" fillId="26" borderId="53" xfId="32"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3" fontId="44" fillId="29" borderId="53" xfId="49" applyNumberFormat="1" applyFont="1" applyFill="1" applyBorder="1" applyAlignment="1" applyProtection="1">
      <alignment horizontal="left" vertical="center"/>
    </xf>
    <xf numFmtId="0" fontId="46" fillId="26" borderId="34" xfId="32" applyFont="1" applyFill="1" applyBorder="1" applyAlignment="1" applyProtection="1">
      <alignment horizontal="center" vertical="center"/>
    </xf>
    <xf numFmtId="0" fontId="46" fillId="26" borderId="34" xfId="32" applyFont="1" applyFill="1" applyBorder="1" applyAlignment="1" applyProtection="1">
      <alignment horizontal="left" vertical="center"/>
    </xf>
    <xf numFmtId="0" fontId="46" fillId="26" borderId="34" xfId="32" applyFont="1" applyFill="1" applyBorder="1" applyAlignment="1" applyProtection="1">
      <alignment vertical="center" wrapText="1"/>
    </xf>
    <xf numFmtId="3" fontId="128" fillId="26" borderId="56" xfId="55" applyNumberFormat="1" applyFont="1" applyFill="1" applyBorder="1" applyAlignment="1" applyProtection="1">
      <alignment horizontal="center" vertical="center"/>
    </xf>
    <xf numFmtId="3" fontId="128"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pplyProtection="1">
      <alignment horizontal="center" vertical="center"/>
    </xf>
    <xf numFmtId="3" fontId="128" fillId="26" borderId="47" xfId="32" applyNumberFormat="1" applyFont="1" applyFill="1" applyBorder="1" applyAlignment="1" applyProtection="1">
      <alignment horizontal="center" vertical="center"/>
    </xf>
    <xf numFmtId="3" fontId="128" fillId="26" borderId="48" xfId="32" applyNumberFormat="1" applyFont="1" applyFill="1" applyBorder="1" applyAlignment="1" applyProtection="1">
      <alignment horizontal="center" vertical="center"/>
    </xf>
    <xf numFmtId="3" fontId="46" fillId="26" borderId="70" xfId="32" applyNumberFormat="1" applyFont="1" applyFill="1" applyBorder="1" applyAlignment="1" applyProtection="1">
      <alignment horizontal="center" vertical="center"/>
    </xf>
    <xf numFmtId="3" fontId="46" fillId="26" borderId="71" xfId="32" applyNumberFormat="1" applyFont="1" applyFill="1" applyBorder="1" applyAlignment="1" applyProtection="1">
      <alignment horizontal="center" vertical="center"/>
    </xf>
    <xf numFmtId="3" fontId="46" fillId="26" borderId="48"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left" vertical="center"/>
    </xf>
    <xf numFmtId="0" fontId="56" fillId="26" borderId="0" xfId="0" applyFont="1" applyFill="1" applyAlignment="1" applyProtection="1">
      <alignment horizontal="center" vertical="center"/>
    </xf>
    <xf numFmtId="0" fontId="56" fillId="26" borderId="0" xfId="0" applyFont="1" applyFill="1" applyAlignment="1" applyProtection="1">
      <alignment vertical="center"/>
    </xf>
    <xf numFmtId="3" fontId="83" fillId="27" borderId="0" xfId="32" applyNumberFormat="1" applyFont="1" applyFill="1" applyAlignment="1" applyProtection="1">
      <alignment horizontal="center" vertical="center"/>
    </xf>
    <xf numFmtId="3" fontId="56" fillId="27" borderId="0" xfId="32" applyNumberFormat="1" applyFont="1" applyFill="1" applyAlignment="1" applyProtection="1">
      <alignment horizontal="center" vertical="center"/>
    </xf>
    <xf numFmtId="0" fontId="56" fillId="27" borderId="0" xfId="32" applyFont="1" applyFill="1" applyBorder="1" applyAlignment="1" applyProtection="1">
      <alignment horizontal="center" vertical="center"/>
    </xf>
    <xf numFmtId="0" fontId="83" fillId="27" borderId="0" xfId="32" applyFont="1" applyFill="1" applyBorder="1" applyAlignment="1" applyProtection="1">
      <alignment horizontal="center" vertical="center"/>
    </xf>
    <xf numFmtId="0" fontId="44" fillId="27" borderId="0" xfId="32" applyFont="1" applyFill="1" applyBorder="1" applyAlignment="1" applyProtection="1">
      <alignment vertical="center" wrapText="1"/>
    </xf>
    <xf numFmtId="0" fontId="44" fillId="27" borderId="0" xfId="32" applyFont="1" applyFill="1" applyBorder="1" applyAlignment="1" applyProtection="1">
      <alignment horizontal="center" vertical="center" wrapText="1"/>
    </xf>
    <xf numFmtId="14" fontId="44" fillId="27" borderId="0" xfId="32" applyNumberFormat="1" applyFont="1" applyFill="1" applyBorder="1" applyAlignment="1" applyProtection="1">
      <alignment vertical="center" wrapText="1"/>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3" fontId="126" fillId="27" borderId="0" xfId="32" applyNumberFormat="1" applyFont="1" applyFill="1" applyAlignment="1" applyProtection="1">
      <alignment horizontal="center" vertical="center"/>
    </xf>
    <xf numFmtId="3" fontId="44" fillId="27" borderId="0" xfId="32" applyNumberFormat="1" applyFont="1" applyFill="1" applyAlignment="1" applyProtection="1">
      <alignment horizontal="center" vertical="center"/>
    </xf>
    <xf numFmtId="0" fontId="44" fillId="27" borderId="0" xfId="32" applyFont="1" applyFill="1" applyBorder="1" applyAlignment="1" applyProtection="1">
      <alignment horizontal="center" vertical="center"/>
    </xf>
    <xf numFmtId="0" fontId="126" fillId="27" borderId="0" xfId="32" applyFont="1" applyFill="1" applyBorder="1" applyAlignment="1" applyProtection="1">
      <alignment horizontal="center" vertical="center"/>
    </xf>
    <xf numFmtId="0" fontId="46" fillId="31" borderId="1" xfId="32" applyFont="1" applyFill="1" applyBorder="1" applyAlignment="1" applyProtection="1">
      <alignment vertical="center" wrapText="1"/>
    </xf>
    <xf numFmtId="9" fontId="128" fillId="31" borderId="38" xfId="70" applyFont="1" applyFill="1" applyBorder="1" applyAlignment="1" applyProtection="1">
      <alignment horizontal="center" vertical="center"/>
    </xf>
    <xf numFmtId="9" fontId="128"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pplyProtection="1">
      <alignment horizontal="center" vertical="center" wrapText="1"/>
    </xf>
    <xf numFmtId="0" fontId="46" fillId="31" borderId="29" xfId="32" applyFont="1" applyFill="1" applyBorder="1" applyAlignment="1" applyProtection="1">
      <alignment horizontal="center" vertical="center" wrapText="1"/>
    </xf>
    <xf numFmtId="3" fontId="46" fillId="31" borderId="75" xfId="32" applyNumberFormat="1" applyFont="1" applyFill="1" applyBorder="1" applyAlignment="1" applyProtection="1">
      <alignment horizontal="center" vertical="center"/>
    </xf>
    <xf numFmtId="0" fontId="44" fillId="27" borderId="25" xfId="32" applyFont="1" applyFill="1" applyBorder="1" applyAlignment="1" applyProtection="1">
      <alignment vertical="center" wrapText="1"/>
    </xf>
    <xf numFmtId="9" fontId="56" fillId="0" borderId="49" xfId="70" applyFont="1" applyFill="1" applyBorder="1" applyAlignment="1" applyProtection="1">
      <alignment horizontal="center" vertical="center"/>
    </xf>
    <xf numFmtId="9" fontId="126"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pplyProtection="1">
      <alignment horizontal="center" vertical="center" wrapText="1"/>
    </xf>
    <xf numFmtId="0" fontId="44" fillId="27" borderId="24" xfId="32" applyFont="1" applyFill="1" applyBorder="1" applyAlignment="1" applyProtection="1">
      <alignment vertical="center" wrapText="1"/>
    </xf>
    <xf numFmtId="3" fontId="126" fillId="27" borderId="52" xfId="32" applyNumberFormat="1" applyFont="1" applyFill="1" applyBorder="1" applyAlignment="1" applyProtection="1">
      <alignment horizontal="center" vertical="center"/>
    </xf>
    <xf numFmtId="3" fontId="44" fillId="26" borderId="52" xfId="32" applyNumberFormat="1" applyFont="1" applyFill="1" applyBorder="1" applyAlignment="1" applyProtection="1">
      <alignment horizontal="center" vertical="center"/>
    </xf>
    <xf numFmtId="3" fontId="44" fillId="26" borderId="32" xfId="32" applyNumberFormat="1" applyFont="1" applyFill="1" applyBorder="1" applyAlignment="1" applyProtection="1">
      <alignment horizontal="center" vertical="center"/>
    </xf>
    <xf numFmtId="3" fontId="44" fillId="26" borderId="15" xfId="32" applyNumberFormat="1" applyFont="1" applyFill="1" applyBorder="1" applyAlignment="1" applyProtection="1">
      <alignment horizontal="center" vertical="center"/>
    </xf>
    <xf numFmtId="9" fontId="126" fillId="0" borderId="52" xfId="70" applyFont="1" applyFill="1" applyBorder="1" applyAlignment="1" applyProtection="1">
      <alignment horizontal="center" vertical="center"/>
    </xf>
    <xf numFmtId="9" fontId="126"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pplyProtection="1">
      <alignment horizontal="center" vertical="center" wrapText="1"/>
    </xf>
    <xf numFmtId="3" fontId="126" fillId="26" borderId="99"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7" xfId="32" applyNumberFormat="1" applyFont="1" applyFill="1" applyBorder="1" applyAlignment="1" applyProtection="1">
      <alignment horizontal="center" vertical="center"/>
    </xf>
    <xf numFmtId="3" fontId="44" fillId="26" borderId="53" xfId="32" applyNumberFormat="1" applyFont="1" applyFill="1" applyBorder="1" applyAlignment="1" applyProtection="1">
      <alignment horizontal="center" vertical="center"/>
    </xf>
    <xf numFmtId="0" fontId="44" fillId="27" borderId="30" xfId="32" applyFont="1" applyFill="1" applyBorder="1" applyAlignment="1" applyProtection="1">
      <alignment vertical="center" wrapText="1"/>
    </xf>
    <xf numFmtId="9" fontId="126" fillId="0" borderId="56"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pplyProtection="1">
      <alignment horizontal="center" vertical="center" wrapText="1"/>
    </xf>
    <xf numFmtId="3" fontId="126" fillId="26" borderId="56" xfId="32" applyNumberFormat="1" applyFont="1" applyFill="1" applyBorder="1" applyAlignment="1" applyProtection="1">
      <alignment horizontal="center" vertical="center"/>
    </xf>
    <xf numFmtId="3" fontId="44" fillId="26" borderId="56" xfId="32" applyNumberFormat="1" applyFont="1" applyFill="1" applyBorder="1" applyAlignment="1" applyProtection="1">
      <alignment horizontal="center" vertical="center"/>
    </xf>
    <xf numFmtId="3" fontId="44" fillId="26" borderId="77" xfId="32" applyNumberFormat="1" applyFont="1" applyFill="1" applyBorder="1" applyAlignment="1" applyProtection="1">
      <alignment horizontal="center" vertical="center"/>
    </xf>
    <xf numFmtId="3" fontId="44" fillId="26" borderId="57"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horizontal="center" vertical="center"/>
    </xf>
    <xf numFmtId="3" fontId="126" fillId="27" borderId="0" xfId="32" applyNumberFormat="1" applyFont="1" applyFill="1" applyBorder="1" applyAlignment="1" applyProtection="1">
      <alignment horizontal="center" vertical="center"/>
    </xf>
    <xf numFmtId="0" fontId="46" fillId="31" borderId="29" xfId="32" applyFont="1" applyFill="1" applyBorder="1" applyAlignment="1" applyProtection="1">
      <alignment vertical="center" wrapText="1"/>
    </xf>
    <xf numFmtId="3" fontId="46" fillId="31" borderId="29" xfId="32" applyNumberFormat="1" applyFont="1" applyFill="1" applyBorder="1" applyAlignment="1" applyProtection="1">
      <alignment horizontal="center" vertical="center"/>
    </xf>
    <xf numFmtId="3" fontId="126" fillId="27" borderId="49" xfId="32" applyNumberFormat="1" applyFont="1" applyFill="1" applyBorder="1" applyAlignment="1" applyProtection="1">
      <alignment horizontal="center" vertical="center"/>
    </xf>
    <xf numFmtId="3" fontId="126" fillId="27" borderId="50" xfId="32" applyNumberFormat="1" applyFont="1" applyFill="1" applyBorder="1" applyAlignment="1" applyProtection="1">
      <alignment horizontal="center" vertical="center"/>
    </xf>
    <xf numFmtId="3" fontId="44" fillId="27" borderId="44" xfId="32" applyNumberFormat="1" applyFont="1" applyFill="1" applyBorder="1" applyAlignment="1" applyProtection="1">
      <alignment horizontal="center" vertical="center"/>
    </xf>
    <xf numFmtId="3" fontId="44" fillId="27" borderId="31" xfId="32"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center" vertical="center"/>
    </xf>
    <xf numFmtId="3" fontId="44" fillId="27" borderId="32" xfId="32" applyNumberFormat="1" applyFont="1" applyFill="1" applyBorder="1" applyAlignment="1" applyProtection="1">
      <alignment horizontal="center" vertical="center"/>
    </xf>
    <xf numFmtId="3" fontId="44" fillId="27" borderId="7" xfId="32" applyNumberFormat="1" applyFont="1" applyFill="1" applyBorder="1" applyAlignment="1" applyProtection="1">
      <alignment horizontal="center" vertical="center"/>
    </xf>
    <xf numFmtId="3" fontId="44" fillId="27" borderId="53" xfId="32" applyNumberFormat="1" applyFont="1" applyFill="1" applyBorder="1" applyAlignment="1" applyProtection="1">
      <alignment horizontal="center" vertical="center"/>
    </xf>
    <xf numFmtId="3" fontId="126" fillId="27" borderId="31" xfId="32" applyNumberFormat="1" applyFont="1" applyFill="1" applyBorder="1" applyAlignment="1" applyProtection="1">
      <alignment horizontal="center" vertical="center"/>
    </xf>
    <xf numFmtId="3" fontId="126" fillId="27" borderId="53" xfId="32" applyNumberFormat="1" applyFont="1" applyFill="1" applyBorder="1" applyAlignment="1" applyProtection="1">
      <alignment horizontal="center" vertical="center"/>
    </xf>
    <xf numFmtId="3" fontId="126" fillId="27" borderId="32" xfId="32" applyNumberFormat="1" applyFont="1" applyFill="1" applyBorder="1" applyAlignment="1" applyProtection="1">
      <alignment horizontal="center" vertical="center"/>
    </xf>
    <xf numFmtId="3" fontId="126" fillId="27" borderId="7" xfId="32" applyNumberFormat="1" applyFont="1" applyFill="1" applyBorder="1" applyAlignment="1" applyProtection="1">
      <alignment horizontal="center" vertical="center"/>
    </xf>
    <xf numFmtId="0" fontId="64" fillId="26" borderId="0" xfId="0" applyFont="1" applyFill="1" applyAlignment="1" applyProtection="1">
      <alignment horizontal="center" vertical="center"/>
    </xf>
    <xf numFmtId="0" fontId="64" fillId="26" borderId="0" xfId="0" applyFont="1" applyFill="1" applyAlignment="1" applyProtection="1">
      <alignment vertical="center"/>
    </xf>
    <xf numFmtId="3" fontId="126" fillId="27" borderId="56" xfId="32" applyNumberFormat="1" applyFont="1" applyFill="1" applyBorder="1" applyAlignment="1" applyProtection="1">
      <alignment horizontal="center" vertical="center"/>
    </xf>
    <xf numFmtId="3" fontId="126" fillId="27" borderId="48" xfId="32" applyNumberFormat="1" applyFont="1" applyFill="1" applyBorder="1" applyAlignment="1" applyProtection="1">
      <alignment horizontal="center" vertical="center"/>
    </xf>
    <xf numFmtId="3" fontId="44" fillId="27" borderId="70" xfId="32" applyNumberFormat="1" applyFont="1" applyFill="1" applyBorder="1" applyAlignment="1" applyProtection="1">
      <alignment horizontal="center" vertical="center"/>
    </xf>
    <xf numFmtId="3" fontId="44" fillId="27" borderId="71" xfId="32" applyNumberFormat="1" applyFont="1" applyFill="1" applyBorder="1" applyAlignment="1" applyProtection="1">
      <alignment horizontal="center" vertical="center"/>
    </xf>
    <xf numFmtId="3" fontId="44" fillId="27" borderId="101" xfId="32" applyNumberFormat="1" applyFont="1" applyFill="1" applyBorder="1" applyAlignment="1" applyProtection="1">
      <alignment horizontal="center" vertical="center"/>
    </xf>
    <xf numFmtId="3" fontId="46" fillId="27" borderId="30" xfId="32" applyNumberFormat="1" applyFont="1" applyFill="1" applyBorder="1" applyAlignment="1" applyProtection="1">
      <alignment horizontal="center" vertical="center"/>
    </xf>
    <xf numFmtId="3" fontId="126" fillId="27" borderId="57" xfId="32" applyNumberFormat="1" applyFont="1" applyFill="1" applyBorder="1" applyAlignment="1" applyProtection="1">
      <alignment horizontal="center" vertical="center"/>
    </xf>
    <xf numFmtId="3" fontId="126" fillId="27" borderId="79" xfId="32" applyNumberFormat="1" applyFont="1" applyFill="1" applyBorder="1" applyAlignment="1" applyProtection="1">
      <alignment horizontal="center" vertical="center"/>
    </xf>
    <xf numFmtId="3" fontId="126" fillId="27" borderId="77" xfId="32" applyNumberFormat="1" applyFont="1" applyFill="1" applyBorder="1" applyAlignment="1" applyProtection="1">
      <alignment horizontal="center" vertical="center"/>
    </xf>
    <xf numFmtId="3" fontId="126" fillId="27" borderId="47" xfId="32" applyNumberFormat="1" applyFont="1" applyFill="1" applyBorder="1" applyAlignment="1" applyProtection="1">
      <alignment horizontal="center" vertical="center"/>
    </xf>
    <xf numFmtId="3" fontId="126" fillId="27" borderId="71" xfId="32" applyNumberFormat="1" applyFont="1" applyFill="1" applyBorder="1" applyAlignment="1" applyProtection="1">
      <alignment horizontal="center" vertical="center"/>
    </xf>
    <xf numFmtId="3" fontId="131" fillId="27" borderId="0" xfId="32" applyNumberFormat="1" applyFont="1" applyFill="1" applyBorder="1" applyAlignment="1" applyProtection="1">
      <alignment horizontal="center" vertical="center" wrapText="1"/>
    </xf>
    <xf numFmtId="3" fontId="131" fillId="27" borderId="0" xfId="32" applyNumberFormat="1" applyFont="1" applyFill="1" applyBorder="1" applyAlignment="1" applyProtection="1">
      <alignment horizontal="right" vertical="center" wrapText="1"/>
    </xf>
    <xf numFmtId="0" fontId="131" fillId="27" borderId="0" xfId="32" applyFont="1" applyFill="1" applyAlignment="1" applyProtection="1">
      <alignment horizontal="center" vertical="center"/>
    </xf>
    <xf numFmtId="0" fontId="131" fillId="27" borderId="0" xfId="32" applyFont="1" applyFill="1" applyAlignment="1" applyProtection="1">
      <alignment vertical="center"/>
    </xf>
    <xf numFmtId="0" fontId="64" fillId="27" borderId="0" xfId="32" applyFont="1" applyFill="1" applyAlignment="1" applyProtection="1">
      <alignment horizontal="left" vertical="center"/>
    </xf>
    <xf numFmtId="3" fontId="44" fillId="27" borderId="33" xfId="32" applyNumberFormat="1" applyFont="1" applyFill="1" applyBorder="1" applyAlignment="1" applyProtection="1">
      <alignment horizontal="center" vertical="center"/>
    </xf>
    <xf numFmtId="0" fontId="46" fillId="31" borderId="51" xfId="0" applyFont="1" applyFill="1" applyBorder="1" applyAlignment="1" applyProtection="1">
      <alignment vertical="center" wrapText="1"/>
    </xf>
    <xf numFmtId="3" fontId="46" fillId="31" borderId="72" xfId="0" applyNumberFormat="1" applyFont="1" applyFill="1" applyBorder="1" applyAlignment="1" applyProtection="1">
      <alignment horizontal="center" vertical="center"/>
    </xf>
    <xf numFmtId="3" fontId="46" fillId="31" borderId="76" xfId="0" applyNumberFormat="1" applyFont="1" applyFill="1" applyBorder="1" applyAlignment="1" applyProtection="1">
      <alignment horizontal="center" vertical="center"/>
    </xf>
    <xf numFmtId="3" fontId="46" fillId="31" borderId="73" xfId="0" applyNumberFormat="1" applyFont="1" applyFill="1" applyBorder="1" applyAlignment="1" applyProtection="1">
      <alignment horizontal="center" vertical="center"/>
    </xf>
    <xf numFmtId="3" fontId="46" fillId="31" borderId="75" xfId="0" applyNumberFormat="1" applyFont="1" applyFill="1" applyBorder="1" applyAlignment="1" applyProtection="1">
      <alignment horizontal="center" vertical="center"/>
    </xf>
    <xf numFmtId="0" fontId="44" fillId="27" borderId="17" xfId="32" applyFont="1" applyFill="1" applyBorder="1" applyAlignment="1" applyProtection="1">
      <alignment vertical="center" wrapText="1"/>
    </xf>
    <xf numFmtId="3" fontId="44" fillId="27" borderId="52" xfId="32" applyNumberFormat="1" applyFont="1" applyFill="1" applyBorder="1" applyAlignment="1" applyProtection="1">
      <alignment horizontal="center" vertical="center"/>
    </xf>
    <xf numFmtId="0" fontId="39" fillId="27" borderId="0" xfId="32" applyFont="1" applyFill="1" applyBorder="1" applyAlignment="1" applyProtection="1">
      <alignment vertical="center" wrapText="1"/>
    </xf>
    <xf numFmtId="0" fontId="39" fillId="27" borderId="0" xfId="32" applyFont="1" applyFill="1" applyBorder="1" applyAlignment="1" applyProtection="1">
      <alignment horizontal="center" vertical="center" wrapText="1"/>
    </xf>
    <xf numFmtId="14" fontId="39" fillId="27" borderId="0" xfId="32" applyNumberFormat="1" applyFont="1" applyFill="1" applyBorder="1" applyAlignment="1" applyProtection="1">
      <alignment horizontal="left" vertical="center"/>
    </xf>
    <xf numFmtId="0" fontId="39" fillId="27" borderId="0" xfId="32" applyFont="1" applyFill="1" applyBorder="1" applyAlignment="1" applyProtection="1">
      <alignment horizontal="right" vertical="center"/>
    </xf>
    <xf numFmtId="0" fontId="44" fillId="27" borderId="0" xfId="32" applyFont="1" applyFill="1" applyBorder="1" applyAlignment="1" applyProtection="1">
      <alignment horizontal="right" vertical="center" wrapText="1"/>
    </xf>
    <xf numFmtId="3" fontId="46" fillId="27" borderId="0" xfId="32" applyNumberFormat="1" applyFont="1" applyFill="1" applyBorder="1" applyAlignment="1" applyProtection="1">
      <alignment horizontal="center" vertical="center" wrapText="1"/>
    </xf>
    <xf numFmtId="3" fontId="39" fillId="27" borderId="0" xfId="32" applyNumberFormat="1" applyFont="1" applyFill="1" applyBorder="1" applyAlignment="1" applyProtection="1">
      <alignment horizontal="right" vertical="center" wrapText="1"/>
    </xf>
    <xf numFmtId="0" fontId="39" fillId="27" borderId="0" xfId="32" applyFont="1" applyFill="1" applyBorder="1" applyAlignment="1" applyProtection="1">
      <alignment horizontal="center" vertical="center"/>
    </xf>
    <xf numFmtId="0" fontId="41" fillId="27" borderId="0" xfId="32" applyFont="1" applyFill="1" applyBorder="1" applyAlignment="1" applyProtection="1">
      <alignment horizontal="center" vertical="center"/>
    </xf>
    <xf numFmtId="0" fontId="46" fillId="27" borderId="0" xfId="32" applyFont="1" applyFill="1" applyAlignment="1" applyProtection="1">
      <alignment horizontal="center" vertical="center"/>
    </xf>
    <xf numFmtId="0" fontId="44" fillId="0" borderId="17" xfId="32" applyFont="1" applyFill="1" applyBorder="1" applyAlignment="1" applyProtection="1">
      <alignment vertical="center" wrapText="1"/>
    </xf>
    <xf numFmtId="3" fontId="44" fillId="0" borderId="44" xfId="32" applyNumberFormat="1" applyFont="1" applyFill="1" applyBorder="1" applyAlignment="1" applyProtection="1">
      <alignment horizontal="center" vertical="center"/>
    </xf>
    <xf numFmtId="3" fontId="44" fillId="0" borderId="50" xfId="32" applyNumberFormat="1" applyFont="1" applyFill="1" applyBorder="1" applyAlignment="1" applyProtection="1">
      <alignment horizontal="center" vertical="center"/>
    </xf>
    <xf numFmtId="3" fontId="44" fillId="0" borderId="31" xfId="32" applyNumberFormat="1" applyFont="1" applyFill="1" applyBorder="1" applyAlignment="1" applyProtection="1">
      <alignment horizontal="center" vertical="center"/>
    </xf>
    <xf numFmtId="3" fontId="46" fillId="0" borderId="24" xfId="32" applyNumberFormat="1" applyFont="1" applyFill="1" applyBorder="1" applyAlignment="1" applyProtection="1">
      <alignment horizontal="center" vertical="center"/>
    </xf>
    <xf numFmtId="3" fontId="44" fillId="0" borderId="49" xfId="32" applyNumberFormat="1" applyFont="1" applyFill="1" applyBorder="1" applyAlignment="1" applyProtection="1">
      <alignment horizontal="center" vertical="center"/>
    </xf>
    <xf numFmtId="0" fontId="44" fillId="0" borderId="21" xfId="32" applyFont="1" applyFill="1" applyBorder="1" applyAlignment="1" applyProtection="1">
      <alignment vertical="center" wrapText="1"/>
    </xf>
    <xf numFmtId="3" fontId="44" fillId="0" borderId="70" xfId="32" applyNumberFormat="1" applyFont="1" applyFill="1" applyBorder="1" applyAlignment="1" applyProtection="1">
      <alignment horizontal="center" vertical="center"/>
    </xf>
    <xf numFmtId="3" fontId="44" fillId="0" borderId="57" xfId="32" applyNumberFormat="1" applyFont="1" applyFill="1" applyBorder="1" applyAlignment="1" applyProtection="1">
      <alignment horizontal="center" vertical="center"/>
    </xf>
    <xf numFmtId="3" fontId="44" fillId="0" borderId="79" xfId="32" applyNumberFormat="1" applyFont="1" applyFill="1" applyBorder="1" applyAlignment="1" applyProtection="1">
      <alignment horizontal="center" vertical="center"/>
    </xf>
    <xf numFmtId="3" fontId="44" fillId="0" borderId="77" xfId="32" applyNumberFormat="1" applyFont="1" applyFill="1" applyBorder="1" applyAlignment="1" applyProtection="1">
      <alignment horizontal="center" vertical="center"/>
    </xf>
    <xf numFmtId="3" fontId="44" fillId="0" borderId="56" xfId="32" applyNumberFormat="1" applyFont="1" applyFill="1" applyBorder="1" applyAlignment="1" applyProtection="1">
      <alignment horizontal="center" vertical="center"/>
    </xf>
    <xf numFmtId="3" fontId="56" fillId="27" borderId="0" xfId="32" applyNumberFormat="1" applyFont="1" applyFill="1" applyBorder="1" applyAlignment="1" applyProtection="1">
      <alignment horizontal="center" vertical="center"/>
    </xf>
    <xf numFmtId="3" fontId="83" fillId="27" borderId="0"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vertical="center" wrapText="1"/>
    </xf>
    <xf numFmtId="0" fontId="46" fillId="31" borderId="29" xfId="0" applyFont="1" applyFill="1" applyBorder="1" applyAlignment="1" applyProtection="1">
      <alignment vertical="center" wrapText="1"/>
    </xf>
    <xf numFmtId="3" fontId="46" fillId="31" borderId="74" xfId="0" applyNumberFormat="1" applyFont="1" applyFill="1" applyBorder="1" applyAlignment="1" applyProtection="1">
      <alignment horizontal="center" vertical="center"/>
    </xf>
    <xf numFmtId="3" fontId="56" fillId="27" borderId="52" xfId="32" applyNumberFormat="1" applyFont="1" applyFill="1" applyBorder="1" applyAlignment="1" applyProtection="1">
      <alignment horizontal="center" vertical="center"/>
    </xf>
    <xf numFmtId="3" fontId="56" fillId="27" borderId="53" xfId="32" applyNumberFormat="1" applyFont="1" applyFill="1" applyBorder="1" applyAlignment="1" applyProtection="1">
      <alignment horizontal="center" vertical="center"/>
    </xf>
    <xf numFmtId="3" fontId="56" fillId="27" borderId="32" xfId="32" applyNumberFormat="1" applyFont="1" applyFill="1" applyBorder="1" applyAlignment="1" applyProtection="1">
      <alignment horizontal="center" vertical="center"/>
    </xf>
    <xf numFmtId="3" fontId="56" fillId="27" borderId="7" xfId="32" applyNumberFormat="1" applyFont="1" applyFill="1" applyBorder="1" applyAlignment="1" applyProtection="1">
      <alignment horizontal="center" vertical="center"/>
    </xf>
    <xf numFmtId="3" fontId="56" fillId="27" borderId="62" xfId="32" applyNumberFormat="1" applyFont="1" applyFill="1" applyBorder="1" applyAlignment="1" applyProtection="1">
      <alignment horizontal="center" vertical="center"/>
    </xf>
    <xf numFmtId="0" fontId="56" fillId="27" borderId="0" xfId="32" applyFont="1" applyFill="1" applyBorder="1" applyAlignment="1" applyProtection="1">
      <alignment horizontal="center" vertical="center" wrapText="1"/>
    </xf>
    <xf numFmtId="0" fontId="56" fillId="27" borderId="0" xfId="32" applyFont="1" applyFill="1" applyBorder="1" applyAlignment="1" applyProtection="1">
      <alignment vertical="center" wrapText="1"/>
    </xf>
    <xf numFmtId="0" fontId="44" fillId="27" borderId="5" xfId="32" applyFont="1" applyFill="1" applyBorder="1" applyAlignment="1" applyProtection="1">
      <alignment vertical="center" wrapText="1"/>
    </xf>
    <xf numFmtId="3" fontId="44" fillId="27" borderId="49" xfId="32" applyNumberFormat="1" applyFont="1" applyFill="1" applyBorder="1" applyAlignment="1" applyProtection="1">
      <alignment horizontal="center" vertical="center"/>
    </xf>
    <xf numFmtId="3" fontId="44" fillId="27" borderId="50" xfId="32" applyNumberFormat="1" applyFont="1" applyFill="1" applyBorder="1" applyAlignment="1" applyProtection="1">
      <alignment horizontal="center" vertical="center"/>
    </xf>
    <xf numFmtId="0" fontId="44" fillId="27" borderId="21" xfId="32" applyFont="1" applyFill="1" applyBorder="1" applyAlignment="1" applyProtection="1">
      <alignment vertical="center" wrapText="1"/>
    </xf>
    <xf numFmtId="3" fontId="56" fillId="27" borderId="56" xfId="32" applyNumberFormat="1" applyFont="1" applyFill="1" applyBorder="1" applyAlignment="1" applyProtection="1">
      <alignment horizontal="center" vertical="center"/>
    </xf>
    <xf numFmtId="3" fontId="56" fillId="27" borderId="57" xfId="32" applyNumberFormat="1" applyFont="1" applyFill="1" applyBorder="1" applyAlignment="1" applyProtection="1">
      <alignment horizontal="center" vertical="center"/>
    </xf>
    <xf numFmtId="3" fontId="56" fillId="27" borderId="79" xfId="32" applyNumberFormat="1" applyFont="1" applyFill="1" applyBorder="1" applyAlignment="1" applyProtection="1">
      <alignment horizontal="center" vertical="center"/>
    </xf>
    <xf numFmtId="3" fontId="56" fillId="27" borderId="77" xfId="32" applyNumberFormat="1" applyFont="1" applyFill="1" applyBorder="1" applyAlignment="1" applyProtection="1">
      <alignment horizontal="center" vertical="center"/>
    </xf>
    <xf numFmtId="3" fontId="44" fillId="27" borderId="56" xfId="32" applyNumberFormat="1" applyFont="1" applyFill="1" applyBorder="1" applyAlignment="1" applyProtection="1">
      <alignment horizontal="center" vertical="center"/>
    </xf>
    <xf numFmtId="3" fontId="44" fillId="27" borderId="57" xfId="32" applyNumberFormat="1" applyFont="1" applyFill="1" applyBorder="1" applyAlignment="1" applyProtection="1">
      <alignment horizontal="center" vertical="center"/>
    </xf>
    <xf numFmtId="3" fontId="44" fillId="27" borderId="79" xfId="32" applyNumberFormat="1" applyFont="1" applyFill="1" applyBorder="1" applyAlignment="1" applyProtection="1">
      <alignment horizontal="center" vertical="center"/>
    </xf>
    <xf numFmtId="3" fontId="44" fillId="27" borderId="77" xfId="32" applyNumberFormat="1" applyFont="1" applyFill="1" applyBorder="1" applyAlignment="1" applyProtection="1">
      <alignment horizontal="center" vertical="center"/>
    </xf>
    <xf numFmtId="0" fontId="83" fillId="26" borderId="0" xfId="0" applyFont="1" applyFill="1" applyAlignment="1" applyProtection="1">
      <alignment vertical="center"/>
    </xf>
    <xf numFmtId="0" fontId="44" fillId="26" borderId="0" xfId="0" applyNumberFormat="1" applyFont="1" applyFill="1" applyBorder="1" applyAlignment="1" applyProtection="1">
      <alignment vertical="center"/>
    </xf>
    <xf numFmtId="0" fontId="83" fillId="26" borderId="0" xfId="0" applyFont="1" applyFill="1" applyAlignment="1" applyProtection="1">
      <alignment horizontal="center" vertical="center"/>
    </xf>
    <xf numFmtId="14" fontId="20" fillId="26" borderId="0" xfId="0" applyNumberFormat="1" applyFont="1" applyFill="1" applyAlignment="1" applyProtection="1">
      <alignment horizontal="left" vertical="center"/>
    </xf>
    <xf numFmtId="0" fontId="46" fillId="26" borderId="0" xfId="0" applyFont="1" applyFill="1" applyAlignment="1" applyProtection="1">
      <alignment horizontal="right" vertical="center"/>
    </xf>
    <xf numFmtId="0" fontId="44" fillId="26" borderId="0" xfId="0" applyFont="1" applyFill="1" applyBorder="1" applyAlignment="1" applyProtection="1">
      <alignment horizontal="center" vertical="center"/>
    </xf>
    <xf numFmtId="14" fontId="46" fillId="0" borderId="0" xfId="0" applyNumberFormat="1" applyFont="1" applyFill="1" applyBorder="1" applyAlignment="1" applyProtection="1">
      <alignment vertical="center"/>
    </xf>
    <xf numFmtId="0" fontId="44" fillId="26" borderId="0" xfId="0" applyFont="1" applyFill="1" applyBorder="1" applyAlignment="1" applyProtection="1">
      <alignment vertical="center"/>
    </xf>
    <xf numFmtId="14" fontId="56" fillId="26" borderId="0" xfId="0" applyNumberFormat="1" applyFont="1" applyFill="1" applyAlignment="1" applyProtection="1">
      <alignment horizontal="center" vertical="center"/>
    </xf>
    <xf numFmtId="0" fontId="126"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6" fillId="27" borderId="0" xfId="0" applyFont="1" applyFill="1" applyAlignment="1" applyProtection="1">
      <alignment horizontal="left" vertical="center"/>
    </xf>
    <xf numFmtId="0" fontId="64" fillId="27" borderId="0" xfId="0" applyFont="1" applyFill="1" applyAlignment="1" applyProtection="1">
      <alignment horizontal="left" vertical="center"/>
    </xf>
    <xf numFmtId="0" fontId="56" fillId="26" borderId="0" xfId="0" applyFont="1" applyFill="1" applyBorder="1" applyAlignment="1" applyProtection="1">
      <alignment vertical="center"/>
    </xf>
    <xf numFmtId="0" fontId="83" fillId="27" borderId="0" xfId="0" applyFont="1" applyFill="1" applyAlignment="1" applyProtection="1">
      <alignment vertical="center"/>
    </xf>
    <xf numFmtId="49" fontId="64" fillId="26" borderId="0" xfId="0" applyNumberFormat="1" applyFont="1" applyFill="1" applyBorder="1" applyAlignment="1" applyProtection="1">
      <alignment horizontal="right" vertical="center"/>
    </xf>
    <xf numFmtId="0" fontId="83" fillId="26" borderId="0" xfId="0" applyNumberFormat="1" applyFont="1" applyFill="1" applyBorder="1" applyAlignment="1" applyProtection="1">
      <alignment horizontal="center" vertical="center"/>
    </xf>
    <xf numFmtId="0" fontId="44" fillId="27" borderId="0" xfId="0" applyFont="1" applyFill="1" applyAlignment="1" applyProtection="1">
      <alignment horizontal="center" vertical="center"/>
    </xf>
    <xf numFmtId="0" fontId="126" fillId="26" borderId="0" xfId="0" applyNumberFormat="1" applyFont="1" applyFill="1" applyBorder="1" applyAlignment="1" applyProtection="1">
      <alignment horizontal="left" vertical="center"/>
    </xf>
    <xf numFmtId="0" fontId="83" fillId="27" borderId="0" xfId="0" applyFont="1" applyFill="1" applyAlignment="1" applyProtection="1">
      <alignment vertical="center" wrapText="1"/>
    </xf>
    <xf numFmtId="0" fontId="44" fillId="26" borderId="0" xfId="0" applyFont="1" applyFill="1" applyBorder="1" applyAlignment="1" applyProtection="1">
      <alignment horizontal="left" vertical="center"/>
    </xf>
    <xf numFmtId="0" fontId="56" fillId="26" borderId="0" xfId="0" applyFont="1" applyFill="1" applyAlignment="1" applyProtection="1">
      <alignment horizontal="left" vertical="center"/>
    </xf>
    <xf numFmtId="49" fontId="44" fillId="26" borderId="0" xfId="0" applyNumberFormat="1" applyFont="1" applyFill="1" applyBorder="1" applyAlignment="1" applyProtection="1">
      <alignment horizontal="left" vertical="center"/>
    </xf>
    <xf numFmtId="49" fontId="11" fillId="0" borderId="0" xfId="31" applyNumberFormat="1" applyFont="1" applyAlignment="1" applyProtection="1">
      <alignment horizontal="center" vertical="center"/>
    </xf>
    <xf numFmtId="0" fontId="11" fillId="0" borderId="0" xfId="31" applyFont="1" applyBorder="1" applyAlignment="1" applyProtection="1">
      <alignment horizontal="center" vertical="center"/>
    </xf>
    <xf numFmtId="0" fontId="19" fillId="0" borderId="0" xfId="31" applyFont="1" applyBorder="1" applyAlignment="1" applyProtection="1">
      <alignment vertical="center"/>
    </xf>
    <xf numFmtId="0" fontId="48" fillId="0" borderId="0" xfId="31" applyFont="1" applyBorder="1" applyAlignment="1" applyProtection="1">
      <alignment vertical="center"/>
    </xf>
    <xf numFmtId="0" fontId="11" fillId="0" borderId="0" xfId="31" applyFont="1" applyBorder="1" applyAlignment="1" applyProtection="1">
      <alignment vertical="center"/>
    </xf>
    <xf numFmtId="0" fontId="11" fillId="0" borderId="0" xfId="31" applyFont="1" applyAlignment="1" applyProtection="1">
      <alignment vertical="center"/>
    </xf>
    <xf numFmtId="0" fontId="42" fillId="0" borderId="0" xfId="31" applyFont="1" applyAlignment="1" applyProtection="1">
      <alignment horizontal="right" vertical="center"/>
    </xf>
    <xf numFmtId="0" fontId="39" fillId="37" borderId="56" xfId="31" applyFont="1" applyFill="1" applyBorder="1" applyAlignment="1" applyProtection="1">
      <alignment horizontal="center" vertical="center"/>
    </xf>
    <xf numFmtId="0" fontId="39" fillId="37" borderId="77" xfId="31" applyFont="1" applyFill="1" applyBorder="1" applyAlignment="1" applyProtection="1">
      <alignment horizontal="center" vertical="center"/>
    </xf>
    <xf numFmtId="0" fontId="39" fillId="37" borderId="57" xfId="31" applyFont="1" applyFill="1" applyBorder="1" applyAlignment="1" applyProtection="1">
      <alignment horizontal="center" vertical="center"/>
    </xf>
    <xf numFmtId="0" fontId="39" fillId="37" borderId="79" xfId="31" applyFont="1" applyFill="1" applyBorder="1" applyAlignment="1" applyProtection="1">
      <alignment horizontal="center" vertical="center"/>
    </xf>
    <xf numFmtId="49" fontId="39" fillId="0" borderId="75" xfId="31" applyNumberFormat="1" applyFont="1" applyBorder="1" applyAlignment="1" applyProtection="1">
      <alignment horizontal="center" vertical="center"/>
    </xf>
    <xf numFmtId="0" fontId="39" fillId="24" borderId="74" xfId="31" applyFont="1" applyFill="1" applyBorder="1" applyAlignment="1" applyProtection="1">
      <alignment horizontal="center" vertical="center"/>
    </xf>
    <xf numFmtId="49" fontId="40" fillId="0" borderId="52" xfId="31" applyNumberFormat="1" applyFont="1" applyBorder="1" applyAlignment="1" applyProtection="1">
      <alignment horizontal="center" vertical="center"/>
    </xf>
    <xf numFmtId="0" fontId="41" fillId="0" borderId="62" xfId="31" applyFont="1" applyBorder="1" applyAlignment="1" applyProtection="1">
      <alignment horizontal="right" vertical="center"/>
    </xf>
    <xf numFmtId="49" fontId="40" fillId="0" borderId="56" xfId="31" applyNumberFormat="1" applyFont="1" applyBorder="1" applyAlignment="1" applyProtection="1">
      <alignment horizontal="center" vertical="center"/>
    </xf>
    <xf numFmtId="0" fontId="41" fillId="0" borderId="78" xfId="31" applyFont="1" applyBorder="1" applyAlignment="1" applyProtection="1">
      <alignment horizontal="right" vertical="center"/>
    </xf>
    <xf numFmtId="49" fontId="11" fillId="0" borderId="0" xfId="31" applyNumberFormat="1" applyFont="1" applyFill="1" applyAlignment="1" applyProtection="1">
      <alignment horizontal="center" vertical="center"/>
    </xf>
    <xf numFmtId="0" fontId="40" fillId="0" borderId="0" xfId="31" applyFont="1" applyFill="1" applyAlignment="1" applyProtection="1">
      <alignment vertical="center"/>
    </xf>
    <xf numFmtId="3" fontId="39" fillId="0" borderId="0" xfId="31" applyNumberFormat="1" applyFont="1" applyFill="1" applyBorder="1" applyAlignment="1" applyProtection="1">
      <alignment vertical="center"/>
    </xf>
    <xf numFmtId="3" fontId="39" fillId="24" borderId="73" xfId="31" applyNumberFormat="1" applyFont="1" applyFill="1" applyBorder="1" applyAlignment="1" applyProtection="1">
      <alignment horizontal="center" vertical="center"/>
    </xf>
    <xf numFmtId="3" fontId="39" fillId="24" borderId="76" xfId="31" applyNumberFormat="1" applyFont="1" applyFill="1" applyBorder="1" applyAlignment="1" applyProtection="1">
      <alignment horizontal="center" vertical="center"/>
    </xf>
    <xf numFmtId="3" fontId="39" fillId="24" borderId="74" xfId="31" applyNumberFormat="1" applyFont="1" applyFill="1" applyBorder="1" applyAlignment="1" applyProtection="1">
      <alignment horizontal="center" vertical="center"/>
    </xf>
    <xf numFmtId="49" fontId="20" fillId="0" borderId="52" xfId="31" applyNumberFormat="1" applyFont="1" applyBorder="1" applyAlignment="1" applyProtection="1">
      <alignment horizontal="center" vertical="center"/>
    </xf>
    <xf numFmtId="0" fontId="39" fillId="26" borderId="62" xfId="31" applyFont="1" applyFill="1" applyBorder="1" applyAlignment="1" applyProtection="1">
      <alignment horizontal="center" vertical="center"/>
    </xf>
    <xf numFmtId="49" fontId="42" fillId="0" borderId="52" xfId="31" applyNumberFormat="1" applyFont="1" applyBorder="1" applyAlignment="1" applyProtection="1">
      <alignment horizontal="center" vertical="center"/>
    </xf>
    <xf numFmtId="49" fontId="42" fillId="43" borderId="52" xfId="31" applyNumberFormat="1" applyFont="1" applyFill="1" applyBorder="1" applyAlignment="1" applyProtection="1">
      <alignment horizontal="center" vertical="center"/>
    </xf>
    <xf numFmtId="0" fontId="41" fillId="43" borderId="62" xfId="31" applyFont="1" applyFill="1" applyBorder="1" applyAlignment="1" applyProtection="1">
      <alignment horizontal="right" vertical="center"/>
    </xf>
    <xf numFmtId="49" fontId="78" fillId="0" borderId="38" xfId="0" applyNumberFormat="1" applyFont="1" applyBorder="1" applyAlignment="1" applyProtection="1">
      <alignment horizontal="center" vertical="center"/>
    </xf>
    <xf numFmtId="0" fontId="94" fillId="26" borderId="60" xfId="31" applyFont="1" applyFill="1" applyBorder="1" applyAlignment="1" applyProtection="1">
      <alignment vertical="center" wrapText="1"/>
    </xf>
    <xf numFmtId="0" fontId="94" fillId="0" borderId="0" xfId="31" applyFont="1" applyBorder="1" applyAlignment="1" applyProtection="1">
      <alignment vertical="center" wrapText="1"/>
    </xf>
    <xf numFmtId="49" fontId="11" fillId="26" borderId="38" xfId="0" applyNumberFormat="1" applyFont="1" applyFill="1" applyBorder="1" applyAlignment="1" applyProtection="1">
      <alignment horizontal="center" vertical="center"/>
    </xf>
    <xf numFmtId="3" fontId="40" fillId="0" borderId="9" xfId="21" applyNumberFormat="1" applyFont="1" applyFill="1" applyBorder="1" applyAlignment="1" applyProtection="1">
      <alignment horizontal="center" vertical="center" wrapText="1"/>
    </xf>
    <xf numFmtId="3" fontId="40" fillId="0" borderId="60" xfId="21" applyNumberFormat="1" applyFont="1" applyFill="1" applyBorder="1" applyAlignment="1" applyProtection="1">
      <alignment horizontal="center" vertical="center" wrapText="1"/>
    </xf>
    <xf numFmtId="3" fontId="40" fillId="0" borderId="10" xfId="21"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vertical="center"/>
    </xf>
    <xf numFmtId="49" fontId="11" fillId="0" borderId="75" xfId="0" applyNumberFormat="1" applyFont="1" applyFill="1" applyBorder="1" applyAlignment="1" applyProtection="1">
      <alignment horizontal="center" vertical="center"/>
    </xf>
    <xf numFmtId="49" fontId="11" fillId="0" borderId="52" xfId="0" applyNumberFormat="1" applyFont="1" applyFill="1" applyBorder="1" applyAlignment="1" applyProtection="1">
      <alignment horizontal="center" vertical="center"/>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49" fontId="11" fillId="0" borderId="38"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49" fontId="40" fillId="29" borderId="1" xfId="49" applyNumberFormat="1" applyFont="1" applyFill="1" applyBorder="1" applyAlignment="1" applyProtection="1">
      <alignment horizontal="right" vertical="center"/>
    </xf>
    <xf numFmtId="173" fontId="39" fillId="37" borderId="56" xfId="31" applyNumberFormat="1" applyFont="1" applyFill="1" applyBorder="1" applyAlignment="1" applyProtection="1">
      <alignment horizontal="center" vertical="center"/>
    </xf>
    <xf numFmtId="173" fontId="39" fillId="37" borderId="77" xfId="31" applyNumberFormat="1" applyFont="1" applyFill="1" applyBorder="1" applyAlignment="1" applyProtection="1">
      <alignment horizontal="center" vertical="center"/>
    </xf>
    <xf numFmtId="173" fontId="39" fillId="37" borderId="57" xfId="31" applyNumberFormat="1" applyFont="1" applyFill="1" applyBorder="1" applyAlignment="1" applyProtection="1">
      <alignment horizontal="center" vertical="center"/>
    </xf>
    <xf numFmtId="173" fontId="39" fillId="37" borderId="79" xfId="31" applyNumberFormat="1" applyFont="1" applyFill="1" applyBorder="1" applyAlignment="1" applyProtection="1">
      <alignment horizontal="center" vertical="center"/>
    </xf>
    <xf numFmtId="49" fontId="40" fillId="0" borderId="33" xfId="27" applyFont="1" applyFill="1" applyBorder="1" applyAlignment="1" applyProtection="1">
      <alignment vertical="center" wrapText="1"/>
    </xf>
    <xf numFmtId="3" fontId="11" fillId="26" borderId="52" xfId="32" applyNumberFormat="1" applyFont="1" applyFill="1" applyBorder="1" applyAlignment="1" applyProtection="1">
      <alignment horizontal="center" vertical="center"/>
    </xf>
    <xf numFmtId="49" fontId="40" fillId="0" borderId="23" xfId="27" applyFont="1" applyFill="1" applyBorder="1" applyAlignment="1" applyProtection="1">
      <alignment vertical="center" wrapText="1"/>
    </xf>
    <xf numFmtId="3" fontId="11" fillId="26" borderId="7" xfId="32" applyNumberFormat="1" applyFont="1" applyFill="1" applyBorder="1" applyAlignment="1" applyProtection="1">
      <alignment horizontal="center" vertical="center"/>
    </xf>
    <xf numFmtId="3" fontId="11" fillId="26" borderId="53" xfId="32" applyNumberFormat="1" applyFont="1" applyFill="1" applyBorder="1" applyAlignment="1" applyProtection="1">
      <alignment horizontal="center" vertical="center"/>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pplyAlignment="1" applyProtection="1">
      <alignment horizontal="right" vertical="center" wrapText="1"/>
    </xf>
    <xf numFmtId="38" fontId="40" fillId="0" borderId="7" xfId="28" applyFont="1" applyFill="1" applyBorder="1" applyAlignment="1" applyProtection="1">
      <alignment horizontal="right" vertical="center" wrapText="1"/>
    </xf>
    <xf numFmtId="38" fontId="40" fillId="0" borderId="53" xfId="28" applyFont="1" applyFill="1" applyBorder="1" applyAlignment="1" applyProtection="1">
      <alignment horizontal="right" vertical="center" wrapText="1"/>
    </xf>
    <xf numFmtId="173" fontId="39" fillId="37" borderId="69" xfId="31" applyNumberFormat="1" applyFont="1" applyFill="1" applyBorder="1" applyAlignment="1" applyProtection="1">
      <alignment horizontal="center" vertical="center"/>
    </xf>
    <xf numFmtId="173" fontId="39" fillId="37" borderId="63" xfId="31" applyNumberFormat="1" applyFont="1" applyFill="1" applyBorder="1" applyAlignment="1" applyProtection="1">
      <alignment horizontal="center" vertical="center"/>
    </xf>
    <xf numFmtId="173" fontId="39" fillId="37" borderId="55" xfId="31" applyNumberFormat="1" applyFont="1" applyFill="1" applyBorder="1" applyAlignment="1" applyProtection="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pplyAlignment="1" applyProtection="1">
      <alignment horizontal="right" vertical="center" wrapText="1"/>
    </xf>
    <xf numFmtId="38" fontId="40" fillId="0" borderId="54" xfId="28" applyFont="1" applyFill="1" applyBorder="1" applyAlignment="1" applyProtection="1">
      <alignment horizontal="right" vertical="center" wrapText="1"/>
    </xf>
    <xf numFmtId="38" fontId="40" fillId="0" borderId="63" xfId="28" applyFont="1" applyFill="1" applyBorder="1" applyAlignment="1" applyProtection="1">
      <alignment horizontal="right" vertical="center" wrapText="1"/>
    </xf>
    <xf numFmtId="38" fontId="40" fillId="0" borderId="55" xfId="28" applyFont="1" applyFill="1" applyBorder="1" applyAlignment="1" applyProtection="1">
      <alignment horizontal="right" vertical="center" wrapText="1"/>
    </xf>
    <xf numFmtId="38" fontId="40" fillId="0" borderId="69" xfId="28" applyFont="1" applyFill="1" applyBorder="1" applyAlignment="1" applyProtection="1">
      <alignment horizontal="right" vertical="center" wrapText="1"/>
    </xf>
    <xf numFmtId="49" fontId="40" fillId="0" borderId="28" xfId="27" applyFont="1" applyFill="1" applyBorder="1" applyAlignment="1" applyProtection="1">
      <alignment vertical="center" wrapText="1"/>
    </xf>
    <xf numFmtId="38" fontId="40" fillId="0" borderId="56" xfId="28" applyFont="1" applyFill="1" applyBorder="1" applyAlignment="1" applyProtection="1">
      <alignment horizontal="right" vertical="center" wrapText="1"/>
    </xf>
    <xf numFmtId="38" fontId="40" fillId="0" borderId="77" xfId="28" applyFont="1" applyFill="1" applyBorder="1" applyAlignment="1" applyProtection="1">
      <alignment horizontal="right" vertical="center" wrapText="1"/>
    </xf>
    <xf numFmtId="38" fontId="40" fillId="0" borderId="57" xfId="28" applyFont="1" applyFill="1" applyBorder="1" applyAlignment="1" applyProtection="1">
      <alignment horizontal="right" vertical="center" wrapText="1"/>
    </xf>
    <xf numFmtId="173" fontId="39" fillId="37" borderId="56" xfId="31" applyNumberFormat="1" applyFont="1" applyFill="1" applyBorder="1" applyAlignment="1" applyProtection="1">
      <alignment vertical="center"/>
    </xf>
    <xf numFmtId="173" fontId="39" fillId="37" borderId="77" xfId="31" applyNumberFormat="1" applyFont="1" applyFill="1" applyBorder="1" applyAlignment="1" applyProtection="1">
      <alignment vertical="center"/>
    </xf>
    <xf numFmtId="173" fontId="39" fillId="37" borderId="57" xfId="31" applyNumberFormat="1" applyFont="1" applyFill="1" applyBorder="1" applyAlignment="1" applyProtection="1">
      <alignment vertical="center"/>
    </xf>
    <xf numFmtId="9" fontId="11" fillId="26" borderId="7" xfId="70" applyNumberFormat="1" applyFont="1" applyFill="1" applyBorder="1" applyAlignment="1" applyProtection="1">
      <alignment horizontal="center" vertical="center"/>
    </xf>
    <xf numFmtId="9" fontId="11" fillId="26" borderId="53" xfId="70" applyNumberFormat="1" applyFont="1" applyFill="1" applyBorder="1" applyAlignment="1" applyProtection="1">
      <alignment horizontal="center" vertical="center"/>
    </xf>
    <xf numFmtId="9" fontId="11" fillId="26" borderId="77" xfId="70" applyNumberFormat="1" applyFont="1" applyFill="1" applyBorder="1" applyAlignment="1" applyProtection="1">
      <alignment horizontal="center" vertical="center"/>
    </xf>
    <xf numFmtId="9" fontId="11" fillId="26" borderId="57" xfId="70" applyNumberFormat="1" applyFont="1" applyFill="1" applyBorder="1" applyAlignment="1" applyProtection="1">
      <alignment horizontal="center" vertical="center"/>
    </xf>
    <xf numFmtId="9" fontId="11" fillId="26" borderId="31" xfId="70" applyNumberFormat="1" applyFont="1" applyFill="1" applyBorder="1" applyAlignment="1" applyProtection="1">
      <alignment horizontal="center" vertical="center"/>
    </xf>
    <xf numFmtId="9" fontId="11" fillId="26" borderId="50" xfId="70" applyNumberFormat="1" applyFont="1" applyFill="1" applyBorder="1" applyAlignment="1" applyProtection="1">
      <alignment horizontal="center" vertical="center"/>
    </xf>
    <xf numFmtId="0" fontId="39" fillId="0" borderId="0" xfId="31" applyFont="1" applyFill="1" applyBorder="1" applyAlignment="1" applyProtection="1">
      <alignment horizontal="right" vertical="center"/>
    </xf>
    <xf numFmtId="14" fontId="20" fillId="0" borderId="0" xfId="31" applyNumberFormat="1" applyFont="1" applyAlignment="1" applyProtection="1">
      <alignment vertical="center"/>
    </xf>
    <xf numFmtId="0" fontId="20"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0" fontId="20" fillId="26" borderId="0" xfId="0" applyFont="1" applyFill="1" applyAlignment="1" applyProtection="1">
      <alignment horizontal="left" vertical="center"/>
    </xf>
    <xf numFmtId="49" fontId="11" fillId="0" borderId="0" xfId="31" applyNumberFormat="1" applyFont="1" applyAlignment="1" applyProtection="1">
      <alignment vertical="center"/>
    </xf>
    <xf numFmtId="49" fontId="11" fillId="0" borderId="0" xfId="0" applyNumberFormat="1" applyFont="1" applyAlignment="1" applyProtection="1">
      <alignment horizontal="right" vertical="center"/>
    </xf>
    <xf numFmtId="0" fontId="35" fillId="0" borderId="0" xfId="0" applyNumberFormat="1" applyFont="1" applyAlignment="1" applyProtection="1">
      <alignment horizontal="center" vertical="center"/>
    </xf>
    <xf numFmtId="49" fontId="20" fillId="0" borderId="0" xfId="0" applyNumberFormat="1" applyFont="1" applyAlignment="1" applyProtection="1">
      <alignment horizontal="right" vertical="center"/>
    </xf>
    <xf numFmtId="0" fontId="11" fillId="27" borderId="0" xfId="49" applyFont="1" applyFill="1" applyAlignment="1" applyProtection="1">
      <alignment horizontal="center" vertical="center" wrapText="1"/>
    </xf>
    <xf numFmtId="0" fontId="11" fillId="27" borderId="0" xfId="49" applyFont="1" applyFill="1" applyAlignment="1" applyProtection="1">
      <alignment vertical="center" wrapText="1"/>
    </xf>
    <xf numFmtId="167" fontId="11" fillId="27" borderId="0" xfId="49" applyNumberFormat="1" applyFont="1" applyFill="1" applyAlignment="1" applyProtection="1">
      <alignment vertical="center" wrapText="1"/>
    </xf>
    <xf numFmtId="0" fontId="77" fillId="27" borderId="0" xfId="49" applyFill="1" applyAlignment="1" applyProtection="1">
      <alignment vertical="center" wrapText="1"/>
    </xf>
    <xf numFmtId="0" fontId="13" fillId="27" borderId="0" xfId="49" applyFont="1" applyFill="1" applyAlignment="1" applyProtection="1">
      <alignment vertical="center" wrapText="1"/>
    </xf>
    <xf numFmtId="0" fontId="15" fillId="27" borderId="0" xfId="49" applyFont="1" applyFill="1" applyAlignment="1" applyProtection="1">
      <alignment vertical="center" wrapText="1"/>
    </xf>
    <xf numFmtId="0" fontId="51" fillId="27" borderId="0" xfId="49" applyFont="1" applyFill="1" applyBorder="1" applyAlignment="1" applyProtection="1">
      <alignment vertical="center" wrapText="1"/>
    </xf>
    <xf numFmtId="0" fontId="20" fillId="27" borderId="0" xfId="49" applyFont="1" applyFill="1" applyAlignment="1" applyProtection="1">
      <alignment vertical="center" wrapText="1"/>
    </xf>
    <xf numFmtId="1" fontId="39" fillId="38" borderId="1" xfId="21" applyFont="1" applyFill="1" applyBorder="1" applyAlignment="1" applyProtection="1">
      <alignment horizontal="center" vertical="center" wrapText="1"/>
    </xf>
    <xf numFmtId="1" fontId="39" fillId="38" borderId="38" xfId="21" applyFont="1" applyFill="1" applyBorder="1" applyAlignment="1" applyProtection="1">
      <alignment horizontal="center" vertical="center" wrapText="1"/>
    </xf>
    <xf numFmtId="1" fontId="39" fillId="38" borderId="9" xfId="21" applyFont="1" applyFill="1" applyBorder="1" applyAlignment="1" applyProtection="1">
      <alignment horizontal="center" vertical="center" wrapText="1"/>
    </xf>
    <xf numFmtId="1" fontId="39" fillId="38" borderId="10" xfId="21" applyFont="1" applyFill="1" applyBorder="1" applyAlignment="1" applyProtection="1">
      <alignment horizontal="center" vertical="center" wrapText="1"/>
    </xf>
    <xf numFmtId="1" fontId="39" fillId="38" borderId="65" xfId="21" applyFont="1" applyFill="1" applyBorder="1" applyAlignment="1" applyProtection="1">
      <alignment horizontal="center" vertical="center" wrapText="1"/>
    </xf>
    <xf numFmtId="1" fontId="39" fillId="38" borderId="2" xfId="21" applyFont="1" applyFill="1" applyBorder="1" applyAlignment="1" applyProtection="1">
      <alignment horizontal="center" vertical="center" wrapText="1"/>
    </xf>
    <xf numFmtId="0" fontId="39" fillId="32" borderId="42" xfId="49" applyFont="1" applyFill="1" applyBorder="1" applyAlignment="1" applyProtection="1">
      <alignment horizontal="center" vertical="center" wrapText="1"/>
    </xf>
    <xf numFmtId="0" fontId="39" fillId="32" borderId="34" xfId="49" applyFont="1" applyFill="1" applyBorder="1" applyAlignment="1" applyProtection="1">
      <alignment horizontal="left" vertical="center" wrapText="1"/>
    </xf>
    <xf numFmtId="0" fontId="39" fillId="32" borderId="2" xfId="49" applyFont="1" applyFill="1" applyBorder="1" applyAlignment="1" applyProtection="1">
      <alignment horizontal="center" vertical="center" wrapText="1"/>
    </xf>
    <xf numFmtId="0" fontId="39" fillId="32" borderId="65" xfId="49" applyFont="1" applyFill="1" applyBorder="1" applyAlignment="1" applyProtection="1">
      <alignment horizontal="left" vertical="center" wrapText="1"/>
    </xf>
    <xf numFmtId="0" fontId="39" fillId="32" borderId="9" xfId="49" applyFont="1" applyFill="1" applyBorder="1" applyAlignment="1" applyProtection="1">
      <alignment horizontal="left" vertical="center" wrapText="1"/>
    </xf>
    <xf numFmtId="3" fontId="39" fillId="32" borderId="9" xfId="49" applyNumberFormat="1" applyFont="1" applyFill="1" applyBorder="1" applyAlignment="1" applyProtection="1">
      <alignment horizontal="left" vertical="center" wrapText="1"/>
    </xf>
    <xf numFmtId="0" fontId="39" fillId="32" borderId="10" xfId="49" applyFont="1" applyFill="1" applyBorder="1" applyAlignment="1" applyProtection="1">
      <alignment horizontal="left" vertical="center" wrapText="1"/>
    </xf>
    <xf numFmtId="0" fontId="39" fillId="32" borderId="34" xfId="49" applyFont="1" applyFill="1" applyBorder="1" applyAlignment="1" applyProtection="1">
      <alignment horizontal="center" vertical="center" wrapText="1"/>
    </xf>
    <xf numFmtId="0" fontId="39" fillId="32" borderId="38" xfId="49" applyFont="1" applyFill="1" applyBorder="1" applyAlignment="1" applyProtection="1">
      <alignment horizontal="left" vertical="center" wrapText="1"/>
    </xf>
    <xf numFmtId="0" fontId="72" fillId="27" borderId="0" xfId="49" applyFont="1" applyFill="1" applyAlignment="1" applyProtection="1">
      <alignment vertical="center" wrapText="1"/>
    </xf>
    <xf numFmtId="167" fontId="93" fillId="27" borderId="88"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vertical="center" wrapText="1"/>
    </xf>
    <xf numFmtId="3" fontId="39" fillId="31" borderId="35" xfId="49" applyNumberFormat="1" applyFont="1" applyFill="1" applyBorder="1" applyAlignment="1" applyProtection="1">
      <alignment horizontal="center" vertical="center" wrapText="1"/>
    </xf>
    <xf numFmtId="3" fontId="39" fillId="31" borderId="65" xfId="49" applyNumberFormat="1" applyFont="1" applyFill="1" applyBorder="1" applyAlignment="1" applyProtection="1">
      <alignment horizontal="center" vertical="center" wrapText="1"/>
    </xf>
    <xf numFmtId="3" fontId="39" fillId="31" borderId="9" xfId="49" applyNumberFormat="1" applyFont="1" applyFill="1" applyBorder="1" applyAlignment="1" applyProtection="1">
      <alignment horizontal="center" vertical="center" wrapText="1"/>
    </xf>
    <xf numFmtId="3" fontId="39" fillId="31" borderId="10" xfId="49" applyNumberFormat="1" applyFont="1" applyFill="1" applyBorder="1" applyAlignment="1" applyProtection="1">
      <alignment horizontal="center" vertical="center" wrapText="1"/>
    </xf>
    <xf numFmtId="3" fontId="39" fillId="31" borderId="2" xfId="49" applyNumberFormat="1" applyFont="1" applyFill="1" applyBorder="1" applyAlignment="1" applyProtection="1">
      <alignment horizontal="center" vertical="center" wrapText="1"/>
    </xf>
    <xf numFmtId="3" fontId="20" fillId="27" borderId="0" xfId="0" applyNumberFormat="1" applyFont="1" applyFill="1" applyAlignment="1" applyProtection="1">
      <alignment vertical="center" wrapText="1"/>
    </xf>
    <xf numFmtId="0" fontId="40" fillId="27" borderId="5" xfId="49" applyFont="1" applyFill="1" applyBorder="1" applyAlignment="1" applyProtection="1">
      <alignment horizontal="center" vertical="center" wrapText="1"/>
    </xf>
    <xf numFmtId="0" fontId="40" fillId="26" borderId="5" xfId="49" applyFont="1" applyFill="1" applyBorder="1" applyAlignment="1" applyProtection="1">
      <alignment horizontal="center" vertical="center" wrapText="1"/>
    </xf>
    <xf numFmtId="9" fontId="40" fillId="26" borderId="5" xfId="49" applyNumberFormat="1" applyFont="1" applyFill="1" applyBorder="1" applyAlignment="1" applyProtection="1">
      <alignment horizontal="center" vertical="center" wrapText="1"/>
    </xf>
    <xf numFmtId="0" fontId="40"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6" fillId="27" borderId="88" xfId="0" applyNumberFormat="1" applyFont="1" applyFill="1" applyBorder="1" applyAlignment="1" applyProtection="1">
      <alignment vertical="center" wrapText="1"/>
    </xf>
    <xf numFmtId="0" fontId="40" fillId="27" borderId="17" xfId="49" applyFont="1" applyFill="1" applyBorder="1" applyAlignment="1" applyProtection="1">
      <alignment horizontal="center" vertical="center" wrapText="1"/>
    </xf>
    <xf numFmtId="0" fontId="40" fillId="26" borderId="17" xfId="49" applyFont="1" applyFill="1" applyBorder="1" applyAlignment="1" applyProtection="1">
      <alignment horizontal="center" vertical="center" wrapText="1"/>
    </xf>
    <xf numFmtId="9" fontId="40" fillId="26" borderId="17" xfId="49" applyNumberFormat="1" applyFont="1" applyFill="1" applyBorder="1" applyAlignment="1" applyProtection="1">
      <alignment horizontal="center" vertical="center" wrapText="1"/>
    </xf>
    <xf numFmtId="0" fontId="40" fillId="26" borderId="24" xfId="49" applyFont="1" applyFill="1" applyBorder="1" applyAlignment="1" applyProtection="1">
      <alignment vertical="center" wrapText="1"/>
    </xf>
    <xf numFmtId="3" fontId="73" fillId="27" borderId="88" xfId="0" applyNumberFormat="1" applyFont="1" applyFill="1" applyBorder="1" applyAlignment="1" applyProtection="1">
      <alignment vertical="center" wrapText="1"/>
    </xf>
    <xf numFmtId="49" fontId="40" fillId="26" borderId="24" xfId="49" applyNumberFormat="1" applyFont="1" applyFill="1" applyBorder="1" applyAlignment="1" applyProtection="1">
      <alignment vertical="center" wrapText="1"/>
    </xf>
    <xf numFmtId="0" fontId="13" fillId="27" borderId="88" xfId="0" applyFont="1" applyFill="1" applyBorder="1" applyAlignment="1" applyProtection="1">
      <alignment vertical="center" wrapText="1"/>
    </xf>
    <xf numFmtId="9" fontId="40" fillId="26" borderId="24" xfId="49" applyNumberFormat="1" applyFont="1" applyFill="1" applyBorder="1" applyAlignment="1" applyProtection="1">
      <alignment horizontal="center" vertical="center" wrapText="1"/>
    </xf>
    <xf numFmtId="49" fontId="40" fillId="26" borderId="24" xfId="49" applyNumberFormat="1" applyFont="1" applyFill="1" applyBorder="1" applyAlignment="1" applyProtection="1">
      <alignment horizontal="right" vertical="center" wrapText="1"/>
    </xf>
    <xf numFmtId="0" fontId="26" fillId="27" borderId="0" xfId="0" applyFont="1" applyFill="1" applyAlignment="1" applyProtection="1">
      <alignment vertical="center" wrapText="1"/>
    </xf>
    <xf numFmtId="49" fontId="40" fillId="0" borderId="24" xfId="49" applyNumberFormat="1" applyFont="1" applyFill="1" applyBorder="1" applyAlignment="1" applyProtection="1">
      <alignment horizontal="left" vertical="center" wrapText="1"/>
    </xf>
    <xf numFmtId="0" fontId="40" fillId="27" borderId="24" xfId="49" applyFont="1" applyFill="1" applyBorder="1" applyAlignment="1" applyProtection="1">
      <alignment horizontal="center" vertical="center" wrapText="1"/>
    </xf>
    <xf numFmtId="0" fontId="40" fillId="26" borderId="24" xfId="49" applyFont="1" applyFill="1" applyBorder="1" applyAlignment="1" applyProtection="1">
      <alignment horizontal="center" vertical="center" wrapText="1"/>
    </xf>
    <xf numFmtId="0" fontId="40" fillId="26" borderId="24" xfId="49" applyFont="1" applyFill="1" applyBorder="1" applyAlignment="1" applyProtection="1">
      <alignment horizontal="right" vertical="center" wrapText="1"/>
    </xf>
    <xf numFmtId="49" fontId="40" fillId="26" borderId="24" xfId="49" applyNumberFormat="1" applyFont="1" applyFill="1" applyBorder="1" applyAlignment="1" applyProtection="1">
      <alignment horizontal="left" vertical="center" wrapText="1"/>
    </xf>
    <xf numFmtId="0" fontId="40" fillId="26" borderId="24" xfId="0" applyFont="1" applyFill="1" applyBorder="1" applyAlignment="1" applyProtection="1">
      <alignment horizontal="center" vertical="center" wrapText="1"/>
    </xf>
    <xf numFmtId="0" fontId="40" fillId="0" borderId="24" xfId="49" applyFont="1" applyFill="1" applyBorder="1" applyAlignment="1" applyProtection="1">
      <alignment horizontal="center" vertical="center" wrapText="1"/>
    </xf>
    <xf numFmtId="0" fontId="40" fillId="26" borderId="24" xfId="49" applyFont="1" applyFill="1" applyBorder="1" applyAlignment="1" applyProtection="1">
      <alignment horizontal="left" vertical="center" wrapText="1"/>
    </xf>
    <xf numFmtId="9" fontId="40" fillId="27" borderId="24" xfId="49" applyNumberFormat="1" applyFont="1" applyFill="1" applyBorder="1" applyAlignment="1" applyProtection="1">
      <alignment horizontal="center" vertical="center" wrapText="1"/>
    </xf>
    <xf numFmtId="0" fontId="40" fillId="26" borderId="25" xfId="0" applyFont="1" applyFill="1" applyBorder="1" applyAlignment="1" applyProtection="1">
      <alignment vertical="center" wrapText="1"/>
    </xf>
    <xf numFmtId="49" fontId="40" fillId="27" borderId="24" xfId="49" applyNumberFormat="1" applyFont="1" applyFill="1" applyBorder="1" applyAlignment="1" applyProtection="1">
      <alignment vertical="center" wrapText="1"/>
    </xf>
    <xf numFmtId="0" fontId="40" fillId="27" borderId="36" xfId="49" applyFont="1" applyFill="1" applyBorder="1" applyAlignment="1" applyProtection="1">
      <alignment horizontal="center" vertical="center" wrapText="1"/>
    </xf>
    <xf numFmtId="9" fontId="40" fillId="27" borderId="36" xfId="49" applyNumberFormat="1" applyFont="1" applyFill="1" applyBorder="1" applyAlignment="1" applyProtection="1">
      <alignment horizontal="center" vertical="center" wrapText="1"/>
    </xf>
    <xf numFmtId="49" fontId="40" fillId="27" borderId="36" xfId="49" applyNumberFormat="1" applyFont="1" applyFill="1" applyBorder="1" applyAlignment="1" applyProtection="1">
      <alignment vertical="center" wrapText="1"/>
    </xf>
    <xf numFmtId="0" fontId="39" fillId="24" borderId="1" xfId="49" applyFont="1" applyFill="1" applyBorder="1" applyAlignment="1" applyProtection="1">
      <alignment horizontal="left" vertical="center" wrapText="1"/>
    </xf>
    <xf numFmtId="1" fontId="73" fillId="27" borderId="86" xfId="0" applyNumberFormat="1" applyFont="1" applyFill="1" applyBorder="1" applyAlignment="1" applyProtection="1">
      <alignment horizontal="center" vertical="center" wrapText="1"/>
    </xf>
    <xf numFmtId="0" fontId="40" fillId="26" borderId="5" xfId="0" applyFont="1" applyFill="1" applyBorder="1" applyAlignment="1" applyProtection="1">
      <alignment horizontal="center" vertical="center" wrapText="1"/>
    </xf>
    <xf numFmtId="0" fontId="40"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3" fillId="0" borderId="87" xfId="0" applyNumberFormat="1"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17" xfId="49" applyFont="1" applyFill="1" applyBorder="1" applyAlignment="1" applyProtection="1">
      <alignment vertical="center" wrapText="1"/>
    </xf>
    <xf numFmtId="49" fontId="40" fillId="26" borderId="17" xfId="49" applyNumberFormat="1" applyFont="1" applyFill="1" applyBorder="1" applyAlignment="1" applyProtection="1">
      <alignment vertical="center" wrapText="1"/>
    </xf>
    <xf numFmtId="3" fontId="39" fillId="27" borderId="0" xfId="0" applyNumberFormat="1" applyFont="1" applyFill="1" applyBorder="1" applyAlignment="1" applyProtection="1">
      <alignment horizontal="center" vertical="center" wrapText="1"/>
    </xf>
    <xf numFmtId="0" fontId="26"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right" vertical="center" wrapText="1"/>
    </xf>
    <xf numFmtId="0" fontId="11"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left" vertical="center" wrapText="1"/>
    </xf>
    <xf numFmtId="0" fontId="40" fillId="26" borderId="17" xfId="49" applyFont="1" applyFill="1" applyBorder="1" applyAlignment="1" applyProtection="1">
      <alignment horizontal="right" vertical="center" wrapText="1"/>
    </xf>
    <xf numFmtId="0" fontId="40" fillId="26" borderId="17" xfId="49" applyFont="1" applyFill="1" applyBorder="1" applyAlignment="1" applyProtection="1">
      <alignment horizontal="left" vertical="center" wrapText="1"/>
    </xf>
    <xf numFmtId="49" fontId="40" fillId="27" borderId="17" xfId="49" applyNumberFormat="1" applyFont="1" applyFill="1" applyBorder="1" applyAlignment="1" applyProtection="1">
      <alignment vertical="center" wrapText="1"/>
    </xf>
    <xf numFmtId="0" fontId="40" fillId="27" borderId="5" xfId="0" applyFont="1" applyFill="1" applyBorder="1" applyAlignment="1" applyProtection="1">
      <alignment vertical="center" wrapText="1"/>
    </xf>
    <xf numFmtId="0" fontId="40" fillId="27" borderId="24" xfId="0" applyFont="1" applyFill="1" applyBorder="1" applyAlignment="1" applyProtection="1">
      <alignment horizontal="center" vertical="center" wrapText="1"/>
    </xf>
    <xf numFmtId="9" fontId="40" fillId="27" borderId="5" xfId="49" applyNumberFormat="1" applyFont="1" applyFill="1" applyBorder="1" applyAlignment="1" applyProtection="1">
      <alignment horizontal="center" vertical="center" wrapText="1"/>
    </xf>
    <xf numFmtId="0" fontId="40" fillId="27" borderId="36" xfId="0" applyFont="1" applyFill="1" applyBorder="1" applyAlignment="1" applyProtection="1">
      <alignment horizontal="center" vertical="center" wrapText="1"/>
    </xf>
    <xf numFmtId="49" fontId="40" fillId="27" borderId="39" xfId="49" applyNumberFormat="1" applyFont="1" applyFill="1" applyBorder="1" applyAlignment="1" applyProtection="1">
      <alignment vertical="center" wrapText="1"/>
    </xf>
    <xf numFmtId="0" fontId="40" fillId="27" borderId="5" xfId="49" applyFont="1" applyFill="1" applyBorder="1" applyAlignment="1" applyProtection="1">
      <alignment vertical="center" wrapText="1"/>
    </xf>
    <xf numFmtId="9" fontId="40" fillId="27" borderId="17" xfId="49" applyNumberFormat="1" applyFont="1" applyFill="1" applyBorder="1" applyAlignment="1" applyProtection="1">
      <alignment horizontal="center" vertical="center" wrapText="1"/>
    </xf>
    <xf numFmtId="0" fontId="40" fillId="27" borderId="17" xfId="49" applyFont="1" applyFill="1" applyBorder="1" applyAlignment="1" applyProtection="1">
      <alignment vertical="center" wrapText="1"/>
    </xf>
    <xf numFmtId="9" fontId="40" fillId="27" borderId="36" xfId="70" applyFont="1" applyFill="1" applyBorder="1" applyAlignment="1" applyProtection="1">
      <alignment horizontal="center" vertical="center" wrapText="1"/>
    </xf>
    <xf numFmtId="3" fontId="73" fillId="27" borderId="86" xfId="0" applyNumberFormat="1" applyFont="1" applyFill="1" applyBorder="1" applyAlignment="1" applyProtection="1">
      <alignment horizontal="center" vertical="center" wrapText="1"/>
    </xf>
    <xf numFmtId="3" fontId="78" fillId="27" borderId="88" xfId="0" applyNumberFormat="1" applyFont="1" applyFill="1" applyBorder="1" applyAlignment="1" applyProtection="1">
      <alignment vertical="center" wrapText="1"/>
    </xf>
    <xf numFmtId="0" fontId="50" fillId="27" borderId="0" xfId="0" applyFont="1" applyFill="1" applyAlignment="1" applyProtection="1">
      <alignment vertical="center" wrapText="1"/>
    </xf>
    <xf numFmtId="0" fontId="39" fillId="32" borderId="1" xfId="49" applyFont="1" applyFill="1" applyBorder="1" applyAlignment="1" applyProtection="1">
      <alignment horizontal="center" vertical="center" wrapText="1"/>
    </xf>
    <xf numFmtId="0" fontId="39" fillId="32" borderId="2" xfId="49" applyFont="1" applyFill="1" applyBorder="1" applyAlignment="1" applyProtection="1">
      <alignment horizontal="left" vertical="center" wrapText="1"/>
    </xf>
    <xf numFmtId="0" fontId="72" fillId="27" borderId="0" xfId="0" applyFont="1" applyFill="1" applyAlignment="1" applyProtection="1">
      <alignment vertical="center" wrapText="1"/>
    </xf>
    <xf numFmtId="9" fontId="40" fillId="26" borderId="17" xfId="49" applyNumberFormat="1" applyFont="1" applyFill="1" applyBorder="1" applyAlignment="1" applyProtection="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Fill="1" applyBorder="1" applyAlignment="1" applyProtection="1">
      <alignment horizontal="center" vertical="center" wrapText="1"/>
    </xf>
    <xf numFmtId="0" fontId="11" fillId="26" borderId="17" xfId="49" applyFont="1" applyFill="1" applyBorder="1" applyAlignment="1" applyProtection="1">
      <alignment horizontal="center" vertical="center"/>
    </xf>
    <xf numFmtId="49" fontId="39" fillId="24" borderId="1" xfId="49" applyNumberFormat="1" applyFont="1" applyFill="1" applyBorder="1" applyAlignment="1" applyProtection="1">
      <alignment vertical="center"/>
    </xf>
    <xf numFmtId="0" fontId="40" fillId="0" borderId="5" xfId="49" applyFont="1" applyFill="1" applyBorder="1" applyAlignment="1" applyProtection="1">
      <alignment horizontal="center" vertical="center" wrapText="1"/>
    </xf>
    <xf numFmtId="0" fontId="40" fillId="0" borderId="17" xfId="49" applyFont="1" applyFill="1" applyBorder="1" applyAlignment="1" applyProtection="1">
      <alignment vertical="center" wrapText="1"/>
    </xf>
    <xf numFmtId="0" fontId="39" fillId="36" borderId="1" xfId="49" applyFont="1" applyFill="1" applyBorder="1" applyAlignment="1" applyProtection="1">
      <alignment horizontal="center" vertical="center" wrapText="1"/>
    </xf>
    <xf numFmtId="0" fontId="39" fillId="36" borderId="1" xfId="49" applyFont="1" applyFill="1" applyBorder="1" applyAlignment="1" applyProtection="1">
      <alignment horizontal="left" vertical="center" wrapText="1"/>
    </xf>
    <xf numFmtId="0" fontId="26" fillId="27" borderId="89" xfId="0" applyFont="1" applyFill="1" applyBorder="1" applyAlignment="1" applyProtection="1">
      <alignment vertical="center" wrapText="1"/>
    </xf>
    <xf numFmtId="49" fontId="11" fillId="27" borderId="0" xfId="49" applyNumberFormat="1" applyFont="1" applyFill="1" applyBorder="1" applyAlignment="1" applyProtection="1">
      <alignment vertical="center" wrapText="1"/>
    </xf>
    <xf numFmtId="14" fontId="20" fillId="27" borderId="0" xfId="49" applyNumberFormat="1" applyFont="1" applyFill="1" applyAlignment="1" applyProtection="1">
      <alignment vertical="center"/>
    </xf>
    <xf numFmtId="0" fontId="11" fillId="27" borderId="0" xfId="49" applyNumberFormat="1" applyFont="1" applyFill="1" applyAlignment="1" applyProtection="1">
      <alignment vertical="center" wrapText="1"/>
    </xf>
    <xf numFmtId="3" fontId="11" fillId="27" borderId="0" xfId="49" applyNumberFormat="1" applyFont="1" applyFill="1" applyAlignment="1" applyProtection="1">
      <alignment vertical="center" wrapText="1"/>
    </xf>
    <xf numFmtId="0" fontId="11" fillId="27" borderId="0" xfId="0" applyNumberFormat="1" applyFont="1" applyFill="1" applyAlignment="1" applyProtection="1">
      <alignment horizontal="center" vertical="center" wrapText="1"/>
    </xf>
    <xf numFmtId="14" fontId="20" fillId="27" borderId="0" xfId="49" applyNumberFormat="1" applyFont="1" applyFill="1" applyAlignment="1" applyProtection="1">
      <alignment horizontal="center" vertical="center"/>
    </xf>
    <xf numFmtId="167" fontId="20" fillId="27" borderId="0" xfId="49" applyNumberFormat="1" applyFont="1" applyFill="1" applyAlignment="1" applyProtection="1">
      <alignment vertical="center"/>
    </xf>
    <xf numFmtId="14" fontId="83" fillId="27" borderId="0" xfId="0" applyNumberFormat="1" applyFont="1" applyFill="1" applyAlignment="1" applyProtection="1">
      <alignment horizontal="left" vertical="center"/>
    </xf>
    <xf numFmtId="0" fontId="11" fillId="27" borderId="0" xfId="0" applyFont="1" applyFill="1" applyAlignment="1" applyProtection="1">
      <alignment vertical="center" wrapText="1"/>
    </xf>
    <xf numFmtId="0" fontId="20" fillId="27" borderId="0" xfId="49" applyFont="1" applyFill="1" applyAlignment="1" applyProtection="1">
      <alignment vertical="center"/>
    </xf>
    <xf numFmtId="0" fontId="20" fillId="27" borderId="0" xfId="49" applyFont="1" applyFill="1" applyAlignment="1" applyProtection="1">
      <alignment horizontal="right" vertical="center"/>
    </xf>
    <xf numFmtId="0" fontId="11" fillId="27" borderId="0" xfId="49" applyFont="1" applyFill="1" applyAlignment="1" applyProtection="1">
      <alignment horizontal="center" vertical="center"/>
    </xf>
    <xf numFmtId="49" fontId="11" fillId="27" borderId="0" xfId="0" applyNumberFormat="1" applyFont="1" applyFill="1" applyAlignment="1" applyProtection="1">
      <alignment horizontal="right" vertical="center" wrapText="1"/>
    </xf>
    <xf numFmtId="0" fontId="35" fillId="27" borderId="0" xfId="0" applyNumberFormat="1" applyFont="1" applyFill="1" applyAlignment="1" applyProtection="1">
      <alignment horizontal="center" vertical="center" wrapText="1"/>
    </xf>
    <xf numFmtId="0" fontId="42" fillId="27" borderId="0" xfId="49" applyFont="1" applyFill="1" applyAlignment="1" applyProtection="1">
      <alignment vertical="center"/>
    </xf>
    <xf numFmtId="49" fontId="11" fillId="27" borderId="0" xfId="0" applyNumberFormat="1" applyFont="1" applyFill="1" applyAlignment="1" applyProtection="1">
      <alignment horizontal="left" vertical="center" wrapText="1"/>
    </xf>
    <xf numFmtId="0" fontId="11" fillId="27" borderId="0" xfId="49" applyFont="1" applyFill="1" applyAlignment="1" applyProtection="1">
      <alignment vertical="center"/>
    </xf>
    <xf numFmtId="0" fontId="20" fillId="27" borderId="0" xfId="0" applyNumberFormat="1" applyFont="1" applyFill="1" applyAlignment="1" applyProtection="1">
      <alignment vertical="center"/>
    </xf>
    <xf numFmtId="0" fontId="11" fillId="27" borderId="0" xfId="49" applyFont="1" applyFill="1" applyAlignment="1" applyProtection="1">
      <alignment horizontal="right" vertical="center"/>
    </xf>
    <xf numFmtId="0" fontId="11" fillId="27" borderId="0" xfId="49" applyFont="1" applyFill="1" applyAlignment="1" applyProtection="1">
      <alignment horizontal="left" vertical="center"/>
    </xf>
    <xf numFmtId="0" fontId="11" fillId="27" borderId="0" xfId="0" applyNumberFormat="1" applyFont="1" applyFill="1" applyAlignment="1" applyProtection="1">
      <alignment vertical="center" wrapText="1"/>
    </xf>
    <xf numFmtId="0" fontId="11" fillId="27" borderId="0" xfId="31" applyFont="1" applyFill="1" applyAlignment="1" applyProtection="1">
      <alignment horizontal="center" vertical="center" wrapText="1"/>
    </xf>
    <xf numFmtId="14" fontId="20" fillId="27" borderId="0" xfId="0" applyNumberFormat="1" applyFont="1" applyFill="1" applyAlignment="1" applyProtection="1">
      <alignment horizontal="right" vertical="center"/>
    </xf>
    <xf numFmtId="0" fontId="35" fillId="27" borderId="0" xfId="0" applyNumberFormat="1" applyFont="1" applyFill="1" applyAlignment="1" applyProtection="1">
      <alignment horizontal="center" vertical="center"/>
    </xf>
    <xf numFmtId="0" fontId="42" fillId="27" borderId="0" xfId="31" applyFont="1" applyFill="1" applyBorder="1" applyAlignment="1" applyProtection="1">
      <alignment horizontal="left" vertical="center" wrapText="1"/>
    </xf>
    <xf numFmtId="0" fontId="11" fillId="27" borderId="0" xfId="49" applyFont="1" applyFill="1" applyAlignment="1" applyProtection="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39" fillId="27" borderId="5" xfId="49" applyNumberFormat="1" applyFont="1" applyFill="1" applyBorder="1" applyAlignment="1" applyProtection="1">
      <alignment horizontal="center" vertical="center" wrapText="1"/>
    </xf>
    <xf numFmtId="3" fontId="39" fillId="27" borderId="32" xfId="49" applyNumberFormat="1" applyFont="1" applyFill="1" applyBorder="1" applyAlignment="1" applyProtection="1">
      <alignment horizontal="center" vertical="center" wrapText="1"/>
    </xf>
    <xf numFmtId="3" fontId="39" fillId="27" borderId="7" xfId="49" applyNumberFormat="1" applyFont="1" applyFill="1" applyBorder="1" applyAlignment="1" applyProtection="1">
      <alignment horizontal="center" vertical="center" wrapText="1"/>
    </xf>
    <xf numFmtId="3" fontId="39" fillId="27" borderId="53" xfId="49" applyNumberFormat="1" applyFont="1" applyFill="1" applyBorder="1" applyAlignment="1" applyProtection="1">
      <alignment horizontal="center" vertical="center" wrapText="1"/>
    </xf>
    <xf numFmtId="3" fontId="39" fillId="20" borderId="17" xfId="49" applyNumberFormat="1" applyFont="1" applyFill="1" applyBorder="1" applyAlignment="1" applyProtection="1">
      <alignment horizontal="center" vertical="center" wrapText="1"/>
    </xf>
    <xf numFmtId="3" fontId="39" fillId="20" borderId="32" xfId="49" applyNumberFormat="1" applyFont="1" applyFill="1" applyBorder="1" applyAlignment="1" applyProtection="1">
      <alignment horizontal="center" vertical="center" wrapText="1"/>
    </xf>
    <xf numFmtId="3" fontId="39" fillId="20" borderId="7" xfId="49" applyNumberFormat="1" applyFont="1" applyFill="1" applyBorder="1" applyAlignment="1" applyProtection="1">
      <alignment horizontal="center" vertical="center" wrapText="1"/>
    </xf>
    <xf numFmtId="3" fontId="39" fillId="20" borderId="53"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39" fillId="27" borderId="17" xfId="49" applyNumberFormat="1" applyFont="1" applyFill="1" applyBorder="1" applyAlignment="1" applyProtection="1">
      <alignment horizontal="center" vertical="center" wrapText="1"/>
    </xf>
    <xf numFmtId="3" fontId="39" fillId="27" borderId="52" xfId="49" applyNumberFormat="1" applyFont="1" applyFill="1" applyBorder="1" applyAlignment="1" applyProtection="1">
      <alignment horizontal="center" vertical="center" wrapText="1"/>
    </xf>
    <xf numFmtId="3" fontId="40" fillId="27" borderId="51" xfId="49" applyNumberFormat="1" applyFont="1" applyFill="1" applyBorder="1" applyAlignment="1" applyProtection="1">
      <alignment horizontal="center" vertical="center" wrapText="1"/>
    </xf>
    <xf numFmtId="3" fontId="40" fillId="27" borderId="74"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39" fillId="27" borderId="44" xfId="49" applyNumberFormat="1" applyFont="1" applyFill="1" applyBorder="1" applyAlignment="1" applyProtection="1">
      <alignment horizontal="center" vertical="center" wrapText="1"/>
    </xf>
    <xf numFmtId="3" fontId="39" fillId="27" borderId="31" xfId="49" applyNumberFormat="1" applyFont="1" applyFill="1" applyBorder="1" applyAlignment="1" applyProtection="1">
      <alignment horizontal="center" vertical="center" wrapText="1"/>
    </xf>
    <xf numFmtId="3" fontId="39" fillId="27" borderId="61" xfId="49" applyNumberFormat="1" applyFont="1" applyFill="1" applyBorder="1" applyAlignment="1" applyProtection="1">
      <alignment horizontal="center" vertical="center" wrapText="1"/>
    </xf>
    <xf numFmtId="3" fontId="39" fillId="27" borderId="62" xfId="49" applyNumberFormat="1" applyFont="1" applyFill="1" applyBorder="1" applyAlignment="1" applyProtection="1">
      <alignment horizontal="center" vertical="center" wrapText="1"/>
    </xf>
    <xf numFmtId="3" fontId="40" fillId="27" borderId="21" xfId="49" applyNumberFormat="1" applyFont="1" applyFill="1" applyBorder="1" applyAlignment="1" applyProtection="1">
      <alignment horizontal="center" vertical="center" wrapText="1"/>
    </xf>
    <xf numFmtId="3" fontId="39" fillId="32" borderId="2" xfId="49" applyNumberFormat="1" applyFont="1" applyFill="1" applyBorder="1" applyAlignment="1" applyProtection="1">
      <alignment horizontal="center" vertical="center" wrapText="1"/>
    </xf>
    <xf numFmtId="3" fontId="39" fillId="32" borderId="38" xfId="49" applyNumberFormat="1" applyFont="1" applyFill="1" applyBorder="1" applyAlignment="1" applyProtection="1">
      <alignment horizontal="left" vertical="center" wrapText="1"/>
    </xf>
    <xf numFmtId="3" fontId="39" fillId="32" borderId="10" xfId="49" applyNumberFormat="1" applyFont="1" applyFill="1" applyBorder="1" applyAlignment="1" applyProtection="1">
      <alignment horizontal="left" vertical="center" wrapText="1"/>
    </xf>
    <xf numFmtId="3" fontId="39" fillId="24" borderId="38" xfId="49" applyNumberFormat="1" applyFont="1" applyFill="1" applyBorder="1" applyAlignment="1" applyProtection="1">
      <alignment horizontal="center" vertical="center" wrapText="1"/>
    </xf>
    <xf numFmtId="3" fontId="39" fillId="24" borderId="10"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27" borderId="47" xfId="49" applyNumberFormat="1" applyFont="1" applyFill="1" applyBorder="1" applyAlignment="1" applyProtection="1">
      <alignment horizontal="center" vertical="center" wrapText="1"/>
    </xf>
    <xf numFmtId="3" fontId="40" fillId="27" borderId="71" xfId="49" applyNumberFormat="1" applyFont="1" applyFill="1" applyBorder="1" applyAlignment="1" applyProtection="1">
      <alignment horizontal="center" vertical="center" wrapText="1"/>
    </xf>
    <xf numFmtId="3" fontId="40" fillId="27" borderId="48" xfId="49" applyNumberFormat="1" applyFont="1" applyFill="1" applyBorder="1" applyAlignment="1" applyProtection="1">
      <alignment horizontal="center" vertical="center" wrapText="1"/>
    </xf>
    <xf numFmtId="3" fontId="40" fillId="26" borderId="51" xfId="49" applyNumberFormat="1" applyFont="1" applyFill="1" applyBorder="1" applyAlignment="1" applyProtection="1">
      <alignment horizontal="center" vertical="center" wrapText="1"/>
    </xf>
    <xf numFmtId="3" fontId="40" fillId="26" borderId="2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horizontal="center" vertical="center" wrapText="1"/>
    </xf>
    <xf numFmtId="3" fontId="39" fillId="36" borderId="2" xfId="49" applyNumberFormat="1" applyFont="1" applyFill="1" applyBorder="1" applyAlignment="1" applyProtection="1">
      <alignment horizontal="center" vertical="center" wrapText="1"/>
    </xf>
    <xf numFmtId="3" fontId="39" fillId="36" borderId="65" xfId="49" applyNumberFormat="1" applyFont="1" applyFill="1" applyBorder="1" applyAlignment="1" applyProtection="1">
      <alignment horizontal="center" vertical="center" wrapText="1"/>
    </xf>
    <xf numFmtId="3" fontId="39" fillId="36" borderId="9" xfId="49" applyNumberFormat="1" applyFont="1" applyFill="1" applyBorder="1" applyAlignment="1" applyProtection="1">
      <alignment horizontal="center" vertical="center" wrapText="1"/>
    </xf>
    <xf numFmtId="3" fontId="39" fillId="36" borderId="60" xfId="49" applyNumberFormat="1" applyFont="1" applyFill="1" applyBorder="1" applyAlignment="1" applyProtection="1">
      <alignment horizontal="center" vertical="center" wrapText="1"/>
    </xf>
    <xf numFmtId="3" fontId="39" fillId="36" borderId="10" xfId="49" applyNumberFormat="1" applyFont="1" applyFill="1" applyBorder="1" applyAlignment="1" applyProtection="1">
      <alignment horizontal="center" vertical="center" wrapText="1"/>
    </xf>
    <xf numFmtId="3" fontId="11" fillId="27" borderId="0" xfId="49" applyNumberFormat="1" applyFont="1" applyFill="1" applyAlignment="1" applyProtection="1">
      <alignment horizontal="center"/>
    </xf>
    <xf numFmtId="3" fontId="12" fillId="27" borderId="0" xfId="49" applyNumberFormat="1" applyFont="1" applyFill="1" applyBorder="1" applyAlignment="1" applyProtection="1">
      <alignment horizontal="right" vertical="center"/>
    </xf>
    <xf numFmtId="3" fontId="12" fillId="27" borderId="0" xfId="49" applyNumberFormat="1" applyFont="1" applyFill="1" applyBorder="1" applyAlignment="1" applyProtection="1">
      <alignment vertical="center"/>
    </xf>
    <xf numFmtId="3" fontId="11" fillId="27" borderId="0" xfId="49" applyNumberFormat="1" applyFont="1" applyFill="1" applyProtection="1"/>
    <xf numFmtId="3" fontId="26" fillId="27" borderId="0" xfId="49" applyNumberFormat="1" applyFont="1" applyFill="1" applyProtection="1"/>
    <xf numFmtId="3" fontId="77" fillId="27" borderId="0" xfId="49" applyNumberFormat="1" applyFont="1" applyFill="1" applyProtection="1"/>
    <xf numFmtId="3" fontId="14" fillId="27" borderId="0" xfId="49" applyNumberFormat="1" applyFont="1" applyFill="1" applyAlignment="1" applyProtection="1">
      <alignment vertical="center" wrapText="1"/>
    </xf>
    <xf numFmtId="3" fontId="77" fillId="27" borderId="0" xfId="49" applyNumberFormat="1" applyFont="1" applyFill="1" applyAlignment="1" applyProtection="1">
      <alignment vertical="center"/>
    </xf>
    <xf numFmtId="3" fontId="14" fillId="27" borderId="0" xfId="49" applyNumberFormat="1" applyFont="1" applyFill="1" applyAlignment="1" applyProtection="1">
      <alignment wrapText="1"/>
    </xf>
    <xf numFmtId="3" fontId="19" fillId="27" borderId="0" xfId="49" applyNumberFormat="1" applyFont="1" applyFill="1" applyBorder="1" applyAlignment="1" applyProtection="1">
      <alignment vertical="center"/>
    </xf>
    <xf numFmtId="3" fontId="19" fillId="27" borderId="0" xfId="49" applyNumberFormat="1" applyFont="1" applyFill="1" applyBorder="1" applyAlignment="1" applyProtection="1">
      <alignment horizontal="center" vertical="center"/>
    </xf>
    <xf numFmtId="3" fontId="26" fillId="0" borderId="1" xfId="0" applyNumberFormat="1" applyFont="1" applyFill="1" applyBorder="1" applyAlignment="1" applyProtection="1"/>
    <xf numFmtId="3" fontId="11" fillId="0" borderId="2" xfId="32" applyNumberFormat="1" applyFont="1" applyFill="1" applyBorder="1" applyAlignment="1" applyProtection="1">
      <alignment horizontal="right"/>
    </xf>
    <xf numFmtId="3" fontId="20" fillId="0" borderId="2" xfId="32" applyNumberFormat="1" applyFont="1" applyFill="1" applyBorder="1" applyAlignment="1" applyProtection="1">
      <alignment horizontal="center"/>
    </xf>
    <xf numFmtId="3" fontId="20" fillId="0" borderId="0" xfId="49" applyNumberFormat="1" applyFont="1" applyFill="1" applyBorder="1" applyAlignment="1" applyProtection="1">
      <alignment horizontal="center" vertical="center"/>
    </xf>
    <xf numFmtId="3" fontId="90" fillId="27" borderId="0" xfId="49" applyNumberFormat="1" applyFont="1" applyFill="1" applyBorder="1" applyAlignment="1" applyProtection="1">
      <alignment vertical="center"/>
    </xf>
    <xf numFmtId="3" fontId="26" fillId="0" borderId="1" xfId="0" applyNumberFormat="1" applyFont="1" applyFill="1" applyBorder="1" applyAlignment="1" applyProtection="1">
      <alignment horizontal="right"/>
    </xf>
    <xf numFmtId="3" fontId="89" fillId="27" borderId="0" xfId="49" applyNumberFormat="1" applyFont="1" applyFill="1" applyAlignment="1" applyProtection="1"/>
    <xf numFmtId="3" fontId="39" fillId="38" borderId="1" xfId="21" applyNumberFormat="1" applyFont="1" applyFill="1" applyBorder="1" applyProtection="1">
      <alignment horizontal="center" vertical="center" wrapText="1"/>
    </xf>
    <xf numFmtId="3" fontId="39" fillId="38" borderId="38" xfId="21" applyNumberFormat="1" applyFont="1" applyFill="1" applyBorder="1" applyProtection="1">
      <alignment horizontal="center" vertical="center" wrapText="1"/>
    </xf>
    <xf numFmtId="3" fontId="39" fillId="38" borderId="9" xfId="21" applyNumberFormat="1" applyFont="1" applyFill="1" applyBorder="1" applyProtection="1">
      <alignment horizontal="center" vertical="center" wrapText="1"/>
    </xf>
    <xf numFmtId="3" fontId="39" fillId="38" borderId="10" xfId="21" applyNumberFormat="1" applyFont="1" applyFill="1" applyBorder="1" applyProtection="1">
      <alignment horizontal="center" vertical="center" wrapText="1"/>
    </xf>
    <xf numFmtId="3" fontId="39" fillId="38" borderId="2" xfId="21" applyNumberFormat="1" applyFont="1" applyFill="1" applyBorder="1" applyProtection="1">
      <alignment horizontal="center" vertical="center" wrapText="1"/>
    </xf>
    <xf numFmtId="3" fontId="39" fillId="38" borderId="65" xfId="21" applyNumberFormat="1" applyFont="1" applyFill="1" applyBorder="1" applyProtection="1">
      <alignment horizontal="center" vertical="center" wrapText="1"/>
    </xf>
    <xf numFmtId="3" fontId="39" fillId="24" borderId="1" xfId="49" applyNumberFormat="1" applyFont="1" applyFill="1" applyBorder="1" applyAlignment="1" applyProtection="1">
      <alignment horizontal="center" vertical="center"/>
    </xf>
    <xf numFmtId="3" fontId="39" fillId="24" borderId="1" xfId="49" applyNumberFormat="1" applyFont="1" applyFill="1" applyBorder="1" applyAlignment="1" applyProtection="1">
      <alignment vertical="center"/>
    </xf>
    <xf numFmtId="3" fontId="39" fillId="31" borderId="1" xfId="49" applyNumberFormat="1" applyFont="1" applyFill="1" applyBorder="1" applyAlignment="1" applyProtection="1">
      <alignment horizontal="center" wrapText="1"/>
    </xf>
    <xf numFmtId="3" fontId="39" fillId="31" borderId="38" xfId="49" applyNumberFormat="1" applyFont="1" applyFill="1" applyBorder="1" applyAlignment="1" applyProtection="1">
      <alignment horizontal="center" wrapText="1"/>
    </xf>
    <xf numFmtId="3" fontId="39" fillId="31" borderId="9" xfId="49" applyNumberFormat="1" applyFont="1" applyFill="1" applyBorder="1" applyAlignment="1" applyProtection="1">
      <alignment horizontal="center" wrapText="1"/>
    </xf>
    <xf numFmtId="3" fontId="39" fillId="31" borderId="10" xfId="49" applyNumberFormat="1" applyFont="1" applyFill="1" applyBorder="1" applyAlignment="1" applyProtection="1">
      <alignment horizontal="center" wrapText="1"/>
    </xf>
    <xf numFmtId="3" fontId="39" fillId="31" borderId="2" xfId="49" applyNumberFormat="1" applyFont="1" applyFill="1" applyBorder="1" applyAlignment="1" applyProtection="1">
      <alignment horizontal="center" wrapText="1"/>
    </xf>
    <xf numFmtId="3" fontId="39" fillId="31" borderId="65" xfId="49" applyNumberFormat="1" applyFont="1" applyFill="1" applyBorder="1" applyAlignment="1" applyProtection="1">
      <alignment horizontal="center" wrapText="1"/>
    </xf>
    <xf numFmtId="3" fontId="39" fillId="27" borderId="51" xfId="49" applyNumberFormat="1" applyFont="1" applyFill="1" applyBorder="1" applyAlignment="1" applyProtection="1">
      <alignment horizontal="center" vertical="center"/>
    </xf>
    <xf numFmtId="3" fontId="39" fillId="27" borderId="51" xfId="49" applyNumberFormat="1" applyFont="1" applyFill="1" applyBorder="1" applyAlignment="1" applyProtection="1">
      <alignment wrapText="1"/>
    </xf>
    <xf numFmtId="3" fontId="39" fillId="0" borderId="29" xfId="49" applyNumberFormat="1" applyFont="1" applyFill="1" applyBorder="1" applyAlignment="1" applyProtection="1">
      <alignment horizontal="center" vertical="center" wrapText="1"/>
    </xf>
    <xf numFmtId="3" fontId="39" fillId="27" borderId="75" xfId="49" applyNumberFormat="1" applyFont="1" applyFill="1" applyBorder="1" applyAlignment="1" applyProtection="1">
      <alignment horizontal="center" vertical="center" wrapText="1"/>
    </xf>
    <xf numFmtId="3" fontId="39" fillId="27" borderId="73" xfId="49" applyNumberFormat="1" applyFont="1" applyFill="1" applyBorder="1" applyAlignment="1" applyProtection="1">
      <alignment horizontal="center" vertical="center" wrapText="1"/>
    </xf>
    <xf numFmtId="3" fontId="39" fillId="27" borderId="76" xfId="49" applyNumberFormat="1" applyFont="1" applyFill="1" applyBorder="1" applyAlignment="1" applyProtection="1">
      <alignment horizontal="center" vertical="center" wrapText="1"/>
    </xf>
    <xf numFmtId="3" fontId="39" fillId="0" borderId="51" xfId="49" applyNumberFormat="1" applyFont="1" applyFill="1" applyBorder="1" applyAlignment="1" applyProtection="1">
      <alignment horizontal="center" vertical="center" wrapText="1"/>
    </xf>
    <xf numFmtId="3" fontId="39" fillId="27" borderId="7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27" borderId="6" xfId="49" applyNumberFormat="1" applyFont="1" applyFill="1" applyBorder="1" applyAlignment="1" applyProtection="1">
      <alignment horizontal="center" vertical="center" wrapText="1"/>
    </xf>
    <xf numFmtId="3" fontId="40" fillId="26" borderId="44" xfId="49" applyNumberFormat="1" applyFont="1" applyFill="1" applyBorder="1" applyAlignment="1" applyProtection="1">
      <alignment horizontal="center" vertical="center" wrapText="1"/>
    </xf>
    <xf numFmtId="3" fontId="40" fillId="27" borderId="1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horizontal="center" vertical="center"/>
    </xf>
    <xf numFmtId="3" fontId="39" fillId="26" borderId="17" xfId="49" applyNumberFormat="1" applyFont="1" applyFill="1" applyBorder="1" applyAlignment="1" applyProtection="1">
      <alignment wrapText="1"/>
    </xf>
    <xf numFmtId="3" fontId="39" fillId="27" borderId="24" xfId="49" applyNumberFormat="1" applyFont="1" applyFill="1" applyBorder="1" applyAlignment="1" applyProtection="1">
      <alignment horizontal="center" vertical="center"/>
    </xf>
    <xf numFmtId="3" fontId="39" fillId="27" borderId="52" xfId="49" applyNumberFormat="1" applyFont="1" applyFill="1" applyBorder="1" applyAlignment="1" applyProtection="1">
      <alignment horizontal="center" vertical="center"/>
    </xf>
    <xf numFmtId="3" fontId="39" fillId="27" borderId="7" xfId="49" applyNumberFormat="1" applyFont="1" applyFill="1" applyBorder="1" applyAlignment="1" applyProtection="1">
      <alignment horizontal="center" vertical="center"/>
    </xf>
    <xf numFmtId="3" fontId="39" fillId="27" borderId="53" xfId="49" applyNumberFormat="1" applyFont="1" applyFill="1" applyBorder="1" applyAlignment="1" applyProtection="1">
      <alignment horizontal="center" vertical="center"/>
    </xf>
    <xf numFmtId="3" fontId="39" fillId="27"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xf>
    <xf numFmtId="3" fontId="39" fillId="27" borderId="17" xfId="49" applyNumberFormat="1" applyFont="1" applyFill="1" applyBorder="1" applyAlignment="1" applyProtection="1">
      <alignment horizontal="center"/>
    </xf>
    <xf numFmtId="3" fontId="40" fillId="26" borderId="17" xfId="49" applyNumberFormat="1" applyFont="1" applyFill="1" applyBorder="1" applyAlignment="1" applyProtection="1">
      <alignment horizontal="left" wrapText="1"/>
    </xf>
    <xf numFmtId="3" fontId="40" fillId="33" borderId="24" xfId="49" applyNumberFormat="1" applyFont="1" applyFill="1" applyBorder="1" applyAlignment="1" applyProtection="1">
      <alignment horizontal="center" vertical="center"/>
    </xf>
    <xf numFmtId="3" fontId="40" fillId="33" borderId="52" xfId="49" applyNumberFormat="1" applyFont="1" applyFill="1" applyBorder="1" applyAlignment="1" applyProtection="1">
      <alignment horizontal="center" vertical="center"/>
    </xf>
    <xf numFmtId="3" fontId="40" fillId="33" borderId="7" xfId="49" applyNumberFormat="1" applyFont="1" applyFill="1" applyBorder="1" applyAlignment="1" applyProtection="1">
      <alignment horizontal="center" vertical="center"/>
    </xf>
    <xf numFmtId="3" fontId="40" fillId="33" borderId="53" xfId="49" applyNumberFormat="1" applyFont="1" applyFill="1" applyBorder="1" applyAlignment="1" applyProtection="1">
      <alignment horizontal="center" vertical="center"/>
    </xf>
    <xf numFmtId="3" fontId="40" fillId="33" borderId="17" xfId="49" applyNumberFormat="1" applyFont="1" applyFill="1" applyBorder="1" applyAlignment="1" applyProtection="1">
      <alignment horizontal="center" vertical="center"/>
    </xf>
    <xf numFmtId="3" fontId="40" fillId="33" borderId="32"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right" wrapText="1"/>
    </xf>
    <xf numFmtId="3" fontId="39" fillId="26" borderId="17" xfId="49" applyNumberFormat="1" applyFont="1" applyFill="1" applyBorder="1" applyAlignment="1" applyProtection="1">
      <alignment horizontal="left" wrapText="1"/>
    </xf>
    <xf numFmtId="3" fontId="41" fillId="26" borderId="17" xfId="49" applyNumberFormat="1" applyFont="1" applyFill="1" applyBorder="1" applyAlignment="1" applyProtection="1">
      <alignment horizontal="right" vertical="center" wrapText="1"/>
    </xf>
    <xf numFmtId="3" fontId="11" fillId="26" borderId="17" xfId="49" applyNumberFormat="1" applyFont="1" applyFill="1" applyBorder="1" applyAlignment="1" applyProtection="1">
      <alignment horizontal="left" wrapText="1"/>
    </xf>
    <xf numFmtId="3" fontId="39" fillId="20" borderId="24" xfId="49" applyNumberFormat="1" applyFont="1" applyFill="1" applyBorder="1" applyAlignment="1" applyProtection="1">
      <alignment horizontal="center" vertical="center"/>
    </xf>
    <xf numFmtId="3" fontId="39" fillId="20" borderId="52" xfId="49" applyNumberFormat="1" applyFont="1" applyFill="1" applyBorder="1" applyAlignment="1" applyProtection="1">
      <alignment horizontal="center" vertical="center"/>
    </xf>
    <xf numFmtId="3" fontId="39" fillId="20" borderId="7" xfId="49" applyNumberFormat="1" applyFont="1" applyFill="1" applyBorder="1" applyAlignment="1" applyProtection="1">
      <alignment horizontal="center" vertical="center"/>
    </xf>
    <xf numFmtId="3" fontId="39" fillId="20" borderId="53" xfId="49" applyNumberFormat="1" applyFont="1" applyFill="1" applyBorder="1" applyAlignment="1" applyProtection="1">
      <alignment horizontal="center" vertical="center"/>
    </xf>
    <xf numFmtId="3" fontId="39" fillId="20" borderId="17" xfId="49" applyNumberFormat="1" applyFont="1" applyFill="1" applyBorder="1" applyAlignment="1" applyProtection="1">
      <alignment horizontal="center" vertical="center"/>
    </xf>
    <xf numFmtId="3" fontId="39" fillId="20" borderId="32" xfId="49" applyNumberFormat="1" applyFont="1" applyFill="1" applyBorder="1" applyAlignment="1" applyProtection="1">
      <alignment horizontal="center" vertical="center"/>
    </xf>
    <xf numFmtId="3" fontId="40" fillId="27" borderId="24"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wrapText="1"/>
    </xf>
    <xf numFmtId="3" fontId="39" fillId="26" borderId="17" xfId="49" applyNumberFormat="1" applyFont="1" applyFill="1" applyBorder="1" applyAlignment="1" applyProtection="1">
      <alignment horizontal="left" vertical="center" wrapText="1"/>
    </xf>
    <xf numFmtId="3" fontId="39" fillId="27" borderId="30" xfId="49" applyNumberFormat="1" applyFont="1" applyFill="1" applyBorder="1" applyAlignment="1" applyProtection="1">
      <alignment horizontal="center" vertical="center"/>
    </xf>
    <xf numFmtId="3" fontId="39" fillId="27" borderId="21" xfId="49" applyNumberFormat="1" applyFont="1" applyFill="1" applyBorder="1" applyAlignment="1" applyProtection="1">
      <alignment wrapText="1"/>
    </xf>
    <xf numFmtId="3" fontId="40" fillId="0" borderId="42" xfId="49" applyNumberFormat="1" applyFont="1" applyFill="1" applyBorder="1" applyAlignment="1" applyProtection="1">
      <alignment horizontal="center" vertical="center" wrapText="1"/>
    </xf>
    <xf numFmtId="3" fontId="39" fillId="27" borderId="56" xfId="49" applyNumberFormat="1" applyFont="1" applyFill="1" applyBorder="1" applyAlignment="1" applyProtection="1">
      <alignment horizontal="center" vertical="center" wrapText="1"/>
    </xf>
    <xf numFmtId="3" fontId="39" fillId="27" borderId="77" xfId="49" applyNumberFormat="1" applyFont="1" applyFill="1" applyBorder="1" applyAlignment="1" applyProtection="1">
      <alignment horizontal="center" vertical="center" wrapText="1"/>
    </xf>
    <xf numFmtId="3" fontId="39" fillId="27" borderId="78" xfId="49" applyNumberFormat="1" applyFont="1" applyFill="1" applyBorder="1" applyAlignment="1" applyProtection="1">
      <alignment horizontal="center" vertical="center" wrapText="1"/>
    </xf>
    <xf numFmtId="3" fontId="40" fillId="0" borderId="34" xfId="49" applyNumberFormat="1" applyFont="1" applyFill="1" applyBorder="1" applyAlignment="1" applyProtection="1">
      <alignment horizontal="center" vertical="center" wrapText="1"/>
    </xf>
    <xf numFmtId="3" fontId="39" fillId="27" borderId="57" xfId="49" applyNumberFormat="1" applyFont="1" applyFill="1" applyBorder="1" applyAlignment="1" applyProtection="1">
      <alignment horizontal="center" vertical="center" wrapText="1"/>
    </xf>
    <xf numFmtId="3" fontId="39" fillId="27" borderId="79" xfId="49" applyNumberFormat="1" applyFont="1" applyFill="1" applyBorder="1" applyAlignment="1" applyProtection="1">
      <alignment horizontal="center" vertical="center" wrapText="1"/>
    </xf>
    <xf numFmtId="3" fontId="39" fillId="31" borderId="60" xfId="49" applyNumberFormat="1" applyFont="1" applyFill="1" applyBorder="1" applyAlignment="1" applyProtection="1">
      <alignment horizontal="center" wrapText="1"/>
    </xf>
    <xf numFmtId="3" fontId="39" fillId="27" borderId="5" xfId="49" applyNumberFormat="1" applyFont="1" applyFill="1" applyBorder="1" applyAlignment="1" applyProtection="1">
      <alignment horizontal="center" vertical="center"/>
    </xf>
    <xf numFmtId="3" fontId="39" fillId="27" borderId="5" xfId="49" applyNumberFormat="1" applyFont="1" applyFill="1" applyBorder="1" applyAlignment="1" applyProtection="1">
      <alignment wrapText="1"/>
    </xf>
    <xf numFmtId="3" fontId="39" fillId="0" borderId="25" xfId="49" applyNumberFormat="1" applyFont="1" applyFill="1" applyBorder="1" applyAlignment="1" applyProtection="1">
      <alignment horizontal="center" vertical="center" wrapText="1"/>
    </xf>
    <xf numFmtId="3" fontId="39" fillId="0" borderId="75" xfId="49" applyNumberFormat="1" applyFont="1" applyFill="1" applyBorder="1" applyAlignment="1" applyProtection="1">
      <alignment horizontal="center" vertical="center" wrapText="1"/>
    </xf>
    <xf numFmtId="3" fontId="39" fillId="0" borderId="73" xfId="49" applyNumberFormat="1" applyFont="1" applyFill="1" applyBorder="1" applyAlignment="1" applyProtection="1">
      <alignment horizontal="center" vertical="center" wrapText="1"/>
    </xf>
    <xf numFmtId="3" fontId="39" fillId="0" borderId="74" xfId="49" applyNumberFormat="1" applyFont="1" applyFill="1" applyBorder="1" applyAlignment="1" applyProtection="1">
      <alignment horizontal="center" vertical="center" wrapText="1"/>
    </xf>
    <xf numFmtId="3" fontId="39" fillId="0" borderId="76" xfId="49" applyNumberFormat="1" applyFont="1" applyFill="1" applyBorder="1" applyAlignment="1" applyProtection="1">
      <alignment horizontal="center" vertical="center" wrapText="1"/>
    </xf>
    <xf numFmtId="3" fontId="39" fillId="0" borderId="72" xfId="49" applyNumberFormat="1" applyFont="1" applyFill="1" applyBorder="1" applyAlignment="1" applyProtection="1">
      <alignment horizontal="center" vertical="center" wrapText="1"/>
    </xf>
    <xf numFmtId="3" fontId="40" fillId="0" borderId="62" xfId="49"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wrapText="1"/>
    </xf>
    <xf numFmtId="3" fontId="39" fillId="0" borderId="24" xfId="49" applyNumberFormat="1" applyFont="1" applyFill="1" applyBorder="1" applyAlignment="1" applyProtection="1">
      <alignment horizontal="center" vertical="center"/>
    </xf>
    <xf numFmtId="3" fontId="39" fillId="0" borderId="52" xfId="49" applyNumberFormat="1" applyFont="1" applyFill="1" applyBorder="1" applyAlignment="1" applyProtection="1">
      <alignment horizontal="center" vertical="center"/>
    </xf>
    <xf numFmtId="3" fontId="39" fillId="0" borderId="7" xfId="49" applyNumberFormat="1" applyFont="1" applyFill="1" applyBorder="1" applyAlignment="1" applyProtection="1">
      <alignment horizontal="center" vertical="center"/>
    </xf>
    <xf numFmtId="3" fontId="39" fillId="0" borderId="62" xfId="49" applyNumberFormat="1" applyFont="1" applyFill="1" applyBorder="1" applyAlignment="1" applyProtection="1">
      <alignment horizontal="center" vertical="center"/>
    </xf>
    <xf numFmtId="3" fontId="39" fillId="0" borderId="17" xfId="49" applyNumberFormat="1" applyFont="1" applyFill="1" applyBorder="1" applyAlignment="1" applyProtection="1">
      <alignment horizontal="center" vertical="center"/>
    </xf>
    <xf numFmtId="3" fontId="39" fillId="0" borderId="53" xfId="49" applyNumberFormat="1" applyFont="1" applyFill="1" applyBorder="1" applyAlignment="1" applyProtection="1">
      <alignment horizontal="center" vertical="center"/>
    </xf>
    <xf numFmtId="3" fontId="39" fillId="0"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left" vertical="center"/>
    </xf>
    <xf numFmtId="3" fontId="40" fillId="27" borderId="17" xfId="49" applyNumberFormat="1" applyFont="1" applyFill="1" applyBorder="1" applyAlignment="1" applyProtection="1">
      <alignment horizontal="left" wrapText="1"/>
    </xf>
    <xf numFmtId="3" fontId="40" fillId="33" borderId="6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right" wrapText="1"/>
    </xf>
    <xf numFmtId="3" fontId="41" fillId="0" borderId="52" xfId="49" applyNumberFormat="1" applyFont="1" applyFill="1" applyBorder="1" applyAlignment="1" applyProtection="1">
      <alignment horizontal="center" vertical="center" wrapText="1"/>
    </xf>
    <xf numFmtId="3" fontId="41" fillId="27" borderId="7"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3" fontId="39" fillId="0" borderId="52" xfId="49" applyNumberFormat="1" applyFont="1" applyFill="1" applyBorder="1" applyAlignment="1" applyProtection="1">
      <alignment horizontal="center" vertical="center" wrapText="1"/>
    </xf>
    <xf numFmtId="3" fontId="39" fillId="0" borderId="62" xfId="49" applyNumberFormat="1" applyFont="1" applyFill="1" applyBorder="1" applyAlignment="1" applyProtection="1">
      <alignment horizontal="center" vertical="center" wrapText="1"/>
    </xf>
    <xf numFmtId="3" fontId="39" fillId="0" borderId="53" xfId="49" applyNumberFormat="1" applyFont="1" applyFill="1" applyBorder="1" applyAlignment="1" applyProtection="1">
      <alignment horizontal="center" vertical="center" wrapText="1"/>
    </xf>
    <xf numFmtId="3" fontId="39" fillId="0" borderId="5" xfId="49" applyNumberFormat="1" applyFont="1" applyFill="1" applyBorder="1" applyAlignment="1" applyProtection="1">
      <alignment horizontal="center" vertical="center" wrapText="1"/>
    </xf>
    <xf numFmtId="3" fontId="39" fillId="27" borderId="36" xfId="49" applyNumberFormat="1" applyFont="1" applyFill="1" applyBorder="1" applyAlignment="1" applyProtection="1">
      <alignment horizontal="center" vertical="center"/>
    </xf>
    <xf numFmtId="3" fontId="39" fillId="26" borderId="21" xfId="49" applyNumberFormat="1" applyFont="1" applyFill="1" applyBorder="1" applyAlignment="1" applyProtection="1">
      <alignment wrapText="1"/>
    </xf>
    <xf numFmtId="3" fontId="39" fillId="0" borderId="21" xfId="49" applyNumberFormat="1" applyFont="1" applyFill="1" applyBorder="1" applyAlignment="1" applyProtection="1">
      <alignment horizontal="center" vertical="center" wrapText="1"/>
    </xf>
    <xf numFmtId="3" fontId="39" fillId="0" borderId="56" xfId="49" applyNumberFormat="1" applyFont="1" applyFill="1" applyBorder="1" applyAlignment="1" applyProtection="1">
      <alignment horizontal="center" vertical="center" wrapText="1"/>
    </xf>
    <xf numFmtId="3" fontId="39" fillId="0" borderId="77" xfId="49" applyNumberFormat="1" applyFont="1" applyFill="1" applyBorder="1" applyAlignment="1" applyProtection="1">
      <alignment horizontal="center" vertical="center" wrapText="1"/>
    </xf>
    <xf numFmtId="3" fontId="39" fillId="0" borderId="78" xfId="49" applyNumberFormat="1" applyFont="1" applyFill="1" applyBorder="1" applyAlignment="1" applyProtection="1">
      <alignment horizontal="center" vertical="center" wrapText="1"/>
    </xf>
    <xf numFmtId="3" fontId="39" fillId="0" borderId="57" xfId="49" applyNumberFormat="1" applyFont="1" applyFill="1" applyBorder="1" applyAlignment="1" applyProtection="1">
      <alignment horizontal="center" vertical="center" wrapText="1"/>
    </xf>
    <xf numFmtId="3" fontId="39" fillId="0" borderId="79" xfId="49" applyNumberFormat="1" applyFont="1" applyFill="1" applyBorder="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right" vertical="center"/>
    </xf>
    <xf numFmtId="3" fontId="11" fillId="31" borderId="29" xfId="32" applyNumberFormat="1" applyFont="1" applyFill="1" applyBorder="1" applyProtection="1"/>
    <xf numFmtId="3" fontId="42" fillId="31" borderId="51" xfId="32" applyNumberFormat="1" applyFont="1" applyFill="1" applyBorder="1" applyAlignment="1" applyProtection="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88" fillId="27" borderId="27" xfId="70" applyNumberFormat="1" applyFont="1" applyFill="1" applyBorder="1" applyAlignment="1" applyProtection="1">
      <alignment horizontal="center"/>
    </xf>
    <xf numFmtId="3" fontId="11" fillId="31" borderId="36" xfId="32" applyNumberFormat="1" applyFont="1" applyFill="1" applyBorder="1" applyProtection="1"/>
    <xf numFmtId="3" fontId="42" fillId="31" borderId="39" xfId="32" applyNumberFormat="1" applyFont="1" applyFill="1" applyBorder="1" applyAlignment="1" applyProtection="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applyProtection="1"/>
    <xf numFmtId="3" fontId="42" fillId="31" borderId="21" xfId="32" applyNumberFormat="1" applyFont="1" applyFill="1" applyBorder="1" applyAlignment="1" applyProtection="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pplyProtection="1">
      <alignment horizontal="right"/>
    </xf>
    <xf numFmtId="3" fontId="11" fillId="27" borderId="0" xfId="0" applyNumberFormat="1" applyFont="1" applyFill="1" applyAlignment="1" applyProtection="1"/>
    <xf numFmtId="3" fontId="11" fillId="27" borderId="0" xfId="0" applyNumberFormat="1" applyFont="1" applyFill="1" applyProtection="1"/>
    <xf numFmtId="3" fontId="64" fillId="27" borderId="0" xfId="0" applyNumberFormat="1" applyFont="1" applyFill="1" applyAlignment="1" applyProtection="1">
      <alignment vertical="center"/>
    </xf>
    <xf numFmtId="3" fontId="64" fillId="27" borderId="0" xfId="0" applyNumberFormat="1" applyFont="1" applyFill="1" applyAlignment="1" applyProtection="1">
      <alignment horizontal="right" vertical="center"/>
    </xf>
    <xf numFmtId="3" fontId="64" fillId="27" borderId="0" xfId="0" applyNumberFormat="1" applyFont="1" applyFill="1" applyAlignment="1" applyProtection="1">
      <alignment horizontal="left" vertical="center"/>
    </xf>
    <xf numFmtId="3" fontId="11" fillId="27" borderId="0" xfId="0" applyNumberFormat="1" applyFont="1" applyFill="1" applyAlignment="1" applyProtection="1">
      <alignment horizontal="right"/>
    </xf>
    <xf numFmtId="3" fontId="11" fillId="27" borderId="0" xfId="31" applyNumberFormat="1" applyFont="1" applyFill="1" applyProtection="1"/>
    <xf numFmtId="3" fontId="35" fillId="27" borderId="0" xfId="0" applyNumberFormat="1" applyFont="1" applyFill="1" applyAlignment="1" applyProtection="1">
      <alignment horizontal="center"/>
    </xf>
    <xf numFmtId="3" fontId="11" fillId="27" borderId="0" xfId="0" applyNumberFormat="1" applyFont="1" applyFill="1" applyAlignment="1" applyProtection="1">
      <alignment vertical="center"/>
    </xf>
    <xf numFmtId="3" fontId="83" fillId="27" borderId="0" xfId="0" applyNumberFormat="1" applyFont="1" applyFill="1" applyAlignment="1" applyProtection="1">
      <alignment horizontal="left" vertical="center"/>
    </xf>
    <xf numFmtId="3" fontId="64" fillId="27" borderId="0" xfId="49" applyNumberFormat="1" applyFont="1" applyFill="1" applyProtection="1"/>
    <xf numFmtId="3" fontId="20" fillId="27" borderId="0" xfId="0" applyNumberFormat="1" applyFont="1" applyFill="1" applyAlignment="1" applyProtection="1"/>
    <xf numFmtId="3" fontId="42" fillId="27" borderId="0" xfId="49" applyNumberFormat="1" applyFont="1" applyFill="1" applyAlignment="1" applyProtection="1">
      <alignment horizontal="left"/>
    </xf>
    <xf numFmtId="3" fontId="20" fillId="27" borderId="0" xfId="49" applyNumberFormat="1" applyFont="1" applyFill="1" applyAlignment="1" applyProtection="1">
      <alignment horizontal="left" indent="1"/>
    </xf>
    <xf numFmtId="3" fontId="42" fillId="27" borderId="0" xfId="31" applyNumberFormat="1" applyFont="1" applyFill="1" applyBorder="1" applyProtection="1"/>
    <xf numFmtId="3" fontId="42" fillId="27" borderId="0" xfId="49" applyNumberFormat="1" applyFont="1" applyFill="1" applyAlignment="1" applyProtection="1">
      <alignment horizontal="left" indent="1"/>
    </xf>
    <xf numFmtId="0" fontId="77" fillId="27" borderId="0" xfId="49" applyFont="1" applyFill="1" applyAlignment="1" applyProtection="1">
      <alignment vertical="center"/>
    </xf>
    <xf numFmtId="0" fontId="12" fillId="27" borderId="0" xfId="49" applyFont="1" applyFill="1" applyBorder="1" applyAlignment="1" applyProtection="1">
      <alignment vertical="center"/>
    </xf>
    <xf numFmtId="0" fontId="26" fillId="27" borderId="0" xfId="49" applyFont="1" applyFill="1" applyAlignment="1" applyProtection="1">
      <alignment vertical="center"/>
    </xf>
    <xf numFmtId="0" fontId="91" fillId="27" borderId="0" xfId="49" applyFont="1" applyFill="1" applyAlignment="1" applyProtection="1">
      <alignment vertical="center"/>
    </xf>
    <xf numFmtId="0" fontId="12" fillId="27" borderId="0" xfId="49" applyFont="1" applyFill="1" applyBorder="1" applyAlignment="1" applyProtection="1">
      <alignment horizontal="right" vertical="center"/>
    </xf>
    <xf numFmtId="0" fontId="19" fillId="27" borderId="0" xfId="49" applyFont="1" applyFill="1" applyBorder="1" applyAlignment="1" applyProtection="1">
      <alignment horizontal="center" vertical="center"/>
    </xf>
    <xf numFmtId="1" fontId="20" fillId="38" borderId="1" xfId="21" applyFont="1" applyFill="1" applyBorder="1" applyAlignment="1" applyProtection="1">
      <alignment horizontal="center" vertical="center" wrapText="1"/>
    </xf>
    <xf numFmtId="1" fontId="20" fillId="38" borderId="38" xfId="21" applyFont="1" applyFill="1" applyBorder="1" applyAlignment="1" applyProtection="1">
      <alignment horizontal="center" vertical="center" wrapText="1"/>
    </xf>
    <xf numFmtId="1" fontId="20" fillId="38" borderId="9" xfId="21" applyFont="1" applyFill="1" applyBorder="1" applyAlignment="1" applyProtection="1">
      <alignment horizontal="center" vertical="center" wrapText="1"/>
    </xf>
    <xf numFmtId="1" fontId="20" fillId="38" borderId="60" xfId="21" applyFont="1" applyFill="1" applyBorder="1" applyAlignment="1" applyProtection="1">
      <alignment horizontal="center" vertical="center" wrapText="1"/>
    </xf>
    <xf numFmtId="1" fontId="20" fillId="38" borderId="2" xfId="21" applyFont="1" applyFill="1" applyBorder="1" applyAlignment="1" applyProtection="1">
      <alignment horizontal="center" vertical="center" wrapText="1"/>
    </xf>
    <xf numFmtId="1" fontId="20" fillId="38" borderId="65" xfId="21" applyFont="1" applyFill="1" applyBorder="1" applyAlignment="1" applyProtection="1">
      <alignment horizontal="center" vertical="center" wrapText="1"/>
    </xf>
    <xf numFmtId="1" fontId="20" fillId="38" borderId="10" xfId="21" applyFont="1" applyFill="1" applyBorder="1" applyAlignment="1" applyProtection="1">
      <alignment horizontal="center" vertical="center" wrapText="1"/>
    </xf>
    <xf numFmtId="0" fontId="20" fillId="32" borderId="1" xfId="49" applyFont="1" applyFill="1" applyBorder="1" applyAlignment="1" applyProtection="1">
      <alignment horizontal="center" vertical="center"/>
    </xf>
    <xf numFmtId="0" fontId="20" fillId="32" borderId="2" xfId="49" applyFont="1" applyFill="1" applyBorder="1" applyAlignment="1" applyProtection="1">
      <alignment vertical="center" wrapText="1"/>
    </xf>
    <xf numFmtId="0" fontId="20" fillId="32" borderId="2" xfId="49" applyFont="1" applyFill="1" applyBorder="1" applyAlignment="1" applyProtection="1">
      <alignment horizontal="center" vertical="center" wrapText="1"/>
    </xf>
    <xf numFmtId="49" fontId="20" fillId="24" borderId="1" xfId="49" applyNumberFormat="1" applyFont="1" applyFill="1" applyBorder="1" applyAlignment="1" applyProtection="1">
      <alignment horizontal="center" vertical="center"/>
    </xf>
    <xf numFmtId="49" fontId="20" fillId="24" borderId="1" xfId="49" applyNumberFormat="1" applyFont="1" applyFill="1" applyBorder="1" applyAlignment="1" applyProtection="1">
      <alignment vertical="center"/>
    </xf>
    <xf numFmtId="3" fontId="20" fillId="31" borderId="65" xfId="49" applyNumberFormat="1" applyFont="1" applyFill="1" applyBorder="1" applyAlignment="1" applyProtection="1">
      <alignment horizontal="center" vertical="center" wrapText="1"/>
    </xf>
    <xf numFmtId="3" fontId="20" fillId="31" borderId="9" xfId="49" applyNumberFormat="1" applyFont="1" applyFill="1" applyBorder="1" applyAlignment="1" applyProtection="1">
      <alignment horizontal="center" vertical="center" wrapText="1"/>
    </xf>
    <xf numFmtId="3" fontId="20" fillId="31" borderId="60" xfId="49" applyNumberFormat="1" applyFont="1" applyFill="1" applyBorder="1" applyAlignment="1" applyProtection="1">
      <alignment horizontal="center" vertical="center" wrapText="1"/>
    </xf>
    <xf numFmtId="3" fontId="20" fillId="31" borderId="2" xfId="49" applyNumberFormat="1" applyFont="1" applyFill="1" applyBorder="1" applyAlignment="1" applyProtection="1">
      <alignment horizontal="center" vertical="center" wrapText="1"/>
    </xf>
    <xf numFmtId="3" fontId="20" fillId="31" borderId="10" xfId="49" applyNumberFormat="1" applyFont="1" applyFill="1" applyBorder="1" applyAlignment="1" applyProtection="1">
      <alignment horizontal="center" vertical="center" wrapText="1"/>
    </xf>
    <xf numFmtId="0" fontId="20" fillId="27" borderId="5" xfId="49" applyFont="1" applyFill="1" applyBorder="1" applyAlignment="1" applyProtection="1">
      <alignment horizontal="center" vertical="center"/>
    </xf>
    <xf numFmtId="9" fontId="20" fillId="27" borderId="5" xfId="49" applyNumberFormat="1" applyFont="1" applyFill="1" applyBorder="1" applyAlignment="1" applyProtection="1">
      <alignment horizontal="center" vertical="center"/>
    </xf>
    <xf numFmtId="0" fontId="20" fillId="27" borderId="25" xfId="49" applyFont="1" applyFill="1" applyBorder="1" applyAlignment="1" applyProtection="1">
      <alignment vertical="center" wrapText="1"/>
    </xf>
    <xf numFmtId="3" fontId="20" fillId="27" borderId="26" xfId="49" applyNumberFormat="1" applyFont="1" applyFill="1" applyBorder="1" applyAlignment="1" applyProtection="1">
      <alignment horizontal="center" vertical="center" wrapText="1"/>
    </xf>
    <xf numFmtId="3" fontId="20" fillId="27" borderId="80" xfId="49" applyNumberFormat="1" applyFont="1" applyFill="1" applyBorder="1" applyAlignment="1" applyProtection="1">
      <alignment horizontal="center" vertical="center" wrapText="1"/>
    </xf>
    <xf numFmtId="3" fontId="20" fillId="27" borderId="58" xfId="49" applyNumberFormat="1" applyFont="1" applyFill="1" applyBorder="1" applyAlignment="1" applyProtection="1">
      <alignment horizontal="center" vertical="center" wrapText="1"/>
    </xf>
    <xf numFmtId="3" fontId="20" fillId="27" borderId="59" xfId="49" applyNumberFormat="1" applyFont="1" applyFill="1" applyBorder="1" applyAlignment="1" applyProtection="1">
      <alignment horizontal="center" vertical="center" wrapText="1"/>
    </xf>
    <xf numFmtId="3" fontId="20" fillId="27" borderId="46" xfId="49" applyNumberFormat="1" applyFont="1" applyFill="1" applyBorder="1" applyAlignment="1" applyProtection="1">
      <alignment horizontal="center" vertical="center" wrapText="1"/>
    </xf>
    <xf numFmtId="0" fontId="11" fillId="27" borderId="5" xfId="49" applyFont="1" applyFill="1" applyBorder="1" applyAlignment="1" applyProtection="1">
      <alignment horizontal="center" vertical="center"/>
    </xf>
    <xf numFmtId="0" fontId="11" fillId="26" borderId="5" xfId="49" applyFont="1" applyFill="1" applyBorder="1" applyAlignment="1" applyProtection="1">
      <alignment horizontal="center" vertical="center"/>
    </xf>
    <xf numFmtId="9" fontId="11" fillId="26" borderId="5" xfId="49" applyNumberFormat="1" applyFont="1" applyFill="1" applyBorder="1" applyAlignment="1" applyProtection="1">
      <alignment horizontal="center" vertical="center"/>
    </xf>
    <xf numFmtId="0" fontId="11" fillId="26" borderId="25" xfId="49" applyFont="1" applyFill="1" applyBorder="1" applyAlignment="1" applyProtection="1">
      <alignment vertical="center" wrapText="1"/>
    </xf>
    <xf numFmtId="0" fontId="11" fillId="26" borderId="24" xfId="49" applyFont="1" applyFill="1" applyBorder="1" applyAlignment="1" applyProtection="1">
      <alignment vertical="center" wrapText="1"/>
    </xf>
    <xf numFmtId="0" fontId="20" fillId="27" borderId="17" xfId="49" applyFont="1" applyFill="1" applyBorder="1" applyAlignment="1" applyProtection="1">
      <alignment horizontal="center" vertical="center"/>
    </xf>
    <xf numFmtId="0" fontId="20" fillId="26" borderId="17" xfId="49" applyFont="1" applyFill="1" applyBorder="1" applyAlignment="1" applyProtection="1">
      <alignment horizontal="center" vertical="center"/>
    </xf>
    <xf numFmtId="9" fontId="20" fillId="26" borderId="17" xfId="49" applyNumberFormat="1" applyFont="1" applyFill="1" applyBorder="1" applyAlignment="1" applyProtection="1">
      <alignment horizontal="center" vertical="center"/>
    </xf>
    <xf numFmtId="0" fontId="20" fillId="26" borderId="24" xfId="49" applyFont="1" applyFill="1" applyBorder="1" applyAlignment="1" applyProtection="1">
      <alignment vertical="center" wrapText="1"/>
    </xf>
    <xf numFmtId="3" fontId="20" fillId="27" borderId="17" xfId="49" applyNumberFormat="1" applyFont="1" applyFill="1" applyBorder="1" applyAlignment="1" applyProtection="1">
      <alignment horizontal="center" vertical="center"/>
    </xf>
    <xf numFmtId="3" fontId="20" fillId="27" borderId="32" xfId="49" applyNumberFormat="1" applyFont="1" applyFill="1" applyBorder="1" applyAlignment="1" applyProtection="1">
      <alignment horizontal="center" vertical="center"/>
    </xf>
    <xf numFmtId="3" fontId="20" fillId="27" borderId="7" xfId="49" applyNumberFormat="1" applyFont="1" applyFill="1" applyBorder="1" applyAlignment="1" applyProtection="1">
      <alignment horizontal="center" vertical="center"/>
    </xf>
    <xf numFmtId="3" fontId="20" fillId="27" borderId="62" xfId="49" applyNumberFormat="1" applyFont="1" applyFill="1" applyBorder="1" applyAlignment="1" applyProtection="1">
      <alignment horizontal="center" vertical="center"/>
    </xf>
    <xf numFmtId="3" fontId="20" fillId="27" borderId="53" xfId="49" applyNumberFormat="1" applyFont="1" applyFill="1" applyBorder="1" applyAlignment="1" applyProtection="1">
      <alignment horizontal="center" vertical="center"/>
    </xf>
    <xf numFmtId="0" fontId="11" fillId="27" borderId="17" xfId="49" applyFont="1" applyFill="1" applyBorder="1" applyAlignment="1" applyProtection="1">
      <alignment horizontal="center" vertical="center"/>
    </xf>
    <xf numFmtId="9" fontId="11" fillId="26" borderId="17" xfId="49" applyNumberFormat="1" applyFont="1" applyFill="1" applyBorder="1" applyAlignment="1" applyProtection="1">
      <alignment horizontal="center" vertical="center"/>
    </xf>
    <xf numFmtId="9" fontId="11" fillId="26" borderId="24" xfId="49" applyNumberFormat="1" applyFont="1" applyFill="1" applyBorder="1" applyAlignment="1" applyProtection="1">
      <alignment horizontal="left" vertical="center"/>
    </xf>
    <xf numFmtId="49" fontId="20" fillId="26" borderId="24" xfId="49" applyNumberFormat="1" applyFont="1" applyFill="1" applyBorder="1" applyAlignment="1" applyProtection="1">
      <alignment vertical="center" wrapText="1"/>
    </xf>
    <xf numFmtId="49" fontId="11" fillId="26" borderId="24" xfId="49" applyNumberFormat="1" applyFont="1" applyFill="1" applyBorder="1" applyAlignment="1" applyProtection="1">
      <alignment horizontal="left" vertical="center" wrapText="1"/>
    </xf>
    <xf numFmtId="3" fontId="11" fillId="33" borderId="17" xfId="49" applyNumberFormat="1" applyFont="1" applyFill="1" applyBorder="1" applyAlignment="1" applyProtection="1">
      <alignment horizontal="center" vertical="center"/>
    </xf>
    <xf numFmtId="3" fontId="11" fillId="33" borderId="32" xfId="49" applyNumberFormat="1" applyFont="1" applyFill="1" applyBorder="1" applyAlignment="1" applyProtection="1">
      <alignment horizontal="center" vertical="center"/>
    </xf>
    <xf numFmtId="3" fontId="11" fillId="33" borderId="7" xfId="49" applyNumberFormat="1" applyFont="1" applyFill="1" applyBorder="1" applyAlignment="1" applyProtection="1">
      <alignment horizontal="center" vertical="center"/>
    </xf>
    <xf numFmtId="3" fontId="11" fillId="33" borderId="62" xfId="49" applyNumberFormat="1" applyFont="1" applyFill="1" applyBorder="1" applyAlignment="1" applyProtection="1">
      <alignment horizontal="center" vertical="center"/>
    </xf>
    <xf numFmtId="3" fontId="11" fillId="33" borderId="53" xfId="49" applyNumberFormat="1" applyFont="1" applyFill="1" applyBorder="1" applyAlignment="1" applyProtection="1">
      <alignment horizontal="center" vertical="center"/>
    </xf>
    <xf numFmtId="0" fontId="42" fillId="26" borderId="17" xfId="49" applyFont="1" applyFill="1" applyBorder="1" applyAlignment="1" applyProtection="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pplyProtection="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pplyProtection="1">
      <alignment horizontal="center" vertical="center"/>
    </xf>
    <xf numFmtId="49" fontId="20" fillId="26" borderId="24" xfId="49" applyNumberFormat="1" applyFont="1" applyFill="1" applyBorder="1" applyAlignment="1" applyProtection="1">
      <alignment horizontal="left" vertical="center" wrapText="1"/>
    </xf>
    <xf numFmtId="0" fontId="42" fillId="26" borderId="24" xfId="49" applyFont="1" applyFill="1" applyBorder="1" applyAlignment="1" applyProtection="1">
      <alignment horizontal="right" vertical="center" wrapText="1"/>
    </xf>
    <xf numFmtId="49" fontId="11" fillId="26" borderId="17" xfId="49" applyNumberFormat="1" applyFont="1" applyFill="1" applyBorder="1" applyAlignment="1" applyProtection="1">
      <alignment horizontal="left" vertical="center" wrapText="1"/>
    </xf>
    <xf numFmtId="3" fontId="20" fillId="20" borderId="17" xfId="49" applyNumberFormat="1" applyFont="1" applyFill="1" applyBorder="1" applyAlignment="1" applyProtection="1">
      <alignment horizontal="center" vertical="center"/>
    </xf>
    <xf numFmtId="3" fontId="20" fillId="20" borderId="32" xfId="49" applyNumberFormat="1" applyFont="1" applyFill="1" applyBorder="1" applyAlignment="1" applyProtection="1">
      <alignment horizontal="center" vertical="center"/>
    </xf>
    <xf numFmtId="3" fontId="20" fillId="20" borderId="7" xfId="49" applyNumberFormat="1" applyFont="1" applyFill="1" applyBorder="1" applyAlignment="1" applyProtection="1">
      <alignment horizontal="center" vertical="center"/>
    </xf>
    <xf numFmtId="3" fontId="20" fillId="20" borderId="62" xfId="49" applyNumberFormat="1" applyFont="1" applyFill="1" applyBorder="1" applyAlignment="1" applyProtection="1">
      <alignment horizontal="center" vertical="center"/>
    </xf>
    <xf numFmtId="3" fontId="20" fillId="20" borderId="53" xfId="49" applyNumberFormat="1" applyFont="1" applyFill="1" applyBorder="1" applyAlignment="1" applyProtection="1">
      <alignment horizontal="center" vertical="center"/>
    </xf>
    <xf numFmtId="0" fontId="11" fillId="27" borderId="24" xfId="49" applyFont="1" applyFill="1" applyBorder="1" applyAlignment="1" applyProtection="1">
      <alignment horizontal="center" vertical="center"/>
    </xf>
    <xf numFmtId="0" fontId="11" fillId="26" borderId="24" xfId="49" applyFont="1" applyFill="1" applyBorder="1" applyAlignment="1" applyProtection="1">
      <alignment horizontal="center" vertical="center"/>
    </xf>
    <xf numFmtId="9" fontId="11" fillId="26" borderId="24" xfId="49" applyNumberFormat="1" applyFont="1" applyFill="1" applyBorder="1" applyAlignment="1" applyProtection="1">
      <alignment horizontal="center" vertical="center"/>
    </xf>
    <xf numFmtId="0" fontId="11" fillId="26" borderId="24" xfId="49" applyFont="1" applyFill="1" applyBorder="1" applyAlignment="1" applyProtection="1">
      <alignment horizontal="left" vertical="center" wrapText="1"/>
    </xf>
    <xf numFmtId="0" fontId="20" fillId="27" borderId="24" xfId="49" applyFont="1" applyFill="1" applyBorder="1" applyAlignment="1" applyProtection="1">
      <alignment horizontal="center" vertical="center"/>
    </xf>
    <xf numFmtId="0" fontId="20" fillId="26" borderId="24" xfId="49" applyFont="1" applyFill="1" applyBorder="1" applyAlignment="1" applyProtection="1">
      <alignment horizontal="center" vertical="center"/>
    </xf>
    <xf numFmtId="9" fontId="20" fillId="26" borderId="24" xfId="49" applyNumberFormat="1" applyFont="1" applyFill="1" applyBorder="1" applyAlignment="1" applyProtection="1">
      <alignment horizontal="center" vertical="center"/>
    </xf>
    <xf numFmtId="0" fontId="20" fillId="26" borderId="24" xfId="49" applyFont="1" applyFill="1" applyBorder="1" applyAlignment="1" applyProtection="1">
      <alignment horizontal="left" vertical="center" wrapText="1"/>
    </xf>
    <xf numFmtId="0" fontId="20" fillId="27" borderId="30" xfId="49" applyFont="1" applyFill="1" applyBorder="1" applyAlignment="1" applyProtection="1">
      <alignment horizontal="center" vertical="center"/>
    </xf>
    <xf numFmtId="9" fontId="20" fillId="27" borderId="30" xfId="49" applyNumberFormat="1" applyFont="1" applyFill="1" applyBorder="1" applyAlignment="1" applyProtection="1">
      <alignment horizontal="center" vertical="center"/>
    </xf>
    <xf numFmtId="49" fontId="20" fillId="27" borderId="30" xfId="49" applyNumberFormat="1" applyFont="1" applyFill="1" applyBorder="1" applyAlignment="1" applyProtection="1">
      <alignment vertical="center" wrapText="1"/>
    </xf>
    <xf numFmtId="0" fontId="18" fillId="24" borderId="1" xfId="49" applyFont="1" applyFill="1" applyBorder="1" applyAlignment="1" applyProtection="1">
      <alignment horizontal="center" vertical="center"/>
    </xf>
    <xf numFmtId="0" fontId="18" fillId="24" borderId="1" xfId="49" applyFont="1" applyFill="1" applyBorder="1" applyAlignment="1" applyProtection="1">
      <alignment horizontal="left" vertical="center"/>
    </xf>
    <xf numFmtId="49" fontId="18" fillId="24" borderId="1" xfId="49" applyNumberFormat="1" applyFont="1" applyFill="1" applyBorder="1" applyAlignment="1" applyProtection="1">
      <alignment vertical="center"/>
    </xf>
    <xf numFmtId="3" fontId="20" fillId="31" borderId="1" xfId="49" applyNumberFormat="1" applyFont="1" applyFill="1" applyBorder="1" applyAlignment="1" applyProtection="1">
      <alignment horizontal="center" vertical="center" wrapText="1"/>
    </xf>
    <xf numFmtId="3" fontId="20" fillId="31" borderId="38" xfId="49" applyNumberFormat="1" applyFont="1" applyFill="1" applyBorder="1" applyAlignment="1" applyProtection="1">
      <alignment horizontal="center" vertical="center" wrapText="1"/>
    </xf>
    <xf numFmtId="0" fontId="20" fillId="27" borderId="5" xfId="49" applyFont="1" applyFill="1" applyBorder="1" applyAlignment="1" applyProtection="1">
      <alignment vertical="center" wrapText="1"/>
    </xf>
    <xf numFmtId="3" fontId="20" fillId="27" borderId="29" xfId="49" applyNumberFormat="1" applyFont="1" applyFill="1" applyBorder="1" applyAlignment="1" applyProtection="1">
      <alignment horizontal="center" vertical="center" wrapText="1"/>
    </xf>
    <xf numFmtId="3" fontId="20" fillId="27" borderId="73" xfId="49" applyNumberFormat="1" applyFont="1" applyFill="1" applyBorder="1" applyAlignment="1" applyProtection="1">
      <alignment horizontal="center" vertical="center" wrapText="1"/>
    </xf>
    <xf numFmtId="3" fontId="20" fillId="27" borderId="74" xfId="49" applyNumberFormat="1" applyFont="1" applyFill="1" applyBorder="1" applyAlignment="1" applyProtection="1">
      <alignment horizontal="center" vertical="center" wrapText="1"/>
    </xf>
    <xf numFmtId="3" fontId="20" fillId="27" borderId="75" xfId="49" applyNumberFormat="1" applyFont="1" applyFill="1" applyBorder="1" applyAlignment="1" applyProtection="1">
      <alignment horizontal="center" vertical="center" wrapText="1"/>
    </xf>
    <xf numFmtId="3" fontId="20" fillId="27" borderId="76" xfId="49" applyNumberFormat="1" applyFont="1" applyFill="1" applyBorder="1" applyAlignment="1" applyProtection="1">
      <alignment horizontal="center" vertical="center" wrapText="1"/>
    </xf>
    <xf numFmtId="9" fontId="11" fillId="27" borderId="5" xfId="49" applyNumberFormat="1" applyFont="1" applyFill="1" applyBorder="1" applyAlignment="1" applyProtection="1">
      <alignment horizontal="center" vertical="center"/>
    </xf>
    <xf numFmtId="0" fontId="11" fillId="27" borderId="5" xfId="49" applyFont="1" applyFill="1" applyBorder="1" applyAlignment="1" applyProtection="1">
      <alignment vertical="center" wrapText="1"/>
    </xf>
    <xf numFmtId="3" fontId="11" fillId="0" borderId="24" xfId="49" applyNumberFormat="1" applyFont="1" applyFill="1" applyBorder="1" applyAlignment="1" applyProtection="1">
      <alignment horizontal="center" vertical="center" wrapText="1"/>
    </xf>
    <xf numFmtId="3" fontId="11" fillId="0" borderId="7" xfId="49" applyNumberFormat="1" applyFont="1" applyFill="1" applyBorder="1" applyAlignment="1" applyProtection="1">
      <alignment horizontal="center" vertical="center" wrapText="1"/>
    </xf>
    <xf numFmtId="3" fontId="11" fillId="27" borderId="7" xfId="49" applyNumberFormat="1" applyFont="1" applyFill="1" applyBorder="1" applyAlignment="1" applyProtection="1">
      <alignment horizontal="center" vertical="center" wrapText="1"/>
    </xf>
    <xf numFmtId="3" fontId="11" fillId="27" borderId="62" xfId="49" applyNumberFormat="1" applyFont="1" applyFill="1" applyBorder="1" applyAlignment="1" applyProtection="1">
      <alignment horizontal="center" vertical="center" wrapText="1"/>
    </xf>
    <xf numFmtId="3" fontId="11" fillId="27" borderId="24" xfId="49" applyNumberFormat="1" applyFont="1" applyFill="1" applyBorder="1" applyAlignment="1" applyProtection="1">
      <alignment horizontal="center" vertical="center" wrapText="1"/>
    </xf>
    <xf numFmtId="3" fontId="11" fillId="27" borderId="53" xfId="49" applyNumberFormat="1" applyFont="1" applyFill="1" applyBorder="1" applyAlignment="1" applyProtection="1">
      <alignment horizontal="center" vertical="center" wrapText="1"/>
    </xf>
    <xf numFmtId="0" fontId="11" fillId="27" borderId="17" xfId="49" applyFont="1" applyFill="1" applyBorder="1" applyAlignment="1" applyProtection="1">
      <alignment vertical="center" wrapText="1"/>
    </xf>
    <xf numFmtId="9" fontId="20" fillId="27" borderId="17" xfId="49" applyNumberFormat="1" applyFont="1" applyFill="1" applyBorder="1" applyAlignment="1" applyProtection="1">
      <alignment horizontal="center" vertical="center"/>
    </xf>
    <xf numFmtId="0" fontId="20" fillId="27" borderId="17" xfId="49" applyFont="1" applyFill="1" applyBorder="1" applyAlignment="1" applyProtection="1">
      <alignment vertical="center" wrapText="1"/>
    </xf>
    <xf numFmtId="3" fontId="20" fillId="27" borderId="24" xfId="49" applyNumberFormat="1" applyFont="1" applyFill="1" applyBorder="1" applyAlignment="1" applyProtection="1">
      <alignment horizontal="center" vertical="center"/>
    </xf>
    <xf numFmtId="3" fontId="20" fillId="27" borderId="52"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left" vertical="center"/>
    </xf>
    <xf numFmtId="49" fontId="20" fillId="27" borderId="17" xfId="49" applyNumberFormat="1" applyFont="1" applyFill="1" applyBorder="1" applyAlignment="1" applyProtection="1">
      <alignment vertical="center" wrapText="1"/>
    </xf>
    <xf numFmtId="49" fontId="11" fillId="27" borderId="17" xfId="49" applyNumberFormat="1" applyFont="1" applyFill="1" applyBorder="1" applyAlignment="1" applyProtection="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pplyProtection="1">
      <alignment horizontal="center" vertical="center"/>
    </xf>
    <xf numFmtId="3" fontId="11" fillId="33" borderId="52" xfId="49" applyNumberFormat="1" applyFont="1" applyFill="1" applyBorder="1" applyAlignment="1" applyProtection="1">
      <alignment horizontal="center" vertical="center"/>
    </xf>
    <xf numFmtId="0" fontId="42" fillId="27" borderId="17" xfId="49" applyFont="1" applyFill="1" applyBorder="1" applyAlignment="1" applyProtection="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pplyProtection="1">
      <alignment horizontal="right" vertical="center" wrapText="1"/>
    </xf>
    <xf numFmtId="9" fontId="42" fillId="27" borderId="17" xfId="49" applyNumberFormat="1" applyFont="1" applyFill="1" applyBorder="1" applyAlignment="1" applyProtection="1">
      <alignment horizontal="center" vertical="center"/>
    </xf>
    <xf numFmtId="49" fontId="42" fillId="26" borderId="17" xfId="49" applyNumberFormat="1" applyFont="1" applyFill="1" applyBorder="1" applyAlignment="1" applyProtection="1">
      <alignment horizontal="right" vertical="center" wrapText="1"/>
    </xf>
    <xf numFmtId="49" fontId="20" fillId="26" borderId="17" xfId="49" applyNumberFormat="1" applyFont="1" applyFill="1" applyBorder="1" applyAlignment="1" applyProtection="1">
      <alignment horizontal="left" vertical="center" wrapText="1"/>
    </xf>
    <xf numFmtId="0" fontId="11" fillId="26" borderId="17" xfId="49" applyFont="1" applyFill="1" applyBorder="1" applyAlignment="1" applyProtection="1">
      <alignment vertical="center" wrapText="1"/>
    </xf>
    <xf numFmtId="0" fontId="42" fillId="26" borderId="17" xfId="49" applyFont="1" applyFill="1" applyBorder="1" applyAlignment="1" applyProtection="1">
      <alignment horizontal="right" vertical="center" wrapText="1"/>
    </xf>
    <xf numFmtId="49" fontId="20" fillId="26" borderId="17" xfId="49" applyNumberFormat="1" applyFont="1" applyFill="1" applyBorder="1" applyAlignment="1" applyProtection="1">
      <alignment vertical="center" wrapText="1"/>
    </xf>
    <xf numFmtId="3" fontId="20" fillId="33" borderId="24" xfId="49" applyNumberFormat="1" applyFont="1" applyFill="1" applyBorder="1" applyAlignment="1" applyProtection="1">
      <alignment horizontal="center" vertical="center"/>
    </xf>
    <xf numFmtId="3" fontId="20" fillId="33" borderId="7" xfId="49" applyNumberFormat="1" applyFont="1" applyFill="1" applyBorder="1" applyAlignment="1" applyProtection="1">
      <alignment horizontal="center" vertical="center"/>
    </xf>
    <xf numFmtId="3" fontId="20" fillId="33" borderId="62" xfId="49" applyNumberFormat="1" applyFont="1" applyFill="1" applyBorder="1" applyAlignment="1" applyProtection="1">
      <alignment horizontal="center" vertical="center"/>
    </xf>
    <xf numFmtId="3" fontId="20" fillId="33" borderId="52" xfId="49" applyNumberFormat="1" applyFont="1" applyFill="1" applyBorder="1" applyAlignment="1" applyProtection="1">
      <alignment horizontal="center" vertical="center"/>
    </xf>
    <xf numFmtId="3" fontId="20" fillId="33" borderId="53" xfId="49" applyNumberFormat="1" applyFont="1" applyFill="1" applyBorder="1" applyAlignment="1" applyProtection="1">
      <alignment horizontal="center" vertical="center"/>
    </xf>
    <xf numFmtId="3" fontId="20" fillId="33" borderId="32" xfId="49" applyNumberFormat="1" applyFont="1" applyFill="1" applyBorder="1" applyAlignment="1" applyProtection="1">
      <alignment horizontal="center" vertical="center"/>
    </xf>
    <xf numFmtId="0" fontId="11" fillId="26" borderId="17" xfId="49" applyFont="1" applyFill="1" applyBorder="1" applyAlignment="1" applyProtection="1">
      <alignment horizontal="left" vertical="center" wrapText="1"/>
    </xf>
    <xf numFmtId="3" fontId="11" fillId="27" borderId="52" xfId="49" applyNumberFormat="1" applyFont="1" applyFill="1" applyBorder="1" applyAlignment="1" applyProtection="1">
      <alignment horizontal="center" vertical="center" wrapText="1"/>
    </xf>
    <xf numFmtId="3" fontId="20" fillId="27" borderId="24" xfId="49" applyNumberFormat="1" applyFont="1" applyFill="1" applyBorder="1" applyAlignment="1" applyProtection="1">
      <alignment horizontal="center" vertical="center" wrapText="1"/>
    </xf>
    <xf numFmtId="3" fontId="20" fillId="27" borderId="7" xfId="49" applyNumberFormat="1" applyFont="1" applyFill="1" applyBorder="1" applyAlignment="1" applyProtection="1">
      <alignment horizontal="center" vertical="center" wrapText="1"/>
    </xf>
    <xf numFmtId="3" fontId="20" fillId="27" borderId="62" xfId="49" applyNumberFormat="1" applyFont="1" applyFill="1" applyBorder="1" applyAlignment="1" applyProtection="1">
      <alignment horizontal="center" vertical="center" wrapText="1"/>
    </xf>
    <xf numFmtId="3" fontId="20" fillId="27" borderId="52" xfId="49" applyNumberFormat="1" applyFont="1" applyFill="1" applyBorder="1" applyAlignment="1" applyProtection="1">
      <alignment horizontal="center" vertical="center" wrapText="1"/>
    </xf>
    <xf numFmtId="3" fontId="20" fillId="27" borderId="53" xfId="49" applyNumberFormat="1" applyFont="1" applyFill="1" applyBorder="1" applyAlignment="1" applyProtection="1">
      <alignment horizontal="center" vertical="center" wrapText="1"/>
    </xf>
    <xf numFmtId="3" fontId="20" fillId="27" borderId="32" xfId="49" applyNumberFormat="1" applyFont="1" applyFill="1" applyBorder="1" applyAlignment="1" applyProtection="1">
      <alignment horizontal="center" vertical="center" wrapText="1"/>
    </xf>
    <xf numFmtId="0" fontId="20" fillId="26" borderId="17" xfId="49" applyFont="1" applyFill="1" applyBorder="1" applyAlignment="1" applyProtection="1">
      <alignment horizontal="left" vertical="center" wrapText="1"/>
    </xf>
    <xf numFmtId="0" fontId="20" fillId="27" borderId="36" xfId="49" applyFont="1" applyFill="1" applyBorder="1" applyAlignment="1" applyProtection="1">
      <alignment horizontal="center" vertical="center"/>
    </xf>
    <xf numFmtId="49" fontId="20" fillId="27" borderId="21" xfId="49" applyNumberFormat="1" applyFont="1" applyFill="1" applyBorder="1" applyAlignment="1" applyProtection="1">
      <alignment vertical="center" wrapText="1"/>
    </xf>
    <xf numFmtId="3" fontId="20" fillId="27" borderId="30" xfId="49" applyNumberFormat="1" applyFont="1" applyFill="1" applyBorder="1" applyAlignment="1" applyProtection="1">
      <alignment horizontal="center" vertical="center" wrapText="1"/>
    </xf>
    <xf numFmtId="3" fontId="20" fillId="27" borderId="77" xfId="49" applyNumberFormat="1" applyFont="1" applyFill="1" applyBorder="1" applyAlignment="1" applyProtection="1">
      <alignment horizontal="center" vertical="center" wrapText="1"/>
    </xf>
    <xf numFmtId="3" fontId="20" fillId="27" borderId="78" xfId="49" applyNumberFormat="1" applyFont="1" applyFill="1" applyBorder="1" applyAlignment="1" applyProtection="1">
      <alignment horizontal="center" vertical="center" wrapText="1"/>
    </xf>
    <xf numFmtId="3" fontId="20" fillId="27" borderId="56" xfId="49" applyNumberFormat="1" applyFont="1" applyFill="1" applyBorder="1" applyAlignment="1" applyProtection="1">
      <alignment horizontal="center" vertical="center" wrapText="1"/>
    </xf>
    <xf numFmtId="3" fontId="20" fillId="27" borderId="57" xfId="49" applyNumberFormat="1" applyFont="1" applyFill="1" applyBorder="1" applyAlignment="1" applyProtection="1">
      <alignment horizontal="center" vertical="center" wrapText="1"/>
    </xf>
    <xf numFmtId="3" fontId="20" fillId="27" borderId="79" xfId="49" applyNumberFormat="1" applyFont="1" applyFill="1" applyBorder="1" applyAlignment="1" applyProtection="1">
      <alignment horizontal="center" vertical="center" wrapText="1"/>
    </xf>
    <xf numFmtId="0" fontId="20" fillId="32" borderId="1" xfId="49" applyFont="1" applyFill="1" applyBorder="1" applyAlignment="1" applyProtection="1">
      <alignment vertical="center" wrapText="1"/>
    </xf>
    <xf numFmtId="0" fontId="40" fillId="27" borderId="17" xfId="49" applyFont="1" applyFill="1" applyBorder="1" applyAlignment="1" applyProtection="1">
      <alignment horizontal="center" vertical="center"/>
    </xf>
    <xf numFmtId="0" fontId="40" fillId="26" borderId="5" xfId="49" applyFont="1" applyFill="1" applyBorder="1" applyAlignment="1" applyProtection="1">
      <alignment horizontal="center" vertical="center"/>
    </xf>
    <xf numFmtId="9" fontId="40" fillId="26" borderId="24" xfId="49" applyNumberFormat="1" applyFont="1" applyFill="1" applyBorder="1" applyAlignment="1" applyProtection="1">
      <alignment horizontal="center" vertical="center"/>
    </xf>
    <xf numFmtId="0" fontId="40" fillId="26" borderId="17" xfId="49" applyFont="1" applyFill="1" applyBorder="1" applyAlignment="1" applyProtection="1">
      <alignment horizontal="center" vertical="center"/>
    </xf>
    <xf numFmtId="9" fontId="40" fillId="26" borderId="17" xfId="49" applyNumberFormat="1" applyFont="1" applyFill="1" applyBorder="1" applyAlignment="1" applyProtection="1">
      <alignment horizontal="left" vertical="center"/>
    </xf>
    <xf numFmtId="9" fontId="40" fillId="26" borderId="17" xfId="49" applyNumberFormat="1" applyFont="1" applyFill="1" applyBorder="1" applyAlignment="1" applyProtection="1">
      <alignment horizontal="center" vertical="center"/>
    </xf>
    <xf numFmtId="0" fontId="40" fillId="0" borderId="17" xfId="49" applyFont="1" applyFill="1" applyBorder="1" applyAlignment="1" applyProtection="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pplyProtection="1">
      <alignment vertical="center" wrapText="1"/>
    </xf>
    <xf numFmtId="0" fontId="20" fillId="24" borderId="1" xfId="49" applyFont="1" applyFill="1" applyBorder="1" applyAlignment="1" applyProtection="1">
      <alignment horizontal="center" vertical="center"/>
    </xf>
    <xf numFmtId="0" fontId="20" fillId="24" borderId="1" xfId="49" applyFont="1" applyFill="1" applyBorder="1" applyAlignment="1" applyProtection="1">
      <alignment horizontal="left" vertical="center"/>
    </xf>
    <xf numFmtId="3" fontId="11" fillId="0" borderId="75" xfId="49" applyNumberFormat="1" applyFont="1" applyFill="1" applyBorder="1" applyAlignment="1" applyProtection="1">
      <alignment horizontal="center" vertical="center" wrapText="1"/>
    </xf>
    <xf numFmtId="3" fontId="11" fillId="0" borderId="73" xfId="49" applyNumberFormat="1" applyFont="1" applyFill="1" applyBorder="1" applyAlignment="1" applyProtection="1">
      <alignment horizontal="center" vertical="center" wrapText="1"/>
    </xf>
    <xf numFmtId="3" fontId="11" fillId="0" borderId="76" xfId="49" applyNumberFormat="1" applyFont="1" applyFill="1" applyBorder="1" applyAlignment="1" applyProtection="1">
      <alignment horizontal="center" vertical="center" wrapText="1"/>
    </xf>
    <xf numFmtId="3" fontId="11" fillId="0" borderId="52" xfId="49" applyNumberFormat="1" applyFont="1" applyFill="1" applyBorder="1" applyAlignment="1" applyProtection="1">
      <alignment horizontal="center" vertical="center" wrapText="1"/>
    </xf>
    <xf numFmtId="3" fontId="11" fillId="0" borderId="53" xfId="49" applyNumberFormat="1" applyFont="1" applyFill="1" applyBorder="1" applyAlignment="1" applyProtection="1">
      <alignment horizontal="center" vertical="center" wrapText="1"/>
    </xf>
    <xf numFmtId="0" fontId="40" fillId="0" borderId="21" xfId="49" applyFont="1" applyFill="1" applyBorder="1" applyAlignment="1" applyProtection="1">
      <alignment horizontal="center" vertical="center"/>
    </xf>
    <xf numFmtId="0" fontId="40" fillId="26" borderId="21" xfId="49" applyFont="1" applyFill="1" applyBorder="1" applyAlignment="1" applyProtection="1">
      <alignment horizontal="center" vertical="center"/>
    </xf>
    <xf numFmtId="9" fontId="20" fillId="26" borderId="30" xfId="49" applyNumberFormat="1" applyFont="1" applyFill="1" applyBorder="1" applyAlignment="1" applyProtection="1">
      <alignment horizontal="center" vertical="center"/>
    </xf>
    <xf numFmtId="49" fontId="40" fillId="26" borderId="21" xfId="49" applyNumberFormat="1" applyFont="1" applyFill="1" applyBorder="1" applyAlignment="1" applyProtection="1">
      <alignment horizontal="left" vertical="center" wrapText="1"/>
    </xf>
    <xf numFmtId="3" fontId="11" fillId="0" borderId="56" xfId="49" applyNumberFormat="1" applyFont="1" applyFill="1" applyBorder="1" applyAlignment="1" applyProtection="1">
      <alignment horizontal="center" vertical="center" wrapText="1"/>
    </xf>
    <xf numFmtId="3" fontId="11" fillId="0" borderId="77" xfId="49" applyNumberFormat="1" applyFont="1" applyFill="1" applyBorder="1" applyAlignment="1" applyProtection="1">
      <alignment horizontal="center" vertical="center" wrapText="1"/>
    </xf>
    <xf numFmtId="3" fontId="11" fillId="0" borderId="57" xfId="49" applyNumberFormat="1" applyFont="1" applyFill="1" applyBorder="1" applyAlignment="1" applyProtection="1">
      <alignment horizontal="center" vertical="center" wrapText="1"/>
    </xf>
    <xf numFmtId="49" fontId="20" fillId="27" borderId="0" xfId="49" applyNumberFormat="1" applyFont="1" applyFill="1" applyBorder="1" applyAlignment="1" applyProtection="1">
      <alignment horizontal="center" vertical="center"/>
    </xf>
    <xf numFmtId="49" fontId="20"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right" vertical="center"/>
    </xf>
    <xf numFmtId="14" fontId="64" fillId="27" borderId="0" xfId="49" applyNumberFormat="1" applyFont="1" applyFill="1" applyAlignment="1" applyProtection="1">
      <alignment vertical="center"/>
    </xf>
    <xf numFmtId="0" fontId="11" fillId="27" borderId="0" xfId="0" applyFont="1" applyFill="1" applyAlignment="1" applyProtection="1">
      <alignment vertical="center"/>
    </xf>
    <xf numFmtId="0" fontId="11" fillId="27" borderId="0" xfId="0" applyNumberFormat="1" applyFont="1" applyFill="1" applyAlignment="1" applyProtection="1">
      <alignment vertical="center"/>
    </xf>
    <xf numFmtId="0" fontId="20" fillId="27" borderId="0" xfId="0" applyNumberFormat="1" applyFont="1" applyFill="1" applyAlignment="1" applyProtection="1">
      <alignment horizontal="center" vertical="center"/>
    </xf>
    <xf numFmtId="14" fontId="64" fillId="27" borderId="0" xfId="49" applyNumberFormat="1" applyFont="1" applyFill="1" applyAlignment="1" applyProtection="1">
      <alignment horizontal="right" vertical="center"/>
    </xf>
    <xf numFmtId="14" fontId="64" fillId="27" borderId="0" xfId="49" applyNumberFormat="1" applyFont="1" applyFill="1" applyAlignment="1" applyProtection="1">
      <alignment horizontal="left" vertical="center"/>
    </xf>
    <xf numFmtId="0" fontId="35" fillId="27" borderId="0" xfId="49" applyFont="1" applyFill="1" applyAlignment="1" applyProtection="1">
      <alignment horizontal="right" vertical="center"/>
    </xf>
    <xf numFmtId="0" fontId="20" fillId="27" borderId="0" xfId="0" applyNumberFormat="1" applyFont="1" applyFill="1" applyAlignment="1" applyProtection="1">
      <alignment horizontal="right" vertical="center"/>
    </xf>
    <xf numFmtId="0" fontId="64" fillId="27" borderId="0" xfId="0" applyFont="1" applyFill="1" applyAlignment="1" applyProtection="1">
      <alignment vertical="center"/>
    </xf>
    <xf numFmtId="14" fontId="83" fillId="27" borderId="0" xfId="49" applyNumberFormat="1" applyFont="1" applyFill="1" applyAlignment="1" applyProtection="1">
      <alignment horizontal="left" vertical="center"/>
    </xf>
    <xf numFmtId="49" fontId="11" fillId="27" borderId="0" xfId="0" applyNumberFormat="1" applyFont="1" applyFill="1" applyAlignment="1" applyProtection="1">
      <alignment horizontal="right" vertical="center"/>
    </xf>
    <xf numFmtId="0" fontId="42" fillId="27" borderId="0" xfId="0" applyNumberFormat="1" applyFont="1" applyFill="1" applyAlignment="1" applyProtection="1">
      <alignment vertical="center"/>
    </xf>
    <xf numFmtId="0" fontId="35"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1" fillId="26" borderId="90" xfId="49" applyNumberFormat="1" applyFont="1" applyFill="1" applyBorder="1" applyAlignment="1" applyProtection="1">
      <alignment horizontal="center" vertical="center" wrapText="1"/>
    </xf>
    <xf numFmtId="3" fontId="41" fillId="26" borderId="112" xfId="49" applyNumberFormat="1" applyFont="1" applyFill="1" applyBorder="1" applyAlignment="1" applyProtection="1">
      <alignment horizontal="center" vertical="center" wrapText="1"/>
    </xf>
    <xf numFmtId="3" fontId="41" fillId="26" borderId="91" xfId="49" applyNumberFormat="1" applyFont="1" applyFill="1" applyBorder="1" applyAlignment="1" applyProtection="1">
      <alignment horizontal="center" vertical="center" wrapText="1"/>
    </xf>
    <xf numFmtId="3" fontId="41" fillId="26" borderId="99" xfId="49" applyNumberFormat="1" applyFont="1" applyFill="1" applyBorder="1" applyAlignment="1" applyProtection="1">
      <alignment horizontal="center" vertical="center" wrapText="1"/>
    </xf>
    <xf numFmtId="3" fontId="41" fillId="26" borderId="113" xfId="49" applyNumberFormat="1" applyFont="1" applyFill="1" applyBorder="1" applyAlignment="1" applyProtection="1">
      <alignment horizontal="center" vertical="center" wrapText="1"/>
    </xf>
    <xf numFmtId="3" fontId="41" fillId="26" borderId="95" xfId="49" applyNumberFormat="1" applyFont="1" applyFill="1" applyBorder="1" applyAlignment="1" applyProtection="1">
      <alignment horizontal="center" vertical="center" wrapText="1"/>
    </xf>
    <xf numFmtId="3" fontId="41" fillId="26" borderId="93" xfId="49" applyNumberFormat="1" applyFont="1" applyFill="1" applyBorder="1" applyAlignment="1" applyProtection="1">
      <alignment horizontal="center" vertical="center" wrapText="1"/>
    </xf>
    <xf numFmtId="3" fontId="41" fillId="26" borderId="114" xfId="49" applyNumberFormat="1" applyFont="1" applyFill="1" applyBorder="1" applyAlignment="1" applyProtection="1">
      <alignment horizontal="center" vertical="center" wrapText="1"/>
    </xf>
    <xf numFmtId="3" fontId="41" fillId="26" borderId="94" xfId="49" applyNumberFormat="1" applyFont="1" applyFill="1" applyBorder="1" applyAlignment="1" applyProtection="1">
      <alignment horizontal="center" vertical="center" wrapText="1"/>
    </xf>
    <xf numFmtId="3" fontId="20" fillId="32" borderId="1" xfId="49" applyNumberFormat="1" applyFont="1" applyFill="1" applyBorder="1" applyAlignment="1" applyProtection="1">
      <alignment vertical="center" wrapText="1"/>
    </xf>
    <xf numFmtId="3" fontId="20" fillId="32" borderId="8" xfId="49" applyNumberFormat="1" applyFont="1" applyFill="1" applyBorder="1" applyAlignment="1" applyProtection="1">
      <alignment vertical="center" wrapText="1"/>
    </xf>
    <xf numFmtId="3" fontId="20" fillId="32" borderId="3" xfId="49" applyNumberFormat="1" applyFont="1" applyFill="1" applyBorder="1" applyAlignment="1" applyProtection="1">
      <alignment vertical="center" wrapText="1"/>
    </xf>
    <xf numFmtId="3" fontId="41" fillId="26" borderId="96" xfId="49" applyNumberFormat="1" applyFont="1" applyFill="1" applyBorder="1" applyAlignment="1" applyProtection="1">
      <alignment horizontal="center" vertical="center" wrapText="1"/>
    </xf>
    <xf numFmtId="3" fontId="41" fillId="26" borderId="110" xfId="49" applyNumberFormat="1" applyFont="1" applyFill="1" applyBorder="1" applyAlignment="1" applyProtection="1">
      <alignment horizontal="center" vertical="center" wrapText="1"/>
    </xf>
    <xf numFmtId="3" fontId="41" fillId="26" borderId="107" xfId="49" applyNumberFormat="1" applyFont="1" applyFill="1" applyBorder="1" applyAlignment="1" applyProtection="1">
      <alignment horizontal="center" vertical="center" wrapText="1"/>
    </xf>
    <xf numFmtId="3" fontId="41" fillId="26" borderId="102" xfId="49" applyNumberFormat="1" applyFont="1" applyFill="1" applyBorder="1" applyAlignment="1" applyProtection="1">
      <alignment horizontal="center" vertical="center" wrapText="1"/>
    </xf>
    <xf numFmtId="3" fontId="41" fillId="26" borderId="103" xfId="49" applyNumberFormat="1" applyFont="1" applyFill="1" applyBorder="1" applyAlignment="1" applyProtection="1">
      <alignment horizontal="center" vertical="center" wrapText="1"/>
    </xf>
    <xf numFmtId="3" fontId="41" fillId="26" borderId="108" xfId="49" applyNumberFormat="1" applyFont="1" applyFill="1" applyBorder="1" applyAlignment="1" applyProtection="1">
      <alignment horizontal="center" vertical="center" wrapText="1"/>
    </xf>
    <xf numFmtId="3" fontId="41" fillId="26" borderId="104" xfId="49" applyNumberFormat="1" applyFont="1" applyFill="1" applyBorder="1" applyAlignment="1" applyProtection="1">
      <alignment horizontal="center" vertical="center" wrapText="1"/>
    </xf>
    <xf numFmtId="3" fontId="41" fillId="26" borderId="97" xfId="49" applyNumberFormat="1" applyFont="1" applyFill="1" applyBorder="1" applyAlignment="1" applyProtection="1">
      <alignment horizontal="center" vertical="center" wrapText="1"/>
    </xf>
    <xf numFmtId="3" fontId="41" fillId="26" borderId="111" xfId="49" applyNumberFormat="1" applyFont="1" applyFill="1" applyBorder="1" applyAlignment="1" applyProtection="1">
      <alignment horizontal="center" vertical="center" wrapText="1"/>
    </xf>
    <xf numFmtId="3" fontId="41" fillId="26" borderId="109" xfId="49" applyNumberFormat="1" applyFont="1" applyFill="1" applyBorder="1" applyAlignment="1" applyProtection="1">
      <alignment horizontal="center" vertical="center" wrapText="1"/>
    </xf>
    <xf numFmtId="3" fontId="41" fillId="26" borderId="105" xfId="49" applyNumberFormat="1" applyFont="1" applyFill="1" applyBorder="1" applyAlignment="1" applyProtection="1">
      <alignment horizontal="center" vertical="center" wrapText="1"/>
    </xf>
    <xf numFmtId="3" fontId="41" fillId="26" borderId="106" xfId="49" applyNumberFormat="1" applyFont="1" applyFill="1" applyBorder="1" applyAlignment="1" applyProtection="1">
      <alignment horizontal="center" vertical="center" wrapText="1"/>
    </xf>
    <xf numFmtId="0" fontId="51" fillId="27" borderId="0" xfId="49" applyFont="1" applyFill="1" applyAlignment="1" applyProtection="1">
      <alignment horizontal="center" vertical="center"/>
    </xf>
    <xf numFmtId="167" fontId="51" fillId="27" borderId="0" xfId="49" applyNumberFormat="1" applyFont="1" applyFill="1" applyAlignment="1" applyProtection="1">
      <alignment horizontal="center" vertical="center"/>
    </xf>
    <xf numFmtId="0" fontId="52" fillId="27" borderId="0" xfId="49" applyFont="1" applyFill="1" applyBorder="1" applyAlignment="1" applyProtection="1">
      <alignment vertical="center"/>
    </xf>
    <xf numFmtId="0" fontId="52" fillId="27" borderId="0" xfId="49" applyFont="1" applyFill="1" applyBorder="1" applyAlignment="1" applyProtection="1">
      <alignment horizontal="right" vertical="center"/>
    </xf>
    <xf numFmtId="0" fontId="19" fillId="27" borderId="0" xfId="49" applyFont="1" applyFill="1" applyBorder="1" applyAlignment="1" applyProtection="1">
      <alignment vertical="center"/>
    </xf>
    <xf numFmtId="167" fontId="19" fillId="27" borderId="0" xfId="49" applyNumberFormat="1" applyFont="1" applyFill="1" applyBorder="1" applyAlignment="1" applyProtection="1">
      <alignment vertical="center"/>
    </xf>
    <xf numFmtId="1" fontId="33" fillId="27" borderId="0" xfId="49" applyNumberFormat="1" applyFont="1" applyFill="1" applyBorder="1" applyAlignment="1" applyProtection="1">
      <alignment vertical="center"/>
    </xf>
    <xf numFmtId="167" fontId="19" fillId="27" borderId="0" xfId="49" applyNumberFormat="1" applyFont="1" applyFill="1" applyBorder="1" applyAlignment="1" applyProtection="1">
      <alignment horizontal="center" vertical="center"/>
    </xf>
    <xf numFmtId="1" fontId="33" fillId="27" borderId="0" xfId="49" applyNumberFormat="1" applyFont="1" applyFill="1" applyBorder="1" applyAlignment="1" applyProtection="1">
      <alignment horizontal="center" vertical="center"/>
    </xf>
    <xf numFmtId="167" fontId="18" fillId="27" borderId="0" xfId="49" applyNumberFormat="1" applyFont="1" applyFill="1" applyBorder="1" applyAlignment="1" applyProtection="1">
      <alignment horizontal="center" vertical="center"/>
    </xf>
    <xf numFmtId="0" fontId="18" fillId="27" borderId="0" xfId="49" applyFont="1" applyFill="1" applyBorder="1" applyAlignment="1" applyProtection="1">
      <alignment horizontal="center" vertical="center"/>
    </xf>
    <xf numFmtId="1" fontId="51" fillId="27" borderId="0" xfId="49" applyNumberFormat="1" applyFont="1" applyFill="1" applyBorder="1" applyAlignment="1" applyProtection="1">
      <alignment horizontal="center" vertical="center"/>
    </xf>
    <xf numFmtId="0" fontId="42" fillId="0" borderId="20" xfId="31" applyFont="1" applyBorder="1" applyAlignment="1" applyProtection="1">
      <alignment horizontal="right" vertical="center"/>
    </xf>
    <xf numFmtId="1" fontId="40" fillId="27" borderId="0" xfId="49" applyNumberFormat="1" applyFont="1" applyFill="1" applyAlignment="1" applyProtection="1">
      <alignment horizontal="center" vertical="center"/>
    </xf>
    <xf numFmtId="3" fontId="41" fillId="0" borderId="53" xfId="32" applyNumberFormat="1" applyFont="1" applyFill="1" applyBorder="1" applyAlignment="1" applyProtection="1">
      <alignment horizontal="left" vertical="center"/>
    </xf>
    <xf numFmtId="167" fontId="40" fillId="26" borderId="129" xfId="32" applyNumberFormat="1" applyFont="1" applyFill="1" applyBorder="1" applyAlignment="1" applyProtection="1">
      <alignment horizontal="center" vertical="center"/>
    </xf>
    <xf numFmtId="3" fontId="40" fillId="26" borderId="128" xfId="32" applyNumberFormat="1" applyFont="1" applyFill="1" applyBorder="1" applyAlignment="1" applyProtection="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Fill="1" applyBorder="1" applyAlignment="1" applyProtection="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pplyProtection="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pplyProtection="1">
      <alignment horizontal="center" vertical="center"/>
    </xf>
    <xf numFmtId="14" fontId="18" fillId="27" borderId="0" xfId="49" applyNumberFormat="1" applyFont="1" applyFill="1" applyAlignment="1" applyProtection="1">
      <alignment horizontal="left" vertical="center"/>
    </xf>
    <xf numFmtId="0" fontId="18" fillId="27" borderId="0" xfId="49" applyFont="1" applyFill="1" applyAlignment="1" applyProtection="1">
      <alignment horizontal="right" vertical="center"/>
    </xf>
    <xf numFmtId="0" fontId="51" fillId="27" borderId="0" xfId="49" applyFont="1" applyFill="1" applyAlignment="1" applyProtection="1">
      <alignment horizontal="left" vertical="center"/>
    </xf>
    <xf numFmtId="0" fontId="133" fillId="27" borderId="0" xfId="49" applyFont="1" applyFill="1" applyAlignment="1" applyProtection="1">
      <alignment horizontal="left" vertical="center"/>
    </xf>
    <xf numFmtId="49" fontId="51" fillId="27" borderId="0" xfId="49" applyNumberFormat="1" applyFont="1" applyFill="1" applyAlignment="1" applyProtection="1">
      <alignment horizontal="center"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pplyProtection="1">
      <alignment horizontal="center" vertical="center"/>
    </xf>
    <xf numFmtId="3" fontId="40" fillId="26" borderId="123" xfId="32" applyNumberFormat="1" applyFont="1" applyFill="1" applyBorder="1" applyAlignment="1" applyProtection="1">
      <alignment horizontal="center" vertical="center"/>
    </xf>
    <xf numFmtId="3" fontId="40" fillId="33" borderId="61" xfId="49" applyNumberFormat="1" applyFont="1" applyFill="1" applyBorder="1" applyAlignment="1" applyProtection="1">
      <alignment horizontal="center" vertical="center" wrapText="1"/>
    </xf>
    <xf numFmtId="3" fontId="40" fillId="43" borderId="72" xfId="49" applyNumberFormat="1" applyFont="1" applyFill="1" applyBorder="1" applyAlignment="1" applyProtection="1">
      <alignment horizontal="center" vertical="center" wrapText="1"/>
    </xf>
    <xf numFmtId="3" fontId="40" fillId="43" borderId="73" xfId="49" applyNumberFormat="1" applyFont="1" applyFill="1" applyBorder="1" applyAlignment="1" applyProtection="1">
      <alignment horizontal="center" vertical="center" wrapText="1"/>
    </xf>
    <xf numFmtId="3" fontId="40" fillId="43" borderId="74" xfId="49" applyNumberFormat="1" applyFont="1" applyFill="1" applyBorder="1" applyAlignment="1" applyProtection="1">
      <alignment horizontal="center" vertical="center" wrapText="1"/>
    </xf>
    <xf numFmtId="3" fontId="40" fillId="43" borderId="32" xfId="49" applyNumberFormat="1" applyFont="1" applyFill="1" applyBorder="1" applyAlignment="1" applyProtection="1">
      <alignment horizontal="center" vertical="center" wrapText="1"/>
    </xf>
    <xf numFmtId="3" fontId="40" fillId="43" borderId="7" xfId="49" applyNumberFormat="1" applyFont="1" applyFill="1" applyBorder="1" applyAlignment="1" applyProtection="1">
      <alignment horizontal="center" vertical="center" wrapText="1"/>
    </xf>
    <xf numFmtId="3" fontId="40" fillId="43" borderId="62" xfId="49" applyNumberFormat="1" applyFont="1" applyFill="1" applyBorder="1" applyAlignment="1" applyProtection="1">
      <alignment horizontal="center" vertical="center" wrapText="1"/>
    </xf>
    <xf numFmtId="3" fontId="40" fillId="43" borderId="79" xfId="49" applyNumberFormat="1" applyFont="1" applyFill="1" applyBorder="1" applyAlignment="1" applyProtection="1">
      <alignment horizontal="center" vertical="center" wrapText="1"/>
    </xf>
    <xf numFmtId="3" fontId="40" fillId="43" borderId="77" xfId="49" applyNumberFormat="1" applyFont="1" applyFill="1" applyBorder="1" applyAlignment="1" applyProtection="1">
      <alignment horizontal="center" vertical="center" wrapText="1"/>
    </xf>
    <xf numFmtId="3" fontId="40" fillId="43" borderId="78"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Fill="1" applyBorder="1" applyAlignment="1" applyProtection="1">
      <alignment horizontal="center" vertical="center" wrapText="1"/>
    </xf>
    <xf numFmtId="3" fontId="39" fillId="0" borderId="60" xfId="31" applyNumberFormat="1" applyFont="1" applyFill="1" applyBorder="1" applyAlignment="1" applyProtection="1">
      <alignment horizontal="center" vertical="center" wrapText="1"/>
    </xf>
    <xf numFmtId="3" fontId="39" fillId="0" borderId="2" xfId="49" applyNumberFormat="1" applyFont="1" applyFill="1" applyBorder="1" applyAlignment="1" applyProtection="1">
      <alignment horizontal="center" vertical="center" wrapText="1"/>
    </xf>
    <xf numFmtId="3" fontId="39" fillId="0" borderId="65" xfId="49" applyNumberFormat="1" applyFont="1" applyFill="1" applyBorder="1" applyAlignment="1" applyProtection="1">
      <alignment horizontal="center" vertical="center" wrapText="1"/>
    </xf>
    <xf numFmtId="3" fontId="39" fillId="0" borderId="60" xfId="49" applyNumberFormat="1" applyFont="1" applyFill="1" applyBorder="1" applyAlignment="1" applyProtection="1">
      <alignment horizontal="center" vertical="center" wrapText="1"/>
    </xf>
    <xf numFmtId="3" fontId="40" fillId="26" borderId="129" xfId="32" applyNumberFormat="1" applyFont="1" applyFill="1" applyBorder="1" applyAlignment="1" applyProtection="1">
      <alignment horizontal="center" vertical="center"/>
    </xf>
    <xf numFmtId="3" fontId="41" fillId="0" borderId="15" xfId="49" applyNumberFormat="1" applyFont="1" applyFill="1" applyBorder="1" applyAlignment="1" applyProtection="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pplyProtection="1">
      <alignment horizontal="center" vertical="center" wrapText="1"/>
    </xf>
    <xf numFmtId="3" fontId="40" fillId="26" borderId="82" xfId="32" applyNumberFormat="1" applyFont="1" applyFill="1" applyBorder="1" applyAlignment="1" applyProtection="1">
      <alignment horizontal="center" vertical="center"/>
    </xf>
    <xf numFmtId="3" fontId="40" fillId="43" borderId="76" xfId="49" applyNumberFormat="1" applyFont="1" applyFill="1" applyBorder="1" applyAlignment="1" applyProtection="1">
      <alignment horizontal="center" vertical="center" wrapText="1"/>
    </xf>
    <xf numFmtId="3" fontId="40" fillId="43" borderId="53" xfId="49" applyNumberFormat="1" applyFont="1" applyFill="1" applyBorder="1" applyAlignment="1" applyProtection="1">
      <alignment horizontal="center" vertical="center" wrapText="1"/>
    </xf>
    <xf numFmtId="3" fontId="40" fillId="43" borderId="57" xfId="49" applyNumberFormat="1" applyFont="1" applyFill="1" applyBorder="1" applyAlignment="1" applyProtection="1">
      <alignment horizontal="center" vertical="center" wrapText="1"/>
    </xf>
    <xf numFmtId="3" fontId="39" fillId="24" borderId="3" xfId="49" applyNumberFormat="1" applyFont="1" applyFill="1" applyBorder="1" applyAlignment="1" applyProtection="1">
      <alignment horizontal="center" vertical="center" wrapText="1"/>
    </xf>
    <xf numFmtId="3" fontId="40" fillId="0" borderId="15" xfId="49" applyNumberFormat="1" applyFont="1" applyFill="1" applyBorder="1" applyAlignment="1" applyProtection="1">
      <alignment horizontal="center" vertical="center" wrapText="1"/>
    </xf>
    <xf numFmtId="3" fontId="39" fillId="0" borderId="10" xfId="31" applyNumberFormat="1" applyFont="1" applyFill="1" applyBorder="1" applyAlignment="1" applyProtection="1">
      <alignment horizontal="center" vertical="center" wrapText="1"/>
    </xf>
    <xf numFmtId="3" fontId="39" fillId="0" borderId="10" xfId="49" applyNumberFormat="1" applyFont="1" applyFill="1" applyBorder="1" applyAlignment="1" applyProtection="1">
      <alignment horizontal="center" vertical="center" wrapText="1"/>
    </xf>
    <xf numFmtId="3" fontId="40" fillId="33" borderId="6" xfId="49" applyNumberFormat="1" applyFont="1" applyFill="1" applyBorder="1" applyAlignment="1" applyProtection="1">
      <alignment horizontal="center" vertical="center" wrapText="1"/>
    </xf>
    <xf numFmtId="3" fontId="11" fillId="0" borderId="17" xfId="32" applyNumberFormat="1" applyFont="1" applyFill="1" applyBorder="1" applyAlignment="1" applyProtection="1">
      <alignment horizontal="center" vertical="center"/>
    </xf>
    <xf numFmtId="3" fontId="11" fillId="0" borderId="32" xfId="32" applyNumberFormat="1" applyFont="1" applyFill="1" applyBorder="1" applyAlignment="1" applyProtection="1">
      <alignment horizontal="center" vertical="center"/>
    </xf>
    <xf numFmtId="3" fontId="11" fillId="0" borderId="7" xfId="32" applyNumberFormat="1" applyFont="1" applyFill="1" applyBorder="1" applyAlignment="1" applyProtection="1">
      <alignment horizontal="center" vertical="center"/>
    </xf>
    <xf numFmtId="3" fontId="11" fillId="0" borderId="62" xfId="32" applyNumberFormat="1" applyFont="1" applyFill="1" applyBorder="1" applyAlignment="1" applyProtection="1">
      <alignment horizontal="center" vertical="center"/>
    </xf>
    <xf numFmtId="3" fontId="11" fillId="0" borderId="53" xfId="32"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pplyProtection="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Fill="1" applyBorder="1" applyAlignment="1" applyProtection="1">
      <alignment horizontal="center" vertical="center" wrapText="1"/>
    </xf>
    <xf numFmtId="3" fontId="40" fillId="0" borderId="14" xfId="49" applyNumberFormat="1" applyFont="1" applyFill="1" applyBorder="1" applyAlignment="1" applyProtection="1">
      <alignment horizontal="center" vertical="center" wrapText="1"/>
    </xf>
    <xf numFmtId="3" fontId="40" fillId="0" borderId="21"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right" vertical="center"/>
    </xf>
    <xf numFmtId="167" fontId="12" fillId="27" borderId="0" xfId="49" applyNumberFormat="1" applyFont="1" applyFill="1" applyBorder="1" applyAlignment="1" applyProtection="1">
      <alignment horizontal="right" vertical="center"/>
    </xf>
    <xf numFmtId="174" fontId="51" fillId="27" borderId="0" xfId="49" applyNumberFormat="1" applyFont="1" applyFill="1" applyAlignment="1" applyProtection="1">
      <alignment horizontal="center" vertical="center"/>
    </xf>
    <xf numFmtId="174" fontId="19" fillId="27" borderId="0" xfId="49" applyNumberFormat="1" applyFont="1" applyFill="1" applyBorder="1" applyAlignment="1" applyProtection="1">
      <alignment vertical="center"/>
    </xf>
    <xf numFmtId="174" fontId="33" fillId="27" borderId="0" xfId="49" applyNumberFormat="1" applyFont="1" applyFill="1" applyBorder="1" applyAlignment="1" applyProtection="1">
      <alignment vertical="center"/>
    </xf>
    <xf numFmtId="174" fontId="19" fillId="27" borderId="0" xfId="49" applyNumberFormat="1" applyFont="1" applyFill="1" applyBorder="1" applyAlignment="1" applyProtection="1">
      <alignment horizontal="center" vertical="center"/>
    </xf>
    <xf numFmtId="174" fontId="33" fillId="27" borderId="0" xfId="49" applyNumberFormat="1" applyFont="1" applyFill="1" applyBorder="1" applyAlignment="1" applyProtection="1">
      <alignment horizontal="center" vertical="center"/>
    </xf>
    <xf numFmtId="174" fontId="40" fillId="27" borderId="0" xfId="49" applyNumberFormat="1" applyFont="1" applyFill="1" applyAlignment="1" applyProtection="1">
      <alignment horizontal="center" vertical="center"/>
    </xf>
    <xf numFmtId="3" fontId="35" fillId="0" borderId="53" xfId="32" applyNumberFormat="1" applyFont="1" applyFill="1" applyBorder="1" applyAlignment="1" applyProtection="1">
      <alignment horizontal="left" vertical="center"/>
    </xf>
    <xf numFmtId="3" fontId="35" fillId="0" borderId="17" xfId="32" applyNumberFormat="1" applyFont="1" applyFill="1" applyBorder="1" applyAlignment="1" applyProtection="1">
      <alignment horizontal="center" vertical="center"/>
    </xf>
    <xf numFmtId="3" fontId="40" fillId="0" borderId="53" xfId="32" applyNumberFormat="1" applyFont="1" applyFill="1" applyBorder="1" applyAlignment="1" applyProtection="1">
      <alignment horizontal="left" vertical="center"/>
    </xf>
    <xf numFmtId="3" fontId="40" fillId="0" borderId="17" xfId="32" applyNumberFormat="1" applyFont="1" applyFill="1" applyBorder="1" applyAlignment="1" applyProtection="1">
      <alignment horizontal="center" vertical="center"/>
    </xf>
    <xf numFmtId="3" fontId="40" fillId="0" borderId="39" xfId="32" applyNumberFormat="1" applyFont="1" applyFill="1" applyBorder="1" applyAlignment="1" applyProtection="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Fill="1" applyBorder="1" applyAlignment="1" applyProtection="1">
      <alignment horizontal="center" vertical="center"/>
    </xf>
    <xf numFmtId="3" fontId="40" fillId="0" borderId="113" xfId="32" applyNumberFormat="1" applyFont="1" applyFill="1" applyBorder="1" applyAlignment="1" applyProtection="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4" fontId="18" fillId="27" borderId="0" xfId="49" applyNumberFormat="1" applyFont="1" applyFill="1" applyAlignment="1" applyProtection="1">
      <alignment horizontal="center" vertical="center"/>
    </xf>
    <xf numFmtId="14" fontId="18" fillId="27" borderId="0" xfId="49" applyNumberFormat="1" applyFont="1" applyFill="1" applyAlignment="1" applyProtection="1">
      <alignment vertical="center"/>
    </xf>
    <xf numFmtId="174" fontId="20" fillId="27" borderId="0" xfId="49" applyNumberFormat="1" applyFont="1" applyFill="1" applyBorder="1" applyAlignment="1" applyProtection="1">
      <alignment horizontal="right" vertical="center"/>
    </xf>
    <xf numFmtId="0" fontId="64" fillId="27" borderId="0" xfId="0" applyFont="1" applyFill="1" applyAlignment="1" applyProtection="1">
      <alignment horizontal="right" vertical="center"/>
    </xf>
    <xf numFmtId="0" fontId="56" fillId="27" borderId="0" xfId="0" applyFont="1" applyFill="1" applyAlignment="1" applyProtection="1">
      <alignment horizontal="left" vertical="center"/>
    </xf>
    <xf numFmtId="174" fontId="11" fillId="27" borderId="0" xfId="49" applyNumberFormat="1" applyFont="1" applyFill="1" applyAlignment="1" applyProtection="1">
      <alignment vertical="center"/>
    </xf>
    <xf numFmtId="0" fontId="83" fillId="27" borderId="0" xfId="0" applyFont="1" applyFill="1" applyAlignment="1" applyProtection="1">
      <alignment horizontal="left" vertical="center"/>
    </xf>
    <xf numFmtId="0" fontId="11" fillId="27" borderId="0" xfId="31" applyFont="1" applyFill="1" applyAlignment="1" applyProtection="1">
      <alignment vertical="center"/>
    </xf>
    <xf numFmtId="49" fontId="20" fillId="27" borderId="0" xfId="0" applyNumberFormat="1" applyFont="1" applyFill="1" applyAlignment="1" applyProtection="1">
      <alignment horizontal="right" vertical="center"/>
    </xf>
    <xf numFmtId="0" fontId="18" fillId="27" borderId="0" xfId="49" applyFont="1" applyFill="1" applyAlignment="1" applyProtection="1">
      <alignment vertical="center"/>
    </xf>
    <xf numFmtId="0" fontId="11" fillId="26" borderId="0" xfId="0" applyFont="1" applyFill="1" applyProtection="1"/>
    <xf numFmtId="0" fontId="11" fillId="0" borderId="0" xfId="0" applyFont="1" applyProtection="1"/>
    <xf numFmtId="0" fontId="14" fillId="26" borderId="0" xfId="49" applyNumberFormat="1" applyFont="1" applyFill="1" applyBorder="1" applyAlignment="1" applyProtection="1"/>
    <xf numFmtId="0" fontId="37" fillId="26" borderId="23" xfId="0" applyFont="1" applyFill="1" applyBorder="1" applyAlignment="1" applyProtection="1">
      <alignment horizontal="left" vertical="center" wrapText="1"/>
    </xf>
    <xf numFmtId="0" fontId="37" fillId="26" borderId="23" xfId="0" applyFont="1" applyFill="1" applyBorder="1" applyAlignment="1" applyProtection="1">
      <alignment horizontal="left" vertical="center"/>
    </xf>
    <xf numFmtId="0" fontId="37" fillId="26" borderId="56" xfId="0" applyFont="1" applyFill="1" applyBorder="1" applyAlignment="1" applyProtection="1">
      <alignment horizontal="center" vertical="center" wrapText="1"/>
    </xf>
    <xf numFmtId="0" fontId="37" fillId="26" borderId="28" xfId="0" applyFont="1" applyFill="1" applyBorder="1" applyAlignment="1" applyProtection="1">
      <alignment horizontal="left"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20" fillId="0" borderId="49" xfId="0" applyNumberFormat="1" applyFont="1" applyFill="1" applyBorder="1" applyAlignment="1" applyProtection="1">
      <alignment horizontal="center" vertical="center"/>
    </xf>
    <xf numFmtId="3" fontId="20" fillId="0" borderId="31" xfId="0" applyNumberFormat="1" applyFont="1" applyFill="1" applyBorder="1" applyAlignment="1" applyProtection="1">
      <alignment horizontal="center" vertical="center"/>
    </xf>
    <xf numFmtId="3" fontId="20" fillId="40" borderId="8" xfId="83" applyNumberFormat="1" applyFont="1" applyFill="1" applyBorder="1" applyAlignment="1" applyProtection="1">
      <alignment horizontal="center" vertical="center" wrapText="1"/>
    </xf>
    <xf numFmtId="0" fontId="0" fillId="0" borderId="0" xfId="0" applyAlignment="1" applyProtection="1">
      <alignment vertical="center"/>
    </xf>
    <xf numFmtId="0" fontId="12" fillId="0" borderId="0" xfId="0" applyFont="1" applyBorder="1" applyAlignment="1" applyProtection="1">
      <alignment horizontal="center" vertical="center"/>
    </xf>
    <xf numFmtId="0" fontId="12" fillId="0" borderId="0" xfId="0" applyFont="1" applyBorder="1" applyAlignment="1" applyProtection="1">
      <alignment horizontal="right" vertical="center"/>
    </xf>
    <xf numFmtId="0" fontId="12" fillId="0" borderId="0" xfId="0" applyFont="1" applyFill="1" applyBorder="1" applyAlignment="1" applyProtection="1">
      <alignment horizontal="center" vertical="center"/>
    </xf>
    <xf numFmtId="0" fontId="14" fillId="0" borderId="0" xfId="0" applyFont="1" applyBorder="1" applyAlignment="1" applyProtection="1">
      <alignment vertical="center" wrapText="1"/>
    </xf>
    <xf numFmtId="0" fontId="19" fillId="0" borderId="0" xfId="0" applyFont="1" applyFill="1" applyBorder="1" applyAlignment="1" applyProtection="1">
      <alignment vertical="center"/>
    </xf>
    <xf numFmtId="0" fontId="33" fillId="0" borderId="20" xfId="0" applyFont="1" applyBorder="1" applyAlignment="1" applyProtection="1">
      <alignment vertical="center"/>
    </xf>
    <xf numFmtId="0" fontId="0" fillId="0" borderId="20" xfId="0" applyBorder="1" applyAlignment="1" applyProtection="1">
      <alignment vertical="center"/>
    </xf>
    <xf numFmtId="0" fontId="3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40" fillId="0" borderId="29" xfId="0" applyFont="1" applyBorder="1" applyAlignment="1" applyProtection="1">
      <alignment vertical="center"/>
    </xf>
    <xf numFmtId="0" fontId="40" fillId="0" borderId="29" xfId="0" applyFont="1" applyBorder="1" applyAlignment="1" applyProtection="1">
      <alignment horizontal="center" vertical="center"/>
    </xf>
    <xf numFmtId="0" fontId="40" fillId="0" borderId="24" xfId="0" applyFont="1" applyBorder="1" applyAlignment="1" applyProtection="1">
      <alignment vertical="center"/>
    </xf>
    <xf numFmtId="0" fontId="40" fillId="0" borderId="24" xfId="0" applyFont="1" applyBorder="1" applyAlignment="1" applyProtection="1">
      <alignment horizontal="center" vertical="center"/>
    </xf>
    <xf numFmtId="0" fontId="39" fillId="0" borderId="25" xfId="0" applyFont="1" applyBorder="1" applyAlignment="1" applyProtection="1">
      <alignment horizontal="right" vertical="center"/>
    </xf>
    <xf numFmtId="0" fontId="39" fillId="0" borderId="25" xfId="0" applyFont="1" applyBorder="1" applyAlignment="1" applyProtection="1">
      <alignment horizontal="center" vertical="center"/>
    </xf>
    <xf numFmtId="0" fontId="40" fillId="0" borderId="24" xfId="0" applyFont="1" applyBorder="1" applyAlignment="1" applyProtection="1">
      <alignment vertical="center" wrapText="1"/>
    </xf>
    <xf numFmtId="0" fontId="40" fillId="0" borderId="36" xfId="0" applyFont="1" applyBorder="1" applyAlignment="1" applyProtection="1">
      <alignment vertical="center" wrapText="1"/>
    </xf>
    <xf numFmtId="0" fontId="40" fillId="0" borderId="36" xfId="0" applyFont="1" applyBorder="1" applyAlignment="1" applyProtection="1">
      <alignment horizontal="center" vertical="center"/>
    </xf>
    <xf numFmtId="3" fontId="40" fillId="29" borderId="17" xfId="49" applyNumberFormat="1" applyFont="1" applyFill="1" applyBorder="1" applyAlignment="1" applyProtection="1">
      <alignment horizontal="center" vertical="center"/>
    </xf>
    <xf numFmtId="0" fontId="40" fillId="0" borderId="30" xfId="0" applyFont="1" applyBorder="1" applyAlignment="1" applyProtection="1">
      <alignment horizontal="center" vertical="center"/>
    </xf>
    <xf numFmtId="0" fontId="39" fillId="21" borderId="1" xfId="0" applyFont="1" applyFill="1" applyBorder="1" applyAlignment="1" applyProtection="1">
      <alignment vertical="center" wrapText="1"/>
    </xf>
    <xf numFmtId="0" fontId="39"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1" fillId="0" borderId="0" xfId="0" applyNumberFormat="1" applyFont="1" applyFill="1" applyBorder="1" applyAlignment="1" applyProtection="1">
      <alignment vertical="center"/>
    </xf>
    <xf numFmtId="0" fontId="39" fillId="24" borderId="1" xfId="0" applyFont="1" applyFill="1" applyBorder="1" applyAlignment="1" applyProtection="1">
      <alignment horizontal="center" vertical="center"/>
    </xf>
    <xf numFmtId="14" fontId="39" fillId="0" borderId="0" xfId="0" applyNumberFormat="1" applyFont="1" applyAlignment="1" applyProtection="1">
      <alignment horizontal="left" vertical="center"/>
    </xf>
    <xf numFmtId="0" fontId="40" fillId="0" borderId="0" xfId="0" applyNumberFormat="1" applyFont="1" applyAlignment="1" applyProtection="1">
      <alignment vertical="center"/>
    </xf>
    <xf numFmtId="0" fontId="42" fillId="0" borderId="0" xfId="31" applyFont="1" applyFill="1" applyBorder="1" applyAlignment="1" applyProtection="1">
      <alignment vertical="center"/>
    </xf>
    <xf numFmtId="0" fontId="11" fillId="27" borderId="0" xfId="32" applyFont="1" applyFill="1" applyProtection="1"/>
    <xf numFmtId="0" fontId="26" fillId="27" borderId="0" xfId="32" applyFont="1" applyFill="1" applyProtection="1"/>
    <xf numFmtId="0" fontId="20" fillId="27" borderId="0" xfId="32" applyFont="1" applyFill="1" applyAlignment="1" applyProtection="1">
      <alignment horizontal="center"/>
    </xf>
    <xf numFmtId="0" fontId="42" fillId="0" borderId="0" xfId="31" applyFont="1" applyAlignment="1" applyProtection="1">
      <alignment horizontal="right"/>
    </xf>
    <xf numFmtId="0" fontId="39" fillId="37" borderId="1" xfId="32" applyFont="1" applyFill="1" applyBorder="1" applyAlignment="1" applyProtection="1">
      <alignment vertical="center" wrapText="1"/>
    </xf>
    <xf numFmtId="0" fontId="39" fillId="30" borderId="25" xfId="32" applyFont="1" applyFill="1" applyBorder="1" applyAlignment="1" applyProtection="1"/>
    <xf numFmtId="3" fontId="39" fillId="30" borderId="5" xfId="32" applyNumberFormat="1" applyFont="1" applyFill="1" applyBorder="1" applyAlignment="1" applyProtection="1">
      <alignment horizontal="center"/>
    </xf>
    <xf numFmtId="3" fontId="39" fillId="30" borderId="44" xfId="32" applyNumberFormat="1" applyFont="1" applyFill="1" applyBorder="1" applyAlignment="1" applyProtection="1">
      <alignment horizontal="center"/>
    </xf>
    <xf numFmtId="3" fontId="39" fillId="30" borderId="31" xfId="32" applyNumberFormat="1" applyFont="1" applyFill="1" applyBorder="1" applyAlignment="1" applyProtection="1">
      <alignment horizontal="center"/>
    </xf>
    <xf numFmtId="3" fontId="39" fillId="30" borderId="50" xfId="32" applyNumberFormat="1" applyFont="1" applyFill="1" applyBorder="1" applyAlignment="1" applyProtection="1">
      <alignment horizontal="center"/>
    </xf>
    <xf numFmtId="0" fontId="39" fillId="31" borderId="24" xfId="32" applyFont="1" applyFill="1" applyBorder="1" applyAlignment="1" applyProtection="1"/>
    <xf numFmtId="3" fontId="39" fillId="31" borderId="17" xfId="32" applyNumberFormat="1" applyFont="1" applyFill="1" applyBorder="1" applyAlignment="1" applyProtection="1">
      <alignment horizontal="center"/>
    </xf>
    <xf numFmtId="3" fontId="39" fillId="31" borderId="32" xfId="32" applyNumberFormat="1" applyFont="1" applyFill="1" applyBorder="1" applyAlignment="1" applyProtection="1">
      <alignment horizontal="center"/>
    </xf>
    <xf numFmtId="3" fontId="39" fillId="31" borderId="7" xfId="32" applyNumberFormat="1" applyFont="1" applyFill="1" applyBorder="1" applyAlignment="1" applyProtection="1">
      <alignment horizontal="center"/>
    </xf>
    <xf numFmtId="3" fontId="39" fillId="31" borderId="53" xfId="32" applyNumberFormat="1" applyFont="1" applyFill="1" applyBorder="1" applyAlignment="1" applyProtection="1">
      <alignment horizontal="center"/>
    </xf>
    <xf numFmtId="0" fontId="40" fillId="27" borderId="24" xfId="47" applyFont="1" applyFill="1" applyBorder="1" applyAlignment="1" applyProtection="1">
      <alignment horizontal="left" vertical="center" wrapText="1"/>
    </xf>
    <xf numFmtId="3" fontId="40" fillId="27" borderId="32" xfId="32" applyNumberFormat="1" applyFont="1" applyFill="1" applyBorder="1" applyAlignment="1" applyProtection="1">
      <alignment horizontal="center"/>
    </xf>
    <xf numFmtId="3" fontId="40" fillId="27" borderId="7" xfId="32" applyNumberFormat="1" applyFont="1" applyFill="1" applyBorder="1" applyAlignment="1" applyProtection="1">
      <alignment horizontal="center"/>
    </xf>
    <xf numFmtId="3" fontId="40" fillId="27" borderId="53" xfId="32" applyNumberFormat="1" applyFont="1" applyFill="1" applyBorder="1" applyAlignment="1" applyProtection="1">
      <alignment horizontal="center"/>
    </xf>
    <xf numFmtId="0" fontId="40" fillId="20" borderId="24" xfId="47" applyFont="1" applyFill="1" applyBorder="1" applyAlignment="1" applyProtection="1">
      <alignment horizontal="left" vertical="center" wrapText="1"/>
    </xf>
    <xf numFmtId="0" fontId="106" fillId="27" borderId="24" xfId="47" applyFont="1" applyFill="1" applyBorder="1" applyAlignment="1" applyProtection="1">
      <alignment horizontal="left" vertical="center" wrapText="1"/>
    </xf>
    <xf numFmtId="3" fontId="40" fillId="26" borderId="32" xfId="32" applyNumberFormat="1" applyFont="1" applyFill="1" applyBorder="1" applyAlignment="1" applyProtection="1">
      <alignment horizontal="center"/>
    </xf>
    <xf numFmtId="3" fontId="40" fillId="26" borderId="7" xfId="32" applyNumberFormat="1" applyFont="1" applyFill="1" applyBorder="1" applyAlignment="1" applyProtection="1">
      <alignment horizontal="center"/>
    </xf>
    <xf numFmtId="3" fontId="40" fillId="26" borderId="53" xfId="32" applyNumberFormat="1" applyFont="1" applyFill="1" applyBorder="1" applyAlignment="1" applyProtection="1">
      <alignment horizontal="center"/>
    </xf>
    <xf numFmtId="0" fontId="40" fillId="26" borderId="24" xfId="47" applyFont="1" applyFill="1" applyBorder="1" applyAlignment="1" applyProtection="1">
      <alignment horizontal="left" vertical="center" wrapText="1"/>
    </xf>
    <xf numFmtId="0" fontId="39" fillId="31" borderId="24" xfId="47" applyFont="1" applyFill="1" applyBorder="1" applyAlignment="1" applyProtection="1">
      <alignment horizontal="left" vertical="center" wrapText="1"/>
    </xf>
    <xf numFmtId="0" fontId="39" fillId="30" borderId="24" xfId="32" applyFont="1" applyFill="1" applyBorder="1" applyProtection="1"/>
    <xf numFmtId="3" fontId="39" fillId="30" borderId="17" xfId="32" applyNumberFormat="1" applyFont="1" applyFill="1" applyBorder="1" applyAlignment="1" applyProtection="1">
      <alignment horizontal="center"/>
    </xf>
    <xf numFmtId="3" fontId="39" fillId="30" borderId="32" xfId="32" applyNumberFormat="1" applyFont="1" applyFill="1" applyBorder="1" applyAlignment="1" applyProtection="1">
      <alignment horizontal="center"/>
    </xf>
    <xf numFmtId="3" fontId="39" fillId="30" borderId="7" xfId="32" applyNumberFormat="1" applyFont="1" applyFill="1" applyBorder="1" applyAlignment="1" applyProtection="1">
      <alignment horizontal="center"/>
    </xf>
    <xf numFmtId="3" fontId="39" fillId="30" borderId="53" xfId="32" applyNumberFormat="1" applyFont="1" applyFill="1" applyBorder="1" applyAlignment="1" applyProtection="1">
      <alignment horizontal="center"/>
    </xf>
    <xf numFmtId="3" fontId="40" fillId="27" borderId="17" xfId="32" applyNumberFormat="1" applyFont="1" applyFill="1" applyBorder="1" applyAlignment="1" applyProtection="1">
      <alignment horizontal="center"/>
    </xf>
    <xf numFmtId="0" fontId="40" fillId="26" borderId="24" xfId="32" applyFont="1" applyFill="1" applyBorder="1" applyProtection="1"/>
    <xf numFmtId="0" fontId="39" fillId="31" borderId="24" xfId="47" applyFont="1" applyFill="1" applyBorder="1" applyAlignment="1" applyProtection="1">
      <alignment horizontal="left" vertical="top" wrapText="1"/>
    </xf>
    <xf numFmtId="3" fontId="39" fillId="31" borderId="23" xfId="32" applyNumberFormat="1" applyFont="1" applyFill="1" applyBorder="1" applyAlignment="1" applyProtection="1">
      <alignment horizontal="center"/>
    </xf>
    <xf numFmtId="3" fontId="39" fillId="31" borderId="15" xfId="32" applyNumberFormat="1" applyFont="1" applyFill="1" applyBorder="1" applyAlignment="1" applyProtection="1">
      <alignment horizontal="center"/>
    </xf>
    <xf numFmtId="3" fontId="40" fillId="26" borderId="17" xfId="32" applyNumberFormat="1" applyFont="1" applyFill="1" applyBorder="1" applyAlignment="1" applyProtection="1">
      <alignment horizontal="center"/>
    </xf>
    <xf numFmtId="3" fontId="40" fillId="26" borderId="24" xfId="32" applyNumberFormat="1" applyFont="1" applyFill="1" applyBorder="1" applyAlignment="1" applyProtection="1">
      <alignment horizontal="center"/>
    </xf>
    <xf numFmtId="3" fontId="40" fillId="26" borderId="15" xfId="32" applyNumberFormat="1" applyFont="1" applyFill="1" applyBorder="1" applyAlignment="1" applyProtection="1">
      <alignment horizontal="center"/>
    </xf>
    <xf numFmtId="0" fontId="40" fillId="27" borderId="24" xfId="32" applyFont="1" applyFill="1" applyBorder="1" applyProtection="1"/>
    <xf numFmtId="0" fontId="39" fillId="34" borderId="24" xfId="47" applyFont="1" applyFill="1" applyBorder="1" applyAlignment="1" applyProtection="1">
      <alignment horizontal="left" vertical="center" wrapText="1"/>
    </xf>
    <xf numFmtId="3" fontId="39" fillId="34" borderId="17" xfId="32" applyNumberFormat="1" applyFont="1" applyFill="1" applyBorder="1" applyAlignment="1" applyProtection="1">
      <alignment horizontal="center"/>
    </xf>
    <xf numFmtId="3" fontId="39" fillId="34" borderId="32" xfId="32" applyNumberFormat="1" applyFont="1" applyFill="1" applyBorder="1" applyAlignment="1" applyProtection="1">
      <alignment horizontal="center"/>
    </xf>
    <xf numFmtId="3" fontId="39" fillId="34" borderId="7" xfId="32" applyNumberFormat="1" applyFont="1" applyFill="1" applyBorder="1" applyAlignment="1" applyProtection="1">
      <alignment horizontal="center"/>
    </xf>
    <xf numFmtId="3" fontId="39" fillId="34" borderId="53" xfId="32" applyNumberFormat="1" applyFont="1" applyFill="1" applyBorder="1" applyAlignment="1" applyProtection="1">
      <alignment horizontal="center"/>
    </xf>
    <xf numFmtId="0" fontId="39" fillId="27" borderId="24" xfId="32" applyFont="1" applyFill="1" applyBorder="1" applyProtection="1"/>
    <xf numFmtId="0" fontId="39" fillId="27" borderId="24" xfId="47" applyFont="1" applyFill="1" applyBorder="1" applyAlignment="1" applyProtection="1">
      <alignment horizontal="left" vertical="center" wrapText="1"/>
    </xf>
    <xf numFmtId="0" fontId="39" fillId="34" borderId="30" xfId="47" applyFont="1" applyFill="1" applyBorder="1" applyAlignment="1" applyProtection="1">
      <alignment horizontal="left" vertical="center" wrapText="1"/>
    </xf>
    <xf numFmtId="3" fontId="39" fillId="34" borderId="21" xfId="32" applyNumberFormat="1" applyFont="1" applyFill="1" applyBorder="1" applyAlignment="1" applyProtection="1">
      <alignment horizontal="center"/>
    </xf>
    <xf numFmtId="3" fontId="39" fillId="34" borderId="79" xfId="32" applyNumberFormat="1" applyFont="1" applyFill="1" applyBorder="1" applyAlignment="1" applyProtection="1">
      <alignment horizontal="center"/>
    </xf>
    <xf numFmtId="3" fontId="39" fillId="34" borderId="77" xfId="32" applyNumberFormat="1" applyFont="1" applyFill="1" applyBorder="1" applyAlignment="1" applyProtection="1">
      <alignment horizontal="center"/>
    </xf>
    <xf numFmtId="3" fontId="39" fillId="34" borderId="57" xfId="32" applyNumberFormat="1" applyFont="1" applyFill="1" applyBorder="1" applyAlignment="1" applyProtection="1">
      <alignment horizontal="center"/>
    </xf>
    <xf numFmtId="0" fontId="0" fillId="27" borderId="0" xfId="0" applyFill="1" applyProtection="1"/>
    <xf numFmtId="0" fontId="20" fillId="27" borderId="0" xfId="0" applyNumberFormat="1" applyFont="1" applyFill="1" applyAlignment="1" applyProtection="1"/>
    <xf numFmtId="14" fontId="39" fillId="27" borderId="0" xfId="0" applyNumberFormat="1" applyFont="1" applyFill="1" applyAlignment="1" applyProtection="1">
      <alignment horizontal="right" vertical="center" indent="1"/>
    </xf>
    <xf numFmtId="14" fontId="44" fillId="27" borderId="0" xfId="0" applyNumberFormat="1" applyFont="1" applyFill="1" applyAlignment="1" applyProtection="1">
      <alignment horizontal="left" vertical="center" indent="1"/>
    </xf>
    <xf numFmtId="0" fontId="35" fillId="27" borderId="0" xfId="0" applyNumberFormat="1" applyFont="1" applyFill="1" applyAlignment="1" applyProtection="1">
      <alignment horizontal="center"/>
    </xf>
    <xf numFmtId="0" fontId="40" fillId="27" borderId="0" xfId="0" applyNumberFormat="1" applyFont="1" applyFill="1" applyAlignment="1" applyProtection="1"/>
    <xf numFmtId="14" fontId="126" fillId="27" borderId="0" xfId="0" applyNumberFormat="1" applyFont="1" applyFill="1" applyAlignment="1" applyProtection="1">
      <alignment horizontal="left" vertical="center" indent="1"/>
    </xf>
    <xf numFmtId="0" fontId="42" fillId="27" borderId="0" xfId="31" applyFont="1" applyFill="1" applyBorder="1" applyProtection="1"/>
    <xf numFmtId="0" fontId="83" fillId="27" borderId="0" xfId="31" applyFont="1" applyFill="1" applyBorder="1" applyAlignment="1" applyProtection="1">
      <alignment horizontal="left"/>
    </xf>
    <xf numFmtId="3" fontId="40" fillId="0" borderId="23" xfId="32" applyNumberFormat="1" applyFont="1" applyFill="1" applyBorder="1" applyAlignment="1" applyProtection="1">
      <alignment horizontal="center" vertical="center"/>
    </xf>
    <xf numFmtId="3" fontId="40" fillId="0" borderId="7" xfId="32" applyNumberFormat="1" applyFont="1" applyFill="1" applyBorder="1" applyAlignment="1" applyProtection="1">
      <alignment horizontal="center" vertical="center"/>
    </xf>
    <xf numFmtId="3" fontId="40" fillId="0" borderId="15" xfId="32" applyNumberFormat="1" applyFont="1" applyFill="1" applyBorder="1" applyAlignment="1" applyProtection="1">
      <alignment horizontal="center" vertical="center"/>
    </xf>
    <xf numFmtId="3" fontId="40" fillId="0" borderId="24" xfId="32" applyNumberFormat="1" applyFont="1" applyFill="1" applyBorder="1" applyAlignment="1" applyProtection="1">
      <alignment horizontal="center" vertical="center"/>
    </xf>
    <xf numFmtId="0" fontId="12" fillId="0" borderId="0" xfId="0" applyFont="1" applyBorder="1" applyAlignment="1" applyProtection="1">
      <alignment vertical="center"/>
    </xf>
    <xf numFmtId="3" fontId="39" fillId="30" borderId="51" xfId="32" applyNumberFormat="1" applyFont="1" applyFill="1" applyBorder="1" applyAlignment="1" applyProtection="1">
      <alignment horizontal="center"/>
    </xf>
    <xf numFmtId="3" fontId="39" fillId="31" borderId="52" xfId="32" applyNumberFormat="1" applyFont="1" applyFill="1" applyBorder="1" applyAlignment="1" applyProtection="1">
      <alignment horizontal="center"/>
    </xf>
    <xf numFmtId="3" fontId="40" fillId="26" borderId="52" xfId="32" applyNumberFormat="1" applyFont="1" applyFill="1" applyBorder="1" applyAlignment="1" applyProtection="1">
      <alignment horizontal="center"/>
    </xf>
    <xf numFmtId="0" fontId="40" fillId="0" borderId="24" xfId="47" applyFont="1" applyFill="1" applyBorder="1" applyAlignment="1" applyProtection="1">
      <alignment horizontal="left" vertical="center" wrapText="1"/>
    </xf>
    <xf numFmtId="3" fontId="39" fillId="31" borderId="39" xfId="32" applyNumberFormat="1" applyFont="1" applyFill="1" applyBorder="1" applyAlignment="1" applyProtection="1">
      <alignment horizontal="center"/>
    </xf>
    <xf numFmtId="3" fontId="40" fillId="0" borderId="32" xfId="32" applyNumberFormat="1" applyFont="1" applyFill="1" applyBorder="1" applyAlignment="1" applyProtection="1">
      <alignment horizontal="center"/>
    </xf>
    <xf numFmtId="3" fontId="40" fillId="0" borderId="7" xfId="32" applyNumberFormat="1" applyFont="1" applyFill="1" applyBorder="1" applyAlignment="1" applyProtection="1">
      <alignment horizontal="center"/>
    </xf>
    <xf numFmtId="3" fontId="40" fillId="0" borderId="53" xfId="32" applyNumberFormat="1" applyFont="1" applyFill="1" applyBorder="1" applyAlignment="1" applyProtection="1">
      <alignment horizontal="center"/>
    </xf>
    <xf numFmtId="3" fontId="39" fillId="31" borderId="5" xfId="32" applyNumberFormat="1" applyFont="1" applyFill="1" applyBorder="1" applyAlignment="1" applyProtection="1">
      <alignment horizontal="center"/>
    </xf>
    <xf numFmtId="3" fontId="40" fillId="0" borderId="17" xfId="32" applyNumberFormat="1" applyFont="1" applyFill="1" applyBorder="1" applyAlignment="1" applyProtection="1">
      <alignment horizontal="center"/>
    </xf>
    <xf numFmtId="0" fontId="40" fillId="0" borderId="24" xfId="32" applyFont="1" applyFill="1" applyBorder="1" applyProtection="1"/>
    <xf numFmtId="0" fontId="39" fillId="30" borderId="24" xfId="47" applyFont="1" applyFill="1" applyBorder="1" applyAlignment="1" applyProtection="1">
      <alignment horizontal="left" vertical="center" wrapText="1"/>
    </xf>
    <xf numFmtId="0" fontId="39" fillId="35" borderId="24" xfId="47" applyFont="1" applyFill="1" applyBorder="1" applyAlignment="1" applyProtection="1">
      <alignment horizontal="left" vertical="center" wrapText="1"/>
    </xf>
    <xf numFmtId="3" fontId="39" fillId="35" borderId="7" xfId="32" applyNumberFormat="1" applyFont="1" applyFill="1" applyBorder="1" applyAlignment="1" applyProtection="1">
      <alignment horizontal="center"/>
    </xf>
    <xf numFmtId="3" fontId="39" fillId="35" borderId="53" xfId="32" applyNumberFormat="1" applyFont="1" applyFill="1" applyBorder="1" applyAlignment="1" applyProtection="1">
      <alignment horizontal="center"/>
    </xf>
    <xf numFmtId="0" fontId="39" fillId="35" borderId="30" xfId="47" applyFont="1" applyFill="1" applyBorder="1" applyAlignment="1" applyProtection="1">
      <alignment horizontal="left" vertical="center" wrapText="1"/>
    </xf>
    <xf numFmtId="3" fontId="39" fillId="35" borderId="21" xfId="32" applyNumberFormat="1" applyFont="1" applyFill="1" applyBorder="1" applyAlignment="1" applyProtection="1">
      <alignment horizontal="center"/>
    </xf>
    <xf numFmtId="3" fontId="39" fillId="35" borderId="79" xfId="32" applyNumberFormat="1" applyFont="1" applyFill="1" applyBorder="1" applyAlignment="1" applyProtection="1">
      <alignment horizontal="center"/>
    </xf>
    <xf numFmtId="3" fontId="39" fillId="35" borderId="77" xfId="32" applyNumberFormat="1" applyFont="1" applyFill="1" applyBorder="1" applyAlignment="1" applyProtection="1">
      <alignment horizontal="center"/>
    </xf>
    <xf numFmtId="3" fontId="39" fillId="35" borderId="57" xfId="32" applyNumberFormat="1" applyFont="1" applyFill="1" applyBorder="1" applyAlignment="1" applyProtection="1">
      <alignment horizontal="center"/>
    </xf>
    <xf numFmtId="0" fontId="11" fillId="27" borderId="0" xfId="56" applyFont="1" applyFill="1" applyProtection="1"/>
    <xf numFmtId="0" fontId="11" fillId="27" borderId="0" xfId="56" applyNumberFormat="1" applyFont="1" applyFill="1" applyAlignment="1" applyProtection="1"/>
    <xf numFmtId="3" fontId="78" fillId="27" borderId="0" xfId="32" applyNumberFormat="1" applyFont="1" applyFill="1" applyProtection="1"/>
    <xf numFmtId="14" fontId="39" fillId="27" borderId="0" xfId="0" applyNumberFormat="1" applyFont="1" applyFill="1" applyAlignment="1" applyProtection="1">
      <alignment horizontal="left" vertical="center"/>
    </xf>
    <xf numFmtId="0" fontId="20" fillId="27" borderId="0" xfId="0" applyNumberFormat="1" applyFont="1" applyFill="1" applyAlignment="1" applyProtection="1">
      <alignment horizontal="right"/>
    </xf>
    <xf numFmtId="14" fontId="39" fillId="27" borderId="0" xfId="0" applyNumberFormat="1" applyFont="1" applyFill="1" applyAlignment="1" applyProtection="1">
      <alignment horizontal="right" vertical="center"/>
    </xf>
    <xf numFmtId="14" fontId="44" fillId="27" borderId="0" xfId="0" applyNumberFormat="1" applyFont="1" applyFill="1" applyAlignment="1" applyProtection="1">
      <alignment horizontal="left" vertical="center"/>
    </xf>
    <xf numFmtId="14" fontId="126" fillId="27" borderId="0" xfId="0" applyNumberFormat="1" applyFont="1" applyFill="1" applyAlignment="1" applyProtection="1">
      <alignment horizontal="left" vertical="center"/>
    </xf>
    <xf numFmtId="0" fontId="0" fillId="0" borderId="0" xfId="0" applyProtection="1"/>
    <xf numFmtId="0" fontId="0" fillId="0" borderId="0" xfId="0" applyAlignment="1" applyProtection="1">
      <alignment horizontal="center"/>
    </xf>
    <xf numFmtId="0" fontId="18" fillId="0" borderId="20" xfId="42" applyNumberFormat="1" applyFont="1" applyBorder="1" applyAlignment="1" applyProtection="1">
      <alignment horizontal="center"/>
    </xf>
    <xf numFmtId="0" fontId="18" fillId="0" borderId="0" xfId="42" applyNumberFormat="1" applyFont="1" applyBorder="1" applyAlignment="1" applyProtection="1">
      <alignment horizontal="center"/>
    </xf>
    <xf numFmtId="0" fontId="46" fillId="0" borderId="75" xfId="0" applyFont="1" applyBorder="1" applyAlignment="1" applyProtection="1">
      <alignment horizontal="center" vertical="center"/>
    </xf>
    <xf numFmtId="0" fontId="46" fillId="0" borderId="76" xfId="0" applyFont="1" applyBorder="1" applyAlignment="1" applyProtection="1">
      <alignment horizontal="left" vertical="center"/>
    </xf>
    <xf numFmtId="0" fontId="44" fillId="0" borderId="51" xfId="0" applyFont="1" applyBorder="1" applyAlignment="1" applyProtection="1">
      <alignment horizontal="center"/>
    </xf>
    <xf numFmtId="3" fontId="44" fillId="0" borderId="72" xfId="0" applyNumberFormat="1" applyFont="1" applyBorder="1" applyAlignment="1" applyProtection="1">
      <alignment horizontal="center" vertical="center"/>
    </xf>
    <xf numFmtId="3" fontId="44" fillId="0" borderId="73" xfId="0" applyNumberFormat="1" applyFont="1" applyBorder="1" applyAlignment="1" applyProtection="1">
      <alignment horizontal="center" vertical="center"/>
    </xf>
    <xf numFmtId="3" fontId="44" fillId="0" borderId="76" xfId="0" applyNumberFormat="1"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left" vertical="center"/>
    </xf>
    <xf numFmtId="0" fontId="44" fillId="0" borderId="17" xfId="0" applyFont="1" applyBorder="1" applyAlignment="1" applyProtection="1">
      <alignment horizont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3" fontId="40" fillId="0" borderId="32" xfId="0" applyNumberFormat="1" applyFont="1" applyBorder="1" applyAlignment="1" applyProtection="1">
      <alignment horizontal="center" vertical="center"/>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0" fontId="44" fillId="20" borderId="21" xfId="0" applyFont="1" applyFill="1" applyBorder="1" applyAlignment="1" applyProtection="1">
      <alignment horizontal="center" vertical="center" wrapText="1"/>
    </xf>
    <xf numFmtId="3" fontId="44" fillId="0" borderId="31" xfId="0" applyNumberFormat="1" applyFont="1" applyBorder="1" applyAlignment="1" applyProtection="1">
      <alignment horizontal="center" vertical="center"/>
    </xf>
    <xf numFmtId="3" fontId="44" fillId="0" borderId="50" xfId="0" applyNumberFormat="1" applyFont="1" applyBorder="1" applyAlignment="1" applyProtection="1">
      <alignment horizontal="center" vertical="center"/>
    </xf>
    <xf numFmtId="0" fontId="46" fillId="0" borderId="53" xfId="0" applyFont="1" applyFill="1" applyBorder="1" applyAlignment="1" applyProtection="1">
      <alignment horizontal="left" vertical="center"/>
    </xf>
    <xf numFmtId="0" fontId="44" fillId="20" borderId="17" xfId="0" applyFont="1" applyFill="1" applyBorder="1" applyAlignment="1" applyProtection="1">
      <alignment horizontal="center" vertical="center" wrapText="1"/>
    </xf>
    <xf numFmtId="3" fontId="40" fillId="0" borderId="32" xfId="0" applyNumberFormat="1" applyFont="1" applyFill="1" applyBorder="1" applyAlignment="1" applyProtection="1">
      <alignment horizontal="center"/>
    </xf>
    <xf numFmtId="3" fontId="40" fillId="0" borderId="7" xfId="0" applyNumberFormat="1" applyFont="1" applyFill="1" applyBorder="1" applyAlignment="1" applyProtection="1">
      <alignment horizontal="center"/>
    </xf>
    <xf numFmtId="3" fontId="40" fillId="0" borderId="53" xfId="0" applyNumberFormat="1" applyFont="1" applyFill="1" applyBorder="1" applyAlignment="1" applyProtection="1">
      <alignment horizontal="center"/>
    </xf>
    <xf numFmtId="0" fontId="44" fillId="0" borderId="53" xfId="0" applyFont="1" applyBorder="1" applyAlignment="1" applyProtection="1">
      <alignment horizontal="left" vertical="center"/>
    </xf>
    <xf numFmtId="0" fontId="44" fillId="0" borderId="53" xfId="0" applyFont="1" applyBorder="1" applyAlignment="1" applyProtection="1">
      <alignment horizontal="left" vertical="center" wrapText="1"/>
    </xf>
    <xf numFmtId="3" fontId="40" fillId="0" borderId="69" xfId="0" applyNumberFormat="1" applyFont="1" applyFill="1" applyBorder="1" applyAlignment="1" applyProtection="1">
      <alignment horizontal="center" vertical="center"/>
    </xf>
    <xf numFmtId="3" fontId="40" fillId="0" borderId="63" xfId="0" applyNumberFormat="1" applyFont="1" applyFill="1" applyBorder="1" applyAlignment="1" applyProtection="1">
      <alignment horizontal="center" vertical="center"/>
    </xf>
    <xf numFmtId="3" fontId="40" fillId="0" borderId="55" xfId="0" applyNumberFormat="1" applyFont="1" applyFill="1" applyBorder="1" applyAlignment="1" applyProtection="1">
      <alignment horizontal="center" vertical="center"/>
    </xf>
    <xf numFmtId="0" fontId="44" fillId="0" borderId="53" xfId="0" applyFont="1" applyFill="1" applyBorder="1" applyAlignment="1" applyProtection="1">
      <alignment horizontal="right"/>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4" fillId="0" borderId="57" xfId="0" applyFont="1" applyFill="1" applyBorder="1" applyAlignment="1" applyProtection="1">
      <alignment horizontal="right"/>
    </xf>
    <xf numFmtId="3" fontId="41" fillId="0" borderId="77" xfId="0" applyNumberFormat="1" applyFont="1" applyFill="1" applyBorder="1" applyAlignment="1" applyProtection="1">
      <alignment horizontal="center"/>
    </xf>
    <xf numFmtId="3" fontId="41" fillId="0" borderId="57" xfId="0" applyNumberFormat="1" applyFont="1" applyFill="1" applyBorder="1" applyAlignment="1" applyProtection="1">
      <alignment horizontal="center"/>
    </xf>
    <xf numFmtId="3" fontId="44" fillId="26" borderId="32" xfId="0" applyNumberFormat="1" applyFont="1" applyFill="1" applyBorder="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4" fillId="0" borderId="14" xfId="0" applyNumberFormat="1" applyFont="1" applyBorder="1" applyAlignment="1" applyProtection="1">
      <alignment horizontal="center" vertical="center"/>
    </xf>
    <xf numFmtId="0" fontId="46" fillId="0" borderId="57" xfId="0" applyFont="1" applyBorder="1" applyAlignment="1" applyProtection="1">
      <alignment horizontal="left" vertical="center"/>
    </xf>
    <xf numFmtId="3" fontId="40" fillId="26" borderId="77" xfId="0" applyNumberFormat="1" applyFont="1" applyFill="1" applyBorder="1" applyAlignment="1" applyProtection="1">
      <alignment horizontal="center" vertical="center"/>
    </xf>
    <xf numFmtId="3" fontId="40" fillId="26" borderId="57" xfId="0" applyNumberFormat="1" applyFont="1" applyFill="1" applyBorder="1" applyAlignment="1" applyProtection="1">
      <alignment horizontal="center" vertical="center"/>
    </xf>
    <xf numFmtId="0" fontId="58" fillId="0" borderId="0" xfId="0" applyFont="1" applyFill="1" applyBorder="1" applyAlignment="1" applyProtection="1">
      <alignment horizontal="right"/>
    </xf>
    <xf numFmtId="0" fontId="56" fillId="2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xf>
    <xf numFmtId="0" fontId="55" fillId="0" borderId="0" xfId="0" applyFont="1" applyAlignment="1" applyProtection="1">
      <alignment horizontal="center"/>
    </xf>
    <xf numFmtId="2" fontId="38" fillId="0" borderId="0" xfId="0" applyNumberFormat="1" applyFont="1" applyAlignment="1" applyProtection="1">
      <alignment horizontal="center"/>
    </xf>
    <xf numFmtId="1" fontId="38" fillId="0" borderId="0" xfId="0" applyNumberFormat="1" applyFont="1" applyFill="1" applyAlignment="1" applyProtection="1">
      <alignment horizontal="center"/>
    </xf>
    <xf numFmtId="0" fontId="20" fillId="0" borderId="35"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11" fillId="0" borderId="41" xfId="0" applyFont="1" applyBorder="1" applyAlignment="1" applyProtection="1">
      <alignment horizontal="center"/>
    </xf>
    <xf numFmtId="0" fontId="11" fillId="0" borderId="74" xfId="0" applyFont="1" applyBorder="1" applyAlignment="1" applyProtection="1">
      <alignment horizontal="left" indent="1"/>
    </xf>
    <xf numFmtId="0" fontId="11" fillId="0" borderId="62" xfId="0" applyFont="1" applyBorder="1" applyAlignment="1" applyProtection="1">
      <alignment horizontal="left" indent="1"/>
    </xf>
    <xf numFmtId="0" fontId="11" fillId="0" borderId="78" xfId="0" applyFont="1" applyBorder="1" applyAlignment="1" applyProtection="1">
      <alignment horizontal="left" indent="1"/>
    </xf>
    <xf numFmtId="0" fontId="26" fillId="0" borderId="0" xfId="0" applyFont="1" applyAlignment="1" applyProtection="1">
      <alignment horizontal="center"/>
    </xf>
    <xf numFmtId="0" fontId="26" fillId="0" borderId="0" xfId="0" applyFont="1" applyProtection="1"/>
    <xf numFmtId="0" fontId="53" fillId="0" borderId="0" xfId="0" applyFont="1" applyAlignment="1" applyProtection="1">
      <alignment vertical="center"/>
    </xf>
    <xf numFmtId="0" fontId="40" fillId="27" borderId="52" xfId="0" applyFont="1" applyFill="1" applyBorder="1" applyAlignment="1" applyProtection="1">
      <alignment horizontal="center" vertical="center" wrapText="1"/>
    </xf>
    <xf numFmtId="0" fontId="13" fillId="0" borderId="0" xfId="0" applyFont="1" applyAlignment="1" applyProtection="1">
      <alignment vertical="center"/>
    </xf>
    <xf numFmtId="0" fontId="26" fillId="0" borderId="0" xfId="0" applyFont="1" applyAlignment="1" applyProtection="1">
      <alignment vertical="center"/>
    </xf>
    <xf numFmtId="0" fontId="20" fillId="27" borderId="75" xfId="0" applyFont="1" applyFill="1" applyBorder="1" applyAlignment="1" applyProtection="1">
      <alignment horizontal="center" vertical="center"/>
    </xf>
    <xf numFmtId="0" fontId="11" fillId="27" borderId="52" xfId="0" applyFont="1" applyFill="1" applyBorder="1" applyAlignment="1" applyProtection="1">
      <alignment horizontal="center" vertical="center" wrapText="1"/>
    </xf>
    <xf numFmtId="0" fontId="18" fillId="0" borderId="0" xfId="0" applyNumberFormat="1" applyFont="1" applyAlignment="1" applyProtection="1">
      <alignment horizontal="center" vertical="center"/>
    </xf>
    <xf numFmtId="0" fontId="39" fillId="39" borderId="35" xfId="0" applyFont="1" applyFill="1" applyBorder="1" applyAlignment="1" applyProtection="1">
      <alignment horizontal="center" vertical="center"/>
    </xf>
    <xf numFmtId="0" fontId="39" fillId="39" borderId="11" xfId="0" applyFont="1" applyFill="1" applyBorder="1" applyAlignment="1" applyProtection="1">
      <alignment vertical="center"/>
    </xf>
    <xf numFmtId="0" fontId="39" fillId="0" borderId="17" xfId="0" applyFont="1" applyBorder="1" applyAlignment="1" applyProtection="1">
      <alignment horizontal="center" vertical="center"/>
    </xf>
    <xf numFmtId="0" fontId="39" fillId="0" borderId="5" xfId="0" applyFont="1" applyBorder="1" applyAlignment="1" applyProtection="1">
      <alignment horizontal="center" vertical="center"/>
    </xf>
    <xf numFmtId="14" fontId="39" fillId="0" borderId="17" xfId="0" applyNumberFormat="1" applyFont="1" applyBorder="1" applyAlignment="1" applyProtection="1">
      <alignment horizontal="center" vertical="center"/>
    </xf>
    <xf numFmtId="176" fontId="39" fillId="2" borderId="7" xfId="0" applyNumberFormat="1" applyFont="1" applyFill="1" applyBorder="1" applyAlignment="1" applyProtection="1">
      <alignment horizontal="center" vertical="center"/>
    </xf>
    <xf numFmtId="176" fontId="39" fillId="25" borderId="9" xfId="0" applyNumberFormat="1" applyFont="1" applyFill="1" applyBorder="1" applyAlignment="1" applyProtection="1">
      <alignment horizontal="center" vertical="center"/>
    </xf>
    <xf numFmtId="0" fontId="39" fillId="39" borderId="2" xfId="0" applyFont="1" applyFill="1" applyBorder="1" applyAlignment="1" applyProtection="1">
      <alignment horizontal="center" vertical="center"/>
    </xf>
    <xf numFmtId="14" fontId="39" fillId="0" borderId="0" xfId="0" applyNumberFormat="1" applyFont="1" applyFill="1" applyBorder="1" applyAlignment="1" applyProtection="1">
      <alignment horizontal="left" vertical="center"/>
    </xf>
    <xf numFmtId="14" fontId="39" fillId="0" borderId="0" xfId="0" applyNumberFormat="1" applyFont="1" applyFill="1" applyBorder="1" applyAlignment="1" applyProtection="1">
      <alignment horizontal="right" vertical="center"/>
    </xf>
    <xf numFmtId="14" fontId="40" fillId="0" borderId="0" xfId="0" applyNumberFormat="1" applyFont="1" applyFill="1" applyBorder="1" applyAlignment="1" applyProtection="1">
      <alignment horizontal="left" vertical="center"/>
    </xf>
    <xf numFmtId="14" fontId="41" fillId="0" borderId="0" xfId="0" applyNumberFormat="1" applyFont="1" applyFill="1" applyBorder="1" applyAlignment="1" applyProtection="1">
      <alignment horizontal="left" vertical="center"/>
    </xf>
    <xf numFmtId="3" fontId="39" fillId="35" borderId="32" xfId="32" applyNumberFormat="1" applyFont="1" applyFill="1" applyBorder="1" applyAlignment="1" applyProtection="1">
      <alignment horizontal="center"/>
    </xf>
    <xf numFmtId="0" fontId="40" fillId="26" borderId="17" xfId="49" applyFont="1" applyFill="1" applyBorder="1" applyAlignment="1" applyProtection="1">
      <alignment vertical="center"/>
    </xf>
    <xf numFmtId="0" fontId="40" fillId="26" borderId="21" xfId="49" applyFont="1" applyFill="1" applyBorder="1" applyAlignment="1" applyProtection="1">
      <alignment vertical="center"/>
    </xf>
    <xf numFmtId="10" fontId="39" fillId="26" borderId="7" xfId="32" applyNumberFormat="1" applyFont="1" applyFill="1" applyBorder="1" applyAlignment="1" applyProtection="1">
      <alignment horizontal="center" vertical="center"/>
    </xf>
    <xf numFmtId="10" fontId="39" fillId="26" borderId="53" xfId="32" applyNumberFormat="1" applyFont="1" applyFill="1" applyBorder="1" applyAlignment="1" applyProtection="1">
      <alignment horizontal="center" vertical="center"/>
    </xf>
    <xf numFmtId="3" fontId="40" fillId="0" borderId="7" xfId="31" applyNumberFormat="1" applyFont="1" applyBorder="1" applyAlignment="1" applyProtection="1">
      <alignment horizontal="center" vertical="center"/>
    </xf>
    <xf numFmtId="3" fontId="40" fillId="0" borderId="53" xfId="31" applyNumberFormat="1" applyFont="1" applyBorder="1" applyAlignment="1" applyProtection="1">
      <alignment horizontal="center" vertical="center"/>
    </xf>
    <xf numFmtId="3" fontId="40" fillId="0" borderId="77" xfId="31" applyNumberFormat="1" applyFont="1" applyBorder="1" applyAlignment="1" applyProtection="1">
      <alignment horizontal="center" vertical="center"/>
    </xf>
    <xf numFmtId="3" fontId="40" fillId="0" borderId="78" xfId="31" applyNumberFormat="1" applyFont="1" applyBorder="1" applyAlignment="1" applyProtection="1">
      <alignment horizontal="center" vertical="center"/>
    </xf>
    <xf numFmtId="3" fontId="40" fillId="0" borderId="57" xfId="31" applyNumberFormat="1" applyFont="1" applyBorder="1" applyAlignment="1" applyProtection="1">
      <alignment horizontal="center" vertical="center"/>
    </xf>
    <xf numFmtId="3" fontId="39" fillId="31" borderId="73" xfId="37" applyNumberFormat="1" applyFont="1" applyFill="1" applyBorder="1" applyAlignment="1" applyProtection="1">
      <alignment horizontal="center" vertical="center" wrapText="1"/>
    </xf>
    <xf numFmtId="3" fontId="39" fillId="31" borderId="76" xfId="37" applyNumberFormat="1" applyFont="1" applyFill="1" applyBorder="1" applyAlignment="1" applyProtection="1">
      <alignment horizontal="center" vertical="center" wrapText="1"/>
    </xf>
    <xf numFmtId="3" fontId="39" fillId="31" borderId="74" xfId="37" applyNumberFormat="1" applyFont="1" applyFill="1" applyBorder="1" applyAlignment="1" applyProtection="1">
      <alignment horizontal="center" vertical="center" wrapText="1"/>
    </xf>
    <xf numFmtId="3" fontId="41" fillId="0" borderId="7" xfId="37" applyNumberFormat="1" applyFont="1" applyFill="1" applyBorder="1" applyAlignment="1" applyProtection="1">
      <alignment horizontal="center" vertical="center" wrapText="1"/>
    </xf>
    <xf numFmtId="3" fontId="41" fillId="0" borderId="53" xfId="37" applyNumberFormat="1" applyFont="1" applyFill="1" applyBorder="1" applyAlignment="1" applyProtection="1">
      <alignment horizontal="center" vertical="center" wrapText="1"/>
    </xf>
    <xf numFmtId="3" fontId="41" fillId="0" borderId="62" xfId="37" applyNumberFormat="1" applyFont="1" applyFill="1" applyBorder="1" applyAlignment="1" applyProtection="1">
      <alignment horizontal="center" vertical="center" wrapText="1"/>
    </xf>
    <xf numFmtId="3" fontId="41" fillId="0" borderId="77" xfId="37" applyNumberFormat="1" applyFont="1" applyFill="1" applyBorder="1" applyAlignment="1" applyProtection="1">
      <alignment horizontal="center" vertical="center" wrapText="1"/>
    </xf>
    <xf numFmtId="3" fontId="41" fillId="0" borderId="57" xfId="37" applyNumberFormat="1" applyFont="1" applyFill="1" applyBorder="1" applyAlignment="1" applyProtection="1">
      <alignment horizontal="center" vertical="center" wrapText="1"/>
    </xf>
    <xf numFmtId="3" fontId="40" fillId="0" borderId="0" xfId="31" applyNumberFormat="1" applyFont="1" applyFill="1" applyAlignment="1" applyProtection="1">
      <alignment vertical="center"/>
    </xf>
    <xf numFmtId="3" fontId="11" fillId="0" borderId="0" xfId="31" applyNumberFormat="1" applyFont="1" applyFill="1" applyAlignment="1" applyProtection="1">
      <alignment vertical="center"/>
    </xf>
    <xf numFmtId="3" fontId="11" fillId="0" borderId="0" xfId="0" applyNumberFormat="1" applyFont="1" applyFill="1" applyAlignment="1" applyProtection="1">
      <alignment vertical="center"/>
    </xf>
    <xf numFmtId="3" fontId="39" fillId="0" borderId="7" xfId="37" applyNumberFormat="1" applyFont="1" applyFill="1" applyBorder="1" applyAlignment="1" applyProtection="1">
      <alignment horizontal="center" vertical="center" wrapText="1"/>
    </xf>
    <xf numFmtId="3" fontId="39" fillId="0" borderId="53" xfId="37" applyNumberFormat="1" applyFont="1" applyFill="1" applyBorder="1" applyAlignment="1" applyProtection="1">
      <alignment horizontal="center" vertical="center" wrapText="1"/>
    </xf>
    <xf numFmtId="3" fontId="39" fillId="0" borderId="62" xfId="37" applyNumberFormat="1" applyFont="1" applyFill="1" applyBorder="1" applyAlignment="1" applyProtection="1">
      <alignment horizontal="center" vertical="center" wrapText="1"/>
    </xf>
    <xf numFmtId="3" fontId="41" fillId="43" borderId="7" xfId="37" applyNumberFormat="1" applyFont="1" applyFill="1" applyBorder="1" applyAlignment="1" applyProtection="1">
      <alignment horizontal="center" vertical="center" wrapText="1"/>
    </xf>
    <xf numFmtId="3" fontId="41" fillId="43" borderId="53" xfId="37" applyNumberFormat="1" applyFont="1" applyFill="1" applyBorder="1" applyAlignment="1" applyProtection="1">
      <alignment horizontal="center" vertical="center" wrapText="1"/>
    </xf>
    <xf numFmtId="3" fontId="41" fillId="43" borderId="62" xfId="37" applyNumberFormat="1" applyFont="1" applyFill="1" applyBorder="1" applyAlignment="1" applyProtection="1">
      <alignment horizontal="center" vertical="center" wrapText="1"/>
    </xf>
    <xf numFmtId="3" fontId="40" fillId="0" borderId="0" xfId="37" applyNumberFormat="1" applyFont="1" applyFill="1" applyBorder="1" applyAlignment="1" applyProtection="1">
      <alignment horizontal="right" vertical="center" wrapText="1"/>
    </xf>
    <xf numFmtId="3" fontId="40" fillId="0" borderId="0" xfId="0" applyNumberFormat="1" applyFont="1" applyAlignment="1" applyProtection="1">
      <alignment vertical="center"/>
    </xf>
    <xf numFmtId="3" fontId="11" fillId="0" borderId="0" xfId="0" applyNumberFormat="1" applyFont="1" applyAlignment="1" applyProtection="1">
      <alignment vertical="center"/>
    </xf>
    <xf numFmtId="3" fontId="94" fillId="0" borderId="9" xfId="37" applyNumberFormat="1" applyFont="1" applyFill="1" applyBorder="1" applyAlignment="1" applyProtection="1">
      <alignment horizontal="center" vertical="center" wrapText="1"/>
    </xf>
    <xf numFmtId="3" fontId="94" fillId="0" borderId="60" xfId="37" applyNumberFormat="1" applyFont="1" applyFill="1" applyBorder="1" applyAlignment="1" applyProtection="1">
      <alignment horizontal="center" vertical="center" wrapText="1"/>
    </xf>
    <xf numFmtId="3" fontId="94" fillId="0" borderId="10" xfId="37" applyNumberFormat="1" applyFont="1" applyFill="1" applyBorder="1" applyAlignment="1" applyProtection="1">
      <alignment horizontal="center" vertical="center" wrapText="1"/>
    </xf>
    <xf numFmtId="3" fontId="94" fillId="0" borderId="0" xfId="37" applyNumberFormat="1" applyFont="1" applyFill="1" applyBorder="1" applyAlignment="1" applyProtection="1">
      <alignment horizontal="center" vertical="center" wrapText="1"/>
    </xf>
    <xf numFmtId="3" fontId="40" fillId="0" borderId="0" xfId="21"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40" fillId="0" borderId="0" xfId="0" applyNumberFormat="1" applyFont="1" applyFill="1" applyBorder="1" applyAlignment="1" applyProtection="1">
      <alignment vertical="center"/>
    </xf>
    <xf numFmtId="3" fontId="39" fillId="0" borderId="73" xfId="21" applyNumberFormat="1" applyFont="1" applyFill="1" applyBorder="1" applyAlignment="1" applyProtection="1">
      <alignment horizontal="center" vertical="center" wrapText="1"/>
    </xf>
    <xf numFmtId="3" fontId="39" fillId="0" borderId="76" xfId="21" applyNumberFormat="1" applyFont="1" applyFill="1" applyBorder="1" applyAlignment="1" applyProtection="1">
      <alignment horizontal="center" vertical="center" wrapText="1"/>
    </xf>
    <xf numFmtId="3" fontId="39" fillId="0" borderId="74" xfId="21" applyNumberFormat="1" applyFont="1" applyFill="1" applyBorder="1" applyAlignment="1" applyProtection="1">
      <alignment horizontal="center" vertical="center" wrapText="1"/>
    </xf>
    <xf numFmtId="3" fontId="39" fillId="0" borderId="7" xfId="21" applyNumberFormat="1" applyFont="1" applyFill="1" applyBorder="1" applyAlignment="1" applyProtection="1">
      <alignment horizontal="center" vertical="center" wrapText="1"/>
    </xf>
    <xf numFmtId="3" fontId="39" fillId="0" borderId="53" xfId="21" applyNumberFormat="1" applyFont="1" applyFill="1" applyBorder="1" applyAlignment="1" applyProtection="1">
      <alignment horizontal="center" vertical="center" wrapText="1"/>
    </xf>
    <xf numFmtId="3" fontId="39" fillId="0" borderId="62" xfId="21" applyNumberFormat="1" applyFont="1" applyFill="1" applyBorder="1" applyAlignment="1" applyProtection="1">
      <alignment horizontal="center" vertical="center" wrapText="1"/>
    </xf>
    <xf numFmtId="0" fontId="20" fillId="26" borderId="0" xfId="32" applyNumberFormat="1" applyFont="1" applyFill="1" applyBorder="1" applyAlignment="1" applyProtection="1">
      <alignment vertical="center"/>
    </xf>
    <xf numFmtId="0" fontId="11" fillId="26" borderId="0" xfId="32" applyNumberFormat="1" applyFont="1" applyFill="1" applyBorder="1" applyAlignment="1" applyProtection="1">
      <alignment vertical="center"/>
    </xf>
    <xf numFmtId="3" fontId="40" fillId="0" borderId="26" xfId="49" applyNumberFormat="1" applyFont="1" applyFill="1" applyBorder="1" applyAlignment="1" applyProtection="1">
      <alignment horizontal="center" vertical="center" wrapText="1"/>
    </xf>
    <xf numFmtId="3" fontId="41" fillId="0" borderId="13" xfId="49" applyNumberFormat="1" applyFont="1" applyFill="1" applyBorder="1" applyAlignment="1" applyProtection="1">
      <alignment horizontal="center" vertical="center" wrapText="1"/>
    </xf>
    <xf numFmtId="3" fontId="41" fillId="0" borderId="16" xfId="49" applyNumberFormat="1" applyFont="1" applyFill="1" applyBorder="1" applyAlignment="1" applyProtection="1">
      <alignment horizontal="center" vertical="center" wrapText="1"/>
    </xf>
    <xf numFmtId="0" fontId="39" fillId="0" borderId="6" xfId="31" applyFont="1" applyFill="1" applyBorder="1" applyAlignment="1" applyProtection="1">
      <alignment horizontal="center" vertical="center" wrapText="1"/>
    </xf>
    <xf numFmtId="0" fontId="39" fillId="0" borderId="24" xfId="31" applyFont="1" applyFill="1" applyBorder="1" applyAlignment="1" applyProtection="1">
      <alignment horizontal="center" vertical="center" wrapText="1"/>
    </xf>
    <xf numFmtId="3" fontId="39" fillId="0" borderId="17" xfId="31" applyNumberFormat="1" applyFont="1" applyFill="1" applyBorder="1" applyAlignment="1" applyProtection="1">
      <alignment horizontal="center" vertical="center" wrapText="1"/>
    </xf>
    <xf numFmtId="0" fontId="39" fillId="0" borderId="15" xfId="31" applyFont="1" applyFill="1" applyBorder="1" applyAlignment="1" applyProtection="1">
      <alignment horizontal="center" vertical="center" wrapText="1"/>
    </xf>
    <xf numFmtId="176" fontId="11" fillId="0" borderId="62" xfId="0" applyNumberFormat="1" applyFont="1" applyFill="1" applyBorder="1" applyAlignment="1" applyProtection="1">
      <alignment horizontal="center" vertical="center"/>
    </xf>
    <xf numFmtId="0" fontId="11" fillId="26" borderId="72" xfId="0" applyFont="1" applyFill="1" applyBorder="1" applyAlignment="1" applyProtection="1">
      <alignment vertical="center" wrapText="1"/>
    </xf>
    <xf numFmtId="0" fontId="11" fillId="26" borderId="32" xfId="0" applyFont="1" applyFill="1" applyBorder="1" applyAlignment="1" applyProtection="1">
      <alignment vertical="center" wrapText="1"/>
    </xf>
    <xf numFmtId="0" fontId="11" fillId="26" borderId="79" xfId="0" applyFont="1" applyFill="1" applyBorder="1" applyAlignment="1" applyProtection="1">
      <alignment vertical="center" wrapText="1"/>
    </xf>
    <xf numFmtId="0" fontId="11" fillId="26" borderId="52" xfId="0" applyFont="1" applyFill="1" applyBorder="1" applyAlignment="1" applyProtection="1">
      <alignment vertical="center" wrapText="1"/>
    </xf>
    <xf numFmtId="0" fontId="11" fillId="26" borderId="44" xfId="0" applyFont="1" applyFill="1" applyBorder="1" applyAlignment="1" applyProtection="1">
      <alignment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44" fillId="0" borderId="32" xfId="2" applyFont="1" applyFill="1" applyBorder="1" applyAlignment="1" applyProtection="1">
      <alignment horizontal="center" vertical="center"/>
    </xf>
    <xf numFmtId="0" fontId="144"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54" fillId="20" borderId="7" xfId="52" applyFont="1" applyFill="1" applyBorder="1" applyAlignment="1" applyProtection="1">
      <alignment horizontal="center" vertical="center" wrapText="1"/>
    </xf>
    <xf numFmtId="3" fontId="144" fillId="27" borderId="7" xfId="52" applyNumberFormat="1" applyFont="1" applyFill="1" applyBorder="1" applyAlignment="1" applyProtection="1">
      <alignment horizontal="center" vertical="center"/>
    </xf>
    <xf numFmtId="172" fontId="14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left" vertical="center" wrapText="1" indent="1"/>
    </xf>
    <xf numFmtId="3" fontId="5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right"/>
    </xf>
    <xf numFmtId="3" fontId="54" fillId="26" borderId="7" xfId="52" applyNumberFormat="1" applyFont="1" applyFill="1" applyBorder="1" applyAlignment="1" applyProtection="1">
      <alignment horizontal="center" vertical="center"/>
    </xf>
    <xf numFmtId="172" fontId="54" fillId="26" borderId="7" xfId="1" applyNumberFormat="1" applyFont="1" applyFill="1" applyBorder="1" applyAlignment="1" applyProtection="1">
      <alignment horizontal="center" vertical="center"/>
    </xf>
    <xf numFmtId="172" fontId="54" fillId="27" borderId="7" xfId="1" applyNumberFormat="1" applyFont="1" applyFill="1" applyBorder="1" applyAlignment="1" applyProtection="1">
      <alignment horizontal="center" vertical="center"/>
    </xf>
    <xf numFmtId="49" fontId="144" fillId="27" borderId="7" xfId="0" applyNumberFormat="1" applyFont="1" applyFill="1" applyBorder="1" applyAlignment="1" applyProtection="1">
      <alignment vertical="center" wrapText="1"/>
    </xf>
    <xf numFmtId="0" fontId="144" fillId="27" borderId="7" xfId="32" applyFont="1" applyFill="1" applyBorder="1" applyAlignment="1" applyProtection="1">
      <alignment horizontal="left" vertical="center" wrapText="1"/>
    </xf>
    <xf numFmtId="0" fontId="147" fillId="0" borderId="0" xfId="0" applyFont="1" applyAlignment="1">
      <alignment wrapText="1"/>
    </xf>
    <xf numFmtId="0" fontId="54" fillId="26" borderId="7" xfId="32" applyFont="1" applyFill="1" applyBorder="1" applyAlignment="1" applyProtection="1">
      <alignment vertical="center" wrapText="1"/>
    </xf>
    <xf numFmtId="49" fontId="54" fillId="27" borderId="7" xfId="32" applyNumberFormat="1" applyFont="1" applyFill="1" applyBorder="1" applyAlignment="1" applyProtection="1">
      <alignment horizontal="left" vertical="center" wrapText="1"/>
    </xf>
    <xf numFmtId="0" fontId="35" fillId="27" borderId="7" xfId="32" applyFont="1" applyFill="1" applyBorder="1" applyAlignment="1" applyProtection="1">
      <alignment horizontal="right" vertical="center" wrapText="1"/>
    </xf>
    <xf numFmtId="49" fontId="35" fillId="27" borderId="7" xfId="0" applyNumberFormat="1" applyFont="1" applyFill="1" applyBorder="1" applyAlignment="1" applyProtection="1">
      <alignment horizontal="right" vertical="center" wrapText="1"/>
    </xf>
    <xf numFmtId="0" fontId="54" fillId="0" borderId="7" xfId="0" applyFont="1" applyBorder="1" applyAlignment="1">
      <alignment horizontal="center" vertical="center" wrapText="1"/>
    </xf>
    <xf numFmtId="0" fontId="144" fillId="46" borderId="7" xfId="0" applyFont="1" applyFill="1" applyBorder="1" applyAlignment="1">
      <alignment horizontal="center" vertical="center"/>
    </xf>
    <xf numFmtId="10" fontId="144" fillId="46" borderId="7" xfId="0" applyNumberFormat="1" applyFont="1" applyFill="1" applyBorder="1" applyAlignment="1">
      <alignment horizontal="center" vertical="center" wrapText="1"/>
    </xf>
    <xf numFmtId="0" fontId="54" fillId="20" borderId="7" xfId="32" applyFont="1" applyFill="1" applyBorder="1" applyAlignment="1" applyProtection="1">
      <alignment horizontal="center" vertical="center" wrapText="1"/>
    </xf>
    <xf numFmtId="0" fontId="144" fillId="37" borderId="63" xfId="52" applyFont="1" applyFill="1" applyBorder="1" applyAlignment="1" applyProtection="1">
      <alignment horizontal="center" vertical="center"/>
    </xf>
    <xf numFmtId="0" fontId="144" fillId="37" borderId="63" xfId="52" applyFont="1" applyFill="1" applyBorder="1" applyAlignment="1" applyProtection="1">
      <alignment horizontal="center" vertical="center" wrapText="1"/>
    </xf>
    <xf numFmtId="0" fontId="54" fillId="0" borderId="7" xfId="0" applyFont="1" applyBorder="1" applyAlignment="1">
      <alignment vertical="center" wrapText="1"/>
    </xf>
    <xf numFmtId="0" fontId="141" fillId="0" borderId="0" xfId="0" applyFont="1" applyAlignment="1">
      <alignment horizontal="right"/>
    </xf>
    <xf numFmtId="0" fontId="144" fillId="0" borderId="7" xfId="0" applyFont="1" applyBorder="1" applyAlignment="1">
      <alignment vertical="center" wrapText="1"/>
    </xf>
    <xf numFmtId="3" fontId="144" fillId="46" borderId="7" xfId="0" applyNumberFormat="1" applyFont="1" applyFill="1" applyBorder="1" applyAlignment="1">
      <alignment horizontal="center" vertical="center"/>
    </xf>
    <xf numFmtId="0" fontId="54" fillId="46" borderId="7" xfId="0" applyFont="1" applyFill="1" applyBorder="1" applyAlignment="1">
      <alignment horizontal="center" vertical="center"/>
    </xf>
    <xf numFmtId="3" fontId="54" fillId="46"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44" fillId="47" borderId="63" xfId="0" applyFont="1" applyFill="1" applyBorder="1" applyAlignment="1">
      <alignment horizontal="center" vertical="center" wrapText="1"/>
    </xf>
    <xf numFmtId="0" fontId="144" fillId="22" borderId="7" xfId="0" applyFont="1" applyFill="1" applyBorder="1" applyAlignment="1">
      <alignment vertical="center" wrapText="1"/>
    </xf>
    <xf numFmtId="0" fontId="20" fillId="0" borderId="0" xfId="0" applyFont="1" applyAlignment="1">
      <alignment horizontal="center"/>
    </xf>
    <xf numFmtId="0" fontId="144" fillId="26" borderId="7" xfId="47" applyFont="1" applyFill="1" applyBorder="1" applyAlignment="1" applyProtection="1">
      <alignment vertical="center" wrapText="1"/>
      <protection hidden="1"/>
    </xf>
    <xf numFmtId="0" fontId="144" fillId="26" borderId="7" xfId="47" applyFont="1" applyFill="1" applyBorder="1" applyAlignment="1" applyProtection="1">
      <alignment vertical="top" wrapText="1"/>
      <protection hidden="1"/>
    </xf>
    <xf numFmtId="0" fontId="144" fillId="26" borderId="0" xfId="47" applyFont="1" applyFill="1" applyBorder="1" applyAlignment="1" applyProtection="1">
      <alignment vertical="center" wrapText="1"/>
      <protection hidden="1"/>
    </xf>
    <xf numFmtId="0" fontId="144" fillId="26" borderId="0" xfId="47" applyFont="1" applyFill="1" applyBorder="1" applyAlignment="1" applyProtection="1">
      <alignment horizontal="center" vertical="center" wrapText="1"/>
      <protection hidden="1"/>
    </xf>
    <xf numFmtId="3" fontId="144" fillId="26" borderId="7" xfId="47" applyNumberFormat="1" applyFont="1" applyFill="1" applyBorder="1" applyAlignment="1" applyProtection="1">
      <alignment horizontal="center" vertical="center" wrapText="1"/>
      <protection hidden="1"/>
    </xf>
    <xf numFmtId="0" fontId="99" fillId="0" borderId="7" xfId="32" applyFont="1" applyFill="1" applyBorder="1" applyAlignment="1" applyProtection="1">
      <alignment vertical="center" wrapText="1"/>
    </xf>
    <xf numFmtId="0" fontId="159" fillId="22" borderId="7" xfId="32" applyFont="1" applyFill="1" applyBorder="1" applyAlignment="1" applyProtection="1">
      <alignment vertical="center" wrapText="1"/>
    </xf>
    <xf numFmtId="167" fontId="159" fillId="22" borderId="7" xfId="48" applyNumberFormat="1" applyFont="1" applyFill="1" applyBorder="1" applyAlignment="1" applyProtection="1">
      <alignment horizontal="center" vertical="center"/>
    </xf>
    <xf numFmtId="0" fontId="11" fillId="0" borderId="0" xfId="0" applyFont="1" applyBorder="1" applyAlignment="1" applyProtection="1">
      <alignment horizontal="left" indent="1"/>
    </xf>
    <xf numFmtId="4" fontId="11" fillId="26" borderId="73" xfId="32" applyNumberFormat="1" applyFont="1" applyFill="1" applyBorder="1" applyAlignment="1" applyProtection="1">
      <alignment horizontal="center" vertical="center"/>
    </xf>
    <xf numFmtId="4" fontId="11" fillId="26" borderId="7" xfId="32" applyNumberFormat="1" applyFont="1" applyFill="1" applyBorder="1" applyAlignment="1" applyProtection="1">
      <alignment horizontal="center" vertical="center"/>
    </xf>
    <xf numFmtId="4" fontId="11" fillId="26" borderId="77" xfId="32" applyNumberFormat="1" applyFont="1" applyFill="1" applyBorder="1" applyAlignment="1" applyProtection="1">
      <alignment horizontal="center" vertical="center"/>
    </xf>
    <xf numFmtId="0" fontId="19" fillId="0" borderId="8" xfId="0" applyFont="1" applyBorder="1" applyAlignment="1" applyProtection="1"/>
    <xf numFmtId="0" fontId="20" fillId="0" borderId="8" xfId="0" applyFont="1" applyBorder="1" applyAlignment="1" applyProtection="1"/>
    <xf numFmtId="0" fontId="144" fillId="22" borderId="7" xfId="52" applyFont="1" applyFill="1" applyBorder="1" applyAlignment="1" applyProtection="1">
      <alignment horizontal="left" vertical="center" wrapText="1"/>
    </xf>
    <xf numFmtId="0" fontId="54" fillId="22" borderId="7" xfId="52" applyFont="1" applyFill="1" applyBorder="1" applyAlignment="1" applyProtection="1">
      <alignment horizontal="center" vertical="center" wrapText="1"/>
    </xf>
    <xf numFmtId="3" fontId="144" fillId="22" borderId="7" xfId="52" applyNumberFormat="1" applyFont="1" applyFill="1" applyBorder="1" applyAlignment="1" applyProtection="1">
      <alignment horizontal="center" vertical="center"/>
    </xf>
    <xf numFmtId="3" fontId="54" fillId="22" borderId="7" xfId="52" applyNumberFormat="1" applyFont="1" applyFill="1" applyBorder="1" applyAlignment="1" applyProtection="1">
      <alignment horizontal="center" vertical="center"/>
    </xf>
    <xf numFmtId="172" fontId="54" fillId="22" borderId="7" xfId="52" applyNumberFormat="1" applyFont="1" applyFill="1" applyBorder="1" applyAlignment="1" applyProtection="1">
      <alignment horizontal="center" vertical="center"/>
    </xf>
    <xf numFmtId="172" fontId="54" fillId="22" borderId="7" xfId="1" applyNumberFormat="1" applyFont="1" applyFill="1" applyBorder="1" applyAlignment="1" applyProtection="1">
      <alignment horizontal="center" vertical="center"/>
    </xf>
    <xf numFmtId="175" fontId="54" fillId="22" borderId="7" xfId="52" applyNumberFormat="1" applyFont="1" applyFill="1" applyBorder="1" applyAlignment="1" applyProtection="1">
      <alignment horizontal="center" vertical="center"/>
    </xf>
    <xf numFmtId="10" fontId="144" fillId="22" borderId="7" xfId="1" applyNumberFormat="1" applyFont="1" applyFill="1" applyBorder="1" applyAlignment="1" applyProtection="1">
      <alignment horizontal="center" vertical="center"/>
    </xf>
    <xf numFmtId="4" fontId="144" fillId="22" borderId="7" xfId="52" applyNumberFormat="1" applyFont="1" applyFill="1" applyBorder="1" applyAlignment="1" applyProtection="1">
      <alignment horizontal="center" vertical="center"/>
    </xf>
    <xf numFmtId="172" fontId="144" fillId="22" borderId="7" xfId="52" applyNumberFormat="1" applyFont="1" applyFill="1" applyBorder="1" applyAlignment="1" applyProtection="1">
      <alignment horizontal="center" vertical="center"/>
    </xf>
    <xf numFmtId="3" fontId="144" fillId="22" borderId="7" xfId="52" applyNumberFormat="1" applyFont="1" applyFill="1" applyBorder="1" applyAlignment="1" applyProtection="1">
      <alignment horizontal="center" vertical="center" wrapText="1"/>
    </xf>
    <xf numFmtId="172" fontId="144" fillId="22" borderId="7" xfId="52" applyNumberFormat="1" applyFont="1" applyFill="1" applyBorder="1" applyAlignment="1" applyProtection="1">
      <alignment horizontal="center" vertical="center" wrapText="1"/>
    </xf>
    <xf numFmtId="14" fontId="64" fillId="0" borderId="0" xfId="0" applyNumberFormat="1" applyFont="1" applyFill="1" applyBorder="1" applyAlignment="1" applyProtection="1">
      <alignment horizontal="left" vertical="center"/>
    </xf>
    <xf numFmtId="14" fontId="11" fillId="0" borderId="0" xfId="0" applyNumberFormat="1" applyFont="1" applyAlignment="1" applyProtection="1">
      <alignment vertical="center"/>
    </xf>
    <xf numFmtId="14" fontId="20" fillId="0" borderId="0" xfId="0" applyNumberFormat="1" applyFont="1" applyFill="1" applyBorder="1" applyAlignment="1" applyProtection="1">
      <alignment horizontal="left" vertical="center"/>
    </xf>
    <xf numFmtId="0" fontId="143" fillId="0" borderId="0" xfId="0" applyFont="1" applyProtection="1"/>
    <xf numFmtId="0" fontId="144" fillId="47" borderId="7" xfId="0" applyFont="1" applyFill="1" applyBorder="1" applyAlignment="1" applyProtection="1">
      <alignment horizontal="center" vertical="center"/>
    </xf>
    <xf numFmtId="0" fontId="148" fillId="47" borderId="7" xfId="0" applyFont="1" applyFill="1" applyBorder="1" applyAlignment="1" applyProtection="1">
      <alignment horizontal="center" vertical="center" wrapText="1"/>
    </xf>
    <xf numFmtId="0" fontId="144" fillId="47" borderId="7" xfId="0" applyFont="1" applyFill="1" applyBorder="1" applyAlignment="1" applyProtection="1">
      <alignment horizontal="center" vertical="center" wrapText="1"/>
    </xf>
    <xf numFmtId="0" fontId="145" fillId="0" borderId="7" xfId="56" applyFont="1" applyBorder="1" applyAlignment="1" applyProtection="1">
      <alignment vertical="center" wrapText="1"/>
    </xf>
    <xf numFmtId="3" fontId="54" fillId="26" borderId="7" xfId="56" applyNumberFormat="1" applyFont="1" applyFill="1" applyBorder="1" applyAlignment="1" applyProtection="1">
      <alignment horizontal="center" vertical="center"/>
    </xf>
    <xf numFmtId="0" fontId="144" fillId="46" borderId="7" xfId="0" applyFont="1" applyFill="1" applyBorder="1" applyAlignment="1" applyProtection="1">
      <alignment vertical="center"/>
    </xf>
    <xf numFmtId="0" fontId="54" fillId="46" borderId="7" xfId="0" applyFont="1" applyFill="1" applyBorder="1" applyAlignment="1" applyProtection="1">
      <alignment vertical="center" wrapText="1"/>
    </xf>
    <xf numFmtId="0" fontId="149" fillId="46" borderId="7" xfId="0" applyFont="1" applyFill="1" applyBorder="1" applyAlignment="1" applyProtection="1">
      <alignment horizontal="center" vertical="center" wrapText="1"/>
    </xf>
    <xf numFmtId="10" fontId="54" fillId="46" borderId="7" xfId="0" applyNumberFormat="1" applyFont="1" applyFill="1" applyBorder="1" applyAlignment="1" applyProtection="1">
      <alignment horizontal="center" vertical="center"/>
    </xf>
    <xf numFmtId="10" fontId="144" fillId="46" borderId="7" xfId="0" applyNumberFormat="1" applyFont="1" applyFill="1" applyBorder="1" applyAlignment="1" applyProtection="1">
      <alignment horizontal="center" vertical="center" wrapText="1"/>
    </xf>
    <xf numFmtId="9" fontId="144" fillId="46" borderId="7" xfId="0" applyNumberFormat="1" applyFont="1" applyFill="1" applyBorder="1" applyAlignment="1" applyProtection="1">
      <alignment horizontal="center" vertical="center"/>
    </xf>
    <xf numFmtId="0" fontId="151" fillId="0" borderId="7" xfId="0" applyFont="1" applyBorder="1" applyAlignment="1" applyProtection="1">
      <alignment horizontal="center" vertical="center" wrapText="1"/>
    </xf>
    <xf numFmtId="3" fontId="151" fillId="0" borderId="7" xfId="0" applyNumberFormat="1" applyFont="1" applyBorder="1" applyAlignment="1" applyProtection="1">
      <alignment horizontal="center" vertical="center"/>
    </xf>
    <xf numFmtId="0" fontId="152" fillId="0" borderId="7" xfId="0" applyFont="1" applyBorder="1" applyAlignment="1" applyProtection="1">
      <alignment horizontal="right" vertical="center"/>
    </xf>
    <xf numFmtId="3" fontId="152" fillId="0" borderId="7" xfId="0" applyNumberFormat="1" applyFont="1" applyBorder="1" applyAlignment="1" applyProtection="1">
      <alignment horizontal="center" vertical="center"/>
    </xf>
    <xf numFmtId="0" fontId="39" fillId="48" borderId="7" xfId="0" applyFont="1" applyFill="1" applyBorder="1" applyAlignment="1" applyProtection="1">
      <alignment horizontal="center" vertical="center"/>
    </xf>
    <xf numFmtId="3" fontId="152" fillId="0" borderId="7" xfId="0" applyNumberFormat="1" applyFont="1" applyBorder="1" applyAlignment="1" applyProtection="1">
      <alignment horizontal="right" vertical="center"/>
    </xf>
    <xf numFmtId="0" fontId="146" fillId="0" borderId="7" xfId="56" applyFont="1" applyBorder="1" applyAlignment="1" applyProtection="1">
      <alignment vertical="center" wrapText="1"/>
    </xf>
    <xf numFmtId="3" fontId="144" fillId="26" borderId="7" xfId="56" applyNumberFormat="1" applyFont="1" applyFill="1" applyBorder="1" applyAlignment="1" applyProtection="1">
      <alignment horizontal="center" vertical="center"/>
    </xf>
    <xf numFmtId="0" fontId="153" fillId="0" borderId="7" xfId="0" applyFont="1" applyBorder="1" applyAlignment="1" applyProtection="1">
      <alignment horizontal="center" vertical="center" wrapText="1"/>
    </xf>
    <xf numFmtId="0" fontId="153" fillId="0" borderId="7" xfId="0" applyFont="1" applyBorder="1" applyAlignment="1" applyProtection="1">
      <alignment horizontal="center" vertical="center"/>
    </xf>
    <xf numFmtId="176" fontId="153" fillId="0" borderId="7" xfId="0" applyNumberFormat="1" applyFont="1" applyBorder="1" applyAlignment="1" applyProtection="1">
      <alignment horizontal="center" vertical="center"/>
    </xf>
    <xf numFmtId="0" fontId="151" fillId="0" borderId="7" xfId="0" applyFont="1" applyBorder="1" applyAlignment="1" applyProtection="1">
      <alignment horizontal="center" vertical="center"/>
    </xf>
    <xf numFmtId="176" fontId="54" fillId="46" borderId="7" xfId="0" applyNumberFormat="1" applyFont="1" applyFill="1" applyBorder="1" applyAlignment="1" applyProtection="1">
      <alignment horizontal="center" vertical="center"/>
    </xf>
    <xf numFmtId="176" fontId="144" fillId="46" borderId="7" xfId="0" applyNumberFormat="1" applyFont="1" applyFill="1" applyBorder="1" applyAlignment="1" applyProtection="1">
      <alignment horizontal="center" vertical="center" wrapText="1"/>
    </xf>
    <xf numFmtId="0" fontId="144" fillId="46" borderId="7" xfId="0" applyFont="1" applyFill="1" applyBorder="1" applyAlignment="1" applyProtection="1">
      <alignment horizontal="center" vertical="center"/>
    </xf>
    <xf numFmtId="2" fontId="54" fillId="46" borderId="7" xfId="0" applyNumberFormat="1" applyFont="1" applyFill="1" applyBorder="1" applyAlignment="1" applyProtection="1">
      <alignment horizontal="center" vertical="center"/>
    </xf>
    <xf numFmtId="2" fontId="144" fillId="46" borderId="7" xfId="0" applyNumberFormat="1" applyFont="1" applyFill="1" applyBorder="1" applyAlignment="1" applyProtection="1">
      <alignment horizontal="center" vertical="center" wrapText="1"/>
    </xf>
    <xf numFmtId="176" fontId="154" fillId="46" borderId="7" xfId="0" applyNumberFormat="1" applyFont="1" applyFill="1" applyBorder="1" applyAlignment="1" applyProtection="1">
      <alignment horizontal="center" vertical="center"/>
    </xf>
    <xf numFmtId="0" fontId="144" fillId="0" borderId="7" xfId="0" applyFont="1" applyBorder="1" applyAlignment="1" applyProtection="1">
      <alignment horizontal="center" vertical="center" wrapText="1"/>
    </xf>
    <xf numFmtId="0" fontId="54" fillId="0" borderId="7" xfId="56" applyFont="1" applyFill="1" applyBorder="1" applyAlignment="1" applyProtection="1">
      <alignment vertical="center" wrapText="1"/>
    </xf>
    <xf numFmtId="0" fontId="54" fillId="0" borderId="7" xfId="0" applyFont="1" applyBorder="1" applyAlignment="1" applyProtection="1">
      <alignment horizontal="center" vertical="center" wrapText="1"/>
    </xf>
    <xf numFmtId="0" fontId="152" fillId="0" borderId="7" xfId="0" applyFont="1" applyBorder="1" applyAlignment="1" applyProtection="1">
      <alignment horizontal="center" vertical="center" wrapText="1"/>
    </xf>
    <xf numFmtId="0" fontId="54" fillId="0" borderId="7" xfId="56" applyFont="1" applyBorder="1" applyAlignment="1" applyProtection="1">
      <alignment vertical="center" wrapText="1"/>
    </xf>
    <xf numFmtId="0" fontId="54" fillId="0" borderId="7" xfId="56" applyFont="1" applyBorder="1" applyAlignment="1" applyProtection="1">
      <alignment horizontal="justify" vertical="center"/>
    </xf>
    <xf numFmtId="3" fontId="54" fillId="26" borderId="7" xfId="56" applyNumberFormat="1" applyFont="1" applyFill="1" applyBorder="1" applyAlignment="1" applyProtection="1">
      <alignment horizontal="center" vertical="center" wrapText="1"/>
    </xf>
    <xf numFmtId="0" fontId="156" fillId="0" borderId="7" xfId="0" applyFont="1" applyBorder="1" applyAlignment="1" applyProtection="1">
      <alignment horizontal="right" vertical="center" wrapText="1"/>
    </xf>
    <xf numFmtId="172" fontId="156" fillId="0" borderId="7" xfId="1" applyNumberFormat="1" applyFont="1" applyBorder="1" applyAlignment="1" applyProtection="1">
      <alignment horizontal="right" vertical="center"/>
    </xf>
    <xf numFmtId="0" fontId="39" fillId="48" borderId="7" xfId="0" applyFont="1" applyFill="1" applyBorder="1" applyAlignment="1" applyProtection="1">
      <alignment horizontal="right" vertical="center"/>
    </xf>
    <xf numFmtId="172" fontId="156" fillId="0" borderId="7" xfId="0" applyNumberFormat="1" applyFont="1" applyBorder="1" applyAlignment="1" applyProtection="1">
      <alignment horizontal="right" vertical="center"/>
    </xf>
    <xf numFmtId="172" fontId="39" fillId="48" borderId="7" xfId="0" applyNumberFormat="1" applyFont="1" applyFill="1" applyBorder="1" applyAlignment="1" applyProtection="1">
      <alignment horizontal="right" vertical="center"/>
    </xf>
    <xf numFmtId="10" fontId="144" fillId="46" borderId="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144" fillId="46" borderId="62" xfId="0" applyFont="1" applyFill="1" applyBorder="1" applyAlignment="1" applyProtection="1">
      <alignment vertical="center"/>
    </xf>
    <xf numFmtId="0" fontId="54" fillId="46" borderId="23" xfId="0" applyFont="1" applyFill="1" applyBorder="1" applyAlignment="1" applyProtection="1">
      <alignment vertical="center" wrapText="1"/>
    </xf>
    <xf numFmtId="0" fontId="149" fillId="46" borderId="23" xfId="0" applyFont="1" applyFill="1" applyBorder="1" applyAlignment="1" applyProtection="1">
      <alignment horizontal="center" vertical="center"/>
    </xf>
    <xf numFmtId="2" fontId="54" fillId="46" borderId="23" xfId="0" applyNumberFormat="1" applyFont="1" applyFill="1" applyBorder="1" applyAlignment="1" applyProtection="1">
      <alignment horizontal="center" vertical="center"/>
    </xf>
    <xf numFmtId="2" fontId="144" fillId="46" borderId="23" xfId="0" applyNumberFormat="1" applyFont="1" applyFill="1" applyBorder="1" applyAlignment="1" applyProtection="1">
      <alignment horizontal="center" vertical="center" wrapText="1"/>
    </xf>
    <xf numFmtId="0" fontId="144" fillId="46" borderId="32" xfId="0" applyFont="1" applyFill="1" applyBorder="1" applyAlignment="1" applyProtection="1">
      <alignment horizontal="center" vertical="center"/>
    </xf>
    <xf numFmtId="0" fontId="54" fillId="37" borderId="7" xfId="0" applyFont="1" applyFill="1" applyBorder="1" applyAlignment="1" applyProtection="1">
      <alignment horizontal="center" vertical="center"/>
    </xf>
    <xf numFmtId="0" fontId="54" fillId="37" borderId="7" xfId="0" applyFont="1" applyFill="1" applyBorder="1" applyAlignment="1" applyProtection="1">
      <alignment horizontal="center" vertical="center" wrapText="1"/>
    </xf>
    <xf numFmtId="10" fontId="54" fillId="46" borderId="7" xfId="1" applyNumberFormat="1" applyFont="1" applyFill="1" applyBorder="1" applyAlignment="1" applyProtection="1">
      <alignment horizontal="center" vertical="center"/>
    </xf>
    <xf numFmtId="0" fontId="145" fillId="0" borderId="7" xfId="0" applyFont="1" applyBorder="1" applyAlignment="1" applyProtection="1">
      <alignment horizontal="center" vertical="center"/>
    </xf>
    <xf numFmtId="0" fontId="145" fillId="0" borderId="7" xfId="0" applyFont="1" applyBorder="1" applyAlignment="1" applyProtection="1">
      <alignment horizontal="center" vertical="center" wrapText="1"/>
    </xf>
    <xf numFmtId="0" fontId="146" fillId="0" borderId="7" xfId="0" applyFont="1" applyBorder="1" applyAlignment="1" applyProtection="1">
      <alignment horizontal="center" vertical="center"/>
    </xf>
    <xf numFmtId="0" fontId="144" fillId="20" borderId="7" xfId="32" applyFont="1" applyFill="1" applyBorder="1" applyAlignment="1" applyProtection="1">
      <alignment horizontal="center" vertical="center" wrapText="1"/>
    </xf>
    <xf numFmtId="0" fontId="157" fillId="0" borderId="7" xfId="0" applyFont="1" applyBorder="1" applyAlignment="1" applyProtection="1">
      <alignment horizontal="center" vertical="center" wrapText="1"/>
    </xf>
    <xf numFmtId="0" fontId="145" fillId="0" borderId="0" xfId="0" applyFont="1" applyProtection="1"/>
    <xf numFmtId="0" fontId="147" fillId="0" borderId="0" xfId="0" applyFont="1" applyAlignment="1" applyProtection="1">
      <alignment wrapText="1"/>
    </xf>
    <xf numFmtId="0" fontId="143" fillId="0" borderId="0" xfId="0" applyFont="1" applyAlignment="1" applyProtection="1">
      <alignment vertical="center"/>
    </xf>
    <xf numFmtId="3" fontId="149" fillId="26" borderId="7" xfId="0" applyNumberFormat="1" applyFont="1" applyFill="1" applyBorder="1" applyAlignment="1" applyProtection="1">
      <alignment horizontal="center" vertical="center" wrapText="1"/>
    </xf>
    <xf numFmtId="3" fontId="54" fillId="26" borderId="7" xfId="0" applyNumberFormat="1" applyFont="1" applyFill="1" applyBorder="1" applyAlignment="1" applyProtection="1">
      <alignment horizontal="center" vertical="center"/>
    </xf>
    <xf numFmtId="0" fontId="46" fillId="0" borderId="7" xfId="0" applyFont="1" applyBorder="1" applyAlignment="1" applyProtection="1">
      <alignment vertical="center"/>
    </xf>
    <xf numFmtId="3" fontId="46" fillId="0" borderId="7" xfId="0" applyNumberFormat="1" applyFont="1" applyBorder="1" applyAlignment="1" applyProtection="1">
      <alignment horizontal="center" vertical="center"/>
    </xf>
    <xf numFmtId="3" fontId="148" fillId="26" borderId="7" xfId="0" applyNumberFormat="1" applyFont="1" applyFill="1" applyBorder="1" applyAlignment="1" applyProtection="1">
      <alignment horizontal="center" vertical="center" wrapText="1"/>
    </xf>
    <xf numFmtId="3" fontId="144" fillId="26" borderId="7" xfId="0" applyNumberFormat="1" applyFont="1" applyFill="1" applyBorder="1" applyAlignment="1" applyProtection="1">
      <alignment horizontal="center" vertical="center"/>
    </xf>
    <xf numFmtId="171" fontId="20" fillId="26" borderId="7" xfId="0" applyNumberFormat="1" applyFont="1" applyFill="1" applyBorder="1" applyAlignment="1" applyProtection="1">
      <alignment horizontal="center" vertical="center"/>
    </xf>
    <xf numFmtId="3" fontId="150" fillId="26" borderId="7" xfId="0" applyNumberFormat="1" applyFont="1" applyFill="1" applyBorder="1" applyAlignment="1" applyProtection="1">
      <alignment horizontal="center" vertical="center" wrapText="1"/>
    </xf>
    <xf numFmtId="3" fontId="35" fillId="26" borderId="113"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wrapText="1"/>
    </xf>
    <xf numFmtId="0" fontId="46" fillId="0" borderId="7" xfId="0" applyFont="1" applyFill="1" applyBorder="1" applyAlignment="1" applyProtection="1">
      <alignment vertical="center"/>
    </xf>
    <xf numFmtId="3" fontId="46" fillId="0" borderId="7" xfId="0" applyNumberFormat="1" applyFont="1" applyFill="1" applyBorder="1" applyAlignment="1" applyProtection="1">
      <alignment horizontal="center" vertical="center"/>
    </xf>
    <xf numFmtId="4" fontId="148" fillId="26" borderId="7" xfId="0" applyNumberFormat="1" applyFont="1" applyFill="1" applyBorder="1" applyAlignment="1" applyProtection="1">
      <alignment horizontal="center" vertical="center" wrapText="1"/>
    </xf>
    <xf numFmtId="4" fontId="144" fillId="26" borderId="7" xfId="0" applyNumberFormat="1" applyFont="1" applyFill="1" applyBorder="1" applyAlignment="1" applyProtection="1">
      <alignment horizontal="center" vertical="center"/>
    </xf>
    <xf numFmtId="0" fontId="44" fillId="0" borderId="7" xfId="0" applyFont="1" applyBorder="1" applyAlignment="1" applyProtection="1">
      <alignment horizontal="left" vertical="center"/>
    </xf>
    <xf numFmtId="0" fontId="44" fillId="0" borderId="7" xfId="0" applyFont="1" applyBorder="1" applyAlignment="1" applyProtection="1">
      <alignment horizontal="left" vertical="center" wrapText="1"/>
    </xf>
    <xf numFmtId="2" fontId="11" fillId="26" borderId="7" xfId="0" applyNumberFormat="1" applyFont="1" applyFill="1" applyBorder="1" applyAlignment="1" applyProtection="1">
      <alignment horizontal="center" vertical="center"/>
    </xf>
    <xf numFmtId="4" fontId="149" fillId="26"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right" vertical="center"/>
    </xf>
    <xf numFmtId="176" fontId="11" fillId="26" borderId="7" xfId="0" applyNumberFormat="1" applyFont="1" applyFill="1" applyBorder="1" applyAlignment="1" applyProtection="1">
      <alignment horizontal="center" vertical="center"/>
    </xf>
    <xf numFmtId="0" fontId="44" fillId="0" borderId="7" xfId="0" applyFont="1" applyFill="1" applyBorder="1" applyAlignment="1" applyProtection="1">
      <alignment horizontal="right" vertical="center"/>
    </xf>
    <xf numFmtId="172" fontId="144" fillId="0" borderId="7" xfId="1" applyNumberFormat="1" applyFont="1" applyBorder="1" applyAlignment="1" applyProtection="1">
      <alignment horizontal="center" vertical="center"/>
    </xf>
    <xf numFmtId="172" fontId="35" fillId="26" borderId="7" xfId="1" applyNumberFormat="1" applyFont="1" applyFill="1" applyBorder="1" applyAlignment="1" applyProtection="1">
      <alignment horizontal="center" vertical="center"/>
    </xf>
    <xf numFmtId="0" fontId="11" fillId="0" borderId="0" xfId="0" applyFont="1" applyBorder="1" applyAlignment="1" applyProtection="1">
      <alignment horizontal="left" vertical="center"/>
    </xf>
    <xf numFmtId="3" fontId="11" fillId="26" borderId="0" xfId="32" applyNumberFormat="1" applyFont="1" applyFill="1" applyBorder="1" applyAlignment="1" applyProtection="1">
      <alignment horizontal="center" vertical="center"/>
    </xf>
    <xf numFmtId="0" fontId="11" fillId="0" borderId="7" xfId="0" applyFont="1" applyBorder="1" applyAlignment="1" applyProtection="1">
      <alignment horizontal="left" vertical="center"/>
    </xf>
    <xf numFmtId="0" fontId="20" fillId="0" borderId="0" xfId="0" applyFont="1" applyBorder="1" applyAlignment="1" applyProtection="1">
      <alignment horizontal="left" vertical="center"/>
    </xf>
    <xf numFmtId="0" fontId="143" fillId="0" borderId="0" xfId="0" applyFont="1" applyAlignment="1" applyProtection="1">
      <alignment horizontal="center" vertical="center"/>
    </xf>
    <xf numFmtId="0" fontId="20" fillId="0" borderId="0" xfId="0" applyFont="1" applyProtection="1"/>
    <xf numFmtId="0" fontId="141" fillId="0" borderId="0" xfId="0" applyFont="1" applyAlignment="1" applyProtection="1">
      <alignment horizontal="right"/>
    </xf>
    <xf numFmtId="0" fontId="144" fillId="37" borderId="7" xfId="32" applyFont="1" applyFill="1" applyBorder="1" applyAlignment="1" applyProtection="1">
      <alignment vertical="center" wrapText="1"/>
    </xf>
    <xf numFmtId="0" fontId="144" fillId="26" borderId="7" xfId="32" applyFont="1" applyFill="1" applyBorder="1" applyAlignment="1" applyProtection="1"/>
    <xf numFmtId="3" fontId="144" fillId="26" borderId="7" xfId="32" applyNumberFormat="1" applyFont="1" applyFill="1" applyBorder="1" applyAlignment="1" applyProtection="1">
      <alignment horizontal="center" vertical="center"/>
    </xf>
    <xf numFmtId="167" fontId="99" fillId="20" borderId="7" xfId="32" applyNumberFormat="1" applyFont="1" applyFill="1" applyBorder="1" applyAlignment="1" applyProtection="1">
      <alignment horizontal="center" vertical="center"/>
    </xf>
    <xf numFmtId="0" fontId="40" fillId="0" borderId="7" xfId="0" applyFont="1" applyBorder="1" applyAlignment="1" applyProtection="1">
      <alignment vertical="center"/>
    </xf>
    <xf numFmtId="0" fontId="144" fillId="22" borderId="7" xfId="32" applyFont="1" applyFill="1" applyBorder="1" applyAlignment="1" applyProtection="1"/>
    <xf numFmtId="3" fontId="144" fillId="22" borderId="7" xfId="32" applyNumberFormat="1" applyFont="1" applyFill="1" applyBorder="1" applyAlignment="1" applyProtection="1">
      <alignment horizontal="center" vertical="center"/>
    </xf>
    <xf numFmtId="167" fontId="99" fillId="0" borderId="7" xfId="32" applyNumberFormat="1" applyFont="1" applyFill="1" applyBorder="1" applyAlignment="1" applyProtection="1">
      <alignment horizontal="center" vertical="center"/>
    </xf>
    <xf numFmtId="0" fontId="39" fillId="27" borderId="7" xfId="32" applyFont="1" applyFill="1" applyBorder="1" applyAlignment="1" applyProtection="1">
      <alignment vertical="center" wrapText="1"/>
    </xf>
    <xf numFmtId="3" fontId="144" fillId="26" borderId="0" xfId="32" applyNumberFormat="1" applyFont="1" applyFill="1" applyBorder="1" applyAlignment="1" applyProtection="1">
      <alignment horizontal="center"/>
    </xf>
    <xf numFmtId="3" fontId="99" fillId="0" borderId="7" xfId="32" applyNumberFormat="1" applyFont="1" applyFill="1" applyBorder="1" applyAlignment="1" applyProtection="1">
      <alignment horizontal="center" vertical="center" wrapText="1"/>
    </xf>
    <xf numFmtId="0" fontId="39" fillId="22" borderId="7" xfId="32" applyFont="1" applyFill="1" applyBorder="1" applyAlignment="1" applyProtection="1">
      <alignment vertical="center" wrapText="1"/>
    </xf>
    <xf numFmtId="0" fontId="144" fillId="0" borderId="7" xfId="0" applyFont="1" applyBorder="1" applyAlignment="1" applyProtection="1">
      <alignment vertical="center" wrapText="1"/>
    </xf>
    <xf numFmtId="10" fontId="144" fillId="0" borderId="7" xfId="0" applyNumberFormat="1" applyFont="1" applyBorder="1" applyAlignment="1" applyProtection="1">
      <alignment horizontal="center" vertical="center"/>
    </xf>
    <xf numFmtId="0" fontId="144" fillId="22" borderId="7" xfId="0" applyFont="1" applyFill="1" applyBorder="1" applyAlignment="1" applyProtection="1">
      <alignment vertical="center" wrapText="1"/>
    </xf>
    <xf numFmtId="0" fontId="144" fillId="22" borderId="7" xfId="0" applyFont="1" applyFill="1" applyBorder="1" applyAlignment="1" applyProtection="1">
      <alignment horizontal="center" vertical="center" wrapText="1"/>
    </xf>
    <xf numFmtId="10" fontId="144" fillId="22" borderId="7" xfId="0" applyNumberFormat="1" applyFont="1" applyFill="1" applyBorder="1" applyAlignment="1" applyProtection="1">
      <alignment horizontal="center" vertical="center"/>
    </xf>
    <xf numFmtId="0" fontId="54" fillId="0" borderId="7" xfId="0" applyFont="1" applyBorder="1" applyAlignment="1" applyProtection="1">
      <alignment vertical="center" wrapText="1"/>
    </xf>
    <xf numFmtId="3" fontId="54" fillId="0" borderId="7" xfId="0" applyNumberFormat="1" applyFont="1" applyBorder="1" applyAlignment="1" applyProtection="1">
      <alignment horizontal="center" vertical="center"/>
    </xf>
    <xf numFmtId="0" fontId="42" fillId="27" borderId="7" xfId="0" applyFont="1" applyFill="1" applyBorder="1" applyAlignment="1" applyProtection="1">
      <alignment horizontal="center" vertical="center"/>
    </xf>
    <xf numFmtId="2" fontId="42" fillId="27" borderId="7" xfId="0" applyNumberFormat="1" applyFont="1" applyFill="1" applyBorder="1" applyAlignment="1" applyProtection="1">
      <alignment horizontal="center" vertical="center"/>
    </xf>
    <xf numFmtId="0" fontId="42" fillId="27" borderId="62" xfId="0" applyFont="1" applyFill="1" applyBorder="1" applyAlignment="1" applyProtection="1">
      <alignment horizontal="right"/>
    </xf>
    <xf numFmtId="0" fontId="41" fillId="27" borderId="7" xfId="0" applyFont="1" applyFill="1" applyBorder="1" applyAlignment="1" applyProtection="1">
      <alignment horizontal="center" vertical="center" wrapText="1"/>
    </xf>
    <xf numFmtId="0" fontId="41" fillId="27" borderId="7" xfId="0" applyFont="1" applyFill="1" applyBorder="1" applyAlignment="1" applyProtection="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pplyProtection="1">
      <alignment horizontal="center" vertical="center"/>
    </xf>
    <xf numFmtId="4" fontId="11" fillId="26" borderId="32" xfId="32" applyNumberFormat="1" applyFont="1" applyFill="1" applyBorder="1" applyAlignment="1" applyProtection="1">
      <alignment horizontal="center" vertical="center"/>
    </xf>
    <xf numFmtId="4" fontId="11" fillId="26" borderId="79" xfId="32" applyNumberFormat="1" applyFont="1" applyFill="1" applyBorder="1" applyAlignment="1" applyProtection="1">
      <alignment horizontal="center" vertical="center"/>
    </xf>
    <xf numFmtId="0" fontId="40" fillId="0" borderId="51" xfId="0" applyFont="1" applyBorder="1" applyAlignment="1" applyProtection="1">
      <alignment horizontal="center"/>
    </xf>
    <xf numFmtId="0" fontId="40" fillId="0" borderId="17" xfId="0" applyFont="1" applyBorder="1" applyAlignment="1" applyProtection="1">
      <alignment horizontal="center"/>
    </xf>
    <xf numFmtId="0" fontId="40" fillId="0" borderId="21" xfId="0" applyFont="1" applyBorder="1" applyAlignment="1" applyProtection="1">
      <alignment horizontal="center"/>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46" fillId="0" borderId="52" xfId="0" applyNumberFormat="1" applyFont="1" applyBorder="1" applyAlignment="1" applyProtection="1">
      <alignment horizontal="center" vertical="center" wrapText="1"/>
    </xf>
    <xf numFmtId="0" fontId="46" fillId="0" borderId="56" xfId="0" applyNumberFormat="1" applyFont="1" applyBorder="1" applyAlignment="1" applyProtection="1">
      <alignment horizontal="center" vertical="center" wrapText="1"/>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pplyProtection="1">
      <alignment horizontal="center" vertical="center"/>
    </xf>
    <xf numFmtId="1" fontId="40" fillId="27" borderId="5" xfId="49" applyNumberFormat="1" applyFont="1" applyFill="1" applyBorder="1" applyAlignment="1" applyProtection="1">
      <alignment horizontal="center" vertical="center"/>
    </xf>
    <xf numFmtId="1" fontId="40" fillId="26" borderId="5" xfId="49" applyNumberFormat="1" applyFont="1" applyFill="1" applyBorder="1" applyAlignment="1" applyProtection="1">
      <alignment horizontal="center" vertical="center"/>
    </xf>
    <xf numFmtId="1" fontId="39" fillId="26" borderId="17"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11" fillId="26" borderId="17"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39" fillId="26" borderId="24" xfId="49" applyNumberFormat="1" applyFont="1" applyFill="1" applyBorder="1" applyAlignment="1" applyProtection="1">
      <alignment horizontal="center" vertical="center"/>
    </xf>
    <xf numFmtId="1" fontId="11" fillId="26" borderId="24" xfId="49" applyNumberFormat="1" applyFont="1" applyFill="1" applyBorder="1" applyAlignment="1" applyProtection="1">
      <alignment horizontal="center" vertical="center"/>
    </xf>
    <xf numFmtId="1" fontId="39" fillId="27" borderId="30" xfId="49" applyNumberFormat="1" applyFont="1" applyFill="1" applyBorder="1" applyAlignment="1" applyProtection="1">
      <alignment horizontal="center" vertical="center"/>
    </xf>
    <xf numFmtId="1" fontId="39" fillId="24" borderId="1" xfId="49" applyNumberFormat="1" applyFont="1" applyFill="1" applyBorder="1" applyAlignment="1" applyProtection="1">
      <alignment horizontal="left" vertical="center"/>
    </xf>
    <xf numFmtId="1" fontId="39" fillId="27" borderId="5" xfId="49" applyNumberFormat="1" applyFont="1" applyFill="1" applyBorder="1" applyAlignment="1" applyProtection="1">
      <alignment horizontal="center" vertical="center"/>
    </xf>
    <xf numFmtId="1" fontId="39" fillId="27" borderId="17"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39" fillId="27" borderId="24" xfId="49" applyNumberFormat="1" applyFont="1" applyFill="1" applyBorder="1" applyAlignment="1" applyProtection="1">
      <alignment horizontal="center" vertical="center"/>
    </xf>
    <xf numFmtId="1" fontId="39" fillId="0" borderId="24" xfId="49" applyNumberFormat="1" applyFont="1" applyFill="1" applyBorder="1" applyAlignment="1" applyProtection="1">
      <alignment horizontal="center" vertical="center"/>
    </xf>
    <xf numFmtId="3" fontId="41" fillId="0" borderId="17" xfId="49" applyNumberFormat="1" applyFont="1" applyFill="1" applyBorder="1" applyAlignment="1" applyProtection="1">
      <alignment horizontal="center" vertical="center"/>
    </xf>
    <xf numFmtId="1" fontId="41" fillId="0" borderId="17" xfId="49" applyNumberFormat="1" applyFont="1" applyFill="1" applyBorder="1" applyAlignment="1" applyProtection="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Fill="1" applyBorder="1" applyAlignment="1" applyProtection="1">
      <alignment horizontal="right" wrapText="1"/>
    </xf>
    <xf numFmtId="3" fontId="41" fillId="0" borderId="6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0" fontId="98" fillId="0" borderId="0" xfId="49" applyFont="1" applyFill="1"/>
    <xf numFmtId="0" fontId="39" fillId="39" borderId="60" xfId="32" applyFont="1" applyFill="1" applyBorder="1" applyAlignment="1" applyProtection="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pplyProtection="1">
      <alignment horizontal="center" vertical="center"/>
    </xf>
    <xf numFmtId="3" fontId="39" fillId="31" borderId="59" xfId="32" applyNumberFormat="1" applyFont="1" applyFill="1" applyBorder="1" applyAlignment="1" applyProtection="1">
      <alignment horizontal="left" vertical="center" wrapText="1"/>
    </xf>
    <xf numFmtId="3" fontId="39" fillId="31" borderId="40" xfId="32" applyNumberFormat="1" applyFont="1" applyFill="1" applyBorder="1" applyAlignment="1" applyProtection="1">
      <alignment horizontal="center" vertical="center"/>
    </xf>
    <xf numFmtId="3" fontId="39" fillId="31" borderId="41" xfId="32" applyNumberFormat="1" applyFont="1" applyFill="1" applyBorder="1" applyAlignment="1" applyProtection="1">
      <alignment horizontal="center" vertical="center"/>
    </xf>
    <xf numFmtId="3" fontId="40" fillId="31" borderId="134" xfId="32" applyNumberFormat="1" applyFont="1" applyFill="1" applyBorder="1" applyAlignment="1" applyProtection="1">
      <alignment horizontal="center" vertical="center"/>
    </xf>
    <xf numFmtId="3" fontId="40" fillId="31" borderId="138" xfId="32" applyNumberFormat="1" applyFont="1" applyFill="1" applyBorder="1" applyAlignment="1" applyProtection="1">
      <alignment horizontal="center" vertical="center"/>
    </xf>
    <xf numFmtId="3" fontId="40" fillId="31" borderId="139" xfId="32" applyNumberFormat="1" applyFont="1" applyFill="1" applyBorder="1" applyAlignment="1" applyProtection="1">
      <alignment horizontal="center" vertical="center"/>
    </xf>
    <xf numFmtId="0" fontId="40" fillId="26" borderId="1" xfId="32" applyFont="1" applyFill="1" applyBorder="1" applyAlignment="1" applyProtection="1">
      <alignment horizontal="center" vertical="center"/>
    </xf>
    <xf numFmtId="0" fontId="95" fillId="20" borderId="10" xfId="88" applyFont="1" applyFill="1" applyBorder="1" applyAlignment="1" applyProtection="1">
      <alignment horizontal="right" vertical="center" wrapText="1"/>
    </xf>
    <xf numFmtId="3" fontId="39" fillId="26" borderId="38" xfId="32" applyNumberFormat="1" applyFont="1" applyFill="1" applyBorder="1" applyAlignment="1" applyProtection="1">
      <alignment horizontal="center" vertical="center"/>
    </xf>
    <xf numFmtId="10" fontId="95" fillId="26" borderId="9" xfId="70" applyNumberFormat="1" applyFont="1" applyFill="1" applyBorder="1" applyAlignment="1" applyProtection="1">
      <alignment horizontal="center" vertical="center" wrapText="1"/>
    </xf>
    <xf numFmtId="10" fontId="95"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pplyProtection="1">
      <alignment horizontal="center" vertical="center"/>
    </xf>
    <xf numFmtId="3" fontId="40" fillId="26" borderId="144" xfId="32" applyNumberFormat="1" applyFont="1" applyFill="1" applyBorder="1" applyAlignment="1" applyProtection="1">
      <alignment horizontal="center" vertical="center"/>
    </xf>
    <xf numFmtId="3" fontId="40" fillId="26" borderId="145" xfId="32" applyNumberFormat="1" applyFont="1" applyFill="1" applyBorder="1" applyAlignment="1" applyProtection="1">
      <alignment horizontal="center" vertical="center"/>
    </xf>
    <xf numFmtId="3" fontId="40" fillId="26" borderId="143" xfId="32" applyNumberFormat="1" applyFont="1" applyFill="1" applyBorder="1" applyAlignment="1" applyProtection="1">
      <alignment horizontal="center" vertical="center"/>
    </xf>
    <xf numFmtId="3" fontId="39" fillId="31" borderId="42" xfId="32" applyNumberFormat="1" applyFont="1" applyFill="1" applyBorder="1" applyAlignment="1" applyProtection="1">
      <alignment vertical="center"/>
    </xf>
    <xf numFmtId="3" fontId="39" fillId="31" borderId="0" xfId="32" applyNumberFormat="1" applyFont="1" applyFill="1" applyBorder="1" applyAlignment="1" applyProtection="1">
      <alignment vertical="center"/>
    </xf>
    <xf numFmtId="3" fontId="39" fillId="31" borderId="16" xfId="32" applyNumberFormat="1" applyFont="1" applyFill="1" applyBorder="1" applyAlignment="1" applyProtection="1">
      <alignment vertical="center"/>
    </xf>
    <xf numFmtId="3" fontId="40" fillId="26" borderId="146" xfId="32" applyNumberFormat="1" applyFont="1" applyFill="1" applyBorder="1" applyAlignment="1" applyProtection="1">
      <alignment horizontal="center" vertical="center"/>
    </xf>
    <xf numFmtId="0" fontId="95" fillId="20" borderId="67" xfId="88" applyFont="1" applyFill="1" applyBorder="1" applyAlignment="1" applyProtection="1">
      <alignment horizontal="right" vertical="center" wrapText="1"/>
    </xf>
    <xf numFmtId="10" fontId="95" fillId="26" borderId="7" xfId="70" applyNumberFormat="1" applyFont="1" applyFill="1" applyBorder="1" applyAlignment="1" applyProtection="1">
      <alignment horizontal="center" vertical="center" wrapText="1"/>
    </xf>
    <xf numFmtId="10" fontId="95"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pplyProtection="1">
      <alignment horizontal="center" vertical="center"/>
    </xf>
    <xf numFmtId="0" fontId="95" fillId="20" borderId="62" xfId="88" applyFont="1" applyFill="1" applyBorder="1" applyAlignment="1" applyProtection="1">
      <alignment horizontal="right" vertical="center" wrapText="1"/>
    </xf>
    <xf numFmtId="3" fontId="41" fillId="26" borderId="52" xfId="32" applyNumberFormat="1" applyFont="1" applyFill="1" applyBorder="1" applyAlignment="1" applyProtection="1">
      <alignment horizontal="center" vertical="center"/>
    </xf>
    <xf numFmtId="3" fontId="40" fillId="26" borderId="147" xfId="32" applyNumberFormat="1" applyFont="1" applyFill="1" applyBorder="1" applyAlignment="1" applyProtection="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pplyProtection="1">
      <alignment horizontal="center" vertical="center"/>
    </xf>
    <xf numFmtId="3" fontId="40" fillId="31" borderId="114" xfId="32" applyNumberFormat="1" applyFont="1" applyFill="1" applyBorder="1" applyAlignment="1" applyProtection="1">
      <alignment horizontal="center" vertical="center"/>
    </xf>
    <xf numFmtId="3" fontId="40" fillId="31" borderId="94" xfId="32" applyNumberFormat="1" applyFont="1" applyFill="1" applyBorder="1" applyAlignment="1" applyProtection="1">
      <alignment horizontal="center" vertical="center"/>
    </xf>
    <xf numFmtId="3" fontId="39" fillId="31" borderId="1" xfId="32" applyNumberFormat="1" applyFont="1" applyFill="1" applyBorder="1" applyAlignment="1" applyProtection="1">
      <alignment vertical="center"/>
    </xf>
    <xf numFmtId="3" fontId="39" fillId="31" borderId="11" xfId="32" applyNumberFormat="1" applyFont="1" applyFill="1" applyBorder="1" applyAlignment="1" applyProtection="1">
      <alignment vertical="center"/>
    </xf>
    <xf numFmtId="3" fontId="39" fillId="31" borderId="41" xfId="32" applyNumberFormat="1" applyFont="1" applyFill="1" applyBorder="1" applyAlignment="1" applyProtection="1">
      <alignment vertical="center"/>
    </xf>
    <xf numFmtId="3" fontId="40" fillId="26" borderId="148" xfId="32" applyNumberFormat="1" applyFont="1" applyFill="1" applyBorder="1" applyAlignment="1" applyProtection="1">
      <alignment horizontal="center" vertical="center"/>
    </xf>
    <xf numFmtId="3" fontId="39" fillId="39" borderId="60" xfId="32" applyNumberFormat="1" applyFont="1" applyFill="1" applyBorder="1" applyAlignment="1" applyProtection="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pplyProtection="1">
      <alignment horizontal="center" vertical="center"/>
    </xf>
    <xf numFmtId="3" fontId="40" fillId="26" borderId="149" xfId="32" applyNumberFormat="1" applyFont="1" applyFill="1" applyBorder="1" applyAlignment="1" applyProtection="1">
      <alignment horizontal="center" vertical="center"/>
    </xf>
    <xf numFmtId="3" fontId="40" fillId="26" borderId="150" xfId="32" applyNumberFormat="1" applyFont="1" applyFill="1" applyBorder="1" applyAlignment="1" applyProtection="1">
      <alignment horizontal="center" vertical="center"/>
    </xf>
    <xf numFmtId="3" fontId="39" fillId="39" borderId="101" xfId="32" applyNumberFormat="1" applyFont="1" applyFill="1" applyBorder="1" applyAlignment="1" applyProtection="1">
      <alignment vertical="center" wrapText="1"/>
    </xf>
    <xf numFmtId="0" fontId="41" fillId="27" borderId="66" xfId="32" applyFont="1" applyFill="1" applyBorder="1" applyAlignment="1" applyProtection="1">
      <alignment horizontal="center" vertical="center"/>
    </xf>
    <xf numFmtId="3" fontId="41" fillId="0" borderId="33" xfId="32" applyNumberFormat="1" applyFont="1" applyFill="1" applyBorder="1" applyAlignment="1" applyProtection="1">
      <alignment horizontal="left" vertical="center" wrapText="1"/>
    </xf>
    <xf numFmtId="3" fontId="41" fillId="0" borderId="23" xfId="32" applyNumberFormat="1" applyFont="1" applyFill="1" applyBorder="1" applyAlignment="1" applyProtection="1">
      <alignment horizontal="left" vertical="center" wrapText="1"/>
    </xf>
    <xf numFmtId="0" fontId="41" fillId="27" borderId="25" xfId="32"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wrapText="1"/>
    </xf>
    <xf numFmtId="3" fontId="41" fillId="26" borderId="15" xfId="49" applyNumberFormat="1" applyFont="1" applyFill="1" applyBorder="1" applyAlignment="1" applyProtection="1">
      <alignment horizontal="center" vertical="center" wrapText="1"/>
    </xf>
    <xf numFmtId="3" fontId="40" fillId="0" borderId="63" xfId="49" applyNumberFormat="1" applyFont="1" applyFill="1" applyBorder="1" applyAlignment="1" applyProtection="1">
      <alignment horizontal="center" vertical="center" wrapText="1"/>
    </xf>
    <xf numFmtId="0" fontId="95" fillId="20" borderId="26" xfId="88" applyFont="1" applyFill="1" applyBorder="1" applyAlignment="1" applyProtection="1">
      <alignment horizontal="center" vertical="center" wrapText="1"/>
    </xf>
    <xf numFmtId="0" fontId="95" fillId="20" borderId="16" xfId="88" applyFont="1" applyFill="1" applyBorder="1" applyAlignment="1" applyProtection="1">
      <alignment horizontal="center" vertical="center" wrapText="1"/>
    </xf>
    <xf numFmtId="3" fontId="41" fillId="26" borderId="15" xfId="32" applyNumberFormat="1" applyFont="1" applyFill="1" applyBorder="1" applyAlignment="1" applyProtection="1">
      <alignment horizontal="center" vertical="center"/>
    </xf>
    <xf numFmtId="0" fontId="95" fillId="20" borderId="68" xfId="88" applyFont="1" applyFill="1" applyBorder="1" applyAlignment="1" applyProtection="1">
      <alignment horizontal="right" vertical="center" wrapText="1"/>
    </xf>
    <xf numFmtId="0" fontId="95" fillId="20" borderId="17" xfId="88" applyFont="1" applyFill="1" applyBorder="1" applyAlignment="1" applyProtection="1">
      <alignment horizontal="center" vertical="center" wrapText="1"/>
    </xf>
    <xf numFmtId="0" fontId="95" fillId="20" borderId="2" xfId="88" applyFont="1" applyFill="1" applyBorder="1" applyAlignment="1" applyProtection="1">
      <alignment horizontal="center" vertical="center" wrapText="1"/>
    </xf>
    <xf numFmtId="3" fontId="39" fillId="48" borderId="7" xfId="0" applyNumberFormat="1" applyFont="1" applyFill="1" applyBorder="1" applyAlignment="1" applyProtection="1">
      <alignment horizontal="center" vertical="center"/>
    </xf>
    <xf numFmtId="3" fontId="144" fillId="0" borderId="7" xfId="0" applyNumberFormat="1" applyFont="1" applyBorder="1" applyAlignment="1" applyProtection="1">
      <alignment horizontal="center" vertical="center"/>
    </xf>
    <xf numFmtId="9" fontId="40" fillId="26" borderId="99" xfId="1" applyFont="1" applyFill="1" applyBorder="1" applyAlignment="1" applyProtection="1">
      <alignment horizontal="center" vertical="center"/>
    </xf>
    <xf numFmtId="3" fontId="40" fillId="31" borderId="144" xfId="32" applyNumberFormat="1" applyFont="1" applyFill="1" applyBorder="1" applyAlignment="1" applyProtection="1">
      <alignment horizontal="center" vertical="center"/>
    </xf>
    <xf numFmtId="3" fontId="40" fillId="31" borderId="145" xfId="32" applyNumberFormat="1" applyFont="1" applyFill="1" applyBorder="1" applyAlignment="1" applyProtection="1">
      <alignment horizontal="center" vertical="center"/>
    </xf>
    <xf numFmtId="3" fontId="40" fillId="31" borderId="143" xfId="32" applyNumberFormat="1" applyFont="1" applyFill="1" applyBorder="1" applyAlignment="1" applyProtection="1">
      <alignment horizontal="center" vertical="center"/>
    </xf>
    <xf numFmtId="3" fontId="41" fillId="26" borderId="36"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1" fillId="26" borderId="22" xfId="32" applyNumberFormat="1" applyFont="1" applyFill="1" applyBorder="1" applyAlignment="1" applyProtection="1">
      <alignment horizontal="center" vertical="center"/>
    </xf>
    <xf numFmtId="0" fontId="95" fillId="20" borderId="0" xfId="88" applyFont="1" applyFill="1" applyBorder="1" applyAlignment="1" applyProtection="1">
      <alignment horizontal="center" vertical="center" wrapText="1"/>
    </xf>
    <xf numFmtId="3" fontId="41" fillId="26" borderId="23" xfId="32" applyNumberFormat="1" applyFont="1" applyFill="1" applyBorder="1" applyAlignment="1" applyProtection="1">
      <alignment horizontal="center" vertical="center"/>
    </xf>
    <xf numFmtId="3" fontId="41" fillId="26" borderId="37" xfId="32"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32" xfId="0" applyNumberFormat="1" applyFont="1" applyFill="1" applyBorder="1" applyAlignment="1" applyProtection="1">
      <alignment horizontal="center" vertical="center"/>
    </xf>
    <xf numFmtId="49" fontId="33" fillId="0" borderId="39" xfId="31" applyNumberFormat="1" applyFont="1" applyFill="1" applyBorder="1" applyAlignment="1" applyProtection="1">
      <alignment horizontal="center" vertical="center"/>
    </xf>
    <xf numFmtId="0" fontId="11" fillId="27" borderId="39" xfId="31" applyFont="1" applyFill="1" applyBorder="1" applyAlignment="1" applyProtection="1">
      <alignment horizontal="right" vertical="center"/>
    </xf>
    <xf numFmtId="0" fontId="85"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26" xfId="32" applyNumberFormat="1" applyFont="1" applyFill="1" applyBorder="1" applyAlignment="1" applyProtection="1">
      <alignment horizontal="left" vertical="center"/>
    </xf>
    <xf numFmtId="49" fontId="68" fillId="20" borderId="35" xfId="32" applyNumberFormat="1" applyFont="1" applyFill="1" applyBorder="1" applyAlignment="1" applyProtection="1">
      <alignment horizontal="left" vertical="center"/>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pplyProtection="1">
      <alignment horizontal="center" vertical="center" wrapText="1"/>
    </xf>
    <xf numFmtId="0" fontId="19" fillId="0" borderId="0" xfId="0" applyFont="1" applyFill="1" applyAlignment="1" applyProtection="1">
      <alignment horizontal="center" vertical="center" wrapText="1"/>
    </xf>
    <xf numFmtId="0" fontId="11" fillId="0" borderId="35"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19" fillId="27" borderId="0" xfId="32" applyFont="1" applyFill="1" applyBorder="1" applyAlignment="1" applyProtection="1">
      <alignment horizontal="center" vertical="center" wrapText="1"/>
    </xf>
    <xf numFmtId="0" fontId="42" fillId="26" borderId="0" xfId="0" applyFont="1" applyFill="1" applyAlignment="1" applyProtection="1">
      <alignment vertical="center"/>
    </xf>
    <xf numFmtId="0" fontId="20" fillId="0" borderId="0" xfId="0" applyFont="1" applyAlignment="1" applyProtection="1">
      <alignment horizontal="left" vertical="center"/>
    </xf>
    <xf numFmtId="0" fontId="42" fillId="27" borderId="0" xfId="0" applyFont="1" applyFill="1" applyAlignment="1" applyProtection="1"/>
    <xf numFmtId="0" fontId="83" fillId="26" borderId="0" xfId="0" applyFont="1" applyFill="1" applyAlignment="1" applyProtection="1">
      <alignment horizontal="left" vertical="center" wrapText="1"/>
    </xf>
    <xf numFmtId="0" fontId="14" fillId="27" borderId="0" xfId="32" applyFont="1" applyFill="1" applyAlignment="1" applyProtection="1">
      <alignment horizontal="center" vertical="center" wrapText="1"/>
    </xf>
    <xf numFmtId="0" fontId="19" fillId="27" borderId="0" xfId="32" applyFont="1" applyFill="1" applyAlignment="1" applyProtection="1">
      <alignment horizontal="center" vertical="center" wrapText="1"/>
    </xf>
    <xf numFmtId="0" fontId="42" fillId="27" borderId="0" xfId="32" applyFont="1" applyFill="1" applyAlignment="1" applyProtection="1">
      <alignment vertical="center" wrapText="1"/>
    </xf>
    <xf numFmtId="0" fontId="42" fillId="27" borderId="0" xfId="32" applyFont="1" applyFill="1" applyAlignment="1" applyProtection="1">
      <alignment vertical="center"/>
    </xf>
    <xf numFmtId="0" fontId="76" fillId="27" borderId="0" xfId="32" applyFont="1" applyFill="1" applyAlignment="1" applyProtection="1">
      <alignment horizontal="center" vertical="center" wrapText="1"/>
    </xf>
    <xf numFmtId="0" fontId="80"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12" fillId="27" borderId="0" xfId="32" applyFont="1" applyFill="1" applyBorder="1" applyAlignment="1" applyProtection="1">
      <alignment horizontal="right"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49" fontId="11" fillId="0" borderId="75" xfId="31" applyNumberFormat="1" applyFont="1" applyFill="1" applyBorder="1" applyAlignment="1" applyProtection="1">
      <alignment horizontal="center" vertical="center"/>
    </xf>
    <xf numFmtId="0" fontId="42" fillId="26" borderId="0" xfId="0" applyFont="1" applyFill="1" applyAlignment="1" applyProtection="1">
      <alignment vertical="center"/>
    </xf>
    <xf numFmtId="0" fontId="42" fillId="0" borderId="0" xfId="0" applyFont="1" applyFill="1" applyAlignment="1" applyProtection="1">
      <alignment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24" borderId="1"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49" fontId="68" fillId="0" borderId="0" xfId="32" applyNumberFormat="1" applyFont="1" applyBorder="1" applyAlignment="1" applyProtection="1">
      <alignment vertical="center"/>
    </xf>
    <xf numFmtId="0" fontId="68" fillId="0" borderId="0" xfId="32" applyNumberFormat="1" applyFont="1" applyBorder="1" applyAlignment="1" applyProtection="1">
      <alignment vertical="center"/>
    </xf>
    <xf numFmtId="0" fontId="71" fillId="0" borderId="0" xfId="32" applyFont="1" applyProtection="1"/>
    <xf numFmtId="0" fontId="39" fillId="0" borderId="0" xfId="0" applyFont="1" applyProtection="1"/>
    <xf numFmtId="0" fontId="41" fillId="0" borderId="0" xfId="0" applyFont="1" applyAlignment="1" applyProtection="1"/>
    <xf numFmtId="3" fontId="39" fillId="0" borderId="0" xfId="0" applyNumberFormat="1" applyFont="1" applyProtection="1"/>
    <xf numFmtId="49" fontId="69" fillId="27" borderId="25" xfId="0" applyNumberFormat="1" applyFont="1" applyFill="1" applyBorder="1" applyAlignment="1" applyProtection="1">
      <alignment horizontal="left" vertical="center"/>
    </xf>
    <xf numFmtId="0" fontId="11" fillId="27" borderId="0" xfId="31" applyFont="1" applyFill="1" applyProtection="1"/>
    <xf numFmtId="0" fontId="31" fillId="27" borderId="27" xfId="31" applyFont="1" applyFill="1" applyBorder="1" applyAlignment="1" applyProtection="1">
      <alignment horizontal="center" vertical="center"/>
    </xf>
    <xf numFmtId="0" fontId="11" fillId="27" borderId="16" xfId="31" applyFont="1" applyFill="1" applyBorder="1" applyProtection="1"/>
    <xf numFmtId="0" fontId="11" fillId="27" borderId="0" xfId="0" applyFont="1" applyFill="1" applyAlignment="1" applyProtection="1"/>
    <xf numFmtId="0" fontId="11" fillId="27" borderId="0" xfId="0" applyNumberFormat="1" applyFont="1" applyFill="1" applyAlignment="1" applyProtection="1">
      <alignment horizontal="left"/>
    </xf>
    <xf numFmtId="0" fontId="15" fillId="0" borderId="0" xfId="0" applyFont="1" applyAlignment="1" applyProtection="1">
      <alignment vertical="center"/>
    </xf>
    <xf numFmtId="0" fontId="18" fillId="0" borderId="0" xfId="0" applyFont="1" applyFill="1" applyAlignment="1" applyProtection="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pplyProtection="1">
      <alignment vertical="center"/>
    </xf>
    <xf numFmtId="0" fontId="69" fillId="27" borderId="0" xfId="32" applyFont="1" applyFill="1" applyAlignment="1" applyProtection="1">
      <alignment vertical="center"/>
    </xf>
    <xf numFmtId="0" fontId="33" fillId="27" borderId="0" xfId="32" applyFont="1" applyFill="1" applyAlignment="1" applyProtection="1">
      <alignment horizontal="center" vertical="center"/>
    </xf>
    <xf numFmtId="0" fontId="69" fillId="27" borderId="0" xfId="32" applyFont="1" applyFill="1" applyAlignment="1" applyProtection="1">
      <alignment horizontal="center" vertical="center"/>
    </xf>
    <xf numFmtId="0" fontId="69" fillId="27" borderId="0" xfId="32" applyNumberFormat="1" applyFont="1" applyFill="1" applyAlignment="1" applyProtection="1">
      <alignment horizontal="center" vertical="center"/>
    </xf>
    <xf numFmtId="49" fontId="69" fillId="27" borderId="0" xfId="32" applyNumberFormat="1" applyFont="1" applyFill="1" applyAlignment="1" applyProtection="1">
      <alignment horizontal="center" vertical="center"/>
    </xf>
    <xf numFmtId="0" fontId="71" fillId="27" borderId="0" xfId="32" applyNumberFormat="1" applyFont="1" applyFill="1" applyAlignment="1" applyProtection="1">
      <alignment horizontal="center" vertical="center"/>
    </xf>
    <xf numFmtId="0" fontId="47" fillId="27" borderId="0" xfId="0" applyFont="1" applyFill="1" applyAlignment="1" applyProtection="1">
      <alignment vertical="center"/>
    </xf>
    <xf numFmtId="0" fontId="47" fillId="27" borderId="0" xfId="0" applyFont="1" applyFill="1" applyAlignment="1" applyProtection="1">
      <alignment horizontal="center" vertical="center"/>
    </xf>
    <xf numFmtId="0" fontId="12" fillId="0" borderId="0" xfId="0" applyFont="1" applyAlignment="1" applyProtection="1">
      <alignment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pplyProtection="1">
      <alignment vertical="center"/>
    </xf>
    <xf numFmtId="176"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1" fontId="11" fillId="21" borderId="83" xfId="70" applyNumberFormat="1" applyFont="1" applyFill="1" applyBorder="1" applyAlignment="1" applyProtection="1">
      <alignment horizontal="center" vertical="center"/>
    </xf>
    <xf numFmtId="171" fontId="11" fillId="21" borderId="12" xfId="70" applyNumberFormat="1" applyFont="1" applyFill="1" applyBorder="1" applyAlignment="1" applyProtection="1">
      <alignment horizontal="center" vertical="center"/>
    </xf>
    <xf numFmtId="176"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56" fillId="27" borderId="0" xfId="52" applyFont="1" applyFill="1" applyBorder="1" applyAlignment="1" applyProtection="1">
      <alignment vertical="center"/>
    </xf>
    <xf numFmtId="0" fontId="64" fillId="27" borderId="0" xfId="32" applyFont="1" applyFill="1" applyBorder="1" applyAlignment="1" applyProtection="1">
      <alignment horizontal="center" vertical="center"/>
    </xf>
    <xf numFmtId="0" fontId="64" fillId="27" borderId="0" xfId="32" applyFont="1" applyFill="1" applyAlignment="1" applyProtection="1">
      <alignment horizontal="center" vertical="center"/>
    </xf>
    <xf numFmtId="0" fontId="56" fillId="20" borderId="0" xfId="52" applyFont="1" applyFill="1" applyBorder="1" applyAlignment="1" applyProtection="1">
      <alignment vertical="center"/>
    </xf>
    <xf numFmtId="3" fontId="56" fillId="0" borderId="15" xfId="52" applyNumberFormat="1" applyFont="1" applyFill="1" applyBorder="1" applyAlignment="1" applyProtection="1">
      <alignment horizontal="center" vertical="center"/>
    </xf>
    <xf numFmtId="3" fontId="56" fillId="26" borderId="0" xfId="52" applyNumberFormat="1" applyFont="1" applyFill="1" applyAlignment="1" applyProtection="1">
      <alignment vertical="center"/>
    </xf>
    <xf numFmtId="0" fontId="56" fillId="26" borderId="0" xfId="52" applyFont="1" applyFill="1" applyAlignment="1" applyProtection="1">
      <alignment vertical="center"/>
    </xf>
    <xf numFmtId="3" fontId="56" fillId="27" borderId="0" xfId="52" applyNumberFormat="1" applyFont="1" applyFill="1" applyBorder="1" applyAlignment="1" applyProtection="1">
      <alignment vertical="center"/>
    </xf>
    <xf numFmtId="10" fontId="56" fillId="27" borderId="0" xfId="52" applyNumberFormat="1" applyFont="1" applyFill="1" applyAlignment="1" applyProtection="1">
      <alignment vertical="center"/>
    </xf>
    <xf numFmtId="0" fontId="83" fillId="27" borderId="17" xfId="52" applyFont="1" applyFill="1" applyBorder="1" applyAlignment="1" applyProtection="1">
      <alignment horizontal="left" vertical="center" wrapText="1"/>
    </xf>
    <xf numFmtId="0" fontId="40" fillId="27" borderId="0" xfId="57" applyFont="1" applyFill="1" applyAlignment="1" applyProtection="1">
      <alignment vertical="center"/>
    </xf>
    <xf numFmtId="0" fontId="56" fillId="27" borderId="0" xfId="57" applyFont="1" applyFill="1" applyAlignment="1" applyProtection="1">
      <alignment vertical="center"/>
    </xf>
    <xf numFmtId="0" fontId="56" fillId="27" borderId="21" xfId="52" applyFont="1" applyFill="1" applyBorder="1" applyAlignment="1" applyProtection="1">
      <alignment horizontal="left" vertical="center" wrapText="1"/>
    </xf>
    <xf numFmtId="0" fontId="40" fillId="26" borderId="0" xfId="57" applyFont="1" applyFill="1" applyAlignment="1" applyProtection="1">
      <alignment vertical="center"/>
    </xf>
    <xf numFmtId="4" fontId="64" fillId="31" borderId="15" xfId="57" applyNumberFormat="1" applyFont="1" applyFill="1" applyBorder="1" applyAlignment="1" applyProtection="1">
      <alignment horizontal="center" vertical="center"/>
    </xf>
    <xf numFmtId="0" fontId="64" fillId="23" borderId="9" xfId="57" applyFont="1" applyFill="1" applyBorder="1" applyAlignment="1" applyProtection="1">
      <alignment horizontal="left" vertical="center"/>
    </xf>
    <xf numFmtId="0" fontId="11" fillId="27" borderId="0" xfId="57" applyFont="1" applyFill="1" applyAlignment="1" applyProtection="1">
      <alignment vertical="center"/>
    </xf>
    <xf numFmtId="3" fontId="64" fillId="27" borderId="52" xfId="57" applyNumberFormat="1" applyFont="1" applyFill="1" applyBorder="1" applyAlignment="1" applyProtection="1">
      <alignment horizontal="center" vertical="center"/>
    </xf>
    <xf numFmtId="3" fontId="64" fillId="27" borderId="7" xfId="57" applyNumberFormat="1" applyFont="1" applyFill="1" applyBorder="1" applyAlignment="1" applyProtection="1">
      <alignment horizontal="center" vertical="center"/>
    </xf>
    <xf numFmtId="3" fontId="64" fillId="27" borderId="53" xfId="57" applyNumberFormat="1" applyFont="1" applyFill="1" applyBorder="1" applyAlignment="1" applyProtection="1">
      <alignment horizontal="center" vertical="center"/>
    </xf>
    <xf numFmtId="0" fontId="117" fillId="20" borderId="20" xfId="88" applyFont="1" applyFill="1" applyBorder="1" applyAlignment="1" applyProtection="1">
      <alignment vertical="center"/>
    </xf>
    <xf numFmtId="0" fontId="117" fillId="20" borderId="0" xfId="88" applyFont="1" applyFill="1" applyAlignment="1" applyProtection="1">
      <alignment vertical="center"/>
    </xf>
    <xf numFmtId="0" fontId="15" fillId="27" borderId="0" xfId="32" applyFont="1" applyFill="1" applyAlignment="1" applyProtection="1">
      <alignment vertical="center"/>
    </xf>
    <xf numFmtId="0" fontId="11" fillId="27" borderId="0" xfId="32" applyFont="1" applyFill="1" applyAlignment="1" applyProtection="1">
      <alignment vertical="center"/>
    </xf>
    <xf numFmtId="0" fontId="15" fillId="27" borderId="0" xfId="52" applyFont="1" applyFill="1" applyAlignment="1" applyProtection="1">
      <alignment vertical="center"/>
    </xf>
    <xf numFmtId="0" fontId="56" fillId="27" borderId="0" xfId="80" applyFont="1" applyFill="1" applyAlignment="1" applyProtection="1">
      <alignment vertical="center"/>
    </xf>
    <xf numFmtId="0" fontId="56" fillId="20" borderId="18" xfId="52" applyFont="1" applyFill="1" applyBorder="1" applyAlignment="1" applyProtection="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3" fontId="42" fillId="27" borderId="0" xfId="49" applyNumberFormat="1" applyFont="1" applyFill="1" applyAlignment="1" applyProtection="1">
      <alignment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7" fillId="26" borderId="52" xfId="0" applyFont="1" applyFill="1" applyBorder="1" applyAlignment="1" applyProtection="1">
      <alignment horizontal="center" vertical="center" wrapText="1"/>
    </xf>
    <xf numFmtId="0" fontId="42" fillId="27" borderId="0" xfId="49" applyFont="1" applyFill="1" applyAlignment="1" applyProtection="1">
      <alignment vertical="center" wrapText="1"/>
    </xf>
    <xf numFmtId="0" fontId="20" fillId="27" borderId="0" xfId="32" applyFont="1" applyFill="1" applyAlignment="1" applyProtection="1">
      <alignment vertical="center"/>
    </xf>
    <xf numFmtId="3" fontId="40" fillId="26" borderId="31" xfId="0" applyNumberFormat="1" applyFont="1" applyFill="1" applyBorder="1" applyAlignment="1" applyProtection="1">
      <alignment horizontal="center" vertical="center"/>
    </xf>
    <xf numFmtId="3" fontId="39" fillId="24" borderId="52" xfId="0" applyNumberFormat="1" applyFont="1" applyFill="1" applyBorder="1" applyAlignment="1" applyProtection="1">
      <alignment horizontal="center" vertical="center"/>
    </xf>
    <xf numFmtId="0" fontId="13" fillId="26" borderId="52" xfId="0" applyFont="1" applyFill="1" applyBorder="1" applyAlignment="1" applyProtection="1">
      <alignment horizontal="center" vertical="center"/>
    </xf>
    <xf numFmtId="3" fontId="40" fillId="29" borderId="53" xfId="49" applyNumberFormat="1" applyFont="1" applyFill="1" applyBorder="1" applyAlignment="1" applyProtection="1">
      <alignment horizontal="right" vertical="center"/>
    </xf>
    <xf numFmtId="0" fontId="40" fillId="26" borderId="52" xfId="0" applyFont="1" applyFill="1" applyBorder="1" applyAlignment="1" applyProtection="1">
      <alignment horizontal="center" vertical="center"/>
    </xf>
    <xf numFmtId="0" fontId="40" fillId="26" borderId="56" xfId="0" applyFont="1" applyFill="1" applyBorder="1" applyAlignment="1" applyProtection="1">
      <alignment horizontal="center" vertical="center"/>
    </xf>
    <xf numFmtId="0" fontId="102" fillId="0" borderId="77" xfId="0" applyFont="1" applyFill="1" applyBorder="1" applyAlignment="1" applyProtection="1">
      <alignment horizontal="left" vertical="center" wrapText="1"/>
    </xf>
    <xf numFmtId="171" fontId="103" fillId="26" borderId="77" xfId="49" applyNumberFormat="1" applyFont="1" applyFill="1" applyBorder="1" applyAlignment="1" applyProtection="1">
      <alignment horizontal="center" vertical="center"/>
    </xf>
    <xf numFmtId="0" fontId="13" fillId="26" borderId="56" xfId="0" applyFont="1" applyFill="1" applyBorder="1" applyAlignment="1" applyProtection="1">
      <alignment horizontal="center" vertical="center"/>
    </xf>
    <xf numFmtId="0" fontId="40" fillId="26" borderId="52" xfId="0" applyFont="1" applyFill="1" applyBorder="1" applyAlignment="1" applyProtection="1">
      <alignment horizontal="center" vertical="center" wrapText="1"/>
    </xf>
    <xf numFmtId="3" fontId="39" fillId="24" borderId="56" xfId="0" applyNumberFormat="1" applyFont="1" applyFill="1" applyBorder="1" applyAlignment="1" applyProtection="1">
      <alignment horizontal="center" vertical="center"/>
    </xf>
    <xf numFmtId="3" fontId="39" fillId="24" borderId="77" xfId="0" applyNumberFormat="1" applyFont="1" applyFill="1" applyBorder="1" applyAlignment="1" applyProtection="1">
      <alignment horizontal="left" vertical="center" wrapText="1"/>
    </xf>
    <xf numFmtId="167" fontId="39" fillId="24" borderId="77" xfId="0" applyNumberFormat="1" applyFont="1" applyFill="1" applyBorder="1" applyAlignment="1" applyProtection="1">
      <alignment horizontal="center" vertical="center"/>
    </xf>
    <xf numFmtId="171" fontId="39" fillId="24" borderId="77" xfId="0" applyNumberFormat="1" applyFont="1" applyFill="1" applyBorder="1" applyAlignment="1" applyProtection="1">
      <alignment horizontal="center" vertical="center"/>
    </xf>
    <xf numFmtId="3" fontId="40" fillId="3" borderId="53" xfId="0" applyNumberFormat="1" applyFont="1" applyFill="1" applyBorder="1" applyAlignment="1" applyProtection="1">
      <alignment horizontal="center" vertical="center"/>
      <protection locked="0"/>
    </xf>
    <xf numFmtId="0" fontId="40" fillId="27" borderId="49" xfId="0" applyFont="1" applyFill="1" applyBorder="1" applyAlignment="1" applyProtection="1">
      <alignment horizontal="center" vertical="center" wrapText="1"/>
    </xf>
    <xf numFmtId="0" fontId="40" fillId="27" borderId="31" xfId="0" applyFont="1" applyFill="1" applyBorder="1" applyAlignment="1" applyProtection="1">
      <alignment horizontal="left" vertical="center" wrapText="1"/>
    </xf>
    <xf numFmtId="167" fontId="40" fillId="27" borderId="31" xfId="0" applyNumberFormat="1" applyFont="1" applyFill="1" applyBorder="1" applyAlignment="1" applyProtection="1">
      <alignment horizontal="center" vertical="center"/>
    </xf>
    <xf numFmtId="171" fontId="40" fillId="27" borderId="31" xfId="0" applyNumberFormat="1" applyFont="1" applyFill="1" applyBorder="1" applyAlignment="1" applyProtection="1">
      <alignment horizontal="center" vertical="center"/>
    </xf>
    <xf numFmtId="171" fontId="40" fillId="27" borderId="61" xfId="0" applyNumberFormat="1" applyFont="1" applyFill="1" applyBorder="1" applyAlignment="1" applyProtection="1">
      <alignment horizontal="center" vertical="center"/>
    </xf>
    <xf numFmtId="167" fontId="40" fillId="3" borderId="31" xfId="0" applyNumberFormat="1" applyFont="1" applyFill="1" applyBorder="1" applyAlignment="1" applyProtection="1">
      <alignment horizontal="center" vertical="center"/>
      <protection locked="0"/>
    </xf>
    <xf numFmtId="167" fontId="40" fillId="3" borderId="31" xfId="0" applyNumberFormat="1" applyFont="1" applyFill="1" applyBorder="1" applyAlignment="1" applyProtection="1">
      <alignment horizontal="center" vertical="center" wrapText="1"/>
      <protection locked="0"/>
    </xf>
    <xf numFmtId="167" fontId="40" fillId="26" borderId="31" xfId="0" applyNumberFormat="1" applyFont="1" applyFill="1" applyBorder="1" applyAlignment="1" applyProtection="1">
      <alignment horizontal="center" vertical="center" wrapText="1"/>
    </xf>
    <xf numFmtId="0" fontId="40" fillId="0" borderId="31" xfId="0" applyFont="1" applyFill="1" applyBorder="1" applyAlignment="1" applyProtection="1">
      <alignment horizontal="left" vertical="center" wrapText="1"/>
    </xf>
    <xf numFmtId="3" fontId="40" fillId="29" borderId="31" xfId="49" applyNumberFormat="1" applyFont="1" applyFill="1" applyBorder="1" applyAlignment="1" applyProtection="1">
      <alignment horizontal="right" vertical="center"/>
    </xf>
    <xf numFmtId="3" fontId="40" fillId="29" borderId="50" xfId="49" applyNumberFormat="1" applyFont="1" applyFill="1" applyBorder="1" applyAlignment="1" applyProtection="1">
      <alignment horizontal="right" vertical="center"/>
    </xf>
    <xf numFmtId="0" fontId="15" fillId="0" borderId="0" xfId="32" applyFont="1" applyFill="1" applyAlignment="1" applyProtection="1">
      <alignment vertical="center"/>
    </xf>
    <xf numFmtId="166" fontId="40" fillId="20" borderId="0" xfId="32" applyNumberFormat="1" applyFont="1" applyFill="1" applyBorder="1" applyAlignment="1" applyProtection="1">
      <alignment vertical="center"/>
    </xf>
    <xf numFmtId="0" fontId="40" fillId="20" borderId="0" xfId="32" applyFont="1" applyFill="1" applyBorder="1" applyAlignment="1" applyProtection="1">
      <alignment vertical="center"/>
    </xf>
    <xf numFmtId="0" fontId="40" fillId="0" borderId="0" xfId="78" applyFont="1" applyAlignment="1" applyProtection="1">
      <alignment vertical="center"/>
    </xf>
    <xf numFmtId="166" fontId="40" fillId="0" borderId="0" xfId="32" applyNumberFormat="1" applyFont="1" applyFill="1" applyBorder="1" applyAlignment="1" applyProtection="1">
      <alignment vertical="center"/>
    </xf>
    <xf numFmtId="3" fontId="39" fillId="0" borderId="0" xfId="32" applyNumberFormat="1" applyFont="1" applyAlignment="1" applyProtection="1">
      <alignment vertical="center"/>
    </xf>
    <xf numFmtId="0" fontId="11" fillId="0" borderId="0" xfId="32" applyFont="1" applyAlignment="1" applyProtection="1">
      <alignment horizontal="center" vertical="center"/>
    </xf>
    <xf numFmtId="3" fontId="40" fillId="27" borderId="75" xfId="32" applyNumberFormat="1" applyFont="1" applyFill="1" applyBorder="1" applyAlignment="1" applyProtection="1">
      <alignment horizontal="center" vertical="center"/>
    </xf>
    <xf numFmtId="0" fontId="40" fillId="27" borderId="73" xfId="32" applyFont="1" applyFill="1" applyBorder="1" applyAlignment="1" applyProtection="1">
      <alignment horizontal="center" vertical="center"/>
    </xf>
    <xf numFmtId="0" fontId="40" fillId="27" borderId="76" xfId="32" applyFont="1" applyFill="1" applyBorder="1" applyAlignment="1" applyProtection="1">
      <alignment horizontal="center" vertical="center"/>
    </xf>
    <xf numFmtId="0" fontId="40" fillId="27" borderId="7" xfId="32" applyFont="1" applyFill="1" applyBorder="1" applyAlignment="1" applyProtection="1">
      <alignment horizontal="center" vertical="center"/>
    </xf>
    <xf numFmtId="0" fontId="40" fillId="27" borderId="53" xfId="32" applyFont="1" applyFill="1" applyBorder="1" applyAlignment="1" applyProtection="1">
      <alignment horizontal="center" vertical="center"/>
    </xf>
    <xf numFmtId="3" fontId="40" fillId="27" borderId="49" xfId="32" applyNumberFormat="1" applyFont="1" applyFill="1" applyBorder="1" applyAlignment="1" applyProtection="1">
      <alignment horizontal="center" vertical="center"/>
    </xf>
    <xf numFmtId="0" fontId="40" fillId="27" borderId="31" xfId="32" applyFont="1" applyFill="1" applyBorder="1" applyAlignment="1" applyProtection="1">
      <alignment horizontal="center" vertical="center"/>
    </xf>
    <xf numFmtId="0" fontId="40" fillId="27" borderId="50" xfId="32" applyFont="1" applyFill="1" applyBorder="1" applyAlignment="1" applyProtection="1">
      <alignment horizontal="center" vertical="center"/>
    </xf>
    <xf numFmtId="0" fontId="40" fillId="26" borderId="0" xfId="0" applyFont="1" applyFill="1" applyAlignment="1" applyProtection="1">
      <alignment vertical="center" wrapText="1"/>
    </xf>
    <xf numFmtId="0" fontId="46" fillId="22" borderId="21" xfId="32" applyFont="1" applyFill="1" applyBorder="1" applyAlignment="1" applyProtection="1">
      <alignment horizontal="center" vertical="center"/>
    </xf>
    <xf numFmtId="0" fontId="44" fillId="0" borderId="21" xfId="0" applyFont="1" applyFill="1" applyBorder="1" applyAlignment="1" applyProtection="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pplyProtection="1">
      <alignment horizontal="left" vertical="center" wrapText="1"/>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26" fillId="0" borderId="21" xfId="32" applyNumberFormat="1" applyFont="1" applyFill="1" applyBorder="1" applyAlignment="1" applyProtection="1">
      <alignment horizontal="left" vertical="center" wrapText="1"/>
    </xf>
    <xf numFmtId="0" fontId="83" fillId="27" borderId="0" xfId="0" applyFont="1" applyFill="1" applyAlignment="1" applyProtection="1">
      <alignment horizontal="left" vertical="center"/>
    </xf>
    <xf numFmtId="0" fontId="44" fillId="22" borderId="21" xfId="32" applyFont="1" applyFill="1" applyBorder="1" applyAlignment="1" applyProtection="1">
      <alignment horizontal="center" vertical="center"/>
    </xf>
    <xf numFmtId="0" fontId="44" fillId="0" borderId="21" xfId="32" applyFont="1" applyFill="1" applyBorder="1" applyAlignment="1" applyProtection="1">
      <alignment horizontal="center" vertical="center"/>
    </xf>
    <xf numFmtId="3" fontId="44" fillId="27" borderId="21" xfId="32" applyNumberFormat="1" applyFont="1" applyFill="1" applyBorder="1" applyAlignment="1" applyProtection="1">
      <alignment horizontal="left" vertical="center" wrapText="1"/>
    </xf>
    <xf numFmtId="0" fontId="42" fillId="0" borderId="0" xfId="0" applyFont="1" applyFill="1" applyAlignment="1" applyProtection="1">
      <alignment vertical="center"/>
    </xf>
    <xf numFmtId="3" fontId="41" fillId="43" borderId="77" xfId="37" applyNumberFormat="1" applyFont="1" applyFill="1" applyBorder="1" applyAlignment="1" applyProtection="1">
      <alignment horizontal="center" vertical="center" wrapText="1"/>
    </xf>
    <xf numFmtId="3" fontId="41" fillId="43" borderId="57" xfId="37" applyNumberFormat="1" applyFont="1" applyFill="1" applyBorder="1" applyAlignment="1" applyProtection="1">
      <alignment horizontal="center" vertical="center" wrapText="1"/>
    </xf>
    <xf numFmtId="0" fontId="39" fillId="0" borderId="76" xfId="49"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3" fontId="11" fillId="3" borderId="49" xfId="32" applyNumberFormat="1" applyFont="1" applyFill="1" applyBorder="1" applyAlignment="1" applyProtection="1">
      <alignment horizontal="center" vertical="center"/>
      <protection locked="0"/>
    </xf>
    <xf numFmtId="173" fontId="40" fillId="0" borderId="4" xfId="37" applyNumberFormat="1" applyFont="1" applyFill="1" applyBorder="1" applyAlignment="1" applyProtection="1">
      <alignment horizontal="right" vertical="center" wrapText="1"/>
    </xf>
    <xf numFmtId="173" fontId="40" fillId="0" borderId="31" xfId="28" applyNumberFormat="1" applyFont="1" applyFill="1" applyBorder="1" applyAlignment="1" applyProtection="1">
      <alignment horizontal="right" vertical="center" wrapText="1"/>
    </xf>
    <xf numFmtId="173" fontId="40" fillId="0" borderId="50" xfId="28" applyNumberFormat="1" applyFont="1" applyFill="1" applyBorder="1" applyAlignment="1" applyProtection="1">
      <alignment horizontal="right" vertical="center" wrapText="1"/>
    </xf>
    <xf numFmtId="173" fontId="40" fillId="0" borderId="31" xfId="37" applyNumberFormat="1" applyFont="1" applyFill="1" applyBorder="1" applyAlignment="1" applyProtection="1">
      <alignment horizontal="right" vertical="center" wrapText="1"/>
    </xf>
    <xf numFmtId="3" fontId="11" fillId="26" borderId="49" xfId="32" applyNumberFormat="1" applyFont="1" applyFill="1" applyBorder="1" applyAlignment="1" applyProtection="1">
      <alignment horizontal="center" vertical="center"/>
    </xf>
    <xf numFmtId="173" fontId="40" fillId="26" borderId="31" xfId="37" applyNumberFormat="1" applyFont="1" applyFill="1" applyBorder="1" applyAlignment="1" applyProtection="1">
      <alignment horizontal="right" vertical="center" wrapText="1"/>
    </xf>
    <xf numFmtId="173" fontId="40" fillId="26" borderId="31" xfId="28" applyNumberFormat="1" applyFont="1" applyFill="1" applyBorder="1" applyAlignment="1" applyProtection="1">
      <alignment horizontal="right" vertical="center" wrapText="1"/>
    </xf>
    <xf numFmtId="173" fontId="40" fillId="26" borderId="50" xfId="28" applyNumberFormat="1" applyFont="1" applyFill="1" applyBorder="1" applyAlignment="1" applyProtection="1">
      <alignment horizontal="right" vertical="center" wrapText="1"/>
    </xf>
    <xf numFmtId="49" fontId="11" fillId="0" borderId="17" xfId="0" applyNumberFormat="1" applyFont="1" applyBorder="1" applyAlignment="1" applyProtection="1">
      <alignment horizontal="center" vertical="center"/>
    </xf>
    <xf numFmtId="49" fontId="11" fillId="0" borderId="5" xfId="0" applyNumberFormat="1" applyFont="1" applyBorder="1" applyAlignment="1" applyProtection="1">
      <alignment horizontal="center" vertical="center"/>
    </xf>
    <xf numFmtId="49" fontId="11" fillId="0" borderId="21" xfId="0" applyNumberFormat="1" applyFont="1" applyBorder="1" applyAlignment="1" applyProtection="1">
      <alignment horizontal="center" vertical="center"/>
    </xf>
    <xf numFmtId="49" fontId="40" fillId="0" borderId="37" xfId="27" applyFont="1" applyFill="1" applyBorder="1" applyAlignment="1" applyProtection="1">
      <alignment vertical="center" wrapText="1"/>
    </xf>
    <xf numFmtId="49" fontId="11" fillId="0" borderId="39" xfId="0" applyNumberFormat="1" applyFont="1" applyBorder="1" applyAlignment="1" applyProtection="1">
      <alignment horizontal="center" vertical="center"/>
    </xf>
    <xf numFmtId="49" fontId="40" fillId="0" borderId="6" xfId="27" applyFont="1" applyFill="1" applyBorder="1" applyAlignment="1" applyProtection="1">
      <alignment vertical="center" wrapText="1"/>
    </xf>
    <xf numFmtId="49" fontId="40" fillId="0" borderId="15" xfId="27" applyFont="1" applyFill="1" applyBorder="1" applyAlignment="1" applyProtection="1">
      <alignment vertical="center" wrapText="1"/>
    </xf>
    <xf numFmtId="49" fontId="40" fillId="0" borderId="18" xfId="27" applyFont="1" applyFill="1" applyBorder="1" applyAlignment="1" applyProtection="1">
      <alignment vertical="center" wrapText="1"/>
    </xf>
    <xf numFmtId="0" fontId="49" fillId="27" borderId="0" xfId="49" applyFont="1" applyFill="1" applyAlignment="1" applyProtection="1">
      <alignment vertical="center" wrapText="1"/>
    </xf>
    <xf numFmtId="0" fontId="49" fillId="27" borderId="0" xfId="49" applyFont="1" applyFill="1" applyAlignment="1" applyProtection="1">
      <alignment vertical="center"/>
    </xf>
    <xf numFmtId="3" fontId="49" fillId="27" borderId="0" xfId="49" applyNumberFormat="1" applyFont="1" applyFill="1" applyAlignment="1" applyProtection="1">
      <alignment vertical="center" wrapText="1"/>
    </xf>
    <xf numFmtId="3" fontId="49" fillId="27" borderId="0" xfId="49" applyNumberFormat="1" applyFont="1" applyFill="1" applyAlignment="1" applyProtection="1">
      <alignment vertical="center"/>
    </xf>
    <xf numFmtId="3" fontId="42" fillId="27" borderId="0" xfId="49" applyNumberFormat="1" applyFont="1" applyFill="1" applyAlignment="1" applyProtection="1">
      <alignment vertical="center"/>
    </xf>
    <xf numFmtId="0" fontId="40" fillId="27" borderId="5" xfId="49" applyFont="1" applyFill="1" applyBorder="1" applyAlignment="1" applyProtection="1">
      <alignment horizontal="center" vertical="center"/>
    </xf>
    <xf numFmtId="9" fontId="40" fillId="26" borderId="5" xfId="49" applyNumberFormat="1" applyFont="1" applyFill="1" applyBorder="1" applyAlignment="1" applyProtection="1">
      <alignment horizontal="center" vertical="center"/>
    </xf>
    <xf numFmtId="49" fontId="40" fillId="26" borderId="5" xfId="49" applyNumberFormat="1" applyFont="1" applyFill="1" applyBorder="1" applyAlignment="1" applyProtection="1">
      <alignment horizontal="left" vertical="center" wrapText="1"/>
    </xf>
    <xf numFmtId="3" fontId="11" fillId="0" borderId="49" xfId="49" applyNumberFormat="1" applyFont="1" applyFill="1" applyBorder="1" applyAlignment="1" applyProtection="1">
      <alignment horizontal="center" vertical="center" wrapText="1"/>
    </xf>
    <xf numFmtId="3" fontId="11" fillId="0" borderId="31" xfId="49" applyNumberFormat="1" applyFont="1" applyFill="1" applyBorder="1" applyAlignment="1" applyProtection="1">
      <alignment horizontal="center" vertical="center" wrapText="1"/>
    </xf>
    <xf numFmtId="3" fontId="11" fillId="0" borderId="50" xfId="49" applyNumberFormat="1" applyFont="1" applyFill="1" applyBorder="1" applyAlignment="1" applyProtection="1">
      <alignment horizontal="center" vertical="center" wrapText="1"/>
    </xf>
    <xf numFmtId="3" fontId="41" fillId="26" borderId="130" xfId="49" applyNumberFormat="1" applyFont="1" applyFill="1" applyBorder="1" applyAlignment="1" applyProtection="1">
      <alignment horizontal="center" vertical="center" wrapText="1"/>
    </xf>
    <xf numFmtId="3" fontId="41" fillId="26" borderId="151" xfId="49" applyNumberFormat="1" applyFont="1" applyFill="1" applyBorder="1" applyAlignment="1" applyProtection="1">
      <alignment horizontal="center" vertical="center" wrapText="1"/>
    </xf>
    <xf numFmtId="3" fontId="41" fillId="26" borderId="117" xfId="49" applyNumberFormat="1" applyFont="1" applyFill="1" applyBorder="1" applyAlignment="1" applyProtection="1">
      <alignment horizontal="center" vertical="center" wrapText="1"/>
    </xf>
    <xf numFmtId="3" fontId="41" fillId="26" borderId="137" xfId="49" applyNumberFormat="1" applyFont="1" applyFill="1" applyBorder="1" applyAlignment="1" applyProtection="1">
      <alignment horizontal="center" vertical="center" wrapText="1"/>
    </xf>
    <xf numFmtId="9" fontId="40" fillId="26" borderId="5" xfId="49" applyNumberFormat="1" applyFont="1" applyFill="1" applyBorder="1" applyAlignment="1" applyProtection="1">
      <alignment horizontal="left" vertical="center"/>
    </xf>
    <xf numFmtId="0" fontId="41" fillId="27" borderId="5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3" fontId="11" fillId="0" borderId="53" xfId="32" applyNumberFormat="1" applyFont="1" applyFill="1" applyBorder="1" applyAlignment="1" applyProtection="1">
      <alignment horizontal="left" vertical="center"/>
    </xf>
    <xf numFmtId="49" fontId="41" fillId="27" borderId="30" xfId="49" applyNumberFormat="1" applyFont="1" applyFill="1" applyBorder="1" applyAlignment="1" applyProtection="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Fill="1" applyBorder="1" applyAlignment="1" applyProtection="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Fill="1" applyBorder="1" applyAlignment="1" applyProtection="1">
      <alignment horizontal="center" vertical="center" wrapText="1"/>
    </xf>
    <xf numFmtId="3" fontId="41" fillId="0" borderId="28" xfId="49" applyNumberFormat="1" applyFont="1" applyFill="1" applyBorder="1" applyAlignment="1" applyProtection="1">
      <alignment horizontal="center" vertical="center" wrapText="1"/>
    </xf>
    <xf numFmtId="3" fontId="11" fillId="0" borderId="21" xfId="32" applyNumberFormat="1" applyFont="1" applyFill="1" applyBorder="1" applyAlignment="1" applyProtection="1">
      <alignment horizontal="center" vertical="center"/>
    </xf>
    <xf numFmtId="3" fontId="11" fillId="0" borderId="79" xfId="32" applyNumberFormat="1" applyFont="1" applyFill="1" applyBorder="1" applyAlignment="1" applyProtection="1">
      <alignment horizontal="center" vertical="center"/>
    </xf>
    <xf numFmtId="3" fontId="11" fillId="0" borderId="77" xfId="32" applyNumberFormat="1" applyFont="1" applyFill="1" applyBorder="1" applyAlignment="1" applyProtection="1">
      <alignment horizontal="center" vertical="center"/>
    </xf>
    <xf numFmtId="3" fontId="11" fillId="0" borderId="57" xfId="32" applyNumberFormat="1" applyFont="1" applyFill="1" applyBorder="1" applyAlignment="1" applyProtection="1">
      <alignment horizontal="center" vertical="center"/>
    </xf>
    <xf numFmtId="0" fontId="80" fillId="0" borderId="0" xfId="32" applyFont="1" applyBorder="1" applyAlignment="1" applyProtection="1">
      <alignment horizontal="right" vertical="center"/>
    </xf>
    <xf numFmtId="3" fontId="44" fillId="0" borderId="52" xfId="32" applyNumberFormat="1" applyFont="1" applyFill="1" applyBorder="1" applyAlignment="1" applyProtection="1">
      <alignment horizontal="center" vertical="center" wrapText="1"/>
    </xf>
    <xf numFmtId="3" fontId="44" fillId="0" borderId="7" xfId="32" applyNumberFormat="1" applyFont="1" applyFill="1" applyBorder="1" applyAlignment="1" applyProtection="1">
      <alignment horizontal="center" vertical="center" wrapText="1"/>
    </xf>
    <xf numFmtId="3" fontId="44" fillId="0" borderId="15" xfId="32" applyNumberFormat="1" applyFont="1" applyFill="1" applyBorder="1" applyAlignment="1" applyProtection="1">
      <alignment horizontal="center" vertical="center" wrapText="1"/>
    </xf>
    <xf numFmtId="3" fontId="39" fillId="0" borderId="52" xfId="32" applyNumberFormat="1" applyFont="1" applyFill="1" applyBorder="1" applyAlignment="1" applyProtection="1">
      <alignment horizontal="center" vertical="center" wrapText="1"/>
    </xf>
    <xf numFmtId="3" fontId="39" fillId="0" borderId="7" xfId="32" applyNumberFormat="1" applyFont="1" applyFill="1" applyBorder="1" applyAlignment="1" applyProtection="1">
      <alignment horizontal="center" vertical="center" wrapText="1"/>
    </xf>
    <xf numFmtId="3" fontId="39" fillId="0" borderId="53" xfId="32" applyNumberFormat="1" applyFont="1" applyFill="1" applyBorder="1" applyAlignment="1" applyProtection="1">
      <alignment horizontal="center" vertical="center" wrapText="1"/>
    </xf>
    <xf numFmtId="3" fontId="44" fillId="26" borderId="52" xfId="32" applyNumberFormat="1" applyFont="1" applyFill="1" applyBorder="1" applyAlignment="1" applyProtection="1">
      <alignment horizontal="center" vertical="center" wrapText="1"/>
    </xf>
    <xf numFmtId="3" fontId="44" fillId="26" borderId="32" xfId="32" applyNumberFormat="1" applyFont="1" applyFill="1" applyBorder="1" applyAlignment="1" applyProtection="1">
      <alignment horizontal="center" vertical="center" wrapText="1"/>
    </xf>
    <xf numFmtId="3" fontId="44" fillId="26" borderId="15" xfId="32" applyNumberFormat="1" applyFont="1" applyFill="1" applyBorder="1" applyAlignment="1" applyProtection="1">
      <alignment horizontal="center" vertical="center" wrapText="1"/>
    </xf>
    <xf numFmtId="3" fontId="44" fillId="26" borderId="7" xfId="32"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0" fontId="26" fillId="26" borderId="0" xfId="0" applyFont="1" applyFill="1" applyAlignment="1" applyProtection="1">
      <alignment vertical="center"/>
    </xf>
    <xf numFmtId="0" fontId="13" fillId="26" borderId="54" xfId="0" applyFont="1" applyFill="1" applyBorder="1" applyAlignment="1" applyProtection="1">
      <alignment horizontal="center" vertical="center"/>
    </xf>
    <xf numFmtId="167" fontId="40" fillId="29" borderId="63" xfId="49" applyNumberFormat="1" applyFont="1" applyFill="1" applyBorder="1" applyAlignment="1" applyProtection="1">
      <alignment horizontal="right" vertical="center"/>
    </xf>
    <xf numFmtId="3" fontId="40" fillId="29" borderId="63" xfId="49" applyNumberFormat="1" applyFont="1" applyFill="1" applyBorder="1" applyAlignment="1" applyProtection="1">
      <alignment horizontal="right" vertical="center"/>
    </xf>
    <xf numFmtId="171" fontId="103" fillId="26" borderId="71" xfId="49"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42" fillId="27" borderId="0" xfId="0" applyFont="1" applyFill="1" applyAlignment="1" applyProtection="1">
      <alignment vertical="center"/>
    </xf>
    <xf numFmtId="49" fontId="40" fillId="26" borderId="66" xfId="49" applyNumberFormat="1" applyFont="1" applyFill="1" applyBorder="1" applyAlignment="1" applyProtection="1">
      <alignment horizontal="left" vertical="center" wrapText="1"/>
    </xf>
    <xf numFmtId="3" fontId="40" fillId="0" borderId="16" xfId="49" applyNumberFormat="1" applyFont="1" applyFill="1" applyBorder="1" applyAlignment="1" applyProtection="1">
      <alignment horizontal="center" vertical="center" wrapText="1"/>
    </xf>
    <xf numFmtId="0" fontId="40" fillId="0" borderId="68" xfId="49" applyFont="1" applyFill="1" applyBorder="1" applyAlignment="1" applyProtection="1">
      <alignment horizontal="left" vertical="center" wrapText="1"/>
    </xf>
    <xf numFmtId="49" fontId="40" fillId="26" borderId="52" xfId="49" applyNumberFormat="1" applyFont="1" applyFill="1" applyBorder="1" applyAlignment="1" applyProtection="1">
      <alignment horizontal="left" vertical="center" wrapText="1"/>
    </xf>
    <xf numFmtId="0" fontId="40" fillId="0" borderId="53" xfId="31" applyFont="1" applyFill="1" applyBorder="1" applyAlignment="1" applyProtection="1">
      <alignment horizontal="left" vertical="center" wrapText="1"/>
    </xf>
    <xf numFmtId="3" fontId="40" fillId="0" borderId="13" xfId="49" applyNumberFormat="1" applyFont="1" applyFill="1" applyBorder="1" applyAlignment="1" applyProtection="1">
      <alignment horizontal="center" vertical="center" wrapText="1"/>
    </xf>
    <xf numFmtId="3" fontId="40" fillId="0" borderId="0" xfId="49" applyNumberFormat="1" applyFont="1" applyFill="1" applyBorder="1" applyAlignment="1" applyProtection="1">
      <alignment horizontal="center" vertical="center" wrapText="1"/>
    </xf>
    <xf numFmtId="167" fontId="40" fillId="26" borderId="95" xfId="32" applyNumberFormat="1" applyFont="1" applyFill="1" applyBorder="1" applyAlignment="1" applyProtection="1">
      <alignment horizontal="center" vertical="center"/>
    </xf>
    <xf numFmtId="3" fontId="40" fillId="26" borderId="62" xfId="49" applyNumberFormat="1" applyFont="1" applyFill="1" applyBorder="1" applyAlignment="1" applyProtection="1">
      <alignment horizontal="center" vertical="center" wrapText="1"/>
    </xf>
    <xf numFmtId="3" fontId="40" fillId="26" borderId="53" xfId="49" applyNumberFormat="1" applyFont="1" applyFill="1" applyBorder="1" applyAlignment="1" applyProtection="1">
      <alignment horizontal="center" vertical="center" wrapText="1"/>
    </xf>
    <xf numFmtId="49" fontId="40" fillId="27" borderId="66" xfId="49" applyNumberFormat="1" applyFont="1" applyFill="1" applyBorder="1" applyAlignment="1" applyProtection="1">
      <alignment horizontal="left" vertical="center" wrapText="1"/>
    </xf>
    <xf numFmtId="3" fontId="40" fillId="0" borderId="37" xfId="49" applyNumberFormat="1" applyFont="1" applyFill="1" applyBorder="1" applyAlignment="1" applyProtection="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Fill="1" applyBorder="1" applyAlignment="1" applyProtection="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pplyProtection="1">
      <alignment horizontal="center" vertical="center"/>
    </xf>
    <xf numFmtId="3" fontId="41" fillId="26" borderId="54" xfId="32" applyNumberFormat="1" applyFont="1" applyFill="1" applyBorder="1" applyAlignment="1" applyProtection="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pplyProtection="1">
      <alignment horizontal="left" vertical="center" wrapText="1"/>
    </xf>
    <xf numFmtId="49" fontId="64" fillId="27" borderId="17"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40" fillId="26" borderId="0" xfId="57" applyFont="1" applyFill="1" applyBorder="1" applyAlignment="1" applyProtection="1">
      <alignment vertical="center"/>
    </xf>
    <xf numFmtId="0" fontId="11" fillId="27" borderId="0" xfId="57" applyFont="1" applyFill="1" applyBorder="1" applyAlignment="1" applyProtection="1">
      <alignment vertical="center"/>
    </xf>
    <xf numFmtId="3" fontId="64" fillId="28" borderId="50" xfId="57" applyNumberFormat="1" applyFont="1" applyFill="1" applyBorder="1" applyAlignment="1" applyProtection="1">
      <alignment horizontal="center" vertical="center"/>
      <protection locked="0"/>
    </xf>
    <xf numFmtId="167" fontId="39" fillId="20" borderId="49" xfId="32" applyNumberFormat="1" applyFont="1" applyFill="1" applyBorder="1" applyAlignment="1" applyProtection="1">
      <alignment horizontal="center" vertical="center"/>
    </xf>
    <xf numFmtId="167" fontId="39" fillId="20" borderId="31" xfId="32" applyNumberFormat="1" applyFont="1" applyFill="1" applyBorder="1" applyAlignment="1" applyProtection="1">
      <alignment horizontal="center" vertical="center"/>
    </xf>
    <xf numFmtId="167" fontId="39" fillId="20" borderId="50" xfId="32" applyNumberFormat="1" applyFont="1" applyFill="1" applyBorder="1" applyAlignment="1" applyProtection="1">
      <alignment horizontal="center" vertical="center"/>
    </xf>
    <xf numFmtId="167" fontId="44" fillId="0" borderId="52" xfId="32" applyNumberFormat="1" applyFont="1" applyFill="1" applyBorder="1" applyAlignment="1" applyProtection="1">
      <alignment horizontal="center" vertical="center"/>
    </xf>
    <xf numFmtId="167" fontId="44" fillId="0" borderId="7" xfId="32" applyNumberFormat="1" applyFont="1" applyFill="1" applyBorder="1" applyAlignment="1" applyProtection="1">
      <alignment horizontal="center" vertical="center"/>
    </xf>
    <xf numFmtId="167" fontId="44" fillId="0" borderId="53" xfId="32" applyNumberFormat="1" applyFont="1" applyFill="1" applyBorder="1" applyAlignment="1" applyProtection="1">
      <alignment horizontal="center" vertical="center"/>
    </xf>
    <xf numFmtId="167" fontId="39" fillId="0" borderId="52" xfId="32" applyNumberFormat="1" applyFont="1" applyFill="1" applyBorder="1" applyAlignment="1" applyProtection="1">
      <alignment horizontal="center" vertical="center"/>
    </xf>
    <xf numFmtId="167" fontId="39" fillId="0" borderId="7" xfId="32" applyNumberFormat="1" applyFont="1" applyFill="1" applyBorder="1" applyAlignment="1" applyProtection="1">
      <alignment horizontal="center" vertical="center"/>
    </xf>
    <xf numFmtId="167" fontId="39" fillId="0" borderId="53" xfId="32" applyNumberFormat="1" applyFont="1" applyFill="1" applyBorder="1" applyAlignment="1" applyProtection="1">
      <alignment horizontal="center" vertical="center"/>
    </xf>
    <xf numFmtId="167" fontId="44" fillId="20" borderId="52" xfId="32" applyNumberFormat="1" applyFont="1" applyFill="1" applyBorder="1" applyAlignment="1" applyProtection="1">
      <alignment horizontal="center" vertical="center"/>
    </xf>
    <xf numFmtId="167" fontId="44" fillId="20" borderId="7" xfId="32" applyNumberFormat="1" applyFont="1" applyFill="1" applyBorder="1" applyAlignment="1" applyProtection="1">
      <alignment horizontal="center" vertical="center"/>
    </xf>
    <xf numFmtId="167" fontId="44" fillId="20" borderId="53" xfId="32" applyNumberFormat="1" applyFont="1" applyFill="1" applyBorder="1" applyAlignment="1" applyProtection="1">
      <alignment horizontal="center" vertical="center"/>
    </xf>
    <xf numFmtId="167" fontId="39" fillId="20" borderId="52" xfId="32" applyNumberFormat="1" applyFont="1" applyFill="1" applyBorder="1" applyAlignment="1" applyProtection="1">
      <alignment horizontal="center" vertical="center"/>
    </xf>
    <xf numFmtId="167" fontId="39" fillId="20" borderId="7" xfId="32" applyNumberFormat="1" applyFont="1" applyFill="1" applyBorder="1" applyAlignment="1" applyProtection="1">
      <alignment horizontal="center" vertical="center"/>
    </xf>
    <xf numFmtId="167" fontId="39" fillId="20" borderId="53" xfId="32" applyNumberFormat="1" applyFont="1" applyFill="1" applyBorder="1" applyAlignment="1" applyProtection="1">
      <alignment horizontal="center" vertical="center"/>
    </xf>
    <xf numFmtId="167" fontId="39" fillId="20" borderId="54" xfId="32" applyNumberFormat="1" applyFont="1" applyFill="1" applyBorder="1" applyAlignment="1" applyProtection="1">
      <alignment horizontal="center" vertical="center"/>
    </xf>
    <xf numFmtId="167" fontId="39" fillId="20" borderId="63" xfId="32" applyNumberFormat="1" applyFont="1" applyFill="1" applyBorder="1" applyAlignment="1" applyProtection="1">
      <alignment horizontal="center" vertical="center"/>
    </xf>
    <xf numFmtId="167" fontId="39" fillId="20" borderId="55" xfId="32" applyNumberFormat="1" applyFont="1" applyFill="1" applyBorder="1" applyAlignment="1" applyProtection="1">
      <alignment horizontal="center" vertical="center"/>
    </xf>
    <xf numFmtId="167" fontId="46" fillId="26" borderId="49" xfId="32" applyNumberFormat="1" applyFont="1" applyFill="1" applyBorder="1" applyAlignment="1" applyProtection="1">
      <alignment horizontal="center" vertical="center"/>
    </xf>
    <xf numFmtId="167" fontId="46" fillId="26" borderId="31" xfId="32" applyNumberFormat="1" applyFont="1" applyFill="1" applyBorder="1" applyAlignment="1" applyProtection="1">
      <alignment horizontal="center" vertical="center"/>
    </xf>
    <xf numFmtId="167" fontId="46" fillId="26" borderId="50" xfId="32" applyNumberFormat="1" applyFont="1" applyFill="1" applyBorder="1" applyAlignment="1" applyProtection="1">
      <alignment horizontal="center" vertical="center"/>
    </xf>
    <xf numFmtId="167" fontId="44" fillId="26" borderId="52" xfId="32" applyNumberFormat="1" applyFont="1" applyFill="1" applyBorder="1" applyAlignment="1" applyProtection="1">
      <alignment horizontal="center" vertical="center"/>
    </xf>
    <xf numFmtId="167" fontId="44" fillId="26" borderId="7" xfId="32" applyNumberFormat="1" applyFont="1" applyFill="1" applyBorder="1" applyAlignment="1" applyProtection="1">
      <alignment horizontal="center" vertical="center"/>
    </xf>
    <xf numFmtId="167" fontId="44" fillId="26" borderId="53" xfId="32" applyNumberFormat="1" applyFont="1" applyFill="1" applyBorder="1" applyAlignment="1" applyProtection="1">
      <alignment horizontal="center" vertical="center"/>
    </xf>
    <xf numFmtId="167" fontId="44" fillId="26" borderId="15" xfId="32" applyNumberFormat="1" applyFont="1" applyFill="1" applyBorder="1" applyAlignment="1" applyProtection="1">
      <alignment horizontal="center" vertical="center"/>
    </xf>
    <xf numFmtId="167" fontId="46" fillId="26" borderId="52" xfId="32" applyNumberFormat="1" applyFont="1" applyFill="1" applyBorder="1" applyAlignment="1" applyProtection="1">
      <alignment horizontal="center" vertical="center"/>
    </xf>
    <xf numFmtId="167" fontId="46" fillId="26" borderId="7" xfId="32" applyNumberFormat="1" applyFont="1" applyFill="1" applyBorder="1" applyAlignment="1" applyProtection="1">
      <alignment horizontal="center" vertical="center"/>
    </xf>
    <xf numFmtId="167" fontId="46" fillId="26" borderId="53" xfId="32" applyNumberFormat="1" applyFont="1" applyFill="1" applyBorder="1" applyAlignment="1" applyProtection="1">
      <alignment horizontal="center" vertical="center"/>
    </xf>
    <xf numFmtId="167" fontId="46" fillId="26" borderId="54" xfId="32" applyNumberFormat="1" applyFont="1" applyFill="1" applyBorder="1" applyAlignment="1" applyProtection="1">
      <alignment horizontal="center" vertical="center"/>
    </xf>
    <xf numFmtId="167" fontId="46" fillId="26" borderId="63" xfId="32" applyNumberFormat="1" applyFont="1" applyFill="1" applyBorder="1" applyAlignment="1" applyProtection="1">
      <alignment horizontal="center" vertical="center"/>
    </xf>
    <xf numFmtId="167" fontId="46" fillId="26" borderId="55" xfId="32" applyNumberFormat="1" applyFont="1" applyFill="1" applyBorder="1" applyAlignment="1" applyProtection="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Fill="1" applyBorder="1" applyAlignment="1" applyProtection="1">
      <alignment horizontal="center" vertical="center"/>
    </xf>
    <xf numFmtId="168" fontId="41" fillId="26" borderId="133" xfId="49" applyNumberFormat="1" applyFont="1" applyFill="1" applyBorder="1" applyAlignment="1" applyProtection="1">
      <alignment horizontal="center" vertical="center" wrapText="1"/>
    </xf>
    <xf numFmtId="9" fontId="41" fillId="26" borderId="133" xfId="49" applyNumberFormat="1" applyFont="1" applyFill="1" applyBorder="1" applyAlignment="1" applyProtection="1">
      <alignment horizontal="center" vertical="center" wrapText="1"/>
    </xf>
    <xf numFmtId="168" fontId="41" fillId="26" borderId="93" xfId="49" applyNumberFormat="1" applyFont="1" applyFill="1" applyBorder="1" applyAlignment="1" applyProtection="1">
      <alignment horizontal="center" vertical="center" wrapText="1"/>
    </xf>
    <xf numFmtId="9" fontId="41" fillId="26" borderId="93" xfId="49" applyNumberFormat="1" applyFont="1" applyFill="1" applyBorder="1" applyAlignment="1" applyProtection="1">
      <alignment horizontal="center" vertical="center" wrapText="1"/>
    </xf>
    <xf numFmtId="3" fontId="11" fillId="0" borderId="0" xfId="31" applyNumberFormat="1" applyFont="1" applyAlignment="1" applyProtection="1">
      <alignment vertical="center"/>
    </xf>
    <xf numFmtId="3" fontId="11" fillId="26" borderId="0" xfId="31" applyNumberFormat="1" applyFont="1" applyFill="1" applyAlignment="1" applyProtection="1">
      <alignment vertical="center"/>
    </xf>
    <xf numFmtId="0" fontId="11" fillId="26" borderId="0" xfId="31" applyFont="1" applyFill="1" applyAlignment="1" applyProtection="1">
      <alignment vertical="center"/>
    </xf>
    <xf numFmtId="3" fontId="78" fillId="26" borderId="0" xfId="31" applyNumberFormat="1" applyFont="1" applyFill="1" applyAlignment="1" applyProtection="1">
      <alignment vertical="center"/>
    </xf>
    <xf numFmtId="3" fontId="78" fillId="26" borderId="0" xfId="31" applyNumberFormat="1" applyFont="1" applyFill="1" applyBorder="1" applyAlignment="1" applyProtection="1">
      <alignment vertical="center"/>
    </xf>
    <xf numFmtId="3" fontId="11" fillId="26" borderId="6" xfId="88" applyNumberFormat="1" applyFont="1" applyFill="1" applyBorder="1" applyAlignment="1" applyProtection="1">
      <alignment horizontal="center" vertical="center" wrapText="1"/>
    </xf>
    <xf numFmtId="0" fontId="117" fillId="41" borderId="35" xfId="88" applyFont="1" applyFill="1" applyBorder="1" applyAlignment="1" applyProtection="1">
      <alignment horizontal="center" vertical="center" wrapText="1"/>
    </xf>
    <xf numFmtId="0" fontId="83" fillId="27" borderId="0" xfId="54" applyFont="1" applyFill="1" applyAlignment="1" applyProtection="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16" fillId="20" borderId="17" xfId="88" applyFont="1" applyFill="1" applyBorder="1" applyAlignment="1" applyProtection="1">
      <alignment horizontal="center" vertical="center" wrapText="1"/>
    </xf>
    <xf numFmtId="3" fontId="11" fillId="26" borderId="139" xfId="88" applyNumberFormat="1" applyFont="1" applyFill="1" applyBorder="1" applyAlignment="1" applyProtection="1">
      <alignment horizontal="center" vertical="center" wrapText="1"/>
    </xf>
    <xf numFmtId="3" fontId="11" fillId="26" borderId="93" xfId="88" applyNumberFormat="1" applyFont="1" applyFill="1" applyBorder="1" applyAlignment="1" applyProtection="1">
      <alignment horizontal="center" vertical="center" wrapText="1"/>
    </xf>
    <xf numFmtId="3" fontId="11" fillId="26" borderId="114" xfId="88" applyNumberFormat="1" applyFont="1" applyFill="1" applyBorder="1" applyAlignment="1" applyProtection="1">
      <alignment horizontal="center" vertical="center" wrapText="1"/>
    </xf>
    <xf numFmtId="3" fontId="11" fillId="26" borderId="92" xfId="88" applyNumberFormat="1" applyFont="1" applyFill="1" applyBorder="1" applyAlignment="1" applyProtection="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pplyProtection="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17" fillId="0" borderId="79" xfId="88" applyNumberFormat="1" applyFont="1" applyFill="1" applyBorder="1" applyAlignment="1" applyProtection="1">
      <alignment horizontal="center" vertical="center" wrapText="1"/>
    </xf>
    <xf numFmtId="3" fontId="117" fillId="0" borderId="32" xfId="88" applyNumberFormat="1" applyFont="1" applyFill="1" applyBorder="1" applyAlignment="1" applyProtection="1">
      <alignment horizontal="center" vertical="center" wrapText="1"/>
    </xf>
    <xf numFmtId="3" fontId="116" fillId="0" borderId="32" xfId="88" applyNumberFormat="1" applyFont="1" applyFill="1" applyBorder="1" applyAlignment="1" applyProtection="1">
      <alignment horizontal="center" vertical="center" wrapText="1"/>
    </xf>
    <xf numFmtId="3" fontId="116" fillId="0" borderId="7" xfId="88" applyNumberFormat="1" applyFont="1" applyFill="1" applyBorder="1" applyAlignment="1" applyProtection="1">
      <alignment horizontal="center" vertical="center" wrapText="1"/>
    </xf>
    <xf numFmtId="3" fontId="116" fillId="0" borderId="62" xfId="88" applyNumberFormat="1" applyFont="1" applyFill="1" applyBorder="1" applyAlignment="1" applyProtection="1">
      <alignment horizontal="center" vertical="center" wrapText="1"/>
    </xf>
    <xf numFmtId="3" fontId="117" fillId="0" borderId="69" xfId="88" applyNumberFormat="1" applyFont="1" applyFill="1" applyBorder="1" applyAlignment="1" applyProtection="1">
      <alignment horizontal="center" vertical="center" wrapText="1"/>
    </xf>
    <xf numFmtId="3" fontId="11" fillId="0" borderId="13" xfId="88" applyNumberFormat="1" applyFont="1" applyFill="1" applyBorder="1" applyAlignment="1" applyProtection="1">
      <alignment horizontal="center" vertical="center" wrapText="1"/>
    </xf>
    <xf numFmtId="3" fontId="11" fillId="0" borderId="4" xfId="88" applyNumberFormat="1" applyFont="1" applyFill="1" applyBorder="1" applyAlignment="1" applyProtection="1">
      <alignment horizontal="center" vertical="center" wrapText="1"/>
    </xf>
    <xf numFmtId="3" fontId="119" fillId="0" borderId="30" xfId="88" applyNumberFormat="1" applyFont="1" applyFill="1" applyBorder="1" applyAlignment="1" applyProtection="1">
      <alignment horizontal="center" vertical="center" wrapText="1"/>
    </xf>
    <xf numFmtId="3" fontId="119" fillId="0" borderId="77" xfId="88" applyNumberFormat="1" applyFont="1" applyFill="1" applyBorder="1" applyAlignment="1" applyProtection="1">
      <alignment horizontal="center" vertical="center" wrapText="1"/>
    </xf>
    <xf numFmtId="3" fontId="119" fillId="0" borderId="28" xfId="88" applyNumberFormat="1" applyFont="1" applyFill="1" applyBorder="1" applyAlignment="1" applyProtection="1">
      <alignment horizontal="center" vertical="center" wrapText="1"/>
    </xf>
    <xf numFmtId="3" fontId="119" fillId="0" borderId="78" xfId="88" applyNumberFormat="1" applyFont="1" applyFill="1" applyBorder="1" applyAlignment="1" applyProtection="1">
      <alignment horizontal="center" vertical="center" wrapText="1"/>
    </xf>
    <xf numFmtId="3" fontId="119" fillId="0" borderId="57" xfId="88" applyNumberFormat="1" applyFont="1" applyFill="1" applyBorder="1" applyAlignment="1" applyProtection="1">
      <alignment horizontal="center" vertical="center" wrapText="1"/>
    </xf>
    <xf numFmtId="3" fontId="119" fillId="0" borderId="56" xfId="88" applyNumberFormat="1" applyFont="1" applyFill="1" applyBorder="1" applyAlignment="1" applyProtection="1">
      <alignment horizontal="center" vertical="center" wrapText="1"/>
    </xf>
    <xf numFmtId="3" fontId="119" fillId="0" borderId="101" xfId="88" applyNumberFormat="1" applyFont="1" applyFill="1" applyBorder="1" applyAlignment="1" applyProtection="1">
      <alignment horizontal="center" vertical="center" wrapText="1"/>
    </xf>
    <xf numFmtId="0" fontId="116" fillId="26" borderId="55" xfId="88" applyFont="1" applyFill="1" applyBorder="1" applyAlignment="1" applyProtection="1">
      <alignment horizontal="left" vertical="center" wrapText="1"/>
    </xf>
    <xf numFmtId="0" fontId="119" fillId="26" borderId="48" xfId="0" applyFont="1" applyFill="1" applyBorder="1" applyAlignment="1" applyProtection="1">
      <alignment horizontal="right" vertical="center" wrapText="1"/>
    </xf>
    <xf numFmtId="0" fontId="116" fillId="26" borderId="76" xfId="88" applyFont="1" applyFill="1" applyBorder="1" applyAlignment="1" applyProtection="1">
      <alignment horizontal="left" vertical="center" wrapText="1"/>
    </xf>
    <xf numFmtId="0" fontId="119" fillId="26" borderId="50" xfId="88" applyFont="1" applyFill="1" applyBorder="1" applyAlignment="1" applyProtection="1">
      <alignment horizontal="right" vertical="center" wrapText="1"/>
    </xf>
    <xf numFmtId="0" fontId="116" fillId="26" borderId="53" xfId="88" applyFont="1" applyFill="1" applyBorder="1" applyAlignment="1" applyProtection="1">
      <alignment horizontal="left" vertical="center" wrapText="1"/>
    </xf>
    <xf numFmtId="0" fontId="117" fillId="26" borderId="57" xfId="88" applyFont="1" applyFill="1" applyBorder="1" applyAlignment="1" applyProtection="1">
      <alignment horizontal="center" vertical="center" wrapText="1"/>
    </xf>
    <xf numFmtId="0" fontId="117" fillId="26" borderId="53" xfId="88" applyFont="1" applyFill="1" applyBorder="1" applyAlignment="1" applyProtection="1">
      <alignment horizontal="center" vertical="center" wrapText="1"/>
    </xf>
    <xf numFmtId="0" fontId="116" fillId="26" borderId="53" xfId="88" applyFont="1" applyFill="1" applyBorder="1" applyAlignment="1" applyProtection="1">
      <alignment horizontal="right" vertical="center" wrapText="1"/>
    </xf>
    <xf numFmtId="0" fontId="116" fillId="26" borderId="50" xfId="88" applyFont="1" applyFill="1" applyBorder="1" applyAlignment="1" applyProtection="1">
      <alignment horizontal="left" vertical="center" wrapText="1"/>
    </xf>
    <xf numFmtId="0" fontId="117" fillId="26" borderId="55" xfId="88" applyFont="1" applyFill="1" applyBorder="1" applyAlignment="1" applyProtection="1">
      <alignment horizontal="center" vertical="center" wrapText="1"/>
    </xf>
    <xf numFmtId="0" fontId="116" fillId="26" borderId="0" xfId="88" applyFont="1" applyFill="1" applyAlignment="1" applyProtection="1">
      <alignment horizontal="center" vertical="center" wrapText="1"/>
    </xf>
    <xf numFmtId="0" fontId="116" fillId="26" borderId="55" xfId="88" applyFont="1" applyFill="1" applyBorder="1" applyAlignment="1" applyProtection="1">
      <alignment horizontal="right" vertical="center" wrapText="1"/>
    </xf>
    <xf numFmtId="0" fontId="119" fillId="26" borderId="57" xfId="0" applyFont="1" applyFill="1" applyBorder="1" applyAlignment="1" applyProtection="1">
      <alignment horizontal="right" vertical="center" wrapText="1"/>
    </xf>
    <xf numFmtId="3" fontId="44" fillId="42" borderId="17" xfId="49" applyNumberFormat="1" applyFont="1" applyFill="1" applyBorder="1" applyAlignment="1" applyProtection="1">
      <alignment horizontal="center"/>
      <protection locked="0"/>
    </xf>
    <xf numFmtId="3" fontId="11" fillId="26" borderId="50" xfId="88" applyNumberFormat="1" applyFont="1" applyFill="1" applyBorder="1" applyAlignment="1" applyProtection="1">
      <alignment horizontal="center" vertical="center" wrapText="1"/>
    </xf>
    <xf numFmtId="3" fontId="44" fillId="42"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16" fillId="20" borderId="106" xfId="88" applyNumberFormat="1" applyFont="1" applyFill="1" applyBorder="1" applyAlignment="1" applyProtection="1">
      <alignment horizontal="center" vertical="center" wrapText="1"/>
    </xf>
    <xf numFmtId="0" fontId="78" fillId="20" borderId="21" xfId="88" applyFont="1" applyFill="1" applyBorder="1" applyAlignment="1" applyProtection="1">
      <alignment horizontal="center" vertical="center" wrapText="1"/>
    </xf>
    <xf numFmtId="0" fontId="78" fillId="20" borderId="30" xfId="88" applyFont="1" applyFill="1" applyBorder="1" applyAlignment="1" applyProtection="1">
      <alignment horizontal="center" vertical="center" wrapText="1"/>
    </xf>
    <xf numFmtId="3" fontId="117"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Fill="1" applyBorder="1" applyAlignment="1" applyProtection="1">
      <alignment horizontal="center" vertical="center" wrapText="1"/>
    </xf>
    <xf numFmtId="3" fontId="117" fillId="0" borderId="23" xfId="88" applyNumberFormat="1" applyFont="1" applyFill="1" applyBorder="1" applyAlignment="1" applyProtection="1">
      <alignment horizontal="center" vertical="center" wrapText="1"/>
    </xf>
    <xf numFmtId="3" fontId="11" fillId="26" borderId="17" xfId="88" applyNumberFormat="1" applyFont="1" applyFill="1" applyBorder="1" applyAlignment="1" applyProtection="1">
      <alignment horizontal="center" vertical="center" wrapText="1"/>
    </xf>
    <xf numFmtId="3" fontId="44" fillId="42" borderId="21" xfId="49" applyNumberFormat="1" applyFont="1" applyFill="1" applyBorder="1" applyAlignment="1" applyProtection="1">
      <alignment horizontal="center"/>
      <protection locked="0"/>
    </xf>
    <xf numFmtId="3" fontId="44" fillId="42" borderId="51" xfId="49" applyNumberFormat="1" applyFont="1" applyFill="1" applyBorder="1" applyAlignment="1" applyProtection="1">
      <alignment horizontal="center"/>
      <protection locked="0"/>
    </xf>
    <xf numFmtId="0" fontId="116" fillId="20" borderId="0" xfId="88" applyFont="1" applyFill="1" applyAlignment="1" applyProtection="1">
      <alignment horizontal="center" vertical="center" wrapText="1"/>
      <protection locked="0"/>
    </xf>
    <xf numFmtId="1" fontId="73" fillId="26" borderId="86" xfId="0" applyNumberFormat="1" applyFont="1" applyFill="1" applyBorder="1" applyAlignment="1" applyProtection="1">
      <alignment horizontal="center" vertical="center" wrapText="1"/>
    </xf>
    <xf numFmtId="49" fontId="83" fillId="27" borderId="26" xfId="52" applyNumberFormat="1" applyFont="1" applyFill="1" applyBorder="1" applyAlignment="1" applyProtection="1">
      <alignment horizontal="center" vertical="center" wrapText="1"/>
    </xf>
    <xf numFmtId="0" fontId="83" fillId="20" borderId="26" xfId="52" applyFont="1" applyFill="1" applyBorder="1" applyAlignment="1" applyProtection="1">
      <alignment horizontal="left" vertical="center"/>
    </xf>
    <xf numFmtId="0" fontId="56" fillId="20" borderId="26" xfId="52" applyFont="1" applyFill="1" applyBorder="1" applyAlignment="1" applyProtection="1">
      <alignment horizontal="center" vertical="center" wrapText="1"/>
    </xf>
    <xf numFmtId="3" fontId="56" fillId="0" borderId="13" xfId="52" applyNumberFormat="1" applyFont="1" applyFill="1" applyBorder="1" applyAlignment="1" applyProtection="1">
      <alignment horizontal="center" vertical="center"/>
    </xf>
    <xf numFmtId="3" fontId="56" fillId="0" borderId="16" xfId="52" applyNumberFormat="1" applyFont="1" applyFill="1" applyBorder="1" applyAlignment="1" applyProtection="1">
      <alignment horizontal="center" vertical="center"/>
    </xf>
    <xf numFmtId="3" fontId="56" fillId="0" borderId="93" xfId="52"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41" fillId="26" borderId="0" xfId="0" applyFont="1" applyFill="1" applyAlignment="1" applyProtection="1">
      <alignment horizontal="left" vertical="center" wrapText="1"/>
    </xf>
    <xf numFmtId="0" fontId="12" fillId="26" borderId="0" xfId="0" applyFont="1" applyFill="1" applyBorder="1" applyAlignment="1" applyProtection="1">
      <alignment horizontal="right" vertical="center"/>
    </xf>
    <xf numFmtId="0" fontId="64" fillId="37" borderId="35" xfId="52" applyFont="1" applyFill="1" applyBorder="1" applyAlignment="1" applyProtection="1">
      <alignment horizontal="center" vertical="center" wrapText="1"/>
    </xf>
    <xf numFmtId="49" fontId="64" fillId="0" borderId="7" xfId="80" applyNumberFormat="1" applyFont="1" applyFill="1" applyBorder="1" applyAlignment="1" applyProtection="1">
      <alignment horizontal="center" vertical="center" wrapText="1"/>
    </xf>
    <xf numFmtId="3" fontId="56" fillId="0" borderId="7" xfId="80" applyNumberFormat="1" applyFont="1" applyFill="1" applyBorder="1" applyAlignment="1" applyProtection="1">
      <alignment horizontal="center" vertical="center"/>
    </xf>
    <xf numFmtId="0" fontId="40" fillId="27" borderId="7" xfId="0" applyFont="1" applyFill="1" applyBorder="1" applyAlignment="1" applyProtection="1">
      <alignment horizontal="center" vertical="center" wrapText="1"/>
    </xf>
    <xf numFmtId="3" fontId="40" fillId="3" borderId="22" xfId="32" applyNumberFormat="1" applyFont="1" applyFill="1" applyBorder="1" applyAlignment="1" applyProtection="1">
      <alignment horizontal="center" vertical="center"/>
      <protection locked="0"/>
    </xf>
    <xf numFmtId="10" fontId="95" fillId="26" borderId="65" xfId="70" applyNumberFormat="1" applyFont="1" applyFill="1" applyBorder="1" applyAlignment="1" applyProtection="1">
      <alignment horizontal="center" vertical="center" wrapText="1"/>
    </xf>
    <xf numFmtId="3" fontId="40" fillId="28" borderId="62" xfId="32" applyNumberFormat="1" applyFont="1" applyFill="1" applyBorder="1" applyAlignment="1" applyProtection="1">
      <alignment horizontal="center" vertical="center"/>
      <protection locked="0"/>
    </xf>
    <xf numFmtId="3" fontId="40" fillId="28" borderId="78" xfId="32" applyNumberFormat="1" applyFont="1" applyFill="1" applyBorder="1" applyAlignment="1" applyProtection="1">
      <alignment horizontal="center" vertical="center"/>
      <protection locked="0"/>
    </xf>
    <xf numFmtId="3" fontId="40" fillId="27" borderId="72" xfId="32" applyNumberFormat="1" applyFont="1" applyFill="1" applyBorder="1" applyAlignment="1" applyProtection="1">
      <alignment horizontal="center" vertical="center"/>
    </xf>
    <xf numFmtId="3" fontId="40" fillId="27" borderId="32" xfId="32" applyNumberFormat="1" applyFont="1" applyFill="1" applyBorder="1" applyAlignment="1" applyProtection="1">
      <alignment horizontal="center" vertical="center"/>
    </xf>
    <xf numFmtId="3" fontId="41" fillId="3" borderId="74" xfId="32" applyNumberFormat="1" applyFont="1" applyFill="1" applyBorder="1" applyAlignment="1" applyProtection="1">
      <alignment horizontal="center" vertical="center"/>
      <protection locked="0"/>
    </xf>
    <xf numFmtId="10" fontId="95" fillId="26" borderId="62" xfId="70" applyNumberFormat="1" applyFont="1" applyFill="1" applyBorder="1" applyAlignment="1" applyProtection="1">
      <alignment horizontal="center" vertical="center" wrapText="1"/>
    </xf>
    <xf numFmtId="3" fontId="41" fillId="3" borderId="62" xfId="32" applyNumberFormat="1" applyFont="1" applyFill="1" applyBorder="1" applyAlignment="1" applyProtection="1">
      <alignment horizontal="center" vertical="center"/>
      <protection locked="0"/>
    </xf>
    <xf numFmtId="3" fontId="41" fillId="3" borderId="64" xfId="32" applyNumberFormat="1" applyFont="1" applyFill="1" applyBorder="1" applyAlignment="1" applyProtection="1">
      <alignment horizontal="center" vertical="center"/>
      <protection locked="0"/>
    </xf>
    <xf numFmtId="3" fontId="40" fillId="28" borderId="74" xfId="32" applyNumberFormat="1" applyFont="1" applyFill="1" applyBorder="1" applyAlignment="1" applyProtection="1">
      <alignment horizontal="center" vertical="center"/>
      <protection locked="0"/>
    </xf>
    <xf numFmtId="3" fontId="40" fillId="28" borderId="101" xfId="32" applyNumberFormat="1" applyFont="1" applyFill="1" applyBorder="1" applyAlignment="1" applyProtection="1">
      <alignment horizontal="center" vertical="center"/>
      <protection locked="0"/>
    </xf>
    <xf numFmtId="172" fontId="163" fillId="26" borderId="17" xfId="70" applyNumberFormat="1" applyFont="1" applyFill="1" applyBorder="1" applyAlignment="1" applyProtection="1">
      <alignment horizontal="center" vertical="center" wrapText="1"/>
    </xf>
    <xf numFmtId="3" fontId="39" fillId="31" borderId="8" xfId="32" applyNumberFormat="1" applyFont="1" applyFill="1" applyBorder="1" applyAlignment="1" applyProtection="1">
      <alignment horizontal="center" vertical="center"/>
    </xf>
    <xf numFmtId="0" fontId="164" fillId="0" borderId="7" xfId="0" applyFont="1" applyBorder="1" applyAlignment="1" applyProtection="1">
      <alignment horizontal="righ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83" fillId="26" borderId="0" xfId="0" applyFont="1" applyFill="1" applyAlignment="1" applyProtection="1">
      <alignment horizontal="left" vertical="center" wrapText="1"/>
    </xf>
    <xf numFmtId="0" fontId="83" fillId="27" borderId="0" xfId="0" applyFont="1" applyFill="1" applyAlignment="1" applyProtection="1">
      <alignment vertical="center" wrapText="1"/>
    </xf>
    <xf numFmtId="0" fontId="12" fillId="27" borderId="0" xfId="32" applyFont="1" applyFill="1" applyBorder="1" applyAlignment="1" applyProtection="1">
      <alignment horizontal="right"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0" fontId="42" fillId="0" borderId="0" xfId="0" applyFont="1" applyFill="1" applyAlignment="1" applyProtection="1">
      <alignment vertical="center" wrapText="1"/>
    </xf>
    <xf numFmtId="0" fontId="14" fillId="27" borderId="0" xfId="49" applyFont="1" applyFill="1" applyAlignment="1" applyProtection="1">
      <alignment horizontal="center" vertical="center" wrapText="1"/>
    </xf>
    <xf numFmtId="0" fontId="19" fillId="27" borderId="0"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0" fontId="39" fillId="24" borderId="1" xfId="49" applyFont="1" applyFill="1" applyBorder="1" applyAlignment="1" applyProtection="1">
      <alignment horizontal="center" vertical="center" wrapText="1"/>
    </xf>
    <xf numFmtId="3" fontId="40" fillId="29" borderId="24" xfId="32" applyNumberFormat="1" applyFont="1" applyFill="1" applyBorder="1" applyAlignment="1" applyProtection="1">
      <alignment horizontal="center" vertical="center"/>
    </xf>
    <xf numFmtId="3" fontId="40" fillId="26" borderId="15" xfId="32" applyNumberFormat="1" applyFont="1" applyFill="1" applyBorder="1" applyAlignment="1" applyProtection="1">
      <alignment horizontal="center" vertical="center"/>
    </xf>
    <xf numFmtId="3" fontId="39" fillId="24" borderId="24" xfId="32" applyNumberFormat="1" applyFont="1" applyFill="1" applyBorder="1" applyAlignment="1" applyProtection="1">
      <alignment horizontal="center" vertical="center"/>
    </xf>
    <xf numFmtId="3" fontId="39" fillId="31" borderId="24" xfId="32" applyNumberFormat="1" applyFont="1" applyFill="1" applyBorder="1" applyAlignment="1" applyProtection="1">
      <alignment horizontal="center" vertical="center"/>
    </xf>
    <xf numFmtId="175" fontId="39" fillId="24" borderId="24" xfId="32" applyNumberFormat="1" applyFont="1" applyFill="1" applyBorder="1" applyAlignment="1" applyProtection="1">
      <alignment horizontal="center" vertical="center"/>
    </xf>
    <xf numFmtId="3" fontId="39" fillId="24" borderId="15" xfId="32" applyNumberFormat="1" applyFont="1" applyFill="1" applyBorder="1" applyAlignment="1" applyProtection="1">
      <alignment horizontal="center" vertical="center"/>
    </xf>
    <xf numFmtId="3" fontId="40" fillId="3" borderId="15" xfId="32" applyNumberFormat="1" applyFont="1" applyFill="1" applyBorder="1" applyAlignment="1" applyProtection="1">
      <alignment horizontal="center" vertical="center"/>
      <protection locked="0"/>
    </xf>
    <xf numFmtId="9" fontId="40" fillId="3" borderId="15" xfId="32" applyNumberFormat="1" applyFont="1" applyFill="1" applyBorder="1" applyAlignment="1" applyProtection="1">
      <alignment horizontal="center" vertical="center"/>
      <protection locked="0"/>
    </xf>
    <xf numFmtId="3" fontId="39" fillId="31" borderId="15" xfId="32" applyNumberFormat="1" applyFont="1" applyFill="1" applyBorder="1" applyAlignment="1" applyProtection="1">
      <alignment horizontal="center" vertical="center"/>
    </xf>
    <xf numFmtId="175" fontId="39" fillId="24" borderId="15" xfId="32" applyNumberFormat="1" applyFont="1" applyFill="1" applyBorder="1" applyAlignment="1" applyProtection="1">
      <alignment horizontal="center" vertical="center"/>
    </xf>
    <xf numFmtId="3" fontId="39" fillId="24" borderId="51" xfId="32" applyNumberFormat="1" applyFont="1" applyFill="1" applyBorder="1" applyAlignment="1" applyProtection="1">
      <alignment horizontal="center" vertical="center"/>
    </xf>
    <xf numFmtId="175" fontId="39" fillId="24" borderId="21" xfId="32" applyNumberFormat="1" applyFont="1" applyFill="1" applyBorder="1" applyAlignment="1" applyProtection="1">
      <alignment horizontal="center" vertical="center"/>
    </xf>
    <xf numFmtId="0" fontId="40" fillId="24" borderId="24" xfId="32" applyFont="1" applyFill="1" applyBorder="1" applyAlignment="1" applyProtection="1">
      <alignment horizontal="center" vertical="center" wrapText="1"/>
    </xf>
    <xf numFmtId="3" fontId="39" fillId="24" borderId="62" xfId="32" applyNumberFormat="1" applyFont="1" applyFill="1" applyBorder="1" applyAlignment="1" applyProtection="1">
      <alignment horizontal="center" vertical="center"/>
    </xf>
    <xf numFmtId="3" fontId="19" fillId="27" borderId="0" xfId="49" applyNumberFormat="1" applyFont="1" applyFill="1" applyBorder="1" applyAlignment="1" applyProtection="1">
      <alignment vertical="center" wrapText="1"/>
    </xf>
    <xf numFmtId="1" fontId="144" fillId="38" borderId="1" xfId="21" applyFont="1" applyFill="1" applyBorder="1" applyAlignment="1" applyProtection="1">
      <alignment horizontal="center" vertical="center" wrapText="1"/>
    </xf>
    <xf numFmtId="1" fontId="144" fillId="38" borderId="2" xfId="21" applyFont="1" applyFill="1" applyBorder="1" applyAlignment="1" applyProtection="1">
      <alignment horizontal="center" vertical="center" wrapText="1"/>
    </xf>
    <xf numFmtId="3" fontId="39" fillId="26" borderId="5" xfId="49" applyNumberFormat="1" applyFont="1" applyFill="1" applyBorder="1" applyAlignment="1" applyProtection="1">
      <alignment horizontal="center" vertical="center" wrapText="1"/>
    </xf>
    <xf numFmtId="3" fontId="39"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left" vertical="center" wrapText="1"/>
    </xf>
    <xf numFmtId="3" fontId="42" fillId="3" borderId="17" xfId="32" applyNumberFormat="1" applyFont="1" applyFill="1" applyBorder="1" applyAlignment="1" applyProtection="1">
      <alignment horizontal="center" vertical="center"/>
      <protection locked="0"/>
    </xf>
    <xf numFmtId="3" fontId="165" fillId="26" borderId="2" xfId="49" applyNumberFormat="1" applyFont="1" applyFill="1" applyBorder="1" applyAlignment="1" applyProtection="1">
      <alignment horizontal="center" vertical="center" wrapText="1"/>
    </xf>
    <xf numFmtId="3" fontId="20" fillId="31" borderId="96" xfId="49" applyNumberFormat="1" applyFont="1" applyFill="1" applyBorder="1" applyAlignment="1" applyProtection="1">
      <alignment horizontal="center" vertical="center" wrapText="1"/>
    </xf>
    <xf numFmtId="3" fontId="20" fillId="27" borderId="85" xfId="49" applyNumberFormat="1" applyFont="1" applyFill="1" applyBorder="1" applyAlignment="1" applyProtection="1">
      <alignment horizontal="center" vertical="center" wrapText="1"/>
    </xf>
    <xf numFmtId="3" fontId="11" fillId="3" borderId="81" xfId="32" applyNumberFormat="1" applyFont="1" applyFill="1" applyBorder="1" applyAlignment="1" applyProtection="1">
      <alignment horizontal="center" vertical="center"/>
      <protection locked="0"/>
    </xf>
    <xf numFmtId="3" fontId="20" fillId="27" borderId="81" xfId="49" applyNumberFormat="1" applyFont="1" applyFill="1" applyBorder="1" applyAlignment="1" applyProtection="1">
      <alignment horizontal="center" vertical="center"/>
    </xf>
    <xf numFmtId="3" fontId="11" fillId="33" borderId="81" xfId="49" applyNumberFormat="1" applyFont="1" applyFill="1" applyBorder="1" applyAlignment="1" applyProtection="1">
      <alignment horizontal="center" vertical="center"/>
    </xf>
    <xf numFmtId="3" fontId="20" fillId="20" borderId="81" xfId="49" applyNumberFormat="1" applyFont="1" applyFill="1" applyBorder="1" applyAlignment="1" applyProtection="1">
      <alignment horizontal="center" vertical="center"/>
    </xf>
    <xf numFmtId="3" fontId="11" fillId="3" borderId="92" xfId="32" applyNumberFormat="1" applyFont="1" applyFill="1" applyBorder="1" applyAlignment="1" applyProtection="1">
      <alignment horizontal="center" vertical="center"/>
      <protection locked="0"/>
    </xf>
    <xf numFmtId="3" fontId="20" fillId="33" borderId="81" xfId="49" applyNumberFormat="1" applyFont="1" applyFill="1" applyBorder="1" applyAlignment="1" applyProtection="1">
      <alignment horizontal="center" vertical="center"/>
    </xf>
    <xf numFmtId="3" fontId="128" fillId="31" borderId="65" xfId="55" applyNumberFormat="1" applyFont="1" applyFill="1" applyBorder="1" applyAlignment="1" applyProtection="1">
      <alignment horizontal="center" vertical="center"/>
    </xf>
    <xf numFmtId="3" fontId="56" fillId="0" borderId="11" xfId="55" applyNumberFormat="1" applyFont="1" applyFill="1" applyBorder="1" applyAlignment="1" applyProtection="1">
      <alignment horizontal="center" vertical="center"/>
    </xf>
    <xf numFmtId="3" fontId="56" fillId="0" borderId="23" xfId="55" applyNumberFormat="1" applyFont="1" applyFill="1" applyBorder="1" applyAlignment="1" applyProtection="1">
      <alignment horizontal="center" vertical="center"/>
    </xf>
    <xf numFmtId="3" fontId="56" fillId="0" borderId="28" xfId="55" applyNumberFormat="1" applyFont="1" applyFill="1" applyBorder="1" applyAlignment="1" applyProtection="1">
      <alignment horizontal="center" vertical="center"/>
    </xf>
    <xf numFmtId="3" fontId="56" fillId="0" borderId="45" xfId="55" applyNumberFormat="1" applyFont="1" applyFill="1" applyBorder="1" applyAlignment="1" applyProtection="1">
      <alignment horizontal="center" vertical="center"/>
    </xf>
    <xf numFmtId="1" fontId="128" fillId="31" borderId="65" xfId="55" applyNumberFormat="1" applyFont="1" applyFill="1" applyBorder="1" applyAlignment="1" applyProtection="1">
      <alignment horizontal="center" vertical="center"/>
    </xf>
    <xf numFmtId="3" fontId="128" fillId="31" borderId="72" xfId="55" applyNumberFormat="1" applyFont="1" applyFill="1" applyBorder="1" applyAlignment="1" applyProtection="1">
      <alignment horizontal="center" vertical="center"/>
    </xf>
    <xf numFmtId="3" fontId="128" fillId="26" borderId="32" xfId="55" applyNumberFormat="1" applyFont="1" applyFill="1" applyBorder="1" applyAlignment="1" applyProtection="1">
      <alignment horizontal="center" vertical="center"/>
    </xf>
    <xf numFmtId="3" fontId="128" fillId="26" borderId="79" xfId="55" applyNumberFormat="1" applyFont="1" applyFill="1" applyBorder="1" applyAlignment="1" applyProtection="1">
      <alignment horizontal="center" vertical="center"/>
    </xf>
    <xf numFmtId="9" fontId="128" fillId="31" borderId="65" xfId="70" applyFont="1" applyFill="1" applyBorder="1" applyAlignment="1" applyProtection="1">
      <alignment horizontal="center" vertical="center"/>
    </xf>
    <xf numFmtId="9" fontId="56" fillId="0" borderId="44" xfId="70" applyFont="1" applyFill="1" applyBorder="1" applyAlignment="1" applyProtection="1">
      <alignment horizontal="center" vertical="center"/>
    </xf>
    <xf numFmtId="9" fontId="126" fillId="0" borderId="32" xfId="70" applyFont="1" applyFill="1" applyBorder="1" applyAlignment="1" applyProtection="1">
      <alignment horizontal="center" vertical="center"/>
    </xf>
    <xf numFmtId="9" fontId="126" fillId="0" borderId="79" xfId="70" applyFont="1" applyFill="1" applyBorder="1" applyAlignment="1" applyProtection="1">
      <alignment horizontal="center" vertical="center"/>
    </xf>
    <xf numFmtId="3" fontId="128" fillId="31" borderId="72" xfId="32" applyNumberFormat="1" applyFont="1" applyFill="1" applyBorder="1" applyAlignment="1" applyProtection="1">
      <alignment horizontal="center" vertical="center"/>
    </xf>
    <xf numFmtId="3" fontId="126" fillId="27" borderId="44" xfId="32" applyNumberFormat="1" applyFont="1" applyFill="1" applyBorder="1" applyAlignment="1" applyProtection="1">
      <alignment horizontal="center" vertical="center"/>
    </xf>
    <xf numFmtId="3" fontId="44" fillId="0" borderId="47" xfId="32" applyNumberFormat="1" applyFont="1" applyFill="1" applyBorder="1" applyAlignment="1" applyProtection="1">
      <alignment horizontal="center" vertical="center"/>
    </xf>
    <xf numFmtId="3" fontId="128" fillId="31" borderId="65" xfId="32" applyNumberFormat="1" applyFont="1" applyFill="1" applyBorder="1" applyAlignment="1" applyProtection="1">
      <alignment horizontal="center" vertical="center"/>
    </xf>
    <xf numFmtId="3" fontId="128" fillId="26" borderId="32" xfId="32" applyNumberFormat="1" applyFont="1" applyFill="1" applyBorder="1" applyAlignment="1" applyProtection="1">
      <alignment horizontal="center" vertical="center"/>
    </xf>
    <xf numFmtId="3" fontId="128" fillId="26" borderId="70" xfId="32" applyNumberFormat="1" applyFont="1" applyFill="1" applyBorder="1" applyAlignment="1" applyProtection="1">
      <alignment horizontal="center" vertical="center"/>
    </xf>
    <xf numFmtId="3" fontId="129" fillId="0" borderId="152" xfId="32" applyNumberFormat="1" applyFont="1" applyFill="1" applyBorder="1" applyAlignment="1" applyProtection="1">
      <alignment horizontal="center" vertical="center"/>
    </xf>
    <xf numFmtId="3" fontId="129" fillId="0" borderId="130" xfId="32" applyNumberFormat="1" applyFont="1" applyFill="1" applyBorder="1" applyAlignment="1" applyProtection="1">
      <alignment horizontal="center" vertical="center"/>
    </xf>
    <xf numFmtId="3" fontId="129" fillId="0" borderId="81" xfId="32" applyNumberFormat="1" applyFont="1" applyFill="1" applyBorder="1" applyAlignment="1" applyProtection="1">
      <alignment horizontal="center" vertical="center"/>
    </xf>
    <xf numFmtId="3" fontId="129" fillId="0" borderId="92" xfId="32" applyNumberFormat="1" applyFont="1" applyFill="1" applyBorder="1" applyAlignment="1" applyProtection="1">
      <alignment horizontal="center" vertical="center"/>
    </xf>
    <xf numFmtId="3" fontId="45" fillId="31" borderId="75" xfId="0" applyNumberFormat="1" applyFont="1" applyFill="1" applyBorder="1" applyAlignment="1" applyProtection="1">
      <alignment horizontal="center" vertical="center"/>
    </xf>
    <xf numFmtId="3" fontId="42" fillId="0" borderId="52" xfId="32" applyNumberFormat="1" applyFont="1" applyFill="1" applyBorder="1" applyAlignment="1" applyProtection="1">
      <alignment horizontal="center" vertical="center"/>
    </xf>
    <xf numFmtId="3" fontId="41" fillId="0" borderId="49" xfId="32" applyNumberFormat="1" applyFont="1" applyFill="1" applyBorder="1" applyAlignment="1" applyProtection="1">
      <alignment horizontal="center" vertical="center"/>
    </xf>
    <xf numFmtId="3" fontId="41" fillId="0" borderId="56" xfId="32" applyNumberFormat="1" applyFont="1" applyFill="1" applyBorder="1" applyAlignment="1" applyProtection="1">
      <alignment horizontal="center" vertical="center"/>
    </xf>
    <xf numFmtId="3" fontId="42" fillId="27" borderId="52"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3" fontId="41" fillId="27" borderId="56" xfId="32" applyNumberFormat="1" applyFont="1" applyFill="1" applyBorder="1" applyAlignment="1" applyProtection="1">
      <alignment horizontal="center" vertical="center"/>
    </xf>
    <xf numFmtId="3" fontId="126" fillId="27" borderId="70" xfId="32" applyNumberFormat="1" applyFont="1" applyFill="1" applyBorder="1" applyAlignment="1" applyProtection="1">
      <alignment horizontal="center" vertical="center"/>
    </xf>
    <xf numFmtId="3" fontId="126" fillId="26" borderId="82" xfId="32" applyNumberFormat="1" applyFont="1" applyFill="1" applyBorder="1" applyAlignment="1" applyProtection="1">
      <alignment horizontal="center" vertical="center"/>
    </xf>
    <xf numFmtId="3" fontId="126" fillId="26" borderId="126" xfId="32" applyNumberFormat="1" applyFont="1" applyFill="1" applyBorder="1" applyAlignment="1" applyProtection="1">
      <alignment horizontal="center" vertical="center"/>
    </xf>
    <xf numFmtId="3" fontId="126" fillId="26" borderId="113" xfId="32" applyNumberFormat="1" applyFont="1" applyFill="1" applyBorder="1" applyAlignment="1" applyProtection="1">
      <alignment horizontal="center" vertical="center"/>
    </xf>
    <xf numFmtId="3" fontId="126" fillId="26" borderId="114" xfId="32" applyNumberFormat="1" applyFont="1" applyFill="1" applyBorder="1" applyAlignment="1" applyProtection="1">
      <alignment horizontal="center" vertical="center"/>
    </xf>
    <xf numFmtId="1" fontId="46" fillId="37" borderId="65" xfId="32" applyNumberFormat="1" applyFont="1" applyFill="1" applyBorder="1" applyAlignment="1" applyProtection="1">
      <alignment horizontal="center" vertical="center"/>
    </xf>
    <xf numFmtId="1" fontId="46" fillId="37" borderId="2" xfId="32" applyNumberFormat="1" applyFont="1" applyFill="1" applyBorder="1" applyAlignment="1" applyProtection="1">
      <alignment horizontal="center" vertical="center"/>
    </xf>
    <xf numFmtId="10" fontId="40" fillId="26" borderId="23" xfId="70" applyNumberFormat="1" applyFont="1" applyFill="1" applyBorder="1" applyAlignment="1" applyProtection="1">
      <alignment horizontal="right" vertical="center" wrapText="1"/>
    </xf>
    <xf numFmtId="3" fontId="11" fillId="26" borderId="32" xfId="32" applyNumberFormat="1" applyFont="1" applyFill="1" applyBorder="1" applyAlignment="1" applyProtection="1">
      <alignment horizontal="center" vertical="center"/>
    </xf>
    <xf numFmtId="3" fontId="39" fillId="37" borderId="47" xfId="31" applyNumberFormat="1" applyFont="1" applyFill="1" applyBorder="1" applyAlignment="1" applyProtection="1">
      <alignment horizontal="center" vertical="center"/>
    </xf>
    <xf numFmtId="0" fontId="39" fillId="37" borderId="47" xfId="31" applyFont="1" applyFill="1" applyBorder="1" applyAlignment="1" applyProtection="1">
      <alignment horizontal="center" vertical="center"/>
    </xf>
    <xf numFmtId="0" fontId="39" fillId="37" borderId="71" xfId="31" applyFont="1" applyFill="1" applyBorder="1" applyAlignment="1" applyProtection="1">
      <alignment horizontal="center" vertical="center"/>
    </xf>
    <xf numFmtId="0" fontId="39" fillId="37" borderId="48" xfId="31" applyFont="1" applyFill="1" applyBorder="1" applyAlignment="1" applyProtection="1">
      <alignment horizontal="center" vertical="center"/>
    </xf>
    <xf numFmtId="10" fontId="11" fillId="3" borderId="32" xfId="70" applyNumberFormat="1" applyFont="1" applyFill="1" applyBorder="1" applyAlignment="1" applyProtection="1">
      <alignment horizontal="center" vertical="center"/>
      <protection locked="0"/>
    </xf>
    <xf numFmtId="10" fontId="40" fillId="26" borderId="52" xfId="70" applyNumberFormat="1" applyFont="1" applyFill="1" applyBorder="1" applyAlignment="1" applyProtection="1">
      <alignment horizontal="right" vertical="center" wrapText="1"/>
    </xf>
    <xf numFmtId="173" fontId="39" fillId="37" borderId="38" xfId="31" applyNumberFormat="1" applyFont="1" applyFill="1" applyBorder="1" applyAlignment="1" applyProtection="1">
      <alignment horizontal="center" vertical="center"/>
    </xf>
    <xf numFmtId="10" fontId="11" fillId="3" borderId="79" xfId="70" applyNumberFormat="1" applyFont="1" applyFill="1" applyBorder="1" applyAlignment="1" applyProtection="1">
      <alignment horizontal="center" vertical="center"/>
      <protection locked="0"/>
    </xf>
    <xf numFmtId="173" fontId="39" fillId="37" borderId="79" xfId="31" applyNumberFormat="1" applyFont="1" applyFill="1" applyBorder="1" applyAlignment="1" applyProtection="1">
      <alignment vertical="center"/>
    </xf>
    <xf numFmtId="168" fontId="41" fillId="26" borderId="146" xfId="49" applyNumberFormat="1" applyFont="1" applyFill="1" applyBorder="1" applyAlignment="1" applyProtection="1">
      <alignment horizontal="center" vertical="center" wrapText="1"/>
    </xf>
    <xf numFmtId="168" fontId="41" fillId="26" borderId="123" xfId="49" applyNumberFormat="1" applyFont="1" applyFill="1" applyBorder="1" applyAlignment="1" applyProtection="1">
      <alignment horizontal="center" vertical="center" wrapText="1"/>
    </xf>
    <xf numFmtId="168" fontId="41" fillId="26" borderId="151" xfId="49" applyNumberFormat="1" applyFont="1" applyFill="1" applyBorder="1" applyAlignment="1" applyProtection="1">
      <alignment horizontal="center" vertical="center" wrapText="1"/>
    </xf>
    <xf numFmtId="168" fontId="41" fillId="26" borderId="147" xfId="49" applyNumberFormat="1" applyFont="1" applyFill="1" applyBorder="1" applyAlignment="1" applyProtection="1">
      <alignment horizontal="center" vertical="center" wrapText="1"/>
    </xf>
    <xf numFmtId="0" fontId="39" fillId="37" borderId="70" xfId="31" applyFont="1" applyFill="1" applyBorder="1" applyAlignment="1" applyProtection="1">
      <alignment horizontal="center" vertical="center"/>
    </xf>
    <xf numFmtId="0" fontId="39" fillId="37" borderId="101" xfId="31" applyFont="1" applyFill="1" applyBorder="1" applyAlignment="1" applyProtection="1">
      <alignment horizontal="center" vertical="center"/>
    </xf>
    <xf numFmtId="173" fontId="40" fillId="0" borderId="44" xfId="37" applyNumberFormat="1" applyFont="1" applyFill="1" applyBorder="1" applyAlignment="1" applyProtection="1">
      <alignment horizontal="right" vertical="center" wrapText="1"/>
    </xf>
    <xf numFmtId="9" fontId="41" fillId="26" borderId="123" xfId="49" applyNumberFormat="1" applyFont="1" applyFill="1" applyBorder="1" applyAlignment="1" applyProtection="1">
      <alignment horizontal="center" vertical="center" wrapText="1"/>
    </xf>
    <xf numFmtId="9" fontId="41" fillId="26" borderId="151" xfId="49" applyNumberFormat="1" applyFont="1" applyFill="1" applyBorder="1" applyAlignment="1" applyProtection="1">
      <alignment horizontal="center" vertical="center" wrapText="1"/>
    </xf>
    <xf numFmtId="9" fontId="41" fillId="26" borderId="147" xfId="49" applyNumberFormat="1" applyFont="1" applyFill="1" applyBorder="1" applyAlignment="1" applyProtection="1">
      <alignment horizontal="center" vertical="center" wrapText="1"/>
    </xf>
    <xf numFmtId="3" fontId="40" fillId="29" borderId="65" xfId="49" applyNumberFormat="1" applyFont="1" applyFill="1" applyBorder="1" applyAlignment="1" applyProtection="1">
      <alignment horizontal="right" vertical="center"/>
    </xf>
    <xf numFmtId="3" fontId="40" fillId="29" borderId="38" xfId="49" applyNumberFormat="1" applyFont="1" applyFill="1" applyBorder="1" applyAlignment="1" applyProtection="1">
      <alignment horizontal="right" vertical="center"/>
    </xf>
    <xf numFmtId="173" fontId="39" fillId="37" borderId="54" xfId="31" applyNumberFormat="1" applyFont="1" applyFill="1" applyBorder="1" applyAlignment="1" applyProtection="1">
      <alignment horizontal="center" vertical="center"/>
    </xf>
    <xf numFmtId="3" fontId="11" fillId="26" borderId="44" xfId="32" applyNumberFormat="1" applyFont="1" applyFill="1" applyBorder="1" applyAlignment="1" applyProtection="1">
      <alignment horizontal="center" vertical="center"/>
    </xf>
    <xf numFmtId="38" fontId="40" fillId="0" borderId="79" xfId="28" applyFont="1" applyFill="1" applyBorder="1" applyAlignment="1" applyProtection="1">
      <alignment horizontal="right" vertical="center" wrapText="1"/>
    </xf>
    <xf numFmtId="0" fontId="12" fillId="27" borderId="0" xfId="32" applyFont="1" applyFill="1" applyBorder="1" applyAlignment="1" applyProtection="1">
      <alignment vertical="center"/>
    </xf>
    <xf numFmtId="0" fontId="14" fillId="0" borderId="0" xfId="31" applyFont="1" applyAlignment="1" applyProtection="1">
      <alignment vertical="center" wrapText="1"/>
    </xf>
    <xf numFmtId="0" fontId="19" fillId="0" borderId="0" xfId="0" applyFont="1" applyFill="1" applyAlignment="1" applyProtection="1">
      <alignment vertical="center"/>
    </xf>
    <xf numFmtId="14" fontId="56" fillId="27" borderId="0" xfId="32" applyNumberFormat="1" applyFont="1" applyFill="1" applyAlignment="1">
      <alignment horizontal="left" vertical="center"/>
    </xf>
    <xf numFmtId="49" fontId="42" fillId="43" borderId="56" xfId="31" applyNumberFormat="1" applyFont="1" applyFill="1" applyBorder="1" applyAlignment="1" applyProtection="1">
      <alignment horizontal="center" vertical="center"/>
    </xf>
    <xf numFmtId="0" fontId="41" fillId="43" borderId="78" xfId="31" applyFont="1" applyFill="1" applyBorder="1" applyAlignment="1" applyProtection="1">
      <alignment horizontal="right" vertical="center"/>
    </xf>
    <xf numFmtId="3" fontId="41" fillId="43" borderId="78" xfId="37" applyNumberFormat="1" applyFont="1" applyFill="1" applyBorder="1" applyAlignment="1" applyProtection="1">
      <alignment horizontal="center" vertical="center" wrapText="1"/>
    </xf>
    <xf numFmtId="49" fontId="11" fillId="0" borderId="0" xfId="0" applyNumberFormat="1" applyFont="1" applyBorder="1" applyAlignment="1" applyProtection="1">
      <alignment horizontal="center" vertical="center"/>
    </xf>
    <xf numFmtId="0" fontId="40" fillId="0" borderId="0" xfId="31" applyFont="1" applyBorder="1" applyAlignment="1" applyProtection="1">
      <alignment vertical="center"/>
    </xf>
    <xf numFmtId="168" fontId="41" fillId="26" borderId="144" xfId="49" applyNumberFormat="1" applyFont="1" applyFill="1" applyBorder="1" applyAlignment="1" applyProtection="1">
      <alignment horizontal="center" vertical="center" wrapText="1"/>
    </xf>
    <xf numFmtId="49" fontId="11" fillId="0" borderId="47" xfId="0" applyNumberFormat="1" applyFont="1" applyFill="1" applyBorder="1" applyAlignment="1" applyProtection="1">
      <alignment horizontal="center" vertical="center"/>
    </xf>
    <xf numFmtId="0" fontId="40" fillId="0" borderId="48" xfId="49" applyFont="1" applyFill="1" applyBorder="1" applyAlignment="1" applyProtection="1">
      <alignment horizontal="left" vertical="center" wrapText="1"/>
    </xf>
    <xf numFmtId="49" fontId="11" fillId="0" borderId="56" xfId="0" applyNumberFormat="1" applyFont="1" applyFill="1" applyBorder="1" applyAlignment="1" applyProtection="1">
      <alignment horizontal="center" vertical="center"/>
    </xf>
    <xf numFmtId="0" fontId="39" fillId="0" borderId="57" xfId="49" applyFont="1" applyFill="1" applyBorder="1" applyAlignment="1" applyProtection="1">
      <alignment horizontal="left" vertical="center" wrapText="1"/>
    </xf>
    <xf numFmtId="3" fontId="39" fillId="0" borderId="77" xfId="21" applyNumberFormat="1" applyFont="1" applyFill="1" applyBorder="1" applyAlignment="1" applyProtection="1">
      <alignment horizontal="center" vertical="center" wrapText="1"/>
    </xf>
    <xf numFmtId="3" fontId="39" fillId="0" borderId="57" xfId="21" applyNumberFormat="1" applyFont="1" applyFill="1" applyBorder="1" applyAlignment="1" applyProtection="1">
      <alignment horizontal="center" vertical="center" wrapText="1"/>
    </xf>
    <xf numFmtId="3" fontId="39" fillId="0" borderId="78" xfId="21" applyNumberFormat="1" applyFont="1" applyFill="1" applyBorder="1" applyAlignment="1" applyProtection="1">
      <alignment horizontal="center" vertical="center" wrapText="1"/>
    </xf>
    <xf numFmtId="168" fontId="41" fillId="26" borderId="153" xfId="49" applyNumberFormat="1" applyFont="1" applyFill="1" applyBorder="1" applyAlignment="1" applyProtection="1">
      <alignment horizontal="center" vertical="center" wrapText="1"/>
    </xf>
    <xf numFmtId="3" fontId="11" fillId="3" borderId="4" xfId="32" applyNumberFormat="1" applyFont="1" applyFill="1" applyBorder="1" applyAlignment="1" applyProtection="1">
      <alignment horizontal="center" vertical="center"/>
      <protection locked="0"/>
    </xf>
    <xf numFmtId="3" fontId="11" fillId="3" borderId="13" xfId="32" applyNumberFormat="1" applyFont="1" applyFill="1" applyBorder="1" applyAlignment="1" applyProtection="1">
      <alignment horizontal="center" vertical="center"/>
      <protection locked="0"/>
    </xf>
    <xf numFmtId="3" fontId="11" fillId="3" borderId="16" xfId="32" applyNumberFormat="1" applyFont="1" applyFill="1" applyBorder="1" applyAlignment="1" applyProtection="1">
      <alignment horizontal="center" vertical="center"/>
      <protection locked="0"/>
    </xf>
    <xf numFmtId="3" fontId="11" fillId="0" borderId="4" xfId="32" applyNumberFormat="1" applyFont="1" applyFill="1" applyBorder="1" applyAlignment="1" applyProtection="1">
      <alignment horizontal="center" vertical="center"/>
    </xf>
    <xf numFmtId="3" fontId="11" fillId="0" borderId="13" xfId="32" applyNumberFormat="1" applyFont="1" applyFill="1" applyBorder="1" applyAlignment="1" applyProtection="1">
      <alignment horizontal="center" vertical="center"/>
    </xf>
    <xf numFmtId="178" fontId="11" fillId="26" borderId="71" xfId="32" applyNumberFormat="1" applyFont="1" applyFill="1" applyBorder="1" applyAlignment="1" applyProtection="1">
      <alignment horizontal="center" vertical="center"/>
    </xf>
    <xf numFmtId="178" fontId="11" fillId="26" borderId="48" xfId="32" applyNumberFormat="1" applyFont="1" applyFill="1" applyBorder="1" applyAlignment="1" applyProtection="1">
      <alignment horizontal="center" vertical="center"/>
    </xf>
    <xf numFmtId="9" fontId="39" fillId="0" borderId="9" xfId="21" applyNumberFormat="1" applyFont="1" applyFill="1" applyBorder="1" applyAlignment="1" applyProtection="1">
      <alignment horizontal="center" vertical="center" wrapText="1"/>
    </xf>
    <xf numFmtId="9" fontId="39" fillId="0" borderId="60" xfId="21" applyNumberFormat="1" applyFont="1" applyFill="1" applyBorder="1" applyAlignment="1" applyProtection="1">
      <alignment horizontal="center" vertical="center" wrapText="1"/>
    </xf>
    <xf numFmtId="9" fontId="39" fillId="0" borderId="10" xfId="21" applyNumberFormat="1" applyFont="1" applyFill="1" applyBorder="1" applyAlignment="1" applyProtection="1">
      <alignment horizontal="center" vertical="center" wrapText="1"/>
    </xf>
    <xf numFmtId="0" fontId="41" fillId="27" borderId="0" xfId="49" applyFont="1" applyFill="1" applyAlignment="1" applyProtection="1">
      <alignment vertical="center"/>
    </xf>
    <xf numFmtId="0" fontId="40" fillId="27" borderId="0" xfId="49" applyNumberFormat="1" applyFont="1" applyFill="1" applyAlignment="1" applyProtection="1">
      <alignment vertical="center" wrapText="1"/>
    </xf>
    <xf numFmtId="3" fontId="40" fillId="27" borderId="0" xfId="49" applyNumberFormat="1" applyFont="1" applyFill="1" applyAlignment="1" applyProtection="1">
      <alignment vertical="center" wrapText="1"/>
    </xf>
    <xf numFmtId="0" fontId="40" fillId="27" borderId="0" xfId="49" applyFont="1" applyFill="1" applyAlignment="1" applyProtection="1">
      <alignment vertical="center" wrapText="1"/>
    </xf>
    <xf numFmtId="0" fontId="20" fillId="37" borderId="38"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41" fillId="27" borderId="0" xfId="0" applyFont="1" applyFill="1" applyAlignment="1" applyProtection="1">
      <alignment vertical="center"/>
    </xf>
    <xf numFmtId="0" fontId="42" fillId="27" borderId="0" xfId="0" applyFont="1" applyFill="1" applyAlignment="1" applyProtection="1">
      <alignment vertical="center"/>
    </xf>
    <xf numFmtId="3" fontId="20" fillId="26" borderId="25" xfId="49" applyNumberFormat="1" applyFont="1" applyFill="1" applyBorder="1" applyAlignment="1" applyProtection="1">
      <alignment horizontal="center" vertical="center" wrapText="1"/>
    </xf>
    <xf numFmtId="3" fontId="20" fillId="26" borderId="24" xfId="49" applyNumberFormat="1" applyFont="1" applyFill="1" applyBorder="1" applyAlignment="1" applyProtection="1">
      <alignment horizontal="center" vertical="center"/>
    </xf>
    <xf numFmtId="3" fontId="11" fillId="26" borderId="24" xfId="49" applyNumberFormat="1" applyFont="1" applyFill="1" applyBorder="1" applyAlignment="1" applyProtection="1">
      <alignment horizontal="center" vertical="center"/>
    </xf>
    <xf numFmtId="3" fontId="20" fillId="27" borderId="72" xfId="49" applyNumberFormat="1" applyFont="1" applyFill="1" applyBorder="1" applyAlignment="1" applyProtection="1">
      <alignment horizontal="center" vertical="center" wrapText="1"/>
    </xf>
    <xf numFmtId="3" fontId="11" fillId="27" borderId="23" xfId="49" applyNumberFormat="1" applyFont="1" applyFill="1" applyBorder="1" applyAlignment="1" applyProtection="1">
      <alignment horizontal="center" vertical="center" wrapText="1"/>
    </xf>
    <xf numFmtId="3" fontId="11" fillId="27" borderId="32" xfId="49" applyNumberFormat="1" applyFont="1" applyFill="1" applyBorder="1" applyAlignment="1" applyProtection="1">
      <alignment horizontal="center" vertical="center" wrapText="1"/>
    </xf>
    <xf numFmtId="3" fontId="20" fillId="26" borderId="17" xfId="49" applyNumberFormat="1" applyFont="1" applyFill="1" applyBorder="1" applyAlignment="1" applyProtection="1">
      <alignment horizontal="center" vertical="center"/>
    </xf>
    <xf numFmtId="3" fontId="11" fillId="26" borderId="17" xfId="49" applyNumberFormat="1" applyFont="1" applyFill="1" applyBorder="1" applyAlignment="1" applyProtection="1">
      <alignment horizontal="center" vertical="center"/>
    </xf>
    <xf numFmtId="3" fontId="20" fillId="26" borderId="5" xfId="49" applyNumberFormat="1" applyFont="1" applyFill="1" applyBorder="1" applyAlignment="1" applyProtection="1">
      <alignment horizontal="center" vertical="center" wrapText="1"/>
    </xf>
    <xf numFmtId="0" fontId="20" fillId="37" borderId="26" xfId="0" applyFont="1" applyFill="1" applyBorder="1" applyAlignment="1" applyProtection="1">
      <alignment horizontal="center" vertical="center" wrapText="1"/>
    </xf>
    <xf numFmtId="0" fontId="20" fillId="37" borderId="4" xfId="0" applyFont="1" applyFill="1" applyBorder="1" applyAlignment="1" applyProtection="1">
      <alignment horizontal="center" vertical="center" wrapText="1"/>
    </xf>
    <xf numFmtId="0" fontId="20" fillId="37" borderId="68" xfId="0" applyFont="1" applyFill="1" applyBorder="1" applyAlignment="1" applyProtection="1">
      <alignment horizontal="center" vertical="center" wrapText="1"/>
    </xf>
    <xf numFmtId="0" fontId="20" fillId="37" borderId="67" xfId="0" applyFont="1" applyFill="1" applyBorder="1" applyAlignment="1" applyProtection="1">
      <alignment horizontal="center" vertical="center" wrapText="1"/>
    </xf>
    <xf numFmtId="0" fontId="20" fillId="37" borderId="1" xfId="0" applyFont="1" applyFill="1" applyBorder="1" applyAlignment="1" applyProtection="1">
      <alignment horizontal="center" vertical="center" wrapText="1"/>
    </xf>
    <xf numFmtId="0" fontId="39" fillId="37" borderId="3" xfId="0" applyFont="1" applyFill="1" applyBorder="1" applyAlignment="1" applyProtection="1">
      <alignment horizontal="center" vertical="center" wrapText="1"/>
    </xf>
    <xf numFmtId="0" fontId="64" fillId="37" borderId="9" xfId="54" applyFont="1" applyFill="1" applyBorder="1" applyAlignment="1" applyProtection="1">
      <alignment horizontal="center" vertical="center" wrapText="1"/>
    </xf>
    <xf numFmtId="0" fontId="64" fillId="37" borderId="10" xfId="54" applyFont="1" applyFill="1" applyBorder="1" applyAlignment="1" applyProtection="1">
      <alignment horizontal="center" vertical="center" wrapText="1"/>
    </xf>
    <xf numFmtId="0" fontId="20" fillId="41" borderId="40" xfId="88" applyFont="1" applyFill="1" applyBorder="1" applyAlignment="1" applyProtection="1">
      <alignment horizontal="center" vertical="center" wrapText="1"/>
    </xf>
    <xf numFmtId="0" fontId="20" fillId="41" borderId="73" xfId="88" applyFont="1" applyFill="1" applyBorder="1" applyAlignment="1" applyProtection="1">
      <alignment horizontal="center" vertical="center" wrapText="1"/>
    </xf>
    <xf numFmtId="0" fontId="20" fillId="41" borderId="41" xfId="88" applyFont="1" applyFill="1" applyBorder="1" applyAlignment="1" applyProtection="1">
      <alignment horizontal="center" vertical="center" wrapText="1"/>
    </xf>
    <xf numFmtId="0" fontId="20" fillId="41" borderId="75" xfId="88" applyFont="1" applyFill="1" applyBorder="1" applyAlignment="1" applyProtection="1">
      <alignment horizontal="center" vertical="center" wrapText="1"/>
    </xf>
    <xf numFmtId="0" fontId="20" fillId="41" borderId="80" xfId="88" applyFont="1" applyFill="1" applyBorder="1" applyAlignment="1" applyProtection="1">
      <alignment horizontal="center" vertical="center" wrapText="1"/>
    </xf>
    <xf numFmtId="0" fontId="56" fillId="20" borderId="7" xfId="80" applyFont="1" applyFill="1" applyBorder="1" applyAlignment="1" applyProtection="1">
      <alignment horizontal="center" vertical="center" wrapText="1"/>
    </xf>
    <xf numFmtId="0" fontId="44" fillId="26" borderId="7" xfId="0" applyFont="1" applyFill="1" applyBorder="1" applyAlignment="1" applyProtection="1">
      <alignment horizontal="left" vertical="center" wrapText="1"/>
    </xf>
    <xf numFmtId="170" fontId="39" fillId="37" borderId="34" xfId="32" applyNumberFormat="1" applyFont="1" applyFill="1" applyBorder="1" applyAlignment="1" applyProtection="1">
      <alignment horizontal="center" vertical="center" wrapText="1"/>
    </xf>
    <xf numFmtId="0" fontId="41" fillId="0" borderId="68" xfId="32" applyFont="1" applyFill="1" applyBorder="1" applyAlignment="1" applyProtection="1">
      <alignment horizontal="right" vertical="center" wrapText="1"/>
    </xf>
    <xf numFmtId="0" fontId="40" fillId="26" borderId="53" xfId="78" applyFont="1" applyFill="1" applyBorder="1" applyAlignment="1" applyProtection="1">
      <alignment horizontal="left" vertical="center" wrapText="1"/>
    </xf>
    <xf numFmtId="0" fontId="39" fillId="37" borderId="56" xfId="32" applyFont="1" applyFill="1" applyBorder="1" applyAlignment="1" applyProtection="1">
      <alignment horizontal="center" vertical="center" wrapText="1"/>
    </xf>
    <xf numFmtId="0" fontId="39" fillId="37" borderId="21" xfId="32" applyFont="1" applyFill="1" applyBorder="1" applyAlignment="1" applyProtection="1">
      <alignment horizontal="center" vertical="center" wrapText="1"/>
    </xf>
    <xf numFmtId="0" fontId="39" fillId="37" borderId="69" xfId="32" applyFont="1" applyFill="1" applyBorder="1" applyAlignment="1" applyProtection="1">
      <alignment horizontal="center" vertical="center"/>
    </xf>
    <xf numFmtId="0" fontId="39" fillId="37" borderId="63" xfId="32" applyFont="1" applyFill="1" applyBorder="1" applyAlignment="1" applyProtection="1">
      <alignment horizontal="center" vertical="center"/>
    </xf>
    <xf numFmtId="0" fontId="39" fillId="37" borderId="55" xfId="32" applyFont="1" applyFill="1" applyBorder="1" applyAlignment="1" applyProtection="1">
      <alignment horizontal="center" vertical="center"/>
    </xf>
    <xf numFmtId="9" fontId="39" fillId="31" borderId="34" xfId="70" applyFont="1" applyFill="1" applyBorder="1" applyAlignment="1" applyProtection="1">
      <alignment horizontal="center" vertical="center"/>
    </xf>
    <xf numFmtId="172" fontId="39" fillId="31" borderId="2" xfId="70" applyNumberFormat="1" applyFont="1" applyFill="1" applyBorder="1" applyAlignment="1" applyProtection="1">
      <alignment horizontal="center" vertical="center"/>
    </xf>
    <xf numFmtId="172" fontId="41" fillId="26" borderId="17" xfId="70" applyNumberFormat="1" applyFont="1" applyFill="1" applyBorder="1" applyAlignment="1" applyProtection="1">
      <alignment horizontal="center" vertical="center" wrapText="1"/>
    </xf>
    <xf numFmtId="172" fontId="41" fillId="26" borderId="39" xfId="70" applyNumberFormat="1" applyFont="1" applyFill="1" applyBorder="1" applyAlignment="1" applyProtection="1">
      <alignment horizontal="center" vertical="center"/>
    </xf>
    <xf numFmtId="167" fontId="39" fillId="37" borderId="42" xfId="49" applyNumberFormat="1" applyFont="1" applyFill="1" applyBorder="1" applyAlignment="1" applyProtection="1">
      <alignment horizontal="center" vertical="center" wrapText="1"/>
    </xf>
    <xf numFmtId="170" fontId="39" fillId="37" borderId="10" xfId="49" applyNumberFormat="1" applyFont="1" applyFill="1" applyBorder="1" applyAlignment="1" applyProtection="1">
      <alignment horizontal="center" vertical="center" wrapText="1"/>
    </xf>
    <xf numFmtId="167" fontId="40" fillId="37" borderId="33" xfId="49" applyNumberFormat="1" applyFont="1" applyFill="1" applyBorder="1" applyAlignment="1" applyProtection="1">
      <alignment horizontal="center" vertical="center" wrapText="1"/>
    </xf>
    <xf numFmtId="167" fontId="40" fillId="37" borderId="31" xfId="49" applyNumberFormat="1" applyFont="1" applyFill="1" applyBorder="1" applyAlignment="1" applyProtection="1">
      <alignment horizontal="center" vertical="center" wrapText="1"/>
    </xf>
    <xf numFmtId="167" fontId="40" fillId="37" borderId="6" xfId="49" applyNumberFormat="1" applyFont="1" applyFill="1" applyBorder="1" applyAlignment="1" applyProtection="1">
      <alignment horizontal="center" vertical="center" wrapText="1"/>
    </xf>
    <xf numFmtId="174" fontId="40" fillId="37" borderId="33" xfId="49" applyNumberFormat="1" applyFont="1" applyFill="1" applyBorder="1" applyAlignment="1" applyProtection="1">
      <alignment horizontal="center" vertical="center" wrapText="1"/>
    </xf>
    <xf numFmtId="174" fontId="40" fillId="37" borderId="31" xfId="49" applyNumberFormat="1" applyFont="1" applyFill="1" applyBorder="1" applyAlignment="1" applyProtection="1">
      <alignment horizontal="center" vertical="center" wrapText="1"/>
    </xf>
    <xf numFmtId="0" fontId="11" fillId="37" borderId="38" xfId="83" applyNumberFormat="1" applyFont="1" applyFill="1" applyBorder="1" applyAlignment="1" applyProtection="1">
      <alignment horizontal="center" vertical="center" wrapText="1"/>
    </xf>
    <xf numFmtId="0" fontId="11" fillId="37" borderId="9" xfId="83" applyNumberFormat="1" applyFont="1" applyFill="1" applyBorder="1" applyAlignment="1" applyProtection="1">
      <alignment horizontal="center" vertical="center" wrapText="1"/>
    </xf>
    <xf numFmtId="170" fontId="46" fillId="37" borderId="79" xfId="0" applyNumberFormat="1" applyFont="1" applyFill="1" applyBorder="1" applyAlignment="1" applyProtection="1">
      <alignment horizontal="center" vertical="center" wrapText="1"/>
    </xf>
    <xf numFmtId="170" fontId="46" fillId="37" borderId="77" xfId="0" applyNumberFormat="1" applyFont="1" applyFill="1" applyBorder="1" applyAlignment="1" applyProtection="1">
      <alignment horizontal="center" vertical="center" wrapText="1"/>
    </xf>
    <xf numFmtId="170" fontId="46" fillId="37" borderId="57" xfId="0" applyNumberFormat="1" applyFont="1" applyFill="1" applyBorder="1" applyAlignment="1" applyProtection="1">
      <alignment horizontal="center" vertical="center" wrapText="1"/>
    </xf>
    <xf numFmtId="0" fontId="144" fillId="47" borderId="7" xfId="0" applyFont="1" applyFill="1" applyBorder="1" applyAlignment="1" applyProtection="1">
      <alignment horizontal="center" vertical="center" wrapText="1"/>
    </xf>
    <xf numFmtId="3" fontId="144" fillId="37" borderId="7" xfId="49" applyNumberFormat="1" applyFont="1" applyFill="1" applyBorder="1" applyAlignment="1" applyProtection="1">
      <alignment horizontal="center" vertical="center" wrapText="1"/>
    </xf>
    <xf numFmtId="172" fontId="54" fillId="26" borderId="0" xfId="1" applyNumberFormat="1" applyFont="1" applyFill="1" applyBorder="1" applyAlignment="1" applyProtection="1">
      <alignment horizontal="center" vertical="center"/>
    </xf>
    <xf numFmtId="0" fontId="26" fillId="0" borderId="0" xfId="0" applyFont="1" applyAlignment="1" applyProtection="1">
      <alignment horizontal="center" vertical="center"/>
    </xf>
    <xf numFmtId="0" fontId="144" fillId="37" borderId="7" xfId="0" applyFont="1" applyFill="1" applyBorder="1" applyAlignment="1" applyProtection="1">
      <alignment horizontal="left" vertical="center" wrapText="1"/>
    </xf>
    <xf numFmtId="0" fontId="144" fillId="37" borderId="7" xfId="0" applyFont="1" applyFill="1" applyBorder="1" applyAlignment="1" applyProtection="1">
      <alignment horizontal="center" vertical="center" wrapText="1"/>
    </xf>
    <xf numFmtId="0" fontId="144" fillId="37" borderId="7" xfId="0" applyFont="1" applyFill="1" applyBorder="1" applyAlignment="1" applyProtection="1">
      <alignment horizontal="center" vertical="center"/>
    </xf>
    <xf numFmtId="0" fontId="144" fillId="37" borderId="7" xfId="32" applyFont="1" applyFill="1" applyBorder="1" applyAlignment="1" applyProtection="1">
      <alignment horizontal="center" vertical="center" wrapText="1"/>
    </xf>
    <xf numFmtId="170" fontId="144" fillId="37" borderId="7" xfId="32" applyNumberFormat="1" applyFont="1" applyFill="1" applyBorder="1" applyAlignment="1" applyProtection="1">
      <alignment horizontal="center" wrapText="1"/>
    </xf>
    <xf numFmtId="0" fontId="54" fillId="46" borderId="7" xfId="0" applyFont="1" applyFill="1" applyBorder="1" applyAlignment="1" applyProtection="1">
      <alignment horizontal="left" vertical="center" wrapText="1"/>
    </xf>
    <xf numFmtId="3" fontId="54" fillId="46" borderId="7" xfId="0" applyNumberFormat="1" applyFont="1" applyFill="1" applyBorder="1" applyAlignment="1" applyProtection="1">
      <alignment horizontal="center" vertical="center" wrapText="1"/>
    </xf>
    <xf numFmtId="170" fontId="144" fillId="37" borderId="7" xfId="32" applyNumberFormat="1" applyFont="1" applyFill="1" applyBorder="1" applyAlignment="1" applyProtection="1">
      <alignment horizontal="center" vertical="center" wrapText="1"/>
    </xf>
    <xf numFmtId="3" fontId="54" fillId="0" borderId="31" xfId="0" applyNumberFormat="1" applyFont="1" applyBorder="1" applyAlignment="1" applyProtection="1">
      <alignment horizontal="left" vertical="center"/>
    </xf>
    <xf numFmtId="3" fontId="54" fillId="0" borderId="31" xfId="0" applyNumberFormat="1" applyFont="1" applyBorder="1" applyAlignment="1" applyProtection="1">
      <alignment horizontal="center" vertical="center"/>
    </xf>
    <xf numFmtId="172" fontId="144" fillId="0" borderId="7" xfId="0" applyNumberFormat="1" applyFont="1" applyBorder="1" applyAlignment="1" applyProtection="1">
      <alignment horizontal="center" vertical="center"/>
    </xf>
    <xf numFmtId="0" fontId="144" fillId="0" borderId="7" xfId="0" applyFont="1" applyBorder="1" applyAlignment="1" applyProtection="1">
      <alignment vertical="center"/>
    </xf>
    <xf numFmtId="3" fontId="54" fillId="0" borderId="7" xfId="0" applyNumberFormat="1" applyFont="1" applyBorder="1" applyAlignment="1" applyProtection="1">
      <alignment horizontal="left" vertical="center"/>
    </xf>
    <xf numFmtId="0" fontId="35" fillId="0" borderId="7" xfId="0" applyFont="1" applyBorder="1" applyAlignment="1" applyProtection="1">
      <alignment vertical="center"/>
    </xf>
    <xf numFmtId="3" fontId="35" fillId="0" borderId="7" xfId="0" applyNumberFormat="1" applyFont="1" applyBorder="1" applyAlignment="1" applyProtection="1">
      <alignment horizontal="center" vertical="center"/>
    </xf>
    <xf numFmtId="0" fontId="144" fillId="46" borderId="7" xfId="0" applyFont="1" applyFill="1" applyBorder="1" applyAlignment="1" applyProtection="1">
      <alignment horizontal="left" vertical="center" wrapText="1"/>
    </xf>
    <xf numFmtId="3" fontId="144" fillId="46" borderId="7" xfId="0" applyNumberFormat="1" applyFont="1" applyFill="1" applyBorder="1" applyAlignment="1" applyProtection="1">
      <alignment horizontal="center" vertical="center" wrapText="1"/>
    </xf>
    <xf numFmtId="0" fontId="54" fillId="0" borderId="7" xfId="0" applyFont="1" applyBorder="1" applyAlignment="1" applyProtection="1">
      <alignment vertical="center"/>
    </xf>
    <xf numFmtId="0" fontId="54" fillId="0" borderId="0" xfId="0" applyFont="1" applyAlignment="1" applyProtection="1">
      <alignment vertical="center"/>
    </xf>
    <xf numFmtId="3" fontId="35" fillId="0" borderId="7" xfId="0" applyNumberFormat="1" applyFont="1" applyBorder="1" applyAlignment="1" applyProtection="1">
      <alignment horizontal="right" vertical="center" wrapText="1"/>
    </xf>
    <xf numFmtId="0" fontId="144" fillId="0" borderId="7" xfId="0" applyFont="1" applyBorder="1" applyProtection="1"/>
    <xf numFmtId="3" fontId="144" fillId="22" borderId="7" xfId="0" applyNumberFormat="1" applyFont="1" applyFill="1" applyBorder="1" applyAlignment="1" applyProtection="1">
      <alignment horizontal="left" vertical="center"/>
    </xf>
    <xf numFmtId="3" fontId="144" fillId="22" borderId="7" xfId="0" applyNumberFormat="1" applyFont="1" applyFill="1" applyBorder="1" applyAlignment="1" applyProtection="1">
      <alignment horizontal="center" vertical="center"/>
    </xf>
    <xf numFmtId="172" fontId="144" fillId="22" borderId="7" xfId="0" applyNumberFormat="1" applyFont="1" applyFill="1" applyBorder="1" applyAlignment="1" applyProtection="1">
      <alignment horizontal="center" vertical="center"/>
    </xf>
    <xf numFmtId="0" fontId="20" fillId="0" borderId="0" xfId="0" applyFont="1" applyBorder="1" applyProtection="1"/>
    <xf numFmtId="0" fontId="144" fillId="0" borderId="0" xfId="0" applyFont="1" applyBorder="1" applyAlignment="1" applyProtection="1">
      <alignment horizontal="center"/>
    </xf>
    <xf numFmtId="10" fontId="144" fillId="0" borderId="0" xfId="0" applyNumberFormat="1" applyFont="1" applyBorder="1" applyProtection="1"/>
    <xf numFmtId="0" fontId="35" fillId="0" borderId="0" xfId="0" applyFont="1" applyAlignment="1" applyProtection="1">
      <alignment horizontal="right" vertical="center"/>
    </xf>
    <xf numFmtId="3" fontId="35" fillId="0" borderId="0" xfId="0" applyNumberFormat="1" applyFont="1" applyFill="1" applyAlignment="1" applyProtection="1">
      <alignment vertical="center"/>
    </xf>
    <xf numFmtId="3" fontId="54" fillId="0" borderId="0" xfId="0" applyNumberFormat="1" applyFont="1" applyFill="1" applyAlignment="1" applyProtection="1">
      <alignment vertical="center"/>
    </xf>
    <xf numFmtId="3" fontId="54" fillId="0" borderId="7" xfId="0" applyNumberFormat="1" applyFont="1" applyBorder="1" applyAlignment="1" applyProtection="1">
      <alignment horizontal="right" vertical="center"/>
    </xf>
    <xf numFmtId="3" fontId="54" fillId="0" borderId="113" xfId="0" applyNumberFormat="1" applyFont="1" applyBorder="1" applyAlignment="1" applyProtection="1">
      <alignment horizontal="center" vertical="center"/>
    </xf>
    <xf numFmtId="3" fontId="54" fillId="0" borderId="113" xfId="0" applyNumberFormat="1" applyFont="1" applyBorder="1" applyAlignment="1">
      <alignment horizontal="center" vertical="center"/>
    </xf>
    <xf numFmtId="0" fontId="54" fillId="26" borderId="7" xfId="0" applyFont="1" applyFill="1" applyBorder="1" applyAlignment="1" applyProtection="1">
      <alignment vertical="center"/>
    </xf>
    <xf numFmtId="0" fontId="144" fillId="47" borderId="7" xfId="0" applyFont="1" applyFill="1" applyBorder="1" applyAlignment="1">
      <alignment horizontal="center" vertical="center" wrapText="1"/>
    </xf>
    <xf numFmtId="3" fontId="54" fillId="0" borderId="7" xfId="0" applyNumberFormat="1" applyFont="1" applyFill="1" applyBorder="1" applyAlignment="1" applyProtection="1">
      <alignment horizontal="center" vertical="center"/>
    </xf>
    <xf numFmtId="3" fontId="35" fillId="0" borderId="7" xfId="0" applyNumberFormat="1" applyFont="1" applyBorder="1" applyAlignment="1" applyProtection="1">
      <alignment horizontal="right" vertical="center"/>
    </xf>
    <xf numFmtId="3" fontId="144" fillId="0" borderId="7" xfId="0" applyNumberFormat="1" applyFont="1" applyFill="1" applyBorder="1" applyAlignment="1" applyProtection="1">
      <alignment horizontal="center" vertical="center"/>
    </xf>
    <xf numFmtId="0" fontId="54" fillId="0" borderId="0" xfId="0" applyFont="1" applyAlignment="1" applyProtection="1">
      <alignment horizontal="center" vertical="center"/>
    </xf>
    <xf numFmtId="0" fontId="144" fillId="37" borderId="63" xfId="0" applyFont="1" applyFill="1" applyBorder="1" applyAlignment="1" applyProtection="1">
      <alignment horizontal="center" vertical="center" wrapText="1"/>
    </xf>
    <xf numFmtId="172" fontId="144" fillId="0" borderId="0" xfId="1" applyNumberFormat="1" applyFont="1" applyBorder="1" applyAlignment="1" applyProtection="1">
      <alignment horizontal="center" vertical="center"/>
    </xf>
    <xf numFmtId="0" fontId="35" fillId="0" borderId="7" xfId="0" applyFont="1" applyBorder="1" applyAlignment="1" applyProtection="1">
      <alignment horizontal="right" vertical="center"/>
    </xf>
    <xf numFmtId="172" fontId="35" fillId="0" borderId="7" xfId="1" applyNumberFormat="1" applyFont="1" applyBorder="1" applyAlignment="1" applyProtection="1">
      <alignment horizontal="center" vertical="center"/>
    </xf>
    <xf numFmtId="172" fontId="35" fillId="0" borderId="0" xfId="1" applyNumberFormat="1" applyFont="1" applyBorder="1" applyAlignment="1" applyProtection="1">
      <alignment horizontal="center" vertical="center"/>
    </xf>
    <xf numFmtId="3" fontId="167" fillId="46" borderId="7" xfId="0" applyNumberFormat="1" applyFont="1" applyFill="1" applyBorder="1" applyAlignment="1" applyProtection="1">
      <alignment horizontal="right" vertical="center" wrapText="1"/>
    </xf>
    <xf numFmtId="172" fontId="167" fillId="0" borderId="7" xfId="1" applyNumberFormat="1" applyFont="1" applyBorder="1" applyAlignment="1" applyProtection="1">
      <alignment horizontal="center" vertical="center"/>
    </xf>
    <xf numFmtId="172" fontId="167" fillId="0" borderId="0" xfId="1" applyNumberFormat="1" applyFont="1" applyBorder="1" applyAlignment="1" applyProtection="1">
      <alignment horizontal="center" vertical="center"/>
    </xf>
    <xf numFmtId="0" fontId="54" fillId="0" borderId="0" xfId="0" applyFont="1" applyAlignment="1" applyProtection="1">
      <alignment vertical="center" wrapText="1"/>
    </xf>
    <xf numFmtId="172" fontId="54" fillId="0" borderId="7" xfId="0" applyNumberFormat="1" applyFont="1" applyBorder="1" applyAlignment="1" applyProtection="1">
      <alignment horizontal="center" vertical="center"/>
    </xf>
    <xf numFmtId="172" fontId="54" fillId="0" borderId="0" xfId="0" applyNumberFormat="1" applyFont="1" applyBorder="1" applyAlignment="1" applyProtection="1">
      <alignment horizontal="center" vertical="center"/>
    </xf>
    <xf numFmtId="172" fontId="35" fillId="0" borderId="7" xfId="0" applyNumberFormat="1" applyFont="1" applyBorder="1" applyAlignment="1" applyProtection="1">
      <alignment horizontal="center" vertical="center"/>
    </xf>
    <xf numFmtId="172" fontId="35" fillId="0" borderId="0" xfId="0" applyNumberFormat="1" applyFont="1" applyBorder="1" applyAlignment="1" applyProtection="1">
      <alignment horizontal="center" vertical="center"/>
    </xf>
    <xf numFmtId="3" fontId="167" fillId="0" borderId="7" xfId="0" applyNumberFormat="1" applyFont="1" applyBorder="1" applyAlignment="1" applyProtection="1">
      <alignment horizontal="center" vertical="center"/>
    </xf>
    <xf numFmtId="3" fontId="144" fillId="0" borderId="7" xfId="0" applyNumberFormat="1" applyFont="1" applyBorder="1" applyAlignment="1" applyProtection="1">
      <alignment horizontal="center"/>
    </xf>
    <xf numFmtId="0" fontId="144" fillId="22" borderId="7" xfId="0" applyFont="1" applyFill="1" applyBorder="1" applyAlignment="1" applyProtection="1">
      <alignment vertical="center"/>
    </xf>
    <xf numFmtId="0" fontId="54" fillId="26" borderId="7" xfId="0" applyFont="1" applyFill="1" applyBorder="1" applyAlignment="1" applyProtection="1">
      <alignment vertical="center" wrapText="1"/>
    </xf>
    <xf numFmtId="172" fontId="144" fillId="26" borderId="7" xfId="0" applyNumberFormat="1" applyFont="1" applyFill="1" applyBorder="1" applyAlignment="1" applyProtection="1">
      <alignment horizontal="center" vertical="center"/>
    </xf>
    <xf numFmtId="3" fontId="144" fillId="38" borderId="7" xfId="21" applyNumberFormat="1"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3" fontId="35" fillId="0" borderId="7" xfId="0" applyNumberFormat="1" applyFont="1" applyBorder="1" applyAlignment="1">
      <alignment horizontal="right" vertical="center" wrapText="1"/>
    </xf>
    <xf numFmtId="3" fontId="35" fillId="0" borderId="7" xfId="0" applyNumberFormat="1" applyFont="1" applyBorder="1" applyAlignment="1">
      <alignment horizontal="center" vertical="center"/>
    </xf>
    <xf numFmtId="172" fontId="144" fillId="0" borderId="7" xfId="0" applyNumberFormat="1" applyFont="1" applyBorder="1" applyAlignment="1">
      <alignment horizontal="center" vertical="center"/>
    </xf>
    <xf numFmtId="0" fontId="26" fillId="0" borderId="0" xfId="0" applyFont="1" applyAlignment="1">
      <alignment horizontal="center"/>
    </xf>
    <xf numFmtId="0" fontId="26" fillId="0" borderId="0" xfId="0" applyFont="1" applyAlignment="1">
      <alignment horizontal="center" vertical="center"/>
    </xf>
    <xf numFmtId="0" fontId="144" fillId="0" borderId="7" xfId="0" applyFont="1" applyBorder="1" applyAlignment="1">
      <alignment vertical="center"/>
    </xf>
    <xf numFmtId="3" fontId="144" fillId="0" borderId="7" xfId="0" applyNumberFormat="1" applyFont="1" applyBorder="1" applyAlignment="1">
      <alignment horizontal="center" vertical="center"/>
    </xf>
    <xf numFmtId="3" fontId="54" fillId="0" borderId="7" xfId="0" applyNumberFormat="1" applyFont="1" applyBorder="1" applyAlignment="1">
      <alignment horizontal="left" vertical="center"/>
    </xf>
    <xf numFmtId="3" fontId="54" fillId="0" borderId="7" xfId="0" applyNumberFormat="1" applyFont="1" applyBorder="1" applyAlignment="1">
      <alignment horizontal="center" vertical="center"/>
    </xf>
    <xf numFmtId="0" fontId="35" fillId="0" borderId="7" xfId="0" applyFont="1" applyBorder="1" applyAlignment="1">
      <alignment vertical="center"/>
    </xf>
    <xf numFmtId="0" fontId="54" fillId="0" borderId="7" xfId="0" applyFont="1" applyBorder="1" applyAlignment="1">
      <alignment vertical="center"/>
    </xf>
    <xf numFmtId="0" fontId="144" fillId="37" borderId="7" xfId="0" applyFont="1" applyFill="1" applyBorder="1" applyAlignment="1" applyProtection="1">
      <alignment vertical="center"/>
    </xf>
    <xf numFmtId="3" fontId="144" fillId="37" borderId="7" xfId="0" applyNumberFormat="1" applyFont="1" applyFill="1" applyBorder="1" applyAlignment="1" applyProtection="1">
      <alignment horizontal="center" vertical="center"/>
    </xf>
    <xf numFmtId="172" fontId="144" fillId="37" borderId="7" xfId="0" applyNumberFormat="1" applyFont="1" applyFill="1" applyBorder="1" applyAlignment="1" applyProtection="1">
      <alignment horizontal="center" vertical="center"/>
    </xf>
    <xf numFmtId="3" fontId="144" fillId="22" borderId="7" xfId="0" applyNumberFormat="1" applyFont="1" applyFill="1" applyBorder="1" applyAlignment="1">
      <alignment horizontal="left" vertical="center"/>
    </xf>
    <xf numFmtId="3" fontId="144" fillId="22" borderId="7" xfId="0" applyNumberFormat="1" applyFont="1" applyFill="1" applyBorder="1" applyAlignment="1">
      <alignment horizontal="center" vertical="center"/>
    </xf>
    <xf numFmtId="172" fontId="144" fillId="22" borderId="7" xfId="0" applyNumberFormat="1" applyFont="1" applyFill="1" applyBorder="1" applyAlignment="1">
      <alignment horizontal="center" vertical="center"/>
    </xf>
    <xf numFmtId="3" fontId="54" fillId="0" borderId="7" xfId="0" applyNumberFormat="1" applyFont="1" applyBorder="1" applyAlignment="1">
      <alignment horizontal="right" vertical="center"/>
    </xf>
    <xf numFmtId="3" fontId="35" fillId="0" borderId="7" xfId="0" applyNumberFormat="1" applyFont="1" applyBorder="1" applyAlignment="1">
      <alignment horizontal="right" vertical="center"/>
    </xf>
    <xf numFmtId="177" fontId="54" fillId="0" borderId="7" xfId="0" applyNumberFormat="1" applyFont="1" applyBorder="1" applyAlignment="1" applyProtection="1">
      <alignment horizontal="center" vertical="center"/>
    </xf>
    <xf numFmtId="3" fontId="54" fillId="0" borderId="0" xfId="0" applyNumberFormat="1" applyFont="1" applyBorder="1" applyAlignment="1">
      <alignment horizontal="left" vertical="center"/>
    </xf>
    <xf numFmtId="3" fontId="54" fillId="0" borderId="0" xfId="0" applyNumberFormat="1" applyFont="1" applyBorder="1" applyAlignment="1">
      <alignment horizontal="center" vertical="center"/>
    </xf>
    <xf numFmtId="172" fontId="144" fillId="0" borderId="0" xfId="0" applyNumberFormat="1" applyFont="1" applyBorder="1" applyAlignment="1">
      <alignment horizontal="center" vertical="center"/>
    </xf>
    <xf numFmtId="3" fontId="167" fillId="0" borderId="7" xfId="0" applyNumberFormat="1" applyFont="1" applyBorder="1" applyAlignment="1">
      <alignment horizontal="center" vertical="center"/>
    </xf>
    <xf numFmtId="3" fontId="144" fillId="38" borderId="7" xfId="21" applyNumberFormat="1" applyFont="1" applyFill="1" applyBorder="1" applyAlignment="1">
      <alignment horizontal="center" vertical="center" wrapText="1"/>
    </xf>
    <xf numFmtId="0" fontId="144" fillId="22" borderId="7" xfId="0" applyFont="1" applyFill="1" applyBorder="1" applyAlignment="1">
      <alignment vertical="center"/>
    </xf>
    <xf numFmtId="0" fontId="35" fillId="26" borderId="7" xfId="0" applyFont="1" applyFill="1" applyBorder="1" applyAlignment="1">
      <alignment vertical="center"/>
    </xf>
    <xf numFmtId="3" fontId="35" fillId="26" borderId="7" xfId="0" applyNumberFormat="1" applyFont="1" applyFill="1" applyBorder="1" applyAlignment="1">
      <alignment horizontal="center" vertical="center"/>
    </xf>
    <xf numFmtId="0" fontId="35" fillId="26" borderId="0" xfId="0" applyFont="1" applyFill="1" applyBorder="1" applyAlignment="1">
      <alignment vertical="center"/>
    </xf>
    <xf numFmtId="3" fontId="35" fillId="26" borderId="0" xfId="0" applyNumberFormat="1" applyFont="1" applyFill="1" applyBorder="1" applyAlignment="1">
      <alignment horizontal="center" vertical="center"/>
    </xf>
    <xf numFmtId="0" fontId="54" fillId="0" borderId="0" xfId="0" applyFont="1"/>
    <xf numFmtId="3" fontId="54" fillId="0" borderId="0" xfId="0" applyNumberFormat="1" applyFont="1" applyAlignment="1">
      <alignment horizontal="center" vertical="center"/>
    </xf>
    <xf numFmtId="0" fontId="35" fillId="0" borderId="7" xfId="0" applyFont="1" applyBorder="1" applyAlignment="1">
      <alignment horizontal="right" vertical="center"/>
    </xf>
    <xf numFmtId="0" fontId="33" fillId="0" borderId="0" xfId="0" applyFont="1" applyAlignment="1">
      <alignment vertical="center"/>
    </xf>
    <xf numFmtId="0" fontId="144" fillId="37" borderId="7" xfId="0" applyFont="1" applyFill="1" applyBorder="1" applyAlignment="1">
      <alignment horizontal="left" vertical="center" wrapText="1"/>
    </xf>
    <xf numFmtId="0" fontId="144" fillId="37" borderId="7" xfId="0" applyFont="1" applyFill="1" applyBorder="1" applyAlignment="1">
      <alignment horizontal="center" vertical="center" wrapText="1"/>
    </xf>
    <xf numFmtId="0" fontId="35" fillId="0" borderId="0" xfId="0" applyFont="1" applyBorder="1" applyAlignment="1">
      <alignment vertical="center"/>
    </xf>
    <xf numFmtId="3" fontId="167" fillId="0" borderId="0" xfId="0" applyNumberFormat="1" applyFont="1" applyBorder="1" applyAlignment="1">
      <alignment vertical="center"/>
    </xf>
    <xf numFmtId="0" fontId="54" fillId="26" borderId="7" xfId="0" applyFont="1" applyFill="1" applyBorder="1" applyAlignment="1">
      <alignment vertical="center" wrapText="1"/>
    </xf>
    <xf numFmtId="3" fontId="54" fillId="0" borderId="7" xfId="0" applyNumberFormat="1" applyFont="1" applyBorder="1" applyAlignment="1">
      <alignment horizontal="left" vertical="center" wrapText="1"/>
    </xf>
    <xf numFmtId="0" fontId="35" fillId="0" borderId="7" xfId="0" applyFont="1" applyBorder="1" applyAlignment="1">
      <alignment vertical="center" wrapText="1"/>
    </xf>
    <xf numFmtId="0" fontId="26" fillId="0" borderId="0" xfId="0" applyFont="1" applyAlignment="1">
      <alignment vertical="center"/>
    </xf>
    <xf numFmtId="0" fontId="26" fillId="0" borderId="0" xfId="0" applyFont="1" applyAlignment="1" applyProtection="1">
      <alignment vertical="center" wrapText="1"/>
    </xf>
    <xf numFmtId="0" fontId="148" fillId="37" borderId="7" xfId="54" applyFont="1" applyFill="1" applyBorder="1" applyAlignment="1" applyProtection="1">
      <alignment horizontal="center" vertical="center" wrapText="1"/>
    </xf>
    <xf numFmtId="172" fontId="144" fillId="0" borderId="62" xfId="0" applyNumberFormat="1" applyFont="1" applyBorder="1" applyAlignment="1" applyProtection="1">
      <alignment horizontal="center" vertical="center"/>
    </xf>
    <xf numFmtId="0" fontId="54" fillId="0" borderId="0" xfId="0" applyFont="1" applyBorder="1" applyAlignment="1" applyProtection="1">
      <alignment vertical="center" wrapText="1"/>
    </xf>
    <xf numFmtId="3" fontId="54" fillId="0" borderId="0" xfId="0" applyNumberFormat="1" applyFont="1" applyBorder="1" applyAlignment="1" applyProtection="1">
      <alignment horizontal="center" vertical="center"/>
    </xf>
    <xf numFmtId="172" fontId="144" fillId="0" borderId="0" xfId="0" applyNumberFormat="1" applyFont="1" applyBorder="1" applyAlignment="1" applyProtection="1">
      <alignment horizontal="center" vertical="center"/>
    </xf>
    <xf numFmtId="0" fontId="54" fillId="22" borderId="7" xfId="0" applyFont="1" applyFill="1" applyBorder="1" applyAlignment="1" applyProtection="1">
      <alignment vertical="center" wrapText="1"/>
    </xf>
    <xf numFmtId="0" fontId="54" fillId="22" borderId="7" xfId="32" applyFont="1" applyFill="1" applyBorder="1" applyAlignment="1" applyProtection="1">
      <alignment horizontal="center" vertical="center" wrapText="1"/>
    </xf>
    <xf numFmtId="3" fontId="54" fillId="0" borderId="7" xfId="0" applyNumberFormat="1" applyFont="1" applyBorder="1" applyAlignment="1" applyProtection="1">
      <alignment vertical="center"/>
    </xf>
    <xf numFmtId="172" fontId="54" fillId="0" borderId="7" xfId="1" applyNumberFormat="1" applyFont="1" applyBorder="1" applyAlignment="1" applyProtection="1">
      <alignment horizontal="center" vertical="center"/>
    </xf>
    <xf numFmtId="3" fontId="54" fillId="0" borderId="7" xfId="0" applyNumberFormat="1" applyFont="1" applyBorder="1" applyAlignment="1" applyProtection="1">
      <alignment vertical="center" wrapText="1"/>
    </xf>
    <xf numFmtId="3" fontId="144" fillId="47" borderId="7" xfId="0" applyNumberFormat="1" applyFont="1" applyFill="1" applyBorder="1" applyAlignment="1">
      <alignment horizontal="center" vertical="center" wrapText="1"/>
    </xf>
    <xf numFmtId="4" fontId="54" fillId="0" borderId="7" xfId="0" applyNumberFormat="1" applyFont="1" applyBorder="1" applyAlignment="1">
      <alignment horizontal="center" vertical="center"/>
    </xf>
    <xf numFmtId="0" fontId="54" fillId="0" borderId="7" xfId="0" applyFont="1" applyBorder="1" applyAlignment="1">
      <alignment horizontal="center" vertical="center"/>
    </xf>
    <xf numFmtId="3" fontId="54" fillId="49" borderId="7" xfId="0" applyNumberFormat="1" applyFont="1" applyFill="1" applyBorder="1" applyAlignment="1">
      <alignment horizontal="center" vertical="center"/>
    </xf>
    <xf numFmtId="10" fontId="54" fillId="0" borderId="7" xfId="0" applyNumberFormat="1" applyFont="1" applyBorder="1" applyAlignment="1">
      <alignment horizontal="center" vertical="center"/>
    </xf>
    <xf numFmtId="4" fontId="144" fillId="0" borderId="7" xfId="0" applyNumberFormat="1" applyFont="1" applyBorder="1" applyAlignment="1">
      <alignment horizontal="center" vertical="center"/>
    </xf>
    <xf numFmtId="10" fontId="144" fillId="0" borderId="7" xfId="0" applyNumberFormat="1" applyFont="1" applyBorder="1" applyAlignment="1">
      <alignment horizontal="center" vertical="center"/>
    </xf>
    <xf numFmtId="0" fontId="144" fillId="0" borderId="7" xfId="0" applyFont="1" applyBorder="1" applyAlignment="1">
      <alignment horizontal="center" vertical="center"/>
    </xf>
    <xf numFmtId="176" fontId="144" fillId="0" borderId="7" xfId="0" applyNumberFormat="1" applyFont="1" applyBorder="1" applyAlignment="1">
      <alignment horizontal="center" vertical="center" wrapText="1"/>
    </xf>
    <xf numFmtId="0" fontId="144" fillId="0" borderId="7" xfId="0" applyFont="1" applyBorder="1" applyAlignment="1" applyProtection="1">
      <alignment horizontal="right" vertical="center"/>
    </xf>
    <xf numFmtId="0" fontId="26" fillId="0" borderId="0" xfId="0" applyFont="1" applyAlignment="1">
      <alignment vertical="center" wrapText="1"/>
    </xf>
    <xf numFmtId="0" fontId="144" fillId="37" borderId="63" xfId="56" applyFont="1" applyFill="1" applyBorder="1" applyAlignment="1" applyProtection="1">
      <alignment horizontal="center" vertical="center" wrapText="1"/>
    </xf>
    <xf numFmtId="0" fontId="144" fillId="37" borderId="7" xfId="54" applyFont="1" applyFill="1" applyBorder="1" applyAlignment="1" applyProtection="1">
      <alignment horizontal="center" vertical="center" wrapText="1"/>
    </xf>
    <xf numFmtId="175" fontId="35" fillId="0" borderId="7" xfId="0" applyNumberFormat="1" applyFont="1" applyBorder="1" applyAlignment="1" applyProtection="1">
      <alignment horizontal="center" vertical="center"/>
    </xf>
    <xf numFmtId="0" fontId="54" fillId="0" borderId="0" xfId="0" applyFont="1" applyProtection="1"/>
    <xf numFmtId="0" fontId="39" fillId="37" borderId="35" xfId="0" applyFont="1" applyFill="1" applyBorder="1" applyAlignment="1" applyProtection="1">
      <alignment horizontal="center" vertical="center"/>
    </xf>
    <xf numFmtId="0" fontId="42" fillId="0" borderId="0" xfId="0" applyFont="1" applyFill="1" applyAlignment="1" applyProtection="1">
      <alignment vertical="top" wrapText="1"/>
    </xf>
    <xf numFmtId="10" fontId="40" fillId="0" borderId="36" xfId="1" applyNumberFormat="1" applyFont="1" applyFill="1" applyBorder="1" applyAlignment="1" applyProtection="1">
      <alignment horizontal="center" vertical="center"/>
    </xf>
    <xf numFmtId="10" fontId="40" fillId="0" borderId="7" xfId="1" applyNumberFormat="1" applyFont="1" applyFill="1" applyBorder="1" applyAlignment="1" applyProtection="1">
      <alignment horizontal="center" vertical="center"/>
    </xf>
    <xf numFmtId="4" fontId="40" fillId="0" borderId="24" xfId="0" applyNumberFormat="1" applyFont="1" applyFill="1" applyBorder="1" applyAlignment="1" applyProtection="1">
      <alignment horizontal="center" vertical="center"/>
    </xf>
    <xf numFmtId="4" fontId="40" fillId="20" borderId="24" xfId="0" applyNumberFormat="1" applyFont="1" applyFill="1" applyBorder="1" applyAlignment="1" applyProtection="1">
      <alignment horizontal="center" vertical="center"/>
    </xf>
    <xf numFmtId="3" fontId="40" fillId="0" borderId="24" xfId="0" applyNumberFormat="1" applyFont="1" applyFill="1" applyBorder="1" applyAlignment="1" applyProtection="1">
      <alignment horizontal="center" vertical="center"/>
    </xf>
    <xf numFmtId="4" fontId="40" fillId="20" borderId="36" xfId="0" applyNumberFormat="1" applyFont="1" applyFill="1" applyBorder="1" applyAlignment="1" applyProtection="1">
      <alignment horizontal="center" vertical="center"/>
    </xf>
    <xf numFmtId="10" fontId="40" fillId="0" borderId="52" xfId="1" applyNumberFormat="1" applyFont="1" applyFill="1" applyBorder="1" applyAlignment="1" applyProtection="1">
      <alignment horizontal="center" vertical="center"/>
    </xf>
    <xf numFmtId="10" fontId="40" fillId="0" borderId="53" xfId="1" applyNumberFormat="1" applyFont="1" applyFill="1" applyBorder="1" applyAlignment="1" applyProtection="1">
      <alignment horizontal="center" vertical="center"/>
    </xf>
    <xf numFmtId="176" fontId="39" fillId="39" borderId="7" xfId="0" applyNumberFormat="1" applyFont="1" applyFill="1" applyBorder="1" applyAlignment="1">
      <alignment horizontal="center" vertical="center"/>
    </xf>
    <xf numFmtId="0" fontId="39" fillId="0" borderId="2" xfId="0" applyFont="1" applyBorder="1" applyAlignment="1" applyProtection="1">
      <alignment horizontal="center" vertical="center"/>
    </xf>
    <xf numFmtId="171" fontId="39" fillId="51" borderId="38" xfId="0" applyNumberFormat="1" applyFont="1" applyFill="1" applyBorder="1" applyAlignment="1" applyProtection="1">
      <alignment horizontal="center" vertical="center"/>
    </xf>
    <xf numFmtId="171" fontId="39" fillId="25" borderId="9" xfId="0" applyNumberFormat="1" applyFont="1" applyFill="1" applyBorder="1" applyAlignment="1" applyProtection="1">
      <alignment horizontal="center" vertical="center"/>
    </xf>
    <xf numFmtId="2" fontId="40" fillId="37" borderId="1" xfId="0" applyNumberFormat="1" applyFont="1" applyFill="1" applyBorder="1" applyAlignment="1" applyProtection="1">
      <alignment horizontal="center" vertical="center"/>
    </xf>
    <xf numFmtId="176" fontId="39" fillId="51" borderId="9" xfId="0" applyNumberFormat="1" applyFont="1" applyFill="1" applyBorder="1" applyAlignment="1">
      <alignment horizontal="center" vertical="center"/>
    </xf>
    <xf numFmtId="176" fontId="39" fillId="51" borderId="10" xfId="0" applyNumberFormat="1" applyFont="1" applyFill="1" applyBorder="1" applyAlignment="1">
      <alignment horizontal="center" vertical="center"/>
    </xf>
    <xf numFmtId="0" fontId="39" fillId="39" borderId="0" xfId="0" applyFont="1" applyFill="1" applyBorder="1" applyAlignment="1" applyProtection="1">
      <alignment vertical="center"/>
    </xf>
    <xf numFmtId="171" fontId="39" fillId="25" borderId="38" xfId="0" applyNumberFormat="1" applyFont="1" applyFill="1" applyBorder="1" applyAlignment="1" applyProtection="1">
      <alignment horizontal="center" vertical="center"/>
    </xf>
    <xf numFmtId="2" fontId="40" fillId="2" borderId="0" xfId="0" applyNumberFormat="1" applyFont="1" applyFill="1" applyBorder="1" applyAlignment="1" applyProtection="1">
      <alignment vertical="center"/>
    </xf>
    <xf numFmtId="2" fontId="40" fillId="2" borderId="25" xfId="0" applyNumberFormat="1" applyFont="1" applyFill="1" applyBorder="1" applyAlignment="1" applyProtection="1">
      <alignment vertical="center"/>
    </xf>
    <xf numFmtId="2" fontId="40" fillId="37" borderId="7" xfId="0" applyNumberFormat="1" applyFont="1" applyFill="1" applyBorder="1" applyAlignment="1" applyProtection="1">
      <alignment horizontal="center" vertical="center"/>
    </xf>
    <xf numFmtId="2" fontId="40" fillId="2" borderId="16" xfId="0" applyNumberFormat="1" applyFont="1" applyFill="1" applyBorder="1" applyAlignment="1" applyProtection="1">
      <alignment vertical="center"/>
    </xf>
    <xf numFmtId="176" fontId="39" fillId="39" borderId="53" xfId="0" applyNumberFormat="1" applyFont="1" applyFill="1" applyBorder="1" applyAlignment="1">
      <alignment horizontal="center" vertical="center"/>
    </xf>
    <xf numFmtId="2" fontId="40" fillId="37" borderId="63" xfId="0" applyNumberFormat="1" applyFont="1" applyFill="1" applyBorder="1" applyAlignment="1" applyProtection="1">
      <alignment horizontal="center" vertical="center"/>
    </xf>
    <xf numFmtId="176" fontId="39" fillId="2" borderId="63" xfId="0" applyNumberFormat="1" applyFont="1" applyFill="1" applyBorder="1" applyAlignment="1" applyProtection="1">
      <alignment horizontal="center" vertical="center"/>
    </xf>
    <xf numFmtId="176" fontId="39" fillId="39" borderId="63" xfId="0" applyNumberFormat="1" applyFont="1" applyFill="1" applyBorder="1" applyAlignment="1">
      <alignment horizontal="center" vertical="center"/>
    </xf>
    <xf numFmtId="176" fontId="39" fillId="39" borderId="55" xfId="0" applyNumberFormat="1" applyFont="1" applyFill="1" applyBorder="1" applyAlignment="1">
      <alignment horizontal="center" vertical="center"/>
    </xf>
    <xf numFmtId="2" fontId="40" fillId="37" borderId="9" xfId="0" applyNumberFormat="1" applyFont="1" applyFill="1" applyBorder="1" applyAlignment="1" applyProtection="1">
      <alignment horizontal="center" vertical="center"/>
    </xf>
    <xf numFmtId="0" fontId="39" fillId="37" borderId="41" xfId="0" applyFont="1" applyFill="1" applyBorder="1" applyAlignment="1" applyProtection="1">
      <alignment horizontal="center" vertical="center"/>
    </xf>
    <xf numFmtId="0" fontId="39" fillId="0" borderId="3" xfId="0" applyFont="1" applyFill="1" applyBorder="1" applyAlignment="1" applyProtection="1">
      <alignment horizontal="left" vertical="center" wrapText="1"/>
    </xf>
    <xf numFmtId="0" fontId="39" fillId="0" borderId="65"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xf>
    <xf numFmtId="0" fontId="40" fillId="0" borderId="32" xfId="0" applyFont="1" applyFill="1" applyBorder="1" applyAlignment="1" applyProtection="1">
      <alignment horizontal="right" vertical="center"/>
    </xf>
    <xf numFmtId="0" fontId="39" fillId="39" borderId="3" xfId="0" applyFont="1" applyFill="1" applyBorder="1" applyAlignment="1" applyProtection="1">
      <alignment horizontal="left" vertical="center" wrapText="1"/>
    </xf>
    <xf numFmtId="0" fontId="39" fillId="0" borderId="39" xfId="0" applyFont="1" applyBorder="1" applyAlignment="1" applyProtection="1">
      <alignment horizontal="center" vertical="center"/>
    </xf>
    <xf numFmtId="0" fontId="40" fillId="0" borderId="69" xfId="0" applyFont="1" applyFill="1" applyBorder="1" applyAlignment="1" applyProtection="1">
      <alignment horizontal="right" vertical="center"/>
    </xf>
    <xf numFmtId="0" fontId="42" fillId="27" borderId="0" xfId="0" applyFont="1" applyFill="1" applyAlignment="1" applyProtection="1"/>
    <xf numFmtId="0" fontId="39" fillId="24" borderId="1" xfId="49" applyFont="1" applyFill="1" applyBorder="1" applyAlignment="1" applyProtection="1">
      <alignment horizontal="center" vertical="center" wrapText="1"/>
    </xf>
    <xf numFmtId="0" fontId="80" fillId="26" borderId="0" xfId="0" applyFont="1" applyFill="1" applyAlignment="1" applyProtection="1">
      <alignment vertical="center"/>
    </xf>
    <xf numFmtId="2" fontId="39" fillId="26" borderId="0" xfId="83" applyNumberFormat="1" applyFont="1" applyFill="1" applyBorder="1" applyAlignment="1" applyProtection="1">
      <alignment horizontal="center" vertical="center" textRotation="90" wrapText="1"/>
    </xf>
    <xf numFmtId="2" fontId="40" fillId="26" borderId="0" xfId="83" applyNumberFormat="1" applyFont="1" applyFill="1" applyBorder="1" applyAlignment="1" applyProtection="1">
      <alignment horizontal="left" vertical="center" wrapText="1"/>
    </xf>
    <xf numFmtId="2" fontId="40" fillId="26" borderId="0" xfId="83" applyNumberFormat="1" applyFont="1" applyFill="1" applyBorder="1" applyAlignment="1" applyProtection="1">
      <alignment horizontal="center" vertical="center" wrapText="1"/>
    </xf>
    <xf numFmtId="3" fontId="40" fillId="26" borderId="0" xfId="49" applyNumberFormat="1" applyFont="1" applyFill="1" applyBorder="1" applyAlignment="1" applyProtection="1">
      <alignment horizontal="center" vertical="center" wrapText="1"/>
    </xf>
    <xf numFmtId="0" fontId="11" fillId="26" borderId="0" xfId="49" applyFont="1" applyFill="1" applyAlignment="1" applyProtection="1">
      <alignment vertical="center"/>
    </xf>
    <xf numFmtId="174" fontId="40" fillId="26" borderId="0" xfId="49" applyNumberFormat="1" applyFont="1" applyFill="1" applyAlignment="1" applyProtection="1">
      <alignment horizontal="center" vertical="center" wrapText="1"/>
    </xf>
    <xf numFmtId="0" fontId="40" fillId="26" borderId="0" xfId="49" applyFont="1" applyFill="1" applyAlignment="1" applyProtection="1">
      <alignment horizontal="center" vertical="center" wrapText="1"/>
    </xf>
    <xf numFmtId="0" fontId="51" fillId="26" borderId="0" xfId="49" applyFont="1" applyFill="1" applyAlignment="1" applyProtection="1">
      <alignment horizontal="center" vertical="center"/>
    </xf>
    <xf numFmtId="0" fontId="64" fillId="26" borderId="0" xfId="0" applyFont="1" applyFill="1" applyAlignment="1" applyProtection="1">
      <alignment horizontal="right" vertical="center"/>
    </xf>
    <xf numFmtId="0" fontId="35" fillId="26" borderId="0" xfId="0" applyNumberFormat="1" applyFont="1" applyFill="1" applyAlignment="1" applyProtection="1">
      <alignment horizontal="center" vertical="center"/>
    </xf>
    <xf numFmtId="0" fontId="51" fillId="26" borderId="0" xfId="49" applyFont="1" applyFill="1" applyBorder="1" applyAlignment="1" applyProtection="1">
      <alignment horizontal="left" vertical="center" wrapText="1"/>
    </xf>
    <xf numFmtId="0" fontId="20" fillId="26" borderId="0" xfId="49" applyFont="1" applyFill="1" applyAlignment="1" applyProtection="1">
      <alignment vertical="center"/>
    </xf>
    <xf numFmtId="167" fontId="51" fillId="26" borderId="0" xfId="49" applyNumberFormat="1" applyFont="1" applyFill="1" applyAlignment="1" applyProtection="1">
      <alignment horizontal="center" vertical="center" wrapText="1"/>
    </xf>
    <xf numFmtId="0" fontId="51" fillId="26" borderId="0" xfId="49" applyFont="1" applyFill="1" applyAlignment="1" applyProtection="1">
      <alignment horizontal="center" vertical="center" wrapText="1"/>
    </xf>
    <xf numFmtId="174" fontId="51" fillId="26" borderId="0" xfId="49" applyNumberFormat="1" applyFont="1" applyFill="1" applyAlignment="1" applyProtection="1">
      <alignment horizontal="center" vertical="center" wrapText="1"/>
    </xf>
    <xf numFmtId="0" fontId="83" fillId="26" borderId="0" xfId="0" applyFont="1" applyFill="1" applyAlignment="1" applyProtection="1">
      <alignment horizontal="left" vertical="center"/>
    </xf>
    <xf numFmtId="0" fontId="11" fillId="26" borderId="0" xfId="0" applyNumberFormat="1" applyFont="1" applyFill="1" applyAlignment="1" applyProtection="1">
      <alignment vertical="center"/>
    </xf>
    <xf numFmtId="0" fontId="11" fillId="26" borderId="0" xfId="0" applyFont="1" applyFill="1" applyAlignment="1" applyProtection="1">
      <alignment vertical="center"/>
    </xf>
    <xf numFmtId="0" fontId="18" fillId="26" borderId="0" xfId="49" applyFont="1" applyFill="1" applyAlignment="1" applyProtection="1">
      <alignment horizontal="center" vertical="center"/>
    </xf>
    <xf numFmtId="174" fontId="18" fillId="26" borderId="0" xfId="49" applyNumberFormat="1" applyFont="1" applyFill="1" applyAlignment="1" applyProtection="1">
      <alignment horizontal="center" vertical="center"/>
    </xf>
    <xf numFmtId="0" fontId="64" fillId="0" borderId="0" xfId="0" applyFont="1"/>
    <xf numFmtId="0" fontId="64" fillId="0" borderId="0" xfId="0" applyFont="1" applyAlignment="1">
      <alignment horizontal="center"/>
    </xf>
    <xf numFmtId="0" fontId="56" fillId="0" borderId="0" xfId="0" applyFont="1" applyAlignment="1" applyProtection="1">
      <alignment vertical="center"/>
    </xf>
    <xf numFmtId="0" fontId="64" fillId="0" borderId="0" xfId="0" applyFont="1" applyAlignment="1" applyProtection="1">
      <alignment vertical="center"/>
    </xf>
    <xf numFmtId="0" fontId="46" fillId="0" borderId="0" xfId="0" applyFont="1" applyAlignment="1" applyProtection="1">
      <alignment vertical="center"/>
    </xf>
    <xf numFmtId="0" fontId="46" fillId="0" borderId="0" xfId="32" applyFont="1" applyAlignment="1" applyProtection="1">
      <alignment horizontal="center" vertical="center"/>
    </xf>
    <xf numFmtId="0" fontId="46" fillId="0" borderId="0" xfId="32" applyFont="1" applyAlignment="1" applyProtection="1">
      <alignment vertical="center"/>
    </xf>
    <xf numFmtId="0" fontId="83" fillId="0" borderId="0" xfId="0" applyFont="1" applyAlignment="1" applyProtection="1">
      <alignment vertical="center"/>
    </xf>
    <xf numFmtId="0" fontId="126" fillId="0" borderId="0" xfId="0" applyFont="1" applyAlignment="1" applyProtection="1">
      <alignment vertical="center"/>
    </xf>
    <xf numFmtId="0" fontId="126" fillId="0" borderId="0" xfId="32" applyFont="1" applyAlignment="1" applyProtection="1">
      <alignment horizontal="center" vertical="center"/>
    </xf>
    <xf numFmtId="0" fontId="126" fillId="0" borderId="0" xfId="32" applyFont="1" applyAlignment="1" applyProtection="1">
      <alignment vertical="center"/>
    </xf>
    <xf numFmtId="167" fontId="40" fillId="26" borderId="31" xfId="0" applyNumberFormat="1" applyFont="1" applyFill="1" applyBorder="1" applyAlignment="1" applyProtection="1">
      <alignment horizontal="center" vertical="center"/>
    </xf>
    <xf numFmtId="9" fontId="40" fillId="26" borderId="51" xfId="70" applyFont="1" applyFill="1" applyBorder="1" applyAlignment="1" applyProtection="1">
      <alignment horizontal="center" vertical="center"/>
    </xf>
    <xf numFmtId="9" fontId="40" fillId="26" borderId="21" xfId="70" applyFont="1" applyFill="1" applyBorder="1" applyAlignment="1" applyProtection="1">
      <alignment horizontal="center" vertical="center"/>
    </xf>
    <xf numFmtId="9" fontId="41" fillId="26" borderId="51" xfId="70"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172" fontId="40" fillId="26" borderId="51" xfId="70" applyNumberFormat="1" applyFont="1" applyFill="1" applyBorder="1" applyAlignment="1" applyProtection="1">
      <alignment horizontal="center" vertical="center"/>
    </xf>
    <xf numFmtId="172" fontId="40" fillId="26" borderId="17" xfId="70" applyNumberFormat="1" applyFont="1" applyFill="1" applyBorder="1" applyAlignment="1" applyProtection="1">
      <alignment horizontal="center" vertical="center"/>
    </xf>
    <xf numFmtId="172" fontId="40" fillId="26" borderId="21" xfId="70" applyNumberFormat="1" applyFont="1" applyFill="1" applyBorder="1" applyAlignment="1" applyProtection="1">
      <alignment horizontal="center" vertical="center"/>
    </xf>
    <xf numFmtId="172" fontId="41" fillId="26" borderId="51" xfId="70" applyNumberFormat="1" applyFont="1" applyFill="1" applyBorder="1" applyAlignment="1" applyProtection="1">
      <alignment horizontal="center" vertical="center"/>
    </xf>
    <xf numFmtId="172" fontId="41" fillId="26" borderId="17" xfId="70" applyNumberFormat="1" applyFont="1" applyFill="1" applyBorder="1" applyAlignment="1" applyProtection="1">
      <alignment horizontal="center" vertical="center"/>
    </xf>
    <xf numFmtId="172" fontId="40" fillId="26" borderId="39" xfId="70" applyNumberFormat="1" applyFont="1" applyFill="1" applyBorder="1" applyAlignment="1" applyProtection="1">
      <alignment horizontal="center" vertical="center"/>
    </xf>
    <xf numFmtId="49" fontId="11" fillId="26" borderId="0" xfId="31" applyNumberFormat="1" applyFont="1" applyFill="1" applyAlignment="1">
      <alignment horizontal="center" vertical="center"/>
    </xf>
    <xf numFmtId="0" fontId="11" fillId="26" borderId="0" xfId="31" applyFont="1" applyFill="1" applyAlignment="1">
      <alignment vertical="center"/>
    </xf>
    <xf numFmtId="0" fontId="78" fillId="26" borderId="0" xfId="31" applyFont="1" applyFill="1" applyAlignment="1">
      <alignment vertical="center"/>
    </xf>
    <xf numFmtId="3" fontId="11" fillId="26" borderId="51" xfId="32" applyNumberFormat="1" applyFont="1" applyFill="1" applyBorder="1" applyAlignment="1" applyProtection="1">
      <alignment horizontal="center" vertical="center"/>
    </xf>
    <xf numFmtId="3" fontId="11" fillId="26" borderId="17" xfId="32" applyNumberFormat="1" applyFont="1" applyFill="1" applyBorder="1" applyAlignment="1" applyProtection="1">
      <alignment horizontal="center" vertical="center"/>
    </xf>
    <xf numFmtId="3" fontId="11" fillId="26" borderId="21" xfId="32" applyNumberFormat="1" applyFont="1" applyFill="1" applyBorder="1" applyAlignment="1" applyProtection="1">
      <alignment horizontal="center" vertical="center"/>
    </xf>
    <xf numFmtId="0" fontId="0" fillId="0" borderId="0" xfId="0" applyBorder="1" applyProtection="1"/>
    <xf numFmtId="0" fontId="40" fillId="28" borderId="17" xfId="0" applyFont="1" applyFill="1" applyBorder="1" applyAlignment="1" applyProtection="1">
      <alignment horizontal="center" vertical="center" wrapText="1"/>
    </xf>
    <xf numFmtId="171" fontId="40" fillId="28" borderId="31" xfId="0" applyNumberFormat="1" applyFont="1" applyFill="1" applyBorder="1" applyAlignment="1" applyProtection="1">
      <alignment horizontal="center" vertical="center"/>
      <protection locked="0"/>
    </xf>
    <xf numFmtId="171" fontId="40" fillId="28" borderId="7" xfId="0" applyNumberFormat="1" applyFont="1" applyFill="1" applyBorder="1" applyAlignment="1" applyProtection="1">
      <alignment horizontal="center" vertical="center"/>
      <protection locked="0"/>
    </xf>
    <xf numFmtId="0" fontId="40" fillId="28" borderId="7" xfId="0" applyFont="1" applyFill="1" applyBorder="1" applyAlignment="1" applyProtection="1">
      <alignment horizontal="left" vertical="center" wrapText="1"/>
      <protection locked="0"/>
    </xf>
    <xf numFmtId="3" fontId="64" fillId="26" borderId="32" xfId="52" applyNumberFormat="1" applyFont="1" applyFill="1" applyBorder="1" applyAlignment="1" applyProtection="1">
      <alignment horizontal="center" vertical="center"/>
    </xf>
    <xf numFmtId="0" fontId="95" fillId="20" borderId="64" xfId="88" applyFont="1" applyFill="1" applyBorder="1" applyAlignment="1" applyProtection="1">
      <alignment horizontal="right" vertical="center" wrapText="1"/>
    </xf>
    <xf numFmtId="0" fontId="95" fillId="20" borderId="37" xfId="88" applyFont="1" applyFill="1" applyBorder="1" applyAlignment="1" applyProtection="1">
      <alignment horizontal="center" vertical="center" wrapText="1"/>
    </xf>
    <xf numFmtId="10" fontId="95" fillId="26" borderId="63" xfId="70" applyNumberFormat="1" applyFont="1" applyFill="1" applyBorder="1" applyAlignment="1" applyProtection="1">
      <alignment horizontal="center" vertical="center" wrapText="1"/>
    </xf>
    <xf numFmtId="10" fontId="95" fillId="26" borderId="64" xfId="70" applyNumberFormat="1" applyFont="1" applyFill="1" applyBorder="1" applyAlignment="1" applyProtection="1">
      <alignment horizontal="center" vertical="center" wrapText="1"/>
    </xf>
    <xf numFmtId="10" fontId="95" fillId="26" borderId="39" xfId="70" applyNumberFormat="1" applyFont="1" applyFill="1" applyBorder="1" applyAlignment="1" applyProtection="1">
      <alignment horizontal="center" vertical="center" wrapText="1"/>
    </xf>
    <xf numFmtId="0" fontId="41" fillId="27" borderId="36" xfId="32" applyFont="1" applyFill="1" applyBorder="1" applyAlignment="1" applyProtection="1">
      <alignment horizontal="center" vertical="center"/>
    </xf>
    <xf numFmtId="0" fontId="95" fillId="20" borderId="55" xfId="88" applyFont="1" applyFill="1" applyBorder="1" applyAlignment="1" applyProtection="1">
      <alignment horizontal="right" vertical="center" wrapText="1"/>
    </xf>
    <xf numFmtId="10" fontId="95" fillId="26" borderId="55" xfId="70" applyNumberFormat="1" applyFont="1" applyFill="1" applyBorder="1" applyAlignment="1" applyProtection="1">
      <alignment horizontal="center" vertical="center" wrapText="1"/>
    </xf>
    <xf numFmtId="172" fontId="163" fillId="26" borderId="39" xfId="70" applyNumberFormat="1" applyFont="1" applyFill="1" applyBorder="1" applyAlignment="1" applyProtection="1">
      <alignment horizontal="center" vertical="center" wrapText="1"/>
    </xf>
    <xf numFmtId="0" fontId="95" fillId="20" borderId="39" xfId="88" applyFont="1" applyFill="1" applyBorder="1" applyAlignment="1" applyProtection="1">
      <alignment horizontal="center" vertical="center" wrapText="1"/>
    </xf>
    <xf numFmtId="10" fontId="95" fillId="26" borderId="18" xfId="70" applyNumberFormat="1" applyFont="1" applyFill="1" applyBorder="1" applyAlignment="1" applyProtection="1">
      <alignment horizontal="center" vertical="center" wrapText="1"/>
    </xf>
    <xf numFmtId="3" fontId="56" fillId="26" borderId="52" xfId="57" applyNumberFormat="1" applyFont="1" applyFill="1" applyBorder="1" applyAlignment="1" applyProtection="1">
      <alignment horizontal="center" vertical="center"/>
    </xf>
    <xf numFmtId="3" fontId="56" fillId="26" borderId="7" xfId="57" applyNumberFormat="1" applyFont="1" applyFill="1" applyBorder="1" applyAlignment="1" applyProtection="1">
      <alignment horizontal="center" vertical="center"/>
    </xf>
    <xf numFmtId="3" fontId="56" fillId="26" borderId="53" xfId="57" applyNumberFormat="1" applyFont="1" applyFill="1" applyBorder="1" applyAlignment="1" applyProtection="1">
      <alignment horizontal="center" vertical="center"/>
    </xf>
    <xf numFmtId="49" fontId="39" fillId="0" borderId="49" xfId="0" applyNumberFormat="1" applyFont="1" applyBorder="1" applyAlignment="1" applyProtection="1">
      <alignment horizontal="center" vertical="center"/>
    </xf>
    <xf numFmtId="0" fontId="39" fillId="0" borderId="31" xfId="0" applyFont="1" applyFill="1" applyBorder="1" applyAlignment="1" applyProtection="1">
      <alignment vertical="center" wrapText="1"/>
    </xf>
    <xf numFmtId="0" fontId="40" fillId="0" borderId="61" xfId="0" applyFont="1" applyFill="1" applyBorder="1" applyAlignment="1" applyProtection="1">
      <alignment horizontal="center" vertical="center"/>
    </xf>
    <xf numFmtId="1" fontId="39" fillId="26" borderId="31" xfId="59" applyNumberFormat="1" applyFont="1" applyFill="1" applyBorder="1" applyAlignment="1" applyProtection="1">
      <alignment horizontal="center" vertical="center"/>
    </xf>
    <xf numFmtId="3" fontId="39" fillId="26" borderId="31" xfId="32" applyNumberFormat="1" applyFont="1" applyFill="1" applyBorder="1" applyAlignment="1" applyProtection="1">
      <alignment horizontal="center" vertical="center"/>
    </xf>
    <xf numFmtId="3" fontId="39" fillId="26" borderId="50" xfId="32" applyNumberFormat="1" applyFont="1" applyFill="1" applyBorder="1" applyAlignment="1" applyProtection="1">
      <alignment horizontal="center" vertical="center"/>
    </xf>
    <xf numFmtId="0" fontId="39" fillId="37" borderId="38" xfId="0" applyFont="1" applyFill="1" applyBorder="1" applyAlignment="1" applyProtection="1">
      <alignment horizontal="center" vertical="center" wrapText="1"/>
    </xf>
    <xf numFmtId="0" fontId="39" fillId="37" borderId="9" xfId="0" applyFont="1" applyFill="1" applyBorder="1" applyAlignment="1" applyProtection="1">
      <alignment horizontal="center" vertical="center" wrapText="1"/>
    </xf>
    <xf numFmtId="170" fontId="39" fillId="37" borderId="3" xfId="0" applyNumberFormat="1" applyFont="1" applyFill="1" applyBorder="1" applyAlignment="1" applyProtection="1">
      <alignment horizontal="center" vertical="center" wrapText="1"/>
    </xf>
    <xf numFmtId="0" fontId="12" fillId="27" borderId="0" xfId="52" applyFont="1" applyFill="1" applyAlignment="1" applyProtection="1">
      <alignment horizontal="right" vertical="center"/>
    </xf>
    <xf numFmtId="0" fontId="11" fillId="27" borderId="0" xfId="0" applyFont="1" applyFill="1" applyAlignment="1" applyProtection="1">
      <alignment wrapText="1"/>
    </xf>
    <xf numFmtId="49" fontId="19" fillId="27" borderId="35" xfId="31" applyNumberFormat="1" applyFont="1" applyFill="1" applyBorder="1" applyAlignment="1" applyProtection="1">
      <alignment horizontal="center" vertical="center"/>
    </xf>
    <xf numFmtId="0" fontId="20" fillId="27" borderId="35" xfId="31" applyFont="1" applyFill="1" applyBorder="1" applyAlignment="1" applyProtection="1">
      <alignment horizontal="left" vertical="center"/>
    </xf>
    <xf numFmtId="0" fontId="20" fillId="27" borderId="34" xfId="0" applyFont="1" applyFill="1" applyBorder="1" applyAlignment="1" applyProtection="1">
      <alignment wrapText="1"/>
    </xf>
    <xf numFmtId="0" fontId="11" fillId="27" borderId="34" xfId="0" applyFont="1" applyFill="1" applyBorder="1" applyProtection="1"/>
    <xf numFmtId="0" fontId="11" fillId="22" borderId="0" xfId="0" applyFont="1" applyFill="1" applyAlignment="1" applyProtection="1">
      <alignment vertical="center"/>
    </xf>
    <xf numFmtId="0" fontId="33" fillId="22" borderId="0" xfId="31" applyFont="1" applyFill="1" applyAlignment="1" applyProtection="1">
      <alignment vertical="center"/>
    </xf>
    <xf numFmtId="0" fontId="20" fillId="22" borderId="154" xfId="0" applyFont="1" applyFill="1" applyBorder="1" applyAlignment="1" applyProtection="1">
      <alignment horizontal="center" vertical="center" wrapText="1"/>
    </xf>
    <xf numFmtId="0" fontId="11" fillId="0" borderId="154" xfId="0" applyFont="1" applyBorder="1" applyAlignment="1" applyProtection="1">
      <alignment horizontal="center" vertical="center"/>
    </xf>
    <xf numFmtId="0" fontId="11" fillId="0" borderId="154" xfId="0" applyFont="1" applyBorder="1" applyAlignment="1" applyProtection="1">
      <alignment horizontal="center" vertical="center" wrapText="1"/>
    </xf>
    <xf numFmtId="3" fontId="11" fillId="0" borderId="154" xfId="0" applyNumberFormat="1" applyFont="1" applyBorder="1" applyAlignment="1" applyProtection="1">
      <alignment vertical="center"/>
    </xf>
    <xf numFmtId="0" fontId="12" fillId="27" borderId="0" xfId="52" applyFont="1" applyFill="1" applyAlignment="1" applyProtection="1">
      <alignment vertical="center"/>
    </xf>
    <xf numFmtId="0" fontId="56" fillId="27" borderId="155" xfId="80" applyFont="1" applyFill="1" applyBorder="1" applyAlignment="1" applyProtection="1">
      <alignment horizontal="center" vertical="center"/>
    </xf>
    <xf numFmtId="2" fontId="56" fillId="27" borderId="155" xfId="80" applyNumberFormat="1" applyFont="1" applyFill="1" applyBorder="1" applyAlignment="1" applyProtection="1">
      <alignment vertical="center"/>
    </xf>
    <xf numFmtId="1" fontId="56" fillId="27" borderId="155" xfId="80" applyNumberFormat="1" applyFont="1" applyFill="1" applyBorder="1" applyAlignment="1" applyProtection="1">
      <alignment vertical="center"/>
    </xf>
    <xf numFmtId="0" fontId="39" fillId="26" borderId="50" xfId="32" applyFont="1" applyFill="1" applyBorder="1" applyAlignment="1" applyProtection="1">
      <alignment vertical="center" wrapText="1"/>
    </xf>
    <xf numFmtId="170" fontId="39" fillId="22" borderId="154" xfId="0" applyNumberFormat="1" applyFont="1" applyFill="1" applyBorder="1" applyAlignment="1" applyProtection="1">
      <alignment horizontal="center" vertical="center" wrapText="1"/>
    </xf>
    <xf numFmtId="170" fontId="39" fillId="22" borderId="154" xfId="32" applyNumberFormat="1" applyFont="1" applyFill="1" applyBorder="1" applyAlignment="1" applyProtection="1">
      <alignment horizontal="center" vertical="center" wrapText="1"/>
    </xf>
    <xf numFmtId="0" fontId="11" fillId="0" borderId="0" xfId="0" applyFont="1" applyFill="1" applyBorder="1" applyAlignment="1" applyProtection="1">
      <alignment vertical="center"/>
    </xf>
    <xf numFmtId="1" fontId="56" fillId="27" borderId="0" xfId="80" applyNumberFormat="1" applyFont="1" applyFill="1" applyBorder="1" applyAlignment="1" applyProtection="1">
      <alignment vertical="center"/>
    </xf>
    <xf numFmtId="0" fontId="26" fillId="26" borderId="0" xfId="0" applyFont="1" applyFill="1" applyBorder="1" applyAlignment="1" applyProtection="1">
      <alignment vertical="center"/>
    </xf>
    <xf numFmtId="0" fontId="26" fillId="26" borderId="0" xfId="0" applyFont="1" applyFill="1" applyBorder="1" applyAlignment="1">
      <alignment vertical="center"/>
    </xf>
    <xf numFmtId="170" fontId="39" fillId="22" borderId="155" xfId="0" applyNumberFormat="1" applyFont="1" applyFill="1" applyBorder="1" applyAlignment="1" applyProtection="1">
      <alignment horizontal="center" vertical="center" wrapText="1"/>
    </xf>
    <xf numFmtId="171" fontId="56" fillId="27" borderId="155" xfId="80" applyNumberFormat="1" applyFont="1" applyFill="1" applyBorder="1" applyAlignment="1" applyProtection="1">
      <alignment vertical="center"/>
    </xf>
    <xf numFmtId="3" fontId="56" fillId="27" borderId="155" xfId="80" applyNumberFormat="1" applyFont="1" applyFill="1" applyBorder="1" applyAlignment="1" applyProtection="1">
      <alignment vertical="center"/>
    </xf>
    <xf numFmtId="166" fontId="40" fillId="20" borderId="155" xfId="32" applyNumberFormat="1" applyFont="1" applyFill="1" applyBorder="1" applyAlignment="1" applyProtection="1">
      <alignment horizontal="center" vertical="center"/>
    </xf>
    <xf numFmtId="175" fontId="56" fillId="27" borderId="155" xfId="80" applyNumberFormat="1" applyFont="1" applyFill="1" applyBorder="1" applyAlignment="1" applyProtection="1">
      <alignment vertical="center"/>
    </xf>
    <xf numFmtId="0" fontId="39" fillId="22" borderId="154" xfId="32" applyFont="1" applyFill="1" applyBorder="1" applyAlignment="1" applyProtection="1">
      <alignment horizontal="center" vertical="center"/>
    </xf>
    <xf numFmtId="179" fontId="170" fillId="27" borderId="154" xfId="31" applyNumberFormat="1" applyFont="1" applyFill="1" applyBorder="1" applyAlignment="1" applyProtection="1">
      <alignment vertical="center"/>
    </xf>
    <xf numFmtId="0" fontId="20" fillId="22" borderId="154" xfId="0" applyFont="1" applyFill="1" applyBorder="1" applyAlignment="1" applyProtection="1">
      <alignment horizontal="center" vertical="center"/>
    </xf>
    <xf numFmtId="3" fontId="171" fillId="27" borderId="155" xfId="80" applyNumberFormat="1" applyFont="1" applyFill="1" applyBorder="1" applyAlignment="1" applyProtection="1">
      <alignment vertical="center"/>
    </xf>
    <xf numFmtId="0" fontId="20" fillId="22" borderId="154" xfId="0" applyFont="1" applyFill="1" applyBorder="1" applyAlignment="1" applyProtection="1">
      <alignment vertical="center"/>
    </xf>
    <xf numFmtId="3" fontId="56" fillId="27" borderId="165" xfId="80" applyNumberFormat="1" applyFont="1" applyFill="1" applyBorder="1" applyAlignment="1" applyProtection="1">
      <alignment vertical="center"/>
    </xf>
    <xf numFmtId="3" fontId="56" fillId="27" borderId="166" xfId="80" applyNumberFormat="1" applyFont="1" applyFill="1" applyBorder="1" applyAlignment="1" applyProtection="1">
      <alignment vertical="center"/>
    </xf>
    <xf numFmtId="3" fontId="56" fillId="27" borderId="167" xfId="80" applyNumberFormat="1" applyFont="1" applyFill="1" applyBorder="1" applyAlignment="1" applyProtection="1">
      <alignment vertical="center"/>
    </xf>
    <xf numFmtId="3" fontId="56" fillId="27" borderId="168" xfId="80" applyNumberFormat="1" applyFont="1" applyFill="1" applyBorder="1" applyAlignment="1" applyProtection="1">
      <alignment vertical="center"/>
    </xf>
    <xf numFmtId="3" fontId="56" fillId="27" borderId="169" xfId="80" applyNumberFormat="1" applyFont="1" applyFill="1" applyBorder="1" applyAlignment="1" applyProtection="1">
      <alignment vertical="center"/>
    </xf>
    <xf numFmtId="3" fontId="56" fillId="27" borderId="170" xfId="80" applyNumberFormat="1" applyFont="1" applyFill="1" applyBorder="1" applyAlignment="1" applyProtection="1">
      <alignment vertical="center"/>
    </xf>
    <xf numFmtId="3" fontId="56" fillId="27" borderId="172" xfId="80" applyNumberFormat="1" applyFont="1" applyFill="1" applyBorder="1" applyAlignment="1" applyProtection="1">
      <alignment vertical="center"/>
    </xf>
    <xf numFmtId="3" fontId="56" fillId="27" borderId="171" xfId="80" applyNumberFormat="1" applyFont="1" applyFill="1" applyBorder="1" applyAlignment="1" applyProtection="1">
      <alignment vertical="center"/>
    </xf>
    <xf numFmtId="3" fontId="56" fillId="27" borderId="173" xfId="80" applyNumberFormat="1" applyFont="1" applyFill="1" applyBorder="1" applyAlignment="1" applyProtection="1">
      <alignment vertical="center"/>
    </xf>
    <xf numFmtId="0" fontId="144" fillId="22" borderId="154" xfId="0" applyFont="1" applyFill="1" applyBorder="1" applyAlignment="1" applyProtection="1">
      <alignment horizontal="center" vertical="center" wrapText="1"/>
    </xf>
    <xf numFmtId="0" fontId="83" fillId="27" borderId="0" xfId="0" applyFont="1" applyFill="1" applyAlignment="1" applyProtection="1">
      <alignment horizontal="left" vertical="center"/>
    </xf>
    <xf numFmtId="0" fontId="51" fillId="27" borderId="0" xfId="49" applyFont="1" applyFill="1" applyBorder="1" applyAlignment="1" applyProtection="1">
      <alignment horizontal="left" vertical="center" wrapText="1"/>
    </xf>
    <xf numFmtId="170" fontId="39" fillId="22" borderId="154" xfId="49" applyNumberFormat="1" applyFont="1" applyFill="1" applyBorder="1" applyAlignment="1" applyProtection="1">
      <alignment horizontal="center" vertical="center" wrapText="1"/>
    </xf>
    <xf numFmtId="167" fontId="39" fillId="22" borderId="154" xfId="49" applyNumberFormat="1" applyFont="1" applyFill="1" applyBorder="1" applyAlignment="1" applyProtection="1">
      <alignment horizontal="center" vertical="center" wrapText="1"/>
    </xf>
    <xf numFmtId="3" fontId="56" fillId="27" borderId="0" xfId="80" applyNumberFormat="1" applyFont="1" applyFill="1" applyBorder="1" applyAlignment="1" applyProtection="1">
      <alignment vertical="center"/>
    </xf>
    <xf numFmtId="4" fontId="56" fillId="27" borderId="155" xfId="80" applyNumberFormat="1" applyFont="1" applyFill="1" applyBorder="1" applyAlignment="1" applyProtection="1">
      <alignment vertical="center"/>
    </xf>
    <xf numFmtId="4" fontId="56" fillId="27" borderId="171" xfId="80" applyNumberFormat="1" applyFont="1" applyFill="1" applyBorder="1" applyAlignment="1" applyProtection="1">
      <alignment vertical="center"/>
    </xf>
    <xf numFmtId="4" fontId="56" fillId="27" borderId="172" xfId="80" applyNumberFormat="1" applyFont="1" applyFill="1" applyBorder="1" applyAlignment="1" applyProtection="1">
      <alignment vertical="center"/>
    </xf>
    <xf numFmtId="0" fontId="39" fillId="22" borderId="154" xfId="49" applyFont="1" applyFill="1" applyBorder="1" applyAlignment="1" applyProtection="1">
      <alignment horizontal="center" vertical="center"/>
    </xf>
    <xf numFmtId="0" fontId="40" fillId="22" borderId="154" xfId="49" applyFont="1" applyFill="1" applyBorder="1" applyAlignment="1" applyProtection="1">
      <alignment horizontal="center" vertical="center" wrapText="1"/>
    </xf>
    <xf numFmtId="167" fontId="40" fillId="22" borderId="154" xfId="49" applyNumberFormat="1" applyFont="1" applyFill="1" applyBorder="1" applyAlignment="1" applyProtection="1">
      <alignment horizontal="center" vertical="center" wrapText="1"/>
    </xf>
    <xf numFmtId="174" fontId="40" fillId="22" borderId="154" xfId="49" applyNumberFormat="1" applyFont="1" applyFill="1" applyBorder="1" applyAlignment="1" applyProtection="1">
      <alignment horizontal="center" vertical="center" wrapText="1"/>
    </xf>
    <xf numFmtId="168" fontId="39" fillId="22" borderId="154" xfId="49" applyNumberFormat="1" applyFont="1" applyFill="1" applyBorder="1" applyAlignment="1" applyProtection="1">
      <alignment horizontal="center" vertical="center" wrapText="1"/>
    </xf>
    <xf numFmtId="170" fontId="40" fillId="22" borderId="154" xfId="49" applyNumberFormat="1" applyFont="1" applyFill="1" applyBorder="1" applyAlignment="1" applyProtection="1">
      <alignment horizontal="center" vertical="center" wrapText="1"/>
    </xf>
    <xf numFmtId="0" fontId="11" fillId="0" borderId="0" xfId="0" applyFont="1" applyBorder="1" applyProtection="1"/>
    <xf numFmtId="0" fontId="14" fillId="26" borderId="0" xfId="83" applyFont="1" applyFill="1" applyBorder="1" applyAlignment="1" applyProtection="1">
      <alignment vertical="center" wrapText="1"/>
    </xf>
    <xf numFmtId="179" fontId="170" fillId="27" borderId="0" xfId="31" applyNumberFormat="1" applyFont="1" applyFill="1" applyBorder="1" applyAlignment="1" applyProtection="1">
      <alignment vertical="center"/>
    </xf>
    <xf numFmtId="0" fontId="11" fillId="22" borderId="154" xfId="83" applyNumberFormat="1" applyFont="1" applyFill="1" applyBorder="1" applyAlignment="1" applyProtection="1">
      <alignment horizontal="center" vertical="center" wrapText="1"/>
    </xf>
    <xf numFmtId="3" fontId="20" fillId="27" borderId="155" xfId="80" applyNumberFormat="1" applyFont="1" applyFill="1" applyBorder="1" applyAlignment="1" applyProtection="1">
      <alignment vertical="center"/>
    </xf>
    <xf numFmtId="3" fontId="20" fillId="0" borderId="154" xfId="0" applyNumberFormat="1" applyFont="1" applyFill="1" applyBorder="1" applyAlignment="1" applyProtection="1">
      <alignment vertical="center"/>
    </xf>
    <xf numFmtId="3" fontId="11" fillId="0" borderId="174"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75" xfId="0" applyNumberFormat="1" applyFont="1" applyFill="1" applyBorder="1" applyAlignment="1" applyProtection="1">
      <alignment horizontal="center" vertical="center"/>
    </xf>
    <xf numFmtId="3" fontId="11" fillId="0" borderId="154" xfId="0" applyNumberFormat="1" applyFont="1" applyFill="1" applyBorder="1" applyAlignment="1" applyProtection="1">
      <alignment vertical="center"/>
    </xf>
    <xf numFmtId="0" fontId="39" fillId="22" borderId="154" xfId="0" applyFont="1" applyFill="1" applyBorder="1" applyAlignment="1" applyProtection="1">
      <alignment horizontal="center" vertical="center"/>
    </xf>
    <xf numFmtId="1" fontId="20" fillId="53" borderId="154" xfId="21" applyFont="1" applyFill="1" applyBorder="1" applyAlignment="1" applyProtection="1">
      <alignment horizontal="center" vertical="center" wrapText="1"/>
    </xf>
    <xf numFmtId="0" fontId="40" fillId="0" borderId="154" xfId="0" applyFont="1" applyBorder="1" applyAlignment="1" applyProtection="1">
      <alignment horizontal="center" vertical="center"/>
    </xf>
    <xf numFmtId="0" fontId="39" fillId="0" borderId="154" xfId="0" applyFont="1" applyBorder="1" applyAlignment="1" applyProtection="1">
      <alignment horizontal="center" vertical="center"/>
    </xf>
    <xf numFmtId="0" fontId="40" fillId="0" borderId="163" xfId="0" applyFont="1" applyBorder="1" applyAlignment="1" applyProtection="1">
      <alignment horizontal="center" vertical="center"/>
    </xf>
    <xf numFmtId="0" fontId="169" fillId="0" borderId="162" xfId="0" applyFont="1" applyBorder="1" applyAlignment="1" applyProtection="1">
      <alignment vertical="center" wrapText="1"/>
    </xf>
    <xf numFmtId="0" fontId="169" fillId="0" borderId="0" xfId="0" applyFont="1" applyBorder="1" applyAlignment="1" applyProtection="1">
      <alignment vertical="center" wrapText="1"/>
    </xf>
    <xf numFmtId="0" fontId="169" fillId="0" borderId="154" xfId="0" applyFont="1" applyBorder="1" applyAlignment="1" applyProtection="1">
      <alignment vertical="center" wrapText="1"/>
    </xf>
    <xf numFmtId="4" fontId="11" fillId="0" borderId="154" xfId="0" applyNumberFormat="1" applyFont="1" applyFill="1" applyBorder="1" applyAlignment="1" applyProtection="1">
      <alignment vertical="center"/>
    </xf>
    <xf numFmtId="170" fontId="39" fillId="22" borderId="154" xfId="32" applyNumberFormat="1" applyFont="1" applyFill="1" applyBorder="1" applyAlignment="1" applyProtection="1">
      <alignment horizontal="center" wrapText="1"/>
    </xf>
    <xf numFmtId="3" fontId="78" fillId="0" borderId="0" xfId="0" applyNumberFormat="1" applyFont="1" applyFill="1" applyBorder="1" applyAlignment="1" applyProtection="1">
      <alignment vertical="center"/>
    </xf>
    <xf numFmtId="0" fontId="44" fillId="0" borderId="154" xfId="0" applyFont="1" applyBorder="1" applyAlignment="1" applyProtection="1">
      <alignment horizontal="center"/>
    </xf>
    <xf numFmtId="170" fontId="46" fillId="22" borderId="154" xfId="0" applyNumberFormat="1" applyFont="1" applyFill="1" applyBorder="1" applyAlignment="1" applyProtection="1">
      <alignment horizontal="center" wrapText="1"/>
    </xf>
    <xf numFmtId="0" fontId="44" fillId="20" borderId="163" xfId="0" applyFont="1" applyFill="1" applyBorder="1" applyAlignment="1" applyProtection="1">
      <alignment horizontal="center" vertical="center" wrapText="1"/>
    </xf>
    <xf numFmtId="3" fontId="40" fillId="0" borderId="163" xfId="0" applyNumberFormat="1" applyFont="1" applyBorder="1" applyAlignment="1" applyProtection="1">
      <alignment horizontal="center" vertical="center"/>
    </xf>
    <xf numFmtId="0" fontId="44" fillId="20" borderId="174" xfId="0" applyFont="1" applyFill="1" applyBorder="1" applyAlignment="1" applyProtection="1">
      <alignment horizontal="center" vertical="center" wrapText="1"/>
    </xf>
    <xf numFmtId="3" fontId="40" fillId="0" borderId="174" xfId="0" applyNumberFormat="1" applyFont="1" applyBorder="1" applyAlignment="1" applyProtection="1">
      <alignment horizontal="center" vertical="center"/>
    </xf>
    <xf numFmtId="0" fontId="44" fillId="20" borderId="0" xfId="0" applyFont="1" applyFill="1" applyBorder="1" applyAlignment="1" applyProtection="1">
      <alignment horizontal="center" vertical="center" wrapText="1"/>
    </xf>
    <xf numFmtId="3" fontId="40" fillId="0" borderId="0" xfId="0" applyNumberFormat="1" applyFont="1" applyBorder="1" applyAlignment="1" applyProtection="1">
      <alignment horizontal="center" vertical="center"/>
    </xf>
    <xf numFmtId="0" fontId="44" fillId="20" borderId="175" xfId="0" applyFont="1" applyFill="1" applyBorder="1" applyAlignment="1" applyProtection="1">
      <alignment horizontal="center" vertical="center" wrapText="1"/>
    </xf>
    <xf numFmtId="3" fontId="40" fillId="0" borderId="175" xfId="0" applyNumberFormat="1" applyFont="1" applyBorder="1" applyAlignment="1" applyProtection="1">
      <alignment horizontal="center" vertical="center"/>
    </xf>
    <xf numFmtId="170" fontId="46" fillId="37" borderId="154" xfId="32" applyNumberFormat="1" applyFont="1" applyFill="1" applyBorder="1" applyAlignment="1" applyProtection="1">
      <alignment horizontal="center" vertical="center" wrapText="1"/>
    </xf>
    <xf numFmtId="0" fontId="39" fillId="37" borderId="154" xfId="0" applyFont="1" applyFill="1" applyBorder="1" applyAlignment="1" applyProtection="1">
      <alignment horizontal="center" vertical="center" wrapText="1"/>
    </xf>
    <xf numFmtId="170" fontId="39" fillId="37" borderId="154" xfId="0" applyNumberFormat="1" applyFont="1" applyFill="1" applyBorder="1" applyAlignment="1" applyProtection="1">
      <alignment horizontal="center" vertical="center" wrapText="1"/>
    </xf>
    <xf numFmtId="0" fontId="40" fillId="0" borderId="154" xfId="0" applyFont="1" applyFill="1" applyBorder="1" applyAlignment="1" applyProtection="1">
      <alignment horizontal="center" vertical="center"/>
    </xf>
    <xf numFmtId="0" fontId="40" fillId="0" borderId="174" xfId="0" applyFont="1" applyFill="1" applyBorder="1" applyAlignment="1" applyProtection="1">
      <alignment horizontal="center" vertical="center"/>
    </xf>
    <xf numFmtId="1" fontId="39" fillId="26" borderId="174" xfId="59" applyNumberFormat="1" applyFont="1" applyFill="1" applyBorder="1" applyAlignment="1" applyProtection="1">
      <alignment horizontal="center" vertical="center"/>
    </xf>
    <xf numFmtId="3" fontId="39" fillId="26" borderId="174" xfId="32" applyNumberFormat="1" applyFont="1" applyFill="1" applyBorder="1" applyAlignment="1" applyProtection="1">
      <alignment horizontal="center" vertical="center"/>
    </xf>
    <xf numFmtId="0" fontId="40" fillId="0" borderId="175" xfId="0" applyFont="1" applyFill="1" applyBorder="1" applyAlignment="1" applyProtection="1">
      <alignment horizontal="center" vertical="center"/>
    </xf>
    <xf numFmtId="3" fontId="39" fillId="0" borderId="175" xfId="0" applyNumberFormat="1" applyFont="1" applyBorder="1" applyAlignment="1" applyProtection="1">
      <alignment horizontal="center" vertical="center"/>
    </xf>
    <xf numFmtId="0" fontId="39" fillId="0" borderId="154" xfId="0" applyFont="1" applyFill="1" applyBorder="1" applyAlignment="1" applyProtection="1">
      <alignment horizontal="center" vertical="center"/>
    </xf>
    <xf numFmtId="0" fontId="46" fillId="22" borderId="154" xfId="40" applyFont="1" applyFill="1" applyBorder="1" applyAlignment="1" applyProtection="1">
      <alignment horizontal="center" vertical="center"/>
    </xf>
    <xf numFmtId="170" fontId="46" fillId="22" borderId="154" xfId="0" applyNumberFormat="1" applyFont="1" applyFill="1" applyBorder="1" applyAlignment="1" applyProtection="1">
      <alignment horizontal="center" vertical="center" wrapText="1"/>
    </xf>
    <xf numFmtId="3" fontId="56" fillId="27" borderId="177" xfId="80" applyNumberFormat="1" applyFont="1" applyFill="1" applyBorder="1" applyAlignment="1" applyProtection="1">
      <alignment vertical="center"/>
    </xf>
    <xf numFmtId="3" fontId="56" fillId="27" borderId="176" xfId="80" applyNumberFormat="1" applyFont="1" applyFill="1" applyBorder="1" applyAlignment="1" applyProtection="1">
      <alignment vertical="center"/>
    </xf>
    <xf numFmtId="0" fontId="54" fillId="20" borderId="7" xfId="32" applyFont="1" applyFill="1" applyBorder="1" applyAlignment="1" applyProtection="1">
      <alignment horizontal="center" vertical="center" wrapText="1"/>
    </xf>
    <xf numFmtId="0" fontId="144" fillId="47" borderId="7" xfId="0" applyFont="1" applyFill="1" applyBorder="1" applyAlignment="1" applyProtection="1">
      <alignment horizontal="center" vertical="center" wrapText="1"/>
    </xf>
    <xf numFmtId="0" fontId="144" fillId="37" borderId="63" xfId="52" applyFont="1" applyFill="1" applyBorder="1" applyAlignment="1" applyProtection="1">
      <alignment horizontal="center" vertical="center"/>
    </xf>
    <xf numFmtId="0" fontId="144" fillId="37" borderId="63" xfId="52" applyFont="1" applyFill="1" applyBorder="1" applyAlignment="1" applyProtection="1">
      <alignment horizontal="center" vertical="center" wrapText="1"/>
    </xf>
    <xf numFmtId="0" fontId="144" fillId="47" borderId="7" xfId="0" applyFont="1" applyFill="1" applyBorder="1" applyAlignment="1">
      <alignment horizontal="center" vertical="center" wrapText="1"/>
    </xf>
    <xf numFmtId="0" fontId="144" fillId="37" borderId="7" xfId="0" applyFont="1" applyFill="1" applyBorder="1" applyAlignment="1" applyProtection="1">
      <alignment horizontal="center" vertical="center" wrapText="1"/>
    </xf>
    <xf numFmtId="3" fontId="144" fillId="37" borderId="7" xfId="49" applyNumberFormat="1" applyFont="1" applyFill="1" applyBorder="1" applyAlignment="1" applyProtection="1">
      <alignment horizontal="center" vertical="center" wrapText="1"/>
    </xf>
    <xf numFmtId="3" fontId="56" fillId="54" borderId="155" xfId="80" applyNumberFormat="1" applyFont="1" applyFill="1" applyBorder="1" applyAlignment="1" applyProtection="1">
      <alignment vertical="center"/>
    </xf>
    <xf numFmtId="171" fontId="11" fillId="0" borderId="154" xfId="0" applyNumberFormat="1" applyFont="1" applyFill="1" applyBorder="1" applyAlignment="1" applyProtection="1">
      <alignment vertical="center"/>
    </xf>
    <xf numFmtId="171" fontId="39" fillId="20" borderId="17" xfId="0" applyNumberFormat="1" applyFont="1" applyFill="1" applyBorder="1" applyAlignment="1" applyProtection="1">
      <alignment horizontal="center" vertical="center"/>
    </xf>
    <xf numFmtId="171" fontId="39" fillId="20" borderId="24" xfId="0" applyNumberFormat="1" applyFont="1" applyFill="1" applyBorder="1" applyAlignment="1" applyProtection="1">
      <alignment horizontal="center" vertical="center"/>
    </xf>
    <xf numFmtId="171" fontId="39" fillId="20" borderId="52" xfId="0" applyNumberFormat="1" applyFont="1" applyFill="1" applyBorder="1" applyAlignment="1" applyProtection="1">
      <alignment horizontal="center" vertical="center"/>
    </xf>
    <xf numFmtId="171" fontId="39" fillId="20" borderId="32" xfId="0" applyNumberFormat="1" applyFont="1" applyFill="1" applyBorder="1" applyAlignment="1" applyProtection="1">
      <alignment horizontal="center" vertical="center"/>
    </xf>
    <xf numFmtId="171" fontId="39" fillId="20" borderId="15" xfId="0" applyNumberFormat="1" applyFont="1" applyFill="1" applyBorder="1" applyAlignment="1" applyProtection="1">
      <alignment horizontal="center" vertical="center"/>
    </xf>
    <xf numFmtId="171" fontId="20" fillId="0" borderId="154" xfId="0" applyNumberFormat="1" applyFont="1" applyFill="1" applyBorder="1" applyAlignment="1" applyProtection="1">
      <alignment vertical="center"/>
    </xf>
    <xf numFmtId="171" fontId="39" fillId="21" borderId="2" xfId="0" applyNumberFormat="1" applyFont="1" applyFill="1" applyBorder="1" applyAlignment="1" applyProtection="1">
      <alignment horizontal="center" vertical="center"/>
    </xf>
    <xf numFmtId="171" fontId="39" fillId="21" borderId="1" xfId="0" applyNumberFormat="1" applyFont="1" applyFill="1" applyBorder="1" applyAlignment="1" applyProtection="1">
      <alignment horizontal="center" vertical="center"/>
    </xf>
    <xf numFmtId="171" fontId="39" fillId="21" borderId="38" xfId="0" applyNumberFormat="1" applyFont="1" applyFill="1" applyBorder="1" applyAlignment="1" applyProtection="1">
      <alignment horizontal="center" vertical="center"/>
    </xf>
    <xf numFmtId="171" fontId="39" fillId="21" borderId="9" xfId="0" applyNumberFormat="1" applyFont="1" applyFill="1" applyBorder="1" applyAlignment="1" applyProtection="1">
      <alignment horizontal="center" vertical="center"/>
    </xf>
    <xf numFmtId="171" fontId="39" fillId="21" borderId="65" xfId="0" applyNumberFormat="1" applyFont="1" applyFill="1" applyBorder="1" applyAlignment="1" applyProtection="1">
      <alignment horizontal="center" vertical="center"/>
    </xf>
    <xf numFmtId="171" fontId="39" fillId="21" borderId="10" xfId="0" applyNumberFormat="1" applyFont="1" applyFill="1" applyBorder="1" applyAlignment="1" applyProtection="1">
      <alignment horizontal="center" vertical="center"/>
    </xf>
    <xf numFmtId="171" fontId="20" fillId="22" borderId="154" xfId="0" applyNumberFormat="1" applyFont="1" applyFill="1" applyBorder="1" applyAlignment="1" applyProtection="1">
      <alignment vertical="center"/>
    </xf>
    <xf numFmtId="171" fontId="144" fillId="0" borderId="7" xfId="0" applyNumberFormat="1" applyFont="1" applyBorder="1" applyAlignment="1">
      <alignment horizontal="center" vertical="center"/>
    </xf>
    <xf numFmtId="0" fontId="46" fillId="22" borderId="23" xfId="0" applyFont="1" applyFill="1" applyBorder="1" applyAlignment="1" applyProtection="1">
      <alignment vertical="center"/>
    </xf>
    <xf numFmtId="0" fontId="46" fillId="22" borderId="32" xfId="0" applyFont="1" applyFill="1" applyBorder="1" applyAlignment="1" applyProtection="1">
      <alignment vertical="center"/>
    </xf>
    <xf numFmtId="0" fontId="11" fillId="0" borderId="0" xfId="0" applyFont="1"/>
    <xf numFmtId="0" fontId="11" fillId="0" borderId="0" xfId="0" applyFont="1" applyAlignment="1">
      <alignment horizontal="right" vertical="center"/>
    </xf>
    <xf numFmtId="1" fontId="11" fillId="0" borderId="7" xfId="0" applyNumberFormat="1" applyFont="1" applyBorder="1" applyAlignment="1">
      <alignment horizontal="center"/>
    </xf>
    <xf numFmtId="171" fontId="11" fillId="0" borderId="0" xfId="0" applyNumberFormat="1" applyFont="1"/>
    <xf numFmtId="0" fontId="11" fillId="0" borderId="7" xfId="0" applyFont="1" applyBorder="1" applyAlignment="1">
      <alignment vertical="center"/>
    </xf>
    <xf numFmtId="171" fontId="11" fillId="0" borderId="7" xfId="0" applyNumberFormat="1" applyFont="1" applyBorder="1"/>
    <xf numFmtId="176" fontId="54" fillId="0" borderId="7" xfId="0" applyNumberFormat="1" applyFont="1" applyBorder="1" applyAlignment="1">
      <alignment horizontal="center" vertical="center" wrapText="1"/>
    </xf>
    <xf numFmtId="176" fontId="144" fillId="0" borderId="7" xfId="0" applyNumberFormat="1" applyFont="1" applyBorder="1" applyAlignment="1">
      <alignment horizontal="center" vertical="center"/>
    </xf>
    <xf numFmtId="176" fontId="54" fillId="0" borderId="7" xfId="0" applyNumberFormat="1" applyFont="1" applyBorder="1" applyAlignment="1">
      <alignment horizontal="center" vertical="center"/>
    </xf>
    <xf numFmtId="49" fontId="33" fillId="3" borderId="24" xfId="0" applyNumberFormat="1" applyFont="1" applyFill="1" applyBorder="1" applyAlignment="1" applyProtection="1">
      <alignment horizontal="left" vertical="center"/>
      <protection locked="0"/>
    </xf>
    <xf numFmtId="0" fontId="11" fillId="3" borderId="39" xfId="0" applyFont="1" applyFill="1" applyBorder="1" applyAlignment="1" applyProtection="1">
      <alignment horizontal="center" vertical="center" wrapText="1"/>
      <protection locked="0"/>
    </xf>
    <xf numFmtId="0" fontId="11" fillId="3" borderId="55" xfId="0" applyFont="1" applyFill="1" applyBorder="1" applyAlignment="1" applyProtection="1">
      <alignment horizontal="center" vertical="center" wrapText="1"/>
      <protection locked="0"/>
    </xf>
    <xf numFmtId="171" fontId="11" fillId="3" borderId="17" xfId="32" applyNumberFormat="1" applyFont="1" applyFill="1" applyBorder="1" applyAlignment="1" applyProtection="1">
      <alignment horizontal="center" vertical="center"/>
      <protection locked="0"/>
    </xf>
    <xf numFmtId="171" fontId="11" fillId="3" borderId="62" xfId="32" applyNumberFormat="1" applyFont="1" applyFill="1" applyBorder="1" applyAlignment="1" applyProtection="1">
      <alignment horizontal="center" vertical="center"/>
      <protection locked="0"/>
    </xf>
    <xf numFmtId="10" fontId="11" fillId="3" borderId="51" xfId="0" applyNumberFormat="1" applyFont="1" applyFill="1" applyBorder="1" applyAlignment="1" applyProtection="1">
      <alignment horizontal="center" vertical="center" wrapText="1"/>
      <protection locked="0"/>
    </xf>
    <xf numFmtId="166" fontId="171" fillId="3" borderId="32" xfId="80" applyNumberFormat="1" applyFont="1" applyFill="1" applyBorder="1" applyAlignment="1" applyProtection="1">
      <alignment horizontal="center" vertical="center"/>
      <protection locked="0"/>
    </xf>
    <xf numFmtId="180" fontId="171" fillId="3" borderId="7" xfId="80" applyNumberFormat="1" applyFont="1" applyFill="1" applyBorder="1" applyAlignment="1" applyProtection="1">
      <alignment horizontal="center" vertical="center"/>
      <protection locked="0"/>
    </xf>
    <xf numFmtId="10" fontId="40" fillId="22" borderId="31" xfId="70" applyNumberFormat="1" applyFont="1" applyFill="1" applyBorder="1" applyAlignment="1" applyProtection="1">
      <alignment horizontal="center" vertical="center"/>
    </xf>
    <xf numFmtId="0" fontId="11" fillId="0" borderId="51" xfId="0" applyFont="1" applyFill="1" applyBorder="1" applyAlignment="1" applyProtection="1">
      <alignment horizontal="left" vertical="center" wrapText="1"/>
    </xf>
    <xf numFmtId="0" fontId="19" fillId="0" borderId="0" xfId="32" applyFont="1" applyAlignment="1" applyProtection="1">
      <alignment horizontal="left" wrapText="1"/>
    </xf>
    <xf numFmtId="0" fontId="85" fillId="0" borderId="24" xfId="2" applyNumberFormat="1" applyFont="1" applyFill="1" applyBorder="1" applyAlignment="1" applyProtection="1">
      <alignment horizontal="left" vertical="center" wrapText="1"/>
    </xf>
    <xf numFmtId="0" fontId="85" fillId="0" borderId="15" xfId="2" applyNumberFormat="1" applyFont="1" applyFill="1" applyBorder="1" applyAlignment="1" applyProtection="1">
      <alignment horizontal="left" vertical="center" wrapText="1"/>
    </xf>
    <xf numFmtId="0" fontId="68" fillId="0" borderId="23" xfId="32" applyNumberFormat="1" applyFont="1" applyFill="1" applyBorder="1" applyAlignment="1" applyProtection="1">
      <alignment horizontal="left" vertical="center" wrapText="1"/>
    </xf>
    <xf numFmtId="0" fontId="68" fillId="0" borderId="15" xfId="32" applyNumberFormat="1" applyFont="1" applyFill="1" applyBorder="1" applyAlignment="1" applyProtection="1">
      <alignment horizontal="left" vertical="center" wrapText="1"/>
    </xf>
    <xf numFmtId="49" fontId="69" fillId="0" borderId="23" xfId="32" applyNumberFormat="1" applyFont="1" applyFill="1" applyBorder="1" applyAlignment="1" applyProtection="1">
      <alignment horizontal="left" vertical="center" wrapText="1"/>
    </xf>
    <xf numFmtId="49" fontId="69" fillId="0" borderId="15" xfId="32" applyNumberFormat="1" applyFont="1" applyFill="1" applyBorder="1" applyAlignment="1" applyProtection="1">
      <alignment horizontal="left" vertical="center" wrapText="1"/>
    </xf>
    <xf numFmtId="0" fontId="108" fillId="0" borderId="24" xfId="2" applyFont="1" applyBorder="1" applyAlignment="1" applyProtection="1">
      <alignment horizontal="left" vertical="center" wrapText="1"/>
    </xf>
    <xf numFmtId="0" fontId="108" fillId="0" borderId="15" xfId="2" applyFont="1" applyBorder="1" applyAlignment="1" applyProtection="1">
      <alignment horizontal="left" vertical="center" wrapText="1"/>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39" xfId="32" applyNumberFormat="1" applyFont="1" applyFill="1" applyBorder="1" applyAlignment="1" applyProtection="1">
      <alignment horizontal="center" vertical="center"/>
    </xf>
    <xf numFmtId="49" fontId="68" fillId="20" borderId="5" xfId="32" applyNumberFormat="1" applyFont="1" applyFill="1" applyBorder="1" applyAlignment="1" applyProtection="1">
      <alignment horizontal="center" vertical="center"/>
    </xf>
    <xf numFmtId="0" fontId="108" fillId="0" borderId="24" xfId="2" applyNumberFormat="1" applyFont="1" applyFill="1" applyBorder="1" applyAlignment="1" applyProtection="1">
      <alignment horizontal="left" vertical="center" wrapText="1"/>
    </xf>
    <xf numFmtId="0" fontId="108" fillId="0" borderId="15" xfId="2" applyNumberFormat="1" applyFont="1" applyFill="1" applyBorder="1" applyAlignment="1" applyProtection="1">
      <alignment horizontal="left" vertical="center" wrapText="1"/>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68" fillId="20" borderId="26" xfId="32" applyNumberFormat="1" applyFont="1" applyFill="1" applyBorder="1" applyAlignment="1" applyProtection="1">
      <alignment horizontal="center" vertical="center"/>
    </xf>
    <xf numFmtId="0" fontId="69" fillId="20" borderId="5" xfId="32" applyFont="1" applyFill="1" applyBorder="1" applyAlignment="1" applyProtection="1">
      <alignment horizontal="right" vertical="center"/>
    </xf>
    <xf numFmtId="49" fontId="68" fillId="20" borderId="39" xfId="32" applyNumberFormat="1" applyFont="1" applyFill="1" applyBorder="1" applyAlignment="1" applyProtection="1">
      <alignment horizontal="left" vertical="center"/>
    </xf>
    <xf numFmtId="49" fontId="68" fillId="20" borderId="26" xfId="32" applyNumberFormat="1" applyFont="1" applyFill="1" applyBorder="1" applyAlignment="1" applyProtection="1">
      <alignment horizontal="left" vertical="center"/>
    </xf>
    <xf numFmtId="0" fontId="108" fillId="0" borderId="24" xfId="2" applyFont="1" applyBorder="1" applyAlignment="1" applyProtection="1">
      <alignment horizontal="left" wrapText="1"/>
    </xf>
    <xf numFmtId="0" fontId="108" fillId="0" borderId="15" xfId="2" applyFont="1" applyBorder="1" applyAlignment="1" applyProtection="1">
      <alignment horizontal="left" wrapText="1"/>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49" fontId="69" fillId="0" borderId="36" xfId="32" applyNumberFormat="1" applyFont="1" applyFill="1" applyBorder="1" applyAlignment="1" applyProtection="1">
      <alignment horizontal="left" vertical="center"/>
    </xf>
    <xf numFmtId="49" fontId="69" fillId="0" borderId="18" xfId="32" applyNumberFormat="1" applyFont="1" applyFill="1" applyBorder="1" applyAlignment="1" applyProtection="1">
      <alignment horizontal="left" vertical="center"/>
    </xf>
    <xf numFmtId="0" fontId="172" fillId="26" borderId="1" xfId="32" applyNumberFormat="1" applyFont="1" applyFill="1" applyBorder="1" applyAlignment="1" applyProtection="1">
      <alignment horizontal="center" vertical="center"/>
    </xf>
    <xf numFmtId="0" fontId="172" fillId="26" borderId="3" xfId="32" applyNumberFormat="1" applyFont="1" applyFill="1" applyBorder="1" applyAlignment="1" applyProtection="1">
      <alignment horizontal="center" vertical="center"/>
    </xf>
    <xf numFmtId="0" fontId="71" fillId="26" borderId="24" xfId="32" applyNumberFormat="1" applyFont="1" applyFill="1" applyBorder="1" applyAlignment="1" applyProtection="1">
      <alignment horizontal="center" vertical="center"/>
    </xf>
    <xf numFmtId="0" fontId="71" fillId="26" borderId="15" xfId="32" applyNumberFormat="1" applyFont="1" applyFill="1" applyBorder="1" applyAlignment="1" applyProtection="1">
      <alignment horizontal="center" vertical="center"/>
    </xf>
    <xf numFmtId="0" fontId="71" fillId="26" borderId="30" xfId="32" applyNumberFormat="1" applyFont="1" applyFill="1" applyBorder="1" applyAlignment="1" applyProtection="1">
      <alignment horizontal="center" vertical="center"/>
    </xf>
    <xf numFmtId="0" fontId="71" fillId="26" borderId="19" xfId="32" applyNumberFormat="1" applyFont="1" applyFill="1" applyBorder="1" applyAlignment="1" applyProtection="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68" fillId="20" borderId="35" xfId="32" applyNumberFormat="1" applyFont="1" applyFill="1" applyBorder="1" applyAlignment="1" applyProtection="1">
      <alignment horizontal="left" vertical="center"/>
    </xf>
    <xf numFmtId="49" fontId="68" fillId="20" borderId="34" xfId="32" applyNumberFormat="1" applyFont="1" applyFill="1" applyBorder="1" applyAlignment="1" applyProtection="1">
      <alignment horizontal="left" vertical="center"/>
    </xf>
    <xf numFmtId="0" fontId="68" fillId="20" borderId="40" xfId="32" applyFont="1" applyFill="1" applyBorder="1" applyAlignment="1" applyProtection="1">
      <alignment horizontal="right" vertical="center"/>
    </xf>
    <xf numFmtId="0" fontId="68" fillId="20" borderId="27" xfId="32" applyFont="1" applyFill="1" applyBorder="1" applyAlignment="1" applyProtection="1">
      <alignment horizontal="right" vertical="center"/>
    </xf>
    <xf numFmtId="0" fontId="68" fillId="20" borderId="42" xfId="32" applyFont="1" applyFill="1" applyBorder="1" applyAlignment="1" applyProtection="1">
      <alignment horizontal="right" vertical="center"/>
    </xf>
    <xf numFmtId="0" fontId="71" fillId="26" borderId="29" xfId="32" applyNumberFormat="1" applyFont="1" applyFill="1" applyBorder="1" applyAlignment="1" applyProtection="1">
      <alignment horizontal="center" vertical="center"/>
    </xf>
    <xf numFmtId="0" fontId="71" fillId="26" borderId="14" xfId="32" applyNumberFormat="1" applyFont="1" applyFill="1" applyBorder="1" applyAlignment="1" applyProtection="1">
      <alignment horizontal="center" vertical="center"/>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6" fillId="0" borderId="0" xfId="32" applyNumberFormat="1" applyFont="1" applyBorder="1" applyAlignment="1" applyProtection="1">
      <alignment horizontal="center" vertical="center"/>
    </xf>
    <xf numFmtId="0" fontId="68" fillId="0" borderId="0" xfId="32" applyNumberFormat="1" applyFont="1" applyBorder="1" applyAlignment="1" applyProtection="1">
      <alignment horizontal="center" vertical="center"/>
    </xf>
    <xf numFmtId="49" fontId="68" fillId="37" borderId="35" xfId="32" applyNumberFormat="1" applyFont="1" applyFill="1" applyBorder="1" applyAlignment="1" applyProtection="1">
      <alignment horizontal="center" vertical="center"/>
    </xf>
    <xf numFmtId="49" fontId="68" fillId="37" borderId="34" xfId="32" applyNumberFormat="1" applyFont="1" applyFill="1" applyBorder="1" applyAlignment="1" applyProtection="1">
      <alignment horizontal="center" vertical="center"/>
    </xf>
    <xf numFmtId="0" fontId="68" fillId="37" borderId="29" xfId="32" applyFont="1" applyFill="1" applyBorder="1" applyAlignment="1" applyProtection="1">
      <alignment horizontal="center" vertical="center"/>
    </xf>
    <xf numFmtId="0" fontId="68" fillId="37" borderId="22" xfId="32" applyFont="1" applyFill="1" applyBorder="1" applyAlignment="1" applyProtection="1">
      <alignment horizontal="center" vertical="center"/>
    </xf>
    <xf numFmtId="0" fontId="68" fillId="37" borderId="14" xfId="32" applyFont="1" applyFill="1" applyBorder="1" applyAlignment="1" applyProtection="1">
      <alignment horizontal="center" vertical="center"/>
    </xf>
    <xf numFmtId="0" fontId="70" fillId="37" borderId="30" xfId="32" applyFont="1" applyFill="1" applyBorder="1" applyAlignment="1" applyProtection="1">
      <alignment horizontal="center" vertical="center"/>
    </xf>
    <xf numFmtId="0" fontId="70" fillId="37" borderId="19" xfId="32" applyFont="1" applyFill="1" applyBorder="1" applyAlignment="1" applyProtection="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0" fontId="41" fillId="27" borderId="0" xfId="0" applyFont="1" applyFill="1" applyAlignment="1" applyProtection="1">
      <alignment vertical="top" wrapText="1"/>
    </xf>
    <xf numFmtId="49" fontId="115" fillId="28" borderId="30" xfId="31" applyNumberFormat="1" applyFont="1" applyFill="1" applyBorder="1" applyAlignment="1" applyProtection="1">
      <alignment horizontal="center" vertical="center"/>
      <protection locked="0"/>
    </xf>
    <xf numFmtId="49" fontId="115" fillId="28" borderId="19" xfId="31" applyNumberFormat="1" applyFont="1" applyFill="1" applyBorder="1" applyAlignment="1" applyProtection="1">
      <alignment horizontal="center" vertical="center"/>
      <protection locked="0"/>
    </xf>
    <xf numFmtId="1" fontId="33" fillId="26" borderId="24" xfId="31" applyNumberFormat="1" applyFont="1" applyFill="1" applyBorder="1" applyAlignment="1" applyProtection="1">
      <alignment horizontal="left" vertical="center"/>
    </xf>
    <xf numFmtId="1" fontId="33" fillId="26" borderId="15" xfId="31" applyNumberFormat="1" applyFont="1" applyFill="1" applyBorder="1" applyAlignment="1" applyProtection="1">
      <alignment horizontal="left" vertical="center"/>
    </xf>
    <xf numFmtId="49" fontId="115" fillId="28" borderId="29" xfId="31" applyNumberFormat="1" applyFont="1" applyFill="1" applyBorder="1" applyAlignment="1" applyProtection="1">
      <alignment horizontal="center" vertical="center"/>
      <protection locked="0"/>
    </xf>
    <xf numFmtId="49" fontId="115"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179" fontId="31" fillId="27" borderId="40" xfId="31" applyNumberFormat="1" applyFont="1" applyFill="1" applyBorder="1" applyAlignment="1" applyProtection="1">
      <alignment horizontal="center" vertical="center"/>
    </xf>
    <xf numFmtId="179" fontId="31" fillId="27" borderId="41" xfId="31" applyNumberFormat="1" applyFont="1" applyFill="1" applyBorder="1" applyAlignment="1" applyProtection="1">
      <alignment horizontal="center" vertical="center"/>
    </xf>
    <xf numFmtId="0" fontId="20" fillId="27" borderId="42" xfId="0" applyFont="1" applyFill="1" applyBorder="1" applyAlignment="1" applyProtection="1">
      <alignment horizontal="center"/>
    </xf>
    <xf numFmtId="0" fontId="20" fillId="27" borderId="43" xfId="0" applyFont="1" applyFill="1" applyBorder="1" applyAlignment="1" applyProtection="1">
      <alignment horizontal="center"/>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Border="1" applyAlignment="1" applyProtection="1">
      <alignment horizontal="center" vertical="center" wrapText="1"/>
    </xf>
    <xf numFmtId="49" fontId="14" fillId="27" borderId="0" xfId="0" applyNumberFormat="1" applyFont="1" applyFill="1" applyBorder="1" applyAlignment="1" applyProtection="1">
      <alignment horizontal="center" vertical="center"/>
    </xf>
    <xf numFmtId="0" fontId="19" fillId="27" borderId="0" xfId="0" applyNumberFormat="1" applyFont="1" applyFill="1" applyBorder="1" applyAlignment="1" applyProtection="1">
      <alignment horizontal="center" vertical="center"/>
    </xf>
    <xf numFmtId="49" fontId="19" fillId="37" borderId="35" xfId="0" applyNumberFormat="1" applyFont="1" applyFill="1" applyBorder="1" applyAlignment="1" applyProtection="1">
      <alignment horizontal="center" vertical="center"/>
    </xf>
    <xf numFmtId="49" fontId="19" fillId="37" borderId="34" xfId="0" applyNumberFormat="1" applyFont="1" applyFill="1" applyBorder="1" applyAlignment="1" applyProtection="1">
      <alignment horizontal="center" vertical="center"/>
    </xf>
    <xf numFmtId="0" fontId="19" fillId="37" borderId="29" xfId="0" applyFont="1" applyFill="1" applyBorder="1" applyAlignment="1" applyProtection="1">
      <alignment horizontal="center" vertical="center"/>
    </xf>
    <xf numFmtId="0" fontId="19" fillId="37" borderId="22" xfId="0" applyFont="1" applyFill="1" applyBorder="1" applyAlignment="1" applyProtection="1">
      <alignment horizontal="center" vertical="center"/>
    </xf>
    <xf numFmtId="0" fontId="19" fillId="37" borderId="14" xfId="0" applyFont="1" applyFill="1" applyBorder="1" applyAlignment="1" applyProtection="1">
      <alignment horizontal="center" vertical="center"/>
    </xf>
    <xf numFmtId="0" fontId="31" fillId="37" borderId="30" xfId="0" applyFont="1" applyFill="1" applyBorder="1" applyAlignment="1" applyProtection="1">
      <alignment horizontal="center" vertical="center"/>
    </xf>
    <xf numFmtId="0" fontId="31" fillId="37" borderId="19" xfId="0" applyFont="1" applyFill="1" applyBorder="1" applyAlignment="1" applyProtection="1">
      <alignment horizontal="center" vertical="center"/>
    </xf>
    <xf numFmtId="0" fontId="31" fillId="27" borderId="1" xfId="0" applyFont="1" applyFill="1" applyBorder="1" applyAlignment="1" applyProtection="1">
      <alignment horizontal="center" vertical="center"/>
    </xf>
    <xf numFmtId="0" fontId="31" fillId="27" borderId="3" xfId="0" applyFont="1" applyFill="1" applyBorder="1" applyAlignment="1" applyProtection="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pplyProtection="1">
      <alignment horizontal="left" vertical="center"/>
    </xf>
    <xf numFmtId="0" fontId="31" fillId="27" borderId="3" xfId="31" applyFont="1" applyFill="1" applyBorder="1" applyAlignment="1" applyProtection="1">
      <alignment horizontal="left" vertical="center"/>
    </xf>
    <xf numFmtId="49" fontId="33" fillId="26" borderId="29" xfId="31" applyNumberFormat="1" applyFont="1" applyFill="1" applyBorder="1" applyAlignment="1" applyProtection="1">
      <alignment horizontal="left" vertical="center"/>
    </xf>
    <xf numFmtId="49" fontId="33" fillId="26" borderId="14" xfId="31" applyNumberFormat="1" applyFont="1" applyFill="1" applyBorder="1" applyAlignment="1" applyProtection="1">
      <alignment horizontal="left" vertical="center"/>
    </xf>
    <xf numFmtId="0" fontId="20" fillId="22" borderId="154" xfId="0" applyFont="1" applyFill="1" applyBorder="1" applyAlignment="1" applyProtection="1">
      <alignment horizontal="center" vertical="center" wrapText="1"/>
    </xf>
    <xf numFmtId="0" fontId="169" fillId="0" borderId="154" xfId="0" applyFont="1" applyBorder="1" applyAlignment="1" applyProtection="1">
      <alignment horizontal="left" vertical="center" wrapText="1"/>
    </xf>
    <xf numFmtId="179" fontId="170" fillId="27" borderId="154" xfId="31" applyNumberFormat="1" applyFont="1" applyFill="1" applyBorder="1" applyAlignment="1" applyProtection="1">
      <alignment horizontal="center" vertical="center"/>
    </xf>
    <xf numFmtId="0" fontId="11" fillId="0" borderId="35" xfId="0" applyFont="1" applyBorder="1" applyAlignment="1" applyProtection="1">
      <alignment horizontal="center" vertical="center" wrapText="1"/>
    </xf>
    <xf numFmtId="0" fontId="11" fillId="0" borderId="3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19" fillId="39" borderId="1" xfId="31" applyFont="1" applyFill="1" applyBorder="1" applyAlignment="1" applyProtection="1">
      <alignment horizontal="center" vertical="center" wrapText="1"/>
    </xf>
    <xf numFmtId="0" fontId="19" fillId="39" borderId="8" xfId="31" applyFont="1" applyFill="1" applyBorder="1" applyAlignment="1" applyProtection="1">
      <alignment horizontal="center" vertical="center" wrapText="1"/>
    </xf>
    <xf numFmtId="0" fontId="19" fillId="39" borderId="3" xfId="31"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9" fillId="0" borderId="0" xfId="0" applyFont="1" applyFill="1" applyAlignment="1" applyProtection="1">
      <alignment horizontal="center" vertical="center" wrapText="1"/>
    </xf>
    <xf numFmtId="0" fontId="19" fillId="0" borderId="0" xfId="0" applyFont="1" applyFill="1" applyBorder="1" applyAlignment="1" applyProtection="1">
      <alignment horizontal="center" vertical="center" wrapText="1"/>
    </xf>
    <xf numFmtId="0" fontId="11" fillId="0" borderId="35" xfId="31" applyFont="1" applyBorder="1" applyAlignment="1" applyProtection="1">
      <alignment horizontal="center" vertical="center" wrapText="1"/>
    </xf>
    <xf numFmtId="0" fontId="11" fillId="0" borderId="34"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41"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9"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0" borderId="26" xfId="31" applyFont="1" applyBorder="1" applyAlignment="1" applyProtection="1">
      <alignment horizontal="center" vertical="center" wrapText="1"/>
    </xf>
    <xf numFmtId="0" fontId="20" fillId="37" borderId="35" xfId="0" applyFont="1" applyFill="1" applyBorder="1" applyAlignment="1" applyProtection="1">
      <alignment horizontal="center" vertical="center" wrapText="1"/>
    </xf>
    <xf numFmtId="0" fontId="20" fillId="37" borderId="34" xfId="0" applyFont="1" applyFill="1" applyBorder="1" applyAlignment="1" applyProtection="1">
      <alignment horizontal="center" vertical="center" wrapText="1"/>
    </xf>
    <xf numFmtId="0" fontId="64" fillId="0" borderId="0" xfId="0" applyFont="1" applyAlignment="1" applyProtection="1">
      <alignment horizontal="right" vertical="center"/>
    </xf>
    <xf numFmtId="0" fontId="20" fillId="37" borderId="51" xfId="0" applyFont="1" applyFill="1" applyBorder="1" applyAlignment="1" applyProtection="1">
      <alignment horizontal="center" vertical="center" wrapText="1"/>
    </xf>
    <xf numFmtId="0" fontId="20" fillId="37" borderId="39" xfId="0" applyFont="1" applyFill="1" applyBorder="1" applyAlignment="1" applyProtection="1">
      <alignment horizontal="center" vertical="center" wrapText="1"/>
    </xf>
    <xf numFmtId="0" fontId="20" fillId="37" borderId="76" xfId="0" applyFont="1" applyFill="1" applyBorder="1" applyAlignment="1" applyProtection="1">
      <alignment horizontal="center" vertical="center" wrapText="1"/>
    </xf>
    <xf numFmtId="0" fontId="20" fillId="37" borderId="55" xfId="0" applyFont="1" applyFill="1" applyBorder="1" applyAlignment="1" applyProtection="1">
      <alignment horizontal="center" vertical="center" wrapText="1"/>
    </xf>
    <xf numFmtId="0" fontId="20" fillId="37" borderId="72" xfId="0" applyFont="1" applyFill="1" applyBorder="1" applyAlignment="1" applyProtection="1">
      <alignment horizontal="center" vertical="center" wrapText="1"/>
    </xf>
    <xf numFmtId="0" fontId="20" fillId="37" borderId="69"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64" fillId="0" borderId="0" xfId="0" applyFont="1" applyAlignment="1" applyProtection="1">
      <alignment horizontal="center" vertical="center"/>
    </xf>
    <xf numFmtId="49" fontId="20" fillId="39" borderId="1" xfId="0" applyNumberFormat="1" applyFont="1" applyFill="1" applyBorder="1" applyAlignment="1" applyProtection="1">
      <alignment horizontal="center" vertical="center"/>
    </xf>
    <xf numFmtId="49" fontId="20" fillId="39" borderId="8" xfId="0" applyNumberFormat="1" applyFont="1" applyFill="1" applyBorder="1" applyAlignment="1" applyProtection="1">
      <alignment horizontal="center" vertical="center"/>
    </xf>
    <xf numFmtId="49" fontId="20" fillId="39" borderId="3"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14" fillId="0" borderId="0" xfId="0" applyFont="1" applyBorder="1" applyAlignment="1" applyProtection="1">
      <alignment horizontal="center" vertical="center" wrapText="1"/>
    </xf>
    <xf numFmtId="0" fontId="83" fillId="27" borderId="0" xfId="52" applyFont="1" applyFill="1" applyAlignment="1" applyProtection="1">
      <alignment horizontal="left" vertical="center" wrapText="1"/>
    </xf>
    <xf numFmtId="0" fontId="14" fillId="27" borderId="0" xfId="32" applyFont="1" applyFill="1" applyAlignment="1" applyProtection="1">
      <alignment horizontal="center" vertical="center" wrapText="1"/>
    </xf>
    <xf numFmtId="49" fontId="64" fillId="26" borderId="26" xfId="57" applyNumberFormat="1" applyFont="1" applyFill="1" applyBorder="1" applyAlignment="1" applyProtection="1">
      <alignment horizontal="center" vertical="center" wrapText="1"/>
    </xf>
    <xf numFmtId="49" fontId="64" fillId="26" borderId="5"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wrapText="1"/>
    </xf>
    <xf numFmtId="0" fontId="64" fillId="26" borderId="6" xfId="57" applyFont="1" applyFill="1" applyBorder="1" applyAlignment="1" applyProtection="1">
      <alignment horizontal="left" vertical="center" wrapText="1"/>
    </xf>
    <xf numFmtId="49" fontId="64" fillId="31" borderId="35" xfId="57" applyNumberFormat="1" applyFont="1" applyFill="1" applyBorder="1" applyAlignment="1" applyProtection="1">
      <alignment horizontal="center" vertical="center" wrapText="1"/>
    </xf>
    <xf numFmtId="49" fontId="64" fillId="31" borderId="26" xfId="57" applyNumberFormat="1" applyFont="1" applyFill="1" applyBorder="1" applyAlignment="1" applyProtection="1">
      <alignment horizontal="center" vertical="center" wrapText="1"/>
    </xf>
    <xf numFmtId="49" fontId="64" fillId="31" borderId="34" xfId="57" applyNumberFormat="1" applyFont="1" applyFill="1" applyBorder="1" applyAlignment="1" applyProtection="1">
      <alignment horizontal="center" vertical="center" wrapText="1"/>
    </xf>
    <xf numFmtId="0" fontId="64" fillId="31" borderId="11" xfId="57" applyFont="1" applyFill="1" applyBorder="1" applyAlignment="1" applyProtection="1">
      <alignment vertical="center" wrapText="1"/>
    </xf>
    <xf numFmtId="0" fontId="64" fillId="31" borderId="0" xfId="57" applyFont="1" applyFill="1" applyBorder="1" applyAlignment="1" applyProtection="1">
      <alignment vertical="center" wrapText="1"/>
    </xf>
    <xf numFmtId="0" fontId="64" fillId="31" borderId="20" xfId="57" applyFont="1" applyFill="1" applyBorder="1" applyAlignment="1" applyProtection="1">
      <alignment vertical="center" wrapText="1"/>
    </xf>
    <xf numFmtId="49" fontId="64" fillId="27" borderId="39" xfId="57" applyNumberFormat="1" applyFont="1" applyFill="1" applyBorder="1" applyAlignment="1" applyProtection="1">
      <alignment horizontal="center" vertical="center" wrapText="1"/>
    </xf>
    <xf numFmtId="49" fontId="64" fillId="27" borderId="34" xfId="57" applyNumberFormat="1" applyFont="1" applyFill="1" applyBorder="1" applyAlignment="1" applyProtection="1">
      <alignment horizontal="center" vertical="center" wrapText="1"/>
    </xf>
    <xf numFmtId="0" fontId="64" fillId="20" borderId="15" xfId="58" applyFont="1" applyFill="1" applyBorder="1" applyAlignment="1" applyProtection="1">
      <alignment horizontal="left" vertical="center" wrapText="1"/>
    </xf>
    <xf numFmtId="0" fontId="64" fillId="20" borderId="19" xfId="58" applyFont="1" applyFill="1" applyBorder="1" applyAlignment="1" applyProtection="1">
      <alignment horizontal="left" vertical="center" wrapText="1"/>
    </xf>
    <xf numFmtId="0" fontId="64" fillId="31" borderId="35" xfId="57" applyFont="1" applyFill="1" applyBorder="1" applyAlignment="1" applyProtection="1">
      <alignment horizontal="left" vertical="center"/>
    </xf>
    <xf numFmtId="0" fontId="64" fillId="31" borderId="34" xfId="57" applyFont="1" applyFill="1" applyBorder="1" applyAlignment="1" applyProtection="1">
      <alignment horizontal="left" vertical="center"/>
    </xf>
    <xf numFmtId="49" fontId="64" fillId="26" borderId="35"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xf>
    <xf numFmtId="0" fontId="64" fillId="26" borderId="6" xfId="57" applyFont="1" applyFill="1" applyBorder="1" applyAlignment="1" applyProtection="1">
      <alignment horizontal="left" vertical="center"/>
    </xf>
    <xf numFmtId="49" fontId="64" fillId="27" borderId="26" xfId="57" applyNumberFormat="1" applyFont="1" applyFill="1" applyBorder="1" applyAlignment="1" applyProtection="1">
      <alignment horizontal="center" vertical="center" wrapText="1"/>
    </xf>
    <xf numFmtId="49" fontId="64" fillId="27" borderId="5" xfId="57" applyNumberFormat="1" applyFont="1" applyFill="1" applyBorder="1" applyAlignment="1" applyProtection="1">
      <alignment horizontal="center" vertical="center" wrapText="1"/>
    </xf>
    <xf numFmtId="0" fontId="64" fillId="20" borderId="6" xfId="58" applyFont="1" applyFill="1" applyBorder="1" applyAlignment="1" applyProtection="1">
      <alignment horizontal="left" vertical="center" wrapText="1"/>
    </xf>
    <xf numFmtId="49" fontId="64" fillId="31" borderId="5" xfId="57" applyNumberFormat="1" applyFont="1" applyFill="1" applyBorder="1" applyAlignment="1" applyProtection="1">
      <alignment horizontal="center" vertical="center" wrapText="1"/>
    </xf>
    <xf numFmtId="0" fontId="64" fillId="31" borderId="41" xfId="57" applyFont="1" applyFill="1" applyBorder="1" applyAlignment="1" applyProtection="1">
      <alignment horizontal="left" vertical="center"/>
    </xf>
    <xf numFmtId="0" fontId="64" fillId="31" borderId="16" xfId="57" applyFont="1" applyFill="1" applyBorder="1" applyAlignment="1" applyProtection="1">
      <alignment horizontal="left" vertical="center"/>
    </xf>
    <xf numFmtId="49" fontId="64" fillId="26" borderId="51" xfId="57" applyNumberFormat="1" applyFont="1" applyFill="1" applyBorder="1" applyAlignment="1" applyProtection="1">
      <alignment horizontal="center" vertical="center" wrapText="1"/>
    </xf>
    <xf numFmtId="49" fontId="64" fillId="26" borderId="17" xfId="57" applyNumberFormat="1" applyFont="1" applyFill="1" applyBorder="1" applyAlignment="1" applyProtection="1">
      <alignment horizontal="center" vertical="center" wrapText="1"/>
    </xf>
    <xf numFmtId="0" fontId="64" fillId="20" borderId="22" xfId="57" applyFont="1" applyFill="1" applyBorder="1" applyAlignment="1" applyProtection="1">
      <alignment horizontal="left" vertical="center" wrapText="1"/>
    </xf>
    <xf numFmtId="0" fontId="64" fillId="20" borderId="23" xfId="57" applyFont="1" applyFill="1" applyBorder="1" applyAlignment="1" applyProtection="1">
      <alignment horizontal="left" vertical="center" wrapText="1"/>
    </xf>
    <xf numFmtId="0" fontId="64" fillId="31" borderId="6" xfId="57" applyFont="1" applyFill="1" applyBorder="1" applyAlignment="1" applyProtection="1">
      <alignment horizontal="left" vertical="center"/>
    </xf>
    <xf numFmtId="0" fontId="64" fillId="24" borderId="5" xfId="40" quotePrefix="1" applyFont="1" applyFill="1" applyBorder="1" applyAlignment="1" applyProtection="1">
      <alignment horizontal="center" vertical="center" wrapText="1"/>
    </xf>
    <xf numFmtId="0" fontId="64" fillId="24" borderId="39" xfId="40" quotePrefix="1" applyFont="1" applyFill="1" applyBorder="1" applyAlignment="1" applyProtection="1">
      <alignment horizontal="center" vertical="center" wrapText="1"/>
    </xf>
    <xf numFmtId="0" fontId="64" fillId="24" borderId="5" xfId="52" applyFont="1" applyFill="1" applyBorder="1" applyAlignment="1" applyProtection="1">
      <alignment horizontal="center" vertical="center" wrapText="1"/>
    </xf>
    <xf numFmtId="0" fontId="64" fillId="24" borderId="39" xfId="52" applyFont="1" applyFill="1" applyBorder="1" applyAlignment="1" applyProtection="1">
      <alignment horizontal="center" vertical="center" wrapText="1"/>
    </xf>
    <xf numFmtId="0" fontId="64" fillId="20" borderId="33" xfId="57" applyFont="1" applyFill="1" applyBorder="1" applyAlignment="1" applyProtection="1">
      <alignment horizontal="left" vertical="center" wrapText="1"/>
    </xf>
    <xf numFmtId="49" fontId="64" fillId="31" borderId="5"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49" fontId="64" fillId="31" borderId="21" xfId="52" applyNumberFormat="1" applyFont="1" applyFill="1" applyBorder="1" applyAlignment="1" applyProtection="1">
      <alignment horizontal="center" vertical="center" wrapText="1"/>
    </xf>
    <xf numFmtId="0" fontId="64" fillId="31" borderId="5" xfId="52" applyFont="1" applyFill="1" applyBorder="1" applyAlignment="1" applyProtection="1">
      <alignment horizontal="center" vertical="center"/>
    </xf>
    <xf numFmtId="0" fontId="64" fillId="31" borderId="17" xfId="52" applyFont="1" applyFill="1" applyBorder="1" applyAlignment="1" applyProtection="1">
      <alignment horizontal="center" vertical="center"/>
    </xf>
    <xf numFmtId="0" fontId="64" fillId="31" borderId="21" xfId="52" applyFont="1" applyFill="1" applyBorder="1" applyAlignment="1" applyProtection="1">
      <alignment horizontal="center" vertical="center"/>
    </xf>
    <xf numFmtId="0" fontId="64" fillId="26" borderId="51" xfId="52" applyFont="1" applyFill="1" applyBorder="1" applyAlignment="1" applyProtection="1">
      <alignment horizontal="left" vertical="center" wrapText="1"/>
    </xf>
    <xf numFmtId="0" fontId="64" fillId="26" borderId="17" xfId="52" applyFont="1" applyFill="1" applyBorder="1" applyAlignment="1" applyProtection="1">
      <alignment horizontal="left" vertical="center" wrapText="1"/>
    </xf>
    <xf numFmtId="0" fontId="56" fillId="27" borderId="0" xfId="52" applyNumberFormat="1" applyFont="1" applyFill="1" applyAlignment="1" applyProtection="1">
      <alignment horizontal="center" vertical="center"/>
    </xf>
    <xf numFmtId="0" fontId="83" fillId="26" borderId="0" xfId="0" applyFont="1" applyFill="1" applyAlignment="1" applyProtection="1">
      <alignment horizontal="left" vertical="center" wrapText="1"/>
    </xf>
    <xf numFmtId="0" fontId="19" fillId="27" borderId="0" xfId="0" applyFont="1" applyFill="1" applyAlignment="1" applyProtection="1">
      <alignment horizontal="center" vertical="center"/>
    </xf>
    <xf numFmtId="49" fontId="64" fillId="31" borderId="39" xfId="52" applyNumberFormat="1" applyFont="1" applyFill="1" applyBorder="1" applyAlignment="1" applyProtection="1">
      <alignment horizontal="center" vertical="center" wrapText="1"/>
    </xf>
    <xf numFmtId="0" fontId="64" fillId="31" borderId="51" xfId="52" applyFont="1" applyFill="1" applyBorder="1" applyAlignment="1" applyProtection="1">
      <alignment horizontal="left" vertical="center"/>
    </xf>
    <xf numFmtId="0" fontId="64" fillId="31" borderId="21" xfId="52" applyFont="1" applyFill="1" applyBorder="1" applyAlignment="1" applyProtection="1">
      <alignment horizontal="left" vertical="center"/>
    </xf>
    <xf numFmtId="49" fontId="64" fillId="26" borderId="51" xfId="52" applyNumberFormat="1" applyFont="1" applyFill="1" applyBorder="1" applyAlignment="1" applyProtection="1">
      <alignment horizontal="center" vertical="center" wrapText="1"/>
    </xf>
    <xf numFmtId="49" fontId="64" fillId="26" borderId="17" xfId="52" applyNumberFormat="1" applyFont="1" applyFill="1" applyBorder="1" applyAlignment="1" applyProtection="1">
      <alignment horizontal="center" vertical="center" wrapText="1"/>
    </xf>
    <xf numFmtId="0" fontId="64" fillId="20" borderId="51" xfId="52" applyFont="1" applyFill="1" applyBorder="1" applyAlignment="1" applyProtection="1">
      <alignment horizontal="left" vertical="center" wrapText="1"/>
    </xf>
    <xf numFmtId="0" fontId="64" fillId="20" borderId="17" xfId="52" applyFont="1" applyFill="1" applyBorder="1" applyAlignment="1" applyProtection="1">
      <alignment horizontal="left" vertical="center" wrapText="1"/>
    </xf>
    <xf numFmtId="49" fontId="64" fillId="27" borderId="51" xfId="52" applyNumberFormat="1" applyFont="1" applyFill="1" applyBorder="1" applyAlignment="1" applyProtection="1">
      <alignment horizontal="center" vertical="center" wrapText="1"/>
    </xf>
    <xf numFmtId="49" fontId="64" fillId="27" borderId="17" xfId="52" applyNumberFormat="1" applyFont="1" applyFill="1" applyBorder="1" applyAlignment="1" applyProtection="1">
      <alignment horizontal="center" vertical="center" wrapText="1"/>
    </xf>
    <xf numFmtId="49" fontId="64" fillId="31" borderId="51" xfId="52" applyNumberFormat="1" applyFont="1" applyFill="1" applyBorder="1" applyAlignment="1" applyProtection="1">
      <alignment horizontal="center" vertical="center" wrapText="1"/>
    </xf>
    <xf numFmtId="0" fontId="64" fillId="31" borderId="17" xfId="52" applyFont="1" applyFill="1" applyBorder="1" applyAlignment="1" applyProtection="1">
      <alignment horizontal="left" vertical="center"/>
    </xf>
    <xf numFmtId="0" fontId="64" fillId="31" borderId="39" xfId="52" applyFont="1" applyFill="1" applyBorder="1" applyAlignment="1" applyProtection="1">
      <alignment horizontal="left" vertical="center"/>
    </xf>
    <xf numFmtId="0" fontId="64" fillId="26" borderId="51" xfId="52" applyFont="1" applyFill="1" applyBorder="1" applyAlignment="1" applyProtection="1">
      <alignment horizontal="left" vertical="center"/>
    </xf>
    <xf numFmtId="0" fontId="64" fillId="26" borderId="17" xfId="52" applyFont="1" applyFill="1" applyBorder="1" applyAlignment="1" applyProtection="1">
      <alignment horizontal="left" vertical="center"/>
    </xf>
    <xf numFmtId="0" fontId="83" fillId="27" borderId="0" xfId="54" applyFont="1" applyFill="1" applyAlignment="1" applyProtection="1"/>
    <xf numFmtId="0" fontId="11" fillId="20" borderId="45" xfId="88" applyFont="1" applyFill="1" applyBorder="1" applyAlignment="1" applyProtection="1">
      <alignment horizontal="center" vertical="center" wrapText="1"/>
    </xf>
    <xf numFmtId="0" fontId="11" fillId="20" borderId="66" xfId="88" applyFont="1" applyFill="1" applyBorder="1" applyAlignment="1" applyProtection="1">
      <alignment horizontal="center" vertical="center" wrapText="1"/>
    </xf>
    <xf numFmtId="0" fontId="11" fillId="20" borderId="47" xfId="88" applyFont="1" applyFill="1" applyBorder="1" applyAlignment="1" applyProtection="1">
      <alignment horizontal="center" vertical="center" wrapText="1"/>
    </xf>
    <xf numFmtId="0" fontId="11" fillId="0" borderId="45" xfId="88" applyFont="1" applyFill="1" applyBorder="1" applyAlignment="1" applyProtection="1">
      <alignment horizontal="center" vertical="center" wrapText="1"/>
    </xf>
    <xf numFmtId="0" fontId="11" fillId="0" borderId="66" xfId="88" applyFont="1" applyFill="1" applyBorder="1" applyAlignment="1" applyProtection="1">
      <alignment horizontal="center" vertical="center" wrapText="1"/>
    </xf>
    <xf numFmtId="0" fontId="11" fillId="0" borderId="47" xfId="88" applyFont="1" applyFill="1" applyBorder="1" applyAlignment="1" applyProtection="1">
      <alignment horizontal="center" vertical="center" wrapText="1"/>
    </xf>
    <xf numFmtId="0" fontId="11" fillId="26" borderId="75" xfId="88" applyFont="1" applyFill="1" applyBorder="1" applyAlignment="1" applyProtection="1">
      <alignment horizontal="center" vertical="center" wrapText="1"/>
    </xf>
    <xf numFmtId="0" fontId="11" fillId="26" borderId="52" xfId="88" applyFont="1" applyFill="1" applyBorder="1" applyAlignment="1" applyProtection="1">
      <alignment horizontal="center" vertical="center" wrapText="1"/>
    </xf>
    <xf numFmtId="0" fontId="11" fillId="26" borderId="56" xfId="88" applyFont="1" applyFill="1" applyBorder="1" applyAlignment="1" applyProtection="1">
      <alignment horizontal="center" vertical="center" wrapText="1"/>
    </xf>
    <xf numFmtId="3" fontId="118" fillId="20" borderId="140" xfId="88" applyNumberFormat="1" applyFont="1" applyFill="1" applyBorder="1" applyAlignment="1" applyProtection="1">
      <alignment horizontal="right" vertical="center" wrapText="1"/>
    </xf>
    <xf numFmtId="3" fontId="118" fillId="20" borderId="141" xfId="88" applyNumberFormat="1" applyFont="1" applyFill="1" applyBorder="1" applyAlignment="1" applyProtection="1">
      <alignment horizontal="right" vertical="center" wrapText="1"/>
    </xf>
    <xf numFmtId="0" fontId="116" fillId="20" borderId="75" xfId="88" applyFont="1" applyFill="1" applyBorder="1" applyAlignment="1" applyProtection="1">
      <alignment horizontal="center" vertical="center" wrapText="1"/>
    </xf>
    <xf numFmtId="0" fontId="116" fillId="20" borderId="49" xfId="88" applyFont="1" applyFill="1" applyBorder="1" applyAlignment="1" applyProtection="1">
      <alignment horizontal="center" vertical="center" wrapText="1"/>
    </xf>
    <xf numFmtId="0" fontId="116" fillId="20" borderId="52" xfId="88" applyFont="1" applyFill="1" applyBorder="1" applyAlignment="1" applyProtection="1">
      <alignment horizontal="center" vertical="center" wrapText="1"/>
    </xf>
    <xf numFmtId="0" fontId="116" fillId="20" borderId="54" xfId="88" applyFont="1" applyFill="1" applyBorder="1" applyAlignment="1" applyProtection="1">
      <alignment horizontal="center" vertical="center" wrapText="1"/>
    </xf>
    <xf numFmtId="0" fontId="116" fillId="20" borderId="56" xfId="88" applyFont="1" applyFill="1" applyBorder="1" applyAlignment="1" applyProtection="1">
      <alignment horizontal="center" vertical="center" wrapText="1"/>
    </xf>
    <xf numFmtId="0" fontId="11" fillId="0" borderId="75" xfId="88" applyFont="1" applyBorder="1" applyAlignment="1" applyProtection="1">
      <alignment horizontal="center" vertical="center" wrapText="1"/>
    </xf>
    <xf numFmtId="0" fontId="11" fillId="0" borderId="49" xfId="88" applyFont="1" applyBorder="1" applyAlignment="1" applyProtection="1">
      <alignment horizontal="center" vertical="center" wrapText="1"/>
    </xf>
    <xf numFmtId="0" fontId="11" fillId="0" borderId="52" xfId="88" applyFont="1" applyBorder="1" applyAlignment="1" applyProtection="1">
      <alignment horizontal="center" vertical="center" wrapText="1"/>
    </xf>
    <xf numFmtId="0" fontId="11" fillId="0" borderId="54" xfId="88" applyFont="1" applyBorder="1" applyAlignment="1" applyProtection="1">
      <alignment horizontal="center" vertical="center" wrapText="1"/>
    </xf>
    <xf numFmtId="0" fontId="117" fillId="41" borderId="35" xfId="88" applyFont="1" applyFill="1" applyBorder="1" applyAlignment="1" applyProtection="1">
      <alignment horizontal="center" vertical="center" wrapText="1"/>
    </xf>
    <xf numFmtId="0" fontId="117" fillId="41" borderId="34" xfId="88" applyFont="1" applyFill="1" applyBorder="1" applyAlignment="1" applyProtection="1">
      <alignment horizontal="center" vertical="center" wrapText="1"/>
    </xf>
    <xf numFmtId="0" fontId="64" fillId="27" borderId="0" xfId="54" applyFont="1" applyFill="1" applyAlignment="1" applyProtection="1">
      <alignment horizontal="left" indent="1"/>
    </xf>
    <xf numFmtId="0" fontId="117" fillId="41" borderId="35" xfId="88" applyFont="1" applyFill="1" applyBorder="1" applyAlignment="1" applyProtection="1">
      <alignment horizontal="center" vertical="center" wrapText="1"/>
      <protection locked="0"/>
    </xf>
    <xf numFmtId="0" fontId="117" fillId="41" borderId="34" xfId="88" applyFont="1" applyFill="1" applyBorder="1" applyAlignment="1" applyProtection="1">
      <alignment horizontal="center" vertical="center" wrapText="1"/>
      <protection locked="0"/>
    </xf>
    <xf numFmtId="0" fontId="20" fillId="41" borderId="35" xfId="88" applyFont="1" applyFill="1" applyBorder="1" applyAlignment="1" applyProtection="1">
      <alignment horizontal="center" vertical="center" wrapText="1"/>
    </xf>
    <xf numFmtId="0" fontId="20" fillId="41" borderId="34" xfId="88" applyFont="1" applyFill="1" applyBorder="1" applyAlignment="1" applyProtection="1">
      <alignment horizontal="center" vertical="center" wrapText="1"/>
    </xf>
    <xf numFmtId="0" fontId="117" fillId="26" borderId="46" xfId="88" applyFont="1" applyFill="1" applyBorder="1" applyAlignment="1" applyProtection="1">
      <alignment horizontal="center" vertical="center" wrapText="1"/>
    </xf>
    <xf numFmtId="0" fontId="117" fillId="26" borderId="48" xfId="88" applyFont="1" applyFill="1" applyBorder="1" applyAlignment="1" applyProtection="1">
      <alignment horizontal="center" vertical="center" wrapText="1"/>
    </xf>
    <xf numFmtId="0" fontId="117" fillId="41" borderId="45" xfId="88" applyFont="1" applyFill="1" applyBorder="1" applyAlignment="1" applyProtection="1">
      <alignment horizontal="center" vertical="center" wrapText="1"/>
    </xf>
    <xf numFmtId="0" fontId="117" fillId="41" borderId="47" xfId="88" applyFont="1" applyFill="1" applyBorder="1" applyAlignment="1" applyProtection="1">
      <alignment horizontal="center" vertical="center" wrapText="1"/>
    </xf>
    <xf numFmtId="3" fontId="117" fillId="41" borderId="30" xfId="88" applyNumberFormat="1" applyFont="1" applyFill="1" applyBorder="1" applyAlignment="1" applyProtection="1">
      <alignment horizontal="center" vertical="center" wrapText="1"/>
    </xf>
    <xf numFmtId="3" fontId="117" fillId="41" borderId="28" xfId="88" applyNumberFormat="1" applyFont="1" applyFill="1" applyBorder="1" applyAlignment="1" applyProtection="1">
      <alignment horizontal="center" vertical="center" wrapText="1"/>
    </xf>
    <xf numFmtId="3" fontId="117" fillId="41" borderId="19" xfId="88" applyNumberFormat="1" applyFont="1" applyFill="1" applyBorder="1" applyAlignment="1" applyProtection="1">
      <alignment horizontal="center" vertical="center" wrapText="1"/>
    </xf>
    <xf numFmtId="3" fontId="11" fillId="26" borderId="35" xfId="88" applyNumberFormat="1" applyFont="1" applyFill="1" applyBorder="1" applyAlignment="1" applyProtection="1">
      <alignment horizontal="center" vertical="center" wrapText="1"/>
    </xf>
    <xf numFmtId="3" fontId="11" fillId="26" borderId="26" xfId="88" applyNumberFormat="1" applyFont="1" applyFill="1" applyBorder="1" applyAlignment="1" applyProtection="1">
      <alignment horizontal="center" vertical="center" wrapText="1"/>
    </xf>
    <xf numFmtId="3" fontId="11" fillId="26" borderId="34" xfId="88" applyNumberFormat="1" applyFont="1" applyFill="1" applyBorder="1" applyAlignment="1" applyProtection="1">
      <alignment horizontal="center" vertical="center" wrapText="1"/>
    </xf>
    <xf numFmtId="0" fontId="11" fillId="0" borderId="56" xfId="88" applyFont="1" applyBorder="1" applyAlignment="1" applyProtection="1">
      <alignment horizontal="center" vertical="center" wrapText="1"/>
    </xf>
    <xf numFmtId="3" fontId="11" fillId="26" borderId="5" xfId="88" applyNumberFormat="1" applyFont="1" applyFill="1" applyBorder="1" applyAlignment="1" applyProtection="1">
      <alignment horizontal="center" vertical="center" wrapText="1"/>
    </xf>
    <xf numFmtId="0" fontId="117" fillId="41" borderId="40" xfId="88" applyFont="1" applyFill="1" applyBorder="1" applyAlignment="1" applyProtection="1">
      <alignment horizontal="center" vertical="center" wrapText="1"/>
    </xf>
    <xf numFmtId="0" fontId="117" fillId="41" borderId="42" xfId="88" applyFont="1" applyFill="1" applyBorder="1" applyAlignment="1" applyProtection="1">
      <alignment horizontal="center" vertical="center" wrapText="1"/>
    </xf>
    <xf numFmtId="3" fontId="20" fillId="26" borderId="35" xfId="88" applyNumberFormat="1" applyFont="1" applyFill="1" applyBorder="1" applyAlignment="1" applyProtection="1">
      <alignment horizontal="center" vertical="center" wrapText="1"/>
    </xf>
    <xf numFmtId="3" fontId="20" fillId="26" borderId="26" xfId="88" applyNumberFormat="1" applyFont="1" applyFill="1" applyBorder="1" applyAlignment="1" applyProtection="1">
      <alignment horizontal="center" vertical="center" wrapText="1"/>
    </xf>
    <xf numFmtId="3" fontId="20" fillId="26" borderId="34" xfId="88" applyNumberFormat="1" applyFont="1" applyFill="1" applyBorder="1" applyAlignment="1" applyProtection="1">
      <alignment horizontal="center" vertical="center" wrapText="1"/>
    </xf>
    <xf numFmtId="3" fontId="20" fillId="26" borderId="5" xfId="88" applyNumberFormat="1" applyFont="1" applyFill="1" applyBorder="1" applyAlignment="1" applyProtection="1">
      <alignment horizontal="center" vertical="center" wrapText="1"/>
    </xf>
    <xf numFmtId="0" fontId="11" fillId="20" borderId="75" xfId="88" applyFont="1" applyFill="1" applyBorder="1" applyAlignment="1" applyProtection="1">
      <alignment horizontal="center" vertical="center" wrapText="1"/>
    </xf>
    <xf numFmtId="0" fontId="11" fillId="20" borderId="49" xfId="88" applyFont="1" applyFill="1" applyBorder="1" applyAlignment="1" applyProtection="1">
      <alignment horizontal="center" vertical="center" wrapText="1"/>
    </xf>
    <xf numFmtId="0" fontId="11" fillId="20" borderId="52" xfId="88" applyFont="1" applyFill="1" applyBorder="1" applyAlignment="1" applyProtection="1">
      <alignment horizontal="center" vertical="center" wrapText="1"/>
    </xf>
    <xf numFmtId="0" fontId="11" fillId="20" borderId="54" xfId="88" applyFont="1" applyFill="1" applyBorder="1" applyAlignment="1" applyProtection="1">
      <alignment horizontal="center" vertical="center" wrapText="1"/>
    </xf>
    <xf numFmtId="0" fontId="11" fillId="20" borderId="56" xfId="88" applyFont="1" applyFill="1" applyBorder="1" applyAlignment="1" applyProtection="1">
      <alignment horizontal="center" vertical="center" wrapText="1"/>
    </xf>
    <xf numFmtId="0" fontId="19" fillId="27" borderId="0" xfId="90" applyFont="1" applyFill="1" applyAlignment="1" applyProtection="1">
      <alignment horizontal="center" vertical="center" wrapText="1"/>
    </xf>
    <xf numFmtId="0" fontId="19" fillId="27" borderId="0" xfId="90" applyFont="1" applyFill="1" applyAlignment="1" applyProtection="1">
      <alignment horizontal="center" vertical="center"/>
    </xf>
    <xf numFmtId="0" fontId="19" fillId="27" borderId="0" xfId="90" applyFont="1" applyFill="1" applyBorder="1" applyAlignment="1" applyProtection="1">
      <alignment horizontal="center" vertical="center"/>
    </xf>
    <xf numFmtId="0" fontId="20" fillId="20" borderId="20" xfId="88" applyFont="1" applyFill="1" applyBorder="1" applyAlignment="1" applyProtection="1">
      <alignment horizontal="left" vertical="center" wrapText="1"/>
    </xf>
    <xf numFmtId="0" fontId="20" fillId="20" borderId="0" xfId="88" applyFont="1" applyFill="1" applyBorder="1" applyAlignment="1" applyProtection="1">
      <alignment horizontal="left" vertical="center" wrapText="1"/>
    </xf>
    <xf numFmtId="0" fontId="117" fillId="20" borderId="75" xfId="88" applyFont="1" applyFill="1" applyBorder="1" applyAlignment="1" applyProtection="1">
      <alignment horizontal="center" vertical="center" wrapText="1"/>
    </xf>
    <xf numFmtId="0" fontId="117" fillId="20" borderId="52" xfId="88" applyFont="1" applyFill="1" applyBorder="1" applyAlignment="1" applyProtection="1">
      <alignment horizontal="center" vertical="center" wrapText="1"/>
    </xf>
    <xf numFmtId="0" fontId="117" fillId="20" borderId="56" xfId="88" applyFont="1" applyFill="1" applyBorder="1" applyAlignment="1" applyProtection="1">
      <alignment horizontal="center" vertical="center" wrapText="1"/>
    </xf>
    <xf numFmtId="0" fontId="117" fillId="41" borderId="46" xfId="88" applyFont="1" applyFill="1" applyBorder="1" applyAlignment="1" applyProtection="1">
      <alignment horizontal="center" vertical="center" wrapText="1"/>
    </xf>
    <xf numFmtId="0" fontId="117" fillId="41" borderId="48" xfId="88" applyFont="1" applyFill="1" applyBorder="1" applyAlignment="1" applyProtection="1">
      <alignment horizontal="center" vertical="center" wrapText="1"/>
    </xf>
    <xf numFmtId="0" fontId="117" fillId="20" borderId="54" xfId="88" applyFont="1" applyFill="1" applyBorder="1" applyAlignment="1" applyProtection="1">
      <alignment horizontal="center" vertical="center" wrapText="1"/>
    </xf>
    <xf numFmtId="0" fontId="64" fillId="37" borderId="40" xfId="52" applyFont="1" applyFill="1" applyBorder="1" applyAlignment="1" applyProtection="1">
      <alignment horizontal="left" vertical="center"/>
    </xf>
    <xf numFmtId="0" fontId="64" fillId="37" borderId="11" xfId="52" applyFont="1" applyFill="1" applyBorder="1" applyAlignment="1" applyProtection="1">
      <alignment horizontal="left" vertical="center"/>
    </xf>
    <xf numFmtId="0" fontId="64" fillId="37" borderId="41" xfId="52" applyFont="1" applyFill="1" applyBorder="1" applyAlignment="1" applyProtection="1">
      <alignment horizontal="left" vertical="center"/>
    </xf>
    <xf numFmtId="0" fontId="64" fillId="28" borderId="7" xfId="80" applyFont="1" applyFill="1" applyBorder="1" applyAlignment="1" applyProtection="1">
      <alignment horizontal="left" vertical="center" wrapText="1"/>
      <protection locked="0"/>
    </xf>
    <xf numFmtId="49" fontId="56" fillId="27" borderId="7" xfId="80" applyNumberFormat="1" applyFont="1" applyFill="1" applyBorder="1" applyAlignment="1" applyProtection="1">
      <alignment horizontal="center" vertical="center" wrapText="1"/>
    </xf>
    <xf numFmtId="0" fontId="44" fillId="26" borderId="7" xfId="0" applyFont="1" applyFill="1" applyBorder="1" applyAlignment="1" applyProtection="1">
      <alignment horizontal="left" vertical="center" wrapText="1"/>
    </xf>
    <xf numFmtId="0" fontId="83" fillId="27" borderId="0" xfId="54" applyFont="1" applyFill="1" applyAlignment="1" applyProtection="1">
      <alignment horizontal="left" vertical="center" wrapText="1"/>
    </xf>
    <xf numFmtId="0" fontId="42" fillId="26" borderId="0" xfId="0" applyFont="1" applyFill="1" applyAlignment="1" applyProtection="1">
      <alignment horizontal="left" vertical="center" wrapText="1"/>
    </xf>
    <xf numFmtId="0" fontId="64" fillId="26" borderId="41" xfId="57" applyFont="1" applyFill="1" applyBorder="1" applyAlignment="1" applyProtection="1">
      <alignment horizontal="left" vertical="center"/>
    </xf>
    <xf numFmtId="49" fontId="64" fillId="26" borderId="34" xfId="57" applyNumberFormat="1" applyFont="1" applyFill="1" applyBorder="1" applyAlignment="1" applyProtection="1">
      <alignment horizontal="center" vertical="center" wrapText="1"/>
    </xf>
    <xf numFmtId="0" fontId="64" fillId="26" borderId="43" xfId="57" applyFont="1" applyFill="1" applyBorder="1" applyAlignment="1" applyProtection="1">
      <alignment horizontal="left"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49" fontId="56" fillId="27" borderId="39" xfId="80" applyNumberFormat="1" applyFont="1" applyFill="1" applyBorder="1" applyAlignment="1" applyProtection="1">
      <alignment horizontal="center" vertical="center" wrapText="1"/>
    </xf>
    <xf numFmtId="49" fontId="56" fillId="27" borderId="5" xfId="80" applyNumberFormat="1" applyFont="1" applyFill="1" applyBorder="1" applyAlignment="1" applyProtection="1">
      <alignment horizontal="center" vertical="center" wrapText="1"/>
    </xf>
    <xf numFmtId="49" fontId="56" fillId="27" borderId="34" xfId="80" applyNumberFormat="1" applyFont="1" applyFill="1" applyBorder="1" applyAlignment="1" applyProtection="1">
      <alignment horizontal="center" vertical="center" wrapText="1"/>
    </xf>
    <xf numFmtId="0" fontId="64" fillId="27" borderId="0" xfId="54" applyFont="1" applyFill="1" applyAlignment="1" applyProtection="1">
      <alignment horizontal="left" vertical="center"/>
    </xf>
    <xf numFmtId="0" fontId="83" fillId="27" borderId="0" xfId="54" applyFont="1" applyFill="1" applyAlignment="1" applyProtection="1">
      <alignment vertical="center"/>
    </xf>
    <xf numFmtId="49" fontId="56" fillId="27" borderId="26" xfId="80" applyNumberFormat="1" applyFont="1" applyFill="1" applyBorder="1" applyAlignment="1" applyProtection="1">
      <alignment horizontal="center" vertical="center" wrapText="1"/>
    </xf>
    <xf numFmtId="0" fontId="40" fillId="0" borderId="39" xfId="0" applyFont="1" applyFill="1" applyBorder="1" applyAlignment="1" applyProtection="1">
      <alignment horizontal="left" vertical="center" wrapText="1"/>
    </xf>
    <xf numFmtId="0" fontId="40" fillId="0" borderId="5" xfId="0" applyFont="1" applyFill="1" applyBorder="1" applyAlignment="1" applyProtection="1">
      <alignment horizontal="left" vertical="center" wrapText="1"/>
    </xf>
    <xf numFmtId="49" fontId="64" fillId="27" borderId="35" xfId="57" applyNumberFormat="1" applyFont="1" applyFill="1" applyBorder="1" applyAlignment="1" applyProtection="1">
      <alignment horizontal="center" vertical="center" wrapText="1"/>
    </xf>
    <xf numFmtId="0" fontId="64" fillId="20" borderId="14" xfId="58" applyFont="1" applyFill="1" applyBorder="1" applyAlignment="1" applyProtection="1">
      <alignment horizontal="left" vertical="center" wrapText="1"/>
    </xf>
    <xf numFmtId="0" fontId="19" fillId="27" borderId="0" xfId="52" applyFont="1" applyFill="1" applyAlignment="1" applyProtection="1">
      <alignment horizontal="center" vertical="center" wrapText="1"/>
    </xf>
    <xf numFmtId="0" fontId="19" fillId="27" borderId="0" xfId="52" applyFont="1" applyFill="1" applyAlignment="1" applyProtection="1">
      <alignment horizontal="center" vertical="center"/>
    </xf>
    <xf numFmtId="0" fontId="19" fillId="27" borderId="0" xfId="32" applyFont="1" applyFill="1" applyAlignment="1" applyProtection="1">
      <alignment horizontal="center" vertical="center" wrapText="1"/>
    </xf>
    <xf numFmtId="0" fontId="19" fillId="27" borderId="0" xfId="32" applyFont="1" applyFill="1" applyBorder="1" applyAlignment="1" applyProtection="1">
      <alignment horizontal="center" vertical="center" wrapText="1"/>
    </xf>
    <xf numFmtId="0" fontId="64" fillId="37" borderId="1" xfId="52" applyFont="1" applyFill="1" applyBorder="1" applyAlignment="1" applyProtection="1">
      <alignment horizontal="left" vertical="center"/>
    </xf>
    <xf numFmtId="0" fontId="64" fillId="37" borderId="8" xfId="52" applyFont="1" applyFill="1" applyBorder="1" applyAlignment="1" applyProtection="1">
      <alignment horizontal="left" vertical="center"/>
    </xf>
    <xf numFmtId="0" fontId="64" fillId="37" borderId="3" xfId="52" applyFont="1" applyFill="1" applyBorder="1" applyAlignment="1" applyProtection="1">
      <alignment horizontal="left" vertical="center"/>
    </xf>
    <xf numFmtId="49" fontId="64" fillId="31" borderId="35" xfId="52" applyNumberFormat="1" applyFont="1" applyFill="1" applyBorder="1" applyAlignment="1" applyProtection="1">
      <alignment horizontal="center" vertical="center" wrapText="1"/>
    </xf>
    <xf numFmtId="49" fontId="64" fillId="31" borderId="26" xfId="52" applyNumberFormat="1" applyFont="1" applyFill="1" applyBorder="1" applyAlignment="1" applyProtection="1">
      <alignment horizontal="center" vertical="center" wrapText="1"/>
    </xf>
    <xf numFmtId="49" fontId="64" fillId="31" borderId="34" xfId="52" applyNumberFormat="1" applyFont="1" applyFill="1" applyBorder="1" applyAlignment="1" applyProtection="1">
      <alignment horizontal="center" vertical="center" wrapText="1"/>
    </xf>
    <xf numFmtId="0" fontId="64" fillId="31" borderId="11" xfId="52" applyFont="1" applyFill="1" applyBorder="1" applyAlignment="1" applyProtection="1">
      <alignment horizontal="center" vertical="center"/>
    </xf>
    <xf numFmtId="0" fontId="64" fillId="31" borderId="0" xfId="52" applyFont="1" applyFill="1" applyBorder="1" applyAlignment="1" applyProtection="1">
      <alignment horizontal="center" vertical="center"/>
    </xf>
    <xf numFmtId="0" fontId="64" fillId="31" borderId="20" xfId="52" applyFont="1" applyFill="1" applyBorder="1" applyAlignment="1" applyProtection="1">
      <alignment horizontal="center" vertical="center"/>
    </xf>
    <xf numFmtId="0" fontId="39" fillId="22" borderId="154" xfId="32" applyFont="1" applyFill="1" applyBorder="1" applyAlignment="1" applyProtection="1">
      <alignment horizontal="center" vertical="center" wrapText="1"/>
    </xf>
    <xf numFmtId="0" fontId="20" fillId="22" borderId="156" xfId="0" applyFont="1" applyFill="1" applyBorder="1" applyAlignment="1" applyProtection="1">
      <alignment horizontal="center" vertical="center" wrapText="1"/>
    </xf>
    <xf numFmtId="0" fontId="20" fillId="22" borderId="157" xfId="0" applyFont="1" applyFill="1" applyBorder="1" applyAlignment="1" applyProtection="1">
      <alignment horizontal="center" vertical="center" wrapText="1"/>
    </xf>
    <xf numFmtId="0" fontId="20" fillId="22" borderId="158" xfId="0" applyFont="1" applyFill="1" applyBorder="1" applyAlignment="1" applyProtection="1">
      <alignment horizontal="center" vertical="center" wrapText="1"/>
    </xf>
    <xf numFmtId="2" fontId="39" fillId="22" borderId="154" xfId="32" applyNumberFormat="1" applyFont="1" applyFill="1" applyBorder="1" applyAlignment="1" applyProtection="1">
      <alignment horizontal="center" vertical="center" wrapText="1"/>
    </xf>
    <xf numFmtId="0" fontId="39" fillId="37" borderId="75"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xf>
    <xf numFmtId="0" fontId="40" fillId="37" borderId="56" xfId="32" applyFont="1" applyFill="1" applyBorder="1" applyAlignment="1" applyProtection="1">
      <alignment horizontal="center" vertical="center"/>
    </xf>
    <xf numFmtId="0" fontId="42" fillId="27" borderId="0" xfId="32" applyFont="1" applyFill="1" applyAlignment="1" applyProtection="1">
      <alignment vertical="center" wrapText="1"/>
    </xf>
    <xf numFmtId="170" fontId="39" fillId="37" borderId="35" xfId="32" applyNumberFormat="1" applyFont="1" applyFill="1" applyBorder="1" applyAlignment="1" applyProtection="1">
      <alignment horizontal="center" vertical="center" wrapText="1"/>
    </xf>
    <xf numFmtId="170" fontId="39" fillId="37" borderId="5" xfId="32" applyNumberFormat="1"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wrapText="1"/>
    </xf>
    <xf numFmtId="0" fontId="39" fillId="37" borderId="22" xfId="32" applyFont="1" applyFill="1" applyBorder="1" applyAlignment="1" applyProtection="1">
      <alignment horizontal="center" vertical="center" wrapText="1"/>
    </xf>
    <xf numFmtId="0" fontId="39" fillId="37" borderId="14" xfId="32" applyFont="1" applyFill="1" applyBorder="1" applyAlignment="1" applyProtection="1">
      <alignment horizontal="center" vertical="center" wrapText="1"/>
    </xf>
    <xf numFmtId="0" fontId="39" fillId="37" borderId="25" xfId="32" applyFont="1" applyFill="1" applyBorder="1" applyAlignment="1" applyProtection="1">
      <alignment horizontal="center" vertical="center" wrapText="1"/>
    </xf>
    <xf numFmtId="0" fontId="39" fillId="37" borderId="33" xfId="32" applyFont="1" applyFill="1" applyBorder="1" applyAlignment="1" applyProtection="1">
      <alignment horizontal="center" vertical="center" wrapText="1"/>
    </xf>
    <xf numFmtId="0" fontId="39" fillId="37" borderId="6" xfId="32" applyFont="1" applyFill="1" applyBorder="1" applyAlignment="1" applyProtection="1">
      <alignment horizontal="center" vertical="center" wrapText="1"/>
    </xf>
    <xf numFmtId="0" fontId="39" fillId="37" borderId="40" xfId="32" applyFont="1" applyFill="1" applyBorder="1" applyAlignment="1" applyProtection="1">
      <alignment horizontal="center" vertical="center" wrapText="1"/>
    </xf>
    <xf numFmtId="0" fontId="39" fillId="37" borderId="11" xfId="32" applyFont="1" applyFill="1" applyBorder="1" applyAlignment="1" applyProtection="1">
      <alignment horizontal="center" vertical="center" wrapText="1"/>
    </xf>
    <xf numFmtId="0" fontId="39" fillId="37" borderId="41" xfId="32" applyFont="1" applyFill="1" applyBorder="1" applyAlignment="1" applyProtection="1">
      <alignment horizontal="center" vertical="center" wrapText="1"/>
    </xf>
    <xf numFmtId="0" fontId="39" fillId="37" borderId="73" xfId="32" applyFont="1" applyFill="1" applyBorder="1" applyAlignment="1" applyProtection="1">
      <alignment horizontal="center" vertical="center" wrapText="1"/>
    </xf>
    <xf numFmtId="0" fontId="39" fillId="37" borderId="76" xfId="32" applyFont="1" applyFill="1" applyBorder="1" applyAlignment="1" applyProtection="1">
      <alignment horizontal="center" vertical="center" wrapText="1"/>
    </xf>
    <xf numFmtId="0" fontId="39" fillId="37" borderId="52" xfId="32" applyFont="1" applyFill="1" applyBorder="1" applyAlignment="1" applyProtection="1">
      <alignment horizontal="center" vertical="center" wrapText="1"/>
    </xf>
    <xf numFmtId="0" fontId="39" fillId="37" borderId="7" xfId="32" applyFont="1" applyFill="1" applyBorder="1" applyAlignment="1" applyProtection="1">
      <alignment horizontal="center" vertical="center" wrapText="1"/>
    </xf>
    <xf numFmtId="0" fontId="39" fillId="37" borderId="53" xfId="32" applyFont="1" applyFill="1" applyBorder="1" applyAlignment="1" applyProtection="1">
      <alignment horizontal="center" vertical="center" wrapText="1"/>
    </xf>
    <xf numFmtId="0" fontId="40" fillId="37" borderId="53" xfId="32" applyFont="1" applyFill="1" applyBorder="1" applyAlignment="1" applyProtection="1">
      <alignment vertical="center"/>
    </xf>
    <xf numFmtId="0" fontId="40" fillId="37" borderId="57" xfId="32" applyFont="1" applyFill="1" applyBorder="1" applyAlignment="1" applyProtection="1">
      <alignment vertical="center"/>
    </xf>
    <xf numFmtId="2" fontId="39" fillId="37" borderId="49" xfId="32" applyNumberFormat="1" applyFont="1" applyFill="1" applyBorder="1" applyAlignment="1" applyProtection="1">
      <alignment horizontal="center" vertical="center" wrapText="1"/>
    </xf>
    <xf numFmtId="2" fontId="39" fillId="37" borderId="31" xfId="32" applyNumberFormat="1" applyFont="1" applyFill="1" applyBorder="1" applyAlignment="1" applyProtection="1">
      <alignment horizontal="center" vertical="center" wrapText="1"/>
    </xf>
    <xf numFmtId="2" fontId="39" fillId="37" borderId="50" xfId="32" applyNumberFormat="1" applyFont="1" applyFill="1" applyBorder="1" applyAlignment="1" applyProtection="1">
      <alignment horizontal="center" vertical="center" wrapText="1"/>
    </xf>
    <xf numFmtId="0" fontId="39" fillId="22" borderId="155" xfId="0" applyFont="1" applyFill="1" applyBorder="1" applyAlignment="1">
      <alignment horizontal="center" vertical="center"/>
    </xf>
    <xf numFmtId="2" fontId="39" fillId="22" borderId="155" xfId="0" applyNumberFormat="1" applyFont="1" applyFill="1" applyBorder="1" applyAlignment="1" applyProtection="1">
      <alignment horizontal="center" vertical="center" wrapText="1"/>
    </xf>
    <xf numFmtId="0" fontId="39" fillId="22" borderId="159" xfId="0" applyFont="1" applyFill="1" applyBorder="1" applyAlignment="1">
      <alignment horizontal="center" vertical="center" wrapText="1"/>
    </xf>
    <xf numFmtId="0" fontId="39" fillId="22" borderId="160" xfId="0" applyFont="1" applyFill="1" applyBorder="1" applyAlignment="1">
      <alignment horizontal="center" vertical="center" wrapText="1"/>
    </xf>
    <xf numFmtId="0" fontId="39" fillId="22" borderId="161" xfId="0" applyFont="1" applyFill="1" applyBorder="1" applyAlignment="1">
      <alignment horizontal="center" vertical="center" wrapText="1"/>
    </xf>
    <xf numFmtId="0" fontId="34" fillId="26" borderId="0"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wrapText="1"/>
    </xf>
    <xf numFmtId="0" fontId="40" fillId="37" borderId="52" xfId="0" applyFont="1" applyFill="1" applyBorder="1" applyAlignment="1" applyProtection="1">
      <alignment vertical="center"/>
    </xf>
    <xf numFmtId="0" fontId="40" fillId="37" borderId="56" xfId="0" applyFont="1" applyFill="1" applyBorder="1" applyAlignment="1" applyProtection="1">
      <alignment vertical="center"/>
    </xf>
    <xf numFmtId="0" fontId="39" fillId="37" borderId="73" xfId="0" applyFont="1" applyFill="1" applyBorder="1" applyAlignment="1" applyProtection="1">
      <alignment horizontal="center" vertical="center" wrapText="1"/>
    </xf>
    <xf numFmtId="0" fontId="40" fillId="37" borderId="7" xfId="0" applyFont="1" applyFill="1" applyBorder="1" applyAlignment="1" applyProtection="1">
      <alignment vertical="center"/>
    </xf>
    <xf numFmtId="0" fontId="40" fillId="37" borderId="77" xfId="0" applyFont="1" applyFill="1" applyBorder="1" applyAlignment="1" applyProtection="1">
      <alignment vertical="center"/>
    </xf>
    <xf numFmtId="2" fontId="39" fillId="37" borderId="7" xfId="0" applyNumberFormat="1" applyFont="1" applyFill="1" applyBorder="1" applyAlignment="1" applyProtection="1">
      <alignment horizontal="center" vertical="center" wrapText="1"/>
    </xf>
    <xf numFmtId="0" fontId="14" fillId="27" borderId="0" xfId="0" applyFont="1" applyFill="1" applyAlignment="1" applyProtection="1">
      <alignment horizontal="center" vertical="center" wrapText="1"/>
    </xf>
    <xf numFmtId="0" fontId="18" fillId="27" borderId="0" xfId="0" applyFont="1" applyFill="1" applyAlignment="1" applyProtection="1">
      <alignment horizontal="center" vertical="center" wrapText="1"/>
    </xf>
    <xf numFmtId="0" fontId="40" fillId="50" borderId="24" xfId="0" applyFont="1" applyFill="1" applyBorder="1" applyAlignment="1" applyProtection="1">
      <alignment horizontal="center" vertical="center" wrapText="1"/>
    </xf>
    <xf numFmtId="0" fontId="40" fillId="50" borderId="23" xfId="0" applyFont="1" applyFill="1" applyBorder="1" applyAlignment="1" applyProtection="1">
      <alignment horizontal="center" vertical="center" wrapText="1"/>
    </xf>
    <xf numFmtId="0" fontId="40" fillId="50" borderId="32" xfId="0" applyFont="1" applyFill="1" applyBorder="1" applyAlignment="1" applyProtection="1">
      <alignment horizontal="center" vertical="center" wrapText="1"/>
    </xf>
    <xf numFmtId="0" fontId="40" fillId="28" borderId="31" xfId="0" applyFont="1" applyFill="1" applyBorder="1" applyAlignment="1" applyProtection="1">
      <alignment horizontal="center" vertical="center" wrapText="1"/>
    </xf>
    <xf numFmtId="4" fontId="40" fillId="3" borderId="31" xfId="0" applyNumberFormat="1" applyFont="1" applyFill="1" applyBorder="1" applyAlignment="1" applyProtection="1">
      <alignment horizontal="center" vertical="center"/>
      <protection locked="0"/>
    </xf>
    <xf numFmtId="4" fontId="40" fillId="3" borderId="74" xfId="0" applyNumberFormat="1" applyFont="1" applyFill="1" applyBorder="1" applyAlignment="1" applyProtection="1">
      <alignment horizontal="center" vertical="center"/>
      <protection locked="0"/>
    </xf>
    <xf numFmtId="4" fontId="40" fillId="3" borderId="22" xfId="0" applyNumberFormat="1" applyFont="1" applyFill="1" applyBorder="1" applyAlignment="1" applyProtection="1">
      <alignment horizontal="center" vertical="center"/>
      <protection locked="0"/>
    </xf>
    <xf numFmtId="4" fontId="40" fillId="3" borderId="72" xfId="0" applyNumberFormat="1" applyFont="1" applyFill="1" applyBorder="1" applyAlignment="1" applyProtection="1">
      <alignment horizontal="center" vertical="center"/>
      <protection locked="0"/>
    </xf>
    <xf numFmtId="3" fontId="40" fillId="37" borderId="56" xfId="0" applyNumberFormat="1" applyFont="1" applyFill="1" applyBorder="1" applyAlignment="1" applyProtection="1">
      <alignment horizontal="center" vertical="center" wrapText="1"/>
    </xf>
    <xf numFmtId="3" fontId="40" fillId="37" borderId="77" xfId="0" applyNumberFormat="1" applyFont="1" applyFill="1" applyBorder="1" applyAlignment="1" applyProtection="1">
      <alignment horizontal="center" vertical="center" wrapText="1"/>
    </xf>
    <xf numFmtId="3" fontId="40" fillId="37" borderId="57" xfId="0" applyNumberFormat="1" applyFont="1" applyFill="1" applyBorder="1" applyAlignment="1" applyProtection="1">
      <alignment horizontal="center" vertical="center" wrapText="1"/>
    </xf>
    <xf numFmtId="0" fontId="40" fillId="27" borderId="27" xfId="0" applyFont="1" applyFill="1" applyBorder="1" applyAlignment="1" applyProtection="1">
      <alignment horizontal="center" vertical="center" wrapText="1"/>
    </xf>
    <xf numFmtId="0" fontId="40" fillId="27" borderId="0" xfId="0" applyFont="1" applyFill="1" applyBorder="1" applyAlignment="1" applyProtection="1">
      <alignment horizontal="center" vertical="center" wrapText="1"/>
    </xf>
    <xf numFmtId="0" fontId="39" fillId="37" borderId="76" xfId="0" applyFont="1" applyFill="1" applyBorder="1" applyAlignment="1" applyProtection="1">
      <alignment horizontal="center" vertical="center" wrapText="1"/>
    </xf>
    <xf numFmtId="2" fontId="39" fillId="37" borderId="62" xfId="0" applyNumberFormat="1" applyFont="1" applyFill="1" applyBorder="1" applyAlignment="1" applyProtection="1">
      <alignment horizontal="center" vertical="center" wrapText="1"/>
    </xf>
    <xf numFmtId="2" fontId="39" fillId="37" borderId="23" xfId="0" applyNumberFormat="1" applyFont="1" applyFill="1" applyBorder="1" applyAlignment="1" applyProtection="1">
      <alignment horizontal="center" vertical="center" wrapText="1"/>
    </xf>
    <xf numFmtId="2" fontId="39" fillId="37" borderId="53" xfId="0" applyNumberFormat="1" applyFont="1" applyFill="1" applyBorder="1" applyAlignment="1" applyProtection="1">
      <alignment horizontal="center" vertical="center" wrapText="1"/>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0" fontId="39" fillId="26" borderId="0" xfId="0" applyNumberFormat="1" applyFont="1" applyFill="1" applyBorder="1" applyAlignment="1" applyProtection="1">
      <alignment horizontal="center" vertical="center"/>
    </xf>
    <xf numFmtId="0" fontId="39" fillId="22" borderId="156" xfId="32" applyFont="1" applyFill="1" applyBorder="1" applyAlignment="1" applyProtection="1">
      <alignment horizontal="center" vertical="center" wrapText="1"/>
    </xf>
    <xf numFmtId="0" fontId="39" fillId="22" borderId="158" xfId="32" applyFont="1" applyFill="1" applyBorder="1" applyAlignment="1" applyProtection="1">
      <alignment horizontal="center" vertical="center" wrapText="1"/>
    </xf>
    <xf numFmtId="0" fontId="39" fillId="22" borderId="156" xfId="32" applyFont="1" applyFill="1" applyBorder="1" applyAlignment="1" applyProtection="1">
      <alignment horizontal="center" vertical="center"/>
    </xf>
    <xf numFmtId="0" fontId="39" fillId="22" borderId="158" xfId="32" applyFont="1" applyFill="1" applyBorder="1" applyAlignment="1" applyProtection="1">
      <alignment horizontal="center" vertical="center"/>
    </xf>
    <xf numFmtId="0" fontId="14" fillId="0" borderId="0" xfId="32" applyFont="1" applyAlignment="1" applyProtection="1">
      <alignment horizontal="center" vertical="center" wrapText="1"/>
    </xf>
    <xf numFmtId="0" fontId="39" fillId="37" borderId="35" xfId="32" applyFont="1" applyFill="1" applyBorder="1" applyAlignment="1" applyProtection="1">
      <alignment horizontal="center" vertical="center" wrapText="1"/>
    </xf>
    <xf numFmtId="0" fontId="39" fillId="37" borderId="34" xfId="32" applyFont="1" applyFill="1" applyBorder="1" applyAlignment="1" applyProtection="1">
      <alignment horizontal="center" vertical="center" wrapText="1"/>
    </xf>
    <xf numFmtId="0" fontId="42" fillId="26" borderId="0" xfId="32" applyFont="1" applyFill="1" applyAlignment="1" applyProtection="1">
      <alignment horizontal="lef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19" fillId="0" borderId="0" xfId="32" applyFont="1" applyFill="1" applyAlignment="1" applyProtection="1">
      <alignment horizontal="center" vertical="center"/>
    </xf>
    <xf numFmtId="0" fontId="39" fillId="37" borderId="45" xfId="32" applyFont="1" applyFill="1" applyBorder="1" applyAlignment="1" applyProtection="1">
      <alignment horizontal="center" vertical="center" wrapText="1"/>
    </xf>
    <xf numFmtId="0" fontId="39" fillId="37" borderId="47" xfId="32" applyFont="1" applyFill="1" applyBorder="1" applyAlignment="1" applyProtection="1">
      <alignment horizontal="center" vertical="center" wrapText="1"/>
    </xf>
    <xf numFmtId="0" fontId="39" fillId="37" borderId="46" xfId="32" applyFont="1" applyFill="1" applyBorder="1" applyAlignment="1" applyProtection="1">
      <alignment horizontal="center" vertical="center"/>
    </xf>
    <xf numFmtId="0" fontId="39" fillId="37" borderId="48"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xf>
    <xf numFmtId="0" fontId="39" fillId="37" borderId="34" xfId="32"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39" fillId="39" borderId="8" xfId="32" applyFont="1" applyFill="1" applyBorder="1" applyAlignment="1" applyProtection="1">
      <alignment horizontal="center" vertical="center" wrapText="1"/>
    </xf>
    <xf numFmtId="0" fontId="39" fillId="39" borderId="20" xfId="32" applyFont="1" applyFill="1" applyBorder="1" applyAlignment="1" applyProtection="1">
      <alignment horizontal="center" vertical="center" wrapText="1"/>
    </xf>
    <xf numFmtId="0" fontId="39" fillId="39" borderId="3" xfId="32"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xf>
    <xf numFmtId="0" fontId="39" fillId="37" borderId="22" xfId="32" applyFont="1" applyFill="1" applyBorder="1" applyAlignment="1" applyProtection="1">
      <alignment horizontal="center" vertical="center"/>
    </xf>
    <xf numFmtId="0" fontId="39" fillId="37" borderId="14" xfId="32" applyFont="1" applyFill="1" applyBorder="1" applyAlignment="1" applyProtection="1">
      <alignment horizontal="center" vertical="center"/>
    </xf>
    <xf numFmtId="0" fontId="39" fillId="37" borderId="54" xfId="32" applyFont="1" applyFill="1" applyBorder="1" applyAlignment="1" applyProtection="1">
      <alignment horizontal="center" vertical="center" wrapText="1"/>
    </xf>
    <xf numFmtId="0" fontId="39" fillId="37" borderId="58" xfId="32" applyFont="1" applyFill="1" applyBorder="1" applyAlignment="1" applyProtection="1">
      <alignment horizontal="center" vertical="center" wrapText="1"/>
    </xf>
    <xf numFmtId="0" fontId="39" fillId="37" borderId="4" xfId="32" applyFont="1" applyFill="1" applyBorder="1" applyAlignment="1" applyProtection="1">
      <alignment horizontal="center" vertical="center" wrapText="1"/>
    </xf>
    <xf numFmtId="0" fontId="74" fillId="37" borderId="74" xfId="32" applyFont="1" applyFill="1" applyBorder="1" applyAlignment="1" applyProtection="1">
      <alignment horizontal="center" vertical="center" wrapText="1"/>
    </xf>
    <xf numFmtId="0" fontId="74" fillId="37" borderId="64" xfId="32" applyFont="1" applyFill="1" applyBorder="1" applyAlignment="1" applyProtection="1">
      <alignment horizontal="center" vertical="center" wrapText="1"/>
    </xf>
    <xf numFmtId="0" fontId="41" fillId="27" borderId="1" xfId="32" applyFont="1" applyFill="1" applyBorder="1" applyAlignment="1" applyProtection="1">
      <alignment horizontal="center" vertical="center"/>
    </xf>
    <xf numFmtId="0" fontId="41" fillId="27" borderId="8" xfId="32" applyFont="1" applyFill="1" applyBorder="1" applyAlignment="1" applyProtection="1">
      <alignment horizontal="center" vertical="center"/>
    </xf>
    <xf numFmtId="0" fontId="41" fillId="27" borderId="3" xfId="32" applyFont="1" applyFill="1" applyBorder="1" applyAlignment="1" applyProtection="1">
      <alignment horizontal="center" vertical="center"/>
    </xf>
    <xf numFmtId="0" fontId="41" fillId="27" borderId="30" xfId="32" applyFont="1" applyFill="1" applyBorder="1" applyAlignment="1" applyProtection="1">
      <alignment horizontal="center" vertical="center"/>
    </xf>
    <xf numFmtId="0" fontId="41" fillId="27" borderId="28" xfId="32" applyFont="1" applyFill="1" applyBorder="1" applyAlignment="1" applyProtection="1">
      <alignment horizontal="center" vertical="center"/>
    </xf>
    <xf numFmtId="0" fontId="41" fillId="27" borderId="19" xfId="32" applyFont="1" applyFill="1" applyBorder="1" applyAlignment="1" applyProtection="1">
      <alignment horizontal="center" vertical="center"/>
    </xf>
    <xf numFmtId="0" fontId="12" fillId="26" borderId="0" xfId="0" applyFont="1" applyFill="1" applyBorder="1" applyAlignment="1" applyProtection="1">
      <alignment horizontal="right"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1" fillId="26" borderId="0" xfId="0" applyFont="1" applyFill="1" applyAlignment="1" applyProtection="1">
      <alignment horizontal="left" vertical="center" wrapText="1"/>
    </xf>
    <xf numFmtId="0" fontId="14" fillId="0" borderId="0" xfId="32" applyFont="1" applyFill="1" applyBorder="1" applyAlignment="1" applyProtection="1">
      <alignment horizontal="center" vertical="center"/>
    </xf>
    <xf numFmtId="0" fontId="39" fillId="37" borderId="72" xfId="32" applyFont="1" applyFill="1" applyBorder="1" applyAlignment="1" applyProtection="1">
      <alignment horizontal="center" vertical="center" wrapText="1"/>
    </xf>
    <xf numFmtId="0" fontId="39" fillId="39" borderId="11" xfId="32" applyFont="1" applyFill="1" applyBorder="1" applyAlignment="1" applyProtection="1">
      <alignment horizontal="center" vertical="center" wrapText="1"/>
    </xf>
    <xf numFmtId="0" fontId="39" fillId="39" borderId="0" xfId="32" applyFont="1" applyFill="1" applyBorder="1" applyAlignment="1" applyProtection="1">
      <alignment horizontal="center" vertical="center" wrapText="1"/>
    </xf>
    <xf numFmtId="0" fontId="39" fillId="39" borderId="43" xfId="32" applyFont="1" applyFill="1" applyBorder="1" applyAlignment="1" applyProtection="1">
      <alignment horizontal="center" vertical="center" wrapText="1"/>
    </xf>
    <xf numFmtId="0" fontId="83" fillId="27" borderId="0" xfId="0" applyFont="1" applyFill="1" applyAlignment="1" applyProtection="1">
      <alignment horizontal="left" vertical="center" wrapText="1"/>
    </xf>
    <xf numFmtId="0" fontId="64" fillId="37" borderId="35" xfId="32" applyFont="1" applyFill="1" applyBorder="1" applyAlignment="1" applyProtection="1">
      <alignment horizontal="center" vertical="center" wrapText="1"/>
    </xf>
    <xf numFmtId="0" fontId="64" fillId="37" borderId="34" xfId="32" applyFont="1" applyFill="1" applyBorder="1" applyAlignment="1" applyProtection="1">
      <alignment horizontal="center" vertical="center" wrapText="1"/>
    </xf>
    <xf numFmtId="0" fontId="46" fillId="37" borderId="35" xfId="32" applyFont="1" applyFill="1" applyBorder="1" applyAlignment="1" applyProtection="1">
      <alignment horizontal="center" vertical="center" wrapText="1"/>
    </xf>
    <xf numFmtId="0" fontId="46" fillId="37" borderId="34" xfId="32" applyFont="1" applyFill="1" applyBorder="1" applyAlignment="1" applyProtection="1">
      <alignment horizontal="center" vertical="center" wrapText="1"/>
    </xf>
    <xf numFmtId="0" fontId="83" fillId="27" borderId="0" xfId="0" applyFont="1" applyFill="1" applyAlignment="1" applyProtection="1">
      <alignment horizontal="left" vertical="center"/>
    </xf>
    <xf numFmtId="0" fontId="159" fillId="37" borderId="35" xfId="32" applyFont="1" applyFill="1" applyBorder="1" applyAlignment="1" applyProtection="1">
      <alignment horizontal="center" vertical="center" wrapText="1"/>
    </xf>
    <xf numFmtId="0" fontId="159" fillId="37" borderId="34" xfId="32" applyFont="1" applyFill="1" applyBorder="1" applyAlignment="1" applyProtection="1">
      <alignment horizontal="center" vertical="center" wrapText="1"/>
    </xf>
    <xf numFmtId="0" fontId="46" fillId="37" borderId="1" xfId="32" applyFont="1" applyFill="1" applyBorder="1" applyAlignment="1" applyProtection="1">
      <alignment horizontal="center" vertical="center" wrapText="1"/>
    </xf>
    <xf numFmtId="0" fontId="46" fillId="37" borderId="8" xfId="32" applyFont="1" applyFill="1" applyBorder="1" applyAlignment="1" applyProtection="1">
      <alignment horizontal="center" vertical="center" wrapText="1"/>
    </xf>
    <xf numFmtId="0" fontId="46" fillId="37" borderId="3" xfId="32" applyFont="1" applyFill="1" applyBorder="1" applyAlignment="1" applyProtection="1">
      <alignment horizontal="center" vertical="center" wrapText="1"/>
    </xf>
    <xf numFmtId="3" fontId="46" fillId="37" borderId="1" xfId="32" applyNumberFormat="1" applyFont="1" applyFill="1" applyBorder="1" applyAlignment="1" applyProtection="1">
      <alignment horizontal="center" vertical="center" wrapText="1"/>
    </xf>
    <xf numFmtId="3" fontId="46" fillId="37" borderId="8" xfId="32" applyNumberFormat="1" applyFont="1" applyFill="1" applyBorder="1" applyAlignment="1" applyProtection="1">
      <alignment horizontal="center" vertical="center" wrapText="1"/>
    </xf>
    <xf numFmtId="3" fontId="46" fillId="37" borderId="3" xfId="32" applyNumberFormat="1" applyFont="1" applyFill="1" applyBorder="1" applyAlignment="1" applyProtection="1">
      <alignment horizontal="center" vertical="center" wrapText="1"/>
    </xf>
    <xf numFmtId="0" fontId="76" fillId="27" borderId="0" xfId="32" applyFont="1" applyFill="1" applyAlignment="1" applyProtection="1">
      <alignment horizontal="center" vertical="center" wrapText="1"/>
    </xf>
    <xf numFmtId="0" fontId="68" fillId="39" borderId="1" xfId="32" applyFont="1" applyFill="1" applyBorder="1" applyAlignment="1" applyProtection="1">
      <alignment horizontal="left" vertical="center"/>
    </xf>
    <xf numFmtId="0" fontId="68" fillId="39" borderId="8" xfId="32" applyFont="1" applyFill="1" applyBorder="1" applyAlignment="1" applyProtection="1">
      <alignment horizontal="left" vertical="center"/>
    </xf>
    <xf numFmtId="0" fontId="68" fillId="39" borderId="3" xfId="32" applyFont="1" applyFill="1" applyBorder="1" applyAlignment="1" applyProtection="1">
      <alignment horizontal="left" vertical="center"/>
    </xf>
    <xf numFmtId="0" fontId="46" fillId="37" borderId="35" xfId="32" applyFont="1" applyFill="1" applyBorder="1" applyAlignment="1" applyProtection="1">
      <alignment horizontal="center" vertical="center"/>
    </xf>
    <xf numFmtId="0" fontId="46" fillId="37" borderId="34" xfId="32" applyFont="1" applyFill="1" applyBorder="1" applyAlignment="1" applyProtection="1">
      <alignment horizontal="center" vertical="center"/>
    </xf>
    <xf numFmtId="0" fontId="64" fillId="37" borderId="1" xfId="32" applyFont="1" applyFill="1" applyBorder="1" applyAlignment="1" applyProtection="1">
      <alignment horizontal="center" vertical="center" wrapText="1"/>
    </xf>
    <xf numFmtId="0" fontId="64" fillId="37" borderId="8" xfId="32" applyFont="1" applyFill="1" applyBorder="1" applyAlignment="1" applyProtection="1">
      <alignment horizontal="center" vertical="center" wrapText="1"/>
    </xf>
    <xf numFmtId="0" fontId="64" fillId="37" borderId="3" xfId="32" applyFont="1" applyFill="1" applyBorder="1" applyAlignment="1" applyProtection="1">
      <alignment horizontal="center" vertical="center" wrapText="1"/>
    </xf>
    <xf numFmtId="0" fontId="80"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39" fillId="22" borderId="154" xfId="32" applyFont="1" applyFill="1" applyBorder="1" applyAlignment="1" applyProtection="1">
      <alignment horizontal="center" vertical="center"/>
    </xf>
    <xf numFmtId="0" fontId="169" fillId="0" borderId="162" xfId="0" applyFont="1" applyBorder="1" applyAlignment="1" applyProtection="1">
      <alignment horizontal="left" vertical="center" wrapText="1"/>
    </xf>
    <xf numFmtId="0" fontId="169" fillId="0" borderId="163" xfId="0" applyFont="1" applyBorder="1" applyAlignment="1" applyProtection="1">
      <alignment horizontal="left" vertical="center" wrapText="1"/>
    </xf>
    <xf numFmtId="0" fontId="169" fillId="0" borderId="164" xfId="0" applyFont="1" applyBorder="1" applyAlignment="1" applyProtection="1">
      <alignment horizontal="left" vertical="center" wrapText="1"/>
    </xf>
    <xf numFmtId="0" fontId="42" fillId="0" borderId="0" xfId="0" applyFont="1" applyFill="1" applyAlignment="1" applyProtection="1">
      <alignment horizontal="left" vertical="top" wrapText="1"/>
    </xf>
    <xf numFmtId="0" fontId="39" fillId="37" borderId="1" xfId="49" applyFont="1" applyFill="1" applyBorder="1" applyAlignment="1" applyProtection="1">
      <alignment horizontal="center" vertical="center"/>
    </xf>
    <xf numFmtId="0" fontId="39" fillId="37" borderId="8" xfId="49" applyFont="1" applyFill="1" applyBorder="1" applyAlignment="1" applyProtection="1">
      <alignment horizontal="center" vertical="center"/>
    </xf>
    <xf numFmtId="0" fontId="39" fillId="37" borderId="3" xfId="49" applyFont="1" applyFill="1" applyBorder="1" applyAlignment="1" applyProtection="1">
      <alignment horizontal="center" vertical="center"/>
    </xf>
    <xf numFmtId="0" fontId="39" fillId="37" borderId="29" xfId="49" applyFont="1" applyFill="1" applyBorder="1" applyAlignment="1" applyProtection="1">
      <alignment horizontal="center" vertical="center"/>
    </xf>
    <xf numFmtId="0" fontId="39" fillId="37" borderId="22" xfId="49" applyFont="1" applyFill="1" applyBorder="1" applyAlignment="1" applyProtection="1">
      <alignment horizontal="center" vertical="center"/>
    </xf>
    <xf numFmtId="0" fontId="39" fillId="37" borderId="14" xfId="49" applyFont="1" applyFill="1" applyBorder="1" applyAlignment="1" applyProtection="1">
      <alignment horizontal="center" vertical="center"/>
    </xf>
    <xf numFmtId="49" fontId="11" fillId="0" borderId="51" xfId="31" applyNumberFormat="1" applyFont="1" applyFill="1" applyBorder="1" applyAlignment="1" applyProtection="1">
      <alignment horizontal="center" vertical="center"/>
    </xf>
    <xf numFmtId="49" fontId="11" fillId="0" borderId="17" xfId="31" applyNumberFormat="1" applyFont="1" applyFill="1" applyBorder="1" applyAlignment="1" applyProtection="1">
      <alignment horizontal="center" vertical="center"/>
    </xf>
    <xf numFmtId="0" fontId="39" fillId="37" borderId="0" xfId="31" applyFont="1" applyFill="1" applyBorder="1" applyAlignment="1" applyProtection="1">
      <alignment horizontal="center" vertical="center" wrapText="1"/>
    </xf>
    <xf numFmtId="0" fontId="39" fillId="37" borderId="20" xfId="31" applyFont="1" applyFill="1" applyBorder="1" applyAlignment="1" applyProtection="1">
      <alignment horizontal="center" vertical="center" wrapText="1"/>
    </xf>
    <xf numFmtId="49" fontId="11" fillId="0" borderId="21" xfId="31" applyNumberFormat="1" applyFont="1" applyFill="1" applyBorder="1" applyAlignment="1" applyProtection="1">
      <alignment horizontal="center" vertical="center"/>
    </xf>
    <xf numFmtId="0" fontId="39" fillId="37" borderId="35" xfId="31" applyFont="1" applyFill="1" applyBorder="1" applyAlignment="1" applyProtection="1">
      <alignment horizontal="center" vertical="center" wrapText="1"/>
    </xf>
    <xf numFmtId="0" fontId="39" fillId="37" borderId="34" xfId="31" applyFont="1" applyFill="1" applyBorder="1" applyAlignment="1" applyProtection="1">
      <alignment horizontal="center" vertical="center" wrapText="1"/>
    </xf>
    <xf numFmtId="0" fontId="39" fillId="37" borderId="37" xfId="31" applyFont="1" applyFill="1" applyBorder="1" applyAlignment="1" applyProtection="1">
      <alignment horizontal="center" vertical="center" wrapText="1"/>
    </xf>
    <xf numFmtId="0" fontId="39" fillId="37" borderId="29" xfId="49" applyFont="1" applyFill="1" applyBorder="1" applyAlignment="1" applyProtection="1">
      <alignment horizontal="center" vertical="center" wrapText="1"/>
    </xf>
    <xf numFmtId="0" fontId="39" fillId="37" borderId="22" xfId="49"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49" fontId="39" fillId="37" borderId="75" xfId="31" applyNumberFormat="1" applyFont="1" applyFill="1" applyBorder="1" applyAlignment="1" applyProtection="1">
      <alignment horizontal="center" vertical="center"/>
    </xf>
    <xf numFmtId="49" fontId="39" fillId="37" borderId="56" xfId="31" applyNumberFormat="1" applyFont="1" applyFill="1" applyBorder="1" applyAlignment="1" applyProtection="1">
      <alignment horizontal="center" vertical="center"/>
    </xf>
    <xf numFmtId="0" fontId="39" fillId="37" borderId="74" xfId="31" applyFont="1" applyFill="1" applyBorder="1" applyAlignment="1" applyProtection="1">
      <alignment horizontal="center" vertical="center"/>
    </xf>
    <xf numFmtId="0" fontId="39" fillId="37" borderId="78" xfId="31" applyFont="1" applyFill="1" applyBorder="1" applyAlignment="1" applyProtection="1">
      <alignment horizontal="center" vertical="center"/>
    </xf>
    <xf numFmtId="0" fontId="39" fillId="37" borderId="11" xfId="31" applyFont="1" applyFill="1" applyBorder="1" applyAlignment="1" applyProtection="1">
      <alignment horizontal="center" vertical="center" wrapText="1"/>
    </xf>
    <xf numFmtId="0" fontId="14" fillId="0" borderId="0" xfId="31" applyFont="1" applyAlignment="1" applyProtection="1">
      <alignment horizontal="center" vertical="center"/>
    </xf>
    <xf numFmtId="0" fontId="19" fillId="0" borderId="0" xfId="0" applyNumberFormat="1" applyFont="1" applyFill="1" applyAlignment="1" applyProtection="1">
      <alignment horizontal="center" vertical="center"/>
    </xf>
    <xf numFmtId="0" fontId="19" fillId="0" borderId="0" xfId="0" applyFont="1" applyFill="1" applyAlignment="1" applyProtection="1">
      <alignment horizontal="center" vertical="center"/>
    </xf>
    <xf numFmtId="0" fontId="119" fillId="27" borderId="0" xfId="49" applyFont="1" applyFill="1" applyAlignment="1" applyProtection="1">
      <alignment vertical="center" wrapText="1"/>
    </xf>
    <xf numFmtId="0" fontId="20" fillId="22" borderId="154" xfId="0" applyFont="1" applyFill="1" applyBorder="1" applyAlignment="1" applyProtection="1">
      <alignment horizontal="center" vertical="center"/>
    </xf>
    <xf numFmtId="0" fontId="42" fillId="27" borderId="0" xfId="49" applyFont="1" applyFill="1" applyAlignment="1" applyProtection="1">
      <alignment vertical="center" wrapText="1"/>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37" borderId="42"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wrapText="1"/>
    </xf>
    <xf numFmtId="0" fontId="39" fillId="37" borderId="34" xfId="49" applyFont="1" applyFill="1" applyBorder="1" applyAlignment="1" applyProtection="1">
      <alignment horizontal="center" vertical="center" wrapText="1"/>
    </xf>
    <xf numFmtId="0" fontId="112" fillId="27" borderId="87" xfId="49" applyFont="1" applyFill="1" applyBorder="1" applyAlignment="1" applyProtection="1">
      <alignment horizontal="center" vertical="center" wrapText="1"/>
    </xf>
    <xf numFmtId="0" fontId="113" fillId="0" borderId="88" xfId="0" applyFont="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3" fontId="39" fillId="37" borderId="40" xfId="49" applyNumberFormat="1" applyFont="1" applyFill="1" applyBorder="1" applyAlignment="1" applyProtection="1">
      <alignment horizontal="center" vertical="center"/>
    </xf>
    <xf numFmtId="3" fontId="39" fillId="37" borderId="11" xfId="49" applyNumberFormat="1" applyFont="1" applyFill="1" applyBorder="1" applyAlignment="1" applyProtection="1">
      <alignment horizontal="center" vertical="center"/>
    </xf>
    <xf numFmtId="3" fontId="39" fillId="37" borderId="41" xfId="49" applyNumberFormat="1" applyFont="1" applyFill="1" applyBorder="1" applyAlignment="1" applyProtection="1">
      <alignment horizontal="center" vertical="center"/>
    </xf>
    <xf numFmtId="3" fontId="39" fillId="37" borderId="35" xfId="49" applyNumberFormat="1" applyFont="1" applyFill="1" applyBorder="1" applyAlignment="1" applyProtection="1">
      <alignment horizontal="center" vertical="center" wrapText="1"/>
    </xf>
    <xf numFmtId="3" fontId="39" fillId="37" borderId="34" xfId="49" applyNumberFormat="1" applyFont="1" applyFill="1" applyBorder="1" applyAlignment="1" applyProtection="1">
      <alignment horizontal="center" vertical="center" wrapText="1"/>
    </xf>
    <xf numFmtId="3" fontId="39" fillId="37" borderId="42" xfId="49" applyNumberFormat="1" applyFont="1" applyFill="1" applyBorder="1" applyAlignment="1" applyProtection="1">
      <alignment horizontal="center" vertical="center"/>
    </xf>
    <xf numFmtId="3" fontId="14" fillId="27" borderId="0" xfId="49" applyNumberFormat="1" applyFont="1" applyFill="1" applyAlignment="1" applyProtection="1">
      <alignment horizontal="center" vertical="center" wrapText="1"/>
    </xf>
    <xf numFmtId="3" fontId="19" fillId="27" borderId="0" xfId="49" applyNumberFormat="1" applyFont="1" applyFill="1" applyBorder="1" applyAlignment="1" applyProtection="1">
      <alignment horizontal="center" vertical="center"/>
    </xf>
    <xf numFmtId="0" fontId="20" fillId="32" borderId="1" xfId="49" applyFont="1" applyFill="1" applyBorder="1" applyAlignment="1" applyProtection="1">
      <alignment horizontal="center" vertical="center" wrapText="1"/>
    </xf>
    <xf numFmtId="0" fontId="20" fillId="32" borderId="8" xfId="49" applyFont="1" applyFill="1" applyBorder="1" applyAlignment="1" applyProtection="1">
      <alignment horizontal="center" vertical="center" wrapText="1"/>
    </xf>
    <xf numFmtId="0" fontId="20" fillId="32" borderId="3" xfId="49" applyFont="1" applyFill="1" applyBorder="1" applyAlignment="1" applyProtection="1">
      <alignment horizontal="center" vertical="center" wrapText="1"/>
    </xf>
    <xf numFmtId="0" fontId="42" fillId="27" borderId="0" xfId="49" applyFont="1" applyFill="1" applyAlignment="1" applyProtection="1">
      <alignment vertical="top" wrapText="1"/>
    </xf>
    <xf numFmtId="0" fontId="14" fillId="0" borderId="0" xfId="49" applyFont="1" applyFill="1" applyAlignment="1" applyProtection="1">
      <alignment horizontal="center" vertical="center" wrapText="1"/>
    </xf>
    <xf numFmtId="0" fontId="19" fillId="27" borderId="0" xfId="49" applyFont="1" applyFill="1" applyBorder="1" applyAlignment="1" applyProtection="1">
      <alignment horizontal="center" vertical="center"/>
    </xf>
    <xf numFmtId="0" fontId="20" fillId="37" borderId="40" xfId="49" applyFont="1" applyFill="1" applyBorder="1" applyAlignment="1" applyProtection="1">
      <alignment horizontal="center" vertical="center"/>
    </xf>
    <xf numFmtId="0" fontId="20" fillId="37" borderId="42" xfId="49" applyFont="1" applyFill="1" applyBorder="1" applyAlignment="1" applyProtection="1">
      <alignment horizontal="center" vertical="center"/>
    </xf>
    <xf numFmtId="0" fontId="20" fillId="37" borderId="11" xfId="49" applyFont="1" applyFill="1" applyBorder="1" applyAlignment="1" applyProtection="1">
      <alignment horizontal="center" vertical="center"/>
    </xf>
    <xf numFmtId="0" fontId="20" fillId="37" borderId="41" xfId="49" applyFont="1" applyFill="1" applyBorder="1" applyAlignment="1" applyProtection="1">
      <alignment horizontal="center" vertical="center"/>
    </xf>
    <xf numFmtId="0" fontId="20" fillId="37" borderId="1" xfId="49" applyFont="1" applyFill="1" applyBorder="1" applyAlignment="1" applyProtection="1">
      <alignment horizontal="center" vertical="center"/>
    </xf>
    <xf numFmtId="0" fontId="20" fillId="37" borderId="8" xfId="49" applyFont="1" applyFill="1" applyBorder="1" applyAlignment="1" applyProtection="1">
      <alignment horizontal="center" vertical="center"/>
    </xf>
    <xf numFmtId="0" fontId="20" fillId="37" borderId="3" xfId="49" applyFont="1" applyFill="1" applyBorder="1" applyAlignment="1" applyProtection="1">
      <alignment horizontal="center" vertical="center"/>
    </xf>
    <xf numFmtId="3" fontId="42" fillId="37" borderId="39" xfId="32" applyNumberFormat="1" applyFont="1" applyFill="1" applyBorder="1" applyAlignment="1" applyProtection="1">
      <alignment horizontal="center" vertical="center"/>
    </xf>
    <xf numFmtId="3" fontId="42" fillId="37" borderId="5" xfId="32" applyNumberFormat="1" applyFont="1" applyFill="1" applyBorder="1" applyAlignment="1" applyProtection="1">
      <alignment horizontal="center" vertical="center"/>
    </xf>
    <xf numFmtId="0" fontId="39" fillId="37" borderId="26" xfId="49" applyFont="1" applyFill="1" applyBorder="1" applyAlignment="1" applyProtection="1">
      <alignment horizontal="center" vertical="center" wrapText="1"/>
    </xf>
    <xf numFmtId="1" fontId="39" fillId="38" borderId="1" xfId="21" applyFont="1" applyFill="1" applyBorder="1" applyAlignment="1" applyProtection="1">
      <alignment horizontal="center" vertical="center" wrapText="1"/>
    </xf>
    <xf numFmtId="1" fontId="39" fillId="38" borderId="8" xfId="21" applyFont="1" applyFill="1" applyBorder="1" applyAlignment="1" applyProtection="1">
      <alignment horizontal="center" vertical="center" wrapText="1"/>
    </xf>
    <xf numFmtId="1" fontId="39" fillId="38" borderId="3" xfId="21" applyFont="1" applyFill="1" applyBorder="1" applyAlignment="1" applyProtection="1">
      <alignment horizontal="center" vertical="center" wrapText="1"/>
    </xf>
    <xf numFmtId="0" fontId="39" fillId="32" borderId="1" xfId="49" applyFont="1" applyFill="1" applyBorder="1" applyAlignment="1" applyProtection="1">
      <alignment horizontal="left" vertical="center" wrapText="1"/>
    </xf>
    <xf numFmtId="0" fontId="39" fillId="32" borderId="8" xfId="49" applyFont="1" applyFill="1" applyBorder="1" applyAlignment="1" applyProtection="1">
      <alignment horizontal="left" vertical="center" wrapText="1"/>
    </xf>
    <xf numFmtId="0" fontId="39" fillId="32" borderId="3" xfId="49" applyFont="1" applyFill="1" applyBorder="1" applyAlignment="1" applyProtection="1">
      <alignment horizontal="left" vertical="center" wrapText="1"/>
    </xf>
    <xf numFmtId="49" fontId="39" fillId="24" borderId="1" xfId="49" applyNumberFormat="1" applyFont="1" applyFill="1" applyBorder="1" applyAlignment="1" applyProtection="1">
      <alignment horizontal="left" vertical="center" wrapText="1"/>
    </xf>
    <xf numFmtId="49" fontId="39" fillId="24" borderId="8" xfId="49" applyNumberFormat="1" applyFont="1" applyFill="1" applyBorder="1" applyAlignment="1" applyProtection="1">
      <alignment horizontal="left" vertical="center" wrapText="1"/>
    </xf>
    <xf numFmtId="49" fontId="39" fillId="24" borderId="3" xfId="49" applyNumberFormat="1" applyFont="1" applyFill="1" applyBorder="1" applyAlignment="1" applyProtection="1">
      <alignment horizontal="left" vertical="center" wrapText="1"/>
    </xf>
    <xf numFmtId="3" fontId="42" fillId="52" borderId="39" xfId="32" applyNumberFormat="1" applyFont="1" applyFill="1" applyBorder="1" applyAlignment="1" applyProtection="1">
      <alignment horizontal="center" vertical="center"/>
    </xf>
    <xf numFmtId="3" fontId="42" fillId="52" borderId="5" xfId="32" applyNumberFormat="1" applyFont="1" applyFill="1" applyBorder="1" applyAlignment="1" applyProtection="1">
      <alignment horizontal="center" vertical="center"/>
    </xf>
    <xf numFmtId="3" fontId="40" fillId="37" borderId="40" xfId="49" applyNumberFormat="1" applyFont="1" applyFill="1" applyBorder="1" applyAlignment="1" applyProtection="1">
      <alignment horizontal="center" vertical="center" wrapText="1"/>
    </xf>
    <xf numFmtId="3" fontId="40" fillId="37" borderId="41" xfId="49" applyNumberFormat="1" applyFont="1" applyFill="1" applyBorder="1" applyAlignment="1" applyProtection="1">
      <alignment horizontal="center" vertical="center" wrapText="1"/>
    </xf>
    <xf numFmtId="3" fontId="40" fillId="37" borderId="27" xfId="49" applyNumberFormat="1" applyFont="1" applyFill="1" applyBorder="1" applyAlignment="1" applyProtection="1">
      <alignment horizontal="center" vertical="center" wrapText="1"/>
    </xf>
    <xf numFmtId="3" fontId="40" fillId="37" borderId="16" xfId="49" applyNumberFormat="1" applyFont="1" applyFill="1" applyBorder="1" applyAlignment="1" applyProtection="1">
      <alignment horizontal="center" vertical="center" wrapText="1"/>
    </xf>
    <xf numFmtId="3" fontId="40" fillId="37" borderId="42" xfId="49" applyNumberFormat="1" applyFont="1" applyFill="1" applyBorder="1" applyAlignment="1" applyProtection="1">
      <alignment horizontal="center" vertical="center" wrapText="1"/>
    </xf>
    <xf numFmtId="3" fontId="40" fillId="37" borderId="43" xfId="49" applyNumberFormat="1" applyFont="1" applyFill="1" applyBorder="1" applyAlignment="1" applyProtection="1">
      <alignment horizontal="center" vertical="center" wrapText="1"/>
    </xf>
    <xf numFmtId="3" fontId="40" fillId="26" borderId="20" xfId="49" applyNumberFormat="1" applyFont="1" applyFill="1" applyBorder="1" applyAlignment="1" applyProtection="1">
      <alignment horizontal="center" vertical="center" wrapText="1"/>
    </xf>
    <xf numFmtId="3" fontId="40" fillId="26" borderId="43"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left" vertical="center"/>
    </xf>
    <xf numFmtId="49" fontId="39" fillId="24" borderId="8" xfId="49" applyNumberFormat="1" applyFont="1" applyFill="1" applyBorder="1" applyAlignment="1" applyProtection="1">
      <alignment horizontal="left" vertical="center"/>
    </xf>
    <xf numFmtId="49" fontId="39" fillId="24" borderId="3" xfId="49" applyNumberFormat="1" applyFont="1" applyFill="1" applyBorder="1" applyAlignment="1" applyProtection="1">
      <alignment horizontal="left" vertical="center"/>
    </xf>
    <xf numFmtId="0" fontId="165" fillId="0" borderId="30" xfId="49" applyFont="1" applyFill="1" applyBorder="1" applyAlignment="1" applyProtection="1">
      <alignment horizontal="left" vertical="center" wrapText="1"/>
    </xf>
    <xf numFmtId="0" fontId="165" fillId="0" borderId="28" xfId="49" applyFont="1" applyFill="1" applyBorder="1" applyAlignment="1" applyProtection="1">
      <alignment horizontal="left" vertical="center" wrapText="1"/>
    </xf>
    <xf numFmtId="0" fontId="165" fillId="0" borderId="19" xfId="49" applyFont="1" applyFill="1" applyBorder="1" applyAlignment="1" applyProtection="1">
      <alignment horizontal="left" vertical="center" wrapText="1"/>
    </xf>
    <xf numFmtId="0" fontId="41" fillId="27" borderId="0" xfId="49" applyFont="1" applyFill="1" applyAlignment="1" applyProtection="1">
      <alignment vertical="center" wrapText="1"/>
    </xf>
    <xf numFmtId="0" fontId="39" fillId="36" borderId="1" xfId="49" applyFont="1" applyFill="1" applyBorder="1" applyAlignment="1" applyProtection="1">
      <alignment horizontal="left" vertical="center" wrapText="1"/>
    </xf>
    <xf numFmtId="0" fontId="39" fillId="36" borderId="8" xfId="49" applyFont="1" applyFill="1" applyBorder="1" applyAlignment="1" applyProtection="1">
      <alignment horizontal="left" vertical="center" wrapText="1"/>
    </xf>
    <xf numFmtId="0" fontId="39" fillId="36" borderId="3" xfId="49" applyFont="1" applyFill="1" applyBorder="1" applyAlignment="1" applyProtection="1">
      <alignment horizontal="left" vertical="center" wrapText="1"/>
    </xf>
    <xf numFmtId="0" fontId="39" fillId="37" borderId="20" xfId="49" applyFont="1" applyFill="1" applyBorder="1" applyAlignment="1" applyProtection="1">
      <alignment horizontal="center" vertical="center" wrapText="1"/>
    </xf>
    <xf numFmtId="0" fontId="39" fillId="37" borderId="43"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24" borderId="1" xfId="49" applyFont="1" applyFill="1" applyBorder="1" applyAlignment="1" applyProtection="1">
      <alignment horizontal="center" vertical="center" wrapText="1"/>
    </xf>
    <xf numFmtId="0" fontId="39" fillId="24" borderId="3" xfId="49" applyFont="1" applyFill="1" applyBorder="1" applyAlignment="1" applyProtection="1">
      <alignment horizontal="center" vertical="center" wrapText="1"/>
    </xf>
    <xf numFmtId="2" fontId="39" fillId="37" borderId="75" xfId="49" applyNumberFormat="1" applyFont="1" applyFill="1" applyBorder="1" applyAlignment="1" applyProtection="1">
      <alignment horizontal="center" vertical="center" wrapText="1"/>
    </xf>
    <xf numFmtId="2" fontId="39" fillId="37" borderId="73" xfId="49" applyNumberFormat="1" applyFont="1" applyFill="1" applyBorder="1" applyAlignment="1" applyProtection="1">
      <alignment horizontal="center" vertical="center" wrapText="1"/>
    </xf>
    <xf numFmtId="2" fontId="39" fillId="37" borderId="76" xfId="49" applyNumberFormat="1" applyFont="1" applyFill="1" applyBorder="1" applyAlignment="1" applyProtection="1">
      <alignment horizontal="center" vertical="center" wrapText="1"/>
    </xf>
    <xf numFmtId="0" fontId="39" fillId="37" borderId="72" xfId="49" applyFont="1" applyFill="1" applyBorder="1" applyAlignment="1" applyProtection="1">
      <alignment horizontal="center" vertical="center" wrapText="1"/>
    </xf>
    <xf numFmtId="0" fontId="39" fillId="37" borderId="73" xfId="49" applyFont="1" applyFill="1" applyBorder="1" applyAlignment="1" applyProtection="1">
      <alignment horizontal="center" vertical="center" wrapText="1"/>
    </xf>
    <xf numFmtId="0" fontId="39" fillId="37" borderId="76" xfId="49" applyFont="1" applyFill="1" applyBorder="1" applyAlignment="1" applyProtection="1">
      <alignment horizontal="center" vertical="center" wrapText="1"/>
    </xf>
    <xf numFmtId="0" fontId="39" fillId="37" borderId="75"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xf>
    <xf numFmtId="0" fontId="39" fillId="37" borderId="34" xfId="49" applyFont="1" applyFill="1" applyBorder="1" applyAlignment="1" applyProtection="1">
      <alignment horizontal="center" vertical="center"/>
    </xf>
    <xf numFmtId="0" fontId="39" fillId="37" borderId="1" xfId="49" applyFont="1" applyFill="1" applyBorder="1" applyAlignment="1" applyProtection="1">
      <alignment horizontal="center" vertical="center" wrapText="1"/>
    </xf>
    <xf numFmtId="0" fontId="39" fillId="37" borderId="8" xfId="49" applyFont="1" applyFill="1" applyBorder="1" applyAlignment="1" applyProtection="1">
      <alignment horizontal="center" vertical="center" wrapText="1"/>
    </xf>
    <xf numFmtId="0" fontId="39" fillId="37" borderId="3" xfId="49" applyFont="1" applyFill="1" applyBorder="1" applyAlignment="1" applyProtection="1">
      <alignment horizontal="center" vertical="center" wrapText="1"/>
    </xf>
    <xf numFmtId="2" fontId="39" fillId="37" borderId="1" xfId="49" applyNumberFormat="1" applyFont="1" applyFill="1" applyBorder="1" applyAlignment="1" applyProtection="1">
      <alignment horizontal="center" vertical="center" wrapText="1"/>
    </xf>
    <xf numFmtId="2" fontId="39" fillId="37" borderId="8" xfId="49" applyNumberFormat="1" applyFont="1" applyFill="1" applyBorder="1" applyAlignment="1" applyProtection="1">
      <alignment horizontal="center" vertical="center" wrapText="1"/>
    </xf>
    <xf numFmtId="2" fontId="39" fillId="37" borderId="3" xfId="49" applyNumberFormat="1" applyFont="1" applyFill="1" applyBorder="1" applyAlignment="1" applyProtection="1">
      <alignment horizontal="center" vertical="center" wrapText="1"/>
    </xf>
    <xf numFmtId="0" fontId="40" fillId="37" borderId="52" xfId="49" applyFont="1" applyFill="1" applyBorder="1" applyAlignment="1" applyProtection="1">
      <alignment vertical="center"/>
    </xf>
    <xf numFmtId="0" fontId="40" fillId="37" borderId="56" xfId="49" applyFont="1" applyFill="1" applyBorder="1" applyAlignment="1" applyProtection="1">
      <alignment vertical="center"/>
    </xf>
    <xf numFmtId="179" fontId="170" fillId="27" borderId="162" xfId="31" applyNumberFormat="1" applyFont="1" applyFill="1" applyBorder="1" applyAlignment="1" applyProtection="1">
      <alignment horizontal="center" vertical="center"/>
    </xf>
    <xf numFmtId="179" fontId="170" fillId="27" borderId="164" xfId="31" applyNumberFormat="1" applyFont="1" applyFill="1" applyBorder="1" applyAlignment="1" applyProtection="1">
      <alignment horizontal="center" vertical="center"/>
    </xf>
    <xf numFmtId="0" fontId="40" fillId="37" borderId="53" xfId="49" applyFont="1" applyFill="1" applyBorder="1" applyAlignment="1" applyProtection="1">
      <alignment vertical="center"/>
    </xf>
    <xf numFmtId="0" fontId="40" fillId="37" borderId="57" xfId="49" applyFont="1" applyFill="1" applyBorder="1" applyAlignment="1" applyProtection="1">
      <alignment vertical="center"/>
    </xf>
    <xf numFmtId="0" fontId="39" fillId="22" borderId="154" xfId="49" applyFont="1" applyFill="1" applyBorder="1" applyAlignment="1" applyProtection="1">
      <alignment horizontal="center" vertical="center" wrapText="1"/>
    </xf>
    <xf numFmtId="2" fontId="39" fillId="22" borderId="154" xfId="49" applyNumberFormat="1" applyFont="1" applyFill="1" applyBorder="1" applyAlignment="1" applyProtection="1">
      <alignment horizontal="center" vertical="center" wrapText="1"/>
    </xf>
    <xf numFmtId="0" fontId="42" fillId="27" borderId="0" xfId="40" applyFont="1" applyFill="1" applyAlignment="1" applyProtection="1">
      <alignment horizontal="left" vertical="center" wrapText="1"/>
    </xf>
    <xf numFmtId="168" fontId="39" fillId="37" borderId="60" xfId="49" applyNumberFormat="1" applyFont="1" applyFill="1" applyBorder="1" applyAlignment="1" applyProtection="1">
      <alignment horizontal="center" vertical="center" wrapText="1"/>
    </xf>
    <xf numFmtId="170" fontId="39" fillId="37" borderId="65" xfId="49" applyNumberFormat="1" applyFont="1" applyFill="1" applyBorder="1" applyAlignment="1" applyProtection="1">
      <alignment horizontal="center" vertical="center" wrapText="1"/>
    </xf>
    <xf numFmtId="170" fontId="39" fillId="37" borderId="3" xfId="49" applyNumberFormat="1" applyFont="1" applyFill="1" applyBorder="1" applyAlignment="1" applyProtection="1">
      <alignment horizontal="center" vertical="center" wrapText="1"/>
    </xf>
    <xf numFmtId="168" fontId="39" fillId="37" borderId="1" xfId="49" applyNumberFormat="1" applyFont="1" applyFill="1" applyBorder="1" applyAlignment="1" applyProtection="1">
      <alignment horizontal="center" vertical="center" wrapText="1"/>
    </xf>
    <xf numFmtId="170" fontId="104" fillId="37" borderId="75" xfId="49" applyNumberFormat="1" applyFont="1" applyFill="1" applyBorder="1" applyAlignment="1" applyProtection="1">
      <alignment horizontal="center" vertical="center" wrapText="1"/>
    </xf>
    <xf numFmtId="170" fontId="104" fillId="37" borderId="73" xfId="49" applyNumberFormat="1" applyFont="1" applyFill="1" applyBorder="1" applyAlignment="1" applyProtection="1">
      <alignment horizontal="center" vertical="center" wrapText="1"/>
    </xf>
    <xf numFmtId="168" fontId="104" fillId="37" borderId="73" xfId="49" applyNumberFormat="1" applyFont="1" applyFill="1" applyBorder="1" applyAlignment="1" applyProtection="1">
      <alignment horizontal="center" vertical="center" wrapText="1"/>
    </xf>
    <xf numFmtId="168" fontId="104" fillId="37" borderId="76" xfId="49" applyNumberFormat="1" applyFont="1" applyFill="1" applyBorder="1" applyAlignment="1" applyProtection="1">
      <alignment horizontal="center" vertical="center" wrapText="1"/>
    </xf>
    <xf numFmtId="174" fontId="39" fillId="37" borderId="1" xfId="49" applyNumberFormat="1" applyFont="1" applyFill="1" applyBorder="1" applyAlignment="1" applyProtection="1">
      <alignment horizontal="center" vertical="center" wrapText="1"/>
    </xf>
    <xf numFmtId="174" fontId="39" fillId="37" borderId="11" xfId="49" applyNumberFormat="1" applyFont="1" applyFill="1" applyBorder="1" applyAlignment="1" applyProtection="1">
      <alignment horizontal="center" vertical="center" wrapText="1"/>
    </xf>
    <xf numFmtId="174" fontId="39" fillId="37" borderId="41" xfId="49" applyNumberFormat="1" applyFont="1" applyFill="1" applyBorder="1" applyAlignment="1" applyProtection="1">
      <alignment horizontal="center" vertical="center" wrapText="1"/>
    </xf>
    <xf numFmtId="168" fontId="39" fillId="37" borderId="11" xfId="49" applyNumberFormat="1" applyFont="1" applyFill="1" applyBorder="1" applyAlignment="1" applyProtection="1">
      <alignment horizontal="center" vertical="center" wrapText="1"/>
    </xf>
    <xf numFmtId="168" fontId="39" fillId="37" borderId="41" xfId="49" applyNumberFormat="1" applyFont="1" applyFill="1" applyBorder="1" applyAlignment="1" applyProtection="1">
      <alignment horizontal="center" vertical="center" wrapText="1"/>
    </xf>
    <xf numFmtId="170" fontId="39" fillId="37" borderId="1" xfId="49" applyNumberFormat="1" applyFont="1" applyFill="1" applyBorder="1" applyAlignment="1" applyProtection="1">
      <alignment horizontal="center" vertical="center" wrapText="1"/>
    </xf>
    <xf numFmtId="170" fontId="39" fillId="37" borderId="60" xfId="49" applyNumberFormat="1" applyFont="1" applyFill="1" applyBorder="1" applyAlignment="1" applyProtection="1">
      <alignment horizontal="center" vertical="center" wrapText="1"/>
    </xf>
    <xf numFmtId="0" fontId="39" fillId="37" borderId="45" xfId="49" applyFont="1" applyFill="1" applyBorder="1" applyAlignment="1" applyProtection="1">
      <alignment horizontal="center" vertical="center" wrapText="1"/>
    </xf>
    <xf numFmtId="0" fontId="40" fillId="37" borderId="66" xfId="49" applyFont="1" applyFill="1" applyBorder="1" applyAlignment="1" applyProtection="1">
      <alignment vertical="center"/>
    </xf>
    <xf numFmtId="0" fontId="40" fillId="37" borderId="47" xfId="49" applyFont="1" applyFill="1" applyBorder="1" applyAlignment="1" applyProtection="1">
      <alignment vertical="center"/>
    </xf>
    <xf numFmtId="0" fontId="39" fillId="37" borderId="46" xfId="49" applyFont="1" applyFill="1" applyBorder="1" applyAlignment="1" applyProtection="1">
      <alignment horizontal="center" vertical="center" wrapText="1"/>
    </xf>
    <xf numFmtId="0" fontId="40" fillId="37" borderId="68" xfId="49" applyFont="1" applyFill="1" applyBorder="1" applyAlignment="1" applyProtection="1">
      <alignment vertical="center"/>
    </xf>
    <xf numFmtId="0" fontId="40" fillId="37" borderId="48" xfId="49" applyFont="1" applyFill="1" applyBorder="1" applyAlignment="1" applyProtection="1">
      <alignment vertical="center"/>
    </xf>
    <xf numFmtId="2" fontId="39" fillId="0" borderId="49" xfId="83" applyNumberFormat="1" applyFont="1" applyFill="1" applyBorder="1" applyAlignment="1" applyProtection="1">
      <alignment horizontal="center" vertical="center" textRotation="90" wrapText="1"/>
    </xf>
    <xf numFmtId="2" fontId="39" fillId="0" borderId="52" xfId="83" applyNumberFormat="1" applyFont="1" applyFill="1" applyBorder="1" applyAlignment="1" applyProtection="1">
      <alignment horizontal="center" vertical="center" textRotation="90" wrapText="1"/>
    </xf>
    <xf numFmtId="2" fontId="39" fillId="0" borderId="56" xfId="83" applyNumberFormat="1" applyFont="1" applyFill="1" applyBorder="1" applyAlignment="1" applyProtection="1">
      <alignment horizontal="center" vertical="center" textRotation="90"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39" fillId="37" borderId="25" xfId="49" applyFont="1" applyFill="1" applyBorder="1" applyAlignment="1" applyProtection="1">
      <alignment horizontal="center" vertical="center" wrapText="1"/>
    </xf>
    <xf numFmtId="0" fontId="39" fillId="37" borderId="6" xfId="49" applyFont="1" applyFill="1" applyBorder="1" applyAlignment="1" applyProtection="1">
      <alignment horizontal="center" vertical="center" wrapText="1"/>
    </xf>
    <xf numFmtId="170" fontId="39" fillId="37" borderId="8" xfId="49" applyNumberFormat="1" applyFont="1" applyFill="1" applyBorder="1" applyAlignment="1" applyProtection="1">
      <alignment horizontal="center" vertical="center" wrapText="1"/>
    </xf>
    <xf numFmtId="168" fontId="39" fillId="22" borderId="154" xfId="49" applyNumberFormat="1" applyFont="1" applyFill="1" applyBorder="1" applyAlignment="1" applyProtection="1">
      <alignment horizontal="center" vertical="center" wrapText="1"/>
    </xf>
    <xf numFmtId="0" fontId="39" fillId="22" borderId="162" xfId="49" applyFont="1" applyFill="1" applyBorder="1" applyAlignment="1" applyProtection="1">
      <alignment horizontal="center" vertical="center" wrapText="1"/>
    </xf>
    <xf numFmtId="0" fontId="39" fillId="22" borderId="163" xfId="49" applyFont="1" applyFill="1" applyBorder="1" applyAlignment="1" applyProtection="1">
      <alignment horizontal="center" vertical="center" wrapText="1"/>
    </xf>
    <xf numFmtId="168" fontId="39" fillId="37" borderId="8" xfId="49" applyNumberFormat="1" applyFont="1" applyFill="1" applyBorder="1" applyAlignment="1" applyProtection="1">
      <alignment horizontal="center" vertical="center" wrapText="1"/>
    </xf>
    <xf numFmtId="168" fontId="39" fillId="37" borderId="3" xfId="49" applyNumberFormat="1" applyFont="1" applyFill="1" applyBorder="1" applyAlignment="1" applyProtection="1">
      <alignment horizontal="center" vertical="center" wrapText="1"/>
    </xf>
    <xf numFmtId="0" fontId="37" fillId="26" borderId="54" xfId="0" applyFont="1" applyFill="1" applyBorder="1" applyAlignment="1" applyProtection="1">
      <alignment horizontal="center" vertical="center" wrapText="1"/>
    </xf>
    <xf numFmtId="0" fontId="37" fillId="26" borderId="49" xfId="0" applyFont="1" applyFill="1" applyBorder="1" applyAlignment="1" applyProtection="1">
      <alignment horizontal="center" vertical="center" wrapText="1"/>
    </xf>
    <xf numFmtId="0" fontId="37" fillId="0" borderId="75" xfId="32" applyFont="1" applyFill="1" applyBorder="1" applyAlignment="1" applyProtection="1">
      <alignment horizontal="right" vertical="center" wrapText="1"/>
    </xf>
    <xf numFmtId="0" fontId="37" fillId="0" borderId="73" xfId="32" applyFont="1" applyFill="1" applyBorder="1" applyAlignment="1" applyProtection="1">
      <alignment horizontal="right" vertical="center" wrapText="1"/>
    </xf>
    <xf numFmtId="0" fontId="37" fillId="0" borderId="52" xfId="32" applyFont="1" applyFill="1" applyBorder="1" applyAlignment="1" applyProtection="1">
      <alignment horizontal="right" vertical="center" wrapText="1"/>
    </xf>
    <xf numFmtId="0" fontId="37" fillId="0" borderId="7" xfId="32" applyFont="1" applyFill="1" applyBorder="1" applyAlignment="1" applyProtection="1">
      <alignment horizontal="right" vertical="center" wrapText="1"/>
    </xf>
    <xf numFmtId="0" fontId="100" fillId="0" borderId="52" xfId="0" applyFont="1" applyFill="1" applyBorder="1" applyAlignment="1" applyProtection="1">
      <alignment horizontal="right" vertical="center" wrapText="1"/>
    </xf>
    <xf numFmtId="0" fontId="100" fillId="0" borderId="7" xfId="0" applyFont="1" applyFill="1" applyBorder="1" applyAlignment="1" applyProtection="1">
      <alignment horizontal="right" vertical="center" wrapText="1"/>
    </xf>
    <xf numFmtId="0" fontId="37" fillId="0" borderId="30" xfId="32" applyFont="1" applyFill="1" applyBorder="1" applyAlignment="1" applyProtection="1">
      <alignment horizontal="right" vertical="center" wrapText="1"/>
    </xf>
    <xf numFmtId="0" fontId="37" fillId="0" borderId="79" xfId="32" applyFont="1" applyFill="1" applyBorder="1" applyAlignment="1" applyProtection="1">
      <alignment horizontal="right" vertical="center" wrapText="1"/>
    </xf>
    <xf numFmtId="0" fontId="11" fillId="28" borderId="24" xfId="83" applyNumberFormat="1" applyFont="1" applyFill="1" applyBorder="1" applyAlignment="1" applyProtection="1">
      <alignment horizontal="center" vertical="center"/>
      <protection locked="0"/>
    </xf>
    <xf numFmtId="0" fontId="11" fillId="28" borderId="23" xfId="83" applyNumberFormat="1" applyFont="1" applyFill="1" applyBorder="1" applyAlignment="1" applyProtection="1">
      <alignment horizontal="center" vertical="center"/>
      <protection locked="0"/>
    </xf>
    <xf numFmtId="0" fontId="11" fillId="0" borderId="52" xfId="49" applyFont="1" applyFill="1" applyBorder="1" applyAlignment="1" applyProtection="1">
      <alignment horizontal="right" vertical="center"/>
    </xf>
    <xf numFmtId="0" fontId="11" fillId="0" borderId="7" xfId="49" applyFont="1" applyFill="1" applyBorder="1" applyAlignment="1" applyProtection="1">
      <alignment horizontal="right" vertical="center"/>
    </xf>
    <xf numFmtId="0" fontId="37" fillId="26" borderId="52" xfId="0" applyFont="1" applyFill="1" applyBorder="1" applyAlignment="1" applyProtection="1">
      <alignment horizontal="center" vertical="center" wrapText="1"/>
    </xf>
    <xf numFmtId="0" fontId="11" fillId="37" borderId="1" xfId="0" applyFont="1" applyFill="1" applyBorder="1" applyAlignment="1" applyProtection="1">
      <alignment horizontal="center" vertical="center"/>
    </xf>
    <xf numFmtId="0" fontId="11" fillId="37" borderId="3" xfId="0" applyFont="1" applyFill="1" applyBorder="1" applyAlignment="1" applyProtection="1">
      <alignment horizontal="center" vertical="center"/>
    </xf>
    <xf numFmtId="0" fontId="11" fillId="37" borderId="29" xfId="0" applyFont="1" applyFill="1" applyBorder="1" applyAlignment="1" applyProtection="1">
      <alignment horizontal="center" vertical="center"/>
    </xf>
    <xf numFmtId="0" fontId="11" fillId="37" borderId="14" xfId="0" applyFont="1" applyFill="1" applyBorder="1" applyAlignment="1" applyProtection="1">
      <alignment horizontal="center" vertical="center"/>
    </xf>
    <xf numFmtId="3" fontId="11" fillId="37" borderId="29" xfId="0" applyNumberFormat="1" applyFont="1" applyFill="1" applyBorder="1" applyAlignment="1" applyProtection="1">
      <alignment horizontal="center" vertical="center"/>
    </xf>
    <xf numFmtId="3" fontId="11" fillId="37" borderId="22" xfId="0" applyNumberFormat="1" applyFont="1" applyFill="1" applyBorder="1" applyAlignment="1" applyProtection="1">
      <alignment horizontal="center" vertical="center"/>
    </xf>
    <xf numFmtId="0" fontId="11" fillId="28" borderId="30" xfId="83" applyNumberFormat="1" applyFont="1" applyFill="1" applyBorder="1" applyAlignment="1" applyProtection="1">
      <alignment horizontal="center" vertical="center"/>
      <protection locked="0"/>
    </xf>
    <xf numFmtId="0" fontId="11" fillId="28" borderId="28" xfId="83" applyNumberFormat="1" applyFont="1" applyFill="1" applyBorder="1" applyAlignment="1" applyProtection="1">
      <alignment horizontal="center" vertical="center"/>
      <protection locked="0"/>
    </xf>
    <xf numFmtId="0" fontId="11" fillId="0" borderId="52" xfId="49" applyFont="1" applyFill="1" applyBorder="1" applyAlignment="1" applyProtection="1">
      <alignment horizontal="right" vertical="center" wrapText="1"/>
    </xf>
    <xf numFmtId="0" fontId="11" fillId="0" borderId="7" xfId="49" applyFont="1" applyFill="1" applyBorder="1" applyAlignment="1" applyProtection="1">
      <alignment horizontal="right" vertical="center" wrapText="1"/>
    </xf>
    <xf numFmtId="0" fontId="11" fillId="0" borderId="56" xfId="49" applyFont="1" applyFill="1" applyBorder="1" applyAlignment="1" applyProtection="1">
      <alignment horizontal="right" vertical="center" wrapText="1"/>
    </xf>
    <xf numFmtId="0" fontId="11" fillId="0" borderId="77" xfId="49" applyFont="1" applyFill="1" applyBorder="1" applyAlignment="1" applyProtection="1">
      <alignment horizontal="right" vertical="center" wrapText="1"/>
    </xf>
    <xf numFmtId="0" fontId="37" fillId="0" borderId="36" xfId="32" applyFont="1" applyFill="1" applyBorder="1" applyAlignment="1" applyProtection="1">
      <alignment horizontal="right" vertical="center" wrapText="1"/>
    </xf>
    <xf numFmtId="0" fontId="37" fillId="0" borderId="69" xfId="32" applyFont="1" applyFill="1" applyBorder="1" applyAlignment="1" applyProtection="1">
      <alignment horizontal="right" vertical="center" wrapText="1"/>
    </xf>
    <xf numFmtId="0" fontId="66" fillId="0" borderId="25" xfId="32" applyFont="1" applyFill="1" applyBorder="1" applyAlignment="1" applyProtection="1">
      <alignment horizontal="right" vertical="center" wrapText="1"/>
    </xf>
    <xf numFmtId="0" fontId="66" fillId="0" borderId="44" xfId="32" applyFont="1" applyFill="1" applyBorder="1" applyAlignment="1" applyProtection="1">
      <alignment horizontal="right" vertical="center" wrapText="1"/>
    </xf>
    <xf numFmtId="0" fontId="37" fillId="0" borderId="52" xfId="0" applyFont="1" applyFill="1" applyBorder="1" applyAlignment="1" applyProtection="1">
      <alignment horizontal="right" vertical="center" wrapText="1"/>
    </xf>
    <xf numFmtId="0" fontId="37" fillId="0" borderId="7" xfId="0" applyFont="1" applyFill="1" applyBorder="1" applyAlignment="1" applyProtection="1">
      <alignment horizontal="right" vertical="center" wrapText="1"/>
    </xf>
    <xf numFmtId="0" fontId="42" fillId="0" borderId="52" xfId="0" applyFont="1" applyFill="1" applyBorder="1" applyAlignment="1" applyProtection="1">
      <alignment horizontal="right"/>
    </xf>
    <xf numFmtId="0" fontId="42" fillId="0" borderId="7" xfId="0" applyFont="1" applyFill="1" applyBorder="1" applyAlignment="1" applyProtection="1">
      <alignment horizontal="right"/>
    </xf>
    <xf numFmtId="14" fontId="11" fillId="28" borderId="24" xfId="83" applyNumberFormat="1" applyFont="1" applyFill="1" applyBorder="1" applyAlignment="1" applyProtection="1">
      <alignment horizontal="center" vertical="center"/>
      <protection locked="0"/>
    </xf>
    <xf numFmtId="0" fontId="14" fillId="26" borderId="0" xfId="83" applyFont="1" applyFill="1" applyAlignment="1" applyProtection="1">
      <alignment horizontal="center" vertical="center" wrapText="1"/>
    </xf>
    <xf numFmtId="0" fontId="14" fillId="26" borderId="0" xfId="49" applyNumberFormat="1" applyFont="1" applyFill="1" applyBorder="1" applyAlignment="1" applyProtection="1">
      <alignment horizontal="center"/>
    </xf>
    <xf numFmtId="0" fontId="11" fillId="37" borderId="22" xfId="0" applyFont="1" applyFill="1" applyBorder="1" applyAlignment="1" applyProtection="1">
      <alignment horizontal="center" vertical="center"/>
    </xf>
    <xf numFmtId="0" fontId="11" fillId="0" borderId="154" xfId="83" applyNumberFormat="1" applyFont="1" applyFill="1" applyBorder="1" applyAlignment="1" applyProtection="1">
      <alignment horizontal="center" vertical="center"/>
    </xf>
    <xf numFmtId="49" fontId="20" fillId="22" borderId="162" xfId="83" applyNumberFormat="1" applyFont="1" applyFill="1" applyBorder="1" applyAlignment="1" applyProtection="1">
      <alignment horizontal="left" vertical="center" wrapText="1"/>
    </xf>
    <xf numFmtId="0" fontId="20" fillId="22" borderId="163" xfId="83" applyNumberFormat="1" applyFont="1" applyFill="1" applyBorder="1" applyAlignment="1" applyProtection="1">
      <alignment horizontal="left" vertical="center" wrapText="1"/>
    </xf>
    <xf numFmtId="0" fontId="20" fillId="22" borderId="164" xfId="83" applyNumberFormat="1" applyFont="1" applyFill="1" applyBorder="1" applyAlignment="1" applyProtection="1">
      <alignment horizontal="left" vertical="center" wrapText="1"/>
    </xf>
    <xf numFmtId="0" fontId="39" fillId="22" borderId="154" xfId="0" applyFont="1" applyFill="1" applyBorder="1" applyAlignment="1" applyProtection="1">
      <alignment horizontal="center" vertical="center"/>
    </xf>
    <xf numFmtId="0" fontId="39" fillId="22" borderId="156"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39" fillId="37" borderId="34" xfId="0" applyFont="1" applyFill="1" applyBorder="1" applyAlignment="1" applyProtection="1">
      <alignment horizontal="center" vertical="center"/>
    </xf>
    <xf numFmtId="0" fontId="39" fillId="37" borderId="1" xfId="0" applyFont="1" applyFill="1" applyBorder="1" applyAlignment="1" applyProtection="1">
      <alignment horizontal="center" vertical="center"/>
    </xf>
    <xf numFmtId="0" fontId="39" fillId="37" borderId="8" xfId="0" applyFont="1" applyFill="1" applyBorder="1" applyAlignment="1" applyProtection="1">
      <alignment horizontal="center" vertical="center"/>
    </xf>
    <xf numFmtId="0" fontId="39" fillId="37" borderId="3" xfId="0" applyFont="1" applyFill="1" applyBorder="1" applyAlignment="1" applyProtection="1">
      <alignment horizontal="center" vertical="center"/>
    </xf>
    <xf numFmtId="0" fontId="42" fillId="0" borderId="0" xfId="0" applyFont="1" applyFill="1" applyAlignment="1" applyProtection="1">
      <alignment horizontal="left"/>
    </xf>
    <xf numFmtId="0" fontId="20" fillId="27" borderId="0" xfId="0" applyFont="1" applyFill="1" applyAlignment="1" applyProtection="1">
      <alignment horizontal="left" indent="1"/>
    </xf>
    <xf numFmtId="0" fontId="42" fillId="27" borderId="0" xfId="0" applyFont="1" applyFill="1" applyAlignment="1" applyProtection="1">
      <alignment horizontal="left"/>
    </xf>
    <xf numFmtId="0" fontId="19" fillId="27" borderId="0" xfId="32" applyFont="1" applyFill="1" applyAlignment="1" applyProtection="1">
      <alignment horizontal="center"/>
    </xf>
    <xf numFmtId="0" fontId="42" fillId="27" borderId="0" xfId="0" applyFont="1" applyFill="1" applyAlignment="1" applyProtection="1"/>
    <xf numFmtId="0" fontId="42" fillId="0" borderId="0" xfId="0" applyFont="1" applyFill="1" applyAlignment="1" applyProtection="1"/>
    <xf numFmtId="0" fontId="14" fillId="0" borderId="0" xfId="0" applyFont="1" applyAlignment="1" applyProtection="1">
      <alignment horizontal="center"/>
    </xf>
    <xf numFmtId="0" fontId="46" fillId="37" borderId="22" xfId="0" applyFont="1" applyFill="1" applyBorder="1" applyAlignment="1" applyProtection="1">
      <alignment horizontal="center" vertical="center"/>
    </xf>
    <xf numFmtId="0" fontId="46" fillId="37" borderId="14" xfId="0" applyFont="1" applyFill="1" applyBorder="1" applyAlignment="1" applyProtection="1">
      <alignment horizontal="center" vertical="center"/>
    </xf>
    <xf numFmtId="0" fontId="46" fillId="37" borderId="45" xfId="0" applyFont="1" applyFill="1" applyBorder="1" applyAlignment="1" applyProtection="1">
      <alignment horizontal="center" vertical="center" wrapText="1"/>
    </xf>
    <xf numFmtId="0" fontId="46" fillId="37" borderId="47" xfId="0" applyFont="1" applyFill="1" applyBorder="1" applyAlignment="1" applyProtection="1">
      <alignment horizontal="center" vertical="center" wrapText="1"/>
    </xf>
    <xf numFmtId="0" fontId="46" fillId="37" borderId="46" xfId="0" applyFont="1" applyFill="1" applyBorder="1" applyAlignment="1" applyProtection="1">
      <alignment horizontal="center" vertical="center"/>
    </xf>
    <xf numFmtId="0" fontId="46" fillId="37" borderId="48" xfId="0" applyFont="1" applyFill="1" applyBorder="1" applyAlignment="1" applyProtection="1">
      <alignment horizontal="center" vertical="center"/>
    </xf>
    <xf numFmtId="0" fontId="46" fillId="37" borderId="35" xfId="0" applyFont="1" applyFill="1" applyBorder="1" applyAlignment="1" applyProtection="1">
      <alignment horizontal="center" vertical="center" wrapText="1"/>
    </xf>
    <xf numFmtId="0" fontId="46" fillId="37" borderId="34" xfId="0" applyFont="1" applyFill="1" applyBorder="1" applyAlignment="1" applyProtection="1">
      <alignment horizontal="center" vertical="center" wrapText="1"/>
    </xf>
    <xf numFmtId="0" fontId="18" fillId="0" borderId="0" xfId="0" applyNumberFormat="1" applyFont="1" applyFill="1" applyAlignment="1" applyProtection="1">
      <alignment horizontal="center"/>
    </xf>
    <xf numFmtId="0" fontId="46" fillId="37" borderId="40" xfId="0" applyFont="1" applyFill="1" applyBorder="1" applyAlignment="1" applyProtection="1">
      <alignment horizontal="center" vertical="center" wrapText="1"/>
    </xf>
    <xf numFmtId="0" fontId="46" fillId="37" borderId="42" xfId="0" applyFont="1" applyFill="1" applyBorder="1" applyAlignment="1" applyProtection="1">
      <alignment horizontal="center" vertical="center" wrapText="1"/>
    </xf>
    <xf numFmtId="0" fontId="42" fillId="27" borderId="0" xfId="0" applyFont="1" applyFill="1" applyAlignment="1" applyProtection="1">
      <alignment horizontal="left" vertical="center" wrapText="1"/>
    </xf>
    <xf numFmtId="0" fontId="19" fillId="0" borderId="0" xfId="0" applyFont="1" applyAlignment="1" applyProtection="1">
      <alignment horizontal="center"/>
    </xf>
    <xf numFmtId="0" fontId="46" fillId="37" borderId="26"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xf>
    <xf numFmtId="0" fontId="39" fillId="37" borderId="54" xfId="0" applyFont="1" applyFill="1" applyBorder="1" applyAlignment="1" applyProtection="1">
      <alignment horizontal="center" vertical="center"/>
    </xf>
    <xf numFmtId="0" fontId="39" fillId="37" borderId="73" xfId="0" applyFont="1" applyFill="1" applyBorder="1" applyAlignment="1" applyProtection="1">
      <alignment horizontal="center" vertical="center"/>
    </xf>
    <xf numFmtId="0" fontId="39" fillId="37" borderId="63" xfId="0" applyFont="1" applyFill="1" applyBorder="1" applyAlignment="1" applyProtection="1">
      <alignment horizontal="center" vertical="center"/>
    </xf>
    <xf numFmtId="0" fontId="39" fillId="37" borderId="56" xfId="0" applyFont="1" applyFill="1" applyBorder="1" applyAlignment="1" applyProtection="1">
      <alignment horizontal="center" vertical="center"/>
    </xf>
    <xf numFmtId="0" fontId="39" fillId="37" borderId="74" xfId="0" applyFont="1" applyFill="1" applyBorder="1" applyAlignment="1" applyProtection="1">
      <alignment horizontal="center" vertical="center"/>
    </xf>
    <xf numFmtId="0" fontId="39" fillId="37" borderId="78" xfId="0" applyFont="1" applyFill="1" applyBorder="1" applyAlignment="1" applyProtection="1">
      <alignment horizontal="center" vertical="center"/>
    </xf>
    <xf numFmtId="0" fontId="46" fillId="37" borderId="51" xfId="0" applyFont="1" applyFill="1" applyBorder="1" applyAlignment="1" applyProtection="1">
      <alignment horizontal="center" vertical="center" wrapText="1"/>
    </xf>
    <xf numFmtId="0" fontId="46" fillId="37" borderId="21" xfId="0" applyFont="1" applyFill="1" applyBorder="1" applyAlignment="1" applyProtection="1">
      <alignment horizontal="center" vertical="center" wrapText="1"/>
    </xf>
    <xf numFmtId="0" fontId="46" fillId="37" borderId="72" xfId="0" applyFont="1" applyFill="1" applyBorder="1" applyAlignment="1" applyProtection="1">
      <alignment horizontal="center" vertical="center"/>
    </xf>
    <xf numFmtId="0" fontId="46" fillId="37" borderId="73" xfId="0" applyFont="1" applyFill="1" applyBorder="1" applyAlignment="1" applyProtection="1">
      <alignment horizontal="center" vertical="center"/>
    </xf>
    <xf numFmtId="0" fontId="46" fillId="37" borderId="76" xfId="0" applyFont="1" applyFill="1" applyBorder="1" applyAlignment="1" applyProtection="1">
      <alignment horizontal="center" vertical="center"/>
    </xf>
    <xf numFmtId="0" fontId="46" fillId="37" borderId="29" xfId="0" applyFont="1" applyFill="1" applyBorder="1" applyAlignment="1" applyProtection="1">
      <alignment horizontal="center" vertical="center"/>
    </xf>
    <xf numFmtId="0" fontId="46" fillId="22" borderId="154" xfId="0" applyFont="1" applyFill="1" applyBorder="1" applyAlignment="1" applyProtection="1">
      <alignment horizontal="center" vertical="center" wrapText="1"/>
    </xf>
    <xf numFmtId="0" fontId="46" fillId="22" borderId="154" xfId="0" applyFont="1" applyFill="1" applyBorder="1" applyAlignment="1" applyProtection="1">
      <alignment horizontal="center" vertical="center"/>
    </xf>
    <xf numFmtId="1" fontId="46" fillId="38" borderId="11" xfId="21" applyFont="1" applyFill="1" applyBorder="1" applyAlignment="1" applyProtection="1">
      <alignment horizontal="center" vertical="center" wrapText="1"/>
    </xf>
    <xf numFmtId="1" fontId="46" fillId="38" borderId="0" xfId="21" applyFont="1" applyFill="1" applyBorder="1" applyAlignment="1" applyProtection="1">
      <alignment horizontal="center" vertical="center" wrapText="1"/>
    </xf>
    <xf numFmtId="1" fontId="46" fillId="38" borderId="20" xfId="21" applyFont="1" applyFill="1" applyBorder="1" applyAlignment="1" applyProtection="1">
      <alignment horizontal="center" vertical="center" wrapText="1"/>
    </xf>
    <xf numFmtId="0" fontId="46" fillId="37" borderId="29" xfId="32" applyFont="1" applyFill="1" applyBorder="1" applyAlignment="1" applyProtection="1">
      <alignment horizontal="center" vertical="center"/>
    </xf>
    <xf numFmtId="0" fontId="46" fillId="37" borderId="22" xfId="32" applyFont="1" applyFill="1" applyBorder="1" applyAlignment="1" applyProtection="1">
      <alignment horizontal="center" vertical="center"/>
    </xf>
    <xf numFmtId="0" fontId="46" fillId="37" borderId="14" xfId="32" applyFont="1" applyFill="1" applyBorder="1" applyAlignment="1" applyProtection="1">
      <alignment horizontal="center" vertical="center"/>
    </xf>
    <xf numFmtId="1" fontId="46" fillId="38" borderId="45" xfId="21" applyFont="1" applyFill="1" applyBorder="1" applyAlignment="1" applyProtection="1">
      <alignment horizontal="center" vertical="center" wrapText="1"/>
    </xf>
    <xf numFmtId="1" fontId="46" fillId="38" borderId="47" xfId="21" applyFont="1" applyFill="1" applyBorder="1" applyAlignment="1" applyProtection="1">
      <alignment horizontal="center" vertical="center" wrapText="1"/>
    </xf>
    <xf numFmtId="1" fontId="46" fillId="38" borderId="59" xfId="21" applyFont="1" applyFill="1" applyBorder="1" applyAlignment="1" applyProtection="1">
      <alignment horizontal="center" vertical="center" wrapText="1"/>
    </xf>
    <xf numFmtId="1" fontId="46" fillId="38" borderId="101" xfId="21" applyFont="1" applyFill="1" applyBorder="1" applyAlignment="1" applyProtection="1">
      <alignment horizontal="center" vertical="center" wrapText="1"/>
    </xf>
    <xf numFmtId="0" fontId="46" fillId="37" borderId="154" xfId="32" applyFont="1" applyFill="1" applyBorder="1" applyAlignment="1" applyProtection="1">
      <alignment horizontal="center" vertical="center"/>
    </xf>
    <xf numFmtId="0" fontId="76" fillId="0" borderId="0" xfId="32" applyFont="1" applyFill="1" applyAlignment="1" applyProtection="1">
      <alignment horizontal="center" vertical="center"/>
    </xf>
    <xf numFmtId="0" fontId="76" fillId="0" borderId="0" xfId="32" applyFont="1" applyAlignment="1" applyProtection="1">
      <alignment horizontal="center" vertical="center"/>
    </xf>
    <xf numFmtId="0" fontId="81" fillId="0" borderId="0" xfId="32" applyNumberFormat="1" applyFont="1" applyFill="1" applyAlignment="1" applyProtection="1">
      <alignment horizontal="center" vertical="center" wrapText="1"/>
    </xf>
    <xf numFmtId="0" fontId="46" fillId="37" borderId="1" xfId="32" applyFont="1" applyFill="1" applyBorder="1" applyAlignment="1" applyProtection="1">
      <alignment horizontal="center" vertical="center"/>
    </xf>
    <xf numFmtId="0" fontId="46" fillId="37" borderId="8" xfId="32" applyFont="1" applyFill="1" applyBorder="1" applyAlignment="1" applyProtection="1">
      <alignment horizontal="center" vertical="center"/>
    </xf>
    <xf numFmtId="0" fontId="46" fillId="37" borderId="3" xfId="32" applyFont="1" applyFill="1" applyBorder="1" applyAlignment="1" applyProtection="1">
      <alignment horizontal="center" vertical="center"/>
    </xf>
    <xf numFmtId="1" fontId="46" fillId="38" borderId="66" xfId="21" applyFont="1" applyFill="1" applyBorder="1" applyAlignment="1" applyProtection="1">
      <alignment horizontal="center" vertical="center" wrapText="1"/>
    </xf>
    <xf numFmtId="0" fontId="42" fillId="26" borderId="0" xfId="0" applyFont="1" applyFill="1" applyAlignment="1" applyProtection="1">
      <alignment horizontal="left" wrapText="1"/>
    </xf>
    <xf numFmtId="0" fontId="18" fillId="0" borderId="0" xfId="0" applyNumberFormat="1" applyFont="1" applyFill="1" applyAlignment="1" applyProtection="1">
      <alignment horizontal="center" vertical="center" wrapText="1"/>
    </xf>
    <xf numFmtId="0" fontId="14" fillId="0" borderId="0" xfId="0" applyFont="1" applyAlignment="1" applyProtection="1">
      <alignment horizontal="center" vertical="center"/>
    </xf>
    <xf numFmtId="0" fontId="14" fillId="20" borderId="0" xfId="0" applyFont="1" applyFill="1" applyAlignment="1" applyProtection="1">
      <alignment horizontal="center" vertical="center"/>
    </xf>
    <xf numFmtId="0" fontId="42" fillId="27" borderId="0" xfId="0" applyFont="1" applyFill="1" applyAlignment="1">
      <alignment horizontal="left" vertical="center" wrapText="1"/>
    </xf>
    <xf numFmtId="0" fontId="42" fillId="27" borderId="0" xfId="0" applyFont="1" applyFill="1" applyAlignment="1" applyProtection="1">
      <alignment vertical="center"/>
    </xf>
    <xf numFmtId="0" fontId="14" fillId="0" borderId="0" xfId="40" applyFont="1" applyAlignment="1" applyProtection="1">
      <alignment horizontal="center" vertical="center"/>
    </xf>
    <xf numFmtId="0" fontId="14" fillId="20" borderId="0" xfId="40" applyFont="1" applyFill="1" applyAlignment="1" applyProtection="1">
      <alignment horizontal="center" vertical="center"/>
    </xf>
    <xf numFmtId="168" fontId="81" fillId="28" borderId="60" xfId="49" applyNumberFormat="1" applyFont="1" applyFill="1" applyBorder="1" applyAlignment="1" applyProtection="1">
      <alignment horizontal="center" vertical="center" wrapText="1"/>
      <protection locked="0"/>
    </xf>
    <xf numFmtId="168" fontId="81" fillId="28" borderId="8" xfId="49" applyNumberFormat="1" applyFont="1" applyFill="1" applyBorder="1" applyAlignment="1" applyProtection="1">
      <alignment horizontal="center" vertical="center" wrapText="1"/>
      <protection locked="0"/>
    </xf>
    <xf numFmtId="168" fontId="81" fillId="28" borderId="3" xfId="49" applyNumberFormat="1" applyFont="1" applyFill="1" applyBorder="1" applyAlignment="1" applyProtection="1">
      <alignment horizontal="center" vertical="center" wrapText="1"/>
      <protection locked="0"/>
    </xf>
    <xf numFmtId="0" fontId="20" fillId="27" borderId="0" xfId="49" applyFont="1" applyFill="1" applyAlignment="1" applyProtection="1">
      <alignment horizontal="left" vertical="center" wrapText="1"/>
    </xf>
    <xf numFmtId="0" fontId="14" fillId="0" borderId="0" xfId="0" applyFont="1" applyFill="1" applyAlignment="1" applyProtection="1">
      <alignment horizontal="center" vertical="center"/>
    </xf>
    <xf numFmtId="0" fontId="18" fillId="0" borderId="0" xfId="0" applyNumberFormat="1" applyFont="1" applyAlignment="1" applyProtection="1">
      <alignment horizontal="center" vertical="center"/>
    </xf>
    <xf numFmtId="0" fontId="144" fillId="47" borderId="62" xfId="0" applyFont="1" applyFill="1" applyBorder="1" applyAlignment="1" applyProtection="1">
      <alignment horizontal="center" vertical="center"/>
    </xf>
    <xf numFmtId="0" fontId="144" fillId="47" borderId="23" xfId="0" applyFont="1" applyFill="1" applyBorder="1" applyAlignment="1" applyProtection="1">
      <alignment horizontal="center" vertical="center"/>
    </xf>
    <xf numFmtId="0" fontId="144" fillId="47" borderId="32" xfId="0" applyFont="1" applyFill="1" applyBorder="1" applyAlignment="1" applyProtection="1">
      <alignment horizontal="center" vertical="center"/>
    </xf>
    <xf numFmtId="0" fontId="54" fillId="20" borderId="7" xfId="32" applyFont="1" applyFill="1" applyBorder="1" applyAlignment="1" applyProtection="1">
      <alignment horizontal="center" vertical="center" wrapText="1"/>
    </xf>
    <xf numFmtId="0" fontId="144" fillId="47" borderId="7" xfId="0" applyFont="1" applyFill="1" applyBorder="1" applyAlignment="1" applyProtection="1">
      <alignment horizontal="center" vertical="center" wrapText="1"/>
    </xf>
    <xf numFmtId="0" fontId="144" fillId="47" borderId="23" xfId="0" applyFont="1" applyFill="1" applyBorder="1" applyAlignment="1" applyProtection="1">
      <alignment horizontal="center" vertical="center" wrapText="1"/>
    </xf>
    <xf numFmtId="0" fontId="144" fillId="47" borderId="32" xfId="0" applyFont="1" applyFill="1" applyBorder="1" applyAlignment="1" applyProtection="1">
      <alignment horizontal="center" vertical="center" wrapText="1"/>
    </xf>
    <xf numFmtId="0" fontId="144" fillId="47" borderId="64" xfId="0" applyFont="1" applyFill="1" applyBorder="1" applyAlignment="1" applyProtection="1">
      <alignment horizontal="center" vertical="center" wrapText="1"/>
    </xf>
    <xf numFmtId="0" fontId="144" fillId="47" borderId="37" xfId="0" applyFont="1" applyFill="1" applyBorder="1" applyAlignment="1" applyProtection="1">
      <alignment horizontal="center" vertical="center" wrapText="1"/>
    </xf>
    <xf numFmtId="0" fontId="144" fillId="47" borderId="69" xfId="0" applyFont="1" applyFill="1" applyBorder="1" applyAlignment="1" applyProtection="1">
      <alignment horizontal="center" vertical="center" wrapText="1"/>
    </xf>
    <xf numFmtId="0" fontId="144" fillId="37" borderId="63" xfId="52" applyFont="1" applyFill="1" applyBorder="1" applyAlignment="1" applyProtection="1">
      <alignment horizontal="center" vertical="center"/>
    </xf>
    <xf numFmtId="0" fontId="144" fillId="37" borderId="31" xfId="52" applyFont="1" applyFill="1" applyBorder="1" applyAlignment="1" applyProtection="1">
      <alignment horizontal="center" vertical="center"/>
    </xf>
    <xf numFmtId="0" fontId="144" fillId="37" borderId="63" xfId="52" applyFont="1" applyFill="1" applyBorder="1" applyAlignment="1" applyProtection="1">
      <alignment horizontal="center" vertical="center" wrapText="1"/>
    </xf>
    <xf numFmtId="0" fontId="144" fillId="37" borderId="7" xfId="56" applyFont="1" applyFill="1" applyBorder="1" applyAlignment="1" applyProtection="1">
      <alignment horizontal="center" vertical="center"/>
    </xf>
    <xf numFmtId="0" fontId="144" fillId="26" borderId="62" xfId="52" applyFont="1" applyFill="1" applyBorder="1" applyAlignment="1" applyProtection="1">
      <alignment horizontal="center" vertical="center"/>
    </xf>
    <xf numFmtId="0" fontId="144" fillId="26" borderId="23" xfId="52" applyFont="1" applyFill="1" applyBorder="1" applyAlignment="1" applyProtection="1">
      <alignment horizontal="center" vertical="center"/>
    </xf>
    <xf numFmtId="0" fontId="144" fillId="26" borderId="32" xfId="52" applyFont="1" applyFill="1" applyBorder="1" applyAlignment="1" applyProtection="1">
      <alignment horizontal="center" vertical="center"/>
    </xf>
    <xf numFmtId="0" fontId="144" fillId="20" borderId="63" xfId="52" applyFont="1" applyFill="1" applyBorder="1" applyAlignment="1" applyProtection="1">
      <alignment horizontal="left" vertical="center" wrapText="1"/>
    </xf>
    <xf numFmtId="0" fontId="144" fillId="20" borderId="31" xfId="52" applyFont="1" applyFill="1" applyBorder="1" applyAlignment="1" applyProtection="1">
      <alignment horizontal="left" vertical="center" wrapText="1"/>
    </xf>
    <xf numFmtId="0" fontId="144" fillId="22" borderId="63" xfId="52" applyFont="1" applyFill="1" applyBorder="1" applyAlignment="1" applyProtection="1">
      <alignment horizontal="left" vertical="center"/>
    </xf>
    <xf numFmtId="0" fontId="144" fillId="22" borderId="4" xfId="52" applyFont="1" applyFill="1" applyBorder="1" applyAlignment="1" applyProtection="1">
      <alignment horizontal="left" vertical="center"/>
    </xf>
    <xf numFmtId="0" fontId="144" fillId="22" borderId="31" xfId="52" applyFont="1" applyFill="1" applyBorder="1" applyAlignment="1" applyProtection="1">
      <alignment horizontal="left" vertical="center"/>
    </xf>
    <xf numFmtId="0" fontId="54" fillId="26" borderId="7" xfId="52" applyFont="1" applyFill="1" applyBorder="1" applyAlignment="1" applyProtection="1">
      <alignment horizontal="left" vertical="center" wrapText="1"/>
    </xf>
    <xf numFmtId="0" fontId="144" fillId="22" borderId="7" xfId="52" applyFont="1" applyFill="1" applyBorder="1" applyAlignment="1" applyProtection="1">
      <alignment horizontal="center" vertical="center" wrapText="1"/>
    </xf>
    <xf numFmtId="0" fontId="54" fillId="26" borderId="7" xfId="52" applyFont="1" applyFill="1" applyBorder="1" applyAlignment="1" applyProtection="1">
      <alignment horizontal="left" vertical="center"/>
    </xf>
    <xf numFmtId="0" fontId="144" fillId="37" borderId="7" xfId="56" applyFont="1" applyFill="1" applyBorder="1" applyAlignment="1" applyProtection="1">
      <alignment horizontal="center" vertical="center" wrapText="1"/>
    </xf>
    <xf numFmtId="0" fontId="144" fillId="37" borderId="32" xfId="56" applyFont="1" applyFill="1" applyBorder="1" applyAlignment="1" applyProtection="1">
      <alignment horizontal="center" vertical="center" wrapText="1"/>
    </xf>
    <xf numFmtId="0" fontId="144" fillId="37" borderId="69" xfId="56" applyFont="1" applyFill="1" applyBorder="1" applyAlignment="1" applyProtection="1">
      <alignment horizontal="center" vertical="center" wrapText="1"/>
    </xf>
    <xf numFmtId="0" fontId="54" fillId="22" borderId="7" xfId="52" applyFont="1" applyFill="1" applyBorder="1" applyAlignment="1" applyProtection="1">
      <alignment horizontal="left" vertical="center"/>
    </xf>
    <xf numFmtId="0" fontId="54" fillId="20" borderId="7" xfId="52" applyFont="1" applyFill="1" applyBorder="1" applyAlignment="1" applyProtection="1">
      <alignment horizontal="left" vertical="center" wrapText="1"/>
    </xf>
    <xf numFmtId="0" fontId="144" fillId="37" borderId="7" xfId="0" applyFont="1" applyFill="1" applyBorder="1" applyAlignment="1" applyProtection="1">
      <alignment horizontal="center" vertical="center" wrapText="1"/>
    </xf>
    <xf numFmtId="0" fontId="46" fillId="37" borderId="7" xfId="0" applyFont="1" applyFill="1" applyBorder="1" applyAlignment="1" applyProtection="1">
      <alignment horizontal="center" vertical="center"/>
    </xf>
    <xf numFmtId="0" fontId="144" fillId="37" borderId="63" xfId="32" applyFont="1" applyFill="1" applyBorder="1" applyAlignment="1" applyProtection="1">
      <alignment horizontal="center" vertical="center" wrapText="1"/>
    </xf>
    <xf numFmtId="0" fontId="144" fillId="37" borderId="31" xfId="32" applyFont="1" applyFill="1" applyBorder="1" applyAlignment="1" applyProtection="1">
      <alignment horizontal="center" vertical="center" wrapText="1"/>
    </xf>
    <xf numFmtId="0" fontId="39" fillId="37" borderId="63" xfId="0" applyFont="1" applyFill="1" applyBorder="1" applyAlignment="1" applyProtection="1">
      <alignment horizontal="center" vertical="center" wrapText="1"/>
    </xf>
    <xf numFmtId="0" fontId="39" fillId="37" borderId="31" xfId="0" applyFont="1" applyFill="1" applyBorder="1" applyAlignment="1" applyProtection="1">
      <alignment horizontal="center" vertical="center" wrapText="1"/>
    </xf>
    <xf numFmtId="0" fontId="46" fillId="22" borderId="62" xfId="0" applyFont="1" applyFill="1" applyBorder="1" applyAlignment="1" applyProtection="1">
      <alignment horizontal="left" vertical="center"/>
    </xf>
    <xf numFmtId="0" fontId="46" fillId="22" borderId="23" xfId="0" applyFont="1" applyFill="1" applyBorder="1" applyAlignment="1" applyProtection="1">
      <alignment horizontal="left" vertical="center"/>
    </xf>
    <xf numFmtId="0" fontId="46" fillId="22" borderId="32" xfId="0" applyFont="1" applyFill="1" applyBorder="1" applyAlignment="1" applyProtection="1">
      <alignment horizontal="left" vertical="center"/>
    </xf>
    <xf numFmtId="2" fontId="46" fillId="37" borderId="7" xfId="0" applyNumberFormat="1" applyFont="1" applyFill="1" applyBorder="1" applyAlignment="1" applyProtection="1">
      <alignment horizontal="center" vertical="center"/>
    </xf>
    <xf numFmtId="0" fontId="144" fillId="47" borderId="7" xfId="0" applyFont="1" applyFill="1" applyBorder="1" applyAlignment="1">
      <alignment horizontal="center" vertical="center" wrapText="1"/>
    </xf>
    <xf numFmtId="2" fontId="144" fillId="37" borderId="63" xfId="32" applyNumberFormat="1" applyFont="1" applyFill="1" applyBorder="1" applyAlignment="1" applyProtection="1">
      <alignment horizontal="center" vertical="center" wrapText="1"/>
    </xf>
    <xf numFmtId="2" fontId="144" fillId="37" borderId="31" xfId="32" applyNumberFormat="1" applyFont="1" applyFill="1" applyBorder="1" applyAlignment="1" applyProtection="1">
      <alignment horizontal="center" vertical="center" wrapText="1"/>
    </xf>
    <xf numFmtId="2" fontId="144" fillId="37" borderId="62" xfId="32" applyNumberFormat="1" applyFont="1" applyFill="1" applyBorder="1" applyAlignment="1" applyProtection="1">
      <alignment horizontal="center" vertical="center" wrapText="1"/>
    </xf>
    <xf numFmtId="2" fontId="144" fillId="37" borderId="23" xfId="32" applyNumberFormat="1" applyFont="1" applyFill="1" applyBorder="1" applyAlignment="1" applyProtection="1">
      <alignment horizontal="center" vertical="center" wrapText="1"/>
    </xf>
    <xf numFmtId="2" fontId="144" fillId="37" borderId="32" xfId="32" applyNumberFormat="1" applyFont="1" applyFill="1" applyBorder="1" applyAlignment="1" applyProtection="1">
      <alignment horizontal="center" vertical="center" wrapText="1"/>
    </xf>
    <xf numFmtId="0" fontId="144" fillId="37" borderId="62" xfId="32" applyFont="1" applyFill="1" applyBorder="1" applyAlignment="1" applyProtection="1">
      <alignment horizontal="center" vertical="center" wrapText="1"/>
    </xf>
    <xf numFmtId="0" fontId="144" fillId="37" borderId="23" xfId="32" applyFont="1" applyFill="1" applyBorder="1" applyAlignment="1" applyProtection="1">
      <alignment horizontal="center" vertical="center" wrapText="1"/>
    </xf>
    <xf numFmtId="0" fontId="144" fillId="37" borderId="32" xfId="32" applyFont="1" applyFill="1" applyBorder="1" applyAlignment="1" applyProtection="1">
      <alignment horizontal="center" vertical="center" wrapText="1"/>
    </xf>
    <xf numFmtId="0" fontId="144" fillId="37" borderId="7" xfId="32" applyFont="1" applyFill="1" applyBorder="1" applyAlignment="1" applyProtection="1">
      <alignment horizontal="center" vertical="center"/>
    </xf>
    <xf numFmtId="1" fontId="159" fillId="38" borderId="7" xfId="21" applyFont="1" applyFill="1" applyBorder="1" applyAlignment="1" applyProtection="1">
      <alignment horizontal="center" vertical="center" wrapText="1"/>
    </xf>
    <xf numFmtId="3" fontId="159" fillId="37" borderId="7" xfId="32" applyNumberFormat="1" applyFont="1" applyFill="1" applyBorder="1" applyAlignment="1" applyProtection="1">
      <alignment horizontal="center" vertical="center"/>
    </xf>
    <xf numFmtId="0" fontId="159" fillId="37" borderId="7" xfId="32" applyFont="1" applyFill="1" applyBorder="1" applyAlignment="1" applyProtection="1">
      <alignment horizontal="center" vertical="center"/>
    </xf>
    <xf numFmtId="0" fontId="46" fillId="37" borderId="63" xfId="0" applyFont="1" applyFill="1" applyBorder="1" applyAlignment="1" applyProtection="1">
      <alignment horizontal="center" vertical="center"/>
    </xf>
    <xf numFmtId="0" fontId="46" fillId="37" borderId="31" xfId="0" applyFont="1" applyFill="1" applyBorder="1" applyAlignment="1" applyProtection="1">
      <alignment horizontal="center" vertical="center"/>
    </xf>
    <xf numFmtId="0" fontId="46" fillId="37" borderId="62" xfId="0" applyFont="1" applyFill="1" applyBorder="1" applyAlignment="1" applyProtection="1">
      <alignment horizontal="center" vertical="center"/>
    </xf>
    <xf numFmtId="0" fontId="46" fillId="37" borderId="23" xfId="0" applyFont="1" applyFill="1" applyBorder="1" applyAlignment="1" applyProtection="1">
      <alignment horizontal="center" vertical="center"/>
    </xf>
    <xf numFmtId="0" fontId="46" fillId="37" borderId="32" xfId="0" applyFont="1" applyFill="1" applyBorder="1" applyAlignment="1" applyProtection="1">
      <alignment horizontal="center" vertical="center"/>
    </xf>
    <xf numFmtId="3" fontId="46" fillId="37" borderId="62" xfId="0" applyNumberFormat="1" applyFont="1" applyFill="1" applyBorder="1" applyAlignment="1" applyProtection="1">
      <alignment horizontal="center" vertical="center"/>
    </xf>
    <xf numFmtId="3" fontId="46" fillId="37" borderId="23" xfId="0" applyNumberFormat="1" applyFont="1" applyFill="1" applyBorder="1" applyAlignment="1" applyProtection="1">
      <alignment horizontal="center" vertical="center"/>
    </xf>
    <xf numFmtId="3" fontId="46" fillId="37" borderId="32" xfId="0" applyNumberFormat="1" applyFont="1" applyFill="1" applyBorder="1" applyAlignment="1" applyProtection="1">
      <alignment horizontal="center" vertical="center"/>
    </xf>
    <xf numFmtId="3" fontId="144" fillId="37" borderId="7" xfId="49" applyNumberFormat="1" applyFont="1" applyFill="1" applyBorder="1" applyAlignment="1" applyProtection="1">
      <alignment horizontal="center" vertical="center" wrapText="1"/>
    </xf>
    <xf numFmtId="3" fontId="144" fillId="37" borderId="63" xfId="49" applyNumberFormat="1" applyFont="1" applyFill="1" applyBorder="1" applyAlignment="1" applyProtection="1">
      <alignment horizontal="center" vertical="center" wrapText="1"/>
    </xf>
    <xf numFmtId="3" fontId="144" fillId="37" borderId="31" xfId="49" applyNumberFormat="1" applyFont="1" applyFill="1" applyBorder="1" applyAlignment="1" applyProtection="1">
      <alignment horizontal="center" vertical="center" wrapText="1"/>
    </xf>
    <xf numFmtId="3" fontId="144" fillId="37" borderId="62" xfId="49" applyNumberFormat="1" applyFont="1" applyFill="1" applyBorder="1" applyAlignment="1" applyProtection="1">
      <alignment horizontal="center" vertical="center" wrapText="1"/>
    </xf>
    <xf numFmtId="3" fontId="144" fillId="37" borderId="23" xfId="49" applyNumberFormat="1" applyFont="1" applyFill="1" applyBorder="1" applyAlignment="1" applyProtection="1">
      <alignment horizontal="center" vertical="center" wrapText="1"/>
    </xf>
    <xf numFmtId="3" fontId="144" fillId="37" borderId="32" xfId="49" applyNumberFormat="1" applyFont="1" applyFill="1" applyBorder="1" applyAlignment="1" applyProtection="1">
      <alignment horizontal="center" vertical="center" wrapText="1"/>
    </xf>
    <xf numFmtId="0" fontId="144" fillId="0" borderId="7" xfId="0" applyFont="1" applyBorder="1" applyAlignment="1">
      <alignment horizontal="left" vertical="center"/>
    </xf>
    <xf numFmtId="3" fontId="144" fillId="37" borderId="7" xfId="49" applyNumberFormat="1" applyFont="1" applyFill="1" applyBorder="1" applyAlignment="1">
      <alignment horizontal="center" vertical="center" wrapText="1"/>
    </xf>
    <xf numFmtId="0" fontId="144" fillId="37" borderId="7" xfId="49" applyFont="1" applyFill="1" applyBorder="1" applyAlignment="1" applyProtection="1">
      <alignment horizontal="center" vertical="center" wrapText="1"/>
    </xf>
    <xf numFmtId="0" fontId="144" fillId="37" borderId="7" xfId="49" applyFont="1" applyFill="1" applyBorder="1" applyAlignment="1">
      <alignment horizontal="center" vertical="center" wrapText="1"/>
    </xf>
    <xf numFmtId="0" fontId="144" fillId="0" borderId="7" xfId="0" applyFont="1" applyBorder="1" applyAlignment="1" applyProtection="1">
      <alignment horizontal="left" vertical="center"/>
    </xf>
    <xf numFmtId="0" fontId="144" fillId="0" borderId="62" xfId="0" applyFont="1" applyBorder="1" applyAlignment="1" applyProtection="1">
      <alignment horizontal="left" vertical="center"/>
    </xf>
    <xf numFmtId="0" fontId="144" fillId="0" borderId="23" xfId="0" applyFont="1" applyBorder="1" applyAlignment="1" applyProtection="1">
      <alignment horizontal="left" vertical="center"/>
    </xf>
    <xf numFmtId="0" fontId="144" fillId="0" borderId="32" xfId="0" applyFont="1" applyBorder="1" applyAlignment="1" applyProtection="1">
      <alignment horizontal="left" vertical="center"/>
    </xf>
  </cellXfs>
  <cellStyles count="93">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3" xfId="65"/>
    <cellStyle name="Normal 6 2 3 2" xfId="76"/>
    <cellStyle name="Normal 6 2 4" xfId="72"/>
    <cellStyle name="Normal 6 2 5" xfId="81"/>
    <cellStyle name="Normal 6 2 5 2" xfId="91"/>
    <cellStyle name="Normal 6 2_2. Променливи" xfId="68"/>
    <cellStyle name="Normal 6 3" xfId="57"/>
    <cellStyle name="Normal 6 3 2" xfId="73"/>
    <cellStyle name="Normal 6 3 3" xfId="90"/>
    <cellStyle name="Normal 6 4" xfId="64"/>
    <cellStyle name="Normal 6 4 2" xfId="75"/>
    <cellStyle name="Normal 6 5" xfId="71"/>
    <cellStyle name="Normal 6 6" xfId="80"/>
    <cellStyle name="Normal 6_2. Променливи" xfId="67"/>
    <cellStyle name="Normal 7" xfId="53"/>
    <cellStyle name="Normal 7 2" xfId="84"/>
    <cellStyle name="Normal 8" xfId="79"/>
    <cellStyle name="Normal 8 2" xfId="88"/>
    <cellStyle name="Normal 9" xfId="85"/>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Sheet Title" xfId="36"/>
    <cellStyle name="White" xfId="37"/>
    <cellStyle name="Zaglavie" xfId="38"/>
    <cellStyle name="Запетая 2" xfId="62"/>
    <cellStyle name="Нормален 3" xfId="39"/>
    <cellStyle name="Процент 2" xfId="63"/>
    <cellStyle name="Процент 3" xfId="69"/>
  </cellStyles>
  <dxfs count="3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E8E8E8"/>
      <color rgb="FFFFFFCC"/>
      <color rgb="FFFF99FF"/>
      <color rgb="FFCCFFCC"/>
      <color rgb="FFFF8080"/>
      <color rgb="FFBCF6C6"/>
      <color rgb="FF3399FF"/>
      <color rgb="FFFF33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c\VIK-Transfer\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c\VIK-Transfer\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1"/>
  <sheetViews>
    <sheetView showGridLines="0" view="pageBreakPreview" topLeftCell="A7" zoomScale="70" zoomScaleNormal="70" zoomScaleSheetLayoutView="70" zoomScalePageLayoutView="80" workbookViewId="0">
      <selection activeCell="C43" sqref="C43:D43"/>
    </sheetView>
  </sheetViews>
  <sheetFormatPr defaultColWidth="9.140625" defaultRowHeight="15.75"/>
  <cols>
    <col min="1" max="1" width="6.7109375" style="1629" customWidth="1"/>
    <col min="2" max="2" width="37.28515625" style="1629" customWidth="1"/>
    <col min="3" max="3" width="49.5703125" style="1629" customWidth="1"/>
    <col min="4" max="4" width="55.140625" style="1629" customWidth="1"/>
    <col min="5" max="5" width="15.28515625" style="1629" customWidth="1"/>
    <col min="6" max="6" width="19" style="1629" customWidth="1"/>
    <col min="7" max="7" width="21.140625" style="1629" bestFit="1" customWidth="1"/>
    <col min="8" max="8" width="15" style="1629" customWidth="1"/>
    <col min="9" max="16384" width="9.140625" style="1629"/>
  </cols>
  <sheetData>
    <row r="2" spans="1:5" ht="18.75">
      <c r="A2" s="4959" t="s">
        <v>85</v>
      </c>
      <c r="B2" s="4959"/>
      <c r="C2" s="4959"/>
      <c r="D2" s="4959"/>
      <c r="E2" s="3953"/>
    </row>
    <row r="3" spans="1:5" ht="21.75" customHeight="1">
      <c r="A3" s="4960" t="str">
        <f>"на "&amp;C8&amp;", гр. "&amp;C9</f>
        <v>на "ВОДОСНАБДЯВАНЕ И КАНАЛИЗАЦИЯ" ЕООД, гр. БЛАГОЕВГРАД</v>
      </c>
      <c r="B3" s="4960"/>
      <c r="C3" s="4960"/>
      <c r="D3" s="4960"/>
      <c r="E3" s="3954"/>
    </row>
    <row r="4" spans="1:5" ht="20.25" customHeight="1">
      <c r="A4" s="4960" t="str">
        <f>"ЕИК по БУЛСТАТ: " &amp;C10</f>
        <v>ЕИК по БУЛСТАТ: 811047831</v>
      </c>
      <c r="B4" s="4960"/>
      <c r="C4" s="4960"/>
      <c r="D4" s="4960"/>
      <c r="E4" s="3954"/>
    </row>
    <row r="5" spans="1:5" ht="16.5" thickBot="1"/>
    <row r="6" spans="1:5">
      <c r="A6" s="4961" t="s">
        <v>1</v>
      </c>
      <c r="B6" s="4963" t="s">
        <v>86</v>
      </c>
      <c r="C6" s="4964"/>
      <c r="D6" s="4965"/>
    </row>
    <row r="7" spans="1:5" ht="16.5" thickBot="1">
      <c r="A7" s="4962"/>
      <c r="B7" s="1630" t="s">
        <v>87</v>
      </c>
      <c r="C7" s="4966" t="s">
        <v>88</v>
      </c>
      <c r="D7" s="4967"/>
    </row>
    <row r="8" spans="1:5">
      <c r="A8" s="1631">
        <v>1</v>
      </c>
      <c r="B8" s="1632" t="s">
        <v>89</v>
      </c>
      <c r="C8" s="4968" t="s">
        <v>1942</v>
      </c>
      <c r="D8" s="4969"/>
    </row>
    <row r="9" spans="1:5">
      <c r="A9" s="1633" t="s">
        <v>90</v>
      </c>
      <c r="B9" s="1634" t="s">
        <v>92</v>
      </c>
      <c r="C9" s="4957" t="s">
        <v>1943</v>
      </c>
      <c r="D9" s="4958"/>
    </row>
    <row r="10" spans="1:5">
      <c r="A10" s="1633" t="s">
        <v>91</v>
      </c>
      <c r="B10" s="1634" t="s">
        <v>94</v>
      </c>
      <c r="C10" s="4957" t="s">
        <v>1944</v>
      </c>
      <c r="D10" s="4958"/>
    </row>
    <row r="11" spans="1:5" ht="16.5" thickBot="1">
      <c r="A11" s="1635" t="s">
        <v>95</v>
      </c>
      <c r="B11" s="1636" t="s">
        <v>1282</v>
      </c>
      <c r="C11" s="4940"/>
      <c r="D11" s="4941"/>
    </row>
    <row r="12" spans="1:5" ht="20.25" thickBot="1">
      <c r="A12" s="3924" t="s">
        <v>96</v>
      </c>
      <c r="B12" s="782" t="s">
        <v>1741</v>
      </c>
      <c r="C12" s="4942" t="s">
        <v>1064</v>
      </c>
      <c r="D12" s="4943"/>
    </row>
    <row r="13" spans="1:5">
      <c r="A13" s="4950" t="s">
        <v>97</v>
      </c>
      <c r="B13" s="4952" t="s">
        <v>98</v>
      </c>
      <c r="C13" s="4955" t="s">
        <v>1066</v>
      </c>
      <c r="D13" s="4956"/>
    </row>
    <row r="14" spans="1:5">
      <c r="A14" s="4935"/>
      <c r="B14" s="4953"/>
      <c r="C14" s="4944" t="s">
        <v>1777</v>
      </c>
      <c r="D14" s="4945"/>
    </row>
    <row r="15" spans="1:5">
      <c r="A15" s="4935"/>
      <c r="B15" s="4953"/>
      <c r="C15" s="4944" t="s">
        <v>1778</v>
      </c>
      <c r="D15" s="4945"/>
    </row>
    <row r="16" spans="1:5">
      <c r="A16" s="4935"/>
      <c r="B16" s="4953"/>
      <c r="C16" s="4944" t="s">
        <v>1779</v>
      </c>
      <c r="D16" s="4945"/>
    </row>
    <row r="17" spans="1:4">
      <c r="A17" s="4935"/>
      <c r="B17" s="4953"/>
      <c r="C17" s="4944" t="s">
        <v>1780</v>
      </c>
      <c r="D17" s="4945"/>
    </row>
    <row r="18" spans="1:4" ht="16.5" thickBot="1">
      <c r="A18" s="4951"/>
      <c r="B18" s="4954"/>
      <c r="C18" s="4946" t="s">
        <v>1781</v>
      </c>
      <c r="D18" s="4947"/>
    </row>
    <row r="19" spans="1:4" ht="16.5" thickBot="1">
      <c r="A19" s="1631" t="s">
        <v>99</v>
      </c>
      <c r="B19" s="1637" t="s">
        <v>690</v>
      </c>
      <c r="C19" s="4948" t="s">
        <v>1945</v>
      </c>
      <c r="D19" s="4949"/>
    </row>
    <row r="20" spans="1:4" s="1662" customFormat="1" ht="16.5" thickBot="1">
      <c r="A20" s="1638" t="s">
        <v>100</v>
      </c>
      <c r="B20" s="1639" t="s">
        <v>1283</v>
      </c>
      <c r="C20" s="1640"/>
      <c r="D20" s="1641"/>
    </row>
    <row r="21" spans="1:4" s="1662" customFormat="1">
      <c r="A21" s="27" t="s">
        <v>101</v>
      </c>
      <c r="B21" s="762" t="s">
        <v>157</v>
      </c>
      <c r="C21" s="4938" t="s">
        <v>1946</v>
      </c>
      <c r="D21" s="4939"/>
    </row>
    <row r="22" spans="1:4" s="1662" customFormat="1">
      <c r="A22" s="28" t="s">
        <v>102</v>
      </c>
      <c r="B22" s="763" t="s">
        <v>158</v>
      </c>
      <c r="C22" s="357"/>
      <c r="D22" s="358"/>
    </row>
    <row r="23" spans="1:4" s="1662" customFormat="1">
      <c r="A23" s="28" t="s">
        <v>1275</v>
      </c>
      <c r="B23" s="1642" t="s">
        <v>691</v>
      </c>
      <c r="C23" s="4930" t="s">
        <v>1947</v>
      </c>
      <c r="D23" s="4931"/>
    </row>
    <row r="24" spans="1:4" s="1662" customFormat="1">
      <c r="A24" s="28"/>
      <c r="B24" s="1643" t="s">
        <v>160</v>
      </c>
      <c r="C24" s="4930" t="s">
        <v>1948</v>
      </c>
      <c r="D24" s="4931"/>
    </row>
    <row r="25" spans="1:4" s="1662" customFormat="1">
      <c r="A25" s="28"/>
      <c r="B25" s="1643" t="s">
        <v>161</v>
      </c>
      <c r="C25" s="4930"/>
      <c r="D25" s="4931"/>
    </row>
    <row r="26" spans="1:4" s="1662" customFormat="1">
      <c r="A26" s="28"/>
      <c r="B26" s="1643" t="s">
        <v>162</v>
      </c>
      <c r="C26" s="4930"/>
      <c r="D26" s="4931"/>
    </row>
    <row r="27" spans="1:4" s="1662" customFormat="1">
      <c r="A27" s="28"/>
      <c r="B27" s="1643" t="s">
        <v>163</v>
      </c>
      <c r="C27" s="4930" t="s">
        <v>1949</v>
      </c>
      <c r="D27" s="4931"/>
    </row>
    <row r="28" spans="1:4" s="1662" customFormat="1">
      <c r="A28" s="28" t="s">
        <v>1276</v>
      </c>
      <c r="B28" s="1642" t="s">
        <v>692</v>
      </c>
      <c r="C28" s="4930" t="s">
        <v>1950</v>
      </c>
      <c r="D28" s="4931"/>
    </row>
    <row r="29" spans="1:4" s="1662" customFormat="1">
      <c r="A29" s="28"/>
      <c r="B29" s="1643" t="s">
        <v>160</v>
      </c>
      <c r="C29" s="4930"/>
      <c r="D29" s="4931"/>
    </row>
    <row r="30" spans="1:4" s="1662" customFormat="1">
      <c r="A30" s="28"/>
      <c r="B30" s="1643" t="s">
        <v>161</v>
      </c>
      <c r="C30" s="4930" t="s">
        <v>1951</v>
      </c>
      <c r="D30" s="4931"/>
    </row>
    <row r="31" spans="1:4" s="1662" customFormat="1">
      <c r="A31" s="28"/>
      <c r="B31" s="1643" t="s">
        <v>162</v>
      </c>
      <c r="C31" s="4930"/>
      <c r="D31" s="4931"/>
    </row>
    <row r="32" spans="1:4" s="1662" customFormat="1">
      <c r="A32" s="28"/>
      <c r="B32" s="1643" t="s">
        <v>163</v>
      </c>
      <c r="C32" s="4930" t="s">
        <v>1952</v>
      </c>
      <c r="D32" s="4931"/>
    </row>
    <row r="33" spans="1:4" s="1662" customFormat="1">
      <c r="A33" s="28" t="s">
        <v>1277</v>
      </c>
      <c r="B33" s="1642" t="s">
        <v>693</v>
      </c>
      <c r="C33" s="4930" t="s">
        <v>1953</v>
      </c>
      <c r="D33" s="4931"/>
    </row>
    <row r="34" spans="1:4" s="1662" customFormat="1">
      <c r="A34" s="28"/>
      <c r="B34" s="1643" t="s">
        <v>160</v>
      </c>
      <c r="C34" s="4930"/>
      <c r="D34" s="4931"/>
    </row>
    <row r="35" spans="1:4" s="1662" customFormat="1">
      <c r="A35" s="28"/>
      <c r="B35" s="1643" t="s">
        <v>161</v>
      </c>
      <c r="C35" s="4930" t="s">
        <v>1954</v>
      </c>
      <c r="D35" s="4931"/>
    </row>
    <row r="36" spans="1:4" s="1662" customFormat="1">
      <c r="A36" s="28"/>
      <c r="B36" s="1643" t="s">
        <v>162</v>
      </c>
      <c r="C36" s="4930"/>
      <c r="D36" s="4931"/>
    </row>
    <row r="37" spans="1:4" s="1662" customFormat="1">
      <c r="A37" s="28"/>
      <c r="B37" s="1643" t="s">
        <v>163</v>
      </c>
      <c r="C37" s="4930" t="s">
        <v>1955</v>
      </c>
      <c r="D37" s="4931"/>
    </row>
    <row r="38" spans="1:4" s="1662" customFormat="1">
      <c r="A38" s="28" t="s">
        <v>1278</v>
      </c>
      <c r="B38" s="1642" t="s">
        <v>1049</v>
      </c>
      <c r="C38" s="4930" t="s">
        <v>1958</v>
      </c>
      <c r="D38" s="4931"/>
    </row>
    <row r="39" spans="1:4" s="1662" customFormat="1">
      <c r="A39" s="28"/>
      <c r="B39" s="1643" t="s">
        <v>160</v>
      </c>
      <c r="C39" s="4930"/>
      <c r="D39" s="4931"/>
    </row>
    <row r="40" spans="1:4" s="1662" customFormat="1">
      <c r="A40" s="28"/>
      <c r="B40" s="1643" t="s">
        <v>161</v>
      </c>
      <c r="C40" s="4930" t="s">
        <v>1959</v>
      </c>
      <c r="D40" s="4931"/>
    </row>
    <row r="41" spans="1:4" s="1662" customFormat="1">
      <c r="A41" s="28"/>
      <c r="B41" s="1643" t="s">
        <v>162</v>
      </c>
      <c r="C41" s="4930"/>
      <c r="D41" s="4931"/>
    </row>
    <row r="42" spans="1:4" s="1662" customFormat="1">
      <c r="A42" s="28"/>
      <c r="B42" s="1643" t="s">
        <v>163</v>
      </c>
      <c r="C42" s="4930" t="s">
        <v>1956</v>
      </c>
      <c r="D42" s="4931"/>
    </row>
    <row r="43" spans="1:4" s="1662" customFormat="1">
      <c r="A43" s="28" t="s">
        <v>1279</v>
      </c>
      <c r="B43" s="1642" t="s">
        <v>165</v>
      </c>
      <c r="C43" s="4930" t="s">
        <v>1957</v>
      </c>
      <c r="D43" s="4931"/>
    </row>
    <row r="44" spans="1:4" s="1662" customFormat="1">
      <c r="A44" s="28"/>
      <c r="B44" s="1643" t="s">
        <v>160</v>
      </c>
      <c r="C44" s="4930" t="s">
        <v>1960</v>
      </c>
      <c r="D44" s="4931"/>
    </row>
    <row r="45" spans="1:4" s="1662" customFormat="1">
      <c r="A45" s="28"/>
      <c r="B45" s="1643" t="s">
        <v>162</v>
      </c>
      <c r="C45" s="4930"/>
      <c r="D45" s="4931"/>
    </row>
    <row r="46" spans="1:4" s="1662" customFormat="1" ht="16.5" thickBot="1">
      <c r="A46" s="1644"/>
      <c r="B46" s="1645" t="s">
        <v>163</v>
      </c>
      <c r="C46" s="4930" t="s">
        <v>1949</v>
      </c>
      <c r="D46" s="4931"/>
    </row>
    <row r="47" spans="1:4">
      <c r="A47" s="1646" t="s">
        <v>104</v>
      </c>
      <c r="B47" s="1647" t="s">
        <v>1284</v>
      </c>
      <c r="C47" s="4920"/>
      <c r="D47" s="4921"/>
    </row>
    <row r="48" spans="1:4">
      <c r="A48" s="19" t="s">
        <v>105</v>
      </c>
      <c r="B48" s="609" t="s">
        <v>106</v>
      </c>
      <c r="C48" s="4918" t="s">
        <v>107</v>
      </c>
      <c r="D48" s="4919"/>
    </row>
    <row r="49" spans="1:4">
      <c r="A49" s="3920"/>
      <c r="B49" s="3921" t="s">
        <v>108</v>
      </c>
      <c r="C49" s="4916" t="s">
        <v>1191</v>
      </c>
      <c r="D49" s="4917"/>
    </row>
    <row r="50" spans="1:4">
      <c r="A50" s="19" t="s">
        <v>109</v>
      </c>
      <c r="B50" s="609" t="s">
        <v>110</v>
      </c>
      <c r="C50" s="4918" t="s">
        <v>111</v>
      </c>
      <c r="D50" s="4919"/>
    </row>
    <row r="51" spans="1:4">
      <c r="A51" s="4934"/>
      <c r="B51" s="4924" t="s">
        <v>108</v>
      </c>
      <c r="C51" s="4916" t="s">
        <v>344</v>
      </c>
      <c r="D51" s="4917"/>
    </row>
    <row r="52" spans="1:4">
      <c r="A52" s="4935"/>
      <c r="B52" s="4925"/>
      <c r="C52" s="4916" t="s">
        <v>345</v>
      </c>
      <c r="D52" s="4917"/>
    </row>
    <row r="53" spans="1:4">
      <c r="A53" s="4935"/>
      <c r="B53" s="4925"/>
      <c r="C53" s="4936" t="s">
        <v>1014</v>
      </c>
      <c r="D53" s="4937"/>
    </row>
    <row r="54" spans="1:4">
      <c r="A54" s="3923"/>
      <c r="B54" s="4925"/>
      <c r="C54" s="4922" t="s">
        <v>1412</v>
      </c>
      <c r="D54" s="4923"/>
    </row>
    <row r="55" spans="1:4">
      <c r="A55" s="3923"/>
      <c r="B55" s="4925"/>
      <c r="C55" s="4922" t="s">
        <v>1192</v>
      </c>
      <c r="D55" s="4923"/>
    </row>
    <row r="56" spans="1:4">
      <c r="A56" s="3923"/>
      <c r="B56" s="4925"/>
      <c r="C56" s="1648" t="s">
        <v>553</v>
      </c>
      <c r="D56" s="3919"/>
    </row>
    <row r="57" spans="1:4">
      <c r="A57" s="3923"/>
      <c r="B57" s="4925"/>
      <c r="C57" s="4916" t="s">
        <v>1004</v>
      </c>
      <c r="D57" s="4917"/>
    </row>
    <row r="58" spans="1:4">
      <c r="A58" s="3923"/>
      <c r="B58" s="4925"/>
      <c r="C58" s="4916" t="s">
        <v>651</v>
      </c>
      <c r="D58" s="4917"/>
    </row>
    <row r="59" spans="1:4">
      <c r="A59" s="3923"/>
      <c r="B59" s="4933"/>
      <c r="C59" s="4916" t="s">
        <v>602</v>
      </c>
      <c r="D59" s="4917"/>
    </row>
    <row r="60" spans="1:4">
      <c r="A60" s="19" t="s">
        <v>83</v>
      </c>
      <c r="B60" s="609" t="s">
        <v>112</v>
      </c>
      <c r="C60" s="4918" t="s">
        <v>113</v>
      </c>
      <c r="D60" s="4919"/>
    </row>
    <row r="61" spans="1:4">
      <c r="A61" s="4926"/>
      <c r="B61" s="4924" t="s">
        <v>108</v>
      </c>
      <c r="C61" s="4916" t="s">
        <v>603</v>
      </c>
      <c r="D61" s="4917"/>
    </row>
    <row r="62" spans="1:4">
      <c r="A62" s="4932"/>
      <c r="B62" s="4925"/>
      <c r="C62" s="4916" t="s">
        <v>604</v>
      </c>
      <c r="D62" s="4917"/>
    </row>
    <row r="63" spans="1:4">
      <c r="A63" s="4932"/>
      <c r="B63" s="4925"/>
      <c r="C63" s="4916" t="s">
        <v>605</v>
      </c>
      <c r="D63" s="4917"/>
    </row>
    <row r="64" spans="1:4">
      <c r="A64" s="4932"/>
      <c r="B64" s="4925"/>
      <c r="C64" s="4916" t="s">
        <v>1475</v>
      </c>
      <c r="D64" s="4917"/>
    </row>
    <row r="65" spans="1:4">
      <c r="A65" s="4932"/>
      <c r="B65" s="4925"/>
      <c r="C65" s="4916" t="s">
        <v>1510</v>
      </c>
      <c r="D65" s="4917"/>
    </row>
    <row r="66" spans="1:4">
      <c r="A66" s="4932"/>
      <c r="B66" s="4925"/>
      <c r="C66" s="4916" t="s">
        <v>1940</v>
      </c>
      <c r="D66" s="4917"/>
    </row>
    <row r="67" spans="1:4">
      <c r="A67" s="4932"/>
      <c r="B67" s="4925"/>
      <c r="C67" s="4928" t="s">
        <v>609</v>
      </c>
      <c r="D67" s="4929"/>
    </row>
    <row r="68" spans="1:4">
      <c r="A68" s="4932"/>
      <c r="B68" s="4925"/>
      <c r="C68" s="4928" t="s">
        <v>1742</v>
      </c>
      <c r="D68" s="4929"/>
    </row>
    <row r="69" spans="1:4" ht="32.25" customHeight="1">
      <c r="A69" s="4927"/>
      <c r="B69" s="4933"/>
      <c r="C69" s="4928" t="s">
        <v>1508</v>
      </c>
      <c r="D69" s="4929"/>
    </row>
    <row r="70" spans="1:4">
      <c r="A70" s="19" t="s">
        <v>84</v>
      </c>
      <c r="B70" s="609" t="s">
        <v>114</v>
      </c>
      <c r="C70" s="4918" t="s">
        <v>115</v>
      </c>
      <c r="D70" s="4919"/>
    </row>
    <row r="71" spans="1:4">
      <c r="A71" s="19"/>
      <c r="B71" s="3922" t="s">
        <v>108</v>
      </c>
      <c r="C71" s="4916" t="s">
        <v>610</v>
      </c>
      <c r="D71" s="4917"/>
    </row>
    <row r="72" spans="1:4">
      <c r="A72" s="19" t="s">
        <v>1280</v>
      </c>
      <c r="B72" s="609" t="s">
        <v>341</v>
      </c>
      <c r="C72" s="4918" t="s">
        <v>554</v>
      </c>
      <c r="D72" s="4919"/>
    </row>
    <row r="73" spans="1:4">
      <c r="A73" s="4926"/>
      <c r="B73" s="4924" t="s">
        <v>108</v>
      </c>
      <c r="C73" s="4916" t="s">
        <v>611</v>
      </c>
      <c r="D73" s="4917"/>
    </row>
    <row r="74" spans="1:4">
      <c r="A74" s="4927"/>
      <c r="B74" s="4925"/>
      <c r="C74" s="4916" t="s">
        <v>612</v>
      </c>
      <c r="D74" s="4917"/>
    </row>
    <row r="75" spans="1:4">
      <c r="A75" s="19" t="s">
        <v>1281</v>
      </c>
      <c r="B75" s="609" t="s">
        <v>343</v>
      </c>
      <c r="C75" s="4918" t="s">
        <v>342</v>
      </c>
      <c r="D75" s="4919"/>
    </row>
    <row r="76" spans="1:4">
      <c r="A76" s="4926"/>
      <c r="B76" s="4924" t="s">
        <v>108</v>
      </c>
      <c r="C76" s="1648" t="s">
        <v>613</v>
      </c>
      <c r="D76" s="3919"/>
    </row>
    <row r="77" spans="1:4">
      <c r="A77" s="4932"/>
      <c r="B77" s="4925"/>
      <c r="C77" s="1648" t="s">
        <v>614</v>
      </c>
      <c r="D77" s="3919"/>
    </row>
    <row r="78" spans="1:4">
      <c r="A78" s="4932"/>
      <c r="B78" s="4925"/>
      <c r="C78" s="1648" t="s">
        <v>615</v>
      </c>
      <c r="D78" s="3919"/>
    </row>
    <row r="79" spans="1:4">
      <c r="A79" s="4932"/>
      <c r="B79" s="4925"/>
      <c r="C79" s="1648" t="s">
        <v>1005</v>
      </c>
      <c r="D79" s="3919"/>
    </row>
    <row r="80" spans="1:4" ht="18.75" customHeight="1">
      <c r="A80" s="4927"/>
      <c r="B80" s="4933"/>
      <c r="C80" s="4916" t="s">
        <v>1413</v>
      </c>
      <c r="D80" s="4917"/>
    </row>
    <row r="82" spans="1:5">
      <c r="B82" s="1649" t="str">
        <f>"Дата: "&amp;C19</f>
        <v>Дата: 15.04.2026 г.</v>
      </c>
      <c r="C82" s="1650"/>
      <c r="D82" s="1651"/>
    </row>
    <row r="83" spans="1:5">
      <c r="D83" s="1652"/>
    </row>
    <row r="84" spans="1:5">
      <c r="D84" s="1653"/>
    </row>
    <row r="85" spans="1:5" ht="15.75" customHeight="1">
      <c r="A85" s="4915" t="s">
        <v>1941</v>
      </c>
      <c r="B85" s="4915"/>
      <c r="C85" s="4915"/>
      <c r="D85" s="4915"/>
    </row>
    <row r="86" spans="1:5">
      <c r="A86" s="4915"/>
      <c r="B86" s="4915"/>
      <c r="C86" s="4915"/>
      <c r="D86" s="4915"/>
    </row>
    <row r="87" spans="1:5">
      <c r="D87" s="1652"/>
      <c r="E87" s="3955"/>
    </row>
    <row r="88" spans="1:5" hidden="1">
      <c r="C88" s="1654"/>
      <c r="D88" s="1655"/>
    </row>
    <row r="89" spans="1:5">
      <c r="A89" s="1656" t="s">
        <v>555</v>
      </c>
      <c r="C89" s="1657"/>
      <c r="D89" s="1658"/>
    </row>
    <row r="90" spans="1:5" s="1658" customFormat="1">
      <c r="A90" s="1659" t="s">
        <v>188</v>
      </c>
      <c r="B90" s="1660"/>
      <c r="C90" s="1657"/>
      <c r="D90" s="1661"/>
    </row>
    <row r="91" spans="1:5" s="3956" customFormat="1">
      <c r="B91" s="3957"/>
      <c r="C91" s="1629"/>
      <c r="D91" s="1629"/>
      <c r="E91" s="3958"/>
    </row>
  </sheetData>
  <sheetProtection algorithmName="SHA-512" hashValue="QLwn4P86K0X1cYnp2aXnHA5altilmROq/p9kMNHdfB4aK5a0dhZuRZ2sVGMnr7NQ+ZcpBwYhoavBDX3+Y+UdBw==" saltValue="yJa9TYXOqGLkEV6IsaqUcA==" spinCount="100000" sheet="1" formatCells="0" formatColumns="0" formatRows="0"/>
  <mergeCells count="83">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63:D63"/>
    <mergeCell ref="C64:D64"/>
    <mergeCell ref="C65:D65"/>
    <mergeCell ref="A61:A69"/>
    <mergeCell ref="C21:D21"/>
    <mergeCell ref="C23:D23"/>
    <mergeCell ref="C24:D24"/>
    <mergeCell ref="C25:D25"/>
    <mergeCell ref="C26:D26"/>
    <mergeCell ref="C30:D30"/>
    <mergeCell ref="C31:D31"/>
    <mergeCell ref="C32:D32"/>
    <mergeCell ref="C27:D27"/>
    <mergeCell ref="C28:D28"/>
    <mergeCell ref="C29:D29"/>
    <mergeCell ref="C42:D42"/>
    <mergeCell ref="A76:A80"/>
    <mergeCell ref="B76:B80"/>
    <mergeCell ref="A51:A53"/>
    <mergeCell ref="B51:B59"/>
    <mergeCell ref="C60:D60"/>
    <mergeCell ref="C70:D70"/>
    <mergeCell ref="C52:D52"/>
    <mergeCell ref="C53:D53"/>
    <mergeCell ref="C57:D57"/>
    <mergeCell ref="C58:D58"/>
    <mergeCell ref="C59:D59"/>
    <mergeCell ref="C61:D61"/>
    <mergeCell ref="C62:D62"/>
    <mergeCell ref="C74:D74"/>
    <mergeCell ref="B61:B69"/>
    <mergeCell ref="C69:D69"/>
    <mergeCell ref="C40:D40"/>
    <mergeCell ref="C41:D41"/>
    <mergeCell ref="C38:D38"/>
    <mergeCell ref="C33:D33"/>
    <mergeCell ref="C34:D34"/>
    <mergeCell ref="C35:D35"/>
    <mergeCell ref="C36:D36"/>
    <mergeCell ref="C37:D37"/>
    <mergeCell ref="C39:D39"/>
    <mergeCell ref="C45:D45"/>
    <mergeCell ref="C46:D46"/>
    <mergeCell ref="C51:D51"/>
    <mergeCell ref="C49:D49"/>
    <mergeCell ref="C43:D43"/>
    <mergeCell ref="C44:D44"/>
    <mergeCell ref="A85:D86"/>
    <mergeCell ref="C80:D80"/>
    <mergeCell ref="C75:D75"/>
    <mergeCell ref="C47:D47"/>
    <mergeCell ref="C48:D48"/>
    <mergeCell ref="C50:D50"/>
    <mergeCell ref="C55:D55"/>
    <mergeCell ref="C66:D66"/>
    <mergeCell ref="B73:B74"/>
    <mergeCell ref="C54:D54"/>
    <mergeCell ref="A73:A74"/>
    <mergeCell ref="C72:D72"/>
    <mergeCell ref="C67:D67"/>
    <mergeCell ref="C68:D68"/>
    <mergeCell ref="C71:D71"/>
    <mergeCell ref="C73:D73"/>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7:D77" location="'11.РБА'!A1" display="Справка № 11  - Регулаторна база на активите"/>
    <hyperlink ref="C76:D76" location="'10.Необходими приходи'!A1" display="Справка № 10  - Необходими приходи"/>
    <hyperlink ref="C78:D78" location="'13.HB'!A1" display="Справка № 12  - Оборотен капитал"/>
    <hyperlink ref="C79:D79" location="'13.HB'!A1" display="Справка № 13  - Необходима възвръщаемост"/>
    <hyperlink ref="C62" location="'10. Финансиране на ИП'!A1" display="Справка № 10 - Инвестиции и източници на финансиране"/>
    <hyperlink ref="C71" location="'13. Соц. поносимост'!A1" display="Справка № 12 - Анализ на социалната поносимост на предлаганите цени"/>
    <hyperlink ref="C77" location="'17. РБА'!A1" display="Справка № 16  - Регулаторна база на активите"/>
    <hyperlink ref="C76" location="'16. Необходими приходи'!A1" display="Справка № 15  - Необходими приходи"/>
    <hyperlink ref="C78" location="'18. OK'!A1" display="Справка № 17  - Оборотен капитал"/>
    <hyperlink ref="C79" location="'19. HB'!A1" display="Справка № 18  - Необходима възвръщаемост"/>
    <hyperlink ref="C80"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3" location="'14. ОПР'!A1" display="Справка № 13  - Прогнозен отчет за приходите и разходите"/>
    <hyperlink ref="C74"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7" location="'12. Разходи'!A1" display="Справка № 12 - Годишни разходи"/>
    <hyperlink ref="C68"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9" location="'12.1.Разходи-увелич.и нам.'!A1" display="Справка № 12.1 - Изменения на годишните разходи спрямо отчетната година"/>
    <hyperlink ref="C69:D69"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8:D68" location="'12.1. Разходи изменение'!Print_Area" display="Справка № 12.1. - Изменения на годишните разходи спрямо базовата година"/>
    <hyperlink ref="C80:D80" location="'20.Цени '!A1" display="Справка № 20  - Цени за регулирани услуги"/>
    <hyperlink ref="C66" location="'11.2. Нови активи отч.год.'!A1" display="Справка № 11.2 - Новопродобити активи през отчетната година"/>
    <hyperlink ref="C66:D66" location="'11.3. ДА Базова година'!A1" display="Справка № 11.3. - Амортизационен план на дълготрайни активи за 2024 г. и 2025 г. "/>
    <hyperlink ref="C65:D65" location="'11.2. ДА за периода'!Print_Area" display="Справка № 11.2. - Дълготрайни активи за периода на бизнес плана"/>
  </hyperlinks>
  <printOptions horizontalCentered="1"/>
  <pageMargins left="0.78740157480314965" right="0.19685039370078741" top="0.39370078740157483" bottom="0.19685039370078741" header="0.78740157480314965" footer="0"/>
  <pageSetup paperSize="9" scale="57"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U51"/>
  <sheetViews>
    <sheetView showGridLines="0" zoomScaleNormal="100" zoomScaleSheetLayoutView="100" workbookViewId="0">
      <pane xSplit="2" ySplit="8" topLeftCell="C21" activePane="bottomRight" state="frozen"/>
      <selection pane="topRight" activeCell="C1" sqref="C1"/>
      <selection pane="bottomLeft" activeCell="A10" sqref="A10"/>
      <selection pane="bottomRight" activeCell="K17" sqref="K17"/>
    </sheetView>
  </sheetViews>
  <sheetFormatPr defaultRowHeight="12.75"/>
  <cols>
    <col min="1" max="1" width="5.28515625" style="2108" customWidth="1"/>
    <col min="2" max="2" width="44.85546875" style="2108" customWidth="1"/>
    <col min="3" max="3" width="10.28515625" style="2108" customWidth="1"/>
    <col min="4" max="11" width="9.7109375" style="4066" customWidth="1"/>
    <col min="12" max="12" width="2.42578125" style="2108" customWidth="1"/>
    <col min="13" max="13" width="11.28515625" style="2108" bestFit="1" customWidth="1"/>
    <col min="14" max="14" width="9.7109375" style="2108" bestFit="1" customWidth="1"/>
    <col min="15" max="257" width="9.140625" style="2108"/>
    <col min="258" max="258" width="5.28515625" style="2108" customWidth="1"/>
    <col min="259" max="259" width="56.42578125" style="2108" customWidth="1"/>
    <col min="260" max="260" width="10.28515625" style="2108" customWidth="1"/>
    <col min="261" max="267" width="10.7109375" style="2108" customWidth="1"/>
    <col min="268" max="268" width="9.140625" style="2108"/>
    <col min="269" max="269" width="11.28515625" style="2108" bestFit="1" customWidth="1"/>
    <col min="270" max="270" width="9.7109375" style="2108" bestFit="1" customWidth="1"/>
    <col min="271" max="513" width="9.140625" style="2108"/>
    <col min="514" max="514" width="5.28515625" style="2108" customWidth="1"/>
    <col min="515" max="515" width="56.42578125" style="2108" customWidth="1"/>
    <col min="516" max="516" width="10.28515625" style="2108" customWidth="1"/>
    <col min="517" max="523" width="10.7109375" style="2108" customWidth="1"/>
    <col min="524" max="524" width="9.140625" style="2108"/>
    <col min="525" max="525" width="11.28515625" style="2108" bestFit="1" customWidth="1"/>
    <col min="526" max="526" width="9.7109375" style="2108" bestFit="1" customWidth="1"/>
    <col min="527" max="769" width="9.140625" style="2108"/>
    <col min="770" max="770" width="5.28515625" style="2108" customWidth="1"/>
    <col min="771" max="771" width="56.42578125" style="2108" customWidth="1"/>
    <col min="772" max="772" width="10.28515625" style="2108" customWidth="1"/>
    <col min="773" max="779" width="10.7109375" style="2108" customWidth="1"/>
    <col min="780" max="780" width="9.140625" style="2108"/>
    <col min="781" max="781" width="11.28515625" style="2108" bestFit="1" customWidth="1"/>
    <col min="782" max="782" width="9.7109375" style="2108" bestFit="1" customWidth="1"/>
    <col min="783" max="1025" width="9.140625" style="2108"/>
    <col min="1026" max="1026" width="5.28515625" style="2108" customWidth="1"/>
    <col min="1027" max="1027" width="56.42578125" style="2108" customWidth="1"/>
    <col min="1028" max="1028" width="10.28515625" style="2108" customWidth="1"/>
    <col min="1029" max="1035" width="10.7109375" style="2108" customWidth="1"/>
    <col min="1036" max="1036" width="9.140625" style="2108"/>
    <col min="1037" max="1037" width="11.28515625" style="2108" bestFit="1" customWidth="1"/>
    <col min="1038" max="1038" width="9.7109375" style="2108" bestFit="1" customWidth="1"/>
    <col min="1039" max="1281" width="9.140625" style="2108"/>
    <col min="1282" max="1282" width="5.28515625" style="2108" customWidth="1"/>
    <col min="1283" max="1283" width="56.42578125" style="2108" customWidth="1"/>
    <col min="1284" max="1284" width="10.28515625" style="2108" customWidth="1"/>
    <col min="1285" max="1291" width="10.7109375" style="2108" customWidth="1"/>
    <col min="1292" max="1292" width="9.140625" style="2108"/>
    <col min="1293" max="1293" width="11.28515625" style="2108" bestFit="1" customWidth="1"/>
    <col min="1294" max="1294" width="9.7109375" style="2108" bestFit="1" customWidth="1"/>
    <col min="1295" max="1537" width="9.140625" style="2108"/>
    <col min="1538" max="1538" width="5.28515625" style="2108" customWidth="1"/>
    <col min="1539" max="1539" width="56.42578125" style="2108" customWidth="1"/>
    <col min="1540" max="1540" width="10.28515625" style="2108" customWidth="1"/>
    <col min="1541" max="1547" width="10.7109375" style="2108" customWidth="1"/>
    <col min="1548" max="1548" width="9.140625" style="2108"/>
    <col min="1549" max="1549" width="11.28515625" style="2108" bestFit="1" customWidth="1"/>
    <col min="1550" max="1550" width="9.7109375" style="2108" bestFit="1" customWidth="1"/>
    <col min="1551" max="1793" width="9.140625" style="2108"/>
    <col min="1794" max="1794" width="5.28515625" style="2108" customWidth="1"/>
    <col min="1795" max="1795" width="56.42578125" style="2108" customWidth="1"/>
    <col min="1796" max="1796" width="10.28515625" style="2108" customWidth="1"/>
    <col min="1797" max="1803" width="10.7109375" style="2108" customWidth="1"/>
    <col min="1804" max="1804" width="9.140625" style="2108"/>
    <col min="1805" max="1805" width="11.28515625" style="2108" bestFit="1" customWidth="1"/>
    <col min="1806" max="1806" width="9.7109375" style="2108" bestFit="1" customWidth="1"/>
    <col min="1807" max="2049" width="9.140625" style="2108"/>
    <col min="2050" max="2050" width="5.28515625" style="2108" customWidth="1"/>
    <col min="2051" max="2051" width="56.42578125" style="2108" customWidth="1"/>
    <col min="2052" max="2052" width="10.28515625" style="2108" customWidth="1"/>
    <col min="2053" max="2059" width="10.7109375" style="2108" customWidth="1"/>
    <col min="2060" max="2060" width="9.140625" style="2108"/>
    <col min="2061" max="2061" width="11.28515625" style="2108" bestFit="1" customWidth="1"/>
    <col min="2062" max="2062" width="9.7109375" style="2108" bestFit="1" customWidth="1"/>
    <col min="2063" max="2305" width="9.140625" style="2108"/>
    <col min="2306" max="2306" width="5.28515625" style="2108" customWidth="1"/>
    <col min="2307" max="2307" width="56.42578125" style="2108" customWidth="1"/>
    <col min="2308" max="2308" width="10.28515625" style="2108" customWidth="1"/>
    <col min="2309" max="2315" width="10.7109375" style="2108" customWidth="1"/>
    <col min="2316" max="2316" width="9.140625" style="2108"/>
    <col min="2317" max="2317" width="11.28515625" style="2108" bestFit="1" customWidth="1"/>
    <col min="2318" max="2318" width="9.7109375" style="2108" bestFit="1" customWidth="1"/>
    <col min="2319" max="2561" width="9.140625" style="2108"/>
    <col min="2562" max="2562" width="5.28515625" style="2108" customWidth="1"/>
    <col min="2563" max="2563" width="56.42578125" style="2108" customWidth="1"/>
    <col min="2564" max="2564" width="10.28515625" style="2108" customWidth="1"/>
    <col min="2565" max="2571" width="10.7109375" style="2108" customWidth="1"/>
    <col min="2572" max="2572" width="9.140625" style="2108"/>
    <col min="2573" max="2573" width="11.28515625" style="2108" bestFit="1" customWidth="1"/>
    <col min="2574" max="2574" width="9.7109375" style="2108" bestFit="1" customWidth="1"/>
    <col min="2575" max="2817" width="9.140625" style="2108"/>
    <col min="2818" max="2818" width="5.28515625" style="2108" customWidth="1"/>
    <col min="2819" max="2819" width="56.42578125" style="2108" customWidth="1"/>
    <col min="2820" max="2820" width="10.28515625" style="2108" customWidth="1"/>
    <col min="2821" max="2827" width="10.7109375" style="2108" customWidth="1"/>
    <col min="2828" max="2828" width="9.140625" style="2108"/>
    <col min="2829" max="2829" width="11.28515625" style="2108" bestFit="1" customWidth="1"/>
    <col min="2830" max="2830" width="9.7109375" style="2108" bestFit="1" customWidth="1"/>
    <col min="2831" max="3073" width="9.140625" style="2108"/>
    <col min="3074" max="3074" width="5.28515625" style="2108" customWidth="1"/>
    <col min="3075" max="3075" width="56.42578125" style="2108" customWidth="1"/>
    <col min="3076" max="3076" width="10.28515625" style="2108" customWidth="1"/>
    <col min="3077" max="3083" width="10.7109375" style="2108" customWidth="1"/>
    <col min="3084" max="3084" width="9.140625" style="2108"/>
    <col min="3085" max="3085" width="11.28515625" style="2108" bestFit="1" customWidth="1"/>
    <col min="3086" max="3086" width="9.7109375" style="2108" bestFit="1" customWidth="1"/>
    <col min="3087" max="3329" width="9.140625" style="2108"/>
    <col min="3330" max="3330" width="5.28515625" style="2108" customWidth="1"/>
    <col min="3331" max="3331" width="56.42578125" style="2108" customWidth="1"/>
    <col min="3332" max="3332" width="10.28515625" style="2108" customWidth="1"/>
    <col min="3333" max="3339" width="10.7109375" style="2108" customWidth="1"/>
    <col min="3340" max="3340" width="9.140625" style="2108"/>
    <col min="3341" max="3341" width="11.28515625" style="2108" bestFit="1" customWidth="1"/>
    <col min="3342" max="3342" width="9.7109375" style="2108" bestFit="1" customWidth="1"/>
    <col min="3343" max="3585" width="9.140625" style="2108"/>
    <col min="3586" max="3586" width="5.28515625" style="2108" customWidth="1"/>
    <col min="3587" max="3587" width="56.42578125" style="2108" customWidth="1"/>
    <col min="3588" max="3588" width="10.28515625" style="2108" customWidth="1"/>
    <col min="3589" max="3595" width="10.7109375" style="2108" customWidth="1"/>
    <col min="3596" max="3596" width="9.140625" style="2108"/>
    <col min="3597" max="3597" width="11.28515625" style="2108" bestFit="1" customWidth="1"/>
    <col min="3598" max="3598" width="9.7109375" style="2108" bestFit="1" customWidth="1"/>
    <col min="3599" max="3841" width="9.140625" style="2108"/>
    <col min="3842" max="3842" width="5.28515625" style="2108" customWidth="1"/>
    <col min="3843" max="3843" width="56.42578125" style="2108" customWidth="1"/>
    <col min="3844" max="3844" width="10.28515625" style="2108" customWidth="1"/>
    <col min="3845" max="3851" width="10.7109375" style="2108" customWidth="1"/>
    <col min="3852" max="3852" width="9.140625" style="2108"/>
    <col min="3853" max="3853" width="11.28515625" style="2108" bestFit="1" customWidth="1"/>
    <col min="3854" max="3854" width="9.7109375" style="2108" bestFit="1" customWidth="1"/>
    <col min="3855" max="4097" width="9.140625" style="2108"/>
    <col min="4098" max="4098" width="5.28515625" style="2108" customWidth="1"/>
    <col min="4099" max="4099" width="56.42578125" style="2108" customWidth="1"/>
    <col min="4100" max="4100" width="10.28515625" style="2108" customWidth="1"/>
    <col min="4101" max="4107" width="10.7109375" style="2108" customWidth="1"/>
    <col min="4108" max="4108" width="9.140625" style="2108"/>
    <col min="4109" max="4109" width="11.28515625" style="2108" bestFit="1" customWidth="1"/>
    <col min="4110" max="4110" width="9.7109375" style="2108" bestFit="1" customWidth="1"/>
    <col min="4111" max="4353" width="9.140625" style="2108"/>
    <col min="4354" max="4354" width="5.28515625" style="2108" customWidth="1"/>
    <col min="4355" max="4355" width="56.42578125" style="2108" customWidth="1"/>
    <col min="4356" max="4356" width="10.28515625" style="2108" customWidth="1"/>
    <col min="4357" max="4363" width="10.7109375" style="2108" customWidth="1"/>
    <col min="4364" max="4364" width="9.140625" style="2108"/>
    <col min="4365" max="4365" width="11.28515625" style="2108" bestFit="1" customWidth="1"/>
    <col min="4366" max="4366" width="9.7109375" style="2108" bestFit="1" customWidth="1"/>
    <col min="4367" max="4609" width="9.140625" style="2108"/>
    <col min="4610" max="4610" width="5.28515625" style="2108" customWidth="1"/>
    <col min="4611" max="4611" width="56.42578125" style="2108" customWidth="1"/>
    <col min="4612" max="4612" width="10.28515625" style="2108" customWidth="1"/>
    <col min="4613" max="4619" width="10.7109375" style="2108" customWidth="1"/>
    <col min="4620" max="4620" width="9.140625" style="2108"/>
    <col min="4621" max="4621" width="11.28515625" style="2108" bestFit="1" customWidth="1"/>
    <col min="4622" max="4622" width="9.7109375" style="2108" bestFit="1" customWidth="1"/>
    <col min="4623" max="4865" width="9.140625" style="2108"/>
    <col min="4866" max="4866" width="5.28515625" style="2108" customWidth="1"/>
    <col min="4867" max="4867" width="56.42578125" style="2108" customWidth="1"/>
    <col min="4868" max="4868" width="10.28515625" style="2108" customWidth="1"/>
    <col min="4869" max="4875" width="10.7109375" style="2108" customWidth="1"/>
    <col min="4876" max="4876" width="9.140625" style="2108"/>
    <col min="4877" max="4877" width="11.28515625" style="2108" bestFit="1" customWidth="1"/>
    <col min="4878" max="4878" width="9.7109375" style="2108" bestFit="1" customWidth="1"/>
    <col min="4879" max="5121" width="9.140625" style="2108"/>
    <col min="5122" max="5122" width="5.28515625" style="2108" customWidth="1"/>
    <col min="5123" max="5123" width="56.42578125" style="2108" customWidth="1"/>
    <col min="5124" max="5124" width="10.28515625" style="2108" customWidth="1"/>
    <col min="5125" max="5131" width="10.7109375" style="2108" customWidth="1"/>
    <col min="5132" max="5132" width="9.140625" style="2108"/>
    <col min="5133" max="5133" width="11.28515625" style="2108" bestFit="1" customWidth="1"/>
    <col min="5134" max="5134" width="9.7109375" style="2108" bestFit="1" customWidth="1"/>
    <col min="5135" max="5377" width="9.140625" style="2108"/>
    <col min="5378" max="5378" width="5.28515625" style="2108" customWidth="1"/>
    <col min="5379" max="5379" width="56.42578125" style="2108" customWidth="1"/>
    <col min="5380" max="5380" width="10.28515625" style="2108" customWidth="1"/>
    <col min="5381" max="5387" width="10.7109375" style="2108" customWidth="1"/>
    <col min="5388" max="5388" width="9.140625" style="2108"/>
    <col min="5389" max="5389" width="11.28515625" style="2108" bestFit="1" customWidth="1"/>
    <col min="5390" max="5390" width="9.7109375" style="2108" bestFit="1" customWidth="1"/>
    <col min="5391" max="5633" width="9.140625" style="2108"/>
    <col min="5634" max="5634" width="5.28515625" style="2108" customWidth="1"/>
    <col min="5635" max="5635" width="56.42578125" style="2108" customWidth="1"/>
    <col min="5636" max="5636" width="10.28515625" style="2108" customWidth="1"/>
    <col min="5637" max="5643" width="10.7109375" style="2108" customWidth="1"/>
    <col min="5644" max="5644" width="9.140625" style="2108"/>
    <col min="5645" max="5645" width="11.28515625" style="2108" bestFit="1" customWidth="1"/>
    <col min="5646" max="5646" width="9.7109375" style="2108" bestFit="1" customWidth="1"/>
    <col min="5647" max="5889" width="9.140625" style="2108"/>
    <col min="5890" max="5890" width="5.28515625" style="2108" customWidth="1"/>
    <col min="5891" max="5891" width="56.42578125" style="2108" customWidth="1"/>
    <col min="5892" max="5892" width="10.28515625" style="2108" customWidth="1"/>
    <col min="5893" max="5899" width="10.7109375" style="2108" customWidth="1"/>
    <col min="5900" max="5900" width="9.140625" style="2108"/>
    <col min="5901" max="5901" width="11.28515625" style="2108" bestFit="1" customWidth="1"/>
    <col min="5902" max="5902" width="9.7109375" style="2108" bestFit="1" customWidth="1"/>
    <col min="5903" max="6145" width="9.140625" style="2108"/>
    <col min="6146" max="6146" width="5.28515625" style="2108" customWidth="1"/>
    <col min="6147" max="6147" width="56.42578125" style="2108" customWidth="1"/>
    <col min="6148" max="6148" width="10.28515625" style="2108" customWidth="1"/>
    <col min="6149" max="6155" width="10.7109375" style="2108" customWidth="1"/>
    <col min="6156" max="6156" width="9.140625" style="2108"/>
    <col min="6157" max="6157" width="11.28515625" style="2108" bestFit="1" customWidth="1"/>
    <col min="6158" max="6158" width="9.7109375" style="2108" bestFit="1" customWidth="1"/>
    <col min="6159" max="6401" width="9.140625" style="2108"/>
    <col min="6402" max="6402" width="5.28515625" style="2108" customWidth="1"/>
    <col min="6403" max="6403" width="56.42578125" style="2108" customWidth="1"/>
    <col min="6404" max="6404" width="10.28515625" style="2108" customWidth="1"/>
    <col min="6405" max="6411" width="10.7109375" style="2108" customWidth="1"/>
    <col min="6412" max="6412" width="9.140625" style="2108"/>
    <col min="6413" max="6413" width="11.28515625" style="2108" bestFit="1" customWidth="1"/>
    <col min="6414" max="6414" width="9.7109375" style="2108" bestFit="1" customWidth="1"/>
    <col min="6415" max="6657" width="9.140625" style="2108"/>
    <col min="6658" max="6658" width="5.28515625" style="2108" customWidth="1"/>
    <col min="6659" max="6659" width="56.42578125" style="2108" customWidth="1"/>
    <col min="6660" max="6660" width="10.28515625" style="2108" customWidth="1"/>
    <col min="6661" max="6667" width="10.7109375" style="2108" customWidth="1"/>
    <col min="6668" max="6668" width="9.140625" style="2108"/>
    <col min="6669" max="6669" width="11.28515625" style="2108" bestFit="1" customWidth="1"/>
    <col min="6670" max="6670" width="9.7109375" style="2108" bestFit="1" customWidth="1"/>
    <col min="6671" max="6913" width="9.140625" style="2108"/>
    <col min="6914" max="6914" width="5.28515625" style="2108" customWidth="1"/>
    <col min="6915" max="6915" width="56.42578125" style="2108" customWidth="1"/>
    <col min="6916" max="6916" width="10.28515625" style="2108" customWidth="1"/>
    <col min="6917" max="6923" width="10.7109375" style="2108" customWidth="1"/>
    <col min="6924" max="6924" width="9.140625" style="2108"/>
    <col min="6925" max="6925" width="11.28515625" style="2108" bestFit="1" customWidth="1"/>
    <col min="6926" max="6926" width="9.7109375" style="2108" bestFit="1" customWidth="1"/>
    <col min="6927" max="7169" width="9.140625" style="2108"/>
    <col min="7170" max="7170" width="5.28515625" style="2108" customWidth="1"/>
    <col min="7171" max="7171" width="56.42578125" style="2108" customWidth="1"/>
    <col min="7172" max="7172" width="10.28515625" style="2108" customWidth="1"/>
    <col min="7173" max="7179" width="10.7109375" style="2108" customWidth="1"/>
    <col min="7180" max="7180" width="9.140625" style="2108"/>
    <col min="7181" max="7181" width="11.28515625" style="2108" bestFit="1" customWidth="1"/>
    <col min="7182" max="7182" width="9.7109375" style="2108" bestFit="1" customWidth="1"/>
    <col min="7183" max="7425" width="9.140625" style="2108"/>
    <col min="7426" max="7426" width="5.28515625" style="2108" customWidth="1"/>
    <col min="7427" max="7427" width="56.42578125" style="2108" customWidth="1"/>
    <col min="7428" max="7428" width="10.28515625" style="2108" customWidth="1"/>
    <col min="7429" max="7435" width="10.7109375" style="2108" customWidth="1"/>
    <col min="7436" max="7436" width="9.140625" style="2108"/>
    <col min="7437" max="7437" width="11.28515625" style="2108" bestFit="1" customWidth="1"/>
    <col min="7438" max="7438" width="9.7109375" style="2108" bestFit="1" customWidth="1"/>
    <col min="7439" max="7681" width="9.140625" style="2108"/>
    <col min="7682" max="7682" width="5.28515625" style="2108" customWidth="1"/>
    <col min="7683" max="7683" width="56.42578125" style="2108" customWidth="1"/>
    <col min="7684" max="7684" width="10.28515625" style="2108" customWidth="1"/>
    <col min="7685" max="7691" width="10.7109375" style="2108" customWidth="1"/>
    <col min="7692" max="7692" width="9.140625" style="2108"/>
    <col min="7693" max="7693" width="11.28515625" style="2108" bestFit="1" customWidth="1"/>
    <col min="7694" max="7694" width="9.7109375" style="2108" bestFit="1" customWidth="1"/>
    <col min="7695" max="7937" width="9.140625" style="2108"/>
    <col min="7938" max="7938" width="5.28515625" style="2108" customWidth="1"/>
    <col min="7939" max="7939" width="56.42578125" style="2108" customWidth="1"/>
    <col min="7940" max="7940" width="10.28515625" style="2108" customWidth="1"/>
    <col min="7941" max="7947" width="10.7109375" style="2108" customWidth="1"/>
    <col min="7948" max="7948" width="9.140625" style="2108"/>
    <col min="7949" max="7949" width="11.28515625" style="2108" bestFit="1" customWidth="1"/>
    <col min="7950" max="7950" width="9.7109375" style="2108" bestFit="1" customWidth="1"/>
    <col min="7951" max="8193" width="9.140625" style="2108"/>
    <col min="8194" max="8194" width="5.28515625" style="2108" customWidth="1"/>
    <col min="8195" max="8195" width="56.42578125" style="2108" customWidth="1"/>
    <col min="8196" max="8196" width="10.28515625" style="2108" customWidth="1"/>
    <col min="8197" max="8203" width="10.7109375" style="2108" customWidth="1"/>
    <col min="8204" max="8204" width="9.140625" style="2108"/>
    <col min="8205" max="8205" width="11.28515625" style="2108" bestFit="1" customWidth="1"/>
    <col min="8206" max="8206" width="9.7109375" style="2108" bestFit="1" customWidth="1"/>
    <col min="8207" max="8449" width="9.140625" style="2108"/>
    <col min="8450" max="8450" width="5.28515625" style="2108" customWidth="1"/>
    <col min="8451" max="8451" width="56.42578125" style="2108" customWidth="1"/>
    <col min="8452" max="8452" width="10.28515625" style="2108" customWidth="1"/>
    <col min="8453" max="8459" width="10.7109375" style="2108" customWidth="1"/>
    <col min="8460" max="8460" width="9.140625" style="2108"/>
    <col min="8461" max="8461" width="11.28515625" style="2108" bestFit="1" customWidth="1"/>
    <col min="8462" max="8462" width="9.7109375" style="2108" bestFit="1" customWidth="1"/>
    <col min="8463" max="8705" width="9.140625" style="2108"/>
    <col min="8706" max="8706" width="5.28515625" style="2108" customWidth="1"/>
    <col min="8707" max="8707" width="56.42578125" style="2108" customWidth="1"/>
    <col min="8708" max="8708" width="10.28515625" style="2108" customWidth="1"/>
    <col min="8709" max="8715" width="10.7109375" style="2108" customWidth="1"/>
    <col min="8716" max="8716" width="9.140625" style="2108"/>
    <col min="8717" max="8717" width="11.28515625" style="2108" bestFit="1" customWidth="1"/>
    <col min="8718" max="8718" width="9.7109375" style="2108" bestFit="1" customWidth="1"/>
    <col min="8719" max="8961" width="9.140625" style="2108"/>
    <col min="8962" max="8962" width="5.28515625" style="2108" customWidth="1"/>
    <col min="8963" max="8963" width="56.42578125" style="2108" customWidth="1"/>
    <col min="8964" max="8964" width="10.28515625" style="2108" customWidth="1"/>
    <col min="8965" max="8971" width="10.7109375" style="2108" customWidth="1"/>
    <col min="8972" max="8972" width="9.140625" style="2108"/>
    <col min="8973" max="8973" width="11.28515625" style="2108" bestFit="1" customWidth="1"/>
    <col min="8974" max="8974" width="9.7109375" style="2108" bestFit="1" customWidth="1"/>
    <col min="8975" max="9217" width="9.140625" style="2108"/>
    <col min="9218" max="9218" width="5.28515625" style="2108" customWidth="1"/>
    <col min="9219" max="9219" width="56.42578125" style="2108" customWidth="1"/>
    <col min="9220" max="9220" width="10.28515625" style="2108" customWidth="1"/>
    <col min="9221" max="9227" width="10.7109375" style="2108" customWidth="1"/>
    <col min="9228" max="9228" width="9.140625" style="2108"/>
    <col min="9229" max="9229" width="11.28515625" style="2108" bestFit="1" customWidth="1"/>
    <col min="9230" max="9230" width="9.7109375" style="2108" bestFit="1" customWidth="1"/>
    <col min="9231" max="9473" width="9.140625" style="2108"/>
    <col min="9474" max="9474" width="5.28515625" style="2108" customWidth="1"/>
    <col min="9475" max="9475" width="56.42578125" style="2108" customWidth="1"/>
    <col min="9476" max="9476" width="10.28515625" style="2108" customWidth="1"/>
    <col min="9477" max="9483" width="10.7109375" style="2108" customWidth="1"/>
    <col min="9484" max="9484" width="9.140625" style="2108"/>
    <col min="9485" max="9485" width="11.28515625" style="2108" bestFit="1" customWidth="1"/>
    <col min="9486" max="9486" width="9.7109375" style="2108" bestFit="1" customWidth="1"/>
    <col min="9487" max="9729" width="9.140625" style="2108"/>
    <col min="9730" max="9730" width="5.28515625" style="2108" customWidth="1"/>
    <col min="9731" max="9731" width="56.42578125" style="2108" customWidth="1"/>
    <col min="9732" max="9732" width="10.28515625" style="2108" customWidth="1"/>
    <col min="9733" max="9739" width="10.7109375" style="2108" customWidth="1"/>
    <col min="9740" max="9740" width="9.140625" style="2108"/>
    <col min="9741" max="9741" width="11.28515625" style="2108" bestFit="1" customWidth="1"/>
    <col min="9742" max="9742" width="9.7109375" style="2108" bestFit="1" customWidth="1"/>
    <col min="9743" max="9985" width="9.140625" style="2108"/>
    <col min="9986" max="9986" width="5.28515625" style="2108" customWidth="1"/>
    <col min="9987" max="9987" width="56.42578125" style="2108" customWidth="1"/>
    <col min="9988" max="9988" width="10.28515625" style="2108" customWidth="1"/>
    <col min="9989" max="9995" width="10.7109375" style="2108" customWidth="1"/>
    <col min="9996" max="9996" width="9.140625" style="2108"/>
    <col min="9997" max="9997" width="11.28515625" style="2108" bestFit="1" customWidth="1"/>
    <col min="9998" max="9998" width="9.7109375" style="2108" bestFit="1" customWidth="1"/>
    <col min="9999" max="10241" width="9.140625" style="2108"/>
    <col min="10242" max="10242" width="5.28515625" style="2108" customWidth="1"/>
    <col min="10243" max="10243" width="56.42578125" style="2108" customWidth="1"/>
    <col min="10244" max="10244" width="10.28515625" style="2108" customWidth="1"/>
    <col min="10245" max="10251" width="10.7109375" style="2108" customWidth="1"/>
    <col min="10252" max="10252" width="9.140625" style="2108"/>
    <col min="10253" max="10253" width="11.28515625" style="2108" bestFit="1" customWidth="1"/>
    <col min="10254" max="10254" width="9.7109375" style="2108" bestFit="1" customWidth="1"/>
    <col min="10255" max="10497" width="9.140625" style="2108"/>
    <col min="10498" max="10498" width="5.28515625" style="2108" customWidth="1"/>
    <col min="10499" max="10499" width="56.42578125" style="2108" customWidth="1"/>
    <col min="10500" max="10500" width="10.28515625" style="2108" customWidth="1"/>
    <col min="10501" max="10507" width="10.7109375" style="2108" customWidth="1"/>
    <col min="10508" max="10508" width="9.140625" style="2108"/>
    <col min="10509" max="10509" width="11.28515625" style="2108" bestFit="1" customWidth="1"/>
    <col min="10510" max="10510" width="9.7109375" style="2108" bestFit="1" customWidth="1"/>
    <col min="10511" max="10753" width="9.140625" style="2108"/>
    <col min="10754" max="10754" width="5.28515625" style="2108" customWidth="1"/>
    <col min="10755" max="10755" width="56.42578125" style="2108" customWidth="1"/>
    <col min="10756" max="10756" width="10.28515625" style="2108" customWidth="1"/>
    <col min="10757" max="10763" width="10.7109375" style="2108" customWidth="1"/>
    <col min="10764" max="10764" width="9.140625" style="2108"/>
    <col min="10765" max="10765" width="11.28515625" style="2108" bestFit="1" customWidth="1"/>
    <col min="10766" max="10766" width="9.7109375" style="2108" bestFit="1" customWidth="1"/>
    <col min="10767" max="11009" width="9.140625" style="2108"/>
    <col min="11010" max="11010" width="5.28515625" style="2108" customWidth="1"/>
    <col min="11011" max="11011" width="56.42578125" style="2108" customWidth="1"/>
    <col min="11012" max="11012" width="10.28515625" style="2108" customWidth="1"/>
    <col min="11013" max="11019" width="10.7109375" style="2108" customWidth="1"/>
    <col min="11020" max="11020" width="9.140625" style="2108"/>
    <col min="11021" max="11021" width="11.28515625" style="2108" bestFit="1" customWidth="1"/>
    <col min="11022" max="11022" width="9.7109375" style="2108" bestFit="1" customWidth="1"/>
    <col min="11023" max="11265" width="9.140625" style="2108"/>
    <col min="11266" max="11266" width="5.28515625" style="2108" customWidth="1"/>
    <col min="11267" max="11267" width="56.42578125" style="2108" customWidth="1"/>
    <col min="11268" max="11268" width="10.28515625" style="2108" customWidth="1"/>
    <col min="11269" max="11275" width="10.7109375" style="2108" customWidth="1"/>
    <col min="11276" max="11276" width="9.140625" style="2108"/>
    <col min="11277" max="11277" width="11.28515625" style="2108" bestFit="1" customWidth="1"/>
    <col min="11278" max="11278" width="9.7109375" style="2108" bestFit="1" customWidth="1"/>
    <col min="11279" max="11521" width="9.140625" style="2108"/>
    <col min="11522" max="11522" width="5.28515625" style="2108" customWidth="1"/>
    <col min="11523" max="11523" width="56.42578125" style="2108" customWidth="1"/>
    <col min="11524" max="11524" width="10.28515625" style="2108" customWidth="1"/>
    <col min="11525" max="11531" width="10.7109375" style="2108" customWidth="1"/>
    <col min="11532" max="11532" width="9.140625" style="2108"/>
    <col min="11533" max="11533" width="11.28515625" style="2108" bestFit="1" customWidth="1"/>
    <col min="11534" max="11534" width="9.7109375" style="2108" bestFit="1" customWidth="1"/>
    <col min="11535" max="11777" width="9.140625" style="2108"/>
    <col min="11778" max="11778" width="5.28515625" style="2108" customWidth="1"/>
    <col min="11779" max="11779" width="56.42578125" style="2108" customWidth="1"/>
    <col min="11780" max="11780" width="10.28515625" style="2108" customWidth="1"/>
    <col min="11781" max="11787" width="10.7109375" style="2108" customWidth="1"/>
    <col min="11788" max="11788" width="9.140625" style="2108"/>
    <col min="11789" max="11789" width="11.28515625" style="2108" bestFit="1" customWidth="1"/>
    <col min="11790" max="11790" width="9.7109375" style="2108" bestFit="1" customWidth="1"/>
    <col min="11791" max="12033" width="9.140625" style="2108"/>
    <col min="12034" max="12034" width="5.28515625" style="2108" customWidth="1"/>
    <col min="12035" max="12035" width="56.42578125" style="2108" customWidth="1"/>
    <col min="12036" max="12036" width="10.28515625" style="2108" customWidth="1"/>
    <col min="12037" max="12043" width="10.7109375" style="2108" customWidth="1"/>
    <col min="12044" max="12044" width="9.140625" style="2108"/>
    <col min="12045" max="12045" width="11.28515625" style="2108" bestFit="1" customWidth="1"/>
    <col min="12046" max="12046" width="9.7109375" style="2108" bestFit="1" customWidth="1"/>
    <col min="12047" max="12289" width="9.140625" style="2108"/>
    <col min="12290" max="12290" width="5.28515625" style="2108" customWidth="1"/>
    <col min="12291" max="12291" width="56.42578125" style="2108" customWidth="1"/>
    <col min="12292" max="12292" width="10.28515625" style="2108" customWidth="1"/>
    <col min="12293" max="12299" width="10.7109375" style="2108" customWidth="1"/>
    <col min="12300" max="12300" width="9.140625" style="2108"/>
    <col min="12301" max="12301" width="11.28515625" style="2108" bestFit="1" customWidth="1"/>
    <col min="12302" max="12302" width="9.7109375" style="2108" bestFit="1" customWidth="1"/>
    <col min="12303" max="12545" width="9.140625" style="2108"/>
    <col min="12546" max="12546" width="5.28515625" style="2108" customWidth="1"/>
    <col min="12547" max="12547" width="56.42578125" style="2108" customWidth="1"/>
    <col min="12548" max="12548" width="10.28515625" style="2108" customWidth="1"/>
    <col min="12549" max="12555" width="10.7109375" style="2108" customWidth="1"/>
    <col min="12556" max="12556" width="9.140625" style="2108"/>
    <col min="12557" max="12557" width="11.28515625" style="2108" bestFit="1" customWidth="1"/>
    <col min="12558" max="12558" width="9.7109375" style="2108" bestFit="1" customWidth="1"/>
    <col min="12559" max="12801" width="9.140625" style="2108"/>
    <col min="12802" max="12802" width="5.28515625" style="2108" customWidth="1"/>
    <col min="12803" max="12803" width="56.42578125" style="2108" customWidth="1"/>
    <col min="12804" max="12804" width="10.28515625" style="2108" customWidth="1"/>
    <col min="12805" max="12811" width="10.7109375" style="2108" customWidth="1"/>
    <col min="12812" max="12812" width="9.140625" style="2108"/>
    <col min="12813" max="12813" width="11.28515625" style="2108" bestFit="1" customWidth="1"/>
    <col min="12814" max="12814" width="9.7109375" style="2108" bestFit="1" customWidth="1"/>
    <col min="12815" max="13057" width="9.140625" style="2108"/>
    <col min="13058" max="13058" width="5.28515625" style="2108" customWidth="1"/>
    <col min="13059" max="13059" width="56.42578125" style="2108" customWidth="1"/>
    <col min="13060" max="13060" width="10.28515625" style="2108" customWidth="1"/>
    <col min="13061" max="13067" width="10.7109375" style="2108" customWidth="1"/>
    <col min="13068" max="13068" width="9.140625" style="2108"/>
    <col min="13069" max="13069" width="11.28515625" style="2108" bestFit="1" customWidth="1"/>
    <col min="13070" max="13070" width="9.7109375" style="2108" bestFit="1" customWidth="1"/>
    <col min="13071" max="13313" width="9.140625" style="2108"/>
    <col min="13314" max="13314" width="5.28515625" style="2108" customWidth="1"/>
    <col min="13315" max="13315" width="56.42578125" style="2108" customWidth="1"/>
    <col min="13316" max="13316" width="10.28515625" style="2108" customWidth="1"/>
    <col min="13317" max="13323" width="10.7109375" style="2108" customWidth="1"/>
    <col min="13324" max="13324" width="9.140625" style="2108"/>
    <col min="13325" max="13325" width="11.28515625" style="2108" bestFit="1" customWidth="1"/>
    <col min="13326" max="13326" width="9.7109375" style="2108" bestFit="1" customWidth="1"/>
    <col min="13327" max="13569" width="9.140625" style="2108"/>
    <col min="13570" max="13570" width="5.28515625" style="2108" customWidth="1"/>
    <col min="13571" max="13571" width="56.42578125" style="2108" customWidth="1"/>
    <col min="13572" max="13572" width="10.28515625" style="2108" customWidth="1"/>
    <col min="13573" max="13579" width="10.7109375" style="2108" customWidth="1"/>
    <col min="13580" max="13580" width="9.140625" style="2108"/>
    <col min="13581" max="13581" width="11.28515625" style="2108" bestFit="1" customWidth="1"/>
    <col min="13582" max="13582" width="9.7109375" style="2108" bestFit="1" customWidth="1"/>
    <col min="13583" max="13825" width="9.140625" style="2108"/>
    <col min="13826" max="13826" width="5.28515625" style="2108" customWidth="1"/>
    <col min="13827" max="13827" width="56.42578125" style="2108" customWidth="1"/>
    <col min="13828" max="13828" width="10.28515625" style="2108" customWidth="1"/>
    <col min="13829" max="13835" width="10.7109375" style="2108" customWidth="1"/>
    <col min="13836" max="13836" width="9.140625" style="2108"/>
    <col min="13837" max="13837" width="11.28515625" style="2108" bestFit="1" customWidth="1"/>
    <col min="13838" max="13838" width="9.7109375" style="2108" bestFit="1" customWidth="1"/>
    <col min="13839" max="14081" width="9.140625" style="2108"/>
    <col min="14082" max="14082" width="5.28515625" style="2108" customWidth="1"/>
    <col min="14083" max="14083" width="56.42578125" style="2108" customWidth="1"/>
    <col min="14084" max="14084" width="10.28515625" style="2108" customWidth="1"/>
    <col min="14085" max="14091" width="10.7109375" style="2108" customWidth="1"/>
    <col min="14092" max="14092" width="9.140625" style="2108"/>
    <col min="14093" max="14093" width="11.28515625" style="2108" bestFit="1" customWidth="1"/>
    <col min="14094" max="14094" width="9.7109375" style="2108" bestFit="1" customWidth="1"/>
    <col min="14095" max="14337" width="9.140625" style="2108"/>
    <col min="14338" max="14338" width="5.28515625" style="2108" customWidth="1"/>
    <col min="14339" max="14339" width="56.42578125" style="2108" customWidth="1"/>
    <col min="14340" max="14340" width="10.28515625" style="2108" customWidth="1"/>
    <col min="14341" max="14347" width="10.7109375" style="2108" customWidth="1"/>
    <col min="14348" max="14348" width="9.140625" style="2108"/>
    <col min="14349" max="14349" width="11.28515625" style="2108" bestFit="1" customWidth="1"/>
    <col min="14350" max="14350" width="9.7109375" style="2108" bestFit="1" customWidth="1"/>
    <col min="14351" max="14593" width="9.140625" style="2108"/>
    <col min="14594" max="14594" width="5.28515625" style="2108" customWidth="1"/>
    <col min="14595" max="14595" width="56.42578125" style="2108" customWidth="1"/>
    <col min="14596" max="14596" width="10.28515625" style="2108" customWidth="1"/>
    <col min="14597" max="14603" width="10.7109375" style="2108" customWidth="1"/>
    <col min="14604" max="14604" width="9.140625" style="2108"/>
    <col min="14605" max="14605" width="11.28515625" style="2108" bestFit="1" customWidth="1"/>
    <col min="14606" max="14606" width="9.7109375" style="2108" bestFit="1" customWidth="1"/>
    <col min="14607" max="14849" width="9.140625" style="2108"/>
    <col min="14850" max="14850" width="5.28515625" style="2108" customWidth="1"/>
    <col min="14851" max="14851" width="56.42578125" style="2108" customWidth="1"/>
    <col min="14852" max="14852" width="10.28515625" style="2108" customWidth="1"/>
    <col min="14853" max="14859" width="10.7109375" style="2108" customWidth="1"/>
    <col min="14860" max="14860" width="9.140625" style="2108"/>
    <col min="14861" max="14861" width="11.28515625" style="2108" bestFit="1" customWidth="1"/>
    <col min="14862" max="14862" width="9.7109375" style="2108" bestFit="1" customWidth="1"/>
    <col min="14863" max="15105" width="9.140625" style="2108"/>
    <col min="15106" max="15106" width="5.28515625" style="2108" customWidth="1"/>
    <col min="15107" max="15107" width="56.42578125" style="2108" customWidth="1"/>
    <col min="15108" max="15108" width="10.28515625" style="2108" customWidth="1"/>
    <col min="15109" max="15115" width="10.7109375" style="2108" customWidth="1"/>
    <col min="15116" max="15116" width="9.140625" style="2108"/>
    <col min="15117" max="15117" width="11.28515625" style="2108" bestFit="1" customWidth="1"/>
    <col min="15118" max="15118" width="9.7109375" style="2108" bestFit="1" customWidth="1"/>
    <col min="15119" max="15361" width="9.140625" style="2108"/>
    <col min="15362" max="15362" width="5.28515625" style="2108" customWidth="1"/>
    <col min="15363" max="15363" width="56.42578125" style="2108" customWidth="1"/>
    <col min="15364" max="15364" width="10.28515625" style="2108" customWidth="1"/>
    <col min="15365" max="15371" width="10.7109375" style="2108" customWidth="1"/>
    <col min="15372" max="15372" width="9.140625" style="2108"/>
    <col min="15373" max="15373" width="11.28515625" style="2108" bestFit="1" customWidth="1"/>
    <col min="15374" max="15374" width="9.7109375" style="2108" bestFit="1" customWidth="1"/>
    <col min="15375" max="15617" width="9.140625" style="2108"/>
    <col min="15618" max="15618" width="5.28515625" style="2108" customWidth="1"/>
    <col min="15619" max="15619" width="56.42578125" style="2108" customWidth="1"/>
    <col min="15620" max="15620" width="10.28515625" style="2108" customWidth="1"/>
    <col min="15621" max="15627" width="10.7109375" style="2108" customWidth="1"/>
    <col min="15628" max="15628" width="9.140625" style="2108"/>
    <col min="15629" max="15629" width="11.28515625" style="2108" bestFit="1" customWidth="1"/>
    <col min="15630" max="15630" width="9.7109375" style="2108" bestFit="1" customWidth="1"/>
    <col min="15631" max="15873" width="9.140625" style="2108"/>
    <col min="15874" max="15874" width="5.28515625" style="2108" customWidth="1"/>
    <col min="15875" max="15875" width="56.42578125" style="2108" customWidth="1"/>
    <col min="15876" max="15876" width="10.28515625" style="2108" customWidth="1"/>
    <col min="15877" max="15883" width="10.7109375" style="2108" customWidth="1"/>
    <col min="15884" max="15884" width="9.140625" style="2108"/>
    <col min="15885" max="15885" width="11.28515625" style="2108" bestFit="1" customWidth="1"/>
    <col min="15886" max="15886" width="9.7109375" style="2108" bestFit="1" customWidth="1"/>
    <col min="15887" max="16129" width="9.140625" style="2108"/>
    <col min="16130" max="16130" width="5.28515625" style="2108" customWidth="1"/>
    <col min="16131" max="16131" width="56.42578125" style="2108" customWidth="1"/>
    <col min="16132" max="16132" width="10.28515625" style="2108" customWidth="1"/>
    <col min="16133" max="16139" width="10.7109375" style="2108" customWidth="1"/>
    <col min="16140" max="16140" width="9.140625" style="2108"/>
    <col min="16141" max="16141" width="11.28515625" style="2108" bestFit="1" customWidth="1"/>
    <col min="16142" max="16142" width="9.7109375" style="2108" bestFit="1" customWidth="1"/>
    <col min="16143" max="16384" width="9.140625" style="2108"/>
  </cols>
  <sheetData>
    <row r="1" spans="1:21" ht="19.5" customHeight="1" thickBot="1">
      <c r="A1" s="5004" t="str">
        <f>+'1. Обща информация'!B40</f>
        <v>Фиксиран курс на лева към 1 евро</v>
      </c>
      <c r="B1" s="5004"/>
      <c r="C1" s="5005">
        <f>+'1. Обща информация'!$C$40</f>
        <v>1.95583</v>
      </c>
      <c r="D1" s="5005"/>
      <c r="E1" s="2109"/>
      <c r="F1" s="2109"/>
      <c r="G1" s="2109"/>
      <c r="H1" s="2109"/>
      <c r="I1" s="2109"/>
      <c r="J1" s="2109" t="s">
        <v>1048</v>
      </c>
      <c r="K1" s="2109"/>
    </row>
    <row r="2" spans="1:21" ht="19.5" customHeight="1">
      <c r="A2" s="5272" t="s">
        <v>1402</v>
      </c>
      <c r="B2" s="5272"/>
      <c r="C2" s="5272"/>
      <c r="D2" s="5272"/>
      <c r="E2" s="5272"/>
      <c r="F2" s="5272"/>
      <c r="G2" s="5272"/>
      <c r="H2" s="5272"/>
      <c r="I2" s="5272"/>
      <c r="J2" s="5272"/>
      <c r="K2" s="5272"/>
    </row>
    <row r="3" spans="1:21" ht="18.75">
      <c r="A3" s="5272" t="s">
        <v>1743</v>
      </c>
      <c r="B3" s="5272"/>
      <c r="C3" s="5272"/>
      <c r="D3" s="5272"/>
      <c r="E3" s="5272"/>
      <c r="F3" s="5272"/>
      <c r="G3" s="5272"/>
      <c r="H3" s="5272"/>
      <c r="I3" s="5272"/>
      <c r="J3" s="5272"/>
      <c r="K3" s="5272"/>
    </row>
    <row r="4" spans="1:21" s="4060" customFormat="1" ht="19.5" customHeight="1">
      <c r="A4" s="5278" t="str">
        <f>'1. Обща информация'!A4:D4</f>
        <v>на "ВОДОСНАБДЯВАНЕ И КАНАЛИЗАЦИЯ" ЕООД, гр. БЛАГОЕВГРАД</v>
      </c>
      <c r="B4" s="5278"/>
      <c r="C4" s="5278"/>
      <c r="D4" s="5278"/>
      <c r="E4" s="5278"/>
      <c r="F4" s="5278"/>
      <c r="G4" s="5278"/>
      <c r="H4" s="5278"/>
      <c r="I4" s="5278"/>
      <c r="J4" s="5278"/>
      <c r="K4" s="5278"/>
    </row>
    <row r="5" spans="1:21" s="4060" customFormat="1" ht="19.5" customHeight="1">
      <c r="A5" s="5278" t="str">
        <f>'1. Обща информация'!A5:D5</f>
        <v>ЕИК по БУЛСТАТ: 811047831</v>
      </c>
      <c r="B5" s="5278"/>
      <c r="C5" s="5278"/>
      <c r="D5" s="5278"/>
      <c r="E5" s="5278"/>
      <c r="F5" s="5278"/>
      <c r="G5" s="5278"/>
      <c r="H5" s="5278"/>
      <c r="I5" s="5278"/>
      <c r="J5" s="5278"/>
      <c r="K5" s="5278"/>
    </row>
    <row r="6" spans="1:21" s="4060" customFormat="1" ht="15.75" customHeight="1" thickBot="1">
      <c r="A6" s="2110"/>
      <c r="B6" s="2110"/>
      <c r="C6" s="2110"/>
      <c r="D6" s="2110"/>
      <c r="E6" s="2110"/>
      <c r="F6" s="2110"/>
      <c r="G6" s="2110"/>
      <c r="H6" s="2110"/>
      <c r="I6" s="2110"/>
      <c r="J6" s="2110"/>
      <c r="K6" s="2110"/>
    </row>
    <row r="7" spans="1:21" s="2132" customFormat="1" ht="12" customHeight="1">
      <c r="A7" s="5279" t="s">
        <v>1</v>
      </c>
      <c r="B7" s="5281" t="s">
        <v>87</v>
      </c>
      <c r="C7" s="5283" t="s">
        <v>166</v>
      </c>
      <c r="D7" s="5273" t="str">
        <f>'Приложение '!$C12</f>
        <v>2024 г.</v>
      </c>
      <c r="E7" s="5273" t="str">
        <f>CONCATENATE(LEFT(F7,4)-1, " г.")</f>
        <v>2025 г.</v>
      </c>
      <c r="F7" s="5273" t="str">
        <f>'Приложение '!$C13</f>
        <v>2026 г.</v>
      </c>
      <c r="G7" s="5273" t="str">
        <f>'Приложение '!$C14</f>
        <v>2027 г.</v>
      </c>
      <c r="H7" s="5273" t="str">
        <f>'Приложение '!$C15</f>
        <v>2028 г.</v>
      </c>
      <c r="I7" s="5273" t="str">
        <f>'Приложение '!$C16</f>
        <v>2029 г.</v>
      </c>
      <c r="J7" s="5273" t="str">
        <f>'Приложение '!$C17</f>
        <v>2030 г.</v>
      </c>
      <c r="K7" s="5273" t="str">
        <f>'Приложение '!$C18</f>
        <v>2031 г.</v>
      </c>
      <c r="L7" s="4775"/>
      <c r="M7" s="5270" t="s">
        <v>166</v>
      </c>
      <c r="N7" s="5268" t="str">
        <f>+D7</f>
        <v>2024 г.</v>
      </c>
      <c r="O7" s="5268" t="str">
        <f t="shared" ref="O7:U7" si="0">+E7</f>
        <v>2025 г.</v>
      </c>
      <c r="P7" s="5268" t="str">
        <f t="shared" si="0"/>
        <v>2026 г.</v>
      </c>
      <c r="Q7" s="5268" t="str">
        <f t="shared" si="0"/>
        <v>2027 г.</v>
      </c>
      <c r="R7" s="5268" t="str">
        <f t="shared" si="0"/>
        <v>2028 г.</v>
      </c>
      <c r="S7" s="5268" t="str">
        <f t="shared" si="0"/>
        <v>2029 г.</v>
      </c>
      <c r="T7" s="5268" t="str">
        <f t="shared" si="0"/>
        <v>2030 г.</v>
      </c>
      <c r="U7" s="5268" t="str">
        <f t="shared" si="0"/>
        <v>2031 г.</v>
      </c>
    </row>
    <row r="8" spans="1:21" s="2132" customFormat="1" ht="13.5" customHeight="1" thickBot="1">
      <c r="A8" s="5280"/>
      <c r="B8" s="5282"/>
      <c r="C8" s="5284"/>
      <c r="D8" s="5274"/>
      <c r="E8" s="5274"/>
      <c r="F8" s="5274"/>
      <c r="G8" s="5274"/>
      <c r="H8" s="5274"/>
      <c r="I8" s="5274"/>
      <c r="J8" s="5274"/>
      <c r="K8" s="5274"/>
      <c r="L8" s="4775"/>
      <c r="M8" s="5271"/>
      <c r="N8" s="5269"/>
      <c r="O8" s="5269"/>
      <c r="P8" s="5269"/>
      <c r="Q8" s="5269"/>
      <c r="R8" s="5269"/>
      <c r="S8" s="5269"/>
      <c r="T8" s="5269"/>
      <c r="U8" s="5269"/>
    </row>
    <row r="9" spans="1:21" s="2132" customFormat="1">
      <c r="A9" s="53" t="s">
        <v>141</v>
      </c>
      <c r="B9" s="54" t="s">
        <v>1000</v>
      </c>
      <c r="C9" s="2111" t="s">
        <v>595</v>
      </c>
      <c r="D9" s="4345">
        <f>SUM(D10:D12)</f>
        <v>1919.8056999999999</v>
      </c>
      <c r="E9" s="4353">
        <f t="shared" ref="E9:K9" si="1">SUM(E10:E12)</f>
        <v>2080.8056999999999</v>
      </c>
      <c r="F9" s="4353">
        <f t="shared" si="1"/>
        <v>2226.8056999999999</v>
      </c>
      <c r="G9" s="4353">
        <f t="shared" si="1"/>
        <v>2366.8056999999999</v>
      </c>
      <c r="H9" s="4348">
        <f t="shared" si="1"/>
        <v>2406.8056999999999</v>
      </c>
      <c r="I9" s="320">
        <f t="shared" si="1"/>
        <v>2446.8056999999999</v>
      </c>
      <c r="J9" s="320">
        <f t="shared" si="1"/>
        <v>2386.8056999999999</v>
      </c>
      <c r="K9" s="320">
        <f t="shared" si="1"/>
        <v>2226.8056999999999</v>
      </c>
      <c r="L9" s="4775"/>
      <c r="M9" s="4061"/>
    </row>
    <row r="10" spans="1:21" s="2132" customFormat="1" ht="24">
      <c r="A10" s="55" t="s">
        <v>90</v>
      </c>
      <c r="B10" s="2112" t="str">
        <f>+"Налични утайки в началото на годината, които са произведени преди "&amp;D7</f>
        <v>Налични утайки в началото на годината, които са произведени преди 2024 г.</v>
      </c>
      <c r="C10" s="2113" t="s">
        <v>595</v>
      </c>
      <c r="D10" s="258">
        <v>1400.98</v>
      </c>
      <c r="E10" s="321">
        <f t="shared" ref="E10:G11" si="2">IF(D25&lt;0,"error",D25)</f>
        <v>1400.98</v>
      </c>
      <c r="F10" s="321">
        <f t="shared" si="2"/>
        <v>1206.98</v>
      </c>
      <c r="G10" s="321">
        <f t="shared" si="2"/>
        <v>1006.98</v>
      </c>
      <c r="H10" s="4344">
        <f t="shared" ref="H10:K11" si="3">IF(G25&lt;0,"error",G25)</f>
        <v>806.98</v>
      </c>
      <c r="I10" s="321">
        <f t="shared" si="3"/>
        <v>706.98</v>
      </c>
      <c r="J10" s="322">
        <f t="shared" si="3"/>
        <v>506.98</v>
      </c>
      <c r="K10" s="321">
        <f t="shared" si="3"/>
        <v>306.98</v>
      </c>
      <c r="L10" s="4775"/>
    </row>
    <row r="11" spans="1:21" s="2132" customFormat="1" ht="24">
      <c r="A11" s="55" t="s">
        <v>91</v>
      </c>
      <c r="B11" s="2112" t="str">
        <f>+"Налични утайки в началото на годината, които са произведени през периода " &amp;D7&amp;" - "&amp;K7</f>
        <v>Налични утайки в началото на годината, които са произведени през периода 2024 г. - 2031 г.</v>
      </c>
      <c r="C11" s="2113" t="s">
        <v>595</v>
      </c>
      <c r="D11" s="4343"/>
      <c r="E11" s="321">
        <f t="shared" si="2"/>
        <v>518.82569999999998</v>
      </c>
      <c r="F11" s="321">
        <f t="shared" si="2"/>
        <v>679.82569999999998</v>
      </c>
      <c r="G11" s="1482">
        <f t="shared" si="2"/>
        <v>1019.8257</v>
      </c>
      <c r="H11" s="4344">
        <f t="shared" si="3"/>
        <v>1259.8256999999999</v>
      </c>
      <c r="I11" s="321">
        <f t="shared" si="3"/>
        <v>1399.8256999999999</v>
      </c>
      <c r="J11" s="322">
        <f t="shared" si="3"/>
        <v>1539.8256999999999</v>
      </c>
      <c r="K11" s="321">
        <f t="shared" si="3"/>
        <v>1579.8256999999999</v>
      </c>
      <c r="L11" s="4775"/>
    </row>
    <row r="12" spans="1:21" s="2132" customFormat="1">
      <c r="A12" s="55" t="s">
        <v>93</v>
      </c>
      <c r="B12" s="56" t="s">
        <v>596</v>
      </c>
      <c r="C12" s="2113" t="s">
        <v>595</v>
      </c>
      <c r="D12" s="66">
        <v>518.82569999999998</v>
      </c>
      <c r="E12" s="67">
        <v>161</v>
      </c>
      <c r="F12" s="67">
        <v>340</v>
      </c>
      <c r="G12" s="67">
        <v>340</v>
      </c>
      <c r="H12" s="4349">
        <v>340</v>
      </c>
      <c r="I12" s="67">
        <v>340</v>
      </c>
      <c r="J12" s="67">
        <v>340</v>
      </c>
      <c r="K12" s="67">
        <v>340</v>
      </c>
      <c r="L12" s="4775"/>
    </row>
    <row r="13" spans="1:21" s="2132" customFormat="1">
      <c r="A13" s="55" t="s">
        <v>145</v>
      </c>
      <c r="B13" s="56" t="s">
        <v>1034</v>
      </c>
      <c r="C13" s="2113" t="s">
        <v>170</v>
      </c>
      <c r="D13" s="256">
        <v>0.83340000000000003</v>
      </c>
      <c r="E13" s="257">
        <v>0.89</v>
      </c>
      <c r="F13" s="257">
        <v>0.83</v>
      </c>
      <c r="G13" s="257">
        <v>0.83</v>
      </c>
      <c r="H13" s="4350">
        <v>0.83</v>
      </c>
      <c r="I13" s="257">
        <v>0.83</v>
      </c>
      <c r="J13" s="257">
        <v>0.83</v>
      </c>
      <c r="K13" s="257">
        <v>0.83</v>
      </c>
      <c r="L13" s="4775"/>
    </row>
    <row r="14" spans="1:21" s="2132" customFormat="1" ht="48">
      <c r="A14" s="53" t="s">
        <v>95</v>
      </c>
      <c r="B14" s="57" t="s">
        <v>629</v>
      </c>
      <c r="C14" s="4355" t="s">
        <v>595</v>
      </c>
      <c r="D14" s="4356">
        <f>SUM(D15:D17)</f>
        <v>0</v>
      </c>
      <c r="E14" s="320">
        <f t="shared" ref="E14:K14" si="4">SUM(E15:E17)</f>
        <v>194</v>
      </c>
      <c r="F14" s="320">
        <f t="shared" si="4"/>
        <v>200</v>
      </c>
      <c r="G14" s="320">
        <f t="shared" si="4"/>
        <v>300</v>
      </c>
      <c r="H14" s="4348">
        <f t="shared" si="4"/>
        <v>300</v>
      </c>
      <c r="I14" s="320">
        <f t="shared" si="4"/>
        <v>400</v>
      </c>
      <c r="J14" s="320">
        <f t="shared" si="4"/>
        <v>500</v>
      </c>
      <c r="K14" s="320">
        <f t="shared" si="4"/>
        <v>530</v>
      </c>
      <c r="L14" s="4775"/>
      <c r="M14" s="4061"/>
    </row>
    <row r="15" spans="1:21" s="2132" customFormat="1">
      <c r="A15" s="55" t="s">
        <v>96</v>
      </c>
      <c r="B15" s="56" t="str">
        <f>+"Оползотворени утайки, произведени преди "&amp;D7</f>
        <v>Оползотворени утайки, произведени преди 2024 г.</v>
      </c>
      <c r="C15" s="2114" t="s">
        <v>595</v>
      </c>
      <c r="D15" s="66"/>
      <c r="E15" s="67">
        <v>194</v>
      </c>
      <c r="F15" s="67">
        <v>200</v>
      </c>
      <c r="G15" s="67">
        <v>200</v>
      </c>
      <c r="H15" s="4349">
        <v>100</v>
      </c>
      <c r="I15" s="67">
        <v>200</v>
      </c>
      <c r="J15" s="68">
        <v>200</v>
      </c>
      <c r="K15" s="67">
        <v>200</v>
      </c>
      <c r="L15" s="4775"/>
      <c r="M15" s="4062"/>
    </row>
    <row r="16" spans="1:21" s="2132" customFormat="1">
      <c r="A16" s="55" t="s">
        <v>97</v>
      </c>
      <c r="B16" s="56" t="s">
        <v>616</v>
      </c>
      <c r="C16" s="2114" t="s">
        <v>595</v>
      </c>
      <c r="D16" s="4343"/>
      <c r="E16" s="67"/>
      <c r="F16" s="67"/>
      <c r="G16" s="67">
        <v>100</v>
      </c>
      <c r="H16" s="4349">
        <v>200</v>
      </c>
      <c r="I16" s="67">
        <v>200</v>
      </c>
      <c r="J16" s="68">
        <v>300</v>
      </c>
      <c r="K16" s="67">
        <v>330</v>
      </c>
      <c r="L16" s="4775"/>
      <c r="M16" s="4062"/>
    </row>
    <row r="17" spans="1:21" s="2132" customFormat="1">
      <c r="A17" s="55" t="s">
        <v>169</v>
      </c>
      <c r="B17" s="56" t="s">
        <v>617</v>
      </c>
      <c r="C17" s="2114" t="s">
        <v>595</v>
      </c>
      <c r="D17" s="66"/>
      <c r="E17" s="67"/>
      <c r="F17" s="67"/>
      <c r="G17" s="67"/>
      <c r="H17" s="4349"/>
      <c r="I17" s="67"/>
      <c r="J17" s="68"/>
      <c r="K17" s="67"/>
      <c r="L17" s="4775"/>
      <c r="M17" s="4062"/>
    </row>
    <row r="18" spans="1:21" s="2132" customFormat="1">
      <c r="A18" s="55" t="s">
        <v>242</v>
      </c>
      <c r="B18" s="56" t="s">
        <v>1035</v>
      </c>
      <c r="C18" s="2113" t="s">
        <v>170</v>
      </c>
      <c r="D18" s="256"/>
      <c r="E18" s="257"/>
      <c r="F18" s="257"/>
      <c r="G18" s="257"/>
      <c r="H18" s="4350"/>
      <c r="I18" s="257"/>
      <c r="J18" s="257"/>
      <c r="K18" s="257"/>
      <c r="L18" s="4775"/>
      <c r="M18" s="4062"/>
    </row>
    <row r="19" spans="1:21" s="2132" customFormat="1">
      <c r="A19" s="53" t="s">
        <v>99</v>
      </c>
      <c r="B19" s="54" t="s">
        <v>597</v>
      </c>
      <c r="C19" s="2111" t="s">
        <v>595</v>
      </c>
      <c r="D19" s="4345">
        <f>SUM(D20:D22)</f>
        <v>0</v>
      </c>
      <c r="E19" s="320">
        <f t="shared" ref="E19:K19" si="5">SUM(E20:E22)</f>
        <v>0</v>
      </c>
      <c r="F19" s="320">
        <f t="shared" si="5"/>
        <v>0</v>
      </c>
      <c r="G19" s="320">
        <f t="shared" si="5"/>
        <v>0</v>
      </c>
      <c r="H19" s="4348">
        <f t="shared" si="5"/>
        <v>0</v>
      </c>
      <c r="I19" s="320">
        <f t="shared" si="5"/>
        <v>0</v>
      </c>
      <c r="J19" s="320">
        <f t="shared" si="5"/>
        <v>0</v>
      </c>
      <c r="K19" s="320">
        <f t="shared" si="5"/>
        <v>0</v>
      </c>
      <c r="L19" s="4775"/>
      <c r="M19" s="4061"/>
    </row>
    <row r="20" spans="1:21" s="2132" customFormat="1">
      <c r="A20" s="58" t="s">
        <v>171</v>
      </c>
      <c r="B20" s="59" t="str">
        <f>+"Депонирани утайки, произведени преди "&amp;D7</f>
        <v>Депонирани утайки, произведени преди 2024 г.</v>
      </c>
      <c r="C20" s="2114" t="s">
        <v>595</v>
      </c>
      <c r="D20" s="66"/>
      <c r="E20" s="67"/>
      <c r="F20" s="67"/>
      <c r="G20" s="67"/>
      <c r="H20" s="4349"/>
      <c r="I20" s="67"/>
      <c r="J20" s="68"/>
      <c r="K20" s="67"/>
      <c r="L20" s="4775"/>
      <c r="M20" s="4061"/>
    </row>
    <row r="21" spans="1:21" s="2132" customFormat="1">
      <c r="A21" s="58" t="s">
        <v>172</v>
      </c>
      <c r="B21" s="59" t="s">
        <v>618</v>
      </c>
      <c r="C21" s="2114" t="s">
        <v>595</v>
      </c>
      <c r="D21" s="4343"/>
      <c r="E21" s="67"/>
      <c r="F21" s="67"/>
      <c r="G21" s="67"/>
      <c r="H21" s="4349"/>
      <c r="I21" s="67"/>
      <c r="J21" s="68"/>
      <c r="K21" s="67"/>
      <c r="L21" s="4775"/>
      <c r="M21" s="4061"/>
    </row>
    <row r="22" spans="1:21" s="2132" customFormat="1">
      <c r="A22" s="58" t="s">
        <v>619</v>
      </c>
      <c r="B22" s="59" t="s">
        <v>620</v>
      </c>
      <c r="C22" s="2114" t="s">
        <v>595</v>
      </c>
      <c r="D22" s="66"/>
      <c r="E22" s="67"/>
      <c r="F22" s="67"/>
      <c r="G22" s="67"/>
      <c r="H22" s="4349"/>
      <c r="I22" s="67"/>
      <c r="J22" s="67"/>
      <c r="K22" s="67"/>
      <c r="L22" s="4775"/>
      <c r="M22" s="4061"/>
    </row>
    <row r="23" spans="1:21" s="2132" customFormat="1">
      <c r="A23" s="55" t="s">
        <v>1002</v>
      </c>
      <c r="B23" s="56" t="s">
        <v>1036</v>
      </c>
      <c r="C23" s="2113" t="s">
        <v>170</v>
      </c>
      <c r="D23" s="256"/>
      <c r="E23" s="257"/>
      <c r="F23" s="257"/>
      <c r="G23" s="257"/>
      <c r="H23" s="4350"/>
      <c r="I23" s="257"/>
      <c r="J23" s="257"/>
      <c r="K23" s="257"/>
      <c r="L23" s="4775"/>
      <c r="M23" s="4061"/>
    </row>
    <row r="24" spans="1:21" s="2132" customFormat="1">
      <c r="A24" s="53" t="s">
        <v>100</v>
      </c>
      <c r="B24" s="54" t="s">
        <v>598</v>
      </c>
      <c r="C24" s="2111" t="s">
        <v>595</v>
      </c>
      <c r="D24" s="4345">
        <f t="shared" ref="D24:K24" si="6">IF(D9-D14-D19&gt;=0,D9-D14-D19,0)</f>
        <v>1919.8056999999999</v>
      </c>
      <c r="E24" s="320">
        <f t="shared" ref="E24" si="7">IF(E9-E14-E19&gt;=0,E9-E14-E19,0)</f>
        <v>1886.8056999999999</v>
      </c>
      <c r="F24" s="320">
        <f t="shared" si="6"/>
        <v>2026.8056999999999</v>
      </c>
      <c r="G24" s="320">
        <f t="shared" si="6"/>
        <v>2066.8056999999999</v>
      </c>
      <c r="H24" s="4348">
        <f t="shared" si="6"/>
        <v>2106.8056999999999</v>
      </c>
      <c r="I24" s="320">
        <f t="shared" si="6"/>
        <v>2046.8056999999999</v>
      </c>
      <c r="J24" s="320">
        <f t="shared" si="6"/>
        <v>1886.8056999999999</v>
      </c>
      <c r="K24" s="320">
        <f t="shared" si="6"/>
        <v>1696.8056999999999</v>
      </c>
      <c r="L24" s="4775"/>
      <c r="M24" s="4061"/>
    </row>
    <row r="25" spans="1:21" s="2132" customFormat="1">
      <c r="A25" s="58" t="s">
        <v>101</v>
      </c>
      <c r="B25" s="59" t="str">
        <f>+"Остатък утайки, които са произведени преди "&amp;D7</f>
        <v>Остатък утайки, които са произведени преди 2024 г.</v>
      </c>
      <c r="C25" s="2114" t="s">
        <v>595</v>
      </c>
      <c r="D25" s="323">
        <f>D10-D15-D20</f>
        <v>1400.98</v>
      </c>
      <c r="E25" s="321">
        <f>E10-E15-E20</f>
        <v>1206.98</v>
      </c>
      <c r="F25" s="321">
        <f>F10-F15-F20</f>
        <v>1006.98</v>
      </c>
      <c r="G25" s="321">
        <f t="shared" ref="G25:K25" si="8">G10-G15-G20</f>
        <v>806.98</v>
      </c>
      <c r="H25" s="4344">
        <f t="shared" si="8"/>
        <v>706.98</v>
      </c>
      <c r="I25" s="321">
        <f t="shared" si="8"/>
        <v>506.98</v>
      </c>
      <c r="J25" s="322">
        <f t="shared" si="8"/>
        <v>306.98</v>
      </c>
      <c r="K25" s="321">
        <f t="shared" si="8"/>
        <v>106.98000000000002</v>
      </c>
      <c r="L25" s="4775"/>
      <c r="M25" s="4061"/>
    </row>
    <row r="26" spans="1:21" s="2132" customFormat="1" ht="24.75" thickBot="1">
      <c r="A26" s="58" t="s">
        <v>102</v>
      </c>
      <c r="B26" s="59" t="str">
        <f>+"Остатък утайки, произведени през периода "&amp;D7&amp;" - "&amp;K7</f>
        <v>Остатък утайки, произведени през периода 2024 г. - 2031 г.</v>
      </c>
      <c r="C26" s="2114" t="s">
        <v>595</v>
      </c>
      <c r="D26" s="323">
        <f>D11+D12-D16-D21-D17-D22</f>
        <v>518.82569999999998</v>
      </c>
      <c r="E26" s="321">
        <f t="shared" ref="E26" si="9">E11+E12-E16-E21-E17-E22</f>
        <v>679.82569999999998</v>
      </c>
      <c r="F26" s="321">
        <f t="shared" ref="F26:K26" si="10">F11+F12-F16-F21-F17-F22</f>
        <v>1019.8257</v>
      </c>
      <c r="G26" s="321">
        <f t="shared" si="10"/>
        <v>1259.8256999999999</v>
      </c>
      <c r="H26" s="4344">
        <f t="shared" si="10"/>
        <v>1399.8256999999999</v>
      </c>
      <c r="I26" s="321">
        <f t="shared" si="10"/>
        <v>1539.8256999999999</v>
      </c>
      <c r="J26" s="321">
        <f t="shared" si="10"/>
        <v>1579.8256999999999</v>
      </c>
      <c r="K26" s="321">
        <f t="shared" si="10"/>
        <v>1589.8256999999999</v>
      </c>
      <c r="L26" s="4775"/>
      <c r="M26" s="4061"/>
    </row>
    <row r="27" spans="1:21" s="2132" customFormat="1" ht="13.5" thickBot="1">
      <c r="A27" s="53" t="s">
        <v>104</v>
      </c>
      <c r="B27" s="54" t="s">
        <v>621</v>
      </c>
      <c r="C27" s="2111" t="s">
        <v>295</v>
      </c>
      <c r="D27" s="4346">
        <f>SUM(D28:D31)</f>
        <v>0</v>
      </c>
      <c r="E27" s="324">
        <f t="shared" ref="E27" si="11">SUM(E28:E31)</f>
        <v>61</v>
      </c>
      <c r="F27" s="324">
        <f t="shared" ref="F27:K27" si="12">SUM(F28:F31)</f>
        <v>61</v>
      </c>
      <c r="G27" s="324">
        <f t="shared" si="12"/>
        <v>61</v>
      </c>
      <c r="H27" s="4351">
        <f t="shared" si="12"/>
        <v>61</v>
      </c>
      <c r="I27" s="324">
        <f t="shared" si="12"/>
        <v>61</v>
      </c>
      <c r="J27" s="324">
        <f t="shared" si="12"/>
        <v>61</v>
      </c>
      <c r="K27" s="324">
        <f t="shared" si="12"/>
        <v>61</v>
      </c>
      <c r="L27" s="4775"/>
      <c r="M27" s="4778" t="s">
        <v>1877</v>
      </c>
      <c r="N27" s="4794">
        <f>IFERROR(D27/$C$1,0)</f>
        <v>0</v>
      </c>
      <c r="O27" s="4794">
        <f t="shared" ref="O27:U32" si="13">IFERROR(E27/$C$1,0)</f>
        <v>31.188804752969329</v>
      </c>
      <c r="P27" s="4794">
        <f t="shared" si="13"/>
        <v>31.188804752969329</v>
      </c>
      <c r="Q27" s="4794">
        <f t="shared" si="13"/>
        <v>31.188804752969329</v>
      </c>
      <c r="R27" s="4794">
        <f t="shared" si="13"/>
        <v>31.188804752969329</v>
      </c>
      <c r="S27" s="4794">
        <f t="shared" si="13"/>
        <v>31.188804752969329</v>
      </c>
      <c r="T27" s="4794">
        <f t="shared" si="13"/>
        <v>31.188804752969329</v>
      </c>
      <c r="U27" s="4794">
        <f t="shared" si="13"/>
        <v>31.188804752969329</v>
      </c>
    </row>
    <row r="28" spans="1:21" s="2132" customFormat="1" ht="13.5" thickBot="1">
      <c r="A28" s="58" t="s">
        <v>105</v>
      </c>
      <c r="B28" s="59" t="s">
        <v>723</v>
      </c>
      <c r="C28" s="2114" t="s">
        <v>295</v>
      </c>
      <c r="D28" s="66"/>
      <c r="E28" s="67"/>
      <c r="F28" s="67"/>
      <c r="G28" s="67"/>
      <c r="H28" s="4349"/>
      <c r="I28" s="67"/>
      <c r="J28" s="68"/>
      <c r="K28" s="67"/>
      <c r="L28" s="4775"/>
      <c r="M28" s="4778" t="s">
        <v>1877</v>
      </c>
      <c r="N28" s="4794">
        <f t="shared" ref="N28:N32" si="14">IFERROR(D28/$C$1,0)</f>
        <v>0</v>
      </c>
      <c r="O28" s="4794">
        <f t="shared" si="13"/>
        <v>0</v>
      </c>
      <c r="P28" s="4794">
        <f t="shared" si="13"/>
        <v>0</v>
      </c>
      <c r="Q28" s="4794">
        <f t="shared" si="13"/>
        <v>0</v>
      </c>
      <c r="R28" s="4794">
        <f t="shared" si="13"/>
        <v>0</v>
      </c>
      <c r="S28" s="4794">
        <f t="shared" si="13"/>
        <v>0</v>
      </c>
      <c r="T28" s="4794">
        <f t="shared" si="13"/>
        <v>0</v>
      </c>
      <c r="U28" s="4794">
        <f t="shared" si="13"/>
        <v>0</v>
      </c>
    </row>
    <row r="29" spans="1:21" s="2132" customFormat="1" ht="13.5" thickBot="1">
      <c r="A29" s="58" t="s">
        <v>109</v>
      </c>
      <c r="B29" s="59" t="s">
        <v>724</v>
      </c>
      <c r="C29" s="2114" t="s">
        <v>295</v>
      </c>
      <c r="D29" s="66"/>
      <c r="E29" s="67"/>
      <c r="F29" s="67"/>
      <c r="G29" s="67"/>
      <c r="H29" s="4349"/>
      <c r="I29" s="67"/>
      <c r="J29" s="419"/>
      <c r="K29" s="420"/>
      <c r="L29" s="4775"/>
      <c r="M29" s="4778" t="s">
        <v>1877</v>
      </c>
      <c r="N29" s="4794">
        <f t="shared" si="14"/>
        <v>0</v>
      </c>
      <c r="O29" s="4794">
        <f t="shared" si="13"/>
        <v>0</v>
      </c>
      <c r="P29" s="4794">
        <f t="shared" si="13"/>
        <v>0</v>
      </c>
      <c r="Q29" s="4794">
        <f t="shared" si="13"/>
        <v>0</v>
      </c>
      <c r="R29" s="4794">
        <f t="shared" si="13"/>
        <v>0</v>
      </c>
      <c r="S29" s="4794">
        <f t="shared" si="13"/>
        <v>0</v>
      </c>
      <c r="T29" s="4794">
        <f t="shared" si="13"/>
        <v>0</v>
      </c>
      <c r="U29" s="4794">
        <f t="shared" si="13"/>
        <v>0</v>
      </c>
    </row>
    <row r="30" spans="1:21" s="2132" customFormat="1" ht="13.5" thickBot="1">
      <c r="A30" s="58" t="s">
        <v>83</v>
      </c>
      <c r="B30" s="59" t="s">
        <v>623</v>
      </c>
      <c r="C30" s="2114" t="s">
        <v>295</v>
      </c>
      <c r="D30" s="66"/>
      <c r="E30" s="67"/>
      <c r="F30" s="67"/>
      <c r="G30" s="67"/>
      <c r="H30" s="4349"/>
      <c r="I30" s="67"/>
      <c r="J30" s="68"/>
      <c r="K30" s="67"/>
      <c r="L30" s="4775"/>
      <c r="M30" s="4778" t="s">
        <v>1877</v>
      </c>
      <c r="N30" s="4794">
        <f t="shared" si="14"/>
        <v>0</v>
      </c>
      <c r="O30" s="4794">
        <f t="shared" si="13"/>
        <v>0</v>
      </c>
      <c r="P30" s="4794">
        <f t="shared" si="13"/>
        <v>0</v>
      </c>
      <c r="Q30" s="4794">
        <f t="shared" si="13"/>
        <v>0</v>
      </c>
      <c r="R30" s="4794">
        <f t="shared" si="13"/>
        <v>0</v>
      </c>
      <c r="S30" s="4794">
        <f t="shared" si="13"/>
        <v>0</v>
      </c>
      <c r="T30" s="4794">
        <f t="shared" si="13"/>
        <v>0</v>
      </c>
      <c r="U30" s="4794">
        <f t="shared" si="13"/>
        <v>0</v>
      </c>
    </row>
    <row r="31" spans="1:21" s="2132" customFormat="1" ht="13.5" thickBot="1">
      <c r="A31" s="58" t="s">
        <v>84</v>
      </c>
      <c r="B31" s="59" t="s">
        <v>624</v>
      </c>
      <c r="C31" s="2114" t="s">
        <v>295</v>
      </c>
      <c r="D31" s="66"/>
      <c r="E31" s="67">
        <v>61</v>
      </c>
      <c r="F31" s="67">
        <v>61</v>
      </c>
      <c r="G31" s="67">
        <v>61</v>
      </c>
      <c r="H31" s="4349">
        <v>61</v>
      </c>
      <c r="I31" s="67">
        <v>61</v>
      </c>
      <c r="J31" s="68">
        <v>61</v>
      </c>
      <c r="K31" s="67">
        <v>61</v>
      </c>
      <c r="L31" s="4775"/>
      <c r="M31" s="4778" t="s">
        <v>1877</v>
      </c>
      <c r="N31" s="4794">
        <f t="shared" si="14"/>
        <v>0</v>
      </c>
      <c r="O31" s="4794">
        <f t="shared" si="13"/>
        <v>31.188804752969329</v>
      </c>
      <c r="P31" s="4794">
        <f t="shared" si="13"/>
        <v>31.188804752969329</v>
      </c>
      <c r="Q31" s="4794">
        <f t="shared" si="13"/>
        <v>31.188804752969329</v>
      </c>
      <c r="R31" s="4794">
        <f t="shared" si="13"/>
        <v>31.188804752969329</v>
      </c>
      <c r="S31" s="4794">
        <f t="shared" si="13"/>
        <v>31.188804752969329</v>
      </c>
      <c r="T31" s="4794">
        <f t="shared" si="13"/>
        <v>31.188804752969329</v>
      </c>
      <c r="U31" s="4794">
        <f t="shared" si="13"/>
        <v>31.188804752969329</v>
      </c>
    </row>
    <row r="32" spans="1:21" s="2132" customFormat="1" ht="13.5" thickBot="1">
      <c r="A32" s="53" t="s">
        <v>599</v>
      </c>
      <c r="B32" s="611" t="s">
        <v>622</v>
      </c>
      <c r="C32" s="2111" t="s">
        <v>600</v>
      </c>
      <c r="D32" s="4347">
        <f t="shared" ref="D32:K32" si="15">IFERROR(D27*1000/(D14+D19),0)</f>
        <v>0</v>
      </c>
      <c r="E32" s="4354">
        <f t="shared" si="15"/>
        <v>314.43298969072163</v>
      </c>
      <c r="F32" s="4354">
        <f t="shared" si="15"/>
        <v>305</v>
      </c>
      <c r="G32" s="4354">
        <f t="shared" si="15"/>
        <v>203.33333333333334</v>
      </c>
      <c r="H32" s="4352">
        <f t="shared" si="15"/>
        <v>203.33333333333334</v>
      </c>
      <c r="I32" s="325">
        <f t="shared" si="15"/>
        <v>152.5</v>
      </c>
      <c r="J32" s="325">
        <f t="shared" si="15"/>
        <v>122</v>
      </c>
      <c r="K32" s="325">
        <f t="shared" si="15"/>
        <v>115.09433962264151</v>
      </c>
      <c r="L32" s="4775"/>
      <c r="M32" s="4795" t="s">
        <v>1882</v>
      </c>
      <c r="N32" s="4796">
        <f t="shared" si="14"/>
        <v>0</v>
      </c>
      <c r="O32" s="4796">
        <f t="shared" si="13"/>
        <v>160.76703480912025</v>
      </c>
      <c r="P32" s="4796">
        <f t="shared" si="13"/>
        <v>155.94402376484663</v>
      </c>
      <c r="Q32" s="4796">
        <f t="shared" si="13"/>
        <v>103.96268250989776</v>
      </c>
      <c r="R32" s="4796">
        <f t="shared" si="13"/>
        <v>103.96268250989776</v>
      </c>
      <c r="S32" s="4796">
        <f t="shared" si="13"/>
        <v>77.972011882423317</v>
      </c>
      <c r="T32" s="4796">
        <f t="shared" si="13"/>
        <v>62.377609505938658</v>
      </c>
      <c r="U32" s="4796">
        <f t="shared" si="13"/>
        <v>58.846801420696849</v>
      </c>
    </row>
    <row r="33" spans="1:21" s="4063" customFormat="1">
      <c r="A33" s="1554" t="s">
        <v>1118</v>
      </c>
      <c r="B33" s="889" t="s">
        <v>1119</v>
      </c>
      <c r="C33" s="2115" t="s">
        <v>1120</v>
      </c>
      <c r="D33" s="2116">
        <f>SUM(D34:D36)</f>
        <v>11523.443577430973</v>
      </c>
      <c r="E33" s="2117">
        <f>SUM(E34:E36)</f>
        <v>18916.415454545455</v>
      </c>
      <c r="F33" s="2117">
        <f>SUM(F34:F36)</f>
        <v>13098.857058823527</v>
      </c>
      <c r="G33" s="2117">
        <f t="shared" ref="G33:K33" si="16">SUM(G34:G36)</f>
        <v>13922.386470588233</v>
      </c>
      <c r="H33" s="2117">
        <f t="shared" si="16"/>
        <v>14157.680588235291</v>
      </c>
      <c r="I33" s="2117">
        <f t="shared" si="16"/>
        <v>14392.97470588235</v>
      </c>
      <c r="J33" s="2117">
        <f t="shared" si="16"/>
        <v>14040.033529411761</v>
      </c>
      <c r="K33" s="2116">
        <f t="shared" si="16"/>
        <v>13098.857058823527</v>
      </c>
      <c r="L33" s="4775"/>
    </row>
    <row r="34" spans="1:21" s="4063" customFormat="1" ht="24">
      <c r="A34" s="1555" t="s">
        <v>958</v>
      </c>
      <c r="B34" s="4499" t="str">
        <f>+"Налични утайки в началото на годината, които са произведени преди "&amp;D7</f>
        <v>Налични утайки в началото на годината, които са произведени преди 2024 г.</v>
      </c>
      <c r="C34" s="2118" t="s">
        <v>1120</v>
      </c>
      <c r="D34" s="2119">
        <f>D10/(100%-D13)</f>
        <v>8409.2436974789925</v>
      </c>
      <c r="E34" s="2119">
        <f t="shared" ref="E34" si="17">E10/(100%-E13)</f>
        <v>12736.18181818182</v>
      </c>
      <c r="F34" s="2119">
        <f t="shared" ref="F34:K34" si="18">F10/(100%-F13)</f>
        <v>7099.8823529411748</v>
      </c>
      <c r="G34" s="2119">
        <f t="shared" si="18"/>
        <v>5923.4117647058811</v>
      </c>
      <c r="H34" s="2119">
        <f t="shared" si="18"/>
        <v>4746.9411764705874</v>
      </c>
      <c r="I34" s="2119">
        <f t="shared" si="18"/>
        <v>4158.7058823529405</v>
      </c>
      <c r="J34" s="2119">
        <f t="shared" si="18"/>
        <v>2982.2352941176464</v>
      </c>
      <c r="K34" s="2119">
        <f t="shared" si="18"/>
        <v>1805.7647058823527</v>
      </c>
      <c r="L34" s="4775"/>
    </row>
    <row r="35" spans="1:21" s="4063" customFormat="1" ht="24">
      <c r="A35" s="1555" t="s">
        <v>959</v>
      </c>
      <c r="B35" s="4499" t="str">
        <f>+"Налични утайки в началото на годината, които са произведени през периода "&amp;D7&amp;" - "&amp;K7</f>
        <v>Налични утайки в началото на годината, които са произведени през периода 2024 г. - 2031 г.</v>
      </c>
      <c r="C35" s="2118" t="s">
        <v>1120</v>
      </c>
      <c r="D35" s="2119">
        <f>D11/(100%-D13)</f>
        <v>0</v>
      </c>
      <c r="E35" s="2119">
        <f t="shared" ref="E35" si="19">E11/(100%-E13)</f>
        <v>4716.5972727272729</v>
      </c>
      <c r="F35" s="2119">
        <f t="shared" ref="F35:K35" si="20">F11/(100%-F13)</f>
        <v>3998.9747058823518</v>
      </c>
      <c r="G35" s="2119">
        <f t="shared" si="20"/>
        <v>5998.9747058823514</v>
      </c>
      <c r="H35" s="2119">
        <f t="shared" si="20"/>
        <v>7410.7394117647036</v>
      </c>
      <c r="I35" s="2119">
        <f t="shared" si="20"/>
        <v>8234.2688235294099</v>
      </c>
      <c r="J35" s="2119">
        <f t="shared" si="20"/>
        <v>9057.7982352941144</v>
      </c>
      <c r="K35" s="2119">
        <f t="shared" si="20"/>
        <v>9293.0923529411739</v>
      </c>
      <c r="L35" s="4775"/>
    </row>
    <row r="36" spans="1:21" s="4063" customFormat="1">
      <c r="A36" s="1555" t="s">
        <v>960</v>
      </c>
      <c r="B36" s="890" t="s">
        <v>1193</v>
      </c>
      <c r="C36" s="2118" t="s">
        <v>1120</v>
      </c>
      <c r="D36" s="2120">
        <f>D12/(100%-D13)</f>
        <v>3114.1998799519811</v>
      </c>
      <c r="E36" s="2120">
        <f t="shared" ref="E36" si="21">E12/(100%-E13)</f>
        <v>1463.6363636363637</v>
      </c>
      <c r="F36" s="2120">
        <f t="shared" ref="F36:K36" si="22">F12/(100%-F13)</f>
        <v>1999.9999999999995</v>
      </c>
      <c r="G36" s="2120">
        <f t="shared" si="22"/>
        <v>1999.9999999999995</v>
      </c>
      <c r="H36" s="2120">
        <f t="shared" si="22"/>
        <v>1999.9999999999995</v>
      </c>
      <c r="I36" s="2120">
        <f t="shared" si="22"/>
        <v>1999.9999999999995</v>
      </c>
      <c r="J36" s="2120">
        <f t="shared" si="22"/>
        <v>1999.9999999999995</v>
      </c>
      <c r="K36" s="2120">
        <f t="shared" si="22"/>
        <v>1999.9999999999995</v>
      </c>
      <c r="L36" s="4775"/>
    </row>
    <row r="37" spans="1:21" s="4063" customFormat="1">
      <c r="A37" s="1556" t="s">
        <v>1121</v>
      </c>
      <c r="B37" s="891" t="s">
        <v>1122</v>
      </c>
      <c r="C37" s="2121" t="s">
        <v>1120</v>
      </c>
      <c r="D37" s="2122">
        <f>SUM(D38:D39)</f>
        <v>0</v>
      </c>
      <c r="E37" s="2123">
        <f>SUM(E38:E39)</f>
        <v>194</v>
      </c>
      <c r="F37" s="2123">
        <f>SUM(F38:F39)</f>
        <v>200</v>
      </c>
      <c r="G37" s="2123">
        <f t="shared" ref="G37:K37" si="23">SUM(G38:G39)</f>
        <v>300</v>
      </c>
      <c r="H37" s="2123">
        <f t="shared" si="23"/>
        <v>300</v>
      </c>
      <c r="I37" s="2123">
        <f t="shared" si="23"/>
        <v>400</v>
      </c>
      <c r="J37" s="2123">
        <f t="shared" si="23"/>
        <v>500</v>
      </c>
      <c r="K37" s="2122">
        <f t="shared" si="23"/>
        <v>530</v>
      </c>
      <c r="L37" s="4775"/>
    </row>
    <row r="38" spans="1:21" s="4063" customFormat="1">
      <c r="A38" s="1555" t="s">
        <v>1123</v>
      </c>
      <c r="B38" s="890" t="s">
        <v>1124</v>
      </c>
      <c r="C38" s="2118" t="s">
        <v>1120</v>
      </c>
      <c r="D38" s="2119">
        <f>D14/(100%-D18)</f>
        <v>0</v>
      </c>
      <c r="E38" s="2119">
        <f t="shared" ref="E38" si="24">E14/(100%-E18)</f>
        <v>194</v>
      </c>
      <c r="F38" s="2119">
        <f t="shared" ref="F38:K38" si="25">F14/(100%-F18)</f>
        <v>200</v>
      </c>
      <c r="G38" s="2119">
        <f t="shared" si="25"/>
        <v>300</v>
      </c>
      <c r="H38" s="2119">
        <f t="shared" si="25"/>
        <v>300</v>
      </c>
      <c r="I38" s="2119">
        <f t="shared" si="25"/>
        <v>400</v>
      </c>
      <c r="J38" s="2119">
        <f t="shared" si="25"/>
        <v>500</v>
      </c>
      <c r="K38" s="2119">
        <f t="shared" si="25"/>
        <v>530</v>
      </c>
      <c r="L38" s="4775"/>
    </row>
    <row r="39" spans="1:21" s="4063" customFormat="1">
      <c r="A39" s="1555" t="s">
        <v>1125</v>
      </c>
      <c r="B39" s="890" t="s">
        <v>1126</v>
      </c>
      <c r="C39" s="2118" t="s">
        <v>1120</v>
      </c>
      <c r="D39" s="2120">
        <f t="shared" ref="D39:K39" si="26">D19/(100%-D23)</f>
        <v>0</v>
      </c>
      <c r="E39" s="2124">
        <f t="shared" ref="E39" si="27">E19/(100%-E23)</f>
        <v>0</v>
      </c>
      <c r="F39" s="2124">
        <f t="shared" si="26"/>
        <v>0</v>
      </c>
      <c r="G39" s="2124">
        <f t="shared" si="26"/>
        <v>0</v>
      </c>
      <c r="H39" s="2124">
        <f t="shared" si="26"/>
        <v>0</v>
      </c>
      <c r="I39" s="2124">
        <f t="shared" si="26"/>
        <v>0</v>
      </c>
      <c r="J39" s="2124">
        <f t="shared" si="26"/>
        <v>0</v>
      </c>
      <c r="K39" s="2124">
        <f t="shared" si="26"/>
        <v>0</v>
      </c>
      <c r="L39" s="4775"/>
    </row>
    <row r="40" spans="1:21" s="4063" customFormat="1">
      <c r="A40" s="1557" t="s">
        <v>1127</v>
      </c>
      <c r="B40" s="892" t="s">
        <v>621</v>
      </c>
      <c r="C40" s="2125" t="s">
        <v>1128</v>
      </c>
      <c r="D40" s="2122">
        <f>SUM(D41:D42)</f>
        <v>0</v>
      </c>
      <c r="E40" s="2126">
        <f>SUM(E41:E42)</f>
        <v>314.43298969072163</v>
      </c>
      <c r="F40" s="2126">
        <f>SUM(F41:F42)</f>
        <v>305</v>
      </c>
      <c r="G40" s="2126">
        <f t="shared" ref="G40:K40" si="28">SUM(G41:G42)</f>
        <v>203.33333333333334</v>
      </c>
      <c r="H40" s="2126">
        <f t="shared" si="28"/>
        <v>203.33333333333334</v>
      </c>
      <c r="I40" s="2126">
        <f t="shared" si="28"/>
        <v>152.5</v>
      </c>
      <c r="J40" s="2126">
        <f t="shared" si="28"/>
        <v>122</v>
      </c>
      <c r="K40" s="2127">
        <f t="shared" si="28"/>
        <v>115.09433962264151</v>
      </c>
      <c r="L40" s="4775"/>
      <c r="M40" s="4795" t="s">
        <v>1883</v>
      </c>
      <c r="N40" s="4796">
        <f t="shared" ref="N40:N42" si="29">IFERROR(D40/$C$1,0)</f>
        <v>0</v>
      </c>
      <c r="O40" s="4796">
        <f t="shared" ref="O40:O42" si="30">IFERROR(E40/$C$1,0)</f>
        <v>160.76703480912025</v>
      </c>
      <c r="P40" s="4796">
        <f t="shared" ref="P40:P42" si="31">IFERROR(F40/$C$1,0)</f>
        <v>155.94402376484663</v>
      </c>
      <c r="Q40" s="4796">
        <f t="shared" ref="Q40:Q42" si="32">IFERROR(G40/$C$1,0)</f>
        <v>103.96268250989776</v>
      </c>
      <c r="R40" s="4796">
        <f t="shared" ref="R40:R42" si="33">IFERROR(H40/$C$1,0)</f>
        <v>103.96268250989776</v>
      </c>
      <c r="S40" s="4796">
        <f t="shared" ref="S40:S42" si="34">IFERROR(I40/$C$1,0)</f>
        <v>77.972011882423317</v>
      </c>
      <c r="T40" s="4796">
        <f t="shared" ref="T40:T42" si="35">IFERROR(J40/$C$1,0)</f>
        <v>62.377609505938658</v>
      </c>
      <c r="U40" s="4796">
        <f t="shared" ref="U40:U42" si="36">IFERROR(K40/$C$1,0)</f>
        <v>58.846801420696849</v>
      </c>
    </row>
    <row r="41" spans="1:21" s="4063" customFormat="1">
      <c r="A41" s="1555" t="s">
        <v>961</v>
      </c>
      <c r="B41" s="2112" t="s">
        <v>624</v>
      </c>
      <c r="C41" s="2118" t="s">
        <v>1128</v>
      </c>
      <c r="D41" s="2119">
        <f>IFERROR((D31*1000)/D38,0)</f>
        <v>0</v>
      </c>
      <c r="E41" s="2119">
        <f t="shared" ref="E41" si="37">IFERROR((E31*1000)/E38,0)</f>
        <v>314.43298969072163</v>
      </c>
      <c r="F41" s="2119">
        <f t="shared" ref="F41:K41" si="38">IFERROR((F31*1000)/F38,0)</f>
        <v>305</v>
      </c>
      <c r="G41" s="2119">
        <f t="shared" si="38"/>
        <v>203.33333333333334</v>
      </c>
      <c r="H41" s="2119">
        <f t="shared" si="38"/>
        <v>203.33333333333334</v>
      </c>
      <c r="I41" s="2119">
        <f t="shared" si="38"/>
        <v>152.5</v>
      </c>
      <c r="J41" s="2119">
        <f t="shared" si="38"/>
        <v>122</v>
      </c>
      <c r="K41" s="2119">
        <f t="shared" si="38"/>
        <v>115.09433962264151</v>
      </c>
      <c r="L41" s="4775"/>
      <c r="M41" s="4795" t="s">
        <v>1883</v>
      </c>
      <c r="N41" s="4796">
        <f t="shared" si="29"/>
        <v>0</v>
      </c>
      <c r="O41" s="4796">
        <f t="shared" si="30"/>
        <v>160.76703480912025</v>
      </c>
      <c r="P41" s="4796">
        <f t="shared" si="31"/>
        <v>155.94402376484663</v>
      </c>
      <c r="Q41" s="4796">
        <f t="shared" si="32"/>
        <v>103.96268250989776</v>
      </c>
      <c r="R41" s="4796">
        <f t="shared" si="33"/>
        <v>103.96268250989776</v>
      </c>
      <c r="S41" s="4796">
        <f t="shared" si="34"/>
        <v>77.972011882423317</v>
      </c>
      <c r="T41" s="4796">
        <f t="shared" si="35"/>
        <v>62.377609505938658</v>
      </c>
      <c r="U41" s="4796">
        <f t="shared" si="36"/>
        <v>58.846801420696849</v>
      </c>
    </row>
    <row r="42" spans="1:21" s="4063" customFormat="1" ht="13.5" thickBot="1">
      <c r="A42" s="1558" t="s">
        <v>962</v>
      </c>
      <c r="B42" s="2128" t="s">
        <v>724</v>
      </c>
      <c r="C42" s="2129" t="s">
        <v>1128</v>
      </c>
      <c r="D42" s="2130">
        <f>IFERROR((D29*1000)/D39,0)</f>
        <v>0</v>
      </c>
      <c r="E42" s="2130">
        <f t="shared" ref="E42" si="39">IFERROR((E29*1000)/E39,0)</f>
        <v>0</v>
      </c>
      <c r="F42" s="2130">
        <f t="shared" ref="F42:K42" si="40">IFERROR((F29*1000)/F39,0)</f>
        <v>0</v>
      </c>
      <c r="G42" s="2130">
        <f t="shared" si="40"/>
        <v>0</v>
      </c>
      <c r="H42" s="2130">
        <f t="shared" si="40"/>
        <v>0</v>
      </c>
      <c r="I42" s="2130">
        <f t="shared" si="40"/>
        <v>0</v>
      </c>
      <c r="J42" s="2130">
        <f t="shared" si="40"/>
        <v>0</v>
      </c>
      <c r="K42" s="2130">
        <f t="shared" si="40"/>
        <v>0</v>
      </c>
      <c r="L42" s="4775"/>
      <c r="M42" s="4795" t="s">
        <v>1883</v>
      </c>
      <c r="N42" s="4796">
        <f t="shared" si="29"/>
        <v>0</v>
      </c>
      <c r="O42" s="4796">
        <f t="shared" si="30"/>
        <v>0</v>
      </c>
      <c r="P42" s="4796">
        <f t="shared" si="31"/>
        <v>0</v>
      </c>
      <c r="Q42" s="4796">
        <f t="shared" si="32"/>
        <v>0</v>
      </c>
      <c r="R42" s="4796">
        <f t="shared" si="33"/>
        <v>0</v>
      </c>
      <c r="S42" s="4796">
        <f t="shared" si="34"/>
        <v>0</v>
      </c>
      <c r="T42" s="4796">
        <f t="shared" si="35"/>
        <v>0</v>
      </c>
      <c r="U42" s="4796">
        <f t="shared" si="36"/>
        <v>0</v>
      </c>
    </row>
    <row r="43" spans="1:21" s="2134" customFormat="1" ht="8.25" customHeight="1">
      <c r="A43" s="64"/>
      <c r="B43" s="65"/>
      <c r="C43" s="2131"/>
      <c r="D43" s="326"/>
      <c r="E43" s="326"/>
      <c r="F43" s="326"/>
      <c r="G43" s="326"/>
      <c r="H43" s="326"/>
      <c r="I43" s="326"/>
      <c r="J43" s="326"/>
      <c r="K43" s="326"/>
      <c r="M43" s="4064"/>
    </row>
    <row r="44" spans="1:21" s="2134" customFormat="1" ht="15" customHeight="1">
      <c r="A44" s="64"/>
      <c r="B44" s="65"/>
      <c r="C44" s="2131"/>
      <c r="D44" s="326"/>
      <c r="E44" s="326"/>
      <c r="F44" s="326"/>
      <c r="G44" s="326"/>
      <c r="H44" s="326"/>
      <c r="I44" s="326"/>
      <c r="J44" s="326"/>
      <c r="K44" s="326"/>
      <c r="M44" s="4064"/>
    </row>
    <row r="45" spans="1:21" s="2132" customFormat="1" ht="12">
      <c r="B45" s="2133" t="str">
        <f>'Приложение '!B82</f>
        <v>Дата: 15.04.2026 г.</v>
      </c>
      <c r="C45" s="2134"/>
      <c r="D45" s="2135"/>
      <c r="E45" s="2135"/>
      <c r="F45" s="2136"/>
      <c r="G45" s="2137"/>
      <c r="H45" s="2135"/>
      <c r="I45" s="2138"/>
      <c r="M45" s="61"/>
      <c r="N45" s="61"/>
    </row>
    <row r="46" spans="1:21" s="2132" customFormat="1" ht="14.25" customHeight="1">
      <c r="B46" s="2139"/>
      <c r="C46" s="2139"/>
      <c r="D46" s="2140"/>
      <c r="E46" s="2140"/>
      <c r="F46" s="2136"/>
      <c r="G46" s="2141"/>
      <c r="H46" s="2135"/>
      <c r="I46" s="2138"/>
      <c r="J46" s="2142"/>
      <c r="L46" s="60"/>
      <c r="M46" s="61"/>
      <c r="N46" s="61"/>
      <c r="O46" s="60"/>
    </row>
    <row r="47" spans="1:21" s="2132" customFormat="1" ht="12">
      <c r="B47" s="2134"/>
      <c r="C47" s="2134"/>
      <c r="D47" s="2135"/>
      <c r="E47" s="2135"/>
      <c r="F47" s="2144"/>
      <c r="G47" s="2138"/>
      <c r="H47" s="2143"/>
      <c r="I47" s="2138"/>
      <c r="J47" s="2138"/>
      <c r="K47" s="69"/>
      <c r="L47" s="62"/>
      <c r="M47" s="61"/>
      <c r="N47" s="61"/>
      <c r="O47" s="62"/>
    </row>
    <row r="48" spans="1:21" s="2132" customFormat="1">
      <c r="A48" s="5276" t="s">
        <v>187</v>
      </c>
      <c r="B48" s="5276"/>
      <c r="C48" s="5276"/>
      <c r="D48" s="5276"/>
      <c r="E48" s="4331"/>
      <c r="F48" s="2145"/>
      <c r="G48" s="2146"/>
      <c r="H48" s="2146"/>
      <c r="I48" s="2138"/>
      <c r="J48" s="2138"/>
      <c r="K48" s="2138"/>
    </row>
    <row r="49" spans="1:12" s="143" customFormat="1">
      <c r="A49" s="5277" t="s">
        <v>188</v>
      </c>
      <c r="B49" s="5277"/>
      <c r="C49" s="5277"/>
      <c r="D49" s="5277"/>
      <c r="E49" s="4332"/>
      <c r="F49" s="2145"/>
      <c r="G49" s="2146"/>
      <c r="H49" s="2146"/>
      <c r="I49" s="2147"/>
      <c r="J49" s="2147"/>
      <c r="K49" s="2148"/>
      <c r="L49" s="4065"/>
    </row>
    <row r="50" spans="1:12" s="143" customFormat="1">
      <c r="A50" s="5275" t="s">
        <v>1373</v>
      </c>
      <c r="B50" s="5275"/>
      <c r="C50" s="5275"/>
      <c r="D50" s="5275"/>
      <c r="E50" s="5275"/>
      <c r="F50" s="5275"/>
      <c r="G50" s="2138"/>
      <c r="H50" s="2138"/>
      <c r="I50" s="2147"/>
      <c r="J50" s="2147"/>
      <c r="K50" s="2148"/>
    </row>
    <row r="51" spans="1:12" s="2132" customFormat="1" ht="12">
      <c r="D51" s="2138"/>
      <c r="E51" s="2138"/>
      <c r="F51" s="2138"/>
      <c r="G51" s="2138"/>
      <c r="H51" s="2138"/>
      <c r="I51" s="2138"/>
      <c r="J51" s="2138"/>
      <c r="K51" s="2138"/>
    </row>
  </sheetData>
  <sheetProtection algorithmName="SHA-512" hashValue="Ux7bjRoKvEpwpuuYzzHAXnIPPvbMq6DkO4vIg2gEkIpJ9+AyOWay2xU3nbWsmFgpHdEVpCRV8YdXBBJ0TpkhnA==" saltValue="Ml6D2izG0cjAF7zYX2IGDQ==" spinCount="100000" sheet="1" formatCells="0" formatColumns="0" formatRows="0"/>
  <mergeCells count="29">
    <mergeCell ref="A50:F50"/>
    <mergeCell ref="A48:D48"/>
    <mergeCell ref="A49:D49"/>
    <mergeCell ref="A4:K4"/>
    <mergeCell ref="A5:K5"/>
    <mergeCell ref="A7:A8"/>
    <mergeCell ref="B7:B8"/>
    <mergeCell ref="C7:C8"/>
    <mergeCell ref="D7:D8"/>
    <mergeCell ref="F7:F8"/>
    <mergeCell ref="G7:G8"/>
    <mergeCell ref="H7:H8"/>
    <mergeCell ref="E7:E8"/>
    <mergeCell ref="I7:I8"/>
    <mergeCell ref="J7:J8"/>
    <mergeCell ref="A1:B1"/>
    <mergeCell ref="C1:D1"/>
    <mergeCell ref="M7:M8"/>
    <mergeCell ref="A2:K2"/>
    <mergeCell ref="A3:K3"/>
    <mergeCell ref="K7:K8"/>
    <mergeCell ref="S7:S8"/>
    <mergeCell ref="T7:T8"/>
    <mergeCell ref="U7:U8"/>
    <mergeCell ref="N7:N8"/>
    <mergeCell ref="O7:O8"/>
    <mergeCell ref="P7:P8"/>
    <mergeCell ref="Q7:Q8"/>
    <mergeCell ref="R7:R8"/>
  </mergeCells>
  <printOptions horizontalCentered="1"/>
  <pageMargins left="0.51181102362204722" right="0.11811023622047245" top="0.59055118110236227" bottom="0" header="0.31496062992125984" footer="0.19685039370078741"/>
  <pageSetup paperSize="9" scale="71" orientation="portrait" r:id="rId1"/>
  <headerFooter>
    <oddFooter>&amp;C&amp;A</oddFooter>
  </headerFooter>
  <ignoredErrors>
    <ignoredError sqref="G11:K11 H10:K10" unlockedFormula="1"/>
    <ignoredError sqref="F21:K21 F20:K20 F24:K24 D24 D21" formulaRange="1"/>
    <ignoredError sqref="F25:K26 D25:D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AI165"/>
  <sheetViews>
    <sheetView showGridLines="0" zoomScale="110" zoomScaleNormal="110" zoomScaleSheetLayoutView="100" workbookViewId="0">
      <pane xSplit="2" ySplit="8" topLeftCell="C51" activePane="bottomRight" state="frozen"/>
      <selection pane="topRight" activeCell="C1" sqref="C1"/>
      <selection pane="bottomLeft" activeCell="A9" sqref="A9"/>
      <selection pane="bottomRight" activeCell="O43" sqref="O43"/>
    </sheetView>
  </sheetViews>
  <sheetFormatPr defaultColWidth="9.140625" defaultRowHeight="12"/>
  <cols>
    <col min="1" max="1" width="5.85546875" style="2149" customWidth="1"/>
    <col min="2" max="2" width="47.28515625" style="2150" customWidth="1"/>
    <col min="3" max="3" width="10.7109375" style="2149" customWidth="1"/>
    <col min="4" max="15" width="8.7109375" style="2149" customWidth="1"/>
    <col min="16" max="16" width="11.42578125" style="2149" customWidth="1"/>
    <col min="17" max="22" width="6.7109375" style="2149" customWidth="1"/>
    <col min="23" max="23" width="2.28515625" style="2149" customWidth="1"/>
    <col min="24" max="16384" width="9.140625" style="2149"/>
  </cols>
  <sheetData>
    <row r="1" spans="1:35" ht="16.5" thickBot="1">
      <c r="A1" s="5004" t="str">
        <f>+'1. Обща информация'!B40</f>
        <v>Фиксиран курс на лева към 1 евро</v>
      </c>
      <c r="B1" s="5004"/>
      <c r="C1" s="5005">
        <f>+'1. Обща информация'!$C$40</f>
        <v>1.95583</v>
      </c>
      <c r="D1" s="5005"/>
      <c r="K1" s="2151"/>
      <c r="L1" s="2151"/>
      <c r="M1" s="2151"/>
      <c r="N1" s="5303"/>
      <c r="O1" s="5303"/>
      <c r="P1" s="4311"/>
      <c r="Q1" s="2151"/>
      <c r="T1" s="5303" t="s">
        <v>0</v>
      </c>
      <c r="U1" s="5303"/>
      <c r="V1" s="5303"/>
    </row>
    <row r="2" spans="1:35" s="4017" customFormat="1" ht="19.5" customHeight="1">
      <c r="A2" s="5043" t="s">
        <v>1404</v>
      </c>
      <c r="B2" s="5043"/>
      <c r="C2" s="5043"/>
      <c r="D2" s="5043"/>
      <c r="E2" s="5043"/>
      <c r="F2" s="5043"/>
      <c r="G2" s="5043"/>
      <c r="H2" s="5043"/>
      <c r="I2" s="5043"/>
      <c r="J2" s="5043"/>
      <c r="K2" s="5043"/>
      <c r="L2" s="5043"/>
      <c r="M2" s="5043"/>
      <c r="N2" s="5043"/>
      <c r="O2" s="5043"/>
      <c r="P2" s="5043"/>
      <c r="Q2" s="5043"/>
      <c r="R2" s="5043"/>
      <c r="S2" s="5043"/>
      <c r="T2" s="5043"/>
      <c r="U2" s="5043"/>
      <c r="V2" s="5043"/>
    </row>
    <row r="3" spans="1:35" s="4017" customFormat="1" ht="19.5" customHeight="1">
      <c r="A3" s="5043" t="s">
        <v>1403</v>
      </c>
      <c r="B3" s="5043"/>
      <c r="C3" s="5043"/>
      <c r="D3" s="5043"/>
      <c r="E3" s="5043"/>
      <c r="F3" s="5043"/>
      <c r="G3" s="5043"/>
      <c r="H3" s="5043"/>
      <c r="I3" s="5043"/>
      <c r="J3" s="5043"/>
      <c r="K3" s="5043"/>
      <c r="L3" s="5043"/>
      <c r="M3" s="5043"/>
      <c r="N3" s="5043"/>
      <c r="O3" s="5043"/>
      <c r="P3" s="5043"/>
      <c r="Q3" s="5043"/>
      <c r="R3" s="5043"/>
      <c r="S3" s="5043"/>
      <c r="T3" s="5043"/>
      <c r="U3" s="5043"/>
      <c r="V3" s="5043"/>
    </row>
    <row r="4" spans="1:35" s="4017" customFormat="1" ht="15.75" customHeight="1">
      <c r="A4" s="5307" t="s">
        <v>1736</v>
      </c>
      <c r="B4" s="5307"/>
      <c r="C4" s="5307"/>
      <c r="D4" s="5307"/>
      <c r="E4" s="5307"/>
      <c r="F4" s="5307"/>
      <c r="G4" s="5307"/>
      <c r="H4" s="5307"/>
      <c r="I4" s="5307"/>
      <c r="J4" s="5307"/>
      <c r="K4" s="5307"/>
      <c r="L4" s="5307"/>
      <c r="M4" s="5307"/>
      <c r="N4" s="5307"/>
      <c r="O4" s="5307"/>
      <c r="P4" s="5307"/>
      <c r="Q4" s="5307"/>
      <c r="R4" s="5307"/>
      <c r="S4" s="5307"/>
      <c r="T4" s="5307"/>
      <c r="U4" s="5307"/>
      <c r="V4" s="5307"/>
    </row>
    <row r="5" spans="1:35" s="4017" customFormat="1" ht="19.5" customHeight="1">
      <c r="A5" s="5307" t="s">
        <v>1737</v>
      </c>
      <c r="B5" s="5307"/>
      <c r="C5" s="5307"/>
      <c r="D5" s="5307"/>
      <c r="E5" s="5307"/>
      <c r="F5" s="5307"/>
      <c r="G5" s="5307"/>
      <c r="H5" s="5307"/>
      <c r="I5" s="5307"/>
      <c r="J5" s="5307"/>
      <c r="K5" s="5307"/>
      <c r="L5" s="5307"/>
      <c r="M5" s="5307"/>
      <c r="N5" s="5307"/>
      <c r="O5" s="5307"/>
      <c r="P5" s="5307"/>
      <c r="Q5" s="5307"/>
      <c r="R5" s="5307"/>
      <c r="S5" s="5307"/>
      <c r="T5" s="5307"/>
      <c r="U5" s="5307"/>
      <c r="V5" s="5307"/>
    </row>
    <row r="6" spans="1:35" ht="12.75" thickBot="1">
      <c r="A6" s="5285"/>
      <c r="B6" s="5285"/>
      <c r="C6" s="5285"/>
      <c r="D6" s="5285"/>
      <c r="E6" s="5285"/>
      <c r="F6" s="5285"/>
      <c r="G6" s="5285"/>
      <c r="H6" s="5285"/>
      <c r="I6" s="5285"/>
      <c r="J6" s="5285"/>
      <c r="K6" s="4165"/>
      <c r="L6" s="4165"/>
      <c r="M6" s="4165"/>
      <c r="N6" s="4165"/>
      <c r="O6" s="4165"/>
      <c r="P6" s="4309"/>
      <c r="Q6" s="4165"/>
    </row>
    <row r="7" spans="1:35" ht="18.75" customHeight="1" thickBot="1">
      <c r="A7" s="5208" t="s">
        <v>203</v>
      </c>
      <c r="B7" s="5293" t="s">
        <v>461</v>
      </c>
      <c r="C7" s="5295" t="s">
        <v>462</v>
      </c>
      <c r="D7" s="5289" t="s">
        <v>913</v>
      </c>
      <c r="E7" s="5290"/>
      <c r="F7" s="5290"/>
      <c r="G7" s="5290"/>
      <c r="H7" s="5290"/>
      <c r="I7" s="5291"/>
      <c r="J7" s="5308" t="s">
        <v>1561</v>
      </c>
      <c r="K7" s="5215"/>
      <c r="L7" s="5215"/>
      <c r="M7" s="5215"/>
      <c r="N7" s="5215"/>
      <c r="O7" s="5216"/>
      <c r="P7" s="5273" t="str">
        <f>CONCATENATE("Изменение (хил.лв.) ",K8," спр. ",J8)</f>
        <v>Изменение (хил.лв.) 2027 г. спр. 2024 г.</v>
      </c>
      <c r="Q7" s="5215" t="s">
        <v>1884</v>
      </c>
      <c r="R7" s="5215"/>
      <c r="S7" s="5215"/>
      <c r="T7" s="5215"/>
      <c r="U7" s="5215"/>
      <c r="V7" s="5216"/>
      <c r="W7" s="4775"/>
      <c r="X7" s="5203" t="s">
        <v>1885</v>
      </c>
      <c r="Y7" s="5203"/>
      <c r="Z7" s="5203"/>
      <c r="AA7" s="5203"/>
      <c r="AB7" s="5203"/>
      <c r="AC7" s="5203"/>
      <c r="AD7" s="5203" t="s">
        <v>1886</v>
      </c>
      <c r="AE7" s="5203"/>
      <c r="AF7" s="5203"/>
      <c r="AG7" s="5203"/>
      <c r="AH7" s="5203"/>
      <c r="AI7" s="5203"/>
    </row>
    <row r="8" spans="1:35" ht="21" customHeight="1" thickBot="1">
      <c r="A8" s="5292"/>
      <c r="B8" s="5294"/>
      <c r="C8" s="5296"/>
      <c r="D8" s="4500" t="str">
        <f>'Приложение '!$C12</f>
        <v>2024 г.</v>
      </c>
      <c r="E8" s="4500" t="str">
        <f>'Приложение '!$C14</f>
        <v>2027 г.</v>
      </c>
      <c r="F8" s="4500" t="str">
        <f>'Приложение '!$C15</f>
        <v>2028 г.</v>
      </c>
      <c r="G8" s="4500" t="str">
        <f>'Приложение '!$C16</f>
        <v>2029 г.</v>
      </c>
      <c r="H8" s="4500" t="str">
        <f>'Приложение '!$C17</f>
        <v>2030 г.</v>
      </c>
      <c r="I8" s="4501" t="str">
        <f>'Приложение '!$C18</f>
        <v>2031 г.</v>
      </c>
      <c r="J8" s="4502" t="str">
        <f t="shared" ref="J8:O8" si="0">D8</f>
        <v>2024 г.</v>
      </c>
      <c r="K8" s="4503" t="str">
        <f t="shared" si="0"/>
        <v>2027 г.</v>
      </c>
      <c r="L8" s="4503" t="str">
        <f t="shared" si="0"/>
        <v>2028 г.</v>
      </c>
      <c r="M8" s="4503" t="str">
        <f t="shared" si="0"/>
        <v>2029 г.</v>
      </c>
      <c r="N8" s="4503" t="str">
        <f t="shared" si="0"/>
        <v>2030 г.</v>
      </c>
      <c r="O8" s="4504" t="str">
        <f t="shared" si="0"/>
        <v>2031 г.</v>
      </c>
      <c r="P8" s="5274"/>
      <c r="Q8" s="4502" t="str">
        <f t="shared" ref="Q8:V8" si="1">J8</f>
        <v>2024 г.</v>
      </c>
      <c r="R8" s="4503" t="str">
        <f t="shared" si="1"/>
        <v>2027 г.</v>
      </c>
      <c r="S8" s="4503" t="str">
        <f t="shared" si="1"/>
        <v>2028 г.</v>
      </c>
      <c r="T8" s="4503" t="str">
        <f t="shared" si="1"/>
        <v>2029 г.</v>
      </c>
      <c r="U8" s="4503" t="str">
        <f t="shared" si="1"/>
        <v>2030 г.</v>
      </c>
      <c r="V8" s="4504" t="str">
        <f t="shared" si="1"/>
        <v>2031 г.</v>
      </c>
      <c r="W8" s="4775"/>
      <c r="X8" s="4797" t="str">
        <f>J8</f>
        <v>2024 г.</v>
      </c>
      <c r="Y8" s="4797" t="str">
        <f t="shared" ref="Y8:AC8" si="2">K8</f>
        <v>2027 г.</v>
      </c>
      <c r="Z8" s="4797" t="str">
        <f t="shared" si="2"/>
        <v>2028 г.</v>
      </c>
      <c r="AA8" s="4797" t="str">
        <f t="shared" si="2"/>
        <v>2029 г.</v>
      </c>
      <c r="AB8" s="4797" t="str">
        <f t="shared" si="2"/>
        <v>2030 г.</v>
      </c>
      <c r="AC8" s="4797" t="str">
        <f t="shared" si="2"/>
        <v>2031 г.</v>
      </c>
      <c r="AD8" s="4797" t="str">
        <f>+X8</f>
        <v>2024 г.</v>
      </c>
      <c r="AE8" s="4797" t="str">
        <f t="shared" ref="AE8:AI8" si="3">+Y8</f>
        <v>2027 г.</v>
      </c>
      <c r="AF8" s="4797" t="str">
        <f t="shared" si="3"/>
        <v>2028 г.</v>
      </c>
      <c r="AG8" s="4797" t="str">
        <f t="shared" si="3"/>
        <v>2029 г.</v>
      </c>
      <c r="AH8" s="4797" t="str">
        <f t="shared" si="3"/>
        <v>2030 г.</v>
      </c>
      <c r="AI8" s="4797" t="str">
        <f t="shared" si="3"/>
        <v>2031 г.</v>
      </c>
    </row>
    <row r="9" spans="1:35" ht="21" customHeight="1" thickBot="1">
      <c r="A9" s="1535">
        <v>1</v>
      </c>
      <c r="B9" s="3840" t="s">
        <v>207</v>
      </c>
      <c r="C9" s="5286"/>
      <c r="D9" s="5286"/>
      <c r="E9" s="5286"/>
      <c r="F9" s="5286"/>
      <c r="G9" s="5286"/>
      <c r="H9" s="5286"/>
      <c r="I9" s="5286"/>
      <c r="J9" s="5286"/>
      <c r="K9" s="5286"/>
      <c r="L9" s="5286"/>
      <c r="M9" s="5286"/>
      <c r="N9" s="5286"/>
      <c r="O9" s="5286"/>
      <c r="P9" s="5309"/>
      <c r="Q9" s="5286"/>
      <c r="R9" s="5286"/>
      <c r="S9" s="5286"/>
      <c r="T9" s="5286"/>
      <c r="U9" s="5286"/>
      <c r="V9" s="5288"/>
      <c r="W9" s="4775"/>
    </row>
    <row r="10" spans="1:35" ht="12.75">
      <c r="A10" s="435" t="s">
        <v>463</v>
      </c>
      <c r="B10" s="1512" t="s">
        <v>464</v>
      </c>
      <c r="C10" s="1482" t="s">
        <v>676</v>
      </c>
      <c r="D10" s="3841">
        <v>129</v>
      </c>
      <c r="E10" s="3842">
        <v>129</v>
      </c>
      <c r="F10" s="3842">
        <v>129</v>
      </c>
      <c r="G10" s="3842">
        <v>129</v>
      </c>
      <c r="H10" s="3842">
        <v>129</v>
      </c>
      <c r="I10" s="3843">
        <v>129</v>
      </c>
      <c r="J10" s="3844">
        <v>28</v>
      </c>
      <c r="K10" s="3845">
        <v>35</v>
      </c>
      <c r="L10" s="3845">
        <v>36</v>
      </c>
      <c r="M10" s="3845">
        <v>38</v>
      </c>
      <c r="N10" s="3845">
        <v>40</v>
      </c>
      <c r="O10" s="4316">
        <v>42</v>
      </c>
      <c r="P10" s="4724">
        <f>IFERROR((K10-J10)/J10,0)</f>
        <v>0.25</v>
      </c>
      <c r="Q10" s="4320">
        <f>ROUND(IFERROR(J10*1000/D10,0),0)</f>
        <v>217</v>
      </c>
      <c r="R10" s="4068">
        <f t="shared" ref="Q10:V22" si="4">ROUND(IFERROR(K10*1000/E10,0),0)</f>
        <v>271</v>
      </c>
      <c r="S10" s="4068">
        <f t="shared" si="4"/>
        <v>279</v>
      </c>
      <c r="T10" s="4068">
        <f t="shared" si="4"/>
        <v>295</v>
      </c>
      <c r="U10" s="4068">
        <f t="shared" si="4"/>
        <v>310</v>
      </c>
      <c r="V10" s="4069">
        <f t="shared" si="4"/>
        <v>326</v>
      </c>
      <c r="W10" s="4775"/>
      <c r="X10" s="4794">
        <f>IFERROR(J10/$C$1,0)</f>
        <v>14.316172673494117</v>
      </c>
      <c r="Y10" s="4794">
        <f t="shared" ref="Y10:AC10" si="5">IFERROR(K10/$C$1,0)</f>
        <v>17.895215841867646</v>
      </c>
      <c r="Z10" s="4794">
        <f t="shared" si="5"/>
        <v>18.406507723063864</v>
      </c>
      <c r="AA10" s="4794">
        <f t="shared" si="5"/>
        <v>19.429091485456304</v>
      </c>
      <c r="AB10" s="4794">
        <f t="shared" si="5"/>
        <v>20.45167524784874</v>
      </c>
      <c r="AC10" s="4794">
        <f t="shared" si="5"/>
        <v>21.474259010241177</v>
      </c>
      <c r="AD10" s="4794">
        <f>IFERROR(Q10/$C$1,0)</f>
        <v>110.95033821957941</v>
      </c>
      <c r="AE10" s="4794">
        <f t="shared" ref="AE10:AI10" si="6">IFERROR(R10/$C$1,0)</f>
        <v>138.56009980417522</v>
      </c>
      <c r="AF10" s="4794">
        <f t="shared" si="6"/>
        <v>142.65043485374497</v>
      </c>
      <c r="AG10" s="4794">
        <f t="shared" si="6"/>
        <v>150.83110495288446</v>
      </c>
      <c r="AH10" s="4794">
        <f t="shared" si="6"/>
        <v>158.50048317082772</v>
      </c>
      <c r="AI10" s="4794">
        <f t="shared" si="6"/>
        <v>166.68115326996724</v>
      </c>
    </row>
    <row r="11" spans="1:35" ht="12.75">
      <c r="A11" s="436" t="s">
        <v>465</v>
      </c>
      <c r="B11" s="1513" t="s">
        <v>722</v>
      </c>
      <c r="C11" s="321" t="s">
        <v>676</v>
      </c>
      <c r="D11" s="258">
        <v>296</v>
      </c>
      <c r="E11" s="423">
        <v>295</v>
      </c>
      <c r="F11" s="423">
        <v>295</v>
      </c>
      <c r="G11" s="423">
        <v>290</v>
      </c>
      <c r="H11" s="423">
        <v>290</v>
      </c>
      <c r="I11" s="438">
        <v>285</v>
      </c>
      <c r="J11" s="422">
        <v>183</v>
      </c>
      <c r="K11" s="4184">
        <v>245</v>
      </c>
      <c r="L11" s="4184">
        <v>256</v>
      </c>
      <c r="M11" s="4184">
        <v>281</v>
      </c>
      <c r="N11" s="4184">
        <v>311</v>
      </c>
      <c r="O11" s="4318">
        <v>328</v>
      </c>
      <c r="P11" s="3139">
        <f t="shared" ref="P11:P24" si="7">IFERROR((K11-J11)/J11,0)</f>
        <v>0.33879781420765026</v>
      </c>
      <c r="Q11" s="4321">
        <f t="shared" si="4"/>
        <v>618</v>
      </c>
      <c r="R11" s="4070">
        <f t="shared" si="4"/>
        <v>831</v>
      </c>
      <c r="S11" s="4070">
        <f t="shared" si="4"/>
        <v>868</v>
      </c>
      <c r="T11" s="4070">
        <f t="shared" si="4"/>
        <v>969</v>
      </c>
      <c r="U11" s="4070">
        <f t="shared" si="4"/>
        <v>1072</v>
      </c>
      <c r="V11" s="4071">
        <f t="shared" si="4"/>
        <v>1151</v>
      </c>
      <c r="W11" s="4775"/>
      <c r="X11" s="4794">
        <f t="shared" ref="X11:X24" si="8">IFERROR(J11/$C$1,0)</f>
        <v>93.566414258907983</v>
      </c>
      <c r="Y11" s="4794">
        <f t="shared" ref="Y11:Y24" si="9">IFERROR(K11/$C$1,0)</f>
        <v>125.26651089307353</v>
      </c>
      <c r="Z11" s="4794">
        <f t="shared" ref="Z11:Z24" si="10">IFERROR(L11/$C$1,0)</f>
        <v>130.89072158623193</v>
      </c>
      <c r="AA11" s="4794">
        <f t="shared" ref="AA11:AA24" si="11">IFERROR(M11/$C$1,0)</f>
        <v>143.6730186161374</v>
      </c>
      <c r="AB11" s="4794">
        <f t="shared" ref="AB11:AB24" si="12">IFERROR(N11/$C$1,0)</f>
        <v>159.01177505202395</v>
      </c>
      <c r="AC11" s="4794">
        <f t="shared" ref="AC11:AC24" si="13">IFERROR(O11/$C$1,0)</f>
        <v>167.70373703235967</v>
      </c>
      <c r="AD11" s="4794">
        <f t="shared" ref="AD11:AD22" si="14">IFERROR(Q11/$C$1,0)</f>
        <v>315.97838257926304</v>
      </c>
      <c r="AE11" s="4794">
        <f t="shared" ref="AE11:AE22" si="15">IFERROR(R11/$C$1,0)</f>
        <v>424.88355327405759</v>
      </c>
      <c r="AF11" s="4794">
        <f t="shared" ref="AF11:AF22" si="16">IFERROR(S11/$C$1,0)</f>
        <v>443.80135287831763</v>
      </c>
      <c r="AG11" s="4794">
        <f t="shared" ref="AG11:AG22" si="17">IFERROR(T11/$C$1,0)</f>
        <v>495.44183287913575</v>
      </c>
      <c r="AH11" s="4794">
        <f t="shared" ref="AH11:AH22" si="18">IFERROR(U11/$C$1,0)</f>
        <v>548.10489664234626</v>
      </c>
      <c r="AI11" s="4794">
        <f t="shared" ref="AI11:AI22" si="19">IFERROR(V11/$C$1,0)</f>
        <v>588.49695525684751</v>
      </c>
    </row>
    <row r="12" spans="1:35" ht="12.75">
      <c r="A12" s="436" t="s">
        <v>466</v>
      </c>
      <c r="B12" s="1513" t="s">
        <v>467</v>
      </c>
      <c r="C12" s="321" t="s">
        <v>676</v>
      </c>
      <c r="D12" s="448">
        <v>867</v>
      </c>
      <c r="E12" s="423">
        <v>865</v>
      </c>
      <c r="F12" s="423">
        <v>860</v>
      </c>
      <c r="G12" s="423">
        <v>858</v>
      </c>
      <c r="H12" s="423">
        <v>855</v>
      </c>
      <c r="I12" s="438">
        <v>853</v>
      </c>
      <c r="J12" s="422">
        <v>882</v>
      </c>
      <c r="K12" s="4184">
        <v>975</v>
      </c>
      <c r="L12" s="4184">
        <v>1036</v>
      </c>
      <c r="M12" s="4184">
        <v>1091</v>
      </c>
      <c r="N12" s="4184">
        <v>1152</v>
      </c>
      <c r="O12" s="4318">
        <v>1211</v>
      </c>
      <c r="P12" s="3139">
        <f t="shared" si="7"/>
        <v>0.10544217687074831</v>
      </c>
      <c r="Q12" s="4321">
        <f t="shared" si="4"/>
        <v>1017</v>
      </c>
      <c r="R12" s="4070">
        <f t="shared" si="4"/>
        <v>1127</v>
      </c>
      <c r="S12" s="4070">
        <f t="shared" si="4"/>
        <v>1205</v>
      </c>
      <c r="T12" s="4070">
        <f t="shared" si="4"/>
        <v>1272</v>
      </c>
      <c r="U12" s="4070">
        <f t="shared" si="4"/>
        <v>1347</v>
      </c>
      <c r="V12" s="4071">
        <f t="shared" si="4"/>
        <v>1420</v>
      </c>
      <c r="W12" s="4775"/>
      <c r="X12" s="4794">
        <f t="shared" si="8"/>
        <v>450.95943921506472</v>
      </c>
      <c r="Y12" s="4794">
        <f t="shared" si="9"/>
        <v>498.50958416631306</v>
      </c>
      <c r="Z12" s="4794">
        <f t="shared" si="10"/>
        <v>529.69838891928237</v>
      </c>
      <c r="AA12" s="4794">
        <f t="shared" si="11"/>
        <v>557.81944238507435</v>
      </c>
      <c r="AB12" s="4794">
        <f t="shared" si="12"/>
        <v>589.00824713804366</v>
      </c>
      <c r="AC12" s="4794">
        <f t="shared" si="13"/>
        <v>619.17446812862056</v>
      </c>
      <c r="AD12" s="4794">
        <f t="shared" si="14"/>
        <v>519.98384317655416</v>
      </c>
      <c r="AE12" s="4794">
        <f t="shared" si="15"/>
        <v>576.22595010813825</v>
      </c>
      <c r="AF12" s="4794">
        <f t="shared" si="16"/>
        <v>616.10671684144324</v>
      </c>
      <c r="AG12" s="4794">
        <f t="shared" si="17"/>
        <v>650.36327288158998</v>
      </c>
      <c r="AH12" s="4794">
        <f t="shared" si="18"/>
        <v>688.71016397130632</v>
      </c>
      <c r="AI12" s="4794">
        <f t="shared" si="19"/>
        <v>726.03447129863025</v>
      </c>
    </row>
    <row r="13" spans="1:35" ht="12.75">
      <c r="A13" s="436" t="s">
        <v>468</v>
      </c>
      <c r="B13" s="1513" t="s">
        <v>469</v>
      </c>
      <c r="C13" s="321" t="s">
        <v>676</v>
      </c>
      <c r="D13" s="448">
        <v>1127</v>
      </c>
      <c r="E13" s="423">
        <v>1125</v>
      </c>
      <c r="F13" s="423">
        <v>1120</v>
      </c>
      <c r="G13" s="423">
        <v>1110</v>
      </c>
      <c r="H13" s="423">
        <v>1100</v>
      </c>
      <c r="I13" s="438">
        <v>1090</v>
      </c>
      <c r="J13" s="422">
        <v>479</v>
      </c>
      <c r="K13" s="4184">
        <v>519</v>
      </c>
      <c r="L13" s="4184">
        <v>534</v>
      </c>
      <c r="M13" s="4184">
        <v>559</v>
      </c>
      <c r="N13" s="4184">
        <v>584</v>
      </c>
      <c r="O13" s="4318">
        <v>631</v>
      </c>
      <c r="P13" s="3139">
        <f t="shared" si="7"/>
        <v>8.3507306889352817E-2</v>
      </c>
      <c r="Q13" s="4321">
        <f t="shared" si="4"/>
        <v>425</v>
      </c>
      <c r="R13" s="4070">
        <f t="shared" si="4"/>
        <v>461</v>
      </c>
      <c r="S13" s="4070">
        <f t="shared" si="4"/>
        <v>477</v>
      </c>
      <c r="T13" s="4070">
        <f t="shared" si="4"/>
        <v>504</v>
      </c>
      <c r="U13" s="4070">
        <f t="shared" si="4"/>
        <v>531</v>
      </c>
      <c r="V13" s="4071">
        <f t="shared" si="4"/>
        <v>579</v>
      </c>
      <c r="W13" s="4775"/>
      <c r="X13" s="4794">
        <f t="shared" si="8"/>
        <v>244.90881109298866</v>
      </c>
      <c r="Y13" s="4794">
        <f t="shared" si="9"/>
        <v>265.36048634083738</v>
      </c>
      <c r="Z13" s="4794">
        <f t="shared" si="10"/>
        <v>273.02986455878067</v>
      </c>
      <c r="AA13" s="4794">
        <f t="shared" si="11"/>
        <v>285.81216158868614</v>
      </c>
      <c r="AB13" s="4794">
        <f t="shared" si="12"/>
        <v>298.5944586185916</v>
      </c>
      <c r="AC13" s="4794">
        <f t="shared" si="13"/>
        <v>322.62517703481387</v>
      </c>
      <c r="AD13" s="4794">
        <f t="shared" si="14"/>
        <v>217.29904950839287</v>
      </c>
      <c r="AE13" s="4794">
        <f t="shared" si="15"/>
        <v>235.70555723145674</v>
      </c>
      <c r="AF13" s="4794">
        <f t="shared" si="16"/>
        <v>243.88622733059623</v>
      </c>
      <c r="AG13" s="4794">
        <f t="shared" si="17"/>
        <v>257.69110812289415</v>
      </c>
      <c r="AH13" s="4794">
        <f t="shared" si="18"/>
        <v>271.49598891519202</v>
      </c>
      <c r="AI13" s="4794">
        <f t="shared" si="19"/>
        <v>296.03799921261049</v>
      </c>
    </row>
    <row r="14" spans="1:35" ht="12.75">
      <c r="A14" s="436" t="s">
        <v>470</v>
      </c>
      <c r="B14" s="1513" t="s">
        <v>471</v>
      </c>
      <c r="C14" s="321" t="s">
        <v>676</v>
      </c>
      <c r="D14" s="448">
        <v>173</v>
      </c>
      <c r="E14" s="423">
        <v>170</v>
      </c>
      <c r="F14" s="423">
        <v>170</v>
      </c>
      <c r="G14" s="423">
        <v>170</v>
      </c>
      <c r="H14" s="423">
        <v>170</v>
      </c>
      <c r="I14" s="438">
        <v>170</v>
      </c>
      <c r="J14" s="422">
        <v>101</v>
      </c>
      <c r="K14" s="4184">
        <v>115</v>
      </c>
      <c r="L14" s="4184">
        <v>128</v>
      </c>
      <c r="M14" s="4184">
        <v>134</v>
      </c>
      <c r="N14" s="4184">
        <v>142</v>
      </c>
      <c r="O14" s="4318">
        <v>157</v>
      </c>
      <c r="P14" s="3139">
        <f t="shared" si="7"/>
        <v>0.13861386138613863</v>
      </c>
      <c r="Q14" s="4321">
        <f t="shared" si="4"/>
        <v>584</v>
      </c>
      <c r="R14" s="4070">
        <f t="shared" si="4"/>
        <v>676</v>
      </c>
      <c r="S14" s="4070">
        <f t="shared" si="4"/>
        <v>753</v>
      </c>
      <c r="T14" s="4070">
        <f t="shared" si="4"/>
        <v>788</v>
      </c>
      <c r="U14" s="4070">
        <f t="shared" si="4"/>
        <v>835</v>
      </c>
      <c r="V14" s="4071">
        <f t="shared" si="4"/>
        <v>924</v>
      </c>
      <c r="W14" s="4775"/>
      <c r="X14" s="4794">
        <f t="shared" si="8"/>
        <v>51.640480000818066</v>
      </c>
      <c r="Y14" s="4794">
        <f t="shared" si="9"/>
        <v>58.798566337565127</v>
      </c>
      <c r="Z14" s="4794">
        <f t="shared" si="10"/>
        <v>65.445360793115967</v>
      </c>
      <c r="AA14" s="4794">
        <f t="shared" si="11"/>
        <v>68.513112080293283</v>
      </c>
      <c r="AB14" s="4794">
        <f t="shared" si="12"/>
        <v>72.603447129863028</v>
      </c>
      <c r="AC14" s="4794">
        <f t="shared" si="13"/>
        <v>80.272825347806304</v>
      </c>
      <c r="AD14" s="4794">
        <f t="shared" si="14"/>
        <v>298.5944586185916</v>
      </c>
      <c r="AE14" s="4794">
        <f t="shared" si="15"/>
        <v>345.63331168864369</v>
      </c>
      <c r="AF14" s="4794">
        <f t="shared" si="16"/>
        <v>385.00278654075254</v>
      </c>
      <c r="AG14" s="4794">
        <f t="shared" si="17"/>
        <v>402.89800238262018</v>
      </c>
      <c r="AH14" s="4794">
        <f t="shared" si="18"/>
        <v>426.92872079884245</v>
      </c>
      <c r="AI14" s="4794">
        <f t="shared" si="19"/>
        <v>472.43369822530587</v>
      </c>
    </row>
    <row r="15" spans="1:35" ht="12.75">
      <c r="A15" s="436" t="s">
        <v>472</v>
      </c>
      <c r="B15" s="1513" t="s">
        <v>1346</v>
      </c>
      <c r="C15" s="321" t="s">
        <v>676</v>
      </c>
      <c r="D15" s="448">
        <v>7</v>
      </c>
      <c r="E15" s="423">
        <v>7</v>
      </c>
      <c r="F15" s="423">
        <v>7</v>
      </c>
      <c r="G15" s="423">
        <v>7</v>
      </c>
      <c r="H15" s="423">
        <v>7</v>
      </c>
      <c r="I15" s="438">
        <v>7</v>
      </c>
      <c r="J15" s="422">
        <v>1</v>
      </c>
      <c r="K15" s="4184">
        <v>1</v>
      </c>
      <c r="L15" s="4184">
        <v>1</v>
      </c>
      <c r="M15" s="4184">
        <v>1</v>
      </c>
      <c r="N15" s="4184">
        <v>1</v>
      </c>
      <c r="O15" s="4318">
        <v>1</v>
      </c>
      <c r="P15" s="3139">
        <f t="shared" si="7"/>
        <v>0</v>
      </c>
      <c r="Q15" s="4321">
        <f t="shared" si="4"/>
        <v>143</v>
      </c>
      <c r="R15" s="4070">
        <f t="shared" si="4"/>
        <v>143</v>
      </c>
      <c r="S15" s="4070">
        <f t="shared" si="4"/>
        <v>143</v>
      </c>
      <c r="T15" s="4070">
        <f t="shared" si="4"/>
        <v>143</v>
      </c>
      <c r="U15" s="4070">
        <f t="shared" si="4"/>
        <v>143</v>
      </c>
      <c r="V15" s="4071">
        <f t="shared" si="4"/>
        <v>143</v>
      </c>
      <c r="W15" s="4775"/>
      <c r="X15" s="4794">
        <f t="shared" si="8"/>
        <v>0.51129188119621849</v>
      </c>
      <c r="Y15" s="4794">
        <f t="shared" si="9"/>
        <v>0.51129188119621849</v>
      </c>
      <c r="Z15" s="4794">
        <f t="shared" si="10"/>
        <v>0.51129188119621849</v>
      </c>
      <c r="AA15" s="4794">
        <f t="shared" si="11"/>
        <v>0.51129188119621849</v>
      </c>
      <c r="AB15" s="4794">
        <f t="shared" si="12"/>
        <v>0.51129188119621849</v>
      </c>
      <c r="AC15" s="4794">
        <f t="shared" si="13"/>
        <v>0.51129188119621849</v>
      </c>
      <c r="AD15" s="4794">
        <f t="shared" si="14"/>
        <v>73.114739011059243</v>
      </c>
      <c r="AE15" s="4794">
        <f t="shared" si="15"/>
        <v>73.114739011059243</v>
      </c>
      <c r="AF15" s="4794">
        <f t="shared" si="16"/>
        <v>73.114739011059243</v>
      </c>
      <c r="AG15" s="4794">
        <f t="shared" si="17"/>
        <v>73.114739011059243</v>
      </c>
      <c r="AH15" s="4794">
        <f t="shared" si="18"/>
        <v>73.114739011059243</v>
      </c>
      <c r="AI15" s="4794">
        <f t="shared" si="19"/>
        <v>73.114739011059243</v>
      </c>
    </row>
    <row r="16" spans="1:35" ht="24">
      <c r="A16" s="436" t="s">
        <v>473</v>
      </c>
      <c r="B16" s="1513" t="s">
        <v>1347</v>
      </c>
      <c r="C16" s="321" t="s">
        <v>676</v>
      </c>
      <c r="D16" s="448">
        <v>60</v>
      </c>
      <c r="E16" s="423">
        <v>60</v>
      </c>
      <c r="F16" s="423">
        <v>60</v>
      </c>
      <c r="G16" s="423">
        <v>60</v>
      </c>
      <c r="H16" s="423">
        <v>60</v>
      </c>
      <c r="I16" s="438">
        <v>60</v>
      </c>
      <c r="J16" s="422">
        <v>22</v>
      </c>
      <c r="K16" s="4184">
        <v>25</v>
      </c>
      <c r="L16" s="4184">
        <v>26</v>
      </c>
      <c r="M16" s="4184">
        <v>26</v>
      </c>
      <c r="N16" s="4184">
        <v>27</v>
      </c>
      <c r="O16" s="4318">
        <v>29</v>
      </c>
      <c r="P16" s="3139">
        <f t="shared" si="7"/>
        <v>0.13636363636363635</v>
      </c>
      <c r="Q16" s="4321">
        <f t="shared" si="4"/>
        <v>367</v>
      </c>
      <c r="R16" s="4070">
        <f t="shared" si="4"/>
        <v>417</v>
      </c>
      <c r="S16" s="4070">
        <f t="shared" si="4"/>
        <v>433</v>
      </c>
      <c r="T16" s="4070">
        <f t="shared" si="4"/>
        <v>433</v>
      </c>
      <c r="U16" s="4070">
        <f t="shared" si="4"/>
        <v>450</v>
      </c>
      <c r="V16" s="4071">
        <f t="shared" si="4"/>
        <v>483</v>
      </c>
      <c r="W16" s="4775"/>
      <c r="X16" s="4794">
        <f t="shared" si="8"/>
        <v>11.248421386316807</v>
      </c>
      <c r="Y16" s="4794">
        <f t="shared" si="9"/>
        <v>12.782297029905463</v>
      </c>
      <c r="Z16" s="4794">
        <f t="shared" si="10"/>
        <v>13.293588911101681</v>
      </c>
      <c r="AA16" s="4794">
        <f t="shared" si="11"/>
        <v>13.293588911101681</v>
      </c>
      <c r="AB16" s="4794">
        <f t="shared" si="12"/>
        <v>13.804880792297899</v>
      </c>
      <c r="AC16" s="4794">
        <f t="shared" si="13"/>
        <v>14.827464554690337</v>
      </c>
      <c r="AD16" s="4794">
        <f t="shared" si="14"/>
        <v>187.64412039901219</v>
      </c>
      <c r="AE16" s="4794">
        <f t="shared" si="15"/>
        <v>213.20871445882312</v>
      </c>
      <c r="AF16" s="4794">
        <f t="shared" si="16"/>
        <v>221.38938455796261</v>
      </c>
      <c r="AG16" s="4794">
        <f t="shared" si="17"/>
        <v>221.38938455796261</v>
      </c>
      <c r="AH16" s="4794">
        <f t="shared" si="18"/>
        <v>230.08134653829833</v>
      </c>
      <c r="AI16" s="4794">
        <f t="shared" si="19"/>
        <v>246.95397861777354</v>
      </c>
    </row>
    <row r="17" spans="1:35" ht="23.25" customHeight="1">
      <c r="A17" s="436" t="s">
        <v>474</v>
      </c>
      <c r="B17" s="1513" t="s">
        <v>1348</v>
      </c>
      <c r="C17" s="321" t="s">
        <v>676</v>
      </c>
      <c r="D17" s="448">
        <v>10</v>
      </c>
      <c r="E17" s="423">
        <v>10</v>
      </c>
      <c r="F17" s="423">
        <v>10</v>
      </c>
      <c r="G17" s="423">
        <v>10</v>
      </c>
      <c r="H17" s="423">
        <v>10</v>
      </c>
      <c r="I17" s="438">
        <v>10</v>
      </c>
      <c r="J17" s="422">
        <v>4</v>
      </c>
      <c r="K17" s="4184">
        <v>4</v>
      </c>
      <c r="L17" s="4184">
        <v>5</v>
      </c>
      <c r="M17" s="4184">
        <v>5</v>
      </c>
      <c r="N17" s="4184">
        <v>5</v>
      </c>
      <c r="O17" s="4318">
        <v>6</v>
      </c>
      <c r="P17" s="3139">
        <f t="shared" si="7"/>
        <v>0</v>
      </c>
      <c r="Q17" s="4321">
        <f t="shared" si="4"/>
        <v>400</v>
      </c>
      <c r="R17" s="4070">
        <f t="shared" si="4"/>
        <v>400</v>
      </c>
      <c r="S17" s="4070">
        <f t="shared" si="4"/>
        <v>500</v>
      </c>
      <c r="T17" s="4070">
        <f t="shared" si="4"/>
        <v>500</v>
      </c>
      <c r="U17" s="4070">
        <f t="shared" si="4"/>
        <v>500</v>
      </c>
      <c r="V17" s="4071">
        <f t="shared" si="4"/>
        <v>600</v>
      </c>
      <c r="W17" s="4775"/>
      <c r="X17" s="4794">
        <f t="shared" si="8"/>
        <v>2.045167524784874</v>
      </c>
      <c r="Y17" s="4794">
        <f t="shared" si="9"/>
        <v>2.045167524784874</v>
      </c>
      <c r="Z17" s="4794">
        <f t="shared" si="10"/>
        <v>2.5564594059810926</v>
      </c>
      <c r="AA17" s="4794">
        <f t="shared" si="11"/>
        <v>2.5564594059810926</v>
      </c>
      <c r="AB17" s="4794">
        <f t="shared" si="12"/>
        <v>2.5564594059810926</v>
      </c>
      <c r="AC17" s="4794">
        <f t="shared" si="13"/>
        <v>3.0677512871773112</v>
      </c>
      <c r="AD17" s="4794">
        <f t="shared" si="14"/>
        <v>204.5167524784874</v>
      </c>
      <c r="AE17" s="4794">
        <f t="shared" si="15"/>
        <v>204.5167524784874</v>
      </c>
      <c r="AF17" s="4794">
        <f t="shared" si="16"/>
        <v>255.64594059810923</v>
      </c>
      <c r="AG17" s="4794">
        <f t="shared" si="17"/>
        <v>255.64594059810923</v>
      </c>
      <c r="AH17" s="4794">
        <f t="shared" si="18"/>
        <v>255.64594059810923</v>
      </c>
      <c r="AI17" s="4794">
        <f t="shared" si="19"/>
        <v>306.77512871773109</v>
      </c>
    </row>
    <row r="18" spans="1:35" ht="12.75">
      <c r="A18" s="436" t="s">
        <v>475</v>
      </c>
      <c r="B18" s="1513" t="s">
        <v>1349</v>
      </c>
      <c r="C18" s="321" t="s">
        <v>676</v>
      </c>
      <c r="D18" s="448">
        <v>9</v>
      </c>
      <c r="E18" s="423">
        <v>9</v>
      </c>
      <c r="F18" s="423">
        <v>9</v>
      </c>
      <c r="G18" s="423">
        <v>9</v>
      </c>
      <c r="H18" s="423">
        <v>9</v>
      </c>
      <c r="I18" s="438">
        <v>9</v>
      </c>
      <c r="J18" s="422">
        <v>3</v>
      </c>
      <c r="K18" s="4184">
        <v>3</v>
      </c>
      <c r="L18" s="4184">
        <v>4</v>
      </c>
      <c r="M18" s="4184">
        <v>4</v>
      </c>
      <c r="N18" s="4184">
        <v>4</v>
      </c>
      <c r="O18" s="4318">
        <v>4</v>
      </c>
      <c r="P18" s="3139">
        <f t="shared" si="7"/>
        <v>0</v>
      </c>
      <c r="Q18" s="4321">
        <f t="shared" si="4"/>
        <v>333</v>
      </c>
      <c r="R18" s="4070">
        <f t="shared" si="4"/>
        <v>333</v>
      </c>
      <c r="S18" s="4070">
        <f t="shared" si="4"/>
        <v>444</v>
      </c>
      <c r="T18" s="4070">
        <f t="shared" si="4"/>
        <v>444</v>
      </c>
      <c r="U18" s="4070">
        <f t="shared" si="4"/>
        <v>444</v>
      </c>
      <c r="V18" s="4071">
        <f>ROUND(IFERROR(O18*1000/I18,0),0)</f>
        <v>444</v>
      </c>
      <c r="W18" s="4775"/>
      <c r="X18" s="4794">
        <f t="shared" si="8"/>
        <v>1.5338756435886556</v>
      </c>
      <c r="Y18" s="4794">
        <f t="shared" si="9"/>
        <v>1.5338756435886556</v>
      </c>
      <c r="Z18" s="4794">
        <f t="shared" si="10"/>
        <v>2.045167524784874</v>
      </c>
      <c r="AA18" s="4794">
        <f t="shared" si="11"/>
        <v>2.045167524784874</v>
      </c>
      <c r="AB18" s="4794">
        <f t="shared" si="12"/>
        <v>2.045167524784874</v>
      </c>
      <c r="AC18" s="4794">
        <f t="shared" si="13"/>
        <v>2.045167524784874</v>
      </c>
      <c r="AD18" s="4794">
        <f t="shared" si="14"/>
        <v>170.26019643834076</v>
      </c>
      <c r="AE18" s="4794">
        <f t="shared" si="15"/>
        <v>170.26019643834076</v>
      </c>
      <c r="AF18" s="4794">
        <f t="shared" si="16"/>
        <v>227.01359525112102</v>
      </c>
      <c r="AG18" s="4794">
        <f t="shared" si="17"/>
        <v>227.01359525112102</v>
      </c>
      <c r="AH18" s="4794">
        <f t="shared" si="18"/>
        <v>227.01359525112102</v>
      </c>
      <c r="AI18" s="4794">
        <f t="shared" si="19"/>
        <v>227.01359525112102</v>
      </c>
    </row>
    <row r="19" spans="1:35" ht="24">
      <c r="A19" s="436" t="s">
        <v>476</v>
      </c>
      <c r="B19" s="1513" t="s">
        <v>1409</v>
      </c>
      <c r="C19" s="321" t="s">
        <v>676</v>
      </c>
      <c r="D19" s="448">
        <v>199</v>
      </c>
      <c r="E19" s="423">
        <v>199</v>
      </c>
      <c r="F19" s="423">
        <v>199</v>
      </c>
      <c r="G19" s="423">
        <v>199</v>
      </c>
      <c r="H19" s="423">
        <v>199</v>
      </c>
      <c r="I19" s="438">
        <v>199</v>
      </c>
      <c r="J19" s="422">
        <v>136</v>
      </c>
      <c r="K19" s="4184">
        <v>148</v>
      </c>
      <c r="L19" s="4184">
        <v>151</v>
      </c>
      <c r="M19" s="4184">
        <v>163</v>
      </c>
      <c r="N19" s="4184">
        <v>176</v>
      </c>
      <c r="O19" s="4318">
        <v>195</v>
      </c>
      <c r="P19" s="3139">
        <f t="shared" si="7"/>
        <v>8.8235294117647065E-2</v>
      </c>
      <c r="Q19" s="4321">
        <f t="shared" si="4"/>
        <v>683</v>
      </c>
      <c r="R19" s="4070">
        <f t="shared" si="4"/>
        <v>744</v>
      </c>
      <c r="S19" s="4070">
        <f t="shared" si="4"/>
        <v>759</v>
      </c>
      <c r="T19" s="4070">
        <f t="shared" si="4"/>
        <v>819</v>
      </c>
      <c r="U19" s="4070">
        <f t="shared" si="4"/>
        <v>884</v>
      </c>
      <c r="V19" s="4071">
        <f t="shared" si="4"/>
        <v>980</v>
      </c>
      <c r="W19" s="4775"/>
      <c r="X19" s="4794">
        <f t="shared" si="8"/>
        <v>69.535695842685712</v>
      </c>
      <c r="Y19" s="4794">
        <f t="shared" si="9"/>
        <v>75.671198417040344</v>
      </c>
      <c r="Z19" s="4794">
        <f t="shared" si="10"/>
        <v>77.205074060628988</v>
      </c>
      <c r="AA19" s="4794">
        <f t="shared" si="11"/>
        <v>83.34057663498362</v>
      </c>
      <c r="AB19" s="4794">
        <f t="shared" si="12"/>
        <v>89.987371090534452</v>
      </c>
      <c r="AC19" s="4794">
        <f t="shared" si="13"/>
        <v>99.701916833262601</v>
      </c>
      <c r="AD19" s="4794">
        <f t="shared" si="14"/>
        <v>349.21235485701726</v>
      </c>
      <c r="AE19" s="4794">
        <f t="shared" si="15"/>
        <v>380.40115960998656</v>
      </c>
      <c r="AF19" s="4794">
        <f t="shared" si="16"/>
        <v>388.07053782792985</v>
      </c>
      <c r="AG19" s="4794">
        <f t="shared" si="17"/>
        <v>418.74805069970296</v>
      </c>
      <c r="AH19" s="4794">
        <f t="shared" si="18"/>
        <v>451.98202297745718</v>
      </c>
      <c r="AI19" s="4794">
        <f t="shared" si="19"/>
        <v>501.06604357229412</v>
      </c>
    </row>
    <row r="20" spans="1:35" ht="12.75">
      <c r="A20" s="436" t="s">
        <v>681</v>
      </c>
      <c r="B20" s="1514" t="s">
        <v>914</v>
      </c>
      <c r="C20" s="321" t="s">
        <v>676</v>
      </c>
      <c r="D20" s="448">
        <v>181</v>
      </c>
      <c r="E20" s="423">
        <v>181</v>
      </c>
      <c r="F20" s="423">
        <v>181</v>
      </c>
      <c r="G20" s="423">
        <v>181</v>
      </c>
      <c r="H20" s="423">
        <v>181</v>
      </c>
      <c r="I20" s="438">
        <v>181</v>
      </c>
      <c r="J20" s="422">
        <v>23</v>
      </c>
      <c r="K20" s="4184">
        <v>26</v>
      </c>
      <c r="L20" s="4184">
        <v>26</v>
      </c>
      <c r="M20" s="4184">
        <v>26</v>
      </c>
      <c r="N20" s="4184">
        <v>27</v>
      </c>
      <c r="O20" s="4318">
        <v>28</v>
      </c>
      <c r="P20" s="3139">
        <f t="shared" si="7"/>
        <v>0.13043478260869565</v>
      </c>
      <c r="Q20" s="4321">
        <f t="shared" si="4"/>
        <v>127</v>
      </c>
      <c r="R20" s="4070">
        <f t="shared" si="4"/>
        <v>144</v>
      </c>
      <c r="S20" s="4070">
        <f t="shared" si="4"/>
        <v>144</v>
      </c>
      <c r="T20" s="4070">
        <f t="shared" si="4"/>
        <v>144</v>
      </c>
      <c r="U20" s="4070">
        <f t="shared" si="4"/>
        <v>149</v>
      </c>
      <c r="V20" s="4071">
        <f t="shared" si="4"/>
        <v>155</v>
      </c>
      <c r="W20" s="4775"/>
      <c r="X20" s="4794">
        <f t="shared" si="8"/>
        <v>11.759713267513025</v>
      </c>
      <c r="Y20" s="4794">
        <f t="shared" si="9"/>
        <v>13.293588911101681</v>
      </c>
      <c r="Z20" s="4794">
        <f t="shared" si="10"/>
        <v>13.293588911101681</v>
      </c>
      <c r="AA20" s="4794">
        <f t="shared" si="11"/>
        <v>13.293588911101681</v>
      </c>
      <c r="AB20" s="4794">
        <f t="shared" si="12"/>
        <v>13.804880792297899</v>
      </c>
      <c r="AC20" s="4794">
        <f t="shared" si="13"/>
        <v>14.316172673494117</v>
      </c>
      <c r="AD20" s="4794">
        <f t="shared" si="14"/>
        <v>64.934068911919752</v>
      </c>
      <c r="AE20" s="4794">
        <f t="shared" si="15"/>
        <v>73.626030892255457</v>
      </c>
      <c r="AF20" s="4794">
        <f t="shared" si="16"/>
        <v>73.626030892255457</v>
      </c>
      <c r="AG20" s="4794">
        <f t="shared" si="17"/>
        <v>73.626030892255457</v>
      </c>
      <c r="AH20" s="4794">
        <f t="shared" si="18"/>
        <v>76.182490298236559</v>
      </c>
      <c r="AI20" s="4794">
        <f t="shared" si="19"/>
        <v>79.25024158541386</v>
      </c>
    </row>
    <row r="21" spans="1:35" ht="12.75">
      <c r="A21" s="436" t="s">
        <v>729</v>
      </c>
      <c r="B21" s="1514" t="s">
        <v>915</v>
      </c>
      <c r="C21" s="321" t="s">
        <v>676</v>
      </c>
      <c r="D21" s="448">
        <v>2</v>
      </c>
      <c r="E21" s="423">
        <v>2</v>
      </c>
      <c r="F21" s="423">
        <v>2</v>
      </c>
      <c r="G21" s="423">
        <v>2</v>
      </c>
      <c r="H21" s="423">
        <v>2</v>
      </c>
      <c r="I21" s="438">
        <v>2</v>
      </c>
      <c r="J21" s="422">
        <v>1</v>
      </c>
      <c r="K21" s="4184">
        <v>1</v>
      </c>
      <c r="L21" s="4184">
        <v>1</v>
      </c>
      <c r="M21" s="4184">
        <v>1</v>
      </c>
      <c r="N21" s="4184">
        <v>1</v>
      </c>
      <c r="O21" s="4318">
        <v>1</v>
      </c>
      <c r="P21" s="3139">
        <f t="shared" si="7"/>
        <v>0</v>
      </c>
      <c r="Q21" s="4321">
        <f t="shared" si="4"/>
        <v>500</v>
      </c>
      <c r="R21" s="4070">
        <f t="shared" si="4"/>
        <v>500</v>
      </c>
      <c r="S21" s="4070">
        <f t="shared" si="4"/>
        <v>500</v>
      </c>
      <c r="T21" s="4070">
        <f t="shared" si="4"/>
        <v>500</v>
      </c>
      <c r="U21" s="4070">
        <f t="shared" si="4"/>
        <v>500</v>
      </c>
      <c r="V21" s="4071">
        <f t="shared" si="4"/>
        <v>500</v>
      </c>
      <c r="W21" s="4775"/>
      <c r="X21" s="4794">
        <f t="shared" si="8"/>
        <v>0.51129188119621849</v>
      </c>
      <c r="Y21" s="4794">
        <f t="shared" si="9"/>
        <v>0.51129188119621849</v>
      </c>
      <c r="Z21" s="4794">
        <f t="shared" si="10"/>
        <v>0.51129188119621849</v>
      </c>
      <c r="AA21" s="4794">
        <f t="shared" si="11"/>
        <v>0.51129188119621849</v>
      </c>
      <c r="AB21" s="4794">
        <f t="shared" si="12"/>
        <v>0.51129188119621849</v>
      </c>
      <c r="AC21" s="4794">
        <f t="shared" si="13"/>
        <v>0.51129188119621849</v>
      </c>
      <c r="AD21" s="4794">
        <f t="shared" si="14"/>
        <v>255.64594059810923</v>
      </c>
      <c r="AE21" s="4794">
        <f t="shared" si="15"/>
        <v>255.64594059810923</v>
      </c>
      <c r="AF21" s="4794">
        <f t="shared" si="16"/>
        <v>255.64594059810923</v>
      </c>
      <c r="AG21" s="4794">
        <f t="shared" si="17"/>
        <v>255.64594059810923</v>
      </c>
      <c r="AH21" s="4794">
        <f t="shared" si="18"/>
        <v>255.64594059810923</v>
      </c>
      <c r="AI21" s="4794">
        <f t="shared" si="19"/>
        <v>255.64594059810923</v>
      </c>
    </row>
    <row r="22" spans="1:35" ht="26.25" customHeight="1">
      <c r="A22" s="436" t="s">
        <v>730</v>
      </c>
      <c r="B22" s="2152" t="s">
        <v>1350</v>
      </c>
      <c r="C22" s="321" t="s">
        <v>676</v>
      </c>
      <c r="D22" s="448">
        <v>60</v>
      </c>
      <c r="E22" s="423">
        <v>60</v>
      </c>
      <c r="F22" s="423">
        <v>60</v>
      </c>
      <c r="G22" s="423">
        <v>60</v>
      </c>
      <c r="H22" s="423">
        <v>60</v>
      </c>
      <c r="I22" s="438">
        <v>60</v>
      </c>
      <c r="J22" s="422">
        <v>21</v>
      </c>
      <c r="K22" s="4184">
        <v>23</v>
      </c>
      <c r="L22" s="4184">
        <v>24</v>
      </c>
      <c r="M22" s="4184">
        <v>24</v>
      </c>
      <c r="N22" s="4184">
        <v>26</v>
      </c>
      <c r="O22" s="4318">
        <v>27</v>
      </c>
      <c r="P22" s="3139">
        <f t="shared" si="7"/>
        <v>9.5238095238095233E-2</v>
      </c>
      <c r="Q22" s="4321">
        <f t="shared" si="4"/>
        <v>350</v>
      </c>
      <c r="R22" s="4070">
        <f t="shared" si="4"/>
        <v>383</v>
      </c>
      <c r="S22" s="4070">
        <f t="shared" si="4"/>
        <v>400</v>
      </c>
      <c r="T22" s="4070">
        <f t="shared" si="4"/>
        <v>400</v>
      </c>
      <c r="U22" s="4070">
        <f t="shared" si="4"/>
        <v>433</v>
      </c>
      <c r="V22" s="4071">
        <f t="shared" si="4"/>
        <v>450</v>
      </c>
      <c r="W22" s="4775"/>
      <c r="X22" s="4794">
        <f t="shared" si="8"/>
        <v>10.737129505120588</v>
      </c>
      <c r="Y22" s="4794">
        <f t="shared" si="9"/>
        <v>11.759713267513025</v>
      </c>
      <c r="Z22" s="4794">
        <f t="shared" si="10"/>
        <v>12.271005148709245</v>
      </c>
      <c r="AA22" s="4794">
        <f t="shared" si="11"/>
        <v>12.271005148709245</v>
      </c>
      <c r="AB22" s="4794">
        <f t="shared" si="12"/>
        <v>13.293588911101681</v>
      </c>
      <c r="AC22" s="4794">
        <f t="shared" si="13"/>
        <v>13.804880792297899</v>
      </c>
      <c r="AD22" s="4794">
        <f t="shared" si="14"/>
        <v>178.95215841867648</v>
      </c>
      <c r="AE22" s="4794">
        <f t="shared" si="15"/>
        <v>195.82479049815169</v>
      </c>
      <c r="AF22" s="4794">
        <f t="shared" si="16"/>
        <v>204.5167524784874</v>
      </c>
      <c r="AG22" s="4794">
        <f t="shared" si="17"/>
        <v>204.5167524784874</v>
      </c>
      <c r="AH22" s="4794">
        <f t="shared" si="18"/>
        <v>221.38938455796261</v>
      </c>
      <c r="AI22" s="4794">
        <f t="shared" si="19"/>
        <v>230.08134653829833</v>
      </c>
    </row>
    <row r="23" spans="1:35" ht="24.75" thickBot="1">
      <c r="A23" s="436" t="s">
        <v>731</v>
      </c>
      <c r="B23" s="1513" t="s">
        <v>1341</v>
      </c>
      <c r="C23" s="321" t="s">
        <v>313</v>
      </c>
      <c r="D23" s="2153"/>
      <c r="E23" s="2154"/>
      <c r="F23" s="2154"/>
      <c r="G23" s="2154"/>
      <c r="H23" s="2154"/>
      <c r="I23" s="2155"/>
      <c r="J23" s="3846">
        <v>3</v>
      </c>
      <c r="K23" s="4185">
        <v>4</v>
      </c>
      <c r="L23" s="4185">
        <v>4</v>
      </c>
      <c r="M23" s="4185">
        <v>4</v>
      </c>
      <c r="N23" s="4185">
        <v>4</v>
      </c>
      <c r="O23" s="4319">
        <v>5</v>
      </c>
      <c r="P23" s="4725">
        <f t="shared" si="7"/>
        <v>0.33333333333333331</v>
      </c>
      <c r="Q23" s="3873"/>
      <c r="R23" s="2154"/>
      <c r="S23" s="2154"/>
      <c r="T23" s="2154"/>
      <c r="U23" s="2154"/>
      <c r="V23" s="2155"/>
      <c r="W23" s="4775"/>
      <c r="X23" s="4794">
        <f t="shared" si="8"/>
        <v>1.5338756435886556</v>
      </c>
      <c r="Y23" s="4794">
        <f t="shared" si="9"/>
        <v>2.045167524784874</v>
      </c>
      <c r="Z23" s="4794">
        <f t="shared" si="10"/>
        <v>2.045167524784874</v>
      </c>
      <c r="AA23" s="4794">
        <f t="shared" si="11"/>
        <v>2.045167524784874</v>
      </c>
      <c r="AB23" s="4794">
        <f t="shared" si="12"/>
        <v>2.045167524784874</v>
      </c>
      <c r="AC23" s="4794">
        <f t="shared" si="13"/>
        <v>2.5564594059810926</v>
      </c>
    </row>
    <row r="24" spans="1:35" ht="24.75" thickBot="1">
      <c r="A24" s="3847"/>
      <c r="B24" s="3848" t="s">
        <v>1351</v>
      </c>
      <c r="C24" s="1516"/>
      <c r="D24" s="3849">
        <f t="shared" ref="D24:O24" si="20">SUM(D10:D23)</f>
        <v>3120</v>
      </c>
      <c r="E24" s="331">
        <f t="shared" si="20"/>
        <v>3112</v>
      </c>
      <c r="F24" s="331">
        <f t="shared" si="20"/>
        <v>3102</v>
      </c>
      <c r="G24" s="331">
        <f t="shared" si="20"/>
        <v>3085</v>
      </c>
      <c r="H24" s="331">
        <f t="shared" si="20"/>
        <v>3072</v>
      </c>
      <c r="I24" s="330">
        <f t="shared" si="20"/>
        <v>3055</v>
      </c>
      <c r="J24" s="3849">
        <f t="shared" si="20"/>
        <v>1887</v>
      </c>
      <c r="K24" s="331">
        <f t="shared" si="20"/>
        <v>2124</v>
      </c>
      <c r="L24" s="331">
        <f t="shared" si="20"/>
        <v>2232</v>
      </c>
      <c r="M24" s="331">
        <f t="shared" si="20"/>
        <v>2357</v>
      </c>
      <c r="N24" s="331">
        <f t="shared" si="20"/>
        <v>2500</v>
      </c>
      <c r="O24" s="3850">
        <f t="shared" si="20"/>
        <v>2665</v>
      </c>
      <c r="P24" s="4505">
        <f t="shared" si="7"/>
        <v>0.12559618441971382</v>
      </c>
      <c r="Q24" s="3851"/>
      <c r="R24" s="3852"/>
      <c r="S24" s="3852"/>
      <c r="T24" s="3852"/>
      <c r="U24" s="3852"/>
      <c r="V24" s="3853"/>
      <c r="W24" s="4775"/>
      <c r="X24" s="4794">
        <f t="shared" si="8"/>
        <v>964.8077798172643</v>
      </c>
      <c r="Y24" s="4794">
        <f t="shared" si="9"/>
        <v>1085.9839556607681</v>
      </c>
      <c r="Z24" s="4794">
        <f t="shared" si="10"/>
        <v>1141.2034788299597</v>
      </c>
      <c r="AA24" s="4794">
        <f t="shared" si="11"/>
        <v>1205.1149639794869</v>
      </c>
      <c r="AB24" s="4794">
        <f t="shared" si="12"/>
        <v>1278.2297029905462</v>
      </c>
      <c r="AC24" s="4794">
        <f t="shared" si="13"/>
        <v>1362.5928633879223</v>
      </c>
    </row>
    <row r="25" spans="1:35" ht="13.5" thickBot="1">
      <c r="A25" s="3854"/>
      <c r="B25" s="3855" t="s">
        <v>1428</v>
      </c>
      <c r="C25" s="3902" t="s">
        <v>170</v>
      </c>
      <c r="D25" s="3856"/>
      <c r="E25" s="3857">
        <f>IFERROR((E24-D24)/D24,0)</f>
        <v>-2.5641025641025641E-3</v>
      </c>
      <c r="F25" s="3857">
        <f>IFERROR((F24-E24)/E24,0)</f>
        <v>-3.2133676092544988E-3</v>
      </c>
      <c r="G25" s="3857">
        <f>IFERROR((G24-F24)/F24,0)</f>
        <v>-5.4803352675693098E-3</v>
      </c>
      <c r="H25" s="3857">
        <f>IFERROR((H24-G24)/G24,0)</f>
        <v>-4.2139384116693683E-3</v>
      </c>
      <c r="I25" s="3858">
        <f>IFERROR((I24-H24)/H24,0)</f>
        <v>-5.533854166666667E-3</v>
      </c>
      <c r="J25" s="3859"/>
      <c r="K25" s="3857">
        <f>IFERROR((K24-J24)/J24,0)</f>
        <v>0.12559618441971382</v>
      </c>
      <c r="L25" s="3857">
        <f>IFERROR((L24-K24)/K24,0)</f>
        <v>5.0847457627118647E-2</v>
      </c>
      <c r="M25" s="3857">
        <f>IFERROR((M24-L24)/L24,0)</f>
        <v>5.6003584229390682E-2</v>
      </c>
      <c r="N25" s="3857">
        <f>IFERROR((N24-M24)/M24,0)</f>
        <v>6.0670343657191345E-2</v>
      </c>
      <c r="O25" s="3857">
        <f>IFERROR((O24-N24)/N24,0)</f>
        <v>6.6000000000000003E-2</v>
      </c>
      <c r="P25" s="4317"/>
      <c r="Q25" s="3860"/>
      <c r="R25" s="3861"/>
      <c r="S25" s="3861"/>
      <c r="T25" s="3861"/>
      <c r="U25" s="3861"/>
      <c r="V25" s="3862"/>
      <c r="W25" s="4775"/>
    </row>
    <row r="26" spans="1:35" ht="13.5" customHeight="1" thickBot="1">
      <c r="A26" s="3863" t="s">
        <v>1067</v>
      </c>
      <c r="B26" s="1530"/>
      <c r="C26" s="1530"/>
      <c r="D26" s="1530"/>
      <c r="E26" s="1530"/>
      <c r="F26" s="1530"/>
      <c r="G26" s="1530"/>
      <c r="H26" s="1530"/>
      <c r="I26" s="1530"/>
      <c r="J26" s="1530"/>
      <c r="K26" s="1530"/>
      <c r="L26" s="1530"/>
      <c r="M26" s="1530"/>
      <c r="N26" s="1530"/>
      <c r="O26" s="1530"/>
      <c r="P26" s="3864"/>
      <c r="Q26" s="3864"/>
      <c r="R26" s="3864"/>
      <c r="S26" s="3864"/>
      <c r="T26" s="3864"/>
      <c r="U26" s="3864"/>
      <c r="V26" s="3865"/>
      <c r="W26" s="4775"/>
    </row>
    <row r="27" spans="1:35" ht="12.75">
      <c r="A27" s="1380"/>
      <c r="B27" s="1525" t="s">
        <v>1068</v>
      </c>
      <c r="C27" s="3911"/>
      <c r="D27" s="2157"/>
      <c r="E27" s="2158"/>
      <c r="F27" s="2158"/>
      <c r="G27" s="2158"/>
      <c r="H27" s="2158"/>
      <c r="I27" s="2159"/>
      <c r="J27" s="444">
        <v>356</v>
      </c>
      <c r="K27" s="445">
        <v>356</v>
      </c>
      <c r="L27" s="445">
        <v>356</v>
      </c>
      <c r="M27" s="445">
        <v>356</v>
      </c>
      <c r="N27" s="445">
        <v>356</v>
      </c>
      <c r="O27" s="4322">
        <v>356</v>
      </c>
      <c r="P27" s="4726">
        <f>IFERROR((K27-J27)/J27,0)</f>
        <v>0</v>
      </c>
      <c r="Q27" s="3866"/>
      <c r="R27" s="2158"/>
      <c r="S27" s="2158"/>
      <c r="T27" s="2158"/>
      <c r="U27" s="2158"/>
      <c r="V27" s="2159"/>
      <c r="W27" s="4775"/>
      <c r="X27" s="4794">
        <f t="shared" ref="X27" si="21">IFERROR(J27/$C$1,0)</f>
        <v>182.01990970585379</v>
      </c>
      <c r="Y27" s="4794">
        <f t="shared" ref="Y27" si="22">IFERROR(K27/$C$1,0)</f>
        <v>182.01990970585379</v>
      </c>
      <c r="Z27" s="4794">
        <f t="shared" ref="Z27" si="23">IFERROR(L27/$C$1,0)</f>
        <v>182.01990970585379</v>
      </c>
      <c r="AA27" s="4794">
        <f t="shared" ref="AA27" si="24">IFERROR(M27/$C$1,0)</f>
        <v>182.01990970585379</v>
      </c>
      <c r="AB27" s="4794">
        <f t="shared" ref="AB27" si="25">IFERROR(N27/$C$1,0)</f>
        <v>182.01990970585379</v>
      </c>
      <c r="AC27" s="4794">
        <f t="shared" ref="AC27" si="26">IFERROR(O27/$C$1,0)</f>
        <v>182.01990970585379</v>
      </c>
    </row>
    <row r="28" spans="1:35" ht="12.75">
      <c r="A28" s="1380"/>
      <c r="B28" s="3867" t="s">
        <v>1431</v>
      </c>
      <c r="C28" s="3912" t="s">
        <v>170</v>
      </c>
      <c r="D28" s="2160"/>
      <c r="E28" s="2088"/>
      <c r="F28" s="2088"/>
      <c r="G28" s="2088"/>
      <c r="H28" s="2088"/>
      <c r="I28" s="2161"/>
      <c r="J28" s="4189"/>
      <c r="K28" s="3868">
        <f>IFERROR((K27-J27)/J27,0)</f>
        <v>0</v>
      </c>
      <c r="L28" s="3868">
        <f>IFERROR((L27-K27)/K27,0)</f>
        <v>0</v>
      </c>
      <c r="M28" s="3868">
        <f>IFERROR((M27-L27)/L27,0)</f>
        <v>0</v>
      </c>
      <c r="N28" s="3868">
        <f>IFERROR((N27-M27)/M27,0)</f>
        <v>0</v>
      </c>
      <c r="O28" s="4323">
        <f>IFERROR((O27-N27)/N27,0)</f>
        <v>0</v>
      </c>
      <c r="P28" s="4727"/>
      <c r="Q28" s="3234"/>
      <c r="R28" s="2088"/>
      <c r="S28" s="2088"/>
      <c r="T28" s="2088"/>
      <c r="U28" s="2088"/>
      <c r="V28" s="2161"/>
      <c r="W28" s="4775"/>
    </row>
    <row r="29" spans="1:35" ht="12.75">
      <c r="A29" s="1379"/>
      <c r="B29" s="1519" t="s">
        <v>642</v>
      </c>
      <c r="C29" s="3913"/>
      <c r="D29" s="2160"/>
      <c r="E29" s="2088"/>
      <c r="F29" s="2088"/>
      <c r="G29" s="2088"/>
      <c r="H29" s="2088"/>
      <c r="I29" s="2161"/>
      <c r="J29" s="447">
        <v>504</v>
      </c>
      <c r="K29" s="429">
        <v>504</v>
      </c>
      <c r="L29" s="429">
        <v>504</v>
      </c>
      <c r="M29" s="429">
        <v>504</v>
      </c>
      <c r="N29" s="429">
        <v>504</v>
      </c>
      <c r="O29" s="4324">
        <v>504</v>
      </c>
      <c r="P29" s="4727">
        <f>IFERROR((K29-J29)/J29,0)</f>
        <v>0</v>
      </c>
      <c r="Q29" s="3234"/>
      <c r="R29" s="2088"/>
      <c r="S29" s="2088"/>
      <c r="T29" s="2088"/>
      <c r="U29" s="2088"/>
      <c r="V29" s="2161"/>
      <c r="W29" s="4775"/>
      <c r="X29" s="4794">
        <f t="shared" ref="X29" si="27">IFERROR(J29/$C$1,0)</f>
        <v>257.69110812289415</v>
      </c>
      <c r="Y29" s="4794">
        <f t="shared" ref="Y29" si="28">IFERROR(K29/$C$1,0)</f>
        <v>257.69110812289415</v>
      </c>
      <c r="Z29" s="4794">
        <f t="shared" ref="Z29" si="29">IFERROR(L29/$C$1,0)</f>
        <v>257.69110812289415</v>
      </c>
      <c r="AA29" s="4794">
        <f t="shared" ref="AA29" si="30">IFERROR(M29/$C$1,0)</f>
        <v>257.69110812289415</v>
      </c>
      <c r="AB29" s="4794">
        <f t="shared" ref="AB29" si="31">IFERROR(N29/$C$1,0)</f>
        <v>257.69110812289415</v>
      </c>
      <c r="AC29" s="4794">
        <f t="shared" ref="AC29" si="32">IFERROR(O29/$C$1,0)</f>
        <v>257.69110812289415</v>
      </c>
    </row>
    <row r="30" spans="1:35" ht="12.75">
      <c r="A30" s="1379"/>
      <c r="B30" s="3867" t="s">
        <v>1428</v>
      </c>
      <c r="C30" s="3912" t="s">
        <v>170</v>
      </c>
      <c r="D30" s="2160"/>
      <c r="E30" s="2088"/>
      <c r="F30" s="2088"/>
      <c r="G30" s="2088"/>
      <c r="H30" s="2088"/>
      <c r="I30" s="2161"/>
      <c r="J30" s="3872"/>
      <c r="K30" s="3868">
        <f>IFERROR((K29-J29)/J29,0)</f>
        <v>0</v>
      </c>
      <c r="L30" s="3868">
        <f>IFERROR((L29-K29)/K29,0)</f>
        <v>0</v>
      </c>
      <c r="M30" s="3868">
        <f>IFERROR((M29-L29)/L29,0)</f>
        <v>0</v>
      </c>
      <c r="N30" s="3868">
        <f>IFERROR((N29-M29)/M29,0)</f>
        <v>0</v>
      </c>
      <c r="O30" s="4323">
        <f>IFERROR((O29-N29)/N29,0)</f>
        <v>0</v>
      </c>
      <c r="P30" s="4727"/>
      <c r="Q30" s="3234"/>
      <c r="R30" s="2088"/>
      <c r="S30" s="2088"/>
      <c r="T30" s="2088"/>
      <c r="U30" s="2088"/>
      <c r="V30" s="2161"/>
      <c r="W30" s="4775"/>
    </row>
    <row r="31" spans="1:35" ht="12.75">
      <c r="A31" s="1379"/>
      <c r="B31" s="1519" t="s">
        <v>641</v>
      </c>
      <c r="C31" s="3913"/>
      <c r="D31" s="2160"/>
      <c r="E31" s="2088"/>
      <c r="F31" s="2088"/>
      <c r="G31" s="2088"/>
      <c r="H31" s="2088"/>
      <c r="I31" s="2161"/>
      <c r="J31" s="447">
        <v>542</v>
      </c>
      <c r="K31" s="429">
        <v>542</v>
      </c>
      <c r="L31" s="429">
        <v>542</v>
      </c>
      <c r="M31" s="429">
        <v>542</v>
      </c>
      <c r="N31" s="429">
        <v>542</v>
      </c>
      <c r="O31" s="4324">
        <v>542</v>
      </c>
      <c r="P31" s="4727">
        <f>IFERROR((K31-J31)/J31,0)</f>
        <v>0</v>
      </c>
      <c r="Q31" s="3234"/>
      <c r="R31" s="2088"/>
      <c r="S31" s="2088"/>
      <c r="T31" s="2088"/>
      <c r="U31" s="2088"/>
      <c r="V31" s="2161"/>
      <c r="W31" s="4775"/>
      <c r="X31" s="4794">
        <f t="shared" ref="X31" si="33">IFERROR(J31/$C$1,0)</f>
        <v>277.12019960835045</v>
      </c>
      <c r="Y31" s="4794">
        <f t="shared" ref="Y31" si="34">IFERROR(K31/$C$1,0)</f>
        <v>277.12019960835045</v>
      </c>
      <c r="Z31" s="4794">
        <f t="shared" ref="Z31" si="35">IFERROR(L31/$C$1,0)</f>
        <v>277.12019960835045</v>
      </c>
      <c r="AA31" s="4794">
        <f t="shared" ref="AA31" si="36">IFERROR(M31/$C$1,0)</f>
        <v>277.12019960835045</v>
      </c>
      <c r="AB31" s="4794">
        <f t="shared" ref="AB31" si="37">IFERROR(N31/$C$1,0)</f>
        <v>277.12019960835045</v>
      </c>
      <c r="AC31" s="4794">
        <f t="shared" ref="AC31" si="38">IFERROR(O31/$C$1,0)</f>
        <v>277.12019960835045</v>
      </c>
    </row>
    <row r="32" spans="1:35" ht="12.75">
      <c r="A32" s="1379"/>
      <c r="B32" s="3867" t="s">
        <v>1431</v>
      </c>
      <c r="C32" s="3912" t="s">
        <v>170</v>
      </c>
      <c r="D32" s="2160"/>
      <c r="E32" s="2088"/>
      <c r="F32" s="2088"/>
      <c r="G32" s="2088"/>
      <c r="H32" s="2088"/>
      <c r="I32" s="2161"/>
      <c r="J32" s="3872"/>
      <c r="K32" s="3868">
        <f>IFERROR((K31-J31)/J31,0)</f>
        <v>0</v>
      </c>
      <c r="L32" s="3868">
        <f>IFERROR((L31-K31)/K31,0)</f>
        <v>0</v>
      </c>
      <c r="M32" s="3868">
        <f>IFERROR((M31-L31)/L31,0)</f>
        <v>0</v>
      </c>
      <c r="N32" s="3868">
        <f>IFERROR((N31-M31)/M31,0)</f>
        <v>0</v>
      </c>
      <c r="O32" s="4323">
        <f>IFERROR((O31-N31)/N31,0)</f>
        <v>0</v>
      </c>
      <c r="P32" s="4727"/>
      <c r="Q32" s="3234"/>
      <c r="R32" s="2088"/>
      <c r="S32" s="2088"/>
      <c r="T32" s="2088"/>
      <c r="U32" s="2088"/>
      <c r="V32" s="2161"/>
      <c r="W32" s="4775"/>
    </row>
    <row r="33" spans="1:35" ht="12.75">
      <c r="A33" s="1379"/>
      <c r="B33" s="1519" t="s">
        <v>640</v>
      </c>
      <c r="C33" s="3913"/>
      <c r="D33" s="2160"/>
      <c r="E33" s="2088"/>
      <c r="F33" s="2088"/>
      <c r="G33" s="2088"/>
      <c r="H33" s="2088"/>
      <c r="I33" s="2161"/>
      <c r="J33" s="447">
        <v>352</v>
      </c>
      <c r="K33" s="429">
        <v>722</v>
      </c>
      <c r="L33" s="429">
        <v>830</v>
      </c>
      <c r="M33" s="429">
        <v>955</v>
      </c>
      <c r="N33" s="429">
        <v>1098</v>
      </c>
      <c r="O33" s="4324">
        <v>1263</v>
      </c>
      <c r="P33" s="4727">
        <f>IFERROR((K33-J33)/J33,0)</f>
        <v>1.0511363636363635</v>
      </c>
      <c r="Q33" s="3234"/>
      <c r="R33" s="2088"/>
      <c r="S33" s="2088"/>
      <c r="T33" s="2088"/>
      <c r="U33" s="2088"/>
      <c r="V33" s="2161"/>
      <c r="W33" s="4775"/>
      <c r="X33" s="4794">
        <f t="shared" ref="X33" si="39">IFERROR(J33/$C$1,0)</f>
        <v>179.9747421810689</v>
      </c>
      <c r="Y33" s="4794">
        <f t="shared" ref="Y33" si="40">IFERROR(K33/$C$1,0)</f>
        <v>369.15273822366976</v>
      </c>
      <c r="Z33" s="4794">
        <f t="shared" ref="Z33" si="41">IFERROR(L33/$C$1,0)</f>
        <v>424.37226139286133</v>
      </c>
      <c r="AA33" s="4794">
        <f t="shared" ref="AA33" si="42">IFERROR(M33/$C$1,0)</f>
        <v>488.28374654238866</v>
      </c>
      <c r="AB33" s="4794">
        <f t="shared" ref="AB33" si="43">IFERROR(N33/$C$1,0)</f>
        <v>561.39848555344793</v>
      </c>
      <c r="AC33" s="4794">
        <f t="shared" ref="AC33" si="44">IFERROR(O33/$C$1,0)</f>
        <v>645.761645950824</v>
      </c>
    </row>
    <row r="34" spans="1:35" ht="12.75">
      <c r="A34" s="1379"/>
      <c r="B34" s="3867" t="s">
        <v>1431</v>
      </c>
      <c r="C34" s="3912" t="s">
        <v>170</v>
      </c>
      <c r="D34" s="2160"/>
      <c r="E34" s="2088"/>
      <c r="F34" s="2088"/>
      <c r="G34" s="2088"/>
      <c r="H34" s="2088"/>
      <c r="I34" s="2161"/>
      <c r="J34" s="4190"/>
      <c r="K34" s="3868">
        <f>IFERROR((K33-J33)/J33,0)</f>
        <v>1.0511363636363635</v>
      </c>
      <c r="L34" s="3868">
        <f>IFERROR((L33-K33)/K33,0)</f>
        <v>0.14958448753462603</v>
      </c>
      <c r="M34" s="3868">
        <f>IFERROR((M33-L33)/L33,0)</f>
        <v>0.15060240963855423</v>
      </c>
      <c r="N34" s="3868">
        <f>IFERROR((N33-M33)/M33,0)</f>
        <v>0.14973821989528796</v>
      </c>
      <c r="O34" s="4323">
        <f>IFERROR((O33-N33)/N33,0)</f>
        <v>0.15027322404371585</v>
      </c>
      <c r="P34" s="4727"/>
      <c r="Q34" s="3234"/>
      <c r="R34" s="2088"/>
      <c r="S34" s="2088"/>
      <c r="T34" s="2088"/>
      <c r="U34" s="2088"/>
      <c r="V34" s="2161"/>
      <c r="W34" s="4775"/>
    </row>
    <row r="35" spans="1:35" ht="12.75">
      <c r="A35" s="1379"/>
      <c r="B35" s="1519" t="s">
        <v>639</v>
      </c>
      <c r="C35" s="3913"/>
      <c r="D35" s="2160"/>
      <c r="E35" s="2088"/>
      <c r="F35" s="2088"/>
      <c r="G35" s="2088"/>
      <c r="H35" s="2088"/>
      <c r="I35" s="2161"/>
      <c r="J35" s="970">
        <v>77</v>
      </c>
      <c r="K35" s="431"/>
      <c r="L35" s="431"/>
      <c r="M35" s="431"/>
      <c r="N35" s="431"/>
      <c r="O35" s="4325"/>
      <c r="P35" s="4727">
        <f>IFERROR((K35-J35)/J35,0)</f>
        <v>-1</v>
      </c>
      <c r="Q35" s="3234"/>
      <c r="R35" s="2088"/>
      <c r="S35" s="2088"/>
      <c r="T35" s="2088"/>
      <c r="U35" s="2088"/>
      <c r="V35" s="2161"/>
      <c r="W35" s="4775"/>
      <c r="X35" s="4794">
        <f t="shared" ref="X35" si="45">IFERROR(J35/$C$1,0)</f>
        <v>39.369474852108823</v>
      </c>
      <c r="Y35" s="4794">
        <f t="shared" ref="Y35" si="46">IFERROR(K35/$C$1,0)</f>
        <v>0</v>
      </c>
      <c r="Z35" s="4794">
        <f t="shared" ref="Z35" si="47">IFERROR(L35/$C$1,0)</f>
        <v>0</v>
      </c>
      <c r="AA35" s="4794">
        <f t="shared" ref="AA35" si="48">IFERROR(M35/$C$1,0)</f>
        <v>0</v>
      </c>
      <c r="AB35" s="4794">
        <f t="shared" ref="AB35" si="49">IFERROR(N35/$C$1,0)</f>
        <v>0</v>
      </c>
      <c r="AC35" s="4794">
        <f t="shared" ref="AC35" si="50">IFERROR(O35/$C$1,0)</f>
        <v>0</v>
      </c>
    </row>
    <row r="36" spans="1:35" ht="12.75">
      <c r="A36" s="1381"/>
      <c r="B36" s="3867" t="s">
        <v>1428</v>
      </c>
      <c r="C36" s="3912" t="s">
        <v>170</v>
      </c>
      <c r="D36" s="2160"/>
      <c r="E36" s="2088"/>
      <c r="F36" s="2088"/>
      <c r="G36" s="2088"/>
      <c r="H36" s="2088"/>
      <c r="I36" s="2161"/>
      <c r="J36" s="4190"/>
      <c r="K36" s="3868">
        <f>IFERROR((K35-J35)/J35,0)</f>
        <v>-1</v>
      </c>
      <c r="L36" s="3868">
        <f>IFERROR((L35-K35)/K35,0)</f>
        <v>0</v>
      </c>
      <c r="M36" s="3868">
        <f>IFERROR((M35-L35)/L35,0)</f>
        <v>0</v>
      </c>
      <c r="N36" s="3868">
        <f>IFERROR((N35-M35)/M35,0)</f>
        <v>0</v>
      </c>
      <c r="O36" s="4323">
        <f>IFERROR((O35-N35)/N35,0)</f>
        <v>0</v>
      </c>
      <c r="P36" s="4727"/>
      <c r="Q36" s="3234"/>
      <c r="R36" s="2088"/>
      <c r="S36" s="2088"/>
      <c r="T36" s="2088"/>
      <c r="U36" s="2088"/>
      <c r="V36" s="2161"/>
      <c r="W36" s="4775"/>
    </row>
    <row r="37" spans="1:35" ht="24">
      <c r="A37" s="1381"/>
      <c r="B37" s="1526" t="s">
        <v>638</v>
      </c>
      <c r="C37" s="3913"/>
      <c r="D37" s="2160"/>
      <c r="E37" s="2088"/>
      <c r="F37" s="2088"/>
      <c r="G37" s="2088"/>
      <c r="H37" s="2088"/>
      <c r="I37" s="2161"/>
      <c r="J37" s="3909">
        <f>J24-J27-J29-J31-J33-J35</f>
        <v>56</v>
      </c>
      <c r="K37" s="3886">
        <f>K24-K27-K29-K31-K33-K35</f>
        <v>0</v>
      </c>
      <c r="L37" s="3886">
        <f t="shared" ref="L37:O37" si="51">L24-L27-L29-L31-L33-L35</f>
        <v>0</v>
      </c>
      <c r="M37" s="3886">
        <f t="shared" si="51"/>
        <v>0</v>
      </c>
      <c r="N37" s="3886">
        <f t="shared" si="51"/>
        <v>0</v>
      </c>
      <c r="O37" s="3914">
        <f t="shared" si="51"/>
        <v>0</v>
      </c>
      <c r="P37" s="4727">
        <f>IFERROR((K37-J37)/J37,0)</f>
        <v>-1</v>
      </c>
      <c r="Q37" s="3234"/>
      <c r="R37" s="2088"/>
      <c r="S37" s="2088"/>
      <c r="T37" s="2088"/>
      <c r="U37" s="2088"/>
      <c r="V37" s="2161"/>
      <c r="W37" s="4775"/>
      <c r="X37" s="4794">
        <f t="shared" ref="X37" si="52">IFERROR(J37/$C$1,0)</f>
        <v>28.632345346988235</v>
      </c>
      <c r="Y37" s="4794">
        <f t="shared" ref="Y37" si="53">IFERROR(K37/$C$1,0)</f>
        <v>0</v>
      </c>
      <c r="Z37" s="4794">
        <f t="shared" ref="Z37" si="54">IFERROR(L37/$C$1,0)</f>
        <v>0</v>
      </c>
      <c r="AA37" s="4794">
        <f t="shared" ref="AA37" si="55">IFERROR(M37/$C$1,0)</f>
        <v>0</v>
      </c>
      <c r="AB37" s="4794">
        <f t="shared" ref="AB37" si="56">IFERROR(N37/$C$1,0)</f>
        <v>0</v>
      </c>
      <c r="AC37" s="4794">
        <f t="shared" ref="AC37" si="57">IFERROR(O37/$C$1,0)</f>
        <v>0</v>
      </c>
    </row>
    <row r="38" spans="1:35" ht="13.5" thickBot="1">
      <c r="A38" s="1381"/>
      <c r="B38" s="4746" t="s">
        <v>1431</v>
      </c>
      <c r="C38" s="4747" t="s">
        <v>170</v>
      </c>
      <c r="D38" s="2162"/>
      <c r="E38" s="2163"/>
      <c r="F38" s="2163"/>
      <c r="G38" s="2163"/>
      <c r="H38" s="2163"/>
      <c r="I38" s="2164"/>
      <c r="J38" s="4190"/>
      <c r="K38" s="4748">
        <f>IFERROR((K37-J37)/J37,0)</f>
        <v>-1</v>
      </c>
      <c r="L38" s="4748">
        <f>IFERROR((L37-K37)/K37,0)</f>
        <v>0</v>
      </c>
      <c r="M38" s="4748">
        <f>IFERROR((M37-L37)/L37,0)</f>
        <v>0</v>
      </c>
      <c r="N38" s="4748">
        <f>IFERROR((N37-M37)/M37,0)</f>
        <v>0</v>
      </c>
      <c r="O38" s="4749">
        <f>IFERROR((O37-N37)/N37,0)</f>
        <v>0</v>
      </c>
      <c r="P38" s="4750"/>
      <c r="Q38" s="3887"/>
      <c r="R38" s="2163"/>
      <c r="S38" s="2163"/>
      <c r="T38" s="2163"/>
      <c r="U38" s="2163"/>
      <c r="V38" s="2164"/>
      <c r="W38" s="4775"/>
    </row>
    <row r="39" spans="1:35" ht="13.5" customHeight="1" thickBot="1">
      <c r="A39" s="5297"/>
      <c r="B39" s="5298"/>
      <c r="C39" s="5298"/>
      <c r="D39" s="5298"/>
      <c r="E39" s="5298"/>
      <c r="F39" s="5298"/>
      <c r="G39" s="5298"/>
      <c r="H39" s="5298"/>
      <c r="I39" s="5298"/>
      <c r="J39" s="5298"/>
      <c r="K39" s="5298"/>
      <c r="L39" s="5298"/>
      <c r="M39" s="5298"/>
      <c r="N39" s="5298"/>
      <c r="O39" s="5298"/>
      <c r="P39" s="5298"/>
      <c r="Q39" s="5298"/>
      <c r="R39" s="5298"/>
      <c r="S39" s="5298"/>
      <c r="T39" s="5298"/>
      <c r="U39" s="5298"/>
      <c r="V39" s="5299"/>
      <c r="W39" s="4775"/>
    </row>
    <row r="40" spans="1:35" ht="18" customHeight="1" thickBot="1">
      <c r="A40" s="1535">
        <v>2</v>
      </c>
      <c r="B40" s="1534" t="s">
        <v>208</v>
      </c>
      <c r="C40" s="5286"/>
      <c r="D40" s="5287"/>
      <c r="E40" s="5287"/>
      <c r="F40" s="5287"/>
      <c r="G40" s="5287"/>
      <c r="H40" s="5287"/>
      <c r="I40" s="5287"/>
      <c r="J40" s="5286"/>
      <c r="K40" s="5286"/>
      <c r="L40" s="5286"/>
      <c r="M40" s="5286"/>
      <c r="N40" s="5286"/>
      <c r="O40" s="5286"/>
      <c r="P40" s="5310"/>
      <c r="Q40" s="5287"/>
      <c r="R40" s="5287"/>
      <c r="S40" s="5287"/>
      <c r="T40" s="5287"/>
      <c r="U40" s="5287"/>
      <c r="V40" s="5311"/>
      <c r="W40" s="4775"/>
    </row>
    <row r="41" spans="1:35" ht="12.75">
      <c r="A41" s="435" t="s">
        <v>477</v>
      </c>
      <c r="B41" s="1512" t="s">
        <v>478</v>
      </c>
      <c r="C41" s="1482" t="s">
        <v>676</v>
      </c>
      <c r="D41" s="3874">
        <v>90</v>
      </c>
      <c r="E41" s="425">
        <v>90</v>
      </c>
      <c r="F41" s="425">
        <v>90</v>
      </c>
      <c r="G41" s="425">
        <v>88</v>
      </c>
      <c r="H41" s="425">
        <v>88</v>
      </c>
      <c r="I41" s="3875">
        <v>85</v>
      </c>
      <c r="J41" s="3874">
        <v>255</v>
      </c>
      <c r="K41" s="3842">
        <v>284</v>
      </c>
      <c r="L41" s="3842">
        <v>291</v>
      </c>
      <c r="M41" s="3842">
        <v>304</v>
      </c>
      <c r="N41" s="3842">
        <v>317</v>
      </c>
      <c r="O41" s="4326">
        <v>331</v>
      </c>
      <c r="P41" s="4728">
        <f t="shared" ref="P41:P53" si="58">IFERROR((K41-J41)/J41,0)</f>
        <v>0.11372549019607843</v>
      </c>
      <c r="Q41" s="4320">
        <f t="shared" ref="Q41:V51" si="59">ROUND(IFERROR(J41*1000/D41,0),0)</f>
        <v>2833</v>
      </c>
      <c r="R41" s="4068">
        <f t="shared" si="59"/>
        <v>3156</v>
      </c>
      <c r="S41" s="4068">
        <f t="shared" si="59"/>
        <v>3233</v>
      </c>
      <c r="T41" s="4068">
        <f t="shared" si="59"/>
        <v>3455</v>
      </c>
      <c r="U41" s="4068">
        <f t="shared" si="59"/>
        <v>3602</v>
      </c>
      <c r="V41" s="4069">
        <f t="shared" si="59"/>
        <v>3894</v>
      </c>
      <c r="W41" s="4775"/>
      <c r="X41" s="4794">
        <f t="shared" ref="X41:X53" si="60">IFERROR(J41/$C$1,0)</f>
        <v>130.3794297050357</v>
      </c>
      <c r="Y41" s="4794">
        <f t="shared" ref="Y41:Y53" si="61">IFERROR(K41/$C$1,0)</f>
        <v>145.20689425972606</v>
      </c>
      <c r="Z41" s="4794">
        <f t="shared" ref="Z41:Z53" si="62">IFERROR(L41/$C$1,0)</f>
        <v>148.78593742809957</v>
      </c>
      <c r="AA41" s="4794">
        <f t="shared" ref="AA41:AA53" si="63">IFERROR(M41/$C$1,0)</f>
        <v>155.43273188365043</v>
      </c>
      <c r="AB41" s="4794">
        <f t="shared" ref="AB41:AB53" si="64">IFERROR(N41/$C$1,0)</f>
        <v>162.07952633920127</v>
      </c>
      <c r="AC41" s="4794">
        <f t="shared" ref="AC41:AC53" si="65">IFERROR(O41/$C$1,0)</f>
        <v>169.23761267594833</v>
      </c>
      <c r="AD41" s="4794">
        <f t="shared" ref="AD41:AD51" si="66">IFERROR(Q41/$C$1,0)</f>
        <v>1448.4898994288869</v>
      </c>
      <c r="AE41" s="4794">
        <f t="shared" ref="AE41:AE51" si="67">IFERROR(R41/$C$1,0)</f>
        <v>1613.6371770552655</v>
      </c>
      <c r="AF41" s="4794">
        <f t="shared" ref="AF41:AF51" si="68">IFERROR(S41/$C$1,0)</f>
        <v>1653.0066519073744</v>
      </c>
      <c r="AG41" s="4794">
        <f t="shared" ref="AG41:AG51" si="69">IFERROR(T41/$C$1,0)</f>
        <v>1766.5134495329348</v>
      </c>
      <c r="AH41" s="4794">
        <f t="shared" ref="AH41:AH51" si="70">IFERROR(U41/$C$1,0)</f>
        <v>1841.673356068779</v>
      </c>
      <c r="AI41" s="4794">
        <f t="shared" ref="AI41:AI51" si="71">IFERROR(V41/$C$1,0)</f>
        <v>1990.9705853780749</v>
      </c>
    </row>
    <row r="42" spans="1:35" ht="12.75">
      <c r="A42" s="436" t="s">
        <v>479</v>
      </c>
      <c r="B42" s="1513" t="s">
        <v>480</v>
      </c>
      <c r="C42" s="321" t="s">
        <v>676</v>
      </c>
      <c r="D42" s="422">
        <v>126</v>
      </c>
      <c r="E42" s="423">
        <v>125</v>
      </c>
      <c r="F42" s="423">
        <v>125</v>
      </c>
      <c r="G42" s="423">
        <v>125</v>
      </c>
      <c r="H42" s="423">
        <v>125</v>
      </c>
      <c r="I42" s="438">
        <v>125</v>
      </c>
      <c r="J42" s="422">
        <v>130</v>
      </c>
      <c r="K42" s="4186">
        <v>146</v>
      </c>
      <c r="L42" s="4186">
        <v>154</v>
      </c>
      <c r="M42" s="4186">
        <v>159</v>
      </c>
      <c r="N42" s="4186">
        <v>165</v>
      </c>
      <c r="O42" s="4188">
        <v>175</v>
      </c>
      <c r="P42" s="4729">
        <f t="shared" si="58"/>
        <v>0.12307692307692308</v>
      </c>
      <c r="Q42" s="4321">
        <f t="shared" si="59"/>
        <v>1032</v>
      </c>
      <c r="R42" s="4070">
        <f t="shared" si="59"/>
        <v>1168</v>
      </c>
      <c r="S42" s="4070">
        <f t="shared" si="59"/>
        <v>1232</v>
      </c>
      <c r="T42" s="4070">
        <f t="shared" si="59"/>
        <v>1272</v>
      </c>
      <c r="U42" s="4070">
        <f t="shared" si="59"/>
        <v>1320</v>
      </c>
      <c r="V42" s="4071">
        <f t="shared" si="59"/>
        <v>1400</v>
      </c>
      <c r="W42" s="4775"/>
      <c r="X42" s="4794">
        <f t="shared" si="60"/>
        <v>66.46794455550841</v>
      </c>
      <c r="Y42" s="4794">
        <f t="shared" si="61"/>
        <v>74.648614654647901</v>
      </c>
      <c r="Z42" s="4794">
        <f t="shared" si="62"/>
        <v>78.738949704217646</v>
      </c>
      <c r="AA42" s="4794">
        <f t="shared" si="63"/>
        <v>81.295409110198747</v>
      </c>
      <c r="AB42" s="4794">
        <f t="shared" si="64"/>
        <v>84.363160397376049</v>
      </c>
      <c r="AC42" s="4794">
        <f t="shared" si="65"/>
        <v>89.476079209338238</v>
      </c>
      <c r="AD42" s="4794">
        <f t="shared" si="66"/>
        <v>527.65322139449745</v>
      </c>
      <c r="AE42" s="4794">
        <f t="shared" si="67"/>
        <v>597.1889172371832</v>
      </c>
      <c r="AF42" s="4794">
        <f t="shared" si="68"/>
        <v>629.91159763374117</v>
      </c>
      <c r="AG42" s="4794">
        <f t="shared" si="69"/>
        <v>650.36327288158998</v>
      </c>
      <c r="AH42" s="4794">
        <f t="shared" si="70"/>
        <v>674.90528317900839</v>
      </c>
      <c r="AI42" s="4794">
        <f t="shared" si="71"/>
        <v>715.8086336747059</v>
      </c>
    </row>
    <row r="43" spans="1:35" ht="12.75">
      <c r="A43" s="436" t="s">
        <v>481</v>
      </c>
      <c r="B43" s="1513" t="s">
        <v>1352</v>
      </c>
      <c r="C43" s="321" t="s">
        <v>676</v>
      </c>
      <c r="D43" s="448"/>
      <c r="E43" s="423"/>
      <c r="F43" s="423"/>
      <c r="G43" s="423"/>
      <c r="H43" s="423"/>
      <c r="I43" s="438"/>
      <c r="J43" s="422"/>
      <c r="K43" s="4186"/>
      <c r="L43" s="4186"/>
      <c r="M43" s="4186"/>
      <c r="N43" s="4186"/>
      <c r="O43" s="4188"/>
      <c r="P43" s="4729">
        <f t="shared" si="58"/>
        <v>0</v>
      </c>
      <c r="Q43" s="4321">
        <f t="shared" si="59"/>
        <v>0</v>
      </c>
      <c r="R43" s="4070">
        <f t="shared" si="59"/>
        <v>0</v>
      </c>
      <c r="S43" s="4070">
        <f t="shared" si="59"/>
        <v>0</v>
      </c>
      <c r="T43" s="4070">
        <f t="shared" si="59"/>
        <v>0</v>
      </c>
      <c r="U43" s="4070">
        <f t="shared" si="59"/>
        <v>0</v>
      </c>
      <c r="V43" s="4071">
        <f t="shared" si="59"/>
        <v>0</v>
      </c>
      <c r="W43" s="4775"/>
      <c r="X43" s="4794">
        <f t="shared" si="60"/>
        <v>0</v>
      </c>
      <c r="Y43" s="4794">
        <f t="shared" si="61"/>
        <v>0</v>
      </c>
      <c r="Z43" s="4794">
        <f t="shared" si="62"/>
        <v>0</v>
      </c>
      <c r="AA43" s="4794">
        <f t="shared" si="63"/>
        <v>0</v>
      </c>
      <c r="AB43" s="4794">
        <f t="shared" si="64"/>
        <v>0</v>
      </c>
      <c r="AC43" s="4794">
        <f t="shared" si="65"/>
        <v>0</v>
      </c>
      <c r="AD43" s="4794">
        <f t="shared" si="66"/>
        <v>0</v>
      </c>
      <c r="AE43" s="4794">
        <f t="shared" si="67"/>
        <v>0</v>
      </c>
      <c r="AF43" s="4794">
        <f t="shared" si="68"/>
        <v>0</v>
      </c>
      <c r="AG43" s="4794">
        <f t="shared" si="69"/>
        <v>0</v>
      </c>
      <c r="AH43" s="4794">
        <f t="shared" si="70"/>
        <v>0</v>
      </c>
      <c r="AI43" s="4794">
        <f t="shared" si="71"/>
        <v>0</v>
      </c>
    </row>
    <row r="44" spans="1:35" ht="24">
      <c r="A44" s="436" t="s">
        <v>482</v>
      </c>
      <c r="B44" s="1513" t="s">
        <v>1353</v>
      </c>
      <c r="C44" s="321" t="s">
        <v>676</v>
      </c>
      <c r="D44" s="448"/>
      <c r="E44" s="423"/>
      <c r="F44" s="423"/>
      <c r="G44" s="423"/>
      <c r="H44" s="423"/>
      <c r="I44" s="438"/>
      <c r="J44" s="422"/>
      <c r="K44" s="4186"/>
      <c r="L44" s="4186"/>
      <c r="M44" s="4186"/>
      <c r="N44" s="4186"/>
      <c r="O44" s="4188"/>
      <c r="P44" s="4729">
        <f t="shared" si="58"/>
        <v>0</v>
      </c>
      <c r="Q44" s="4321">
        <f t="shared" si="59"/>
        <v>0</v>
      </c>
      <c r="R44" s="4070">
        <f t="shared" si="59"/>
        <v>0</v>
      </c>
      <c r="S44" s="4070">
        <f t="shared" si="59"/>
        <v>0</v>
      </c>
      <c r="T44" s="4070">
        <f t="shared" si="59"/>
        <v>0</v>
      </c>
      <c r="U44" s="4070">
        <f t="shared" si="59"/>
        <v>0</v>
      </c>
      <c r="V44" s="4071">
        <f t="shared" si="59"/>
        <v>0</v>
      </c>
      <c r="W44" s="4775"/>
      <c r="X44" s="4794">
        <f t="shared" si="60"/>
        <v>0</v>
      </c>
      <c r="Y44" s="4794">
        <f t="shared" si="61"/>
        <v>0</v>
      </c>
      <c r="Z44" s="4794">
        <f t="shared" si="62"/>
        <v>0</v>
      </c>
      <c r="AA44" s="4794">
        <f t="shared" si="63"/>
        <v>0</v>
      </c>
      <c r="AB44" s="4794">
        <f t="shared" si="64"/>
        <v>0</v>
      </c>
      <c r="AC44" s="4794">
        <f t="shared" si="65"/>
        <v>0</v>
      </c>
      <c r="AD44" s="4794">
        <f t="shared" si="66"/>
        <v>0</v>
      </c>
      <c r="AE44" s="4794">
        <f t="shared" si="67"/>
        <v>0</v>
      </c>
      <c r="AF44" s="4794">
        <f t="shared" si="68"/>
        <v>0</v>
      </c>
      <c r="AG44" s="4794">
        <f t="shared" si="69"/>
        <v>0</v>
      </c>
      <c r="AH44" s="4794">
        <f t="shared" si="70"/>
        <v>0</v>
      </c>
      <c r="AI44" s="4794">
        <f t="shared" si="71"/>
        <v>0</v>
      </c>
    </row>
    <row r="45" spans="1:35" ht="12.75">
      <c r="A45" s="436" t="s">
        <v>483</v>
      </c>
      <c r="B45" s="1513" t="s">
        <v>1354</v>
      </c>
      <c r="C45" s="321" t="s">
        <v>676</v>
      </c>
      <c r="D45" s="448">
        <v>1</v>
      </c>
      <c r="E45" s="423">
        <v>1</v>
      </c>
      <c r="F45" s="423">
        <v>1</v>
      </c>
      <c r="G45" s="423">
        <v>1</v>
      </c>
      <c r="H45" s="423">
        <v>1</v>
      </c>
      <c r="I45" s="438">
        <v>1</v>
      </c>
      <c r="J45" s="422"/>
      <c r="K45" s="4186"/>
      <c r="L45" s="4186"/>
      <c r="M45" s="4186"/>
      <c r="N45" s="4186"/>
      <c r="O45" s="4188"/>
      <c r="P45" s="4729">
        <f t="shared" si="58"/>
        <v>0</v>
      </c>
      <c r="Q45" s="4321">
        <f t="shared" si="59"/>
        <v>0</v>
      </c>
      <c r="R45" s="4070">
        <f t="shared" si="59"/>
        <v>0</v>
      </c>
      <c r="S45" s="4070">
        <f t="shared" si="59"/>
        <v>0</v>
      </c>
      <c r="T45" s="4070">
        <f t="shared" si="59"/>
        <v>0</v>
      </c>
      <c r="U45" s="4070">
        <f t="shared" si="59"/>
        <v>0</v>
      </c>
      <c r="V45" s="4071">
        <f t="shared" si="59"/>
        <v>0</v>
      </c>
      <c r="W45" s="4775"/>
      <c r="X45" s="4794">
        <f t="shared" si="60"/>
        <v>0</v>
      </c>
      <c r="Y45" s="4794">
        <f t="shared" si="61"/>
        <v>0</v>
      </c>
      <c r="Z45" s="4794">
        <f t="shared" si="62"/>
        <v>0</v>
      </c>
      <c r="AA45" s="4794">
        <f t="shared" si="63"/>
        <v>0</v>
      </c>
      <c r="AB45" s="4794">
        <f t="shared" si="64"/>
        <v>0</v>
      </c>
      <c r="AC45" s="4794">
        <f t="shared" si="65"/>
        <v>0</v>
      </c>
      <c r="AD45" s="4794">
        <f t="shared" si="66"/>
        <v>0</v>
      </c>
      <c r="AE45" s="4794">
        <f t="shared" si="67"/>
        <v>0</v>
      </c>
      <c r="AF45" s="4794">
        <f t="shared" si="68"/>
        <v>0</v>
      </c>
      <c r="AG45" s="4794">
        <f t="shared" si="69"/>
        <v>0</v>
      </c>
      <c r="AH45" s="4794">
        <f t="shared" si="70"/>
        <v>0</v>
      </c>
      <c r="AI45" s="4794">
        <f t="shared" si="71"/>
        <v>0</v>
      </c>
    </row>
    <row r="46" spans="1:35" ht="24">
      <c r="A46" s="436" t="s">
        <v>484</v>
      </c>
      <c r="B46" s="1521" t="s">
        <v>1355</v>
      </c>
      <c r="C46" s="321" t="s">
        <v>676</v>
      </c>
      <c r="D46" s="448">
        <v>23</v>
      </c>
      <c r="E46" s="423">
        <v>23</v>
      </c>
      <c r="F46" s="423">
        <v>23</v>
      </c>
      <c r="G46" s="423">
        <v>23</v>
      </c>
      <c r="H46" s="423">
        <v>23</v>
      </c>
      <c r="I46" s="438">
        <v>23</v>
      </c>
      <c r="J46" s="422">
        <v>19</v>
      </c>
      <c r="K46" s="4186">
        <v>20</v>
      </c>
      <c r="L46" s="4186">
        <v>20</v>
      </c>
      <c r="M46" s="4186">
        <v>20</v>
      </c>
      <c r="N46" s="4186">
        <v>20</v>
      </c>
      <c r="O46" s="4188">
        <v>20</v>
      </c>
      <c r="P46" s="4729">
        <f t="shared" si="58"/>
        <v>5.2631578947368418E-2</v>
      </c>
      <c r="Q46" s="4321">
        <f t="shared" si="59"/>
        <v>826</v>
      </c>
      <c r="R46" s="4070">
        <f t="shared" si="59"/>
        <v>870</v>
      </c>
      <c r="S46" s="4070">
        <f t="shared" si="59"/>
        <v>870</v>
      </c>
      <c r="T46" s="4070">
        <f t="shared" si="59"/>
        <v>870</v>
      </c>
      <c r="U46" s="4070">
        <f t="shared" si="59"/>
        <v>870</v>
      </c>
      <c r="V46" s="4071">
        <f t="shared" si="59"/>
        <v>870</v>
      </c>
      <c r="W46" s="4775"/>
      <c r="X46" s="4794">
        <f t="shared" si="60"/>
        <v>9.7145457427281521</v>
      </c>
      <c r="Y46" s="4794">
        <f t="shared" si="61"/>
        <v>10.22583762392437</v>
      </c>
      <c r="Z46" s="4794">
        <f t="shared" si="62"/>
        <v>10.22583762392437</v>
      </c>
      <c r="AA46" s="4794">
        <f t="shared" si="63"/>
        <v>10.22583762392437</v>
      </c>
      <c r="AB46" s="4794">
        <f t="shared" si="64"/>
        <v>10.22583762392437</v>
      </c>
      <c r="AC46" s="4794">
        <f t="shared" si="65"/>
        <v>10.22583762392437</v>
      </c>
      <c r="AD46" s="4794">
        <f t="shared" si="66"/>
        <v>422.32709386807647</v>
      </c>
      <c r="AE46" s="4794">
        <f t="shared" si="67"/>
        <v>444.82393664071009</v>
      </c>
      <c r="AF46" s="4794">
        <f t="shared" si="68"/>
        <v>444.82393664071009</v>
      </c>
      <c r="AG46" s="4794">
        <f t="shared" si="69"/>
        <v>444.82393664071009</v>
      </c>
      <c r="AH46" s="4794">
        <f t="shared" si="70"/>
        <v>444.82393664071009</v>
      </c>
      <c r="AI46" s="4794">
        <f t="shared" si="71"/>
        <v>444.82393664071009</v>
      </c>
    </row>
    <row r="47" spans="1:35" ht="12.75">
      <c r="A47" s="436" t="s">
        <v>682</v>
      </c>
      <c r="B47" s="1514" t="s">
        <v>1073</v>
      </c>
      <c r="C47" s="321" t="s">
        <v>676</v>
      </c>
      <c r="D47" s="448">
        <v>189</v>
      </c>
      <c r="E47" s="423">
        <v>189</v>
      </c>
      <c r="F47" s="423">
        <v>189</v>
      </c>
      <c r="G47" s="423">
        <v>189</v>
      </c>
      <c r="H47" s="423">
        <v>189</v>
      </c>
      <c r="I47" s="438">
        <v>189</v>
      </c>
      <c r="J47" s="422">
        <v>36</v>
      </c>
      <c r="K47" s="4186">
        <v>38</v>
      </c>
      <c r="L47" s="4186">
        <v>38</v>
      </c>
      <c r="M47" s="4186">
        <v>38</v>
      </c>
      <c r="N47" s="4186">
        <v>39</v>
      </c>
      <c r="O47" s="4188">
        <v>39</v>
      </c>
      <c r="P47" s="4729">
        <f t="shared" si="58"/>
        <v>5.5555555555555552E-2</v>
      </c>
      <c r="Q47" s="4321">
        <f t="shared" si="59"/>
        <v>190</v>
      </c>
      <c r="R47" s="4070">
        <f t="shared" si="59"/>
        <v>201</v>
      </c>
      <c r="S47" s="4070">
        <f t="shared" si="59"/>
        <v>201</v>
      </c>
      <c r="T47" s="4070">
        <f t="shared" si="59"/>
        <v>201</v>
      </c>
      <c r="U47" s="4070">
        <f t="shared" si="59"/>
        <v>206</v>
      </c>
      <c r="V47" s="4071">
        <f t="shared" si="59"/>
        <v>206</v>
      </c>
      <c r="W47" s="4775"/>
      <c r="X47" s="4794">
        <f t="shared" si="60"/>
        <v>18.406507723063864</v>
      </c>
      <c r="Y47" s="4794">
        <f t="shared" si="61"/>
        <v>19.429091485456304</v>
      </c>
      <c r="Z47" s="4794">
        <f t="shared" si="62"/>
        <v>19.429091485456304</v>
      </c>
      <c r="AA47" s="4794">
        <f t="shared" si="63"/>
        <v>19.429091485456304</v>
      </c>
      <c r="AB47" s="4794">
        <f t="shared" si="64"/>
        <v>19.940383366652522</v>
      </c>
      <c r="AC47" s="4794">
        <f t="shared" si="65"/>
        <v>19.940383366652522</v>
      </c>
      <c r="AD47" s="4794">
        <f t="shared" si="66"/>
        <v>97.145457427281514</v>
      </c>
      <c r="AE47" s="4794">
        <f t="shared" si="67"/>
        <v>102.76966812043992</v>
      </c>
      <c r="AF47" s="4794">
        <f t="shared" si="68"/>
        <v>102.76966812043992</v>
      </c>
      <c r="AG47" s="4794">
        <f t="shared" si="69"/>
        <v>102.76966812043992</v>
      </c>
      <c r="AH47" s="4794">
        <f t="shared" si="70"/>
        <v>105.326127526421</v>
      </c>
      <c r="AI47" s="4794">
        <f t="shared" si="71"/>
        <v>105.326127526421</v>
      </c>
    </row>
    <row r="48" spans="1:35" ht="24">
      <c r="A48" s="2156" t="s">
        <v>1069</v>
      </c>
      <c r="B48" s="1528" t="s">
        <v>1070</v>
      </c>
      <c r="C48" s="321" t="s">
        <v>676</v>
      </c>
      <c r="D48" s="422">
        <v>130</v>
      </c>
      <c r="E48" s="423">
        <v>120</v>
      </c>
      <c r="F48" s="423">
        <v>110</v>
      </c>
      <c r="G48" s="423">
        <v>100</v>
      </c>
      <c r="H48" s="423">
        <v>90</v>
      </c>
      <c r="I48" s="438">
        <v>80</v>
      </c>
      <c r="J48" s="422">
        <v>3</v>
      </c>
      <c r="K48" s="4186">
        <v>3</v>
      </c>
      <c r="L48" s="4186">
        <v>3</v>
      </c>
      <c r="M48" s="4186">
        <v>3</v>
      </c>
      <c r="N48" s="4186">
        <v>3</v>
      </c>
      <c r="O48" s="4188">
        <v>3</v>
      </c>
      <c r="P48" s="4729">
        <f t="shared" si="58"/>
        <v>0</v>
      </c>
      <c r="Q48" s="4321">
        <f t="shared" si="59"/>
        <v>23</v>
      </c>
      <c r="R48" s="4070">
        <f t="shared" si="59"/>
        <v>25</v>
      </c>
      <c r="S48" s="4070">
        <f t="shared" si="59"/>
        <v>27</v>
      </c>
      <c r="T48" s="4070">
        <f t="shared" si="59"/>
        <v>30</v>
      </c>
      <c r="U48" s="4070">
        <f t="shared" si="59"/>
        <v>33</v>
      </c>
      <c r="V48" s="4071">
        <f t="shared" si="59"/>
        <v>38</v>
      </c>
      <c r="W48" s="4775"/>
      <c r="X48" s="4794">
        <f t="shared" si="60"/>
        <v>1.5338756435886556</v>
      </c>
      <c r="Y48" s="4794">
        <f t="shared" si="61"/>
        <v>1.5338756435886556</v>
      </c>
      <c r="Z48" s="4794">
        <f t="shared" si="62"/>
        <v>1.5338756435886556</v>
      </c>
      <c r="AA48" s="4794">
        <f t="shared" si="63"/>
        <v>1.5338756435886556</v>
      </c>
      <c r="AB48" s="4794">
        <f t="shared" si="64"/>
        <v>1.5338756435886556</v>
      </c>
      <c r="AC48" s="4794">
        <f t="shared" si="65"/>
        <v>1.5338756435886556</v>
      </c>
      <c r="AD48" s="4794">
        <f t="shared" si="66"/>
        <v>11.759713267513025</v>
      </c>
      <c r="AE48" s="4794">
        <f t="shared" si="67"/>
        <v>12.782297029905463</v>
      </c>
      <c r="AF48" s="4794">
        <f t="shared" si="68"/>
        <v>13.804880792297899</v>
      </c>
      <c r="AG48" s="4794">
        <f t="shared" si="69"/>
        <v>15.338756435886555</v>
      </c>
      <c r="AH48" s="4794">
        <f t="shared" si="70"/>
        <v>16.87263207947521</v>
      </c>
      <c r="AI48" s="4794">
        <f t="shared" si="71"/>
        <v>19.429091485456304</v>
      </c>
    </row>
    <row r="49" spans="1:35" ht="12.75">
      <c r="A49" s="2156" t="s">
        <v>1071</v>
      </c>
      <c r="B49" s="1528" t="s">
        <v>1072</v>
      </c>
      <c r="C49" s="321" t="s">
        <v>676</v>
      </c>
      <c r="D49" s="422">
        <v>58</v>
      </c>
      <c r="E49" s="423">
        <v>50</v>
      </c>
      <c r="F49" s="423">
        <v>45</v>
      </c>
      <c r="G49" s="423">
        <v>40</v>
      </c>
      <c r="H49" s="423">
        <v>35</v>
      </c>
      <c r="I49" s="438">
        <v>30</v>
      </c>
      <c r="J49" s="422"/>
      <c r="K49" s="4186"/>
      <c r="L49" s="4186"/>
      <c r="M49" s="4186"/>
      <c r="N49" s="4186"/>
      <c r="O49" s="4188"/>
      <c r="P49" s="4729">
        <f t="shared" si="58"/>
        <v>0</v>
      </c>
      <c r="Q49" s="4321">
        <f t="shared" si="59"/>
        <v>0</v>
      </c>
      <c r="R49" s="4070">
        <f t="shared" si="59"/>
        <v>0</v>
      </c>
      <c r="S49" s="4070">
        <f t="shared" si="59"/>
        <v>0</v>
      </c>
      <c r="T49" s="4070">
        <f t="shared" si="59"/>
        <v>0</v>
      </c>
      <c r="U49" s="4070">
        <f t="shared" si="59"/>
        <v>0</v>
      </c>
      <c r="V49" s="4071">
        <f t="shared" si="59"/>
        <v>0</v>
      </c>
      <c r="W49" s="4775"/>
      <c r="X49" s="4794">
        <f t="shared" si="60"/>
        <v>0</v>
      </c>
      <c r="Y49" s="4794">
        <f t="shared" si="61"/>
        <v>0</v>
      </c>
      <c r="Z49" s="4794">
        <f t="shared" si="62"/>
        <v>0</v>
      </c>
      <c r="AA49" s="4794">
        <f t="shared" si="63"/>
        <v>0</v>
      </c>
      <c r="AB49" s="4794">
        <f t="shared" si="64"/>
        <v>0</v>
      </c>
      <c r="AC49" s="4794">
        <f t="shared" si="65"/>
        <v>0</v>
      </c>
      <c r="AD49" s="4794">
        <f t="shared" si="66"/>
        <v>0</v>
      </c>
      <c r="AE49" s="4794">
        <f t="shared" si="67"/>
        <v>0</v>
      </c>
      <c r="AF49" s="4794">
        <f t="shared" si="68"/>
        <v>0</v>
      </c>
      <c r="AG49" s="4794">
        <f t="shared" si="69"/>
        <v>0</v>
      </c>
      <c r="AH49" s="4794">
        <f t="shared" si="70"/>
        <v>0</v>
      </c>
      <c r="AI49" s="4794">
        <f t="shared" si="71"/>
        <v>0</v>
      </c>
    </row>
    <row r="50" spans="1:35" ht="12.75">
      <c r="A50" s="436" t="s">
        <v>727</v>
      </c>
      <c r="B50" s="1513" t="s">
        <v>915</v>
      </c>
      <c r="C50" s="321" t="s">
        <v>676</v>
      </c>
      <c r="D50" s="422">
        <v>45</v>
      </c>
      <c r="E50" s="423">
        <v>45</v>
      </c>
      <c r="F50" s="423">
        <v>45</v>
      </c>
      <c r="G50" s="423">
        <v>45</v>
      </c>
      <c r="H50" s="423">
        <v>45</v>
      </c>
      <c r="I50" s="438">
        <v>45</v>
      </c>
      <c r="J50" s="448">
        <v>27</v>
      </c>
      <c r="K50" s="4186">
        <v>28</v>
      </c>
      <c r="L50" s="4186">
        <v>28</v>
      </c>
      <c r="M50" s="4186">
        <v>28</v>
      </c>
      <c r="N50" s="4186">
        <v>29</v>
      </c>
      <c r="O50" s="4188">
        <v>29</v>
      </c>
      <c r="P50" s="4729">
        <f t="shared" si="58"/>
        <v>3.7037037037037035E-2</v>
      </c>
      <c r="Q50" s="4321">
        <f t="shared" si="59"/>
        <v>600</v>
      </c>
      <c r="R50" s="4070">
        <f t="shared" si="59"/>
        <v>622</v>
      </c>
      <c r="S50" s="4070">
        <f t="shared" si="59"/>
        <v>622</v>
      </c>
      <c r="T50" s="4070">
        <f t="shared" si="59"/>
        <v>622</v>
      </c>
      <c r="U50" s="4070">
        <f t="shared" si="59"/>
        <v>644</v>
      </c>
      <c r="V50" s="4071">
        <f t="shared" si="59"/>
        <v>644</v>
      </c>
      <c r="W50" s="4775"/>
      <c r="X50" s="4794">
        <f t="shared" si="60"/>
        <v>13.804880792297899</v>
      </c>
      <c r="Y50" s="4794">
        <f t="shared" si="61"/>
        <v>14.316172673494117</v>
      </c>
      <c r="Z50" s="4794">
        <f t="shared" si="62"/>
        <v>14.316172673494117</v>
      </c>
      <c r="AA50" s="4794">
        <f t="shared" si="63"/>
        <v>14.316172673494117</v>
      </c>
      <c r="AB50" s="4794">
        <f t="shared" si="64"/>
        <v>14.827464554690337</v>
      </c>
      <c r="AC50" s="4794">
        <f t="shared" si="65"/>
        <v>14.827464554690337</v>
      </c>
      <c r="AD50" s="4794">
        <f t="shared" si="66"/>
        <v>306.77512871773109</v>
      </c>
      <c r="AE50" s="4794">
        <f t="shared" si="67"/>
        <v>318.0235501040479</v>
      </c>
      <c r="AF50" s="4794">
        <f t="shared" si="68"/>
        <v>318.0235501040479</v>
      </c>
      <c r="AG50" s="4794">
        <f t="shared" si="69"/>
        <v>318.0235501040479</v>
      </c>
      <c r="AH50" s="4794">
        <f t="shared" si="70"/>
        <v>329.27197149036471</v>
      </c>
      <c r="AI50" s="4794">
        <f t="shared" si="71"/>
        <v>329.27197149036471</v>
      </c>
    </row>
    <row r="51" spans="1:35" ht="12.75">
      <c r="A51" s="436" t="s">
        <v>732</v>
      </c>
      <c r="B51" s="1521" t="s">
        <v>1356</v>
      </c>
      <c r="C51" s="321" t="s">
        <v>676</v>
      </c>
      <c r="D51" s="422">
        <v>3</v>
      </c>
      <c r="E51" s="423">
        <v>3</v>
      </c>
      <c r="F51" s="423">
        <v>3</v>
      </c>
      <c r="G51" s="423">
        <v>3</v>
      </c>
      <c r="H51" s="423">
        <v>3</v>
      </c>
      <c r="I51" s="438">
        <v>3</v>
      </c>
      <c r="J51" s="448">
        <v>3</v>
      </c>
      <c r="K51" s="4186">
        <v>3</v>
      </c>
      <c r="L51" s="4186">
        <v>3</v>
      </c>
      <c r="M51" s="4186">
        <v>3</v>
      </c>
      <c r="N51" s="4186">
        <v>3</v>
      </c>
      <c r="O51" s="4188">
        <v>3</v>
      </c>
      <c r="P51" s="4729">
        <f t="shared" si="58"/>
        <v>0</v>
      </c>
      <c r="Q51" s="4321">
        <f t="shared" si="59"/>
        <v>1000</v>
      </c>
      <c r="R51" s="4070">
        <f t="shared" si="59"/>
        <v>1000</v>
      </c>
      <c r="S51" s="4070">
        <f t="shared" si="59"/>
        <v>1000</v>
      </c>
      <c r="T51" s="4070">
        <f t="shared" si="59"/>
        <v>1000</v>
      </c>
      <c r="U51" s="4070">
        <f t="shared" si="59"/>
        <v>1000</v>
      </c>
      <c r="V51" s="4071">
        <f t="shared" si="59"/>
        <v>1000</v>
      </c>
      <c r="W51" s="4775"/>
      <c r="X51" s="4794">
        <f t="shared" si="60"/>
        <v>1.5338756435886556</v>
      </c>
      <c r="Y51" s="4794">
        <f t="shared" si="61"/>
        <v>1.5338756435886556</v>
      </c>
      <c r="Z51" s="4794">
        <f t="shared" si="62"/>
        <v>1.5338756435886556</v>
      </c>
      <c r="AA51" s="4794">
        <f t="shared" si="63"/>
        <v>1.5338756435886556</v>
      </c>
      <c r="AB51" s="4794">
        <f t="shared" si="64"/>
        <v>1.5338756435886556</v>
      </c>
      <c r="AC51" s="4794">
        <f t="shared" si="65"/>
        <v>1.5338756435886556</v>
      </c>
      <c r="AD51" s="4794">
        <f t="shared" si="66"/>
        <v>511.29188119621847</v>
      </c>
      <c r="AE51" s="4794">
        <f t="shared" si="67"/>
        <v>511.29188119621847</v>
      </c>
      <c r="AF51" s="4794">
        <f t="shared" si="68"/>
        <v>511.29188119621847</v>
      </c>
      <c r="AG51" s="4794">
        <f t="shared" si="69"/>
        <v>511.29188119621847</v>
      </c>
      <c r="AH51" s="4794">
        <f t="shared" si="70"/>
        <v>511.29188119621847</v>
      </c>
      <c r="AI51" s="4794">
        <f t="shared" si="71"/>
        <v>511.29188119621847</v>
      </c>
    </row>
    <row r="52" spans="1:35" ht="24.75" thickBot="1">
      <c r="A52" s="437" t="s">
        <v>917</v>
      </c>
      <c r="B52" s="1522" t="s">
        <v>1342</v>
      </c>
      <c r="C52" s="1523" t="s">
        <v>313</v>
      </c>
      <c r="D52" s="2153"/>
      <c r="E52" s="2154"/>
      <c r="F52" s="2154"/>
      <c r="G52" s="2154"/>
      <c r="H52" s="2154"/>
      <c r="I52" s="2155"/>
      <c r="J52" s="3876"/>
      <c r="K52" s="4187"/>
      <c r="L52" s="4187"/>
      <c r="M52" s="4187"/>
      <c r="N52" s="4187"/>
      <c r="O52" s="4327"/>
      <c r="P52" s="4730">
        <f t="shared" si="58"/>
        <v>0</v>
      </c>
      <c r="Q52" s="3873"/>
      <c r="R52" s="2154"/>
      <c r="S52" s="2154"/>
      <c r="T52" s="2154"/>
      <c r="U52" s="2154"/>
      <c r="V52" s="2155"/>
      <c r="W52" s="4775"/>
      <c r="X52" s="4794">
        <f t="shared" si="60"/>
        <v>0</v>
      </c>
      <c r="Y52" s="4794">
        <f t="shared" si="61"/>
        <v>0</v>
      </c>
      <c r="Z52" s="4794">
        <f t="shared" si="62"/>
        <v>0</v>
      </c>
      <c r="AA52" s="4794">
        <f t="shared" si="63"/>
        <v>0</v>
      </c>
      <c r="AB52" s="4794">
        <f t="shared" si="64"/>
        <v>0</v>
      </c>
      <c r="AC52" s="4794">
        <f t="shared" si="65"/>
        <v>0</v>
      </c>
    </row>
    <row r="53" spans="1:35" ht="23.25" customHeight="1" thickBot="1">
      <c r="A53" s="1377"/>
      <c r="B53" s="1515" t="s">
        <v>1074</v>
      </c>
      <c r="C53" s="1516"/>
      <c r="D53" s="424">
        <f>SUM(D41:D52)-D48-D49</f>
        <v>477</v>
      </c>
      <c r="E53" s="328">
        <f t="shared" ref="E53:O53" si="72">SUM(E41:E52)-E48-E49</f>
        <v>476</v>
      </c>
      <c r="F53" s="328">
        <f t="shared" si="72"/>
        <v>476</v>
      </c>
      <c r="G53" s="328">
        <f t="shared" si="72"/>
        <v>474</v>
      </c>
      <c r="H53" s="328">
        <f t="shared" si="72"/>
        <v>474</v>
      </c>
      <c r="I53" s="329">
        <f t="shared" si="72"/>
        <v>471</v>
      </c>
      <c r="J53" s="329">
        <f t="shared" si="72"/>
        <v>470</v>
      </c>
      <c r="K53" s="329">
        <f t="shared" si="72"/>
        <v>519</v>
      </c>
      <c r="L53" s="328">
        <f t="shared" si="72"/>
        <v>534</v>
      </c>
      <c r="M53" s="328">
        <f t="shared" si="72"/>
        <v>552</v>
      </c>
      <c r="N53" s="328">
        <f t="shared" si="72"/>
        <v>573</v>
      </c>
      <c r="O53" s="4329">
        <f t="shared" si="72"/>
        <v>597</v>
      </c>
      <c r="P53" s="4506">
        <f t="shared" si="58"/>
        <v>0.10425531914893617</v>
      </c>
      <c r="Q53" s="3877"/>
      <c r="R53" s="3878"/>
      <c r="S53" s="3878"/>
      <c r="T53" s="3878"/>
      <c r="U53" s="3878"/>
      <c r="V53" s="3879"/>
      <c r="W53" s="4775"/>
      <c r="X53" s="4794">
        <f t="shared" si="60"/>
        <v>240.30718416222268</v>
      </c>
      <c r="Y53" s="4794">
        <f t="shared" si="61"/>
        <v>265.36048634083738</v>
      </c>
      <c r="Z53" s="4794">
        <f t="shared" si="62"/>
        <v>273.02986455878067</v>
      </c>
      <c r="AA53" s="4794">
        <f t="shared" si="63"/>
        <v>282.23311842031262</v>
      </c>
      <c r="AB53" s="4794">
        <f t="shared" si="64"/>
        <v>292.97024792543317</v>
      </c>
      <c r="AC53" s="4794">
        <f t="shared" si="65"/>
        <v>305.24125307414243</v>
      </c>
    </row>
    <row r="54" spans="1:35" ht="12.75" customHeight="1" thickBot="1">
      <c r="A54" s="3854"/>
      <c r="B54" s="3855" t="s">
        <v>1428</v>
      </c>
      <c r="C54" s="3898" t="s">
        <v>170</v>
      </c>
      <c r="D54" s="3856"/>
      <c r="E54" s="3857">
        <f>IFERROR((E53-D53)/D53,0)</f>
        <v>-2.0964360587002098E-3</v>
      </c>
      <c r="F54" s="3857">
        <f>IFERROR((F53-E53)/E53,0)</f>
        <v>0</v>
      </c>
      <c r="G54" s="3857">
        <f>IFERROR((G53-F53)/F53,0)</f>
        <v>-4.2016806722689074E-3</v>
      </c>
      <c r="H54" s="3857">
        <f>IFERROR((H53-G53)/G53,0)</f>
        <v>0</v>
      </c>
      <c r="I54" s="3858">
        <f>IFERROR((I53-H53)/H53,0)</f>
        <v>-6.3291139240506328E-3</v>
      </c>
      <c r="J54" s="3859"/>
      <c r="K54" s="3857">
        <f>IFERROR((K53-J53)/J53,0)</f>
        <v>0.10425531914893617</v>
      </c>
      <c r="L54" s="3857">
        <f>IFERROR((L53-K53)/K53,0)</f>
        <v>2.8901734104046242E-2</v>
      </c>
      <c r="M54" s="3857">
        <f>IFERROR((M53-L53)/L53,0)</f>
        <v>3.3707865168539325E-2</v>
      </c>
      <c r="N54" s="3857">
        <f>IFERROR((N53-M53)/M53,0)</f>
        <v>3.8043478260869568E-2</v>
      </c>
      <c r="O54" s="3857">
        <f>IFERROR((O53-N53)/N53,0)</f>
        <v>4.1884816753926704E-2</v>
      </c>
      <c r="P54" s="4317">
        <f t="shared" ref="P54" si="73">IFERROR((O54-J54)/J54,0)</f>
        <v>0</v>
      </c>
      <c r="Q54" s="3860"/>
      <c r="R54" s="3861"/>
      <c r="S54" s="3861"/>
      <c r="T54" s="3861"/>
      <c r="U54" s="3861"/>
      <c r="V54" s="3862"/>
      <c r="W54" s="4775"/>
    </row>
    <row r="55" spans="1:35" ht="13.5" customHeight="1" thickBot="1">
      <c r="A55" s="3880" t="s">
        <v>1075</v>
      </c>
      <c r="B55" s="433"/>
      <c r="C55" s="433"/>
      <c r="D55" s="433"/>
      <c r="E55" s="433"/>
      <c r="F55" s="433"/>
      <c r="G55" s="433"/>
      <c r="H55" s="433"/>
      <c r="I55" s="433"/>
      <c r="J55" s="433"/>
      <c r="K55" s="433"/>
      <c r="L55" s="433"/>
      <c r="M55" s="433"/>
      <c r="N55" s="433"/>
      <c r="O55" s="433"/>
      <c r="P55" s="3881"/>
      <c r="Q55" s="3881"/>
      <c r="R55" s="3881"/>
      <c r="S55" s="3881"/>
      <c r="T55" s="3881"/>
      <c r="U55" s="3881"/>
      <c r="V55" s="3882"/>
      <c r="W55" s="4775"/>
    </row>
    <row r="56" spans="1:35" ht="12.75">
      <c r="A56" s="1378"/>
      <c r="B56" s="1527" t="s">
        <v>1068</v>
      </c>
      <c r="C56" s="3911"/>
      <c r="D56" s="2157"/>
      <c r="E56" s="2158"/>
      <c r="F56" s="2158"/>
      <c r="G56" s="2158"/>
      <c r="H56" s="2158"/>
      <c r="I56" s="2159"/>
      <c r="J56" s="444">
        <v>66</v>
      </c>
      <c r="K56" s="445">
        <v>66</v>
      </c>
      <c r="L56" s="445">
        <v>66</v>
      </c>
      <c r="M56" s="445">
        <v>66</v>
      </c>
      <c r="N56" s="445">
        <v>66</v>
      </c>
      <c r="O56" s="446">
        <v>66</v>
      </c>
      <c r="P56" s="4731">
        <f>IFERROR((K56-J56)/J56,0)</f>
        <v>0</v>
      </c>
      <c r="Q56" s="3866"/>
      <c r="R56" s="2158"/>
      <c r="S56" s="2158"/>
      <c r="T56" s="2158"/>
      <c r="U56" s="2158"/>
      <c r="V56" s="2159"/>
      <c r="W56" s="4775"/>
      <c r="X56" s="4794">
        <f t="shared" ref="X56" si="74">IFERROR(J56/$C$1,0)</f>
        <v>33.74526415895042</v>
      </c>
      <c r="Y56" s="4794">
        <f t="shared" ref="Y56" si="75">IFERROR(K56/$C$1,0)</f>
        <v>33.74526415895042</v>
      </c>
      <c r="Z56" s="4794">
        <f t="shared" ref="Z56" si="76">IFERROR(L56/$C$1,0)</f>
        <v>33.74526415895042</v>
      </c>
      <c r="AA56" s="4794">
        <f t="shared" ref="AA56" si="77">IFERROR(M56/$C$1,0)</f>
        <v>33.74526415895042</v>
      </c>
      <c r="AB56" s="4794">
        <f t="shared" ref="AB56" si="78">IFERROR(N56/$C$1,0)</f>
        <v>33.74526415895042</v>
      </c>
      <c r="AC56" s="4794">
        <f t="shared" ref="AC56" si="79">IFERROR(O56/$C$1,0)</f>
        <v>33.74526415895042</v>
      </c>
    </row>
    <row r="57" spans="1:35" ht="12.75">
      <c r="A57" s="1380"/>
      <c r="B57" s="3900" t="s">
        <v>1428</v>
      </c>
      <c r="C57" s="3912" t="s">
        <v>170</v>
      </c>
      <c r="D57" s="2160"/>
      <c r="E57" s="2088"/>
      <c r="F57" s="2088"/>
      <c r="G57" s="2088"/>
      <c r="H57" s="2088"/>
      <c r="I57" s="2161"/>
      <c r="J57" s="4189"/>
      <c r="K57" s="3868">
        <f>IFERROR((K56-J56)/J56,0)</f>
        <v>0</v>
      </c>
      <c r="L57" s="3868">
        <f>IFERROR((L56-K56)/K56,0)</f>
        <v>0</v>
      </c>
      <c r="M57" s="3868">
        <f>IFERROR((M56-L56)/L56,0)</f>
        <v>0</v>
      </c>
      <c r="N57" s="3868">
        <f>IFERROR((N56-M56)/M56,0)</f>
        <v>0</v>
      </c>
      <c r="O57" s="3869">
        <f>IFERROR((O56-N56)/N56,0)</f>
        <v>0</v>
      </c>
      <c r="P57" s="4507"/>
      <c r="Q57" s="3234"/>
      <c r="R57" s="2088"/>
      <c r="S57" s="2088"/>
      <c r="T57" s="2088"/>
      <c r="U57" s="2088"/>
      <c r="V57" s="2161"/>
      <c r="W57" s="4775"/>
    </row>
    <row r="58" spans="1:35" ht="12.75">
      <c r="A58" s="1379"/>
      <c r="B58" s="1528" t="s">
        <v>642</v>
      </c>
      <c r="C58" s="3913"/>
      <c r="D58" s="2160"/>
      <c r="E58" s="2088"/>
      <c r="F58" s="2088"/>
      <c r="G58" s="2088"/>
      <c r="H58" s="2088"/>
      <c r="I58" s="2161"/>
      <c r="J58" s="447">
        <v>81</v>
      </c>
      <c r="K58" s="429">
        <v>81</v>
      </c>
      <c r="L58" s="429">
        <v>81</v>
      </c>
      <c r="M58" s="429">
        <v>81</v>
      </c>
      <c r="N58" s="429">
        <v>81</v>
      </c>
      <c r="O58" s="430">
        <v>81</v>
      </c>
      <c r="P58" s="4732">
        <f>IFERROR((K58-J58)/J58,0)</f>
        <v>0</v>
      </c>
      <c r="Q58" s="3234"/>
      <c r="R58" s="2088"/>
      <c r="S58" s="2088"/>
      <c r="T58" s="2088"/>
      <c r="U58" s="2088"/>
      <c r="V58" s="2161"/>
      <c r="W58" s="4775"/>
      <c r="X58" s="4794">
        <f t="shared" ref="X58" si="80">IFERROR(J58/$C$1,0)</f>
        <v>41.414642376893696</v>
      </c>
      <c r="Y58" s="4794">
        <f t="shared" ref="Y58" si="81">IFERROR(K58/$C$1,0)</f>
        <v>41.414642376893696</v>
      </c>
      <c r="Z58" s="4794">
        <f t="shared" ref="Z58" si="82">IFERROR(L58/$C$1,0)</f>
        <v>41.414642376893696</v>
      </c>
      <c r="AA58" s="4794">
        <f t="shared" ref="AA58" si="83">IFERROR(M58/$C$1,0)</f>
        <v>41.414642376893696</v>
      </c>
      <c r="AB58" s="4794">
        <f t="shared" ref="AB58" si="84">IFERROR(N58/$C$1,0)</f>
        <v>41.414642376893696</v>
      </c>
      <c r="AC58" s="4794">
        <f t="shared" ref="AC58" si="85">IFERROR(O58/$C$1,0)</f>
        <v>41.414642376893696</v>
      </c>
    </row>
    <row r="59" spans="1:35" ht="12.75">
      <c r="A59" s="1379"/>
      <c r="B59" s="3900" t="s">
        <v>1428</v>
      </c>
      <c r="C59" s="3912" t="s">
        <v>170</v>
      </c>
      <c r="D59" s="2160"/>
      <c r="E59" s="2088"/>
      <c r="F59" s="2088"/>
      <c r="G59" s="2088"/>
      <c r="H59" s="2088"/>
      <c r="I59" s="2161"/>
      <c r="J59" s="3872"/>
      <c r="K59" s="3868">
        <f>IFERROR((K58-J58)/J58,0)</f>
        <v>0</v>
      </c>
      <c r="L59" s="3868">
        <f>IFERROR((L58-K58)/K58,0)</f>
        <v>0</v>
      </c>
      <c r="M59" s="3868">
        <f>IFERROR((M58-L58)/L58,0)</f>
        <v>0</v>
      </c>
      <c r="N59" s="3868">
        <f>IFERROR((N58-M58)/M58,0)</f>
        <v>0</v>
      </c>
      <c r="O59" s="3869">
        <f>IFERROR((O58-N58)/N58,0)</f>
        <v>0</v>
      </c>
      <c r="P59" s="4507"/>
      <c r="Q59" s="3234"/>
      <c r="R59" s="2088"/>
      <c r="S59" s="2088"/>
      <c r="T59" s="2088"/>
      <c r="U59" s="2088"/>
      <c r="V59" s="2161"/>
      <c r="W59" s="4775"/>
    </row>
    <row r="60" spans="1:35" ht="12.75">
      <c r="A60" s="1379"/>
      <c r="B60" s="1528" t="s">
        <v>641</v>
      </c>
      <c r="C60" s="3913"/>
      <c r="D60" s="2160"/>
      <c r="E60" s="2088"/>
      <c r="F60" s="2088"/>
      <c r="G60" s="2088"/>
      <c r="H60" s="2088"/>
      <c r="I60" s="2161"/>
      <c r="J60" s="447">
        <v>259</v>
      </c>
      <c r="K60" s="429">
        <v>259</v>
      </c>
      <c r="L60" s="429">
        <v>259</v>
      </c>
      <c r="M60" s="429">
        <v>259</v>
      </c>
      <c r="N60" s="429">
        <v>259</v>
      </c>
      <c r="O60" s="430">
        <v>259</v>
      </c>
      <c r="P60" s="4732">
        <f>IFERROR((K60-J60)/J60,0)</f>
        <v>0</v>
      </c>
      <c r="Q60" s="3234"/>
      <c r="R60" s="2088"/>
      <c r="S60" s="2088"/>
      <c r="T60" s="2088"/>
      <c r="U60" s="2088"/>
      <c r="V60" s="2161"/>
      <c r="W60" s="4775"/>
      <c r="X60" s="4794">
        <f t="shared" ref="X60" si="86">IFERROR(J60/$C$1,0)</f>
        <v>132.42459722982059</v>
      </c>
      <c r="Y60" s="4794">
        <f t="shared" ref="Y60" si="87">IFERROR(K60/$C$1,0)</f>
        <v>132.42459722982059</v>
      </c>
      <c r="Z60" s="4794">
        <f t="shared" ref="Z60" si="88">IFERROR(L60/$C$1,0)</f>
        <v>132.42459722982059</v>
      </c>
      <c r="AA60" s="4794">
        <f t="shared" ref="AA60" si="89">IFERROR(M60/$C$1,0)</f>
        <v>132.42459722982059</v>
      </c>
      <c r="AB60" s="4794">
        <f t="shared" ref="AB60" si="90">IFERROR(N60/$C$1,0)</f>
        <v>132.42459722982059</v>
      </c>
      <c r="AC60" s="4794">
        <f t="shared" ref="AC60" si="91">IFERROR(O60/$C$1,0)</f>
        <v>132.42459722982059</v>
      </c>
    </row>
    <row r="61" spans="1:35" ht="12.75">
      <c r="A61" s="1379"/>
      <c r="B61" s="3900" t="s">
        <v>1428</v>
      </c>
      <c r="C61" s="3912" t="s">
        <v>170</v>
      </c>
      <c r="D61" s="2160"/>
      <c r="E61" s="2088"/>
      <c r="F61" s="2088"/>
      <c r="G61" s="2088"/>
      <c r="H61" s="2088"/>
      <c r="I61" s="2161"/>
      <c r="J61" s="3872"/>
      <c r="K61" s="3868">
        <f>IFERROR((K60-J60)/J60,0)</f>
        <v>0</v>
      </c>
      <c r="L61" s="3868">
        <f>IFERROR((L60-K60)/K60,0)</f>
        <v>0</v>
      </c>
      <c r="M61" s="3868">
        <f>IFERROR((M60-L60)/L60,0)</f>
        <v>0</v>
      </c>
      <c r="N61" s="3868">
        <f>IFERROR((N60-M60)/M60,0)</f>
        <v>0</v>
      </c>
      <c r="O61" s="3869">
        <f>IFERROR((O60-N60)/N60,0)</f>
        <v>0</v>
      </c>
      <c r="P61" s="4507"/>
      <c r="Q61" s="3234"/>
      <c r="R61" s="2088"/>
      <c r="S61" s="2088"/>
      <c r="T61" s="2088"/>
      <c r="U61" s="2088"/>
      <c r="V61" s="2161"/>
      <c r="W61" s="4775"/>
    </row>
    <row r="62" spans="1:35" ht="12.75">
      <c r="A62" s="1379"/>
      <c r="B62" s="1528" t="s">
        <v>640</v>
      </c>
      <c r="C62" s="3913"/>
      <c r="D62" s="2160"/>
      <c r="E62" s="2088"/>
      <c r="F62" s="2088"/>
      <c r="G62" s="2088"/>
      <c r="H62" s="2088"/>
      <c r="I62" s="2161"/>
      <c r="J62" s="447">
        <v>45</v>
      </c>
      <c r="K62" s="429">
        <v>93</v>
      </c>
      <c r="L62" s="429">
        <v>106</v>
      </c>
      <c r="M62" s="429">
        <v>122</v>
      </c>
      <c r="N62" s="429">
        <v>141</v>
      </c>
      <c r="O62" s="430">
        <v>162</v>
      </c>
      <c r="P62" s="4732">
        <f>IFERROR((K62-J62)/J62,0)</f>
        <v>1.0666666666666667</v>
      </c>
      <c r="Q62" s="3234"/>
      <c r="R62" s="2088"/>
      <c r="S62" s="2088"/>
      <c r="T62" s="2088"/>
      <c r="U62" s="2088"/>
      <c r="V62" s="2161"/>
      <c r="W62" s="4775"/>
      <c r="X62" s="4794">
        <f t="shared" ref="X62" si="92">IFERROR(J62/$C$1,0)</f>
        <v>23.008134653829831</v>
      </c>
      <c r="Y62" s="4794">
        <f t="shared" ref="Y62" si="93">IFERROR(K62/$C$1,0)</f>
        <v>47.550144951248321</v>
      </c>
      <c r="Z62" s="4794">
        <f t="shared" ref="Z62" si="94">IFERROR(L62/$C$1,0)</f>
        <v>54.19693940679916</v>
      </c>
      <c r="AA62" s="4794">
        <f t="shared" ref="AA62" si="95">IFERROR(M62/$C$1,0)</f>
        <v>62.377609505938658</v>
      </c>
      <c r="AB62" s="4794">
        <f t="shared" ref="AB62" si="96">IFERROR(N62/$C$1,0)</f>
        <v>72.092155248666813</v>
      </c>
      <c r="AC62" s="4794">
        <f t="shared" ref="AC62" si="97">IFERROR(O62/$C$1,0)</f>
        <v>82.829284753787391</v>
      </c>
    </row>
    <row r="63" spans="1:35" ht="12.75">
      <c r="A63" s="1379"/>
      <c r="B63" s="3900" t="s">
        <v>1428</v>
      </c>
      <c r="C63" s="3912" t="s">
        <v>170</v>
      </c>
      <c r="D63" s="2160"/>
      <c r="E63" s="2088"/>
      <c r="F63" s="2088"/>
      <c r="G63" s="2088"/>
      <c r="H63" s="2088"/>
      <c r="I63" s="2161"/>
      <c r="J63" s="4190"/>
      <c r="K63" s="3868">
        <f>IFERROR((K62-J62)/J62,0)</f>
        <v>1.0666666666666667</v>
      </c>
      <c r="L63" s="3868">
        <f>IFERROR((L62-K62)/K62,0)</f>
        <v>0.13978494623655913</v>
      </c>
      <c r="M63" s="3868">
        <f>IFERROR((M62-L62)/L62,0)</f>
        <v>0.15094339622641509</v>
      </c>
      <c r="N63" s="3868">
        <f>IFERROR((N62-M62)/M62,0)</f>
        <v>0.15573770491803279</v>
      </c>
      <c r="O63" s="3869">
        <f>IFERROR((O62-N62)/N62,0)</f>
        <v>0.14893617021276595</v>
      </c>
      <c r="P63" s="4507"/>
      <c r="Q63" s="3234"/>
      <c r="R63" s="2088"/>
      <c r="S63" s="2088"/>
      <c r="T63" s="2088"/>
      <c r="U63" s="2088"/>
      <c r="V63" s="2161"/>
      <c r="W63" s="4775"/>
    </row>
    <row r="64" spans="1:35" ht="12.75">
      <c r="A64" s="1379"/>
      <c r="B64" s="1528" t="s">
        <v>639</v>
      </c>
      <c r="C64" s="3913"/>
      <c r="D64" s="2160"/>
      <c r="E64" s="2088"/>
      <c r="F64" s="2088"/>
      <c r="G64" s="2088"/>
      <c r="H64" s="2088"/>
      <c r="I64" s="2161"/>
      <c r="J64" s="970">
        <v>10</v>
      </c>
      <c r="K64" s="431">
        <v>11.5</v>
      </c>
      <c r="L64" s="431">
        <v>13.2</v>
      </c>
      <c r="M64" s="431">
        <v>15.2</v>
      </c>
      <c r="N64" s="431">
        <v>17.5</v>
      </c>
      <c r="O64" s="432">
        <v>20.100000000000001</v>
      </c>
      <c r="P64" s="4508">
        <f>IFERROR((K64-J64)/J64,0)</f>
        <v>0.15</v>
      </c>
      <c r="Q64" s="3234"/>
      <c r="R64" s="2088"/>
      <c r="S64" s="2088"/>
      <c r="T64" s="2088"/>
      <c r="U64" s="2088"/>
      <c r="V64" s="2161"/>
      <c r="W64" s="4775"/>
      <c r="X64" s="4794">
        <f t="shared" ref="X64" si="98">IFERROR(J64/$C$1,0)</f>
        <v>5.1129188119621851</v>
      </c>
      <c r="Y64" s="4794">
        <f t="shared" ref="Y64" si="99">IFERROR(K64/$C$1,0)</f>
        <v>5.8798566337565124</v>
      </c>
      <c r="Z64" s="4794">
        <f t="shared" ref="Z64" si="100">IFERROR(L64/$C$1,0)</f>
        <v>6.7490528317900838</v>
      </c>
      <c r="AA64" s="4794">
        <f t="shared" ref="AA64" si="101">IFERROR(M64/$C$1,0)</f>
        <v>7.771636594182521</v>
      </c>
      <c r="AB64" s="4794">
        <f t="shared" ref="AB64" si="102">IFERROR(N64/$C$1,0)</f>
        <v>8.9476079209338231</v>
      </c>
      <c r="AC64" s="4794">
        <f t="shared" ref="AC64" si="103">IFERROR(O64/$C$1,0)</f>
        <v>10.276966812043993</v>
      </c>
    </row>
    <row r="65" spans="1:35" ht="12.75">
      <c r="A65" s="1381"/>
      <c r="B65" s="3900" t="s">
        <v>1428</v>
      </c>
      <c r="C65" s="3912" t="s">
        <v>170</v>
      </c>
      <c r="D65" s="2160"/>
      <c r="E65" s="2088"/>
      <c r="F65" s="2088"/>
      <c r="G65" s="2088"/>
      <c r="H65" s="2088"/>
      <c r="I65" s="2161"/>
      <c r="J65" s="4190"/>
      <c r="K65" s="3868">
        <f>IFERROR((K64-J64)/J64,0)</f>
        <v>0.15</v>
      </c>
      <c r="L65" s="3868">
        <f>IFERROR((L64-K64)/K64,0)</f>
        <v>0.14782608695652169</v>
      </c>
      <c r="M65" s="3868">
        <f>IFERROR((M64-L64)/L64,0)</f>
        <v>0.15151515151515152</v>
      </c>
      <c r="N65" s="3868">
        <f>IFERROR((N64-M64)/M64,0)</f>
        <v>0.15131578947368426</v>
      </c>
      <c r="O65" s="3869">
        <f>IFERROR((O64-N64)/N64,0)</f>
        <v>0.14857142857142866</v>
      </c>
      <c r="P65" s="4507"/>
      <c r="Q65" s="3234"/>
      <c r="R65" s="2088"/>
      <c r="S65" s="2088"/>
      <c r="T65" s="2088"/>
      <c r="U65" s="2088"/>
      <c r="V65" s="2161"/>
      <c r="W65" s="4775"/>
    </row>
    <row r="66" spans="1:35" ht="24">
      <c r="A66" s="1379"/>
      <c r="B66" s="1528" t="s">
        <v>638</v>
      </c>
      <c r="C66" s="3913"/>
      <c r="D66" s="2160"/>
      <c r="E66" s="2088"/>
      <c r="F66" s="2088"/>
      <c r="G66" s="2088"/>
      <c r="H66" s="2088"/>
      <c r="I66" s="2161"/>
      <c r="J66" s="3909">
        <f>J53-J56-J58-J60-J62-J64</f>
        <v>9</v>
      </c>
      <c r="K66" s="3886">
        <f t="shared" ref="K66:O66" si="104">K53-K56-K58-K60-K62-K64</f>
        <v>8.5</v>
      </c>
      <c r="L66" s="3886">
        <f t="shared" si="104"/>
        <v>8.8000000000000007</v>
      </c>
      <c r="M66" s="3886">
        <f t="shared" si="104"/>
        <v>8.8000000000000007</v>
      </c>
      <c r="N66" s="3886">
        <f t="shared" si="104"/>
        <v>8.5</v>
      </c>
      <c r="O66" s="3870">
        <f t="shared" si="104"/>
        <v>8.8999999999999986</v>
      </c>
      <c r="P66" s="4508">
        <f>IFERROR((K66-J66)/J66,0)</f>
        <v>-5.5555555555555552E-2</v>
      </c>
      <c r="Q66" s="3234"/>
      <c r="R66" s="2088"/>
      <c r="S66" s="2088"/>
      <c r="T66" s="2088"/>
      <c r="U66" s="2088"/>
      <c r="V66" s="2161"/>
      <c r="W66" s="4775"/>
      <c r="X66" s="4794">
        <f t="shared" ref="X66" si="105">IFERROR(J66/$C$1,0)</f>
        <v>4.6016269307659661</v>
      </c>
      <c r="Y66" s="4794">
        <f t="shared" ref="Y66" si="106">IFERROR(K66/$C$1,0)</f>
        <v>4.345980990167857</v>
      </c>
      <c r="Z66" s="4794">
        <f t="shared" ref="Z66" si="107">IFERROR(L66/$C$1,0)</f>
        <v>4.4993685545267228</v>
      </c>
      <c r="AA66" s="4794">
        <f t="shared" ref="AA66" si="108">IFERROR(M66/$C$1,0)</f>
        <v>4.4993685545267228</v>
      </c>
      <c r="AB66" s="4794">
        <f t="shared" ref="AB66" si="109">IFERROR(N66/$C$1,0)</f>
        <v>4.345980990167857</v>
      </c>
      <c r="AC66" s="4794">
        <f t="shared" ref="AC66" si="110">IFERROR(O66/$C$1,0)</f>
        <v>4.5504977426463435</v>
      </c>
    </row>
    <row r="67" spans="1:35" ht="13.5" thickBot="1">
      <c r="A67" s="4751"/>
      <c r="B67" s="4752" t="s">
        <v>1428</v>
      </c>
      <c r="C67" s="4747" t="s">
        <v>170</v>
      </c>
      <c r="D67" s="2162"/>
      <c r="E67" s="2163"/>
      <c r="F67" s="2163"/>
      <c r="G67" s="2163"/>
      <c r="H67" s="2163"/>
      <c r="I67" s="2164"/>
      <c r="J67" s="4190"/>
      <c r="K67" s="4748">
        <f>IFERROR((K66-J66)/J66,0)</f>
        <v>-5.5555555555555552E-2</v>
      </c>
      <c r="L67" s="4748">
        <f>IFERROR((L66-K66)/K66,0)</f>
        <v>3.5294117647058906E-2</v>
      </c>
      <c r="M67" s="4748">
        <f>IFERROR((M66-L66)/L66,0)</f>
        <v>0</v>
      </c>
      <c r="N67" s="4748">
        <f>IFERROR((N66-M66)/M66,0)</f>
        <v>-3.4090909090909172E-2</v>
      </c>
      <c r="O67" s="4753">
        <f>IFERROR((O66-N66)/N66,0)</f>
        <v>4.7058823529411598E-2</v>
      </c>
      <c r="P67" s="4754"/>
      <c r="Q67" s="3887"/>
      <c r="R67" s="2163"/>
      <c r="S67" s="2163"/>
      <c r="T67" s="2163"/>
      <c r="U67" s="2163"/>
      <c r="V67" s="2164"/>
      <c r="W67" s="4775"/>
    </row>
    <row r="68" spans="1:35" ht="13.5" customHeight="1" thickBot="1">
      <c r="A68" s="5297"/>
      <c r="B68" s="5298"/>
      <c r="C68" s="5298"/>
      <c r="D68" s="5298"/>
      <c r="E68" s="5298"/>
      <c r="F68" s="5298"/>
      <c r="G68" s="5298"/>
      <c r="H68" s="5298"/>
      <c r="I68" s="5298"/>
      <c r="J68" s="5298"/>
      <c r="K68" s="5298"/>
      <c r="L68" s="5298"/>
      <c r="M68" s="5298"/>
      <c r="N68" s="5298"/>
      <c r="O68" s="5298"/>
      <c r="P68" s="5298"/>
      <c r="Q68" s="5298"/>
      <c r="R68" s="5298"/>
      <c r="S68" s="5298"/>
      <c r="T68" s="5298"/>
      <c r="U68" s="5298"/>
      <c r="V68" s="5299"/>
      <c r="W68" s="4775"/>
    </row>
    <row r="69" spans="1:35" ht="18" customHeight="1" thickBot="1">
      <c r="A69" s="1535">
        <v>3</v>
      </c>
      <c r="B69" s="3884" t="s">
        <v>209</v>
      </c>
      <c r="C69" s="5286"/>
      <c r="D69" s="5286"/>
      <c r="E69" s="5286"/>
      <c r="F69" s="5286"/>
      <c r="G69" s="5286"/>
      <c r="H69" s="5286"/>
      <c r="I69" s="5286"/>
      <c r="J69" s="5287"/>
      <c r="K69" s="5287"/>
      <c r="L69" s="5287"/>
      <c r="M69" s="5287"/>
      <c r="N69" s="5287"/>
      <c r="O69" s="5287"/>
      <c r="P69" s="5310"/>
      <c r="Q69" s="5286"/>
      <c r="R69" s="5286"/>
      <c r="S69" s="5286"/>
      <c r="T69" s="5286"/>
      <c r="U69" s="5286"/>
      <c r="V69" s="5288"/>
      <c r="W69" s="4775"/>
    </row>
    <row r="70" spans="1:35" ht="12.75">
      <c r="A70" s="435" t="s">
        <v>263</v>
      </c>
      <c r="B70" s="1512" t="s">
        <v>1357</v>
      </c>
      <c r="C70" s="1482" t="s">
        <v>676</v>
      </c>
      <c r="D70" s="1480">
        <v>6</v>
      </c>
      <c r="E70" s="1481">
        <v>6</v>
      </c>
      <c r="F70" s="1481">
        <v>6</v>
      </c>
      <c r="G70" s="1481">
        <v>6</v>
      </c>
      <c r="H70" s="1481">
        <v>6</v>
      </c>
      <c r="I70" s="3885">
        <v>6</v>
      </c>
      <c r="J70" s="1480">
        <v>157</v>
      </c>
      <c r="K70" s="4186">
        <v>157</v>
      </c>
      <c r="L70" s="4186">
        <v>157</v>
      </c>
      <c r="M70" s="4186">
        <v>157</v>
      </c>
      <c r="N70" s="4186">
        <v>158</v>
      </c>
      <c r="O70" s="4188">
        <v>158</v>
      </c>
      <c r="P70" s="4728">
        <f t="shared" ref="P70:P78" si="111">IFERROR((K70-J70)/J70,0)</f>
        <v>0</v>
      </c>
      <c r="Q70" s="4320">
        <f t="shared" ref="Q70:V77" si="112">ROUND(IFERROR(J70*1000/D70,0),0)</f>
        <v>26167</v>
      </c>
      <c r="R70" s="4068">
        <f t="shared" si="112"/>
        <v>26167</v>
      </c>
      <c r="S70" s="4068">
        <f t="shared" si="112"/>
        <v>26167</v>
      </c>
      <c r="T70" s="4068">
        <f t="shared" si="112"/>
        <v>26167</v>
      </c>
      <c r="U70" s="4068">
        <f t="shared" si="112"/>
        <v>26333</v>
      </c>
      <c r="V70" s="4069">
        <f t="shared" si="112"/>
        <v>26333</v>
      </c>
      <c r="W70" s="4775"/>
      <c r="X70" s="4794">
        <f t="shared" ref="X70:X79" si="113">IFERROR(J70/$C$1,0)</f>
        <v>80.272825347806304</v>
      </c>
      <c r="Y70" s="4794">
        <f t="shared" ref="Y70:Y79" si="114">IFERROR(K70/$C$1,0)</f>
        <v>80.272825347806304</v>
      </c>
      <c r="Z70" s="4794">
        <f t="shared" ref="Z70:Z79" si="115">IFERROR(L70/$C$1,0)</f>
        <v>80.272825347806304</v>
      </c>
      <c r="AA70" s="4794">
        <f t="shared" ref="AA70:AA79" si="116">IFERROR(M70/$C$1,0)</f>
        <v>80.272825347806304</v>
      </c>
      <c r="AB70" s="4794">
        <f t="shared" ref="AB70:AB79" si="117">IFERROR(N70/$C$1,0)</f>
        <v>80.784117229002518</v>
      </c>
      <c r="AC70" s="4794">
        <f t="shared" ref="AC70:AC79" si="118">IFERROR(O70/$C$1,0)</f>
        <v>80.784117229002518</v>
      </c>
      <c r="AD70" s="4794">
        <f t="shared" ref="AD70:AD77" si="119">IFERROR(Q70/$C$1,0)</f>
        <v>13378.974655261449</v>
      </c>
      <c r="AE70" s="4794">
        <f t="shared" ref="AE70:AE77" si="120">IFERROR(R70/$C$1,0)</f>
        <v>13378.974655261449</v>
      </c>
      <c r="AF70" s="4794">
        <f t="shared" ref="AF70:AF77" si="121">IFERROR(S70/$C$1,0)</f>
        <v>13378.974655261449</v>
      </c>
      <c r="AG70" s="4794">
        <f t="shared" ref="AG70:AG77" si="122">IFERROR(T70/$C$1,0)</f>
        <v>13378.974655261449</v>
      </c>
      <c r="AH70" s="4794">
        <f t="shared" ref="AH70:AH77" si="123">IFERROR(U70/$C$1,0)</f>
        <v>13463.849107540022</v>
      </c>
      <c r="AI70" s="4794">
        <f t="shared" ref="AI70:AI77" si="124">IFERROR(V70/$C$1,0)</f>
        <v>13463.849107540022</v>
      </c>
    </row>
    <row r="71" spans="1:35" ht="12.75">
      <c r="A71" s="436" t="s">
        <v>264</v>
      </c>
      <c r="B71" s="1513" t="s">
        <v>1358</v>
      </c>
      <c r="C71" s="321" t="s">
        <v>676</v>
      </c>
      <c r="D71" s="422">
        <v>3</v>
      </c>
      <c r="E71" s="423">
        <v>3</v>
      </c>
      <c r="F71" s="423">
        <v>3</v>
      </c>
      <c r="G71" s="423">
        <v>3</v>
      </c>
      <c r="H71" s="423">
        <v>3</v>
      </c>
      <c r="I71" s="438">
        <v>3</v>
      </c>
      <c r="J71" s="422">
        <v>64.2</v>
      </c>
      <c r="K71" s="4184">
        <v>64</v>
      </c>
      <c r="L71" s="4184">
        <v>64</v>
      </c>
      <c r="M71" s="4184">
        <v>64</v>
      </c>
      <c r="N71" s="4184">
        <v>64</v>
      </c>
      <c r="O71" s="4318">
        <v>64</v>
      </c>
      <c r="P71" s="4729">
        <f t="shared" si="111"/>
        <v>-3.1152647975078323E-3</v>
      </c>
      <c r="Q71" s="4321">
        <f t="shared" si="112"/>
        <v>21400</v>
      </c>
      <c r="R71" s="4070">
        <f t="shared" si="112"/>
        <v>21333</v>
      </c>
      <c r="S71" s="4070">
        <f t="shared" si="112"/>
        <v>21333</v>
      </c>
      <c r="T71" s="4070">
        <f t="shared" si="112"/>
        <v>21333</v>
      </c>
      <c r="U71" s="4070">
        <f t="shared" si="112"/>
        <v>21333</v>
      </c>
      <c r="V71" s="4071">
        <f t="shared" si="112"/>
        <v>21333</v>
      </c>
      <c r="W71" s="4775"/>
      <c r="X71" s="4794">
        <f t="shared" si="113"/>
        <v>32.824938772797232</v>
      </c>
      <c r="Y71" s="4794">
        <f t="shared" si="114"/>
        <v>32.722680396557983</v>
      </c>
      <c r="Z71" s="4794">
        <f t="shared" si="115"/>
        <v>32.722680396557983</v>
      </c>
      <c r="AA71" s="4794">
        <f t="shared" si="116"/>
        <v>32.722680396557983</v>
      </c>
      <c r="AB71" s="4794">
        <f t="shared" si="117"/>
        <v>32.722680396557983</v>
      </c>
      <c r="AC71" s="4794">
        <f t="shared" si="118"/>
        <v>32.722680396557983</v>
      </c>
      <c r="AD71" s="4794">
        <f t="shared" si="119"/>
        <v>10941.646257599075</v>
      </c>
      <c r="AE71" s="4794">
        <f t="shared" si="120"/>
        <v>10907.38970155893</v>
      </c>
      <c r="AF71" s="4794">
        <f t="shared" si="121"/>
        <v>10907.38970155893</v>
      </c>
      <c r="AG71" s="4794">
        <f t="shared" si="122"/>
        <v>10907.38970155893</v>
      </c>
      <c r="AH71" s="4794">
        <f t="shared" si="123"/>
        <v>10907.38970155893</v>
      </c>
      <c r="AI71" s="4794">
        <f t="shared" si="124"/>
        <v>10907.38970155893</v>
      </c>
    </row>
    <row r="72" spans="1:35" ht="24">
      <c r="A72" s="436" t="s">
        <v>485</v>
      </c>
      <c r="B72" s="1513" t="s">
        <v>1359</v>
      </c>
      <c r="C72" s="321" t="s">
        <v>676</v>
      </c>
      <c r="D72" s="448">
        <v>5</v>
      </c>
      <c r="E72" s="423">
        <v>5</v>
      </c>
      <c r="F72" s="423">
        <v>5</v>
      </c>
      <c r="G72" s="423">
        <v>5</v>
      </c>
      <c r="H72" s="423">
        <v>5</v>
      </c>
      <c r="I72" s="438">
        <v>5</v>
      </c>
      <c r="J72" s="422">
        <v>55.2</v>
      </c>
      <c r="K72" s="4184">
        <v>55</v>
      </c>
      <c r="L72" s="4184">
        <v>55</v>
      </c>
      <c r="M72" s="4184">
        <v>55</v>
      </c>
      <c r="N72" s="4184">
        <v>55</v>
      </c>
      <c r="O72" s="4318">
        <v>55</v>
      </c>
      <c r="P72" s="4729">
        <f t="shared" si="111"/>
        <v>-3.6231884057971527E-3</v>
      </c>
      <c r="Q72" s="4321">
        <f t="shared" si="112"/>
        <v>11040</v>
      </c>
      <c r="R72" s="4070">
        <f t="shared" si="112"/>
        <v>11000</v>
      </c>
      <c r="S72" s="4070">
        <f t="shared" si="112"/>
        <v>11000</v>
      </c>
      <c r="T72" s="4070">
        <f t="shared" si="112"/>
        <v>11000</v>
      </c>
      <c r="U72" s="4070">
        <f t="shared" si="112"/>
        <v>11000</v>
      </c>
      <c r="V72" s="4071">
        <f t="shared" si="112"/>
        <v>11000</v>
      </c>
      <c r="W72" s="4775"/>
      <c r="X72" s="4794">
        <f t="shared" si="113"/>
        <v>28.223311842031261</v>
      </c>
      <c r="Y72" s="4794">
        <f t="shared" si="114"/>
        <v>28.121053465792016</v>
      </c>
      <c r="Z72" s="4794">
        <f t="shared" si="115"/>
        <v>28.121053465792016</v>
      </c>
      <c r="AA72" s="4794">
        <f t="shared" si="116"/>
        <v>28.121053465792016</v>
      </c>
      <c r="AB72" s="4794">
        <f t="shared" si="117"/>
        <v>28.121053465792016</v>
      </c>
      <c r="AC72" s="4794">
        <f t="shared" si="118"/>
        <v>28.121053465792016</v>
      </c>
      <c r="AD72" s="4794">
        <f t="shared" si="119"/>
        <v>5644.6623684062524</v>
      </c>
      <c r="AE72" s="4794">
        <f t="shared" si="120"/>
        <v>5624.210693158403</v>
      </c>
      <c r="AF72" s="4794">
        <f t="shared" si="121"/>
        <v>5624.210693158403</v>
      </c>
      <c r="AG72" s="4794">
        <f t="shared" si="122"/>
        <v>5624.210693158403</v>
      </c>
      <c r="AH72" s="4794">
        <f t="shared" si="123"/>
        <v>5624.210693158403</v>
      </c>
      <c r="AI72" s="4794">
        <f t="shared" si="124"/>
        <v>5624.210693158403</v>
      </c>
    </row>
    <row r="73" spans="1:35" ht="12.75">
      <c r="A73" s="436" t="s">
        <v>486</v>
      </c>
      <c r="B73" s="1513" t="s">
        <v>1360</v>
      </c>
      <c r="C73" s="321" t="s">
        <v>676</v>
      </c>
      <c r="D73" s="448"/>
      <c r="E73" s="423"/>
      <c r="F73" s="423"/>
      <c r="G73" s="423"/>
      <c r="H73" s="423"/>
      <c r="I73" s="438"/>
      <c r="J73" s="422"/>
      <c r="K73" s="4184"/>
      <c r="L73" s="4184"/>
      <c r="M73" s="4184"/>
      <c r="N73" s="4184"/>
      <c r="O73" s="4318"/>
      <c r="P73" s="4729">
        <f t="shared" si="111"/>
        <v>0</v>
      </c>
      <c r="Q73" s="4321">
        <f t="shared" si="112"/>
        <v>0</v>
      </c>
      <c r="R73" s="4070">
        <f t="shared" si="112"/>
        <v>0</v>
      </c>
      <c r="S73" s="4070">
        <f t="shared" si="112"/>
        <v>0</v>
      </c>
      <c r="T73" s="4070">
        <f t="shared" si="112"/>
        <v>0</v>
      </c>
      <c r="U73" s="4070">
        <f t="shared" si="112"/>
        <v>0</v>
      </c>
      <c r="V73" s="4071">
        <f t="shared" si="112"/>
        <v>0</v>
      </c>
      <c r="W73" s="4775"/>
      <c r="X73" s="4794">
        <f t="shared" si="113"/>
        <v>0</v>
      </c>
      <c r="Y73" s="4794">
        <f t="shared" si="114"/>
        <v>0</v>
      </c>
      <c r="Z73" s="4794">
        <f t="shared" si="115"/>
        <v>0</v>
      </c>
      <c r="AA73" s="4794">
        <f t="shared" si="116"/>
        <v>0</v>
      </c>
      <c r="AB73" s="4794">
        <f t="shared" si="117"/>
        <v>0</v>
      </c>
      <c r="AC73" s="4794">
        <f t="shared" si="118"/>
        <v>0</v>
      </c>
      <c r="AD73" s="4794">
        <f t="shared" si="119"/>
        <v>0</v>
      </c>
      <c r="AE73" s="4794">
        <f t="shared" si="120"/>
        <v>0</v>
      </c>
      <c r="AF73" s="4794">
        <f t="shared" si="121"/>
        <v>0</v>
      </c>
      <c r="AG73" s="4794">
        <f t="shared" si="122"/>
        <v>0</v>
      </c>
      <c r="AH73" s="4794">
        <f t="shared" si="123"/>
        <v>0</v>
      </c>
      <c r="AI73" s="4794">
        <f t="shared" si="124"/>
        <v>0</v>
      </c>
    </row>
    <row r="74" spans="1:35" ht="24">
      <c r="A74" s="436" t="s">
        <v>487</v>
      </c>
      <c r="B74" s="1513" t="s">
        <v>1410</v>
      </c>
      <c r="C74" s="321" t="s">
        <v>676</v>
      </c>
      <c r="D74" s="448"/>
      <c r="E74" s="423"/>
      <c r="F74" s="423"/>
      <c r="G74" s="423"/>
      <c r="H74" s="423"/>
      <c r="I74" s="438"/>
      <c r="J74" s="422"/>
      <c r="K74" s="4184"/>
      <c r="L74" s="4184"/>
      <c r="M74" s="4184"/>
      <c r="N74" s="4184"/>
      <c r="O74" s="4318"/>
      <c r="P74" s="4729">
        <f t="shared" si="111"/>
        <v>0</v>
      </c>
      <c r="Q74" s="4321">
        <f t="shared" si="112"/>
        <v>0</v>
      </c>
      <c r="R74" s="4070">
        <f t="shared" si="112"/>
        <v>0</v>
      </c>
      <c r="S74" s="4070">
        <f t="shared" si="112"/>
        <v>0</v>
      </c>
      <c r="T74" s="4070">
        <f t="shared" si="112"/>
        <v>0</v>
      </c>
      <c r="U74" s="4070">
        <f t="shared" si="112"/>
        <v>0</v>
      </c>
      <c r="V74" s="4071">
        <f t="shared" si="112"/>
        <v>0</v>
      </c>
      <c r="W74" s="4775"/>
      <c r="X74" s="4794">
        <f t="shared" si="113"/>
        <v>0</v>
      </c>
      <c r="Y74" s="4794">
        <f t="shared" si="114"/>
        <v>0</v>
      </c>
      <c r="Z74" s="4794">
        <f t="shared" si="115"/>
        <v>0</v>
      </c>
      <c r="AA74" s="4794">
        <f t="shared" si="116"/>
        <v>0</v>
      </c>
      <c r="AB74" s="4794">
        <f t="shared" si="117"/>
        <v>0</v>
      </c>
      <c r="AC74" s="4794">
        <f t="shared" si="118"/>
        <v>0</v>
      </c>
      <c r="AD74" s="4794">
        <f t="shared" si="119"/>
        <v>0</v>
      </c>
      <c r="AE74" s="4794">
        <f t="shared" si="120"/>
        <v>0</v>
      </c>
      <c r="AF74" s="4794">
        <f t="shared" si="121"/>
        <v>0</v>
      </c>
      <c r="AG74" s="4794">
        <f t="shared" si="122"/>
        <v>0</v>
      </c>
      <c r="AH74" s="4794">
        <f t="shared" si="123"/>
        <v>0</v>
      </c>
      <c r="AI74" s="4794">
        <f t="shared" si="124"/>
        <v>0</v>
      </c>
    </row>
    <row r="75" spans="1:35" ht="12.75">
      <c r="A75" s="436" t="s">
        <v>683</v>
      </c>
      <c r="B75" s="1514" t="s">
        <v>914</v>
      </c>
      <c r="C75" s="321" t="s">
        <v>676</v>
      </c>
      <c r="D75" s="448">
        <v>1</v>
      </c>
      <c r="E75" s="423">
        <v>1</v>
      </c>
      <c r="F75" s="423">
        <v>1</v>
      </c>
      <c r="G75" s="423">
        <v>1</v>
      </c>
      <c r="H75" s="423">
        <v>1</v>
      </c>
      <c r="I75" s="438">
        <v>1</v>
      </c>
      <c r="J75" s="422"/>
      <c r="K75" s="4184"/>
      <c r="L75" s="4184"/>
      <c r="M75" s="4184"/>
      <c r="N75" s="4184"/>
      <c r="O75" s="4318"/>
      <c r="P75" s="4729">
        <f t="shared" si="111"/>
        <v>0</v>
      </c>
      <c r="Q75" s="4321">
        <f t="shared" si="112"/>
        <v>0</v>
      </c>
      <c r="R75" s="4070">
        <f t="shared" si="112"/>
        <v>0</v>
      </c>
      <c r="S75" s="4070">
        <f t="shared" si="112"/>
        <v>0</v>
      </c>
      <c r="T75" s="4070">
        <f t="shared" si="112"/>
        <v>0</v>
      </c>
      <c r="U75" s="4070">
        <f t="shared" si="112"/>
        <v>0</v>
      </c>
      <c r="V75" s="4071">
        <f t="shared" si="112"/>
        <v>0</v>
      </c>
      <c r="W75" s="4775"/>
      <c r="X75" s="4794">
        <f t="shared" si="113"/>
        <v>0</v>
      </c>
      <c r="Y75" s="4794">
        <f t="shared" si="114"/>
        <v>0</v>
      </c>
      <c r="Z75" s="4794">
        <f t="shared" si="115"/>
        <v>0</v>
      </c>
      <c r="AA75" s="4794">
        <f t="shared" si="116"/>
        <v>0</v>
      </c>
      <c r="AB75" s="4794">
        <f t="shared" si="117"/>
        <v>0</v>
      </c>
      <c r="AC75" s="4794">
        <f t="shared" si="118"/>
        <v>0</v>
      </c>
      <c r="AD75" s="4794">
        <f t="shared" si="119"/>
        <v>0</v>
      </c>
      <c r="AE75" s="4794">
        <f t="shared" si="120"/>
        <v>0</v>
      </c>
      <c r="AF75" s="4794">
        <f t="shared" si="121"/>
        <v>0</v>
      </c>
      <c r="AG75" s="4794">
        <f t="shared" si="122"/>
        <v>0</v>
      </c>
      <c r="AH75" s="4794">
        <f t="shared" si="123"/>
        <v>0</v>
      </c>
      <c r="AI75" s="4794">
        <f t="shared" si="124"/>
        <v>0</v>
      </c>
    </row>
    <row r="76" spans="1:35" ht="12.75">
      <c r="A76" s="436" t="s">
        <v>728</v>
      </c>
      <c r="B76" s="1513" t="s">
        <v>915</v>
      </c>
      <c r="C76" s="321" t="s">
        <v>676</v>
      </c>
      <c r="D76" s="448"/>
      <c r="E76" s="423"/>
      <c r="F76" s="423"/>
      <c r="G76" s="423"/>
      <c r="H76" s="423"/>
      <c r="I76" s="438"/>
      <c r="J76" s="422"/>
      <c r="K76" s="4184"/>
      <c r="L76" s="4184"/>
      <c r="M76" s="4184"/>
      <c r="N76" s="4184"/>
      <c r="O76" s="4318"/>
      <c r="P76" s="4729">
        <f t="shared" si="111"/>
        <v>0</v>
      </c>
      <c r="Q76" s="4321">
        <f t="shared" si="112"/>
        <v>0</v>
      </c>
      <c r="R76" s="4070">
        <f t="shared" si="112"/>
        <v>0</v>
      </c>
      <c r="S76" s="4070">
        <f t="shared" si="112"/>
        <v>0</v>
      </c>
      <c r="T76" s="4070">
        <f t="shared" si="112"/>
        <v>0</v>
      </c>
      <c r="U76" s="4070">
        <f t="shared" si="112"/>
        <v>0</v>
      </c>
      <c r="V76" s="4071">
        <f t="shared" si="112"/>
        <v>0</v>
      </c>
      <c r="W76" s="4775"/>
      <c r="X76" s="4794">
        <f t="shared" si="113"/>
        <v>0</v>
      </c>
      <c r="Y76" s="4794">
        <f t="shared" si="114"/>
        <v>0</v>
      </c>
      <c r="Z76" s="4794">
        <f t="shared" si="115"/>
        <v>0</v>
      </c>
      <c r="AA76" s="4794">
        <f t="shared" si="116"/>
        <v>0</v>
      </c>
      <c r="AB76" s="4794">
        <f t="shared" si="117"/>
        <v>0</v>
      </c>
      <c r="AC76" s="4794">
        <f t="shared" si="118"/>
        <v>0</v>
      </c>
      <c r="AD76" s="4794">
        <f t="shared" si="119"/>
        <v>0</v>
      </c>
      <c r="AE76" s="4794">
        <f t="shared" si="120"/>
        <v>0</v>
      </c>
      <c r="AF76" s="4794">
        <f t="shared" si="121"/>
        <v>0</v>
      </c>
      <c r="AG76" s="4794">
        <f t="shared" si="122"/>
        <v>0</v>
      </c>
      <c r="AH76" s="4794">
        <f t="shared" si="123"/>
        <v>0</v>
      </c>
      <c r="AI76" s="4794">
        <f t="shared" si="124"/>
        <v>0</v>
      </c>
    </row>
    <row r="77" spans="1:35" ht="24">
      <c r="A77" s="436" t="s">
        <v>733</v>
      </c>
      <c r="B77" s="1521" t="s">
        <v>1361</v>
      </c>
      <c r="C77" s="321" t="s">
        <v>676</v>
      </c>
      <c r="D77" s="422"/>
      <c r="E77" s="423"/>
      <c r="F77" s="423"/>
      <c r="G77" s="423"/>
      <c r="H77" s="423"/>
      <c r="I77" s="438"/>
      <c r="J77" s="422"/>
      <c r="K77" s="4184"/>
      <c r="L77" s="4184"/>
      <c r="M77" s="4184"/>
      <c r="N77" s="4184"/>
      <c r="O77" s="4318"/>
      <c r="P77" s="4729">
        <f t="shared" si="111"/>
        <v>0</v>
      </c>
      <c r="Q77" s="4321">
        <f t="shared" si="112"/>
        <v>0</v>
      </c>
      <c r="R77" s="4070">
        <f t="shared" si="112"/>
        <v>0</v>
      </c>
      <c r="S77" s="4070">
        <f t="shared" si="112"/>
        <v>0</v>
      </c>
      <c r="T77" s="4070">
        <f t="shared" si="112"/>
        <v>0</v>
      </c>
      <c r="U77" s="4070">
        <f t="shared" si="112"/>
        <v>0</v>
      </c>
      <c r="V77" s="4071">
        <f t="shared" si="112"/>
        <v>0</v>
      </c>
      <c r="W77" s="4775"/>
      <c r="X77" s="4794">
        <f t="shared" si="113"/>
        <v>0</v>
      </c>
      <c r="Y77" s="4794">
        <f t="shared" si="114"/>
        <v>0</v>
      </c>
      <c r="Z77" s="4794">
        <f t="shared" si="115"/>
        <v>0</v>
      </c>
      <c r="AA77" s="4794">
        <f t="shared" si="116"/>
        <v>0</v>
      </c>
      <c r="AB77" s="4794">
        <f t="shared" si="117"/>
        <v>0</v>
      </c>
      <c r="AC77" s="4794">
        <f t="shared" si="118"/>
        <v>0</v>
      </c>
      <c r="AD77" s="4794">
        <f t="shared" si="119"/>
        <v>0</v>
      </c>
      <c r="AE77" s="4794">
        <f t="shared" si="120"/>
        <v>0</v>
      </c>
      <c r="AF77" s="4794">
        <f t="shared" si="121"/>
        <v>0</v>
      </c>
      <c r="AG77" s="4794">
        <f t="shared" si="122"/>
        <v>0</v>
      </c>
      <c r="AH77" s="4794">
        <f t="shared" si="123"/>
        <v>0</v>
      </c>
      <c r="AI77" s="4794">
        <f t="shared" si="124"/>
        <v>0</v>
      </c>
    </row>
    <row r="78" spans="1:35" ht="24.75" thickBot="1">
      <c r="A78" s="436" t="s">
        <v>919</v>
      </c>
      <c r="B78" s="1513" t="s">
        <v>1343</v>
      </c>
      <c r="C78" s="321" t="s">
        <v>313</v>
      </c>
      <c r="D78" s="2153"/>
      <c r="E78" s="2154"/>
      <c r="F78" s="2154"/>
      <c r="G78" s="2154"/>
      <c r="H78" s="2154"/>
      <c r="I78" s="2155"/>
      <c r="J78" s="3846"/>
      <c r="K78" s="4185"/>
      <c r="L78" s="4185"/>
      <c r="M78" s="4185"/>
      <c r="N78" s="4185"/>
      <c r="O78" s="4319"/>
      <c r="P78" s="4730">
        <f t="shared" si="111"/>
        <v>0</v>
      </c>
      <c r="Q78" s="3873"/>
      <c r="R78" s="2154"/>
      <c r="S78" s="2154"/>
      <c r="T78" s="2154"/>
      <c r="U78" s="2154"/>
      <c r="V78" s="2155"/>
      <c r="W78" s="4775"/>
      <c r="X78" s="4794">
        <f t="shared" si="113"/>
        <v>0</v>
      </c>
      <c r="Y78" s="4794">
        <f t="shared" si="114"/>
        <v>0</v>
      </c>
      <c r="Z78" s="4794">
        <f t="shared" si="115"/>
        <v>0</v>
      </c>
      <c r="AA78" s="4794">
        <f t="shared" si="116"/>
        <v>0</v>
      </c>
      <c r="AB78" s="4794">
        <f t="shared" si="117"/>
        <v>0</v>
      </c>
      <c r="AC78" s="4794">
        <f t="shared" si="118"/>
        <v>0</v>
      </c>
      <c r="AD78" s="2134"/>
      <c r="AE78" s="2134"/>
      <c r="AF78" s="2134"/>
      <c r="AG78" s="2134"/>
      <c r="AH78" s="2134"/>
      <c r="AI78" s="2134"/>
    </row>
    <row r="79" spans="1:35" s="2134" customFormat="1" ht="20.100000000000001" customHeight="1" thickBot="1">
      <c r="A79" s="1377"/>
      <c r="B79" s="1515" t="s">
        <v>1076</v>
      </c>
      <c r="C79" s="1516"/>
      <c r="D79" s="327">
        <f>SUM(D70:D78)</f>
        <v>15</v>
      </c>
      <c r="E79" s="328">
        <f t="shared" ref="E79:O79" si="125">SUM(E70:E78)</f>
        <v>15</v>
      </c>
      <c r="F79" s="328">
        <f t="shared" si="125"/>
        <v>15</v>
      </c>
      <c r="G79" s="328">
        <f t="shared" si="125"/>
        <v>15</v>
      </c>
      <c r="H79" s="328">
        <f t="shared" si="125"/>
        <v>15</v>
      </c>
      <c r="I79" s="421">
        <f t="shared" si="125"/>
        <v>15</v>
      </c>
      <c r="J79" s="327">
        <f t="shared" si="125"/>
        <v>276.39999999999998</v>
      </c>
      <c r="K79" s="328">
        <f t="shared" si="125"/>
        <v>276</v>
      </c>
      <c r="L79" s="328">
        <f t="shared" si="125"/>
        <v>276</v>
      </c>
      <c r="M79" s="328">
        <f t="shared" si="125"/>
        <v>276</v>
      </c>
      <c r="N79" s="328">
        <f t="shared" si="125"/>
        <v>277</v>
      </c>
      <c r="O79" s="974">
        <f t="shared" si="125"/>
        <v>277</v>
      </c>
      <c r="P79" s="4506">
        <f>IFERROR((K79-J79)/J79,0)</f>
        <v>-1.4471780028942739E-3</v>
      </c>
      <c r="Q79" s="3877"/>
      <c r="R79" s="3878"/>
      <c r="S79" s="3878"/>
      <c r="T79" s="3878"/>
      <c r="U79" s="3878"/>
      <c r="V79" s="3879"/>
      <c r="W79" s="4775"/>
      <c r="X79" s="4794">
        <f t="shared" si="113"/>
        <v>141.32107596263478</v>
      </c>
      <c r="Y79" s="4794">
        <f t="shared" si="114"/>
        <v>141.11655921015631</v>
      </c>
      <c r="Z79" s="4794">
        <f t="shared" si="115"/>
        <v>141.11655921015631</v>
      </c>
      <c r="AA79" s="4794">
        <f t="shared" si="116"/>
        <v>141.11655921015631</v>
      </c>
      <c r="AB79" s="4794">
        <f t="shared" si="117"/>
        <v>141.62785109135251</v>
      </c>
      <c r="AC79" s="4794">
        <f t="shared" si="118"/>
        <v>141.62785109135251</v>
      </c>
    </row>
    <row r="80" spans="1:35" s="2134" customFormat="1" ht="15" customHeight="1" thickBot="1">
      <c r="A80" s="3854"/>
      <c r="B80" s="3855" t="s">
        <v>1431</v>
      </c>
      <c r="C80" s="3897" t="s">
        <v>170</v>
      </c>
      <c r="D80" s="3856"/>
      <c r="E80" s="3857">
        <f>IFERROR((E79-D79)/D79,0)</f>
        <v>0</v>
      </c>
      <c r="F80" s="3857">
        <f>IFERROR((F79-E79)/E79,0)</f>
        <v>0</v>
      </c>
      <c r="G80" s="3857">
        <f>IFERROR((G79-F79)/F79,0)</f>
        <v>0</v>
      </c>
      <c r="H80" s="3857">
        <f>IFERROR((H79-G79)/G79,0)</f>
        <v>0</v>
      </c>
      <c r="I80" s="3858">
        <f>IFERROR((I79-H79)/H79,0)</f>
        <v>0</v>
      </c>
      <c r="J80" s="3859"/>
      <c r="K80" s="3857">
        <f>IFERROR((K79-J79)/J79,0)</f>
        <v>-1.4471780028942739E-3</v>
      </c>
      <c r="L80" s="3857">
        <f>IFERROR((L79-K79)/K79,0)</f>
        <v>0</v>
      </c>
      <c r="M80" s="3857">
        <f>IFERROR((M79-L79)/L79,0)</f>
        <v>0</v>
      </c>
      <c r="N80" s="3857">
        <f>IFERROR((N79-M79)/M79,0)</f>
        <v>3.6231884057971015E-3</v>
      </c>
      <c r="O80" s="3857">
        <f>IFERROR((O79-N79)/N79,0)</f>
        <v>0</v>
      </c>
      <c r="P80" s="4317"/>
      <c r="Q80" s="3860"/>
      <c r="R80" s="3861"/>
      <c r="S80" s="3861"/>
      <c r="T80" s="3861"/>
      <c r="U80" s="3861"/>
      <c r="V80" s="3862"/>
      <c r="W80" s="4775"/>
    </row>
    <row r="81" spans="1:35" s="2134" customFormat="1" ht="13.5" customHeight="1" thickBot="1">
      <c r="A81" s="3880" t="s">
        <v>1077</v>
      </c>
      <c r="B81" s="433"/>
      <c r="C81" s="433"/>
      <c r="D81" s="433"/>
      <c r="E81" s="433"/>
      <c r="F81" s="433"/>
      <c r="G81" s="433"/>
      <c r="H81" s="433"/>
      <c r="I81" s="433"/>
      <c r="J81" s="433"/>
      <c r="K81" s="433"/>
      <c r="L81" s="433"/>
      <c r="M81" s="433"/>
      <c r="N81" s="433"/>
      <c r="O81" s="433"/>
      <c r="P81" s="433"/>
      <c r="Q81" s="433"/>
      <c r="R81" s="433"/>
      <c r="S81" s="433"/>
      <c r="T81" s="433"/>
      <c r="U81" s="433"/>
      <c r="V81" s="434"/>
      <c r="W81" s="4775"/>
    </row>
    <row r="82" spans="1:35" s="2134" customFormat="1" ht="12.75">
      <c r="A82" s="1380"/>
      <c r="B82" s="1525" t="s">
        <v>1068</v>
      </c>
      <c r="C82" s="1518"/>
      <c r="D82" s="3866"/>
      <c r="E82" s="2158"/>
      <c r="F82" s="2158"/>
      <c r="G82" s="2158"/>
      <c r="H82" s="2158"/>
      <c r="I82" s="3883"/>
      <c r="J82" s="444">
        <v>1</v>
      </c>
      <c r="K82" s="445">
        <v>1</v>
      </c>
      <c r="L82" s="445">
        <v>1</v>
      </c>
      <c r="M82" s="445">
        <v>1</v>
      </c>
      <c r="N82" s="445">
        <v>1</v>
      </c>
      <c r="O82" s="446">
        <v>1</v>
      </c>
      <c r="P82" s="4731">
        <f>IFERROR((K82-J82)/J82,0)</f>
        <v>0</v>
      </c>
      <c r="Q82" s="3866"/>
      <c r="R82" s="2158"/>
      <c r="S82" s="2158"/>
      <c r="T82" s="2158"/>
      <c r="U82" s="2158"/>
      <c r="V82" s="2159"/>
      <c r="W82" s="4775"/>
      <c r="X82" s="4794">
        <f t="shared" ref="X82" si="126">IFERROR(J82/$C$1,0)</f>
        <v>0.51129188119621849</v>
      </c>
      <c r="Y82" s="4794">
        <f t="shared" ref="Y82" si="127">IFERROR(K82/$C$1,0)</f>
        <v>0.51129188119621849</v>
      </c>
      <c r="Z82" s="4794">
        <f t="shared" ref="Z82" si="128">IFERROR(L82/$C$1,0)</f>
        <v>0.51129188119621849</v>
      </c>
      <c r="AA82" s="4794">
        <f t="shared" ref="AA82" si="129">IFERROR(M82/$C$1,0)</f>
        <v>0.51129188119621849</v>
      </c>
      <c r="AB82" s="4794">
        <f t="shared" ref="AB82" si="130">IFERROR(N82/$C$1,0)</f>
        <v>0.51129188119621849</v>
      </c>
      <c r="AC82" s="4794">
        <f t="shared" ref="AC82" si="131">IFERROR(O82/$C$1,0)</f>
        <v>0.51129188119621849</v>
      </c>
    </row>
    <row r="83" spans="1:35" s="2134" customFormat="1" ht="12.75">
      <c r="A83" s="1380"/>
      <c r="B83" s="3900" t="s">
        <v>1428</v>
      </c>
      <c r="C83" s="3897" t="s">
        <v>170</v>
      </c>
      <c r="D83" s="3234"/>
      <c r="E83" s="2088"/>
      <c r="F83" s="2088"/>
      <c r="G83" s="2088"/>
      <c r="H83" s="2088"/>
      <c r="I83" s="3253"/>
      <c r="J83" s="4189"/>
      <c r="K83" s="3868">
        <f>IFERROR((K82-J82)/J82,0)</f>
        <v>0</v>
      </c>
      <c r="L83" s="3868">
        <f>IFERROR((L82-K82)/K82,0)</f>
        <v>0</v>
      </c>
      <c r="M83" s="3868">
        <f>IFERROR((M82-L82)/L82,0)</f>
        <v>0</v>
      </c>
      <c r="N83" s="3868">
        <f>IFERROR((N82-M82)/M82,0)</f>
        <v>0</v>
      </c>
      <c r="O83" s="3869">
        <f>IFERROR((O82-N82)/N82,0)</f>
        <v>0</v>
      </c>
      <c r="P83" s="4507"/>
      <c r="Q83" s="3234"/>
      <c r="R83" s="2088"/>
      <c r="S83" s="2088"/>
      <c r="T83" s="2088"/>
      <c r="U83" s="2088"/>
      <c r="V83" s="2161"/>
      <c r="W83" s="4775"/>
      <c r="X83" s="2149"/>
      <c r="Y83" s="2149"/>
      <c r="Z83" s="2149"/>
      <c r="AA83" s="2149"/>
      <c r="AB83" s="2149"/>
      <c r="AC83" s="2149"/>
    </row>
    <row r="84" spans="1:35" s="2134" customFormat="1" ht="12.75">
      <c r="A84" s="1379"/>
      <c r="B84" s="1519" t="s">
        <v>642</v>
      </c>
      <c r="C84" s="1520"/>
      <c r="D84" s="3234"/>
      <c r="E84" s="2088"/>
      <c r="F84" s="2088"/>
      <c r="G84" s="2088"/>
      <c r="H84" s="2088"/>
      <c r="I84" s="3253"/>
      <c r="J84" s="447">
        <v>151</v>
      </c>
      <c r="K84" s="429">
        <v>151</v>
      </c>
      <c r="L84" s="429">
        <v>151</v>
      </c>
      <c r="M84" s="429">
        <v>151</v>
      </c>
      <c r="N84" s="429">
        <v>151</v>
      </c>
      <c r="O84" s="430">
        <v>151</v>
      </c>
      <c r="P84" s="4732">
        <f>IFERROR((K84-J84)/J84,0)</f>
        <v>0</v>
      </c>
      <c r="Q84" s="3234"/>
      <c r="R84" s="2088"/>
      <c r="S84" s="2088"/>
      <c r="T84" s="2088"/>
      <c r="U84" s="2088"/>
      <c r="V84" s="2161"/>
      <c r="W84" s="4775"/>
      <c r="X84" s="4794">
        <f t="shared" ref="X84" si="132">IFERROR(J84/$C$1,0)</f>
        <v>77.205074060628988</v>
      </c>
      <c r="Y84" s="4794">
        <f t="shared" ref="Y84" si="133">IFERROR(K84/$C$1,0)</f>
        <v>77.205074060628988</v>
      </c>
      <c r="Z84" s="4794">
        <f t="shared" ref="Z84" si="134">IFERROR(L84/$C$1,0)</f>
        <v>77.205074060628988</v>
      </c>
      <c r="AA84" s="4794">
        <f t="shared" ref="AA84" si="135">IFERROR(M84/$C$1,0)</f>
        <v>77.205074060628988</v>
      </c>
      <c r="AB84" s="4794">
        <f t="shared" ref="AB84" si="136">IFERROR(N84/$C$1,0)</f>
        <v>77.205074060628988</v>
      </c>
      <c r="AC84" s="4794">
        <f t="shared" ref="AC84" si="137">IFERROR(O84/$C$1,0)</f>
        <v>77.205074060628988</v>
      </c>
    </row>
    <row r="85" spans="1:35" s="2134" customFormat="1" ht="12.75">
      <c r="A85" s="1379"/>
      <c r="B85" s="3900" t="s">
        <v>1428</v>
      </c>
      <c r="C85" s="3897" t="s">
        <v>170</v>
      </c>
      <c r="D85" s="3234"/>
      <c r="E85" s="2088"/>
      <c r="F85" s="2088"/>
      <c r="G85" s="2088"/>
      <c r="H85" s="2088"/>
      <c r="I85" s="3253"/>
      <c r="J85" s="3872"/>
      <c r="K85" s="3868">
        <f>IFERROR((K84-J84)/J84,0)</f>
        <v>0</v>
      </c>
      <c r="L85" s="3868">
        <f>IFERROR((L84-K84)/K84,0)</f>
        <v>0</v>
      </c>
      <c r="M85" s="3868">
        <f>IFERROR((M84-L84)/L84,0)</f>
        <v>0</v>
      </c>
      <c r="N85" s="3868">
        <f>IFERROR((N84-M84)/M84,0)</f>
        <v>0</v>
      </c>
      <c r="O85" s="3869">
        <f>IFERROR((O84-N84)/N84,0)</f>
        <v>0</v>
      </c>
      <c r="P85" s="4507"/>
      <c r="Q85" s="3234"/>
      <c r="R85" s="2088"/>
      <c r="S85" s="2088"/>
      <c r="T85" s="2088"/>
      <c r="U85" s="2088"/>
      <c r="V85" s="2161"/>
      <c r="W85" s="4775"/>
      <c r="X85" s="2149"/>
      <c r="Y85" s="2149"/>
      <c r="Z85" s="2149"/>
      <c r="AA85" s="2149"/>
      <c r="AB85" s="2149"/>
      <c r="AC85" s="2149"/>
    </row>
    <row r="86" spans="1:35" s="2134" customFormat="1" ht="12.75">
      <c r="A86" s="1379"/>
      <c r="B86" s="1519" t="s">
        <v>641</v>
      </c>
      <c r="C86" s="1520"/>
      <c r="D86" s="3234"/>
      <c r="E86" s="2088"/>
      <c r="F86" s="2088"/>
      <c r="G86" s="2088"/>
      <c r="H86" s="2088"/>
      <c r="I86" s="3253"/>
      <c r="J86" s="447">
        <v>121</v>
      </c>
      <c r="K86" s="429">
        <v>121</v>
      </c>
      <c r="L86" s="429">
        <v>121</v>
      </c>
      <c r="M86" s="429">
        <v>121</v>
      </c>
      <c r="N86" s="429">
        <v>121</v>
      </c>
      <c r="O86" s="430">
        <v>121</v>
      </c>
      <c r="P86" s="4732">
        <f>IFERROR((K86-J86)/J86,0)</f>
        <v>0</v>
      </c>
      <c r="Q86" s="3234"/>
      <c r="R86" s="2088"/>
      <c r="S86" s="2088"/>
      <c r="T86" s="2088"/>
      <c r="U86" s="2088"/>
      <c r="V86" s="2161"/>
      <c r="W86" s="4775"/>
      <c r="X86" s="4794">
        <f t="shared" ref="X86" si="138">IFERROR(J86/$C$1,0)</f>
        <v>61.866317624742436</v>
      </c>
      <c r="Y86" s="4794">
        <f t="shared" ref="Y86" si="139">IFERROR(K86/$C$1,0)</f>
        <v>61.866317624742436</v>
      </c>
      <c r="Z86" s="4794">
        <f t="shared" ref="Z86" si="140">IFERROR(L86/$C$1,0)</f>
        <v>61.866317624742436</v>
      </c>
      <c r="AA86" s="4794">
        <f t="shared" ref="AA86" si="141">IFERROR(M86/$C$1,0)</f>
        <v>61.866317624742436</v>
      </c>
      <c r="AB86" s="4794">
        <f t="shared" ref="AB86" si="142">IFERROR(N86/$C$1,0)</f>
        <v>61.866317624742436</v>
      </c>
      <c r="AC86" s="4794">
        <f t="shared" ref="AC86" si="143">IFERROR(O86/$C$1,0)</f>
        <v>61.866317624742436</v>
      </c>
    </row>
    <row r="87" spans="1:35" s="2134" customFormat="1" ht="12.75">
      <c r="A87" s="1379"/>
      <c r="B87" s="3900" t="s">
        <v>1428</v>
      </c>
      <c r="C87" s="3897" t="s">
        <v>170</v>
      </c>
      <c r="D87" s="3234"/>
      <c r="E87" s="2088"/>
      <c r="F87" s="2088"/>
      <c r="G87" s="2088"/>
      <c r="H87" s="2088"/>
      <c r="I87" s="3253"/>
      <c r="J87" s="3872"/>
      <c r="K87" s="3868">
        <f>IFERROR((K86-J86)/J86,0)</f>
        <v>0</v>
      </c>
      <c r="L87" s="3868">
        <f>IFERROR((L86-K86)/K86,0)</f>
        <v>0</v>
      </c>
      <c r="M87" s="3868">
        <f>IFERROR((M86-L86)/L86,0)</f>
        <v>0</v>
      </c>
      <c r="N87" s="3868">
        <f>IFERROR((N86-M86)/M86,0)</f>
        <v>0</v>
      </c>
      <c r="O87" s="3869">
        <f>IFERROR((O86-N86)/N86,0)</f>
        <v>0</v>
      </c>
      <c r="P87" s="4507"/>
      <c r="Q87" s="3234"/>
      <c r="R87" s="2088"/>
      <c r="S87" s="2088"/>
      <c r="T87" s="2088"/>
      <c r="U87" s="2088"/>
      <c r="V87" s="2161"/>
      <c r="W87" s="4775"/>
      <c r="X87" s="2149"/>
      <c r="Y87" s="2149"/>
      <c r="Z87" s="2149"/>
      <c r="AA87" s="2149"/>
      <c r="AB87" s="2149"/>
      <c r="AC87" s="2149"/>
    </row>
    <row r="88" spans="1:35" s="2134" customFormat="1" ht="12.75">
      <c r="A88" s="1379"/>
      <c r="B88" s="1519" t="s">
        <v>640</v>
      </c>
      <c r="C88" s="1520"/>
      <c r="D88" s="3234"/>
      <c r="E88" s="2088"/>
      <c r="F88" s="2088"/>
      <c r="G88" s="2088"/>
      <c r="H88" s="2088"/>
      <c r="I88" s="3253"/>
      <c r="J88" s="447">
        <v>2</v>
      </c>
      <c r="K88" s="429">
        <v>2</v>
      </c>
      <c r="L88" s="429">
        <v>2</v>
      </c>
      <c r="M88" s="429">
        <v>2.2999999999999998</v>
      </c>
      <c r="N88" s="429">
        <v>2.65</v>
      </c>
      <c r="O88" s="430">
        <v>3.05</v>
      </c>
      <c r="P88" s="4732">
        <f>IFERROR((K88-J88)/J88,0)</f>
        <v>0</v>
      </c>
      <c r="Q88" s="3234"/>
      <c r="R88" s="2088"/>
      <c r="S88" s="2088"/>
      <c r="T88" s="2088"/>
      <c r="U88" s="2088"/>
      <c r="V88" s="2161"/>
      <c r="W88" s="4775"/>
      <c r="X88" s="4794">
        <f t="shared" ref="X88" si="144">IFERROR(J88/$C$1,0)</f>
        <v>1.022583762392437</v>
      </c>
      <c r="Y88" s="4794">
        <f t="shared" ref="Y88" si="145">IFERROR(K88/$C$1,0)</f>
        <v>1.022583762392437</v>
      </c>
      <c r="Z88" s="4794">
        <f t="shared" ref="Z88" si="146">IFERROR(L88/$C$1,0)</f>
        <v>1.022583762392437</v>
      </c>
      <c r="AA88" s="4794">
        <f t="shared" ref="AA88" si="147">IFERROR(M88/$C$1,0)</f>
        <v>1.1759713267513026</v>
      </c>
      <c r="AB88" s="4794">
        <f t="shared" ref="AB88" si="148">IFERROR(N88/$C$1,0)</f>
        <v>1.354923485169979</v>
      </c>
      <c r="AC88" s="4794">
        <f t="shared" ref="AC88" si="149">IFERROR(O88/$C$1,0)</f>
        <v>1.5594402376484664</v>
      </c>
    </row>
    <row r="89" spans="1:35" s="2134" customFormat="1" ht="12.75">
      <c r="A89" s="1379"/>
      <c r="B89" s="3900" t="s">
        <v>1428</v>
      </c>
      <c r="C89" s="3897" t="s">
        <v>170</v>
      </c>
      <c r="D89" s="3234"/>
      <c r="E89" s="2088"/>
      <c r="F89" s="2088"/>
      <c r="G89" s="2088"/>
      <c r="H89" s="2088"/>
      <c r="I89" s="3253"/>
      <c r="J89" s="4190"/>
      <c r="K89" s="3868">
        <f>IFERROR((K88-J88)/J88,0)</f>
        <v>0</v>
      </c>
      <c r="L89" s="3868">
        <f>IFERROR((L88-K88)/K88,0)</f>
        <v>0</v>
      </c>
      <c r="M89" s="3868">
        <f>IFERROR((M88-L88)/L88,0)</f>
        <v>0.14999999999999991</v>
      </c>
      <c r="N89" s="3868">
        <f>IFERROR((N88-M88)/M88,0)</f>
        <v>0.1521739130434783</v>
      </c>
      <c r="O89" s="3869">
        <f>IFERROR((O88-N88)/N88,0)</f>
        <v>0.15094339622641506</v>
      </c>
      <c r="P89" s="4507"/>
      <c r="Q89" s="3234"/>
      <c r="R89" s="2088"/>
      <c r="S89" s="2088"/>
      <c r="T89" s="2088"/>
      <c r="U89" s="2088"/>
      <c r="V89" s="2161"/>
      <c r="W89" s="4775"/>
      <c r="X89" s="2149"/>
      <c r="Y89" s="2149"/>
      <c r="Z89" s="2149"/>
      <c r="AA89" s="2149"/>
      <c r="AB89" s="2149"/>
      <c r="AC89" s="2149"/>
    </row>
    <row r="90" spans="1:35" s="2134" customFormat="1" ht="12.75">
      <c r="A90" s="1379"/>
      <c r="B90" s="1519" t="s">
        <v>639</v>
      </c>
      <c r="C90" s="1520"/>
      <c r="D90" s="3234"/>
      <c r="E90" s="2088"/>
      <c r="F90" s="2088"/>
      <c r="G90" s="2088"/>
      <c r="H90" s="2088"/>
      <c r="I90" s="3253"/>
      <c r="J90" s="970">
        <v>1</v>
      </c>
      <c r="K90" s="431">
        <v>1</v>
      </c>
      <c r="L90" s="431">
        <v>1</v>
      </c>
      <c r="M90" s="431">
        <v>1</v>
      </c>
      <c r="N90" s="431">
        <v>1</v>
      </c>
      <c r="O90" s="432">
        <v>1</v>
      </c>
      <c r="P90" s="4508">
        <f>IFERROR((K90-J90)/J90,0)</f>
        <v>0</v>
      </c>
      <c r="Q90" s="3234"/>
      <c r="R90" s="2088"/>
      <c r="S90" s="2088"/>
      <c r="T90" s="2088"/>
      <c r="U90" s="2088"/>
      <c r="V90" s="2161"/>
      <c r="W90" s="4775"/>
      <c r="X90" s="4794">
        <f t="shared" ref="X90" si="150">IFERROR(J90/$C$1,0)</f>
        <v>0.51129188119621849</v>
      </c>
      <c r="Y90" s="4794">
        <f t="shared" ref="Y90" si="151">IFERROR(K90/$C$1,0)</f>
        <v>0.51129188119621849</v>
      </c>
      <c r="Z90" s="4794">
        <f t="shared" ref="Z90" si="152">IFERROR(L90/$C$1,0)</f>
        <v>0.51129188119621849</v>
      </c>
      <c r="AA90" s="4794">
        <f t="shared" ref="AA90" si="153">IFERROR(M90/$C$1,0)</f>
        <v>0.51129188119621849</v>
      </c>
      <c r="AB90" s="4794">
        <f t="shared" ref="AB90" si="154">IFERROR(N90/$C$1,0)</f>
        <v>0.51129188119621849</v>
      </c>
      <c r="AC90" s="4794">
        <f t="shared" ref="AC90" si="155">IFERROR(O90/$C$1,0)</f>
        <v>0.51129188119621849</v>
      </c>
    </row>
    <row r="91" spans="1:35" s="2134" customFormat="1" ht="12.75">
      <c r="A91" s="1381"/>
      <c r="B91" s="3900" t="s">
        <v>1428</v>
      </c>
      <c r="C91" s="3897" t="s">
        <v>170</v>
      </c>
      <c r="D91" s="3234"/>
      <c r="E91" s="2088"/>
      <c r="F91" s="2088"/>
      <c r="G91" s="2088"/>
      <c r="H91" s="2088"/>
      <c r="I91" s="3253"/>
      <c r="J91" s="4190"/>
      <c r="K91" s="3868">
        <f>IFERROR((K90-J90)/J90,0)</f>
        <v>0</v>
      </c>
      <c r="L91" s="3868">
        <f>IFERROR((L90-K90)/K90,0)</f>
        <v>0</v>
      </c>
      <c r="M91" s="3868">
        <f>IFERROR((M90-L90)/L90,0)</f>
        <v>0</v>
      </c>
      <c r="N91" s="3868">
        <f>IFERROR((N90-M90)/M90,0)</f>
        <v>0</v>
      </c>
      <c r="O91" s="3869">
        <f>IFERROR((O90-N90)/N90,0)</f>
        <v>0</v>
      </c>
      <c r="P91" s="4507"/>
      <c r="Q91" s="3234"/>
      <c r="R91" s="2088"/>
      <c r="S91" s="2088"/>
      <c r="T91" s="2088"/>
      <c r="U91" s="2088"/>
      <c r="V91" s="2161"/>
      <c r="W91" s="4775"/>
      <c r="X91" s="2149"/>
      <c r="Y91" s="2149"/>
      <c r="Z91" s="2149"/>
      <c r="AA91" s="2149"/>
      <c r="AB91" s="2149"/>
      <c r="AC91" s="2149"/>
    </row>
    <row r="92" spans="1:35" s="2134" customFormat="1" ht="22.5" customHeight="1">
      <c r="A92" s="1381"/>
      <c r="B92" s="1526" t="s">
        <v>638</v>
      </c>
      <c r="C92" s="1520"/>
      <c r="D92" s="3234"/>
      <c r="E92" s="2088"/>
      <c r="F92" s="2088"/>
      <c r="G92" s="2088"/>
      <c r="H92" s="2088"/>
      <c r="I92" s="3253"/>
      <c r="J92" s="3910">
        <f>J79-J82-J84-J86-J88-J90</f>
        <v>0.39999999999997726</v>
      </c>
      <c r="K92" s="3886">
        <f t="shared" ref="K92:O92" si="156">K79-K82-K84-K86-K88-K90</f>
        <v>0</v>
      </c>
      <c r="L92" s="3886">
        <f t="shared" si="156"/>
        <v>0</v>
      </c>
      <c r="M92" s="3886">
        <f t="shared" si="156"/>
        <v>-0.29999999999999982</v>
      </c>
      <c r="N92" s="3886">
        <f t="shared" si="156"/>
        <v>0.35000000000000009</v>
      </c>
      <c r="O92" s="3899">
        <f t="shared" si="156"/>
        <v>-4.9999999999999822E-2</v>
      </c>
      <c r="P92" s="4508">
        <f>IFERROR((K92-J92)/J92,0)</f>
        <v>-1</v>
      </c>
      <c r="Q92" s="3234"/>
      <c r="R92" s="2088"/>
      <c r="S92" s="2088"/>
      <c r="T92" s="2088"/>
      <c r="U92" s="2088"/>
      <c r="V92" s="2161"/>
      <c r="W92" s="4775"/>
      <c r="X92" s="4794">
        <f t="shared" ref="X92" si="157">IFERROR(J92/$C$1,0)</f>
        <v>0.20451675247847578</v>
      </c>
      <c r="Y92" s="4794">
        <f t="shared" ref="Y92" si="158">IFERROR(K92/$C$1,0)</f>
        <v>0</v>
      </c>
      <c r="Z92" s="4794">
        <f t="shared" ref="Z92" si="159">IFERROR(L92/$C$1,0)</f>
        <v>0</v>
      </c>
      <c r="AA92" s="4794">
        <f t="shared" ref="AA92" si="160">IFERROR(M92/$C$1,0)</f>
        <v>-0.15338756435886547</v>
      </c>
      <c r="AB92" s="4794">
        <f t="shared" ref="AB92" si="161">IFERROR(N92/$C$1,0)</f>
        <v>0.17895215841867651</v>
      </c>
      <c r="AC92" s="4794">
        <f t="shared" ref="AC92" si="162">IFERROR(O92/$C$1,0)</f>
        <v>-2.5564594059810833E-2</v>
      </c>
    </row>
    <row r="93" spans="1:35" s="2134" customFormat="1" ht="13.5" thickBot="1">
      <c r="A93" s="1381"/>
      <c r="B93" s="4752" t="s">
        <v>1428</v>
      </c>
      <c r="C93" s="4755" t="s">
        <v>170</v>
      </c>
      <c r="D93" s="3887"/>
      <c r="E93" s="2163"/>
      <c r="F93" s="2163"/>
      <c r="G93" s="2163"/>
      <c r="H93" s="2163"/>
      <c r="I93" s="3888"/>
      <c r="J93" s="4190"/>
      <c r="K93" s="4748">
        <f>IFERROR((K92-J92)/J92,0)</f>
        <v>-1</v>
      </c>
      <c r="L93" s="4748">
        <f>IFERROR((L92-K92)/K92,0)</f>
        <v>0</v>
      </c>
      <c r="M93" s="4748">
        <f>IFERROR((M92-L92)/L92,0)</f>
        <v>0</v>
      </c>
      <c r="N93" s="4748">
        <f>IFERROR((N92-M92)/M92,0)</f>
        <v>-2.1666666666666679</v>
      </c>
      <c r="O93" s="4753">
        <f>IFERROR((O92-N92)/N92,0)</f>
        <v>-1.1428571428571423</v>
      </c>
      <c r="P93" s="4754"/>
      <c r="Q93" s="3887"/>
      <c r="R93" s="2163"/>
      <c r="S93" s="2163"/>
      <c r="T93" s="2163"/>
      <c r="U93" s="2163"/>
      <c r="V93" s="2164"/>
      <c r="W93" s="4775"/>
    </row>
    <row r="94" spans="1:35" s="2134" customFormat="1" ht="13.5" customHeight="1" thickBot="1">
      <c r="A94" s="5297"/>
      <c r="B94" s="5298"/>
      <c r="C94" s="5298"/>
      <c r="D94" s="5298"/>
      <c r="E94" s="5298"/>
      <c r="F94" s="5298"/>
      <c r="G94" s="5298"/>
      <c r="H94" s="5298"/>
      <c r="I94" s="5298"/>
      <c r="J94" s="5298"/>
      <c r="K94" s="5298"/>
      <c r="L94" s="5298"/>
      <c r="M94" s="5298"/>
      <c r="N94" s="5298"/>
      <c r="O94" s="5298"/>
      <c r="P94" s="5298"/>
      <c r="Q94" s="5298"/>
      <c r="R94" s="5298"/>
      <c r="S94" s="5298"/>
      <c r="T94" s="5298"/>
      <c r="U94" s="5298"/>
      <c r="V94" s="5299"/>
      <c r="W94" s="4775"/>
    </row>
    <row r="95" spans="1:35" s="2134" customFormat="1" ht="20.25" customHeight="1" thickBot="1">
      <c r="A95" s="1535">
        <v>4</v>
      </c>
      <c r="B95" s="1534" t="s">
        <v>1029</v>
      </c>
      <c r="C95" s="5287"/>
      <c r="D95" s="5286"/>
      <c r="E95" s="5286"/>
      <c r="F95" s="5286"/>
      <c r="G95" s="5286"/>
      <c r="H95" s="5286"/>
      <c r="I95" s="5286"/>
      <c r="J95" s="5287"/>
      <c r="K95" s="5287"/>
      <c r="L95" s="5287"/>
      <c r="M95" s="5287"/>
      <c r="N95" s="5287"/>
      <c r="O95" s="5287"/>
      <c r="P95" s="5287"/>
      <c r="Q95" s="5286"/>
      <c r="R95" s="5286"/>
      <c r="S95" s="5286"/>
      <c r="T95" s="5286"/>
      <c r="U95" s="5286"/>
      <c r="V95" s="5288"/>
      <c r="W95" s="4775"/>
    </row>
    <row r="96" spans="1:35" s="2134" customFormat="1" ht="12.75">
      <c r="A96" s="435" t="s">
        <v>566</v>
      </c>
      <c r="B96" s="1512" t="s">
        <v>464</v>
      </c>
      <c r="C96" s="1482" t="s">
        <v>676</v>
      </c>
      <c r="D96" s="441"/>
      <c r="E96" s="442"/>
      <c r="F96" s="442"/>
      <c r="G96" s="442"/>
      <c r="H96" s="442"/>
      <c r="I96" s="443"/>
      <c r="J96" s="1480"/>
      <c r="K96" s="4186"/>
      <c r="L96" s="4186"/>
      <c r="M96" s="4186"/>
      <c r="N96" s="4186"/>
      <c r="O96" s="4188"/>
      <c r="P96" s="4728">
        <f t="shared" ref="P96:P110" si="163">IFERROR((K96-J96)/J96,0)</f>
        <v>0</v>
      </c>
      <c r="Q96" s="4067">
        <f t="shared" ref="Q96:V108" si="164">ROUND(IFERROR(J96*1000/D96,0),0)</f>
        <v>0</v>
      </c>
      <c r="R96" s="4068">
        <f t="shared" si="164"/>
        <v>0</v>
      </c>
      <c r="S96" s="4068">
        <f t="shared" si="164"/>
        <v>0</v>
      </c>
      <c r="T96" s="4068">
        <f t="shared" si="164"/>
        <v>0</v>
      </c>
      <c r="U96" s="4068">
        <f t="shared" si="164"/>
        <v>0</v>
      </c>
      <c r="V96" s="4069">
        <f t="shared" si="164"/>
        <v>0</v>
      </c>
      <c r="W96" s="4775"/>
      <c r="X96" s="4794">
        <f>IFERROR(J96/$C$1,0)</f>
        <v>0</v>
      </c>
      <c r="Y96" s="4794">
        <f t="shared" ref="Y96:Y110" si="165">IFERROR(K96/$C$1,0)</f>
        <v>0</v>
      </c>
      <c r="Z96" s="4794">
        <f t="shared" ref="Z96:Z110" si="166">IFERROR(L96/$C$1,0)</f>
        <v>0</v>
      </c>
      <c r="AA96" s="4794">
        <f t="shared" ref="AA96:AA110" si="167">IFERROR(M96/$C$1,0)</f>
        <v>0</v>
      </c>
      <c r="AB96" s="4794">
        <f t="shared" ref="AB96:AB110" si="168">IFERROR(N96/$C$1,0)</f>
        <v>0</v>
      </c>
      <c r="AC96" s="4794">
        <f t="shared" ref="AC96:AC110" si="169">IFERROR(O96/$C$1,0)</f>
        <v>0</v>
      </c>
      <c r="AD96" s="4794">
        <f>IFERROR(Q96/$C$1,0)</f>
        <v>0</v>
      </c>
      <c r="AE96" s="4794">
        <f t="shared" ref="AE96:AE108" si="170">IFERROR(R96/$C$1,0)</f>
        <v>0</v>
      </c>
      <c r="AF96" s="4794">
        <f t="shared" ref="AF96:AF108" si="171">IFERROR(S96/$C$1,0)</f>
        <v>0</v>
      </c>
      <c r="AG96" s="4794">
        <f t="shared" ref="AG96:AG108" si="172">IFERROR(T96/$C$1,0)</f>
        <v>0</v>
      </c>
      <c r="AH96" s="4794">
        <f t="shared" ref="AH96:AH108" si="173">IFERROR(U96/$C$1,0)</f>
        <v>0</v>
      </c>
      <c r="AI96" s="4794">
        <f t="shared" ref="AI96:AI108" si="174">IFERROR(V96/$C$1,0)</f>
        <v>0</v>
      </c>
    </row>
    <row r="97" spans="1:35" s="2134" customFormat="1" ht="12.75">
      <c r="A97" s="436" t="s">
        <v>567</v>
      </c>
      <c r="B97" s="1513" t="s">
        <v>722</v>
      </c>
      <c r="C97" s="321" t="s">
        <v>676</v>
      </c>
      <c r="D97" s="422"/>
      <c r="E97" s="423"/>
      <c r="F97" s="423"/>
      <c r="G97" s="423"/>
      <c r="H97" s="423"/>
      <c r="I97" s="438"/>
      <c r="J97" s="422"/>
      <c r="K97" s="4186"/>
      <c r="L97" s="4186"/>
      <c r="M97" s="4186"/>
      <c r="N97" s="4186"/>
      <c r="O97" s="4188"/>
      <c r="P97" s="4729">
        <f t="shared" si="163"/>
        <v>0</v>
      </c>
      <c r="Q97" s="4072">
        <f t="shared" si="164"/>
        <v>0</v>
      </c>
      <c r="R97" s="4073">
        <f t="shared" si="164"/>
        <v>0</v>
      </c>
      <c r="S97" s="4073">
        <f t="shared" si="164"/>
        <v>0</v>
      </c>
      <c r="T97" s="4073">
        <f t="shared" si="164"/>
        <v>0</v>
      </c>
      <c r="U97" s="4073">
        <f t="shared" si="164"/>
        <v>0</v>
      </c>
      <c r="V97" s="4074">
        <f t="shared" si="164"/>
        <v>0</v>
      </c>
      <c r="W97" s="4775"/>
      <c r="X97" s="4794">
        <f t="shared" ref="X97:X110" si="175">IFERROR(J97/$C$1,0)</f>
        <v>0</v>
      </c>
      <c r="Y97" s="4794">
        <f t="shared" si="165"/>
        <v>0</v>
      </c>
      <c r="Z97" s="4794">
        <f t="shared" si="166"/>
        <v>0</v>
      </c>
      <c r="AA97" s="4794">
        <f t="shared" si="167"/>
        <v>0</v>
      </c>
      <c r="AB97" s="4794">
        <f t="shared" si="168"/>
        <v>0</v>
      </c>
      <c r="AC97" s="4794">
        <f t="shared" si="169"/>
        <v>0</v>
      </c>
      <c r="AD97" s="4794">
        <f t="shared" ref="AD97:AD108" si="176">IFERROR(Q97/$C$1,0)</f>
        <v>0</v>
      </c>
      <c r="AE97" s="4794">
        <f t="shared" si="170"/>
        <v>0</v>
      </c>
      <c r="AF97" s="4794">
        <f t="shared" si="171"/>
        <v>0</v>
      </c>
      <c r="AG97" s="4794">
        <f t="shared" si="172"/>
        <v>0</v>
      </c>
      <c r="AH97" s="4794">
        <f t="shared" si="173"/>
        <v>0</v>
      </c>
      <c r="AI97" s="4794">
        <f t="shared" si="174"/>
        <v>0</v>
      </c>
    </row>
    <row r="98" spans="1:35" s="2134" customFormat="1" ht="12.75">
      <c r="A98" s="436" t="s">
        <v>1078</v>
      </c>
      <c r="B98" s="1513" t="s">
        <v>467</v>
      </c>
      <c r="C98" s="321" t="s">
        <v>676</v>
      </c>
      <c r="D98" s="422"/>
      <c r="E98" s="423"/>
      <c r="F98" s="423"/>
      <c r="G98" s="423"/>
      <c r="H98" s="423"/>
      <c r="I98" s="438"/>
      <c r="J98" s="422"/>
      <c r="K98" s="4186"/>
      <c r="L98" s="4186"/>
      <c r="M98" s="4186"/>
      <c r="N98" s="4186"/>
      <c r="O98" s="4188"/>
      <c r="P98" s="4729">
        <f t="shared" si="163"/>
        <v>0</v>
      </c>
      <c r="Q98" s="4072">
        <f t="shared" si="164"/>
        <v>0</v>
      </c>
      <c r="R98" s="4073">
        <f t="shared" si="164"/>
        <v>0</v>
      </c>
      <c r="S98" s="4073">
        <f t="shared" si="164"/>
        <v>0</v>
      </c>
      <c r="T98" s="4073">
        <f t="shared" si="164"/>
        <v>0</v>
      </c>
      <c r="U98" s="4073">
        <f t="shared" si="164"/>
        <v>0</v>
      </c>
      <c r="V98" s="4074">
        <f t="shared" si="164"/>
        <v>0</v>
      </c>
      <c r="W98" s="4775"/>
      <c r="X98" s="4794">
        <f t="shared" si="175"/>
        <v>0</v>
      </c>
      <c r="Y98" s="4794">
        <f t="shared" si="165"/>
        <v>0</v>
      </c>
      <c r="Z98" s="4794">
        <f t="shared" si="166"/>
        <v>0</v>
      </c>
      <c r="AA98" s="4794">
        <f t="shared" si="167"/>
        <v>0</v>
      </c>
      <c r="AB98" s="4794">
        <f t="shared" si="168"/>
        <v>0</v>
      </c>
      <c r="AC98" s="4794">
        <f t="shared" si="169"/>
        <v>0</v>
      </c>
      <c r="AD98" s="4794">
        <f t="shared" si="176"/>
        <v>0</v>
      </c>
      <c r="AE98" s="4794">
        <f t="shared" si="170"/>
        <v>0</v>
      </c>
      <c r="AF98" s="4794">
        <f t="shared" si="171"/>
        <v>0</v>
      </c>
      <c r="AG98" s="4794">
        <f t="shared" si="172"/>
        <v>0</v>
      </c>
      <c r="AH98" s="4794">
        <f t="shared" si="173"/>
        <v>0</v>
      </c>
      <c r="AI98" s="4794">
        <f t="shared" si="174"/>
        <v>0</v>
      </c>
    </row>
    <row r="99" spans="1:35" s="2134" customFormat="1" ht="12.75">
      <c r="A99" s="436" t="s">
        <v>1079</v>
      </c>
      <c r="B99" s="1513" t="s">
        <v>469</v>
      </c>
      <c r="C99" s="321" t="s">
        <v>676</v>
      </c>
      <c r="D99" s="422"/>
      <c r="E99" s="423"/>
      <c r="F99" s="423"/>
      <c r="G99" s="423"/>
      <c r="H99" s="423"/>
      <c r="I99" s="438"/>
      <c r="J99" s="422"/>
      <c r="K99" s="4186"/>
      <c r="L99" s="4186"/>
      <c r="M99" s="4186"/>
      <c r="N99" s="4186"/>
      <c r="O99" s="4188"/>
      <c r="P99" s="4729">
        <f t="shared" si="163"/>
        <v>0</v>
      </c>
      <c r="Q99" s="4072">
        <f t="shared" si="164"/>
        <v>0</v>
      </c>
      <c r="R99" s="4073">
        <f t="shared" si="164"/>
        <v>0</v>
      </c>
      <c r="S99" s="4073">
        <f t="shared" si="164"/>
        <v>0</v>
      </c>
      <c r="T99" s="4073">
        <f t="shared" si="164"/>
        <v>0</v>
      </c>
      <c r="U99" s="4073">
        <f t="shared" si="164"/>
        <v>0</v>
      </c>
      <c r="V99" s="4074">
        <f t="shared" si="164"/>
        <v>0</v>
      </c>
      <c r="W99" s="4775"/>
      <c r="X99" s="4794">
        <f t="shared" si="175"/>
        <v>0</v>
      </c>
      <c r="Y99" s="4794">
        <f t="shared" si="165"/>
        <v>0</v>
      </c>
      <c r="Z99" s="4794">
        <f t="shared" si="166"/>
        <v>0</v>
      </c>
      <c r="AA99" s="4794">
        <f t="shared" si="167"/>
        <v>0</v>
      </c>
      <c r="AB99" s="4794">
        <f t="shared" si="168"/>
        <v>0</v>
      </c>
      <c r="AC99" s="4794">
        <f t="shared" si="169"/>
        <v>0</v>
      </c>
      <c r="AD99" s="4794">
        <f t="shared" si="176"/>
        <v>0</v>
      </c>
      <c r="AE99" s="4794">
        <f t="shared" si="170"/>
        <v>0</v>
      </c>
      <c r="AF99" s="4794">
        <f t="shared" si="171"/>
        <v>0</v>
      </c>
      <c r="AG99" s="4794">
        <f t="shared" si="172"/>
        <v>0</v>
      </c>
      <c r="AH99" s="4794">
        <f t="shared" si="173"/>
        <v>0</v>
      </c>
      <c r="AI99" s="4794">
        <f t="shared" si="174"/>
        <v>0</v>
      </c>
    </row>
    <row r="100" spans="1:35" s="2134" customFormat="1" ht="12.75">
      <c r="A100" s="436" t="s">
        <v>1080</v>
      </c>
      <c r="B100" s="1513" t="s">
        <v>471</v>
      </c>
      <c r="C100" s="321" t="s">
        <v>676</v>
      </c>
      <c r="D100" s="422"/>
      <c r="E100" s="423"/>
      <c r="F100" s="423"/>
      <c r="G100" s="423"/>
      <c r="H100" s="423"/>
      <c r="I100" s="438"/>
      <c r="J100" s="422"/>
      <c r="K100" s="4186"/>
      <c r="L100" s="4186"/>
      <c r="M100" s="4186"/>
      <c r="N100" s="4186"/>
      <c r="O100" s="4188"/>
      <c r="P100" s="4729">
        <f t="shared" si="163"/>
        <v>0</v>
      </c>
      <c r="Q100" s="4072">
        <f t="shared" si="164"/>
        <v>0</v>
      </c>
      <c r="R100" s="4073">
        <f t="shared" si="164"/>
        <v>0</v>
      </c>
      <c r="S100" s="4073">
        <f t="shared" si="164"/>
        <v>0</v>
      </c>
      <c r="T100" s="4073">
        <f t="shared" si="164"/>
        <v>0</v>
      </c>
      <c r="U100" s="4073">
        <f t="shared" si="164"/>
        <v>0</v>
      </c>
      <c r="V100" s="4074">
        <f t="shared" si="164"/>
        <v>0</v>
      </c>
      <c r="W100" s="4775"/>
      <c r="X100" s="4794">
        <f t="shared" si="175"/>
        <v>0</v>
      </c>
      <c r="Y100" s="4794">
        <f t="shared" si="165"/>
        <v>0</v>
      </c>
      <c r="Z100" s="4794">
        <f t="shared" si="166"/>
        <v>0</v>
      </c>
      <c r="AA100" s="4794">
        <f t="shared" si="167"/>
        <v>0</v>
      </c>
      <c r="AB100" s="4794">
        <f t="shared" si="168"/>
        <v>0</v>
      </c>
      <c r="AC100" s="4794">
        <f t="shared" si="169"/>
        <v>0</v>
      </c>
      <c r="AD100" s="4794">
        <f t="shared" si="176"/>
        <v>0</v>
      </c>
      <c r="AE100" s="4794">
        <f t="shared" si="170"/>
        <v>0</v>
      </c>
      <c r="AF100" s="4794">
        <f t="shared" si="171"/>
        <v>0</v>
      </c>
      <c r="AG100" s="4794">
        <f t="shared" si="172"/>
        <v>0</v>
      </c>
      <c r="AH100" s="4794">
        <f t="shared" si="173"/>
        <v>0</v>
      </c>
      <c r="AI100" s="4794">
        <f t="shared" si="174"/>
        <v>0</v>
      </c>
    </row>
    <row r="101" spans="1:35" s="2134" customFormat="1" ht="12.75">
      <c r="A101" s="436" t="s">
        <v>1081</v>
      </c>
      <c r="B101" s="1513" t="s">
        <v>1362</v>
      </c>
      <c r="C101" s="321" t="s">
        <v>676</v>
      </c>
      <c r="D101" s="422"/>
      <c r="E101" s="423"/>
      <c r="F101" s="423"/>
      <c r="G101" s="423"/>
      <c r="H101" s="423"/>
      <c r="I101" s="438"/>
      <c r="J101" s="422"/>
      <c r="K101" s="4186"/>
      <c r="L101" s="4186"/>
      <c r="M101" s="4186"/>
      <c r="N101" s="4186"/>
      <c r="O101" s="4188"/>
      <c r="P101" s="4729">
        <f t="shared" si="163"/>
        <v>0</v>
      </c>
      <c r="Q101" s="4072">
        <f t="shared" si="164"/>
        <v>0</v>
      </c>
      <c r="R101" s="4073">
        <f t="shared" si="164"/>
        <v>0</v>
      </c>
      <c r="S101" s="4073">
        <f t="shared" si="164"/>
        <v>0</v>
      </c>
      <c r="T101" s="4073">
        <f t="shared" si="164"/>
        <v>0</v>
      </c>
      <c r="U101" s="4073">
        <f t="shared" si="164"/>
        <v>0</v>
      </c>
      <c r="V101" s="4074">
        <f t="shared" si="164"/>
        <v>0</v>
      </c>
      <c r="W101" s="4775"/>
      <c r="X101" s="4794">
        <f t="shared" si="175"/>
        <v>0</v>
      </c>
      <c r="Y101" s="4794">
        <f t="shared" si="165"/>
        <v>0</v>
      </c>
      <c r="Z101" s="4794">
        <f t="shared" si="166"/>
        <v>0</v>
      </c>
      <c r="AA101" s="4794">
        <f t="shared" si="167"/>
        <v>0</v>
      </c>
      <c r="AB101" s="4794">
        <f t="shared" si="168"/>
        <v>0</v>
      </c>
      <c r="AC101" s="4794">
        <f t="shared" si="169"/>
        <v>0</v>
      </c>
      <c r="AD101" s="4794">
        <f t="shared" si="176"/>
        <v>0</v>
      </c>
      <c r="AE101" s="4794">
        <f t="shared" si="170"/>
        <v>0</v>
      </c>
      <c r="AF101" s="4794">
        <f t="shared" si="171"/>
        <v>0</v>
      </c>
      <c r="AG101" s="4794">
        <f t="shared" si="172"/>
        <v>0</v>
      </c>
      <c r="AH101" s="4794">
        <f t="shared" si="173"/>
        <v>0</v>
      </c>
      <c r="AI101" s="4794">
        <f t="shared" si="174"/>
        <v>0</v>
      </c>
    </row>
    <row r="102" spans="1:35" s="2134" customFormat="1" ht="24">
      <c r="A102" s="436" t="s">
        <v>1082</v>
      </c>
      <c r="B102" s="1513" t="s">
        <v>1363</v>
      </c>
      <c r="C102" s="321" t="s">
        <v>676</v>
      </c>
      <c r="D102" s="422"/>
      <c r="E102" s="423"/>
      <c r="F102" s="423"/>
      <c r="G102" s="423"/>
      <c r="H102" s="423"/>
      <c r="I102" s="438"/>
      <c r="J102" s="422"/>
      <c r="K102" s="4186"/>
      <c r="L102" s="4186"/>
      <c r="M102" s="4186"/>
      <c r="N102" s="4186"/>
      <c r="O102" s="4188"/>
      <c r="P102" s="4729">
        <f t="shared" si="163"/>
        <v>0</v>
      </c>
      <c r="Q102" s="4072">
        <f t="shared" si="164"/>
        <v>0</v>
      </c>
      <c r="R102" s="4073">
        <f t="shared" si="164"/>
        <v>0</v>
      </c>
      <c r="S102" s="4073">
        <f t="shared" si="164"/>
        <v>0</v>
      </c>
      <c r="T102" s="4073">
        <f t="shared" si="164"/>
        <v>0</v>
      </c>
      <c r="U102" s="4073">
        <f t="shared" si="164"/>
        <v>0</v>
      </c>
      <c r="V102" s="4074">
        <f t="shared" si="164"/>
        <v>0</v>
      </c>
      <c r="W102" s="4775"/>
      <c r="X102" s="4794">
        <f t="shared" si="175"/>
        <v>0</v>
      </c>
      <c r="Y102" s="4794">
        <f t="shared" si="165"/>
        <v>0</v>
      </c>
      <c r="Z102" s="4794">
        <f t="shared" si="166"/>
        <v>0</v>
      </c>
      <c r="AA102" s="4794">
        <f t="shared" si="167"/>
        <v>0</v>
      </c>
      <c r="AB102" s="4794">
        <f t="shared" si="168"/>
        <v>0</v>
      </c>
      <c r="AC102" s="4794">
        <f t="shared" si="169"/>
        <v>0</v>
      </c>
      <c r="AD102" s="4794">
        <f t="shared" si="176"/>
        <v>0</v>
      </c>
      <c r="AE102" s="4794">
        <f t="shared" si="170"/>
        <v>0</v>
      </c>
      <c r="AF102" s="4794">
        <f t="shared" si="171"/>
        <v>0</v>
      </c>
      <c r="AG102" s="4794">
        <f t="shared" si="172"/>
        <v>0</v>
      </c>
      <c r="AH102" s="4794">
        <f t="shared" si="173"/>
        <v>0</v>
      </c>
      <c r="AI102" s="4794">
        <f t="shared" si="174"/>
        <v>0</v>
      </c>
    </row>
    <row r="103" spans="1:35" s="2134" customFormat="1" ht="24">
      <c r="A103" s="436" t="s">
        <v>1083</v>
      </c>
      <c r="B103" s="1513" t="s">
        <v>1364</v>
      </c>
      <c r="C103" s="321" t="s">
        <v>676</v>
      </c>
      <c r="D103" s="422"/>
      <c r="E103" s="423"/>
      <c r="F103" s="423"/>
      <c r="G103" s="423"/>
      <c r="H103" s="423"/>
      <c r="I103" s="438"/>
      <c r="J103" s="422"/>
      <c r="K103" s="4186"/>
      <c r="L103" s="4186"/>
      <c r="M103" s="4186"/>
      <c r="N103" s="4186"/>
      <c r="O103" s="4188"/>
      <c r="P103" s="4729">
        <f t="shared" si="163"/>
        <v>0</v>
      </c>
      <c r="Q103" s="4072">
        <f t="shared" si="164"/>
        <v>0</v>
      </c>
      <c r="R103" s="4073">
        <f t="shared" si="164"/>
        <v>0</v>
      </c>
      <c r="S103" s="4073">
        <f t="shared" si="164"/>
        <v>0</v>
      </c>
      <c r="T103" s="4073">
        <f t="shared" si="164"/>
        <v>0</v>
      </c>
      <c r="U103" s="4073">
        <f t="shared" si="164"/>
        <v>0</v>
      </c>
      <c r="V103" s="4074">
        <f t="shared" si="164"/>
        <v>0</v>
      </c>
      <c r="W103" s="4775"/>
      <c r="X103" s="4794">
        <f t="shared" si="175"/>
        <v>0</v>
      </c>
      <c r="Y103" s="4794">
        <f t="shared" si="165"/>
        <v>0</v>
      </c>
      <c r="Z103" s="4794">
        <f t="shared" si="166"/>
        <v>0</v>
      </c>
      <c r="AA103" s="4794">
        <f t="shared" si="167"/>
        <v>0</v>
      </c>
      <c r="AB103" s="4794">
        <f t="shared" si="168"/>
        <v>0</v>
      </c>
      <c r="AC103" s="4794">
        <f t="shared" si="169"/>
        <v>0</v>
      </c>
      <c r="AD103" s="4794">
        <f t="shared" si="176"/>
        <v>0</v>
      </c>
      <c r="AE103" s="4794">
        <f t="shared" si="170"/>
        <v>0</v>
      </c>
      <c r="AF103" s="4794">
        <f t="shared" si="171"/>
        <v>0</v>
      </c>
      <c r="AG103" s="4794">
        <f t="shared" si="172"/>
        <v>0</v>
      </c>
      <c r="AH103" s="4794">
        <f t="shared" si="173"/>
        <v>0</v>
      </c>
      <c r="AI103" s="4794">
        <f t="shared" si="174"/>
        <v>0</v>
      </c>
    </row>
    <row r="104" spans="1:35" s="2134" customFormat="1" ht="12.75">
      <c r="A104" s="436" t="s">
        <v>1084</v>
      </c>
      <c r="B104" s="1513" t="s">
        <v>1411</v>
      </c>
      <c r="C104" s="321" t="s">
        <v>676</v>
      </c>
      <c r="D104" s="422"/>
      <c r="E104" s="423"/>
      <c r="F104" s="423"/>
      <c r="G104" s="423"/>
      <c r="H104" s="423"/>
      <c r="I104" s="438"/>
      <c r="J104" s="422"/>
      <c r="K104" s="4186"/>
      <c r="L104" s="4186"/>
      <c r="M104" s="4186"/>
      <c r="N104" s="4186"/>
      <c r="O104" s="4188"/>
      <c r="P104" s="4729">
        <f t="shared" si="163"/>
        <v>0</v>
      </c>
      <c r="Q104" s="4072">
        <f t="shared" si="164"/>
        <v>0</v>
      </c>
      <c r="R104" s="4073">
        <f t="shared" si="164"/>
        <v>0</v>
      </c>
      <c r="S104" s="4073">
        <f t="shared" si="164"/>
        <v>0</v>
      </c>
      <c r="T104" s="4073">
        <f t="shared" si="164"/>
        <v>0</v>
      </c>
      <c r="U104" s="4073">
        <f t="shared" si="164"/>
        <v>0</v>
      </c>
      <c r="V104" s="4074">
        <f t="shared" si="164"/>
        <v>0</v>
      </c>
      <c r="W104" s="4775"/>
      <c r="X104" s="4794">
        <f t="shared" si="175"/>
        <v>0</v>
      </c>
      <c r="Y104" s="4794">
        <f t="shared" si="165"/>
        <v>0</v>
      </c>
      <c r="Z104" s="4794">
        <f t="shared" si="166"/>
        <v>0</v>
      </c>
      <c r="AA104" s="4794">
        <f t="shared" si="167"/>
        <v>0</v>
      </c>
      <c r="AB104" s="4794">
        <f t="shared" si="168"/>
        <v>0</v>
      </c>
      <c r="AC104" s="4794">
        <f t="shared" si="169"/>
        <v>0</v>
      </c>
      <c r="AD104" s="4794">
        <f t="shared" si="176"/>
        <v>0</v>
      </c>
      <c r="AE104" s="4794">
        <f t="shared" si="170"/>
        <v>0</v>
      </c>
      <c r="AF104" s="4794">
        <f t="shared" si="171"/>
        <v>0</v>
      </c>
      <c r="AG104" s="4794">
        <f t="shared" si="172"/>
        <v>0</v>
      </c>
      <c r="AH104" s="4794">
        <f t="shared" si="173"/>
        <v>0</v>
      </c>
      <c r="AI104" s="4794">
        <f t="shared" si="174"/>
        <v>0</v>
      </c>
    </row>
    <row r="105" spans="1:35" s="2134" customFormat="1" ht="24">
      <c r="A105" s="436" t="s">
        <v>1085</v>
      </c>
      <c r="B105" s="1513" t="s">
        <v>1365</v>
      </c>
      <c r="C105" s="321" t="s">
        <v>676</v>
      </c>
      <c r="D105" s="422"/>
      <c r="E105" s="423"/>
      <c r="F105" s="423"/>
      <c r="G105" s="423"/>
      <c r="H105" s="423"/>
      <c r="I105" s="438"/>
      <c r="J105" s="422"/>
      <c r="K105" s="4186"/>
      <c r="L105" s="4186"/>
      <c r="M105" s="4186"/>
      <c r="N105" s="4186"/>
      <c r="O105" s="4188"/>
      <c r="P105" s="4729">
        <f t="shared" si="163"/>
        <v>0</v>
      </c>
      <c r="Q105" s="4072">
        <f t="shared" si="164"/>
        <v>0</v>
      </c>
      <c r="R105" s="4073">
        <f t="shared" si="164"/>
        <v>0</v>
      </c>
      <c r="S105" s="4073">
        <f t="shared" si="164"/>
        <v>0</v>
      </c>
      <c r="T105" s="4073">
        <f t="shared" si="164"/>
        <v>0</v>
      </c>
      <c r="U105" s="4073">
        <f t="shared" si="164"/>
        <v>0</v>
      </c>
      <c r="V105" s="4074">
        <f t="shared" si="164"/>
        <v>0</v>
      </c>
      <c r="W105" s="4775"/>
      <c r="X105" s="4794">
        <f t="shared" si="175"/>
        <v>0</v>
      </c>
      <c r="Y105" s="4794">
        <f t="shared" si="165"/>
        <v>0</v>
      </c>
      <c r="Z105" s="4794">
        <f t="shared" si="166"/>
        <v>0</v>
      </c>
      <c r="AA105" s="4794">
        <f t="shared" si="167"/>
        <v>0</v>
      </c>
      <c r="AB105" s="4794">
        <f t="shared" si="168"/>
        <v>0</v>
      </c>
      <c r="AC105" s="4794">
        <f t="shared" si="169"/>
        <v>0</v>
      </c>
      <c r="AD105" s="4794">
        <f t="shared" si="176"/>
        <v>0</v>
      </c>
      <c r="AE105" s="4794">
        <f t="shared" si="170"/>
        <v>0</v>
      </c>
      <c r="AF105" s="4794">
        <f t="shared" si="171"/>
        <v>0</v>
      </c>
      <c r="AG105" s="4794">
        <f t="shared" si="172"/>
        <v>0</v>
      </c>
      <c r="AH105" s="4794">
        <f t="shared" si="173"/>
        <v>0</v>
      </c>
      <c r="AI105" s="4794">
        <f t="shared" si="174"/>
        <v>0</v>
      </c>
    </row>
    <row r="106" spans="1:35" s="2134" customFormat="1" ht="12.75">
      <c r="A106" s="436" t="s">
        <v>1086</v>
      </c>
      <c r="B106" s="1514" t="s">
        <v>914</v>
      </c>
      <c r="C106" s="321" t="s">
        <v>676</v>
      </c>
      <c r="D106" s="422"/>
      <c r="E106" s="423"/>
      <c r="F106" s="423"/>
      <c r="G106" s="423"/>
      <c r="H106" s="423"/>
      <c r="I106" s="438"/>
      <c r="J106" s="422"/>
      <c r="K106" s="4186"/>
      <c r="L106" s="4186"/>
      <c r="M106" s="4186"/>
      <c r="N106" s="4186"/>
      <c r="O106" s="4188"/>
      <c r="P106" s="4729">
        <f t="shared" si="163"/>
        <v>0</v>
      </c>
      <c r="Q106" s="4072">
        <f t="shared" si="164"/>
        <v>0</v>
      </c>
      <c r="R106" s="4073">
        <f t="shared" si="164"/>
        <v>0</v>
      </c>
      <c r="S106" s="4073">
        <f t="shared" si="164"/>
        <v>0</v>
      </c>
      <c r="T106" s="4073">
        <f t="shared" si="164"/>
        <v>0</v>
      </c>
      <c r="U106" s="4073">
        <f t="shared" si="164"/>
        <v>0</v>
      </c>
      <c r="V106" s="4074">
        <f t="shared" si="164"/>
        <v>0</v>
      </c>
      <c r="W106" s="4775"/>
      <c r="X106" s="4794">
        <f t="shared" si="175"/>
        <v>0</v>
      </c>
      <c r="Y106" s="4794">
        <f t="shared" si="165"/>
        <v>0</v>
      </c>
      <c r="Z106" s="4794">
        <f t="shared" si="166"/>
        <v>0</v>
      </c>
      <c r="AA106" s="4794">
        <f t="shared" si="167"/>
        <v>0</v>
      </c>
      <c r="AB106" s="4794">
        <f t="shared" si="168"/>
        <v>0</v>
      </c>
      <c r="AC106" s="4794">
        <f t="shared" si="169"/>
        <v>0</v>
      </c>
      <c r="AD106" s="4794">
        <f t="shared" si="176"/>
        <v>0</v>
      </c>
      <c r="AE106" s="4794">
        <f t="shared" si="170"/>
        <v>0</v>
      </c>
      <c r="AF106" s="4794">
        <f t="shared" si="171"/>
        <v>0</v>
      </c>
      <c r="AG106" s="4794">
        <f t="shared" si="172"/>
        <v>0</v>
      </c>
      <c r="AH106" s="4794">
        <f t="shared" si="173"/>
        <v>0</v>
      </c>
      <c r="AI106" s="4794">
        <f t="shared" si="174"/>
        <v>0</v>
      </c>
    </row>
    <row r="107" spans="1:35" s="2134" customFormat="1" ht="12.75">
      <c r="A107" s="436" t="s">
        <v>1087</v>
      </c>
      <c r="B107" s="1514" t="s">
        <v>915</v>
      </c>
      <c r="C107" s="321" t="s">
        <v>676</v>
      </c>
      <c r="D107" s="422"/>
      <c r="E107" s="423"/>
      <c r="F107" s="423"/>
      <c r="G107" s="423"/>
      <c r="H107" s="423"/>
      <c r="I107" s="438"/>
      <c r="J107" s="422"/>
      <c r="K107" s="4186"/>
      <c r="L107" s="4186"/>
      <c r="M107" s="4186"/>
      <c r="N107" s="4186"/>
      <c r="O107" s="4188"/>
      <c r="P107" s="4729">
        <f t="shared" si="163"/>
        <v>0</v>
      </c>
      <c r="Q107" s="4072">
        <f t="shared" si="164"/>
        <v>0</v>
      </c>
      <c r="R107" s="4073">
        <f t="shared" si="164"/>
        <v>0</v>
      </c>
      <c r="S107" s="4073">
        <f t="shared" si="164"/>
        <v>0</v>
      </c>
      <c r="T107" s="4073">
        <f t="shared" si="164"/>
        <v>0</v>
      </c>
      <c r="U107" s="4073">
        <f t="shared" si="164"/>
        <v>0</v>
      </c>
      <c r="V107" s="4074">
        <f t="shared" si="164"/>
        <v>0</v>
      </c>
      <c r="W107" s="4775"/>
      <c r="X107" s="4794">
        <f t="shared" si="175"/>
        <v>0</v>
      </c>
      <c r="Y107" s="4794">
        <f t="shared" si="165"/>
        <v>0</v>
      </c>
      <c r="Z107" s="4794">
        <f t="shared" si="166"/>
        <v>0</v>
      </c>
      <c r="AA107" s="4794">
        <f t="shared" si="167"/>
        <v>0</v>
      </c>
      <c r="AB107" s="4794">
        <f t="shared" si="168"/>
        <v>0</v>
      </c>
      <c r="AC107" s="4794">
        <f t="shared" si="169"/>
        <v>0</v>
      </c>
      <c r="AD107" s="4794">
        <f t="shared" si="176"/>
        <v>0</v>
      </c>
      <c r="AE107" s="4794">
        <f t="shared" si="170"/>
        <v>0</v>
      </c>
      <c r="AF107" s="4794">
        <f t="shared" si="171"/>
        <v>0</v>
      </c>
      <c r="AG107" s="4794">
        <f t="shared" si="172"/>
        <v>0</v>
      </c>
      <c r="AH107" s="4794">
        <f t="shared" si="173"/>
        <v>0</v>
      </c>
      <c r="AI107" s="4794">
        <f t="shared" si="174"/>
        <v>0</v>
      </c>
    </row>
    <row r="108" spans="1:35" s="2134" customFormat="1" ht="24">
      <c r="A108" s="439" t="s">
        <v>1088</v>
      </c>
      <c r="B108" s="2152" t="s">
        <v>1366</v>
      </c>
      <c r="C108" s="323" t="s">
        <v>676</v>
      </c>
      <c r="D108" s="422"/>
      <c r="E108" s="423"/>
      <c r="F108" s="423"/>
      <c r="G108" s="423"/>
      <c r="H108" s="423"/>
      <c r="I108" s="438"/>
      <c r="J108" s="422"/>
      <c r="K108" s="4186"/>
      <c r="L108" s="4186"/>
      <c r="M108" s="4186"/>
      <c r="N108" s="4186"/>
      <c r="O108" s="4188"/>
      <c r="P108" s="4729">
        <f t="shared" si="163"/>
        <v>0</v>
      </c>
      <c r="Q108" s="4072">
        <f t="shared" si="164"/>
        <v>0</v>
      </c>
      <c r="R108" s="4073">
        <f t="shared" si="164"/>
        <v>0</v>
      </c>
      <c r="S108" s="4073">
        <f t="shared" si="164"/>
        <v>0</v>
      </c>
      <c r="T108" s="4073">
        <f t="shared" si="164"/>
        <v>0</v>
      </c>
      <c r="U108" s="4073">
        <f t="shared" si="164"/>
        <v>0</v>
      </c>
      <c r="V108" s="4074">
        <f t="shared" si="164"/>
        <v>0</v>
      </c>
      <c r="W108" s="4775"/>
      <c r="X108" s="4794">
        <f t="shared" si="175"/>
        <v>0</v>
      </c>
      <c r="Y108" s="4794">
        <f t="shared" si="165"/>
        <v>0</v>
      </c>
      <c r="Z108" s="4794">
        <f t="shared" si="166"/>
        <v>0</v>
      </c>
      <c r="AA108" s="4794">
        <f t="shared" si="167"/>
        <v>0</v>
      </c>
      <c r="AB108" s="4794">
        <f t="shared" si="168"/>
        <v>0</v>
      </c>
      <c r="AC108" s="4794">
        <f t="shared" si="169"/>
        <v>0</v>
      </c>
      <c r="AD108" s="4794">
        <f t="shared" si="176"/>
        <v>0</v>
      </c>
      <c r="AE108" s="4794">
        <f t="shared" si="170"/>
        <v>0</v>
      </c>
      <c r="AF108" s="4794">
        <f t="shared" si="171"/>
        <v>0</v>
      </c>
      <c r="AG108" s="4794">
        <f t="shared" si="172"/>
        <v>0</v>
      </c>
      <c r="AH108" s="4794">
        <f t="shared" si="173"/>
        <v>0</v>
      </c>
      <c r="AI108" s="4794">
        <f t="shared" si="174"/>
        <v>0</v>
      </c>
    </row>
    <row r="109" spans="1:35" s="2134" customFormat="1" ht="24.75" thickBot="1">
      <c r="A109" s="437" t="s">
        <v>1089</v>
      </c>
      <c r="B109" s="1522" t="s">
        <v>1344</v>
      </c>
      <c r="C109" s="1523" t="s">
        <v>313</v>
      </c>
      <c r="D109" s="2153"/>
      <c r="E109" s="2154"/>
      <c r="F109" s="2154"/>
      <c r="G109" s="2154"/>
      <c r="H109" s="2154"/>
      <c r="I109" s="2155"/>
      <c r="J109" s="422"/>
      <c r="K109" s="4186"/>
      <c r="L109" s="4186"/>
      <c r="M109" s="4186"/>
      <c r="N109" s="4186"/>
      <c r="O109" s="4188"/>
      <c r="P109" s="4733">
        <f t="shared" si="163"/>
        <v>0</v>
      </c>
      <c r="Q109" s="2153"/>
      <c r="R109" s="2154"/>
      <c r="S109" s="2154"/>
      <c r="T109" s="2154"/>
      <c r="U109" s="2154"/>
      <c r="V109" s="2155"/>
      <c r="W109" s="4775"/>
      <c r="X109" s="4794">
        <f t="shared" si="175"/>
        <v>0</v>
      </c>
      <c r="Y109" s="4794">
        <f t="shared" si="165"/>
        <v>0</v>
      </c>
      <c r="Z109" s="4794">
        <f t="shared" si="166"/>
        <v>0</v>
      </c>
      <c r="AA109" s="4794">
        <f t="shared" si="167"/>
        <v>0</v>
      </c>
      <c r="AB109" s="4794">
        <f t="shared" si="168"/>
        <v>0</v>
      </c>
      <c r="AC109" s="4794">
        <f t="shared" si="169"/>
        <v>0</v>
      </c>
      <c r="AD109" s="2149"/>
      <c r="AE109" s="2149"/>
      <c r="AF109" s="2149"/>
      <c r="AG109" s="2149"/>
      <c r="AH109" s="2149"/>
      <c r="AI109" s="2149"/>
    </row>
    <row r="110" spans="1:35" s="2134" customFormat="1" ht="24.75" thickBot="1">
      <c r="A110" s="1377"/>
      <c r="B110" s="1515" t="s">
        <v>1090</v>
      </c>
      <c r="C110" s="1529"/>
      <c r="D110" s="327">
        <f>SUM(D96:D109)</f>
        <v>0</v>
      </c>
      <c r="E110" s="328">
        <f t="shared" ref="E110:O110" si="177">SUM(E96:E109)</f>
        <v>0</v>
      </c>
      <c r="F110" s="328">
        <f t="shared" si="177"/>
        <v>0</v>
      </c>
      <c r="G110" s="328">
        <f t="shared" si="177"/>
        <v>0</v>
      </c>
      <c r="H110" s="328">
        <f t="shared" si="177"/>
        <v>0</v>
      </c>
      <c r="I110" s="974">
        <f t="shared" si="177"/>
        <v>0</v>
      </c>
      <c r="J110" s="327">
        <f t="shared" si="177"/>
        <v>0</v>
      </c>
      <c r="K110" s="328">
        <f t="shared" si="177"/>
        <v>0</v>
      </c>
      <c r="L110" s="328">
        <f t="shared" si="177"/>
        <v>0</v>
      </c>
      <c r="M110" s="328">
        <f t="shared" si="177"/>
        <v>0</v>
      </c>
      <c r="N110" s="328">
        <f t="shared" si="177"/>
        <v>0</v>
      </c>
      <c r="O110" s="421">
        <f t="shared" si="177"/>
        <v>0</v>
      </c>
      <c r="P110" s="4506">
        <f t="shared" si="163"/>
        <v>0</v>
      </c>
      <c r="Q110" s="3877"/>
      <c r="R110" s="3878"/>
      <c r="S110" s="3878"/>
      <c r="T110" s="3878"/>
      <c r="U110" s="3878"/>
      <c r="V110" s="3879"/>
      <c r="W110" s="4775"/>
      <c r="X110" s="4794">
        <f t="shared" si="175"/>
        <v>0</v>
      </c>
      <c r="Y110" s="4794">
        <f t="shared" si="165"/>
        <v>0</v>
      </c>
      <c r="Z110" s="4794">
        <f t="shared" si="166"/>
        <v>0</v>
      </c>
      <c r="AA110" s="4794">
        <f t="shared" si="167"/>
        <v>0</v>
      </c>
      <c r="AB110" s="4794">
        <f t="shared" si="168"/>
        <v>0</v>
      </c>
      <c r="AC110" s="4794">
        <f t="shared" si="169"/>
        <v>0</v>
      </c>
      <c r="AD110" s="2149"/>
      <c r="AE110" s="2149"/>
      <c r="AF110" s="2149"/>
      <c r="AG110" s="2149"/>
      <c r="AH110" s="2149"/>
      <c r="AI110" s="2149"/>
    </row>
    <row r="111" spans="1:35" s="2134" customFormat="1" ht="13.5" thickBot="1">
      <c r="A111" s="3854"/>
      <c r="B111" s="3855" t="s">
        <v>1428</v>
      </c>
      <c r="C111" s="3897" t="s">
        <v>170</v>
      </c>
      <c r="D111" s="3856"/>
      <c r="E111" s="3857">
        <f>IFERROR((E110-D110)/D110,0)</f>
        <v>0</v>
      </c>
      <c r="F111" s="3857">
        <f>IFERROR((F110-E110)/E110,0)</f>
        <v>0</v>
      </c>
      <c r="G111" s="3857">
        <f>IFERROR((G110-F110)/F110,0)</f>
        <v>0</v>
      </c>
      <c r="H111" s="3857">
        <f>IFERROR((H110-G110)/G110,0)</f>
        <v>0</v>
      </c>
      <c r="I111" s="3858">
        <f>IFERROR((I110-H110)/H110,0)</f>
        <v>0</v>
      </c>
      <c r="J111" s="3859"/>
      <c r="K111" s="3857">
        <f>IFERROR((K110-J110)/J110,0)</f>
        <v>0</v>
      </c>
      <c r="L111" s="3857">
        <f>IFERROR((L110-K110)/K110,0)</f>
        <v>0</v>
      </c>
      <c r="M111" s="3857">
        <f>IFERROR((M110-L110)/L110,0)</f>
        <v>0</v>
      </c>
      <c r="N111" s="3857">
        <f>IFERROR((N110-M110)/M110,0)</f>
        <v>0</v>
      </c>
      <c r="O111" s="3857">
        <f>IFERROR((O110-N110)/N110,0)</f>
        <v>0</v>
      </c>
      <c r="P111" s="4317"/>
      <c r="Q111" s="3860"/>
      <c r="R111" s="3861"/>
      <c r="S111" s="3861"/>
      <c r="T111" s="3861"/>
      <c r="U111" s="3861"/>
      <c r="V111" s="3862"/>
      <c r="W111" s="4775"/>
      <c r="X111" s="2149"/>
      <c r="Y111" s="2149"/>
      <c r="Z111" s="2149"/>
      <c r="AA111" s="2149"/>
      <c r="AB111" s="2149"/>
      <c r="AC111" s="2149"/>
      <c r="AD111" s="2149"/>
      <c r="AE111" s="2149"/>
      <c r="AF111" s="2149"/>
      <c r="AG111" s="2149"/>
      <c r="AH111" s="2149"/>
      <c r="AI111" s="2149"/>
    </row>
    <row r="112" spans="1:35" s="2134" customFormat="1" ht="13.5" customHeight="1" thickBot="1">
      <c r="A112" s="3880" t="s">
        <v>1091</v>
      </c>
      <c r="B112" s="433"/>
      <c r="C112" s="433"/>
      <c r="D112" s="433"/>
      <c r="E112" s="433"/>
      <c r="F112" s="433"/>
      <c r="G112" s="433"/>
      <c r="H112" s="433"/>
      <c r="I112" s="433"/>
      <c r="J112" s="433"/>
      <c r="K112" s="433"/>
      <c r="L112" s="433"/>
      <c r="M112" s="433"/>
      <c r="N112" s="433"/>
      <c r="O112" s="433"/>
      <c r="P112" s="433"/>
      <c r="Q112" s="433"/>
      <c r="R112" s="433"/>
      <c r="S112" s="433"/>
      <c r="T112" s="433"/>
      <c r="U112" s="433"/>
      <c r="V112" s="434"/>
      <c r="W112" s="4775"/>
      <c r="X112" s="2149"/>
      <c r="Y112" s="2149"/>
      <c r="Z112" s="2149"/>
      <c r="AA112" s="2149"/>
      <c r="AB112" s="2149"/>
      <c r="AC112" s="2149"/>
      <c r="AD112" s="2149"/>
      <c r="AE112" s="2149"/>
      <c r="AF112" s="2149"/>
      <c r="AG112" s="2149"/>
      <c r="AH112" s="2149"/>
      <c r="AI112" s="2149"/>
    </row>
    <row r="113" spans="1:35" s="2134" customFormat="1" ht="12.75">
      <c r="A113" s="1378"/>
      <c r="B113" s="1517" t="s">
        <v>1068</v>
      </c>
      <c r="C113" s="1518"/>
      <c r="D113" s="3866"/>
      <c r="E113" s="2158"/>
      <c r="F113" s="2158"/>
      <c r="G113" s="2158"/>
      <c r="H113" s="2158"/>
      <c r="I113" s="3883"/>
      <c r="J113" s="444"/>
      <c r="K113" s="445"/>
      <c r="L113" s="445"/>
      <c r="M113" s="445"/>
      <c r="N113" s="445"/>
      <c r="O113" s="446"/>
      <c r="P113" s="4731">
        <f>IFERROR((K113-J113)/J113,0)</f>
        <v>0</v>
      </c>
      <c r="Q113" s="3866"/>
      <c r="R113" s="2158"/>
      <c r="S113" s="2158"/>
      <c r="T113" s="2158"/>
      <c r="U113" s="2158"/>
      <c r="V113" s="2159"/>
      <c r="W113" s="4775"/>
      <c r="X113" s="4794">
        <f t="shared" ref="X113" si="178">IFERROR(J113/$C$1,0)</f>
        <v>0</v>
      </c>
      <c r="Y113" s="4794">
        <f t="shared" ref="Y113" si="179">IFERROR(K113/$C$1,0)</f>
        <v>0</v>
      </c>
      <c r="Z113" s="4794">
        <f t="shared" ref="Z113" si="180">IFERROR(L113/$C$1,0)</f>
        <v>0</v>
      </c>
      <c r="AA113" s="4794">
        <f t="shared" ref="AA113" si="181">IFERROR(M113/$C$1,0)</f>
        <v>0</v>
      </c>
      <c r="AB113" s="4794">
        <f t="shared" ref="AB113" si="182">IFERROR(N113/$C$1,0)</f>
        <v>0</v>
      </c>
      <c r="AC113" s="4794">
        <f t="shared" ref="AC113" si="183">IFERROR(O113/$C$1,0)</f>
        <v>0</v>
      </c>
      <c r="AD113" s="2149"/>
      <c r="AE113" s="2149"/>
      <c r="AF113" s="2149"/>
      <c r="AG113" s="2149"/>
      <c r="AH113" s="2149"/>
      <c r="AI113" s="2149"/>
    </row>
    <row r="114" spans="1:35" s="2134" customFormat="1" ht="12.75">
      <c r="A114" s="1380"/>
      <c r="B114" s="3867" t="s">
        <v>1428</v>
      </c>
      <c r="C114" s="3897" t="s">
        <v>170</v>
      </c>
      <c r="D114" s="3234"/>
      <c r="E114" s="2088"/>
      <c r="F114" s="2088"/>
      <c r="G114" s="2088"/>
      <c r="H114" s="2088"/>
      <c r="I114" s="3253"/>
      <c r="J114" s="4189"/>
      <c r="K114" s="3868">
        <f>IFERROR((K113-J113)/J113,0)</f>
        <v>0</v>
      </c>
      <c r="L114" s="3868">
        <f>IFERROR((L113-K113)/K113,0)</f>
        <v>0</v>
      </c>
      <c r="M114" s="3868">
        <f>IFERROR((M113-L113)/L113,0)</f>
        <v>0</v>
      </c>
      <c r="N114" s="3868">
        <f>IFERROR((N113-M113)/M113,0)</f>
        <v>0</v>
      </c>
      <c r="O114" s="3869">
        <f>IFERROR((O113-N113)/N113,0)</f>
        <v>0</v>
      </c>
      <c r="P114" s="4507"/>
      <c r="Q114" s="3234"/>
      <c r="R114" s="2088"/>
      <c r="S114" s="2088"/>
      <c r="T114" s="2088"/>
      <c r="U114" s="2088"/>
      <c r="V114" s="2161"/>
      <c r="W114" s="4775"/>
      <c r="X114" s="2149"/>
      <c r="Y114" s="2149"/>
      <c r="Z114" s="2149"/>
      <c r="AA114" s="2149"/>
      <c r="AB114" s="2149"/>
      <c r="AC114" s="2149"/>
      <c r="AD114" s="2149"/>
      <c r="AE114" s="2149"/>
      <c r="AF114" s="2149"/>
      <c r="AG114" s="2149"/>
      <c r="AH114" s="2149"/>
      <c r="AI114" s="2149"/>
    </row>
    <row r="115" spans="1:35" s="2134" customFormat="1" ht="12.75">
      <c r="A115" s="1379"/>
      <c r="B115" s="1519" t="s">
        <v>642</v>
      </c>
      <c r="C115" s="1520"/>
      <c r="D115" s="3234"/>
      <c r="E115" s="2088"/>
      <c r="F115" s="2088"/>
      <c r="G115" s="2088"/>
      <c r="H115" s="2088"/>
      <c r="I115" s="3253"/>
      <c r="J115" s="447"/>
      <c r="K115" s="429"/>
      <c r="L115" s="429"/>
      <c r="M115" s="429"/>
      <c r="N115" s="429"/>
      <c r="O115" s="430"/>
      <c r="P115" s="4732">
        <f>IFERROR((K115-J115)/J115,0)</f>
        <v>0</v>
      </c>
      <c r="Q115" s="3234"/>
      <c r="R115" s="2088"/>
      <c r="S115" s="2088"/>
      <c r="T115" s="2088"/>
      <c r="U115" s="2088"/>
      <c r="V115" s="2161"/>
      <c r="W115" s="4775"/>
      <c r="X115" s="4794">
        <f t="shared" ref="X115" si="184">IFERROR(J115/$C$1,0)</f>
        <v>0</v>
      </c>
      <c r="Y115" s="4794">
        <f t="shared" ref="Y115" si="185">IFERROR(K115/$C$1,0)</f>
        <v>0</v>
      </c>
      <c r="Z115" s="4794">
        <f t="shared" ref="Z115" si="186">IFERROR(L115/$C$1,0)</f>
        <v>0</v>
      </c>
      <c r="AA115" s="4794">
        <f t="shared" ref="AA115" si="187">IFERROR(M115/$C$1,0)</f>
        <v>0</v>
      </c>
      <c r="AB115" s="4794">
        <f t="shared" ref="AB115" si="188">IFERROR(N115/$C$1,0)</f>
        <v>0</v>
      </c>
      <c r="AC115" s="4794">
        <f t="shared" ref="AC115" si="189">IFERROR(O115/$C$1,0)</f>
        <v>0</v>
      </c>
      <c r="AD115" s="2149"/>
      <c r="AE115" s="2149"/>
      <c r="AF115" s="2149"/>
      <c r="AG115" s="2149"/>
      <c r="AH115" s="2149"/>
      <c r="AI115" s="2149"/>
    </row>
    <row r="116" spans="1:35" s="2134" customFormat="1" ht="12.75">
      <c r="A116" s="1379"/>
      <c r="B116" s="3867" t="s">
        <v>1428</v>
      </c>
      <c r="C116" s="3897" t="s">
        <v>170</v>
      </c>
      <c r="D116" s="3234"/>
      <c r="E116" s="2088"/>
      <c r="F116" s="2088"/>
      <c r="G116" s="2088"/>
      <c r="H116" s="2088"/>
      <c r="I116" s="3253"/>
      <c r="J116" s="3872"/>
      <c r="K116" s="3868">
        <f>IFERROR((K115-J115)/J115,0)</f>
        <v>0</v>
      </c>
      <c r="L116" s="3868">
        <f>IFERROR((L115-K115)/K115,0)</f>
        <v>0</v>
      </c>
      <c r="M116" s="3868">
        <f>IFERROR((M115-L115)/L115,0)</f>
        <v>0</v>
      </c>
      <c r="N116" s="3868">
        <f>IFERROR((N115-M115)/M115,0)</f>
        <v>0</v>
      </c>
      <c r="O116" s="3869">
        <f>IFERROR((O115-N115)/N115,0)</f>
        <v>0</v>
      </c>
      <c r="P116" s="4507"/>
      <c r="Q116" s="3234"/>
      <c r="R116" s="2088"/>
      <c r="S116" s="2088"/>
      <c r="T116" s="2088"/>
      <c r="U116" s="2088"/>
      <c r="V116" s="2161"/>
      <c r="W116" s="4775"/>
      <c r="X116" s="2149"/>
      <c r="Y116" s="2149"/>
      <c r="Z116" s="2149"/>
      <c r="AA116" s="2149"/>
      <c r="AB116" s="2149"/>
      <c r="AC116" s="2149"/>
      <c r="AD116" s="2149"/>
      <c r="AE116" s="2149"/>
      <c r="AF116" s="2149"/>
      <c r="AG116" s="2149"/>
      <c r="AH116" s="2149"/>
      <c r="AI116" s="2149"/>
    </row>
    <row r="117" spans="1:35" s="2134" customFormat="1" ht="12.75">
      <c r="A117" s="1379"/>
      <c r="B117" s="1519" t="s">
        <v>641</v>
      </c>
      <c r="C117" s="1520"/>
      <c r="D117" s="3234"/>
      <c r="E117" s="2088"/>
      <c r="F117" s="2088"/>
      <c r="G117" s="2088"/>
      <c r="H117" s="2088"/>
      <c r="I117" s="3253"/>
      <c r="J117" s="447"/>
      <c r="K117" s="429"/>
      <c r="L117" s="429"/>
      <c r="M117" s="429"/>
      <c r="N117" s="429"/>
      <c r="O117" s="430"/>
      <c r="P117" s="4732">
        <f>IFERROR((K117-J117)/J117,0)</f>
        <v>0</v>
      </c>
      <c r="Q117" s="3234"/>
      <c r="R117" s="2088"/>
      <c r="S117" s="2088"/>
      <c r="T117" s="2088"/>
      <c r="U117" s="2088"/>
      <c r="V117" s="2161"/>
      <c r="W117" s="4775"/>
      <c r="X117" s="4794">
        <f t="shared" ref="X117" si="190">IFERROR(J117/$C$1,0)</f>
        <v>0</v>
      </c>
      <c r="Y117" s="4794">
        <f t="shared" ref="Y117" si="191">IFERROR(K117/$C$1,0)</f>
        <v>0</v>
      </c>
      <c r="Z117" s="4794">
        <f t="shared" ref="Z117" si="192">IFERROR(L117/$C$1,0)</f>
        <v>0</v>
      </c>
      <c r="AA117" s="4794">
        <f t="shared" ref="AA117" si="193">IFERROR(M117/$C$1,0)</f>
        <v>0</v>
      </c>
      <c r="AB117" s="4794">
        <f t="shared" ref="AB117" si="194">IFERROR(N117/$C$1,0)</f>
        <v>0</v>
      </c>
      <c r="AC117" s="4794">
        <f t="shared" ref="AC117" si="195">IFERROR(O117/$C$1,0)</f>
        <v>0</v>
      </c>
      <c r="AD117" s="2149"/>
      <c r="AE117" s="2149"/>
      <c r="AF117" s="2149"/>
      <c r="AG117" s="2149"/>
      <c r="AH117" s="2149"/>
      <c r="AI117" s="2149"/>
    </row>
    <row r="118" spans="1:35" s="2134" customFormat="1" ht="12.75">
      <c r="A118" s="1379"/>
      <c r="B118" s="3867" t="s">
        <v>1431</v>
      </c>
      <c r="C118" s="3897" t="s">
        <v>170</v>
      </c>
      <c r="D118" s="3234"/>
      <c r="E118" s="2088"/>
      <c r="F118" s="2088"/>
      <c r="G118" s="2088"/>
      <c r="H118" s="2088"/>
      <c r="I118" s="3253"/>
      <c r="J118" s="3872"/>
      <c r="K118" s="3868">
        <f>IFERROR((K117-J117)/J117,0)</f>
        <v>0</v>
      </c>
      <c r="L118" s="3868">
        <f>IFERROR((L117-K117)/K117,0)</f>
        <v>0</v>
      </c>
      <c r="M118" s="3868">
        <f>IFERROR((M117-L117)/L117,0)</f>
        <v>0</v>
      </c>
      <c r="N118" s="3868">
        <f>IFERROR((N117-M117)/M117,0)</f>
        <v>0</v>
      </c>
      <c r="O118" s="3869">
        <f>IFERROR((O117-N117)/N117,0)</f>
        <v>0</v>
      </c>
      <c r="P118" s="4507"/>
      <c r="Q118" s="3234"/>
      <c r="R118" s="2088"/>
      <c r="S118" s="2088"/>
      <c r="T118" s="2088"/>
      <c r="U118" s="2088"/>
      <c r="V118" s="2161"/>
      <c r="W118" s="4775"/>
      <c r="X118" s="2149"/>
      <c r="Y118" s="2149"/>
      <c r="Z118" s="2149"/>
      <c r="AA118" s="2149"/>
      <c r="AB118" s="2149"/>
      <c r="AC118" s="2149"/>
      <c r="AD118" s="2149"/>
      <c r="AE118" s="2149"/>
      <c r="AF118" s="2149"/>
      <c r="AG118" s="2149"/>
      <c r="AH118" s="2149"/>
      <c r="AI118" s="2149"/>
    </row>
    <row r="119" spans="1:35" s="2134" customFormat="1" ht="12.75">
      <c r="A119" s="1379"/>
      <c r="B119" s="1519" t="s">
        <v>640</v>
      </c>
      <c r="C119" s="1520"/>
      <c r="D119" s="3234"/>
      <c r="E119" s="2088"/>
      <c r="F119" s="2088"/>
      <c r="G119" s="2088"/>
      <c r="H119" s="2088"/>
      <c r="I119" s="3253"/>
      <c r="J119" s="447"/>
      <c r="K119" s="429"/>
      <c r="L119" s="429"/>
      <c r="M119" s="429"/>
      <c r="N119" s="429"/>
      <c r="O119" s="430"/>
      <c r="P119" s="4732">
        <f>IFERROR((K119-J119)/J119,0)</f>
        <v>0</v>
      </c>
      <c r="Q119" s="3234"/>
      <c r="R119" s="2088"/>
      <c r="S119" s="2088"/>
      <c r="T119" s="2088"/>
      <c r="U119" s="2088"/>
      <c r="V119" s="2161"/>
      <c r="W119" s="4775"/>
      <c r="X119" s="4794">
        <f t="shared" ref="X119" si="196">IFERROR(J119/$C$1,0)</f>
        <v>0</v>
      </c>
      <c r="Y119" s="4794">
        <f t="shared" ref="Y119" si="197">IFERROR(K119/$C$1,0)</f>
        <v>0</v>
      </c>
      <c r="Z119" s="4794">
        <f t="shared" ref="Z119" si="198">IFERROR(L119/$C$1,0)</f>
        <v>0</v>
      </c>
      <c r="AA119" s="4794">
        <f t="shared" ref="AA119" si="199">IFERROR(M119/$C$1,0)</f>
        <v>0</v>
      </c>
      <c r="AB119" s="4794">
        <f t="shared" ref="AB119" si="200">IFERROR(N119/$C$1,0)</f>
        <v>0</v>
      </c>
      <c r="AC119" s="4794">
        <f t="shared" ref="AC119" si="201">IFERROR(O119/$C$1,0)</f>
        <v>0</v>
      </c>
      <c r="AD119" s="2149"/>
      <c r="AE119" s="2149"/>
      <c r="AF119" s="2149"/>
      <c r="AG119" s="2149"/>
      <c r="AH119" s="2149"/>
      <c r="AI119" s="2149"/>
    </row>
    <row r="120" spans="1:35" s="2134" customFormat="1" ht="12.75">
      <c r="A120" s="1379"/>
      <c r="B120" s="3867" t="s">
        <v>1428</v>
      </c>
      <c r="C120" s="3897" t="s">
        <v>170</v>
      </c>
      <c r="D120" s="3234"/>
      <c r="E120" s="2088"/>
      <c r="F120" s="2088"/>
      <c r="G120" s="2088"/>
      <c r="H120" s="2088"/>
      <c r="I120" s="3253"/>
      <c r="J120" s="4190"/>
      <c r="K120" s="3868">
        <f>IFERROR((K119-J119)/J119,0)</f>
        <v>0</v>
      </c>
      <c r="L120" s="3868">
        <f>IFERROR((L119-K119)/K119,0)</f>
        <v>0</v>
      </c>
      <c r="M120" s="3868">
        <f>IFERROR((M119-L119)/L119,0)</f>
        <v>0</v>
      </c>
      <c r="N120" s="3868">
        <f>IFERROR((N119-M119)/M119,0)</f>
        <v>0</v>
      </c>
      <c r="O120" s="3869">
        <f>IFERROR((O119-N119)/N119,0)</f>
        <v>0</v>
      </c>
      <c r="P120" s="4507"/>
      <c r="Q120" s="3234"/>
      <c r="R120" s="2088"/>
      <c r="S120" s="2088"/>
      <c r="T120" s="2088"/>
      <c r="U120" s="2088"/>
      <c r="V120" s="2161"/>
      <c r="W120" s="4775"/>
      <c r="X120" s="2149"/>
      <c r="Y120" s="2149"/>
      <c r="Z120" s="2149"/>
      <c r="AA120" s="2149"/>
      <c r="AB120" s="2149"/>
      <c r="AC120" s="2149"/>
      <c r="AD120" s="2149"/>
      <c r="AE120" s="2149"/>
      <c r="AF120" s="2149"/>
      <c r="AG120" s="2149"/>
      <c r="AH120" s="2149"/>
      <c r="AI120" s="2149"/>
    </row>
    <row r="121" spans="1:35" s="2134" customFormat="1" ht="12.75">
      <c r="A121" s="1379"/>
      <c r="B121" s="1519" t="s">
        <v>639</v>
      </c>
      <c r="C121" s="1520"/>
      <c r="D121" s="3234"/>
      <c r="E121" s="2088"/>
      <c r="F121" s="2088"/>
      <c r="G121" s="2088"/>
      <c r="H121" s="2088"/>
      <c r="I121" s="3253"/>
      <c r="J121" s="970"/>
      <c r="K121" s="431"/>
      <c r="L121" s="431"/>
      <c r="M121" s="431"/>
      <c r="N121" s="431"/>
      <c r="O121" s="432"/>
      <c r="P121" s="4508">
        <f>IFERROR((K121-J121)/J121,0)</f>
        <v>0</v>
      </c>
      <c r="Q121" s="3234"/>
      <c r="R121" s="2088"/>
      <c r="S121" s="2088"/>
      <c r="T121" s="2088"/>
      <c r="U121" s="2088"/>
      <c r="V121" s="2161"/>
      <c r="W121" s="4775"/>
      <c r="X121" s="4794">
        <f t="shared" ref="X121" si="202">IFERROR(J121/$C$1,0)</f>
        <v>0</v>
      </c>
      <c r="Y121" s="4794">
        <f t="shared" ref="Y121" si="203">IFERROR(K121/$C$1,0)</f>
        <v>0</v>
      </c>
      <c r="Z121" s="4794">
        <f t="shared" ref="Z121" si="204">IFERROR(L121/$C$1,0)</f>
        <v>0</v>
      </c>
      <c r="AA121" s="4794">
        <f t="shared" ref="AA121" si="205">IFERROR(M121/$C$1,0)</f>
        <v>0</v>
      </c>
      <c r="AB121" s="4794">
        <f t="shared" ref="AB121" si="206">IFERROR(N121/$C$1,0)</f>
        <v>0</v>
      </c>
      <c r="AC121" s="4794">
        <f t="shared" ref="AC121" si="207">IFERROR(O121/$C$1,0)</f>
        <v>0</v>
      </c>
      <c r="AD121" s="2149"/>
      <c r="AE121" s="2149"/>
      <c r="AF121" s="2149"/>
      <c r="AG121" s="2149"/>
      <c r="AH121" s="2149"/>
      <c r="AI121" s="2149"/>
    </row>
    <row r="122" spans="1:35" s="2134" customFormat="1" ht="12.75">
      <c r="A122" s="1381"/>
      <c r="B122" s="3867" t="s">
        <v>1428</v>
      </c>
      <c r="C122" s="3897" t="s">
        <v>170</v>
      </c>
      <c r="D122" s="3234"/>
      <c r="E122" s="2088"/>
      <c r="F122" s="2088"/>
      <c r="G122" s="2088"/>
      <c r="H122" s="2088"/>
      <c r="I122" s="3253"/>
      <c r="J122" s="4190"/>
      <c r="K122" s="3868">
        <f>IFERROR((K121-J121)/J121,0)</f>
        <v>0</v>
      </c>
      <c r="L122" s="3868">
        <f>IFERROR((L121-K121)/K121,0)</f>
        <v>0</v>
      </c>
      <c r="M122" s="3868">
        <f>IFERROR((M121-L121)/L121,0)</f>
        <v>0</v>
      </c>
      <c r="N122" s="3868">
        <f>IFERROR((N121-M121)/M121,0)</f>
        <v>0</v>
      </c>
      <c r="O122" s="3869">
        <f>IFERROR((O121-N121)/N121,0)</f>
        <v>0</v>
      </c>
      <c r="P122" s="4507"/>
      <c r="Q122" s="3234"/>
      <c r="R122" s="2088"/>
      <c r="S122" s="2088"/>
      <c r="T122" s="2088"/>
      <c r="U122" s="2088"/>
      <c r="V122" s="2161"/>
      <c r="W122" s="4775"/>
      <c r="X122" s="2149"/>
      <c r="Y122" s="2149"/>
      <c r="Z122" s="2149"/>
      <c r="AA122" s="2149"/>
      <c r="AB122" s="2149"/>
      <c r="AC122" s="2149"/>
      <c r="AD122" s="2149"/>
      <c r="AE122" s="2149"/>
      <c r="AF122" s="2149"/>
      <c r="AG122" s="2149"/>
      <c r="AH122" s="2149"/>
      <c r="AI122" s="2149"/>
    </row>
    <row r="123" spans="1:35" s="2134" customFormat="1" ht="24">
      <c r="A123" s="1379"/>
      <c r="B123" s="1553" t="s">
        <v>638</v>
      </c>
      <c r="C123" s="1520"/>
      <c r="D123" s="3234"/>
      <c r="E123" s="2088"/>
      <c r="F123" s="2088"/>
      <c r="G123" s="2088"/>
      <c r="H123" s="2088"/>
      <c r="I123" s="3253"/>
      <c r="J123" s="3910">
        <f>J110-J113-J115-J117-J119-J121</f>
        <v>0</v>
      </c>
      <c r="K123" s="3886">
        <f>K110-K113-K115-K117-K119-K121</f>
        <v>0</v>
      </c>
      <c r="L123" s="3886">
        <f t="shared" ref="L123:O123" si="208">L110-L113-L115-L117-L119-L121</f>
        <v>0</v>
      </c>
      <c r="M123" s="3886">
        <f t="shared" si="208"/>
        <v>0</v>
      </c>
      <c r="N123" s="3886">
        <f t="shared" si="208"/>
        <v>0</v>
      </c>
      <c r="O123" s="3899">
        <f t="shared" si="208"/>
        <v>0</v>
      </c>
      <c r="P123" s="4508">
        <f>IFERROR((K123-J123)/J123,0)</f>
        <v>0</v>
      </c>
      <c r="Q123" s="3234"/>
      <c r="R123" s="2088"/>
      <c r="S123" s="2088"/>
      <c r="T123" s="2088"/>
      <c r="U123" s="2088"/>
      <c r="V123" s="2161"/>
      <c r="W123" s="4775"/>
      <c r="X123" s="4794">
        <f t="shared" ref="X123" si="209">IFERROR(J123/$C$1,0)</f>
        <v>0</v>
      </c>
      <c r="Y123" s="4794">
        <f t="shared" ref="Y123" si="210">IFERROR(K123/$C$1,0)</f>
        <v>0</v>
      </c>
      <c r="Z123" s="4794">
        <f t="shared" ref="Z123" si="211">IFERROR(L123/$C$1,0)</f>
        <v>0</v>
      </c>
      <c r="AA123" s="4794">
        <f t="shared" ref="AA123" si="212">IFERROR(M123/$C$1,0)</f>
        <v>0</v>
      </c>
      <c r="AB123" s="4794">
        <f t="shared" ref="AB123" si="213">IFERROR(N123/$C$1,0)</f>
        <v>0</v>
      </c>
      <c r="AC123" s="4794">
        <f t="shared" ref="AC123" si="214">IFERROR(O123/$C$1,0)</f>
        <v>0</v>
      </c>
      <c r="AD123" s="2149"/>
      <c r="AE123" s="2149"/>
      <c r="AF123" s="2149"/>
      <c r="AG123" s="2149"/>
      <c r="AH123" s="2149"/>
      <c r="AI123" s="2149"/>
    </row>
    <row r="124" spans="1:35" s="2134" customFormat="1" ht="13.5" thickBot="1">
      <c r="A124" s="4751"/>
      <c r="B124" s="4746" t="s">
        <v>1428</v>
      </c>
      <c r="C124" s="4755" t="s">
        <v>170</v>
      </c>
      <c r="D124" s="3887"/>
      <c r="E124" s="2163"/>
      <c r="F124" s="2163"/>
      <c r="G124" s="2163"/>
      <c r="H124" s="2163"/>
      <c r="I124" s="3888"/>
      <c r="J124" s="3909"/>
      <c r="K124" s="4748">
        <f>IFERROR((K123-J123)/J123,0)</f>
        <v>0</v>
      </c>
      <c r="L124" s="4748">
        <f>IFERROR((L123-K123)/K123,0)</f>
        <v>0</v>
      </c>
      <c r="M124" s="4748">
        <f>IFERROR((M123-L123)/L123,0)</f>
        <v>0</v>
      </c>
      <c r="N124" s="4748">
        <f>IFERROR((N123-M123)/M123,0)</f>
        <v>0</v>
      </c>
      <c r="O124" s="4756">
        <f>IFERROR((O123-N123)/N123,0)</f>
        <v>0</v>
      </c>
      <c r="P124" s="4754"/>
      <c r="Q124" s="3887"/>
      <c r="R124" s="2163"/>
      <c r="S124" s="2163"/>
      <c r="T124" s="2163"/>
      <c r="U124" s="2163"/>
      <c r="V124" s="2164"/>
      <c r="W124" s="4775"/>
    </row>
    <row r="125" spans="1:35" s="2134" customFormat="1" ht="13.5" customHeight="1" thickBot="1">
      <c r="A125" s="5297"/>
      <c r="B125" s="5298"/>
      <c r="C125" s="5298"/>
      <c r="D125" s="5298"/>
      <c r="E125" s="5298"/>
      <c r="F125" s="5298"/>
      <c r="G125" s="5298"/>
      <c r="H125" s="5298"/>
      <c r="I125" s="5298"/>
      <c r="J125" s="5298"/>
      <c r="K125" s="5298"/>
      <c r="L125" s="5298"/>
      <c r="M125" s="5298"/>
      <c r="N125" s="5298"/>
      <c r="O125" s="5298"/>
      <c r="P125" s="5298"/>
      <c r="Q125" s="5298"/>
      <c r="R125" s="5298"/>
      <c r="S125" s="5298"/>
      <c r="T125" s="5298"/>
      <c r="U125" s="5298"/>
      <c r="V125" s="5299"/>
      <c r="W125" s="4775"/>
    </row>
    <row r="126" spans="1:35" s="2134" customFormat="1" ht="21.75" customHeight="1" thickBot="1">
      <c r="A126" s="1533">
        <v>5</v>
      </c>
      <c r="B126" s="3889" t="s">
        <v>1092</v>
      </c>
      <c r="C126" s="5286"/>
      <c r="D126" s="5286"/>
      <c r="E126" s="5286"/>
      <c r="F126" s="5286"/>
      <c r="G126" s="5286"/>
      <c r="H126" s="5286"/>
      <c r="I126" s="5286"/>
      <c r="J126" s="5287"/>
      <c r="K126" s="5287"/>
      <c r="L126" s="5287"/>
      <c r="M126" s="5287"/>
      <c r="N126" s="5287"/>
      <c r="O126" s="5287"/>
      <c r="P126" s="5287"/>
      <c r="Q126" s="5286"/>
      <c r="R126" s="5286"/>
      <c r="S126" s="5286"/>
      <c r="T126" s="5286"/>
      <c r="U126" s="5286"/>
      <c r="V126" s="5288"/>
      <c r="W126" s="4775"/>
    </row>
    <row r="127" spans="1:35" s="2134" customFormat="1" ht="12.75">
      <c r="A127" s="435" t="s">
        <v>568</v>
      </c>
      <c r="B127" s="1531" t="s">
        <v>464</v>
      </c>
      <c r="C127" s="321" t="s">
        <v>313</v>
      </c>
      <c r="D127" s="2157"/>
      <c r="E127" s="2158"/>
      <c r="F127" s="2158"/>
      <c r="G127" s="2158"/>
      <c r="H127" s="2158"/>
      <c r="I127" s="2159"/>
      <c r="J127" s="441"/>
      <c r="K127" s="4186"/>
      <c r="L127" s="4186"/>
      <c r="M127" s="4186"/>
      <c r="N127" s="4186"/>
      <c r="O127" s="4188"/>
      <c r="P127" s="4728">
        <f t="shared" ref="P127:P141" si="215">IFERROR((K127-J127)/J127,0)</f>
        <v>0</v>
      </c>
      <c r="Q127" s="2157"/>
      <c r="R127" s="2158"/>
      <c r="S127" s="2158"/>
      <c r="T127" s="2158"/>
      <c r="U127" s="2158"/>
      <c r="V127" s="2159"/>
      <c r="W127" s="4775"/>
      <c r="X127" s="4794">
        <f>IFERROR(J127/$C$1,0)</f>
        <v>0</v>
      </c>
      <c r="Y127" s="4794">
        <f t="shared" ref="Y127:Y141" si="216">IFERROR(K127/$C$1,0)</f>
        <v>0</v>
      </c>
      <c r="Z127" s="4794">
        <f t="shared" ref="Z127:Z141" si="217">IFERROR(L127/$C$1,0)</f>
        <v>0</v>
      </c>
      <c r="AA127" s="4794">
        <f t="shared" ref="AA127:AA141" si="218">IFERROR(M127/$C$1,0)</f>
        <v>0</v>
      </c>
      <c r="AB127" s="4794">
        <f t="shared" ref="AB127:AB141" si="219">IFERROR(N127/$C$1,0)</f>
        <v>0</v>
      </c>
      <c r="AC127" s="4794">
        <f t="shared" ref="AC127:AC141" si="220">IFERROR(O127/$C$1,0)</f>
        <v>0</v>
      </c>
      <c r="AD127" s="2149"/>
      <c r="AE127" s="2149"/>
      <c r="AF127" s="2149"/>
      <c r="AG127" s="2149"/>
      <c r="AH127" s="2149"/>
      <c r="AI127" s="2149"/>
    </row>
    <row r="128" spans="1:35" s="2134" customFormat="1" ht="12.75">
      <c r="A128" s="436" t="s">
        <v>569</v>
      </c>
      <c r="B128" s="1513" t="s">
        <v>722</v>
      </c>
      <c r="C128" s="323" t="s">
        <v>313</v>
      </c>
      <c r="D128" s="2160"/>
      <c r="E128" s="2088"/>
      <c r="F128" s="2088"/>
      <c r="G128" s="2088"/>
      <c r="H128" s="2088"/>
      <c r="I128" s="2161"/>
      <c r="J128" s="422"/>
      <c r="K128" s="4186"/>
      <c r="L128" s="4186"/>
      <c r="M128" s="4186"/>
      <c r="N128" s="4186"/>
      <c r="O128" s="4188"/>
      <c r="P128" s="4729">
        <f t="shared" si="215"/>
        <v>0</v>
      </c>
      <c r="Q128" s="2160"/>
      <c r="R128" s="2088"/>
      <c r="S128" s="2088"/>
      <c r="T128" s="2088"/>
      <c r="U128" s="2088"/>
      <c r="V128" s="2161"/>
      <c r="W128" s="4775"/>
      <c r="X128" s="4794">
        <f t="shared" ref="X128:X141" si="221">IFERROR(J128/$C$1,0)</f>
        <v>0</v>
      </c>
      <c r="Y128" s="4794">
        <f t="shared" si="216"/>
        <v>0</v>
      </c>
      <c r="Z128" s="4794">
        <f t="shared" si="217"/>
        <v>0</v>
      </c>
      <c r="AA128" s="4794">
        <f t="shared" si="218"/>
        <v>0</v>
      </c>
      <c r="AB128" s="4794">
        <f t="shared" si="219"/>
        <v>0</v>
      </c>
      <c r="AC128" s="4794">
        <f t="shared" si="220"/>
        <v>0</v>
      </c>
      <c r="AD128" s="2149"/>
      <c r="AE128" s="2149"/>
      <c r="AF128" s="2149"/>
      <c r="AG128" s="2149"/>
      <c r="AH128" s="2149"/>
      <c r="AI128" s="2149"/>
    </row>
    <row r="129" spans="1:35" s="2134" customFormat="1" ht="12.75">
      <c r="A129" s="436" t="s">
        <v>1093</v>
      </c>
      <c r="B129" s="1513" t="s">
        <v>467</v>
      </c>
      <c r="C129" s="323" t="s">
        <v>313</v>
      </c>
      <c r="D129" s="2160"/>
      <c r="E129" s="2088"/>
      <c r="F129" s="2088"/>
      <c r="G129" s="2088"/>
      <c r="H129" s="2088"/>
      <c r="I129" s="2161"/>
      <c r="J129" s="422"/>
      <c r="K129" s="4186"/>
      <c r="L129" s="4186"/>
      <c r="M129" s="4186"/>
      <c r="N129" s="4186"/>
      <c r="O129" s="4188"/>
      <c r="P129" s="4729">
        <f t="shared" si="215"/>
        <v>0</v>
      </c>
      <c r="Q129" s="2160"/>
      <c r="R129" s="2088"/>
      <c r="S129" s="2088"/>
      <c r="T129" s="2088"/>
      <c r="U129" s="2088"/>
      <c r="V129" s="2161"/>
      <c r="W129" s="4775"/>
      <c r="X129" s="4794">
        <f t="shared" si="221"/>
        <v>0</v>
      </c>
      <c r="Y129" s="4794">
        <f t="shared" si="216"/>
        <v>0</v>
      </c>
      <c r="Z129" s="4794">
        <f t="shared" si="217"/>
        <v>0</v>
      </c>
      <c r="AA129" s="4794">
        <f t="shared" si="218"/>
        <v>0</v>
      </c>
      <c r="AB129" s="4794">
        <f t="shared" si="219"/>
        <v>0</v>
      </c>
      <c r="AC129" s="4794">
        <f t="shared" si="220"/>
        <v>0</v>
      </c>
      <c r="AD129" s="2149"/>
      <c r="AE129" s="2149"/>
      <c r="AF129" s="2149"/>
      <c r="AG129" s="2149"/>
      <c r="AH129" s="2149"/>
      <c r="AI129" s="2149"/>
    </row>
    <row r="130" spans="1:35" s="2134" customFormat="1" ht="12.75">
      <c r="A130" s="436" t="s">
        <v>1094</v>
      </c>
      <c r="B130" s="1513" t="s">
        <v>469</v>
      </c>
      <c r="C130" s="323" t="s">
        <v>313</v>
      </c>
      <c r="D130" s="2160"/>
      <c r="E130" s="2088"/>
      <c r="F130" s="2088"/>
      <c r="G130" s="2088"/>
      <c r="H130" s="2088"/>
      <c r="I130" s="2161"/>
      <c r="J130" s="422"/>
      <c r="K130" s="4186"/>
      <c r="L130" s="4186"/>
      <c r="M130" s="4186"/>
      <c r="N130" s="4186"/>
      <c r="O130" s="4188"/>
      <c r="P130" s="4729">
        <f t="shared" si="215"/>
        <v>0</v>
      </c>
      <c r="Q130" s="2160"/>
      <c r="R130" s="2088"/>
      <c r="S130" s="2088"/>
      <c r="T130" s="2088"/>
      <c r="U130" s="2088"/>
      <c r="V130" s="2161"/>
      <c r="W130" s="4775"/>
      <c r="X130" s="4794">
        <f t="shared" si="221"/>
        <v>0</v>
      </c>
      <c r="Y130" s="4794">
        <f t="shared" si="216"/>
        <v>0</v>
      </c>
      <c r="Z130" s="4794">
        <f t="shared" si="217"/>
        <v>0</v>
      </c>
      <c r="AA130" s="4794">
        <f t="shared" si="218"/>
        <v>0</v>
      </c>
      <c r="AB130" s="4794">
        <f t="shared" si="219"/>
        <v>0</v>
      </c>
      <c r="AC130" s="4794">
        <f t="shared" si="220"/>
        <v>0</v>
      </c>
      <c r="AD130" s="2149"/>
      <c r="AE130" s="2149"/>
      <c r="AF130" s="2149"/>
      <c r="AG130" s="2149"/>
      <c r="AH130" s="2149"/>
      <c r="AI130" s="2149"/>
    </row>
    <row r="131" spans="1:35" s="2134" customFormat="1" ht="12.75">
      <c r="A131" s="436" t="s">
        <v>1095</v>
      </c>
      <c r="B131" s="1513" t="s">
        <v>471</v>
      </c>
      <c r="C131" s="323" t="s">
        <v>313</v>
      </c>
      <c r="D131" s="2160"/>
      <c r="E131" s="2088"/>
      <c r="F131" s="2088"/>
      <c r="G131" s="2088"/>
      <c r="H131" s="2088"/>
      <c r="I131" s="2161"/>
      <c r="J131" s="422"/>
      <c r="K131" s="4186"/>
      <c r="L131" s="4186"/>
      <c r="M131" s="4186"/>
      <c r="N131" s="4186"/>
      <c r="O131" s="4188"/>
      <c r="P131" s="4729">
        <f t="shared" si="215"/>
        <v>0</v>
      </c>
      <c r="Q131" s="2160"/>
      <c r="R131" s="2088"/>
      <c r="S131" s="2088"/>
      <c r="T131" s="2088"/>
      <c r="U131" s="2088"/>
      <c r="V131" s="2161"/>
      <c r="W131" s="4775"/>
      <c r="X131" s="4794">
        <f t="shared" si="221"/>
        <v>0</v>
      </c>
      <c r="Y131" s="4794">
        <f t="shared" si="216"/>
        <v>0</v>
      </c>
      <c r="Z131" s="4794">
        <f t="shared" si="217"/>
        <v>0</v>
      </c>
      <c r="AA131" s="4794">
        <f t="shared" si="218"/>
        <v>0</v>
      </c>
      <c r="AB131" s="4794">
        <f t="shared" si="219"/>
        <v>0</v>
      </c>
      <c r="AC131" s="4794">
        <f t="shared" si="220"/>
        <v>0</v>
      </c>
      <c r="AD131" s="2149"/>
      <c r="AE131" s="2149"/>
      <c r="AF131" s="2149"/>
      <c r="AG131" s="2149"/>
      <c r="AH131" s="2149"/>
      <c r="AI131" s="2149"/>
    </row>
    <row r="132" spans="1:35" s="2134" customFormat="1" ht="12.75">
      <c r="A132" s="436" t="s">
        <v>1096</v>
      </c>
      <c r="B132" s="1513" t="s">
        <v>1367</v>
      </c>
      <c r="C132" s="323" t="s">
        <v>313</v>
      </c>
      <c r="D132" s="2160"/>
      <c r="E132" s="2088"/>
      <c r="F132" s="2088"/>
      <c r="G132" s="2088"/>
      <c r="H132" s="2088"/>
      <c r="I132" s="2161"/>
      <c r="J132" s="422"/>
      <c r="K132" s="4186"/>
      <c r="L132" s="4186"/>
      <c r="M132" s="4186"/>
      <c r="N132" s="4186"/>
      <c r="O132" s="4188"/>
      <c r="P132" s="4729">
        <f t="shared" si="215"/>
        <v>0</v>
      </c>
      <c r="Q132" s="2160"/>
      <c r="R132" s="2088"/>
      <c r="S132" s="2088"/>
      <c r="T132" s="2088"/>
      <c r="U132" s="2088"/>
      <c r="V132" s="2161"/>
      <c r="W132" s="4775"/>
      <c r="X132" s="4794">
        <f t="shared" si="221"/>
        <v>0</v>
      </c>
      <c r="Y132" s="4794">
        <f t="shared" si="216"/>
        <v>0</v>
      </c>
      <c r="Z132" s="4794">
        <f t="shared" si="217"/>
        <v>0</v>
      </c>
      <c r="AA132" s="4794">
        <f t="shared" si="218"/>
        <v>0</v>
      </c>
      <c r="AB132" s="4794">
        <f t="shared" si="219"/>
        <v>0</v>
      </c>
      <c r="AC132" s="4794">
        <f t="shared" si="220"/>
        <v>0</v>
      </c>
      <c r="AD132" s="2149"/>
      <c r="AE132" s="2149"/>
      <c r="AF132" s="2149"/>
      <c r="AG132" s="2149"/>
      <c r="AH132" s="2149"/>
      <c r="AI132" s="2149"/>
    </row>
    <row r="133" spans="1:35" s="2134" customFormat="1" ht="24">
      <c r="A133" s="436" t="s">
        <v>1097</v>
      </c>
      <c r="B133" s="1513" t="s">
        <v>1368</v>
      </c>
      <c r="C133" s="323" t="s">
        <v>313</v>
      </c>
      <c r="D133" s="2160"/>
      <c r="E133" s="2088"/>
      <c r="F133" s="2088"/>
      <c r="G133" s="2088"/>
      <c r="H133" s="2088"/>
      <c r="I133" s="2161"/>
      <c r="J133" s="422"/>
      <c r="K133" s="4186"/>
      <c r="L133" s="4186"/>
      <c r="M133" s="4186"/>
      <c r="N133" s="4186"/>
      <c r="O133" s="4188"/>
      <c r="P133" s="4729">
        <f t="shared" si="215"/>
        <v>0</v>
      </c>
      <c r="Q133" s="2160"/>
      <c r="R133" s="2088"/>
      <c r="S133" s="2088"/>
      <c r="T133" s="2088"/>
      <c r="U133" s="2088"/>
      <c r="V133" s="2161"/>
      <c r="W133" s="4775"/>
      <c r="X133" s="4794">
        <f t="shared" si="221"/>
        <v>0</v>
      </c>
      <c r="Y133" s="4794">
        <f t="shared" si="216"/>
        <v>0</v>
      </c>
      <c r="Z133" s="4794">
        <f t="shared" si="217"/>
        <v>0</v>
      </c>
      <c r="AA133" s="4794">
        <f t="shared" si="218"/>
        <v>0</v>
      </c>
      <c r="AB133" s="4794">
        <f t="shared" si="219"/>
        <v>0</v>
      </c>
      <c r="AC133" s="4794">
        <f t="shared" si="220"/>
        <v>0</v>
      </c>
      <c r="AD133" s="2149"/>
      <c r="AE133" s="2149"/>
      <c r="AF133" s="2149"/>
      <c r="AG133" s="2149"/>
      <c r="AH133" s="2149"/>
      <c r="AI133" s="2149"/>
    </row>
    <row r="134" spans="1:35" s="2134" customFormat="1" ht="24">
      <c r="A134" s="436" t="s">
        <v>1098</v>
      </c>
      <c r="B134" s="1513" t="s">
        <v>1369</v>
      </c>
      <c r="C134" s="323" t="s">
        <v>313</v>
      </c>
      <c r="D134" s="2160"/>
      <c r="E134" s="2088"/>
      <c r="F134" s="2088"/>
      <c r="G134" s="2088"/>
      <c r="H134" s="2088"/>
      <c r="I134" s="2161"/>
      <c r="J134" s="422"/>
      <c r="K134" s="4186"/>
      <c r="L134" s="4186"/>
      <c r="M134" s="4186"/>
      <c r="N134" s="4186"/>
      <c r="O134" s="4188"/>
      <c r="P134" s="4729">
        <f t="shared" si="215"/>
        <v>0</v>
      </c>
      <c r="Q134" s="2160"/>
      <c r="R134" s="2088"/>
      <c r="S134" s="2088"/>
      <c r="T134" s="2088"/>
      <c r="U134" s="2088"/>
      <c r="V134" s="2161"/>
      <c r="W134" s="4775"/>
      <c r="X134" s="4794">
        <f t="shared" si="221"/>
        <v>0</v>
      </c>
      <c r="Y134" s="4794">
        <f t="shared" si="216"/>
        <v>0</v>
      </c>
      <c r="Z134" s="4794">
        <f t="shared" si="217"/>
        <v>0</v>
      </c>
      <c r="AA134" s="4794">
        <f t="shared" si="218"/>
        <v>0</v>
      </c>
      <c r="AB134" s="4794">
        <f t="shared" si="219"/>
        <v>0</v>
      </c>
      <c r="AC134" s="4794">
        <f t="shared" si="220"/>
        <v>0</v>
      </c>
      <c r="AD134" s="2149"/>
      <c r="AE134" s="2149"/>
      <c r="AF134" s="2149"/>
      <c r="AG134" s="2149"/>
      <c r="AH134" s="2149"/>
      <c r="AI134" s="2149"/>
    </row>
    <row r="135" spans="1:35" s="2134" customFormat="1" ht="12.75">
      <c r="A135" s="436" t="s">
        <v>1099</v>
      </c>
      <c r="B135" s="1513" t="s">
        <v>1370</v>
      </c>
      <c r="C135" s="323" t="s">
        <v>313</v>
      </c>
      <c r="D135" s="2160"/>
      <c r="E135" s="2088"/>
      <c r="F135" s="2088"/>
      <c r="G135" s="2088"/>
      <c r="H135" s="2088"/>
      <c r="I135" s="2161"/>
      <c r="J135" s="422"/>
      <c r="K135" s="4186"/>
      <c r="L135" s="4186"/>
      <c r="M135" s="4186"/>
      <c r="N135" s="4186"/>
      <c r="O135" s="4188"/>
      <c r="P135" s="4729">
        <f t="shared" si="215"/>
        <v>0</v>
      </c>
      <c r="Q135" s="2160"/>
      <c r="R135" s="2088"/>
      <c r="S135" s="2088"/>
      <c r="T135" s="2088"/>
      <c r="U135" s="2088"/>
      <c r="V135" s="2161"/>
      <c r="W135" s="4775"/>
      <c r="X135" s="4794">
        <f t="shared" si="221"/>
        <v>0</v>
      </c>
      <c r="Y135" s="4794">
        <f t="shared" si="216"/>
        <v>0</v>
      </c>
      <c r="Z135" s="4794">
        <f t="shared" si="217"/>
        <v>0</v>
      </c>
      <c r="AA135" s="4794">
        <f t="shared" si="218"/>
        <v>0</v>
      </c>
      <c r="AB135" s="4794">
        <f t="shared" si="219"/>
        <v>0</v>
      </c>
      <c r="AC135" s="4794">
        <f t="shared" si="220"/>
        <v>0</v>
      </c>
      <c r="AD135" s="2149"/>
      <c r="AE135" s="2149"/>
      <c r="AF135" s="2149"/>
      <c r="AG135" s="2149"/>
      <c r="AH135" s="2149"/>
      <c r="AI135" s="2149"/>
    </row>
    <row r="136" spans="1:35" s="2134" customFormat="1" ht="24">
      <c r="A136" s="436" t="s">
        <v>1100</v>
      </c>
      <c r="B136" s="1513" t="s">
        <v>1371</v>
      </c>
      <c r="C136" s="323" t="s">
        <v>313</v>
      </c>
      <c r="D136" s="2160"/>
      <c r="E136" s="2088"/>
      <c r="F136" s="2088"/>
      <c r="G136" s="2088"/>
      <c r="H136" s="2088"/>
      <c r="I136" s="2161"/>
      <c r="J136" s="422"/>
      <c r="K136" s="4186"/>
      <c r="L136" s="4186"/>
      <c r="M136" s="4186"/>
      <c r="N136" s="4186"/>
      <c r="O136" s="4188"/>
      <c r="P136" s="4729">
        <f t="shared" si="215"/>
        <v>0</v>
      </c>
      <c r="Q136" s="2160"/>
      <c r="R136" s="2088"/>
      <c r="S136" s="2088"/>
      <c r="T136" s="2088"/>
      <c r="U136" s="2088"/>
      <c r="V136" s="2161"/>
      <c r="W136" s="4775"/>
      <c r="X136" s="4794">
        <f t="shared" si="221"/>
        <v>0</v>
      </c>
      <c r="Y136" s="4794">
        <f t="shared" si="216"/>
        <v>0</v>
      </c>
      <c r="Z136" s="4794">
        <f t="shared" si="217"/>
        <v>0</v>
      </c>
      <c r="AA136" s="4794">
        <f t="shared" si="218"/>
        <v>0</v>
      </c>
      <c r="AB136" s="4794">
        <f t="shared" si="219"/>
        <v>0</v>
      </c>
      <c r="AC136" s="4794">
        <f t="shared" si="220"/>
        <v>0</v>
      </c>
      <c r="AD136" s="2149"/>
      <c r="AE136" s="2149"/>
      <c r="AF136" s="2149"/>
      <c r="AG136" s="2149"/>
      <c r="AH136" s="2149"/>
      <c r="AI136" s="2149"/>
    </row>
    <row r="137" spans="1:35" s="2134" customFormat="1" ht="15" customHeight="1">
      <c r="A137" s="436" t="s">
        <v>1101</v>
      </c>
      <c r="B137" s="1514" t="s">
        <v>1770</v>
      </c>
      <c r="C137" s="323" t="s">
        <v>313</v>
      </c>
      <c r="D137" s="2160"/>
      <c r="E137" s="2088"/>
      <c r="F137" s="2088"/>
      <c r="G137" s="2088"/>
      <c r="H137" s="2088"/>
      <c r="I137" s="2161"/>
      <c r="J137" s="422"/>
      <c r="K137" s="4186"/>
      <c r="L137" s="4186"/>
      <c r="M137" s="4186"/>
      <c r="N137" s="4186"/>
      <c r="O137" s="4188"/>
      <c r="P137" s="4729">
        <f t="shared" si="215"/>
        <v>0</v>
      </c>
      <c r="Q137" s="2160"/>
      <c r="R137" s="2088"/>
      <c r="S137" s="2088"/>
      <c r="T137" s="2088"/>
      <c r="U137" s="2088"/>
      <c r="V137" s="2161"/>
      <c r="W137" s="4775"/>
      <c r="X137" s="4794">
        <f t="shared" si="221"/>
        <v>0</v>
      </c>
      <c r="Y137" s="4794">
        <f t="shared" si="216"/>
        <v>0</v>
      </c>
      <c r="Z137" s="4794">
        <f t="shared" si="217"/>
        <v>0</v>
      </c>
      <c r="AA137" s="4794">
        <f t="shared" si="218"/>
        <v>0</v>
      </c>
      <c r="AB137" s="4794">
        <f t="shared" si="219"/>
        <v>0</v>
      </c>
      <c r="AC137" s="4794">
        <f t="shared" si="220"/>
        <v>0</v>
      </c>
      <c r="AD137" s="2149"/>
      <c r="AE137" s="2149"/>
      <c r="AF137" s="2149"/>
      <c r="AG137" s="2149"/>
      <c r="AH137" s="2149"/>
      <c r="AI137" s="2149"/>
    </row>
    <row r="138" spans="1:35" s="2134" customFormat="1" ht="15" customHeight="1">
      <c r="A138" s="439" t="s">
        <v>1102</v>
      </c>
      <c r="B138" s="1514" t="s">
        <v>915</v>
      </c>
      <c r="C138" s="323" t="s">
        <v>313</v>
      </c>
      <c r="D138" s="2160"/>
      <c r="E138" s="2088"/>
      <c r="F138" s="2088"/>
      <c r="G138" s="2088"/>
      <c r="H138" s="2088"/>
      <c r="I138" s="2161"/>
      <c r="J138" s="422"/>
      <c r="K138" s="4186"/>
      <c r="L138" s="4186"/>
      <c r="M138" s="4186"/>
      <c r="N138" s="4186"/>
      <c r="O138" s="4188"/>
      <c r="P138" s="4729">
        <f t="shared" si="215"/>
        <v>0</v>
      </c>
      <c r="Q138" s="2160"/>
      <c r="R138" s="2088"/>
      <c r="S138" s="2088"/>
      <c r="T138" s="2088"/>
      <c r="U138" s="2088"/>
      <c r="V138" s="2161"/>
      <c r="W138" s="4775"/>
      <c r="X138" s="4794">
        <f t="shared" si="221"/>
        <v>0</v>
      </c>
      <c r="Y138" s="4794">
        <f t="shared" si="216"/>
        <v>0</v>
      </c>
      <c r="Z138" s="4794">
        <f t="shared" si="217"/>
        <v>0</v>
      </c>
      <c r="AA138" s="4794">
        <f t="shared" si="218"/>
        <v>0</v>
      </c>
      <c r="AB138" s="4794">
        <f t="shared" si="219"/>
        <v>0</v>
      </c>
      <c r="AC138" s="4794">
        <f t="shared" si="220"/>
        <v>0</v>
      </c>
      <c r="AD138" s="2149"/>
      <c r="AE138" s="2149"/>
      <c r="AF138" s="2149"/>
      <c r="AG138" s="2149"/>
      <c r="AH138" s="2149"/>
      <c r="AI138" s="2149"/>
    </row>
    <row r="139" spans="1:35" s="2134" customFormat="1" ht="24">
      <c r="A139" s="439" t="s">
        <v>1103</v>
      </c>
      <c r="B139" s="2152" t="s">
        <v>1372</v>
      </c>
      <c r="C139" s="323" t="s">
        <v>313</v>
      </c>
      <c r="D139" s="2160"/>
      <c r="E139" s="2088"/>
      <c r="F139" s="2088"/>
      <c r="G139" s="2088"/>
      <c r="H139" s="2088"/>
      <c r="I139" s="2161"/>
      <c r="J139" s="422"/>
      <c r="K139" s="4186"/>
      <c r="L139" s="4186"/>
      <c r="M139" s="4186"/>
      <c r="N139" s="4186"/>
      <c r="O139" s="4188"/>
      <c r="P139" s="4729">
        <f t="shared" si="215"/>
        <v>0</v>
      </c>
      <c r="Q139" s="2160"/>
      <c r="R139" s="2088"/>
      <c r="S139" s="2088"/>
      <c r="T139" s="2088"/>
      <c r="U139" s="2088"/>
      <c r="V139" s="2161"/>
      <c r="W139" s="4775"/>
      <c r="X139" s="4794">
        <f t="shared" si="221"/>
        <v>0</v>
      </c>
      <c r="Y139" s="4794">
        <f t="shared" si="216"/>
        <v>0</v>
      </c>
      <c r="Z139" s="4794">
        <f t="shared" si="217"/>
        <v>0</v>
      </c>
      <c r="AA139" s="4794">
        <f t="shared" si="218"/>
        <v>0</v>
      </c>
      <c r="AB139" s="4794">
        <f t="shared" si="219"/>
        <v>0</v>
      </c>
      <c r="AC139" s="4794">
        <f t="shared" si="220"/>
        <v>0</v>
      </c>
      <c r="AD139" s="2149"/>
      <c r="AE139" s="2149"/>
      <c r="AF139" s="2149"/>
      <c r="AG139" s="2149"/>
      <c r="AH139" s="2149"/>
      <c r="AI139" s="2149"/>
    </row>
    <row r="140" spans="1:35" s="2134" customFormat="1" ht="24.75" thickBot="1">
      <c r="A140" s="439" t="s">
        <v>1769</v>
      </c>
      <c r="B140" s="1522" t="s">
        <v>1345</v>
      </c>
      <c r="C140" s="323" t="s">
        <v>313</v>
      </c>
      <c r="D140" s="2162"/>
      <c r="E140" s="2163"/>
      <c r="F140" s="2163"/>
      <c r="G140" s="2163"/>
      <c r="H140" s="2163"/>
      <c r="I140" s="2164"/>
      <c r="J140" s="440"/>
      <c r="K140" s="1125"/>
      <c r="L140" s="1125"/>
      <c r="M140" s="1125"/>
      <c r="N140" s="1125"/>
      <c r="O140" s="1126"/>
      <c r="P140" s="4730">
        <f t="shared" si="215"/>
        <v>0</v>
      </c>
      <c r="Q140" s="2153"/>
      <c r="R140" s="2154"/>
      <c r="S140" s="2154"/>
      <c r="T140" s="2154"/>
      <c r="U140" s="2154"/>
      <c r="V140" s="2155"/>
      <c r="W140" s="4775"/>
      <c r="X140" s="4794">
        <f t="shared" si="221"/>
        <v>0</v>
      </c>
      <c r="Y140" s="4794">
        <f t="shared" si="216"/>
        <v>0</v>
      </c>
      <c r="Z140" s="4794">
        <f t="shared" si="217"/>
        <v>0</v>
      </c>
      <c r="AA140" s="4794">
        <f t="shared" si="218"/>
        <v>0</v>
      </c>
      <c r="AB140" s="4794">
        <f t="shared" si="219"/>
        <v>0</v>
      </c>
      <c r="AC140" s="4794">
        <f t="shared" si="220"/>
        <v>0</v>
      </c>
      <c r="AD140" s="2149"/>
      <c r="AE140" s="2149"/>
      <c r="AF140" s="2149"/>
      <c r="AG140" s="2149"/>
      <c r="AH140" s="2149"/>
      <c r="AI140" s="2149"/>
    </row>
    <row r="141" spans="1:35" s="2134" customFormat="1" ht="21.6" customHeight="1" thickBot="1">
      <c r="A141" s="1377"/>
      <c r="B141" s="1515" t="s">
        <v>1104</v>
      </c>
      <c r="C141" s="1529"/>
      <c r="D141" s="3906"/>
      <c r="E141" s="3907"/>
      <c r="F141" s="3907"/>
      <c r="G141" s="3907"/>
      <c r="H141" s="3907"/>
      <c r="I141" s="3908"/>
      <c r="J141" s="327">
        <f t="shared" ref="J141:O141" si="222">SUM(J127:J140)</f>
        <v>0</v>
      </c>
      <c r="K141" s="328">
        <f t="shared" si="222"/>
        <v>0</v>
      </c>
      <c r="L141" s="328">
        <f t="shared" si="222"/>
        <v>0</v>
      </c>
      <c r="M141" s="328">
        <f t="shared" si="222"/>
        <v>0</v>
      </c>
      <c r="N141" s="328">
        <f t="shared" si="222"/>
        <v>0</v>
      </c>
      <c r="O141" s="974">
        <f t="shared" si="222"/>
        <v>0</v>
      </c>
      <c r="P141" s="4506">
        <f t="shared" si="215"/>
        <v>0</v>
      </c>
      <c r="Q141" s="3877"/>
      <c r="R141" s="3878"/>
      <c r="S141" s="3878"/>
      <c r="T141" s="3878"/>
      <c r="U141" s="3878"/>
      <c r="V141" s="3879"/>
      <c r="W141" s="4775"/>
      <c r="X141" s="4794">
        <f t="shared" si="221"/>
        <v>0</v>
      </c>
      <c r="Y141" s="4794">
        <f t="shared" si="216"/>
        <v>0</v>
      </c>
      <c r="Z141" s="4794">
        <f t="shared" si="217"/>
        <v>0</v>
      </c>
      <c r="AA141" s="4794">
        <f t="shared" si="218"/>
        <v>0</v>
      </c>
      <c r="AB141" s="4794">
        <f t="shared" si="219"/>
        <v>0</v>
      </c>
      <c r="AC141" s="4794">
        <f t="shared" si="220"/>
        <v>0</v>
      </c>
      <c r="AD141" s="2149"/>
      <c r="AE141" s="2149"/>
      <c r="AF141" s="2149"/>
      <c r="AG141" s="2149"/>
      <c r="AH141" s="2149"/>
      <c r="AI141" s="2149"/>
    </row>
    <row r="142" spans="1:35" s="2134" customFormat="1" ht="13.5" customHeight="1" thickBot="1">
      <c r="A142" s="3854"/>
      <c r="B142" s="3855" t="s">
        <v>1428</v>
      </c>
      <c r="C142" s="3902" t="s">
        <v>170</v>
      </c>
      <c r="D142" s="3856"/>
      <c r="E142" s="3857">
        <f>IFERROR((E141-D141)/D141,0)</f>
        <v>0</v>
      </c>
      <c r="F142" s="3857">
        <f>IFERROR((F141-E141)/E141,0)</f>
        <v>0</v>
      </c>
      <c r="G142" s="3857">
        <f>IFERROR((G141-F141)/F141,0)</f>
        <v>0</v>
      </c>
      <c r="H142" s="3857">
        <f>IFERROR((H141-G141)/G141,0)</f>
        <v>0</v>
      </c>
      <c r="I142" s="3858">
        <f>IFERROR((I141-H141)/H141,0)</f>
        <v>0</v>
      </c>
      <c r="J142" s="3859"/>
      <c r="K142" s="3857">
        <f>IFERROR((K141-J141)/J141,0)</f>
        <v>0</v>
      </c>
      <c r="L142" s="3857">
        <f>IFERROR((L141-K141)/K141,0)</f>
        <v>0</v>
      </c>
      <c r="M142" s="3857">
        <f>IFERROR((M141-L141)/L141,0)</f>
        <v>0</v>
      </c>
      <c r="N142" s="3857">
        <f>IFERROR((N141-M141)/M141,0)</f>
        <v>0</v>
      </c>
      <c r="O142" s="3857">
        <f>IFERROR((O141-N141)/N141,0)</f>
        <v>0</v>
      </c>
      <c r="P142" s="4317"/>
      <c r="Q142" s="3860"/>
      <c r="R142" s="3861"/>
      <c r="S142" s="3861"/>
      <c r="T142" s="3861"/>
      <c r="U142" s="3861"/>
      <c r="V142" s="3862"/>
      <c r="W142" s="4775"/>
      <c r="X142" s="2149"/>
      <c r="Y142" s="2149"/>
      <c r="Z142" s="2149"/>
      <c r="AA142" s="2149"/>
      <c r="AB142" s="2149"/>
      <c r="AC142" s="2149"/>
      <c r="AD142" s="2165"/>
      <c r="AE142" s="2165"/>
      <c r="AF142" s="2165"/>
      <c r="AG142" s="2165"/>
      <c r="AH142" s="2165"/>
      <c r="AI142" s="2165"/>
    </row>
    <row r="143" spans="1:35" s="2134" customFormat="1" ht="13.5" customHeight="1" thickBot="1">
      <c r="A143" s="1377"/>
      <c r="B143" s="1524" t="s">
        <v>1105</v>
      </c>
      <c r="C143" s="433"/>
      <c r="D143" s="433"/>
      <c r="E143" s="433"/>
      <c r="F143" s="433"/>
      <c r="G143" s="433"/>
      <c r="H143" s="433"/>
      <c r="I143" s="433"/>
      <c r="J143" s="433"/>
      <c r="K143" s="433"/>
      <c r="L143" s="433"/>
      <c r="M143" s="433"/>
      <c r="N143" s="433"/>
      <c r="O143" s="433"/>
      <c r="P143" s="433"/>
      <c r="Q143" s="433"/>
      <c r="R143" s="433"/>
      <c r="S143" s="433"/>
      <c r="T143" s="433"/>
      <c r="U143" s="433"/>
      <c r="V143" s="434"/>
      <c r="W143" s="4775"/>
      <c r="X143" s="2149"/>
      <c r="Y143" s="2149"/>
      <c r="Z143" s="2149"/>
      <c r="AA143" s="2149"/>
      <c r="AB143" s="2149"/>
      <c r="AC143" s="2149"/>
      <c r="AD143" s="2104"/>
      <c r="AE143" s="2104"/>
      <c r="AF143" s="2104"/>
      <c r="AG143" s="2104"/>
      <c r="AH143" s="2104"/>
      <c r="AI143" s="2104"/>
    </row>
    <row r="144" spans="1:35" s="2134" customFormat="1" ht="12.75">
      <c r="A144" s="1378"/>
      <c r="B144" s="3891" t="s">
        <v>1068</v>
      </c>
      <c r="C144" s="1518"/>
      <c r="D144" s="3866"/>
      <c r="E144" s="2158"/>
      <c r="F144" s="2158"/>
      <c r="G144" s="2158"/>
      <c r="H144" s="2158"/>
      <c r="I144" s="3883"/>
      <c r="J144" s="444"/>
      <c r="K144" s="445"/>
      <c r="L144" s="445"/>
      <c r="M144" s="445"/>
      <c r="N144" s="445"/>
      <c r="O144" s="446"/>
      <c r="P144" s="4731">
        <f>IFERROR((K144-J144)/J144,0)</f>
        <v>0</v>
      </c>
      <c r="Q144" s="2157"/>
      <c r="R144" s="2158"/>
      <c r="S144" s="2158"/>
      <c r="T144" s="2158"/>
      <c r="U144" s="2158"/>
      <c r="V144" s="2159"/>
      <c r="W144" s="4775"/>
      <c r="X144" s="4794">
        <f t="shared" ref="X144" si="223">IFERROR(J144/$C$1,0)</f>
        <v>0</v>
      </c>
      <c r="Y144" s="4794">
        <f t="shared" ref="Y144" si="224">IFERROR(K144/$C$1,0)</f>
        <v>0</v>
      </c>
      <c r="Z144" s="4794">
        <f t="shared" ref="Z144" si="225">IFERROR(L144/$C$1,0)</f>
        <v>0</v>
      </c>
      <c r="AA144" s="4794">
        <f t="shared" ref="AA144" si="226">IFERROR(M144/$C$1,0)</f>
        <v>0</v>
      </c>
      <c r="AB144" s="4794">
        <f t="shared" ref="AB144" si="227">IFERROR(N144/$C$1,0)</f>
        <v>0</v>
      </c>
      <c r="AC144" s="4794">
        <f t="shared" ref="AC144" si="228">IFERROR(O144/$C$1,0)</f>
        <v>0</v>
      </c>
      <c r="AD144" s="2149"/>
      <c r="AE144" s="2149"/>
      <c r="AF144" s="2149"/>
      <c r="AG144" s="2149"/>
      <c r="AH144" s="2149"/>
      <c r="AI144" s="2149"/>
    </row>
    <row r="145" spans="1:35" s="2134" customFormat="1" ht="12.75">
      <c r="A145" s="3890"/>
      <c r="B145" s="3867" t="s">
        <v>1428</v>
      </c>
      <c r="C145" s="3897" t="s">
        <v>170</v>
      </c>
      <c r="D145" s="3234"/>
      <c r="E145" s="2088"/>
      <c r="F145" s="2088"/>
      <c r="G145" s="2088"/>
      <c r="H145" s="2088"/>
      <c r="I145" s="3253"/>
      <c r="J145" s="4189"/>
      <c r="K145" s="3868">
        <f>IFERROR((K144-J144)/J144,0)</f>
        <v>0</v>
      </c>
      <c r="L145" s="3868">
        <f>IFERROR((L144-K144)/K144,0)</f>
        <v>0</v>
      </c>
      <c r="M145" s="3868">
        <f>IFERROR((M144-L144)/L144,0)</f>
        <v>0</v>
      </c>
      <c r="N145" s="3868">
        <f>IFERROR((N144-M144)/M144,0)</f>
        <v>0</v>
      </c>
      <c r="O145" s="3869">
        <f>IFERROR((O144-N144)/N144,0)</f>
        <v>0</v>
      </c>
      <c r="P145" s="4507"/>
      <c r="Q145" s="2160"/>
      <c r="R145" s="2088"/>
      <c r="S145" s="2088"/>
      <c r="T145" s="2088"/>
      <c r="U145" s="2088"/>
      <c r="V145" s="2161"/>
      <c r="W145" s="4775"/>
      <c r="X145" s="2149"/>
      <c r="Y145" s="2149"/>
      <c r="Z145" s="2149"/>
      <c r="AA145" s="2149"/>
      <c r="AB145" s="2149"/>
      <c r="AC145" s="2149"/>
      <c r="AD145" s="2149"/>
      <c r="AE145" s="2149"/>
      <c r="AF145" s="2149"/>
      <c r="AG145" s="2149"/>
      <c r="AH145" s="2149"/>
      <c r="AI145" s="2149"/>
    </row>
    <row r="146" spans="1:35" s="2134" customFormat="1" ht="12.75">
      <c r="A146" s="1379"/>
      <c r="B146" s="3892" t="s">
        <v>642</v>
      </c>
      <c r="C146" s="1520"/>
      <c r="D146" s="3234"/>
      <c r="E146" s="2088"/>
      <c r="F146" s="2088"/>
      <c r="G146" s="2088"/>
      <c r="H146" s="2088"/>
      <c r="I146" s="3253"/>
      <c r="J146" s="447"/>
      <c r="K146" s="429"/>
      <c r="L146" s="429"/>
      <c r="M146" s="429"/>
      <c r="N146" s="429"/>
      <c r="O146" s="430"/>
      <c r="P146" s="4732">
        <f>IFERROR((K146-J146)/J146,0)</f>
        <v>0</v>
      </c>
      <c r="Q146" s="2160"/>
      <c r="R146" s="2088"/>
      <c r="S146" s="2088"/>
      <c r="T146" s="2088"/>
      <c r="U146" s="2088"/>
      <c r="V146" s="2161"/>
      <c r="W146" s="4775"/>
      <c r="X146" s="4794">
        <f t="shared" ref="X146" si="229">IFERROR(J146/$C$1,0)</f>
        <v>0</v>
      </c>
      <c r="Y146" s="4794">
        <f t="shared" ref="Y146" si="230">IFERROR(K146/$C$1,0)</f>
        <v>0</v>
      </c>
      <c r="Z146" s="4794">
        <f t="shared" ref="Z146" si="231">IFERROR(L146/$C$1,0)</f>
        <v>0</v>
      </c>
      <c r="AA146" s="4794">
        <f t="shared" ref="AA146" si="232">IFERROR(M146/$C$1,0)</f>
        <v>0</v>
      </c>
      <c r="AB146" s="4794">
        <f t="shared" ref="AB146" si="233">IFERROR(N146/$C$1,0)</f>
        <v>0</v>
      </c>
      <c r="AC146" s="4794">
        <f t="shared" ref="AC146" si="234">IFERROR(O146/$C$1,0)</f>
        <v>0</v>
      </c>
      <c r="AD146" s="2149"/>
      <c r="AE146" s="2149"/>
      <c r="AF146" s="2149"/>
      <c r="AG146" s="2149"/>
      <c r="AH146" s="2149"/>
      <c r="AI146" s="2149"/>
    </row>
    <row r="147" spans="1:35" s="2134" customFormat="1" ht="12.75">
      <c r="A147" s="1379"/>
      <c r="B147" s="3867" t="s">
        <v>1431</v>
      </c>
      <c r="C147" s="3897" t="s">
        <v>170</v>
      </c>
      <c r="D147" s="3234"/>
      <c r="E147" s="2088"/>
      <c r="F147" s="2088"/>
      <c r="G147" s="2088"/>
      <c r="H147" s="2088"/>
      <c r="I147" s="3253"/>
      <c r="J147" s="3872"/>
      <c r="K147" s="3868">
        <f>IFERROR((K146-J146)/J146,0)</f>
        <v>0</v>
      </c>
      <c r="L147" s="3868">
        <f>IFERROR((L146-K146)/K146,0)</f>
        <v>0</v>
      </c>
      <c r="M147" s="3868">
        <f>IFERROR((M146-L146)/L146,0)</f>
        <v>0</v>
      </c>
      <c r="N147" s="3868">
        <f>IFERROR((N146-M146)/M146,0)</f>
        <v>0</v>
      </c>
      <c r="O147" s="3869">
        <f>IFERROR((O146-N146)/N146,0)</f>
        <v>0</v>
      </c>
      <c r="P147" s="4507"/>
      <c r="Q147" s="2160"/>
      <c r="R147" s="2088"/>
      <c r="S147" s="2088"/>
      <c r="T147" s="2088"/>
      <c r="U147" s="2088"/>
      <c r="V147" s="2161"/>
      <c r="W147" s="4775"/>
      <c r="X147" s="2149"/>
      <c r="Y147" s="2149"/>
      <c r="Z147" s="2149"/>
      <c r="AA147" s="2149"/>
      <c r="AB147" s="2149"/>
      <c r="AC147" s="2149"/>
      <c r="AD147" s="2149"/>
      <c r="AE147" s="2149"/>
      <c r="AF147" s="2149"/>
      <c r="AG147" s="2149"/>
      <c r="AH147" s="2149"/>
      <c r="AI147" s="2149"/>
    </row>
    <row r="148" spans="1:35" s="2134" customFormat="1" ht="12.75">
      <c r="A148" s="1379"/>
      <c r="B148" s="3892" t="s">
        <v>641</v>
      </c>
      <c r="C148" s="1520"/>
      <c r="D148" s="3234"/>
      <c r="E148" s="2088"/>
      <c r="F148" s="2088"/>
      <c r="G148" s="2088"/>
      <c r="H148" s="2088"/>
      <c r="I148" s="3253"/>
      <c r="J148" s="447"/>
      <c r="K148" s="429"/>
      <c r="L148" s="429"/>
      <c r="M148" s="429"/>
      <c r="N148" s="429"/>
      <c r="O148" s="430"/>
      <c r="P148" s="4732">
        <f>IFERROR((K148-J148)/J148,0)</f>
        <v>0</v>
      </c>
      <c r="Q148" s="2160"/>
      <c r="R148" s="2088"/>
      <c r="S148" s="2088"/>
      <c r="T148" s="2088"/>
      <c r="U148" s="2088"/>
      <c r="V148" s="2161"/>
      <c r="W148" s="4775"/>
      <c r="X148" s="4794">
        <f t="shared" ref="X148" si="235">IFERROR(J148/$C$1,0)</f>
        <v>0</v>
      </c>
      <c r="Y148" s="4794">
        <f t="shared" ref="Y148" si="236">IFERROR(K148/$C$1,0)</f>
        <v>0</v>
      </c>
      <c r="Z148" s="4794">
        <f t="shared" ref="Z148" si="237">IFERROR(L148/$C$1,0)</f>
        <v>0</v>
      </c>
      <c r="AA148" s="4794">
        <f t="shared" ref="AA148" si="238">IFERROR(M148/$C$1,0)</f>
        <v>0</v>
      </c>
      <c r="AB148" s="4794">
        <f t="shared" ref="AB148" si="239">IFERROR(N148/$C$1,0)</f>
        <v>0</v>
      </c>
      <c r="AC148" s="4794">
        <f t="shared" ref="AC148" si="240">IFERROR(O148/$C$1,0)</f>
        <v>0</v>
      </c>
      <c r="AD148" s="2149"/>
      <c r="AE148" s="2149"/>
      <c r="AF148" s="2149"/>
      <c r="AG148" s="2149"/>
      <c r="AH148" s="2149"/>
      <c r="AI148" s="2149"/>
    </row>
    <row r="149" spans="1:35" s="2134" customFormat="1" ht="12.75">
      <c r="A149" s="1379"/>
      <c r="B149" s="3867" t="s">
        <v>1431</v>
      </c>
      <c r="C149" s="3897" t="s">
        <v>170</v>
      </c>
      <c r="D149" s="3234"/>
      <c r="E149" s="2088"/>
      <c r="F149" s="2088"/>
      <c r="G149" s="2088"/>
      <c r="H149" s="2088"/>
      <c r="I149" s="3253"/>
      <c r="J149" s="3872"/>
      <c r="K149" s="3868">
        <f>IFERROR((K148-J148)/J148,0)</f>
        <v>0</v>
      </c>
      <c r="L149" s="3868">
        <f>IFERROR((L148-K148)/K148,0)</f>
        <v>0</v>
      </c>
      <c r="M149" s="3868">
        <f>IFERROR((M148-L148)/L148,0)</f>
        <v>0</v>
      </c>
      <c r="N149" s="3868">
        <f>IFERROR((N148-M148)/M148,0)</f>
        <v>0</v>
      </c>
      <c r="O149" s="3869">
        <f>IFERROR((O148-N148)/N148,0)</f>
        <v>0</v>
      </c>
      <c r="P149" s="4507"/>
      <c r="Q149" s="2160"/>
      <c r="R149" s="2088"/>
      <c r="S149" s="2088"/>
      <c r="T149" s="2088"/>
      <c r="U149" s="2088"/>
      <c r="V149" s="2161"/>
      <c r="W149" s="4775"/>
      <c r="X149" s="2149"/>
      <c r="Y149" s="2149"/>
      <c r="Z149" s="2149"/>
      <c r="AA149" s="2149"/>
      <c r="AB149" s="2149"/>
      <c r="AC149" s="2149"/>
      <c r="AD149" s="2149"/>
      <c r="AE149" s="2149"/>
      <c r="AF149" s="2149"/>
      <c r="AG149" s="2149"/>
      <c r="AH149" s="2149"/>
      <c r="AI149" s="2149"/>
    </row>
    <row r="150" spans="1:35" s="2134" customFormat="1" ht="12.75">
      <c r="A150" s="1379"/>
      <c r="B150" s="3892" t="s">
        <v>640</v>
      </c>
      <c r="C150" s="1520"/>
      <c r="D150" s="3234"/>
      <c r="E150" s="2088"/>
      <c r="F150" s="2088"/>
      <c r="G150" s="2088"/>
      <c r="H150" s="2088"/>
      <c r="I150" s="3253"/>
      <c r="J150" s="447"/>
      <c r="K150" s="429"/>
      <c r="L150" s="429"/>
      <c r="M150" s="429"/>
      <c r="N150" s="429"/>
      <c r="O150" s="430"/>
      <c r="P150" s="4732">
        <f>IFERROR((K150-J150)/J150,0)</f>
        <v>0</v>
      </c>
      <c r="Q150" s="2160"/>
      <c r="R150" s="2088"/>
      <c r="S150" s="2088"/>
      <c r="T150" s="2088"/>
      <c r="U150" s="2088"/>
      <c r="V150" s="2161"/>
      <c r="W150" s="4775"/>
      <c r="X150" s="4794">
        <f t="shared" ref="X150" si="241">IFERROR(J150/$C$1,0)</f>
        <v>0</v>
      </c>
      <c r="Y150" s="4794">
        <f t="shared" ref="Y150" si="242">IFERROR(K150/$C$1,0)</f>
        <v>0</v>
      </c>
      <c r="Z150" s="4794">
        <f t="shared" ref="Z150" si="243">IFERROR(L150/$C$1,0)</f>
        <v>0</v>
      </c>
      <c r="AA150" s="4794">
        <f t="shared" ref="AA150" si="244">IFERROR(M150/$C$1,0)</f>
        <v>0</v>
      </c>
      <c r="AB150" s="4794">
        <f t="shared" ref="AB150" si="245">IFERROR(N150/$C$1,0)</f>
        <v>0</v>
      </c>
      <c r="AC150" s="4794">
        <f t="shared" ref="AC150" si="246">IFERROR(O150/$C$1,0)</f>
        <v>0</v>
      </c>
      <c r="AD150" s="2149"/>
      <c r="AE150" s="2149"/>
      <c r="AF150" s="2149"/>
      <c r="AG150" s="2149"/>
      <c r="AH150" s="2149"/>
      <c r="AI150" s="2149"/>
    </row>
    <row r="151" spans="1:35" s="2134" customFormat="1" ht="12.75">
      <c r="A151" s="1379"/>
      <c r="B151" s="3867" t="s">
        <v>1428</v>
      </c>
      <c r="C151" s="3897" t="s">
        <v>170</v>
      </c>
      <c r="D151" s="3234"/>
      <c r="E151" s="2088"/>
      <c r="F151" s="2088"/>
      <c r="G151" s="2088"/>
      <c r="H151" s="2088"/>
      <c r="I151" s="3253"/>
      <c r="J151" s="4190"/>
      <c r="K151" s="3868">
        <f>IFERROR((K150-J150)/J150,0)</f>
        <v>0</v>
      </c>
      <c r="L151" s="3868">
        <f>IFERROR((L150-K150)/K150,0)</f>
        <v>0</v>
      </c>
      <c r="M151" s="3868">
        <f>IFERROR((M150-L150)/L150,0)</f>
        <v>0</v>
      </c>
      <c r="N151" s="3868">
        <f>IFERROR((N150-M150)/M150,0)</f>
        <v>0</v>
      </c>
      <c r="O151" s="3869">
        <f>IFERROR((O150-N150)/N150,0)</f>
        <v>0</v>
      </c>
      <c r="P151" s="4507"/>
      <c r="Q151" s="2160"/>
      <c r="R151" s="2088"/>
      <c r="S151" s="2088"/>
      <c r="T151" s="2088"/>
      <c r="U151" s="2088"/>
      <c r="V151" s="2161"/>
      <c r="W151" s="4775"/>
      <c r="X151" s="2149"/>
      <c r="Y151" s="2149"/>
      <c r="Z151" s="2149"/>
      <c r="AA151" s="2149"/>
      <c r="AB151" s="2149"/>
      <c r="AC151" s="2149"/>
      <c r="AD151" s="2149"/>
      <c r="AE151" s="2149"/>
      <c r="AF151" s="2149"/>
      <c r="AG151" s="2149"/>
      <c r="AH151" s="2149"/>
      <c r="AI151" s="2149"/>
    </row>
    <row r="152" spans="1:35" s="2134" customFormat="1" ht="12.75">
      <c r="A152" s="1379"/>
      <c r="B152" s="3892" t="s">
        <v>639</v>
      </c>
      <c r="C152" s="1520"/>
      <c r="D152" s="3234"/>
      <c r="E152" s="2088"/>
      <c r="F152" s="2088"/>
      <c r="G152" s="2088"/>
      <c r="H152" s="2088"/>
      <c r="I152" s="3253"/>
      <c r="J152" s="970"/>
      <c r="K152" s="431"/>
      <c r="L152" s="431"/>
      <c r="M152" s="431"/>
      <c r="N152" s="431"/>
      <c r="O152" s="432"/>
      <c r="P152" s="4508">
        <f>IFERROR((K152-J152)/J152,0)</f>
        <v>0</v>
      </c>
      <c r="Q152" s="2160"/>
      <c r="R152" s="2088"/>
      <c r="S152" s="2088"/>
      <c r="T152" s="2088"/>
      <c r="U152" s="2088"/>
      <c r="V152" s="2161"/>
      <c r="W152" s="4775"/>
      <c r="X152" s="4794">
        <f t="shared" ref="X152" si="247">IFERROR(J152/$C$1,0)</f>
        <v>0</v>
      </c>
      <c r="Y152" s="4794">
        <f t="shared" ref="Y152" si="248">IFERROR(K152/$C$1,0)</f>
        <v>0</v>
      </c>
      <c r="Z152" s="4794">
        <f t="shared" ref="Z152" si="249">IFERROR(L152/$C$1,0)</f>
        <v>0</v>
      </c>
      <c r="AA152" s="4794">
        <f t="shared" ref="AA152" si="250">IFERROR(M152/$C$1,0)</f>
        <v>0</v>
      </c>
      <c r="AB152" s="4794">
        <f t="shared" ref="AB152" si="251">IFERROR(N152/$C$1,0)</f>
        <v>0</v>
      </c>
      <c r="AC152" s="4794">
        <f t="shared" ref="AC152" si="252">IFERROR(O152/$C$1,0)</f>
        <v>0</v>
      </c>
      <c r="AD152" s="2149"/>
      <c r="AE152" s="2149"/>
      <c r="AF152" s="2149"/>
      <c r="AG152" s="2149"/>
      <c r="AH152" s="2149"/>
      <c r="AI152" s="2149"/>
    </row>
    <row r="153" spans="1:35" s="2134" customFormat="1" ht="12.75">
      <c r="A153" s="1381"/>
      <c r="B153" s="3867" t="s">
        <v>1428</v>
      </c>
      <c r="C153" s="3897" t="s">
        <v>170</v>
      </c>
      <c r="D153" s="3234"/>
      <c r="E153" s="2088"/>
      <c r="F153" s="2088"/>
      <c r="G153" s="2088"/>
      <c r="H153" s="2088"/>
      <c r="I153" s="3253"/>
      <c r="J153" s="4190"/>
      <c r="K153" s="3868">
        <f>IFERROR((K152-J152)/J152,0)</f>
        <v>0</v>
      </c>
      <c r="L153" s="3868">
        <f>IFERROR((L152-K152)/K152,0)</f>
        <v>0</v>
      </c>
      <c r="M153" s="3868">
        <f>IFERROR((M152-L152)/L152,0)</f>
        <v>0</v>
      </c>
      <c r="N153" s="3868">
        <f>IFERROR((N152-M152)/M152,0)</f>
        <v>0</v>
      </c>
      <c r="O153" s="3869">
        <f>IFERROR((O152-N152)/N152,0)</f>
        <v>0</v>
      </c>
      <c r="P153" s="4507"/>
      <c r="Q153" s="2160"/>
      <c r="R153" s="2088"/>
      <c r="S153" s="2088"/>
      <c r="T153" s="2088"/>
      <c r="U153" s="2088"/>
      <c r="V153" s="2161"/>
      <c r="W153" s="4775"/>
      <c r="X153" s="2149"/>
      <c r="Y153" s="2149"/>
      <c r="Z153" s="2149"/>
      <c r="AA153" s="2149"/>
      <c r="AB153" s="2149"/>
      <c r="AC153" s="2149"/>
      <c r="AD153" s="2149"/>
      <c r="AE153" s="2149"/>
      <c r="AF153" s="2149"/>
      <c r="AG153" s="2149"/>
      <c r="AH153" s="2149"/>
      <c r="AI153" s="2149"/>
    </row>
    <row r="154" spans="1:35" s="2134" customFormat="1" ht="21.75" customHeight="1">
      <c r="A154" s="1379"/>
      <c r="B154" s="1553" t="s">
        <v>638</v>
      </c>
      <c r="C154" s="1520"/>
      <c r="D154" s="3234"/>
      <c r="E154" s="2088"/>
      <c r="F154" s="2088"/>
      <c r="G154" s="2088"/>
      <c r="H154" s="2088"/>
      <c r="I154" s="3253"/>
      <c r="J154" s="3909">
        <f>J141-J144-J146-J148-J150-J152</f>
        <v>0</v>
      </c>
      <c r="K154" s="3886">
        <f t="shared" ref="K154:O154" si="253">K141-K144-K146-K148-K150-K152</f>
        <v>0</v>
      </c>
      <c r="L154" s="3886">
        <f t="shared" si="253"/>
        <v>0</v>
      </c>
      <c r="M154" s="3886">
        <f t="shared" si="253"/>
        <v>0</v>
      </c>
      <c r="N154" s="3886">
        <f t="shared" si="253"/>
        <v>0</v>
      </c>
      <c r="O154" s="3870">
        <f t="shared" si="253"/>
        <v>0</v>
      </c>
      <c r="P154" s="4508">
        <f>IFERROR((K154-J154)/J154,0)</f>
        <v>0</v>
      </c>
      <c r="Q154" s="2160"/>
      <c r="R154" s="2088"/>
      <c r="S154" s="2088"/>
      <c r="T154" s="2088"/>
      <c r="U154" s="2088"/>
      <c r="V154" s="2161"/>
      <c r="W154" s="4775"/>
      <c r="X154" s="4794">
        <f t="shared" ref="X154" si="254">IFERROR(J154/$C$1,0)</f>
        <v>0</v>
      </c>
      <c r="Y154" s="4794">
        <f t="shared" ref="Y154" si="255">IFERROR(K154/$C$1,0)</f>
        <v>0</v>
      </c>
      <c r="Z154" s="4794">
        <f t="shared" ref="Z154" si="256">IFERROR(L154/$C$1,0)</f>
        <v>0</v>
      </c>
      <c r="AA154" s="4794">
        <f t="shared" ref="AA154" si="257">IFERROR(M154/$C$1,0)</f>
        <v>0</v>
      </c>
      <c r="AB154" s="4794">
        <f t="shared" ref="AB154" si="258">IFERROR(N154/$C$1,0)</f>
        <v>0</v>
      </c>
      <c r="AC154" s="4794">
        <f t="shared" ref="AC154" si="259">IFERROR(O154/$C$1,0)</f>
        <v>0</v>
      </c>
      <c r="AD154" s="2149"/>
      <c r="AE154" s="2149"/>
      <c r="AF154" s="2149"/>
      <c r="AG154" s="2149"/>
      <c r="AH154" s="2149"/>
      <c r="AI154" s="2149"/>
    </row>
    <row r="155" spans="1:35" s="2134" customFormat="1" ht="15" customHeight="1">
      <c r="A155" s="3893"/>
      <c r="B155" s="3871" t="s">
        <v>1428</v>
      </c>
      <c r="C155" s="3901" t="s">
        <v>170</v>
      </c>
      <c r="D155" s="3234"/>
      <c r="E155" s="2088"/>
      <c r="F155" s="2088"/>
      <c r="G155" s="2088"/>
      <c r="H155" s="2088"/>
      <c r="I155" s="3253"/>
      <c r="J155" s="3872"/>
      <c r="K155" s="3868">
        <f>IFERROR((K154-J154)/J154,0)</f>
        <v>0</v>
      </c>
      <c r="L155" s="3868">
        <f>IFERROR((L154-K154)/K154,0)</f>
        <v>0</v>
      </c>
      <c r="M155" s="3868">
        <f>IFERROR((M154-L154)/L154,0)</f>
        <v>0</v>
      </c>
      <c r="N155" s="3868">
        <f>IFERROR((N154-M154)/M154,0)</f>
        <v>0</v>
      </c>
      <c r="O155" s="3869">
        <f>IFERROR((O154-N154)/N154,0)</f>
        <v>0</v>
      </c>
      <c r="P155" s="4328"/>
      <c r="Q155" s="2160"/>
      <c r="R155" s="2088"/>
      <c r="S155" s="2088"/>
      <c r="T155" s="2088"/>
      <c r="U155" s="2088"/>
      <c r="V155" s="2161"/>
      <c r="W155" s="4775"/>
      <c r="AD155" s="2149"/>
      <c r="AE155" s="2149"/>
      <c r="AF155" s="2149"/>
      <c r="AG155" s="2149"/>
      <c r="AH155" s="2149"/>
      <c r="AI155" s="2149"/>
    </row>
    <row r="156" spans="1:35" ht="13.5" customHeight="1" thickBot="1">
      <c r="A156" s="5300"/>
      <c r="B156" s="5301"/>
      <c r="C156" s="5301"/>
      <c r="D156" s="5301"/>
      <c r="E156" s="5301"/>
      <c r="F156" s="5301"/>
      <c r="G156" s="5301"/>
      <c r="H156" s="5301"/>
      <c r="I156" s="5301"/>
      <c r="J156" s="5301"/>
      <c r="K156" s="5301"/>
      <c r="L156" s="5301"/>
      <c r="M156" s="5301"/>
      <c r="N156" s="5301"/>
      <c r="O156" s="5301"/>
      <c r="P156" s="5301"/>
      <c r="Q156" s="5301"/>
      <c r="R156" s="5301"/>
      <c r="S156" s="5301"/>
      <c r="T156" s="5301"/>
      <c r="U156" s="5301"/>
      <c r="V156" s="5302"/>
      <c r="W156" s="4775"/>
    </row>
    <row r="157" spans="1:35" s="2165" customFormat="1">
      <c r="B157" s="2166"/>
      <c r="C157" s="2097"/>
      <c r="D157" s="2097"/>
      <c r="E157" s="2097"/>
      <c r="F157" s="2097"/>
      <c r="G157" s="2097"/>
      <c r="H157" s="2097"/>
      <c r="I157" s="2097"/>
      <c r="J157" s="2097"/>
      <c r="K157" s="2167"/>
      <c r="L157" s="2167"/>
      <c r="M157" s="2167"/>
      <c r="N157" s="2167"/>
      <c r="O157" s="2167"/>
      <c r="P157" s="2167"/>
      <c r="Q157" s="2167"/>
      <c r="AD157" s="2149"/>
      <c r="AE157" s="2149"/>
      <c r="AF157" s="2149"/>
      <c r="AG157" s="2149"/>
      <c r="AH157" s="2149"/>
      <c r="AI157" s="2149"/>
    </row>
    <row r="158" spans="1:35" s="2165" customFormat="1">
      <c r="A158" s="2098"/>
      <c r="D158" s="2098"/>
      <c r="E158" s="2098"/>
      <c r="F158" s="2098"/>
      <c r="G158" s="2098"/>
      <c r="J158" s="2097"/>
      <c r="K158" s="2167"/>
      <c r="L158" s="2167"/>
      <c r="M158" s="2167"/>
      <c r="N158" s="2167"/>
      <c r="O158" s="2167"/>
      <c r="P158" s="2167"/>
      <c r="Q158" s="2167"/>
      <c r="AD158" s="2149"/>
      <c r="AE158" s="2149"/>
      <c r="AF158" s="2149"/>
      <c r="AG158" s="2149"/>
      <c r="AH158" s="2149"/>
      <c r="AI158" s="2149"/>
    </row>
    <row r="159" spans="1:35" s="2165" customFormat="1">
      <c r="A159" s="2168" t="s">
        <v>1738</v>
      </c>
      <c r="D159" s="2106"/>
      <c r="E159" s="2106"/>
      <c r="F159" s="2106"/>
      <c r="G159" s="2106"/>
      <c r="H159" s="2098"/>
      <c r="I159" s="2099"/>
      <c r="K159" s="2101"/>
      <c r="L159" s="2101"/>
      <c r="M159" s="2101"/>
      <c r="N159" s="2101"/>
      <c r="O159" s="2101"/>
      <c r="P159" s="2101"/>
      <c r="Q159" s="2101"/>
      <c r="AD159" s="2149"/>
      <c r="AE159" s="2149"/>
      <c r="AF159" s="2149"/>
      <c r="AG159" s="2149"/>
      <c r="AH159" s="2149"/>
      <c r="AI159" s="2149"/>
    </row>
    <row r="160" spans="1:35" s="2165" customFormat="1">
      <c r="A160" s="2097"/>
      <c r="D160" s="2098"/>
      <c r="E160" s="2098"/>
      <c r="F160" s="2098"/>
      <c r="G160" s="2098"/>
      <c r="H160" s="2106"/>
      <c r="I160" s="2099"/>
      <c r="J160" s="2106"/>
      <c r="K160" s="2169"/>
      <c r="L160" s="2169"/>
      <c r="M160" s="2169"/>
      <c r="N160" s="2169"/>
      <c r="O160" s="2169"/>
      <c r="P160" s="2169"/>
      <c r="Q160" s="2169"/>
      <c r="AD160" s="2149"/>
      <c r="AE160" s="2149"/>
      <c r="AF160" s="2149"/>
      <c r="AG160" s="2149"/>
      <c r="AH160" s="2149"/>
      <c r="AI160" s="2149"/>
    </row>
    <row r="161" spans="1:35" s="2165" customFormat="1">
      <c r="A161" s="2097"/>
      <c r="D161" s="2098"/>
      <c r="E161" s="2098"/>
      <c r="F161" s="2098"/>
      <c r="G161" s="2098"/>
      <c r="H161" s="2098"/>
      <c r="I161" s="2099"/>
      <c r="J161" s="2106"/>
      <c r="K161" s="2169"/>
      <c r="L161" s="2169"/>
      <c r="M161" s="2169"/>
      <c r="N161" s="2169"/>
      <c r="O161" s="2169"/>
      <c r="P161" s="2169"/>
      <c r="Q161" s="2169"/>
      <c r="AD161" s="2149"/>
      <c r="AE161" s="2149"/>
      <c r="AF161" s="2149"/>
      <c r="AG161" s="2149"/>
      <c r="AH161" s="2149"/>
      <c r="AI161" s="2149"/>
    </row>
    <row r="162" spans="1:35" s="2104" customFormat="1">
      <c r="A162" s="5304" t="s">
        <v>187</v>
      </c>
      <c r="B162" s="5304"/>
      <c r="C162" s="5304"/>
      <c r="D162" s="5304"/>
      <c r="E162" s="2171"/>
      <c r="F162" s="2171"/>
      <c r="G162" s="2171"/>
      <c r="H162" s="2171"/>
      <c r="I162" s="2171"/>
      <c r="J162" s="2170"/>
      <c r="K162" s="2170"/>
      <c r="L162" s="2170"/>
      <c r="M162" s="2170"/>
      <c r="N162" s="2170"/>
      <c r="O162" s="2170"/>
      <c r="P162" s="2170"/>
      <c r="Q162" s="2170"/>
      <c r="AD162" s="2149"/>
      <c r="AE162" s="2149"/>
      <c r="AF162" s="2149"/>
      <c r="AG162" s="2149"/>
      <c r="AH162" s="2149"/>
      <c r="AI162" s="2149"/>
    </row>
    <row r="163" spans="1:35">
      <c r="A163" s="5305" t="s">
        <v>188</v>
      </c>
      <c r="B163" s="5305"/>
      <c r="C163" s="5305"/>
      <c r="D163" s="5305"/>
    </row>
    <row r="164" spans="1:35">
      <c r="A164" s="4471" t="s">
        <v>1374</v>
      </c>
      <c r="B164" s="4471"/>
      <c r="C164" s="4471"/>
      <c r="D164" s="4471"/>
    </row>
    <row r="165" spans="1:35" ht="30" customHeight="1">
      <c r="A165" s="5306" t="str">
        <f>+"3.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"&amp;E8&amp;"-"&amp;I8&amp;" в Справка № 12.  "</f>
        <v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2027 г.-2031 г. в Справка № 12.  </v>
      </c>
      <c r="B165" s="5306"/>
      <c r="C165" s="5306"/>
      <c r="D165" s="5306"/>
      <c r="E165" s="5306"/>
      <c r="F165" s="5306"/>
      <c r="G165" s="5306"/>
      <c r="H165" s="5306"/>
      <c r="I165" s="5306"/>
      <c r="J165" s="5306"/>
      <c r="K165" s="5306"/>
      <c r="L165" s="5306"/>
      <c r="M165" s="5306"/>
      <c r="N165" s="5306"/>
      <c r="O165" s="5306"/>
      <c r="P165" s="4310"/>
      <c r="Q165" s="4075"/>
    </row>
  </sheetData>
  <sheetProtection algorithmName="SHA-512" hashValue="QNSB2FcL3JMbAGkSIvyG3JOzETFdh5bFd/yiiuYVCWl0LfnMQNCOo9sSxtraYoO7rhs3L6sXBB3BjuVaoQ0MLw==" saltValue="928wXICyQVqSos2y4LSNYA==" spinCount="100000" sheet="1" formatCells="0" formatColumns="0" formatRows="0"/>
  <mergeCells count="31">
    <mergeCell ref="A156:V156"/>
    <mergeCell ref="T1:V1"/>
    <mergeCell ref="A162:D162"/>
    <mergeCell ref="A163:D163"/>
    <mergeCell ref="A165:O165"/>
    <mergeCell ref="A2:V2"/>
    <mergeCell ref="A3:V3"/>
    <mergeCell ref="A4:V4"/>
    <mergeCell ref="A5:V5"/>
    <mergeCell ref="N1:O1"/>
    <mergeCell ref="J7:O7"/>
    <mergeCell ref="Q7:V7"/>
    <mergeCell ref="C9:V9"/>
    <mergeCell ref="C40:V40"/>
    <mergeCell ref="C69:V69"/>
    <mergeCell ref="C95:V95"/>
    <mergeCell ref="C126:V126"/>
    <mergeCell ref="D7:I7"/>
    <mergeCell ref="A7:A8"/>
    <mergeCell ref="B7:B8"/>
    <mergeCell ref="C7:C8"/>
    <mergeCell ref="P7:P8"/>
    <mergeCell ref="A39:V39"/>
    <mergeCell ref="A68:V68"/>
    <mergeCell ref="A94:V94"/>
    <mergeCell ref="A125:V125"/>
    <mergeCell ref="X7:AC7"/>
    <mergeCell ref="AD7:AI7"/>
    <mergeCell ref="A1:B1"/>
    <mergeCell ref="C1:D1"/>
    <mergeCell ref="A6:J6"/>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CF170"/>
  <sheetViews>
    <sheetView showGridLines="0" tabSelected="1" zoomScaleNormal="100" zoomScaleSheetLayoutView="85" workbookViewId="0">
      <pane xSplit="5" ySplit="11" topLeftCell="F57" activePane="bottomRight" state="frozen"/>
      <selection pane="topRight" activeCell="F1" sqref="F1"/>
      <selection pane="bottomLeft" activeCell="A12" sqref="A12"/>
      <selection pane="bottomRight" activeCell="R58" sqref="R58:V58"/>
    </sheetView>
  </sheetViews>
  <sheetFormatPr defaultColWidth="9.140625" defaultRowHeight="12.75"/>
  <cols>
    <col min="1" max="1" width="2.7109375" style="1289" customWidth="1"/>
    <col min="2" max="2" width="8.5703125" style="1289" customWidth="1"/>
    <col min="3" max="3" width="14" style="1289" customWidth="1"/>
    <col min="4" max="4" width="4.5703125" style="1290" customWidth="1"/>
    <col min="5" max="5" width="26.7109375" style="1291" customWidth="1"/>
    <col min="6" max="7" width="6" style="1331" customWidth="1"/>
    <col min="8" max="8" width="6.140625" style="1331" customWidth="1"/>
    <col min="9" max="13" width="6.140625" style="1332" customWidth="1"/>
    <col min="14" max="14" width="6.7109375" style="1289" customWidth="1"/>
    <col min="15" max="17" width="6.28515625" style="1292" customWidth="1"/>
    <col min="18" max="22" width="6.28515625" style="1289" customWidth="1"/>
    <col min="23" max="25" width="6.42578125" style="1292" customWidth="1"/>
    <col min="26" max="30" width="6.140625" style="1289" customWidth="1"/>
    <col min="31" max="33" width="7.28515625" style="1292" customWidth="1"/>
    <col min="34" max="38" width="7.28515625" style="1289" customWidth="1"/>
    <col min="39" max="39" width="11" style="1293" customWidth="1"/>
    <col min="40" max="40" width="82.42578125" style="1291" customWidth="1"/>
    <col min="41" max="41" width="5.42578125" style="1293" customWidth="1"/>
    <col min="42" max="43" width="7.140625" style="1293" customWidth="1"/>
    <col min="44" max="48" width="7.140625" style="1289" customWidth="1"/>
    <col min="49" max="49" width="7.140625" style="1290" customWidth="1"/>
    <col min="50" max="50" width="51.7109375" style="1294" customWidth="1"/>
    <col min="51" max="51" width="2.85546875" style="1290" customWidth="1"/>
    <col min="52" max="16384" width="9.140625" style="1290"/>
  </cols>
  <sheetData>
    <row r="1" spans="1:84" ht="31.15" customHeight="1" thickBot="1">
      <c r="A1" s="5338" t="str">
        <f>+'1. Обща информация'!B40</f>
        <v>Фиксиран курс на лева към 1 евро</v>
      </c>
      <c r="B1" s="5339"/>
      <c r="C1" s="5339"/>
      <c r="D1" s="5340"/>
      <c r="E1" s="4798">
        <f>+'1. Обща информация'!$C$40</f>
        <v>1.95583</v>
      </c>
      <c r="F1" s="2175"/>
      <c r="G1" s="2175"/>
      <c r="H1" s="2175"/>
      <c r="I1" s="2172"/>
      <c r="J1" s="2172"/>
      <c r="K1" s="2172"/>
      <c r="L1" s="2172"/>
      <c r="M1" s="2172"/>
      <c r="N1" s="2172"/>
      <c r="O1" s="2175"/>
      <c r="P1" s="2175"/>
      <c r="Q1" s="3941"/>
      <c r="R1" s="3941"/>
      <c r="S1" s="2172"/>
      <c r="T1" s="2176"/>
      <c r="U1" s="2176"/>
      <c r="V1" s="2176"/>
      <c r="W1" s="2175"/>
      <c r="X1" s="2175"/>
      <c r="Y1" s="2175"/>
      <c r="Z1" s="2172"/>
      <c r="AA1" s="2172"/>
      <c r="AB1" s="2172"/>
      <c r="AC1" s="2172"/>
      <c r="AD1" s="2172"/>
      <c r="AE1" s="2177"/>
      <c r="AF1" s="2177"/>
      <c r="AG1" s="2177"/>
      <c r="AH1" s="2177"/>
      <c r="AI1" s="2177"/>
      <c r="AJ1" s="2177"/>
      <c r="AK1" s="3941" t="s">
        <v>189</v>
      </c>
      <c r="AL1" s="2177"/>
      <c r="AM1" s="2178"/>
      <c r="AN1" s="2179"/>
      <c r="AO1" s="3941"/>
      <c r="AP1" s="2178"/>
      <c r="AQ1" s="2178"/>
      <c r="AR1" s="2172"/>
      <c r="AS1" s="2172"/>
      <c r="AT1" s="2172"/>
      <c r="AU1" s="2172"/>
      <c r="AV1" s="2172"/>
      <c r="AW1" s="2173"/>
      <c r="AX1" s="2180"/>
    </row>
    <row r="2" spans="1:84" ht="18.75">
      <c r="A2" s="5326" t="s">
        <v>1375</v>
      </c>
      <c r="B2" s="5326"/>
      <c r="C2" s="5326"/>
      <c r="D2" s="5326"/>
      <c r="E2" s="5326"/>
      <c r="F2" s="5326"/>
      <c r="G2" s="5326"/>
      <c r="H2" s="5326"/>
      <c r="I2" s="5326"/>
      <c r="J2" s="5326"/>
      <c r="K2" s="5326"/>
      <c r="L2" s="5326"/>
      <c r="M2" s="5326"/>
      <c r="N2" s="5326"/>
      <c r="O2" s="5326"/>
      <c r="P2" s="5326"/>
      <c r="Q2" s="5326"/>
      <c r="R2" s="5326"/>
      <c r="S2" s="5326"/>
      <c r="T2" s="5326"/>
      <c r="U2" s="5326"/>
      <c r="V2" s="5326"/>
      <c r="W2" s="5326"/>
      <c r="X2" s="5326"/>
      <c r="Y2" s="5326"/>
      <c r="Z2" s="5326"/>
      <c r="AA2" s="5326"/>
      <c r="AB2" s="5326"/>
      <c r="AC2" s="5326"/>
      <c r="AD2" s="5326"/>
      <c r="AE2" s="5326"/>
      <c r="AF2" s="5326"/>
      <c r="AG2" s="5326"/>
      <c r="AH2" s="5326"/>
      <c r="AI2" s="5326"/>
      <c r="AJ2" s="5326"/>
      <c r="AK2" s="5326"/>
      <c r="AL2" s="5326"/>
      <c r="AM2" s="3940"/>
      <c r="AN2" s="2181"/>
      <c r="AO2" s="3941"/>
      <c r="AP2" s="2178"/>
      <c r="AQ2" s="2178"/>
      <c r="AR2" s="2172"/>
      <c r="AS2" s="2172"/>
      <c r="AT2" s="2172"/>
      <c r="AU2" s="2172"/>
      <c r="AV2" s="3941"/>
      <c r="AW2" s="2173"/>
      <c r="AX2" s="2180"/>
    </row>
    <row r="3" spans="1:84" ht="18.75">
      <c r="A3" s="5326" t="s">
        <v>1009</v>
      </c>
      <c r="B3" s="5326"/>
      <c r="C3" s="5326"/>
      <c r="D3" s="5326"/>
      <c r="E3" s="5326"/>
      <c r="F3" s="5326"/>
      <c r="G3" s="5326"/>
      <c r="H3" s="5326"/>
      <c r="I3" s="5326"/>
      <c r="J3" s="5326"/>
      <c r="K3" s="5326"/>
      <c r="L3" s="5326"/>
      <c r="M3" s="5326"/>
      <c r="N3" s="5326"/>
      <c r="O3" s="5326"/>
      <c r="P3" s="5326"/>
      <c r="Q3" s="5326"/>
      <c r="R3" s="5326"/>
      <c r="S3" s="5326"/>
      <c r="T3" s="5326"/>
      <c r="U3" s="5326"/>
      <c r="V3" s="5326"/>
      <c r="W3" s="5326"/>
      <c r="X3" s="5326"/>
      <c r="Y3" s="5326"/>
      <c r="Z3" s="5326"/>
      <c r="AA3" s="5326"/>
      <c r="AB3" s="5326"/>
      <c r="AC3" s="5326"/>
      <c r="AD3" s="5326"/>
      <c r="AE3" s="5326"/>
      <c r="AF3" s="5326"/>
      <c r="AG3" s="5326"/>
      <c r="AH3" s="5326"/>
      <c r="AI3" s="5326"/>
      <c r="AJ3" s="5326"/>
      <c r="AK3" s="5326"/>
      <c r="AL3" s="5326"/>
      <c r="AM3" s="3940"/>
      <c r="AN3" s="2181"/>
      <c r="AO3" s="2172"/>
      <c r="AP3" s="2172"/>
      <c r="AQ3" s="2172"/>
      <c r="AR3" s="2172"/>
      <c r="AS3" s="2172"/>
      <c r="AT3" s="2172"/>
      <c r="AU3" s="2172"/>
      <c r="AV3" s="2172"/>
      <c r="AW3" s="2173"/>
      <c r="AX3" s="2182"/>
    </row>
    <row r="4" spans="1:84" ht="18.75">
      <c r="A4" s="5336" t="str">
        <f>'1. Обща информация'!A4:D4</f>
        <v>на "ВОДОСНАБДЯВАНЕ И КАНАЛИЗАЦИЯ" ЕООД, гр. БЛАГОЕВГРАД</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5336"/>
      <c r="AA4" s="5336"/>
      <c r="AB4" s="5336"/>
      <c r="AC4" s="5336"/>
      <c r="AD4" s="5336"/>
      <c r="AE4" s="5336"/>
      <c r="AF4" s="5336"/>
      <c r="AG4" s="5336"/>
      <c r="AH4" s="5336"/>
      <c r="AI4" s="5336"/>
      <c r="AJ4" s="5336"/>
      <c r="AK4" s="5336"/>
      <c r="AL4" s="5336"/>
      <c r="AM4" s="3942"/>
      <c r="AN4" s="2183"/>
      <c r="AO4" s="2184"/>
      <c r="AP4" s="2184"/>
      <c r="AQ4" s="2184"/>
      <c r="AR4" s="2184"/>
      <c r="AS4" s="2184"/>
      <c r="AT4" s="2184"/>
      <c r="AU4" s="2184"/>
      <c r="AV4" s="2184"/>
      <c r="AW4" s="2185"/>
      <c r="AX4" s="2186"/>
      <c r="AY4" s="1295"/>
      <c r="AZ4" s="1295"/>
      <c r="BA4" s="1295"/>
      <c r="BB4" s="1295"/>
      <c r="BC4" s="1295"/>
      <c r="BD4" s="1295"/>
      <c r="BE4" s="1295"/>
      <c r="BF4" s="1295"/>
    </row>
    <row r="5" spans="1:84" ht="18.75">
      <c r="A5" s="5336" t="str">
        <f>'1. Обща информация'!A5:D5</f>
        <v>ЕИК по БУЛСТАТ: 811047831</v>
      </c>
      <c r="B5" s="5336"/>
      <c r="C5" s="5336"/>
      <c r="D5" s="5336"/>
      <c r="E5" s="5336"/>
      <c r="F5" s="5336"/>
      <c r="G5" s="5336"/>
      <c r="H5" s="5336"/>
      <c r="I5" s="5336"/>
      <c r="J5" s="5336"/>
      <c r="K5" s="5336"/>
      <c r="L5" s="5336"/>
      <c r="M5" s="5336"/>
      <c r="N5" s="5336"/>
      <c r="O5" s="5336"/>
      <c r="P5" s="5336"/>
      <c r="Q5" s="5336"/>
      <c r="R5" s="5336"/>
      <c r="S5" s="5336"/>
      <c r="T5" s="5336"/>
      <c r="U5" s="5336"/>
      <c r="V5" s="5336"/>
      <c r="W5" s="5336"/>
      <c r="X5" s="5336"/>
      <c r="Y5" s="5336"/>
      <c r="Z5" s="5336"/>
      <c r="AA5" s="5336"/>
      <c r="AB5" s="5336"/>
      <c r="AC5" s="5336"/>
      <c r="AD5" s="5336"/>
      <c r="AE5" s="5336"/>
      <c r="AF5" s="5336"/>
      <c r="AG5" s="5336"/>
      <c r="AH5" s="5336"/>
      <c r="AI5" s="5336"/>
      <c r="AJ5" s="5336"/>
      <c r="AK5" s="5336"/>
      <c r="AL5" s="5336"/>
      <c r="AM5" s="3942"/>
      <c r="AN5" s="2183"/>
      <c r="AO5" s="2184"/>
      <c r="AP5" s="2184"/>
      <c r="AQ5" s="2184"/>
      <c r="AR5" s="2184"/>
      <c r="AS5" s="2184"/>
      <c r="AT5" s="2184"/>
      <c r="AU5" s="2184"/>
      <c r="AV5" s="2184"/>
      <c r="AW5" s="2185"/>
      <c r="AX5" s="2186"/>
      <c r="AY5" s="1295"/>
      <c r="AZ5" s="1295"/>
      <c r="BA5" s="1295"/>
      <c r="BB5" s="1295"/>
      <c r="BC5" s="1295"/>
      <c r="BD5" s="1295"/>
      <c r="BE5" s="1295"/>
      <c r="BF5" s="1295"/>
    </row>
    <row r="6" spans="1:84" ht="13.5">
      <c r="A6" s="2172"/>
      <c r="B6" s="2172"/>
      <c r="C6" s="2172"/>
      <c r="D6" s="2173"/>
      <c r="E6" s="2174"/>
      <c r="F6" s="2175"/>
      <c r="G6" s="2175"/>
      <c r="H6" s="2175"/>
      <c r="I6" s="2172"/>
      <c r="J6" s="2172"/>
      <c r="K6" s="2172"/>
      <c r="L6" s="2172"/>
      <c r="M6" s="2172"/>
      <c r="N6" s="2172"/>
      <c r="O6" s="2175"/>
      <c r="P6" s="2175"/>
      <c r="Q6" s="3941"/>
      <c r="R6" s="3941"/>
      <c r="S6" s="2172"/>
      <c r="T6" s="2176"/>
      <c r="U6" s="2176"/>
      <c r="V6" s="2176"/>
      <c r="W6" s="2175"/>
      <c r="X6" s="2175"/>
      <c r="Y6" s="2175"/>
      <c r="Z6" s="2172"/>
      <c r="AA6" s="2172"/>
      <c r="AB6" s="2172"/>
      <c r="AC6" s="2172"/>
      <c r="AD6" s="2172"/>
      <c r="AE6" s="2177"/>
      <c r="AF6" s="2177"/>
      <c r="AG6" s="2177"/>
      <c r="AH6" s="2177"/>
      <c r="AI6" s="2177"/>
      <c r="AJ6" s="2177"/>
      <c r="AK6" s="2177"/>
      <c r="AL6" s="2177"/>
      <c r="AM6" s="5335"/>
      <c r="AN6" s="5335"/>
      <c r="AO6" s="2172"/>
      <c r="AP6" s="2172"/>
      <c r="AQ6" s="2172"/>
      <c r="AR6" s="2172"/>
      <c r="AS6" s="2172"/>
      <c r="AT6" s="2172"/>
      <c r="AU6" s="2172"/>
      <c r="AV6" s="2172"/>
      <c r="AW6" s="2173"/>
      <c r="AX6" s="2180"/>
    </row>
    <row r="7" spans="1:84" ht="13.5" thickBot="1">
      <c r="A7" s="2187"/>
      <c r="B7" s="2187"/>
      <c r="C7" s="2187"/>
      <c r="D7" s="2187"/>
      <c r="E7" s="2187"/>
      <c r="F7" s="2187"/>
      <c r="G7" s="2187"/>
      <c r="H7" s="2187"/>
      <c r="I7" s="2187"/>
      <c r="J7" s="2187"/>
      <c r="K7" s="2187"/>
      <c r="L7" s="2187"/>
      <c r="M7" s="2187"/>
      <c r="N7" s="2187"/>
      <c r="O7" s="2187"/>
      <c r="P7" s="2187"/>
      <c r="Q7" s="2187"/>
      <c r="R7" s="2187"/>
      <c r="S7" s="2187"/>
      <c r="T7" s="2187"/>
      <c r="U7" s="2187"/>
      <c r="V7" s="2187"/>
      <c r="W7" s="2187"/>
      <c r="X7" s="2187"/>
      <c r="Y7" s="2187"/>
      <c r="Z7" s="2187"/>
      <c r="AA7" s="2187"/>
      <c r="AB7" s="2187"/>
      <c r="AC7" s="2187"/>
      <c r="AD7" s="2187"/>
      <c r="AE7" s="2188"/>
      <c r="AF7" s="2188"/>
      <c r="AG7" s="2188"/>
      <c r="AH7" s="2188"/>
      <c r="AI7" s="2188"/>
      <c r="AJ7" s="2188"/>
      <c r="AK7" s="2188"/>
      <c r="AL7" s="2188"/>
      <c r="AM7" s="2189"/>
      <c r="AN7" s="2187"/>
      <c r="AO7" s="2172"/>
      <c r="AP7" s="2172"/>
      <c r="AQ7" s="2172"/>
      <c r="AR7" s="2172"/>
      <c r="AS7" s="2172"/>
      <c r="AT7" s="2172"/>
      <c r="AU7" s="2172"/>
      <c r="AV7" s="2172"/>
      <c r="AW7" s="2173"/>
      <c r="AX7" s="2182"/>
    </row>
    <row r="8" spans="1:84" s="1296" customFormat="1" ht="14.45" customHeight="1" thickBot="1">
      <c r="A8" s="5330" t="s">
        <v>203</v>
      </c>
      <c r="B8" s="5315" t="s">
        <v>353</v>
      </c>
      <c r="C8" s="5315" t="s">
        <v>1499</v>
      </c>
      <c r="D8" s="5315" t="s">
        <v>1500</v>
      </c>
      <c r="E8" s="5315" t="s">
        <v>204</v>
      </c>
      <c r="F8" s="5323" t="s">
        <v>333</v>
      </c>
      <c r="G8" s="5324"/>
      <c r="H8" s="5324"/>
      <c r="I8" s="5324"/>
      <c r="J8" s="5324"/>
      <c r="K8" s="5324"/>
      <c r="L8" s="5324"/>
      <c r="M8" s="5325"/>
      <c r="N8" s="5315" t="str">
        <f>+I9&amp;" - "&amp; M9</f>
        <v>2027 г. - 2031 г.</v>
      </c>
      <c r="O8" s="5320" t="s">
        <v>1335</v>
      </c>
      <c r="P8" s="5321"/>
      <c r="Q8" s="5321"/>
      <c r="R8" s="5321"/>
      <c r="S8" s="5321"/>
      <c r="T8" s="5321"/>
      <c r="U8" s="5321"/>
      <c r="V8" s="5322"/>
      <c r="W8" s="5320" t="s">
        <v>1249</v>
      </c>
      <c r="X8" s="5321"/>
      <c r="Y8" s="5321"/>
      <c r="Z8" s="5321"/>
      <c r="AA8" s="5321"/>
      <c r="AB8" s="5321"/>
      <c r="AC8" s="5321"/>
      <c r="AD8" s="5322"/>
      <c r="AE8" s="5320" t="s">
        <v>1851</v>
      </c>
      <c r="AF8" s="5321"/>
      <c r="AG8" s="5321"/>
      <c r="AH8" s="5321"/>
      <c r="AI8" s="5321"/>
      <c r="AJ8" s="5321"/>
      <c r="AK8" s="5321"/>
      <c r="AL8" s="5322"/>
      <c r="AM8" s="5318" t="s">
        <v>1046</v>
      </c>
      <c r="AN8" s="5313" t="s">
        <v>1045</v>
      </c>
      <c r="AO8" s="5332" t="s">
        <v>675</v>
      </c>
      <c r="AP8" s="5333"/>
      <c r="AQ8" s="5333"/>
      <c r="AR8" s="5333"/>
      <c r="AS8" s="5333"/>
      <c r="AT8" s="5333"/>
      <c r="AU8" s="5333"/>
      <c r="AV8" s="5333"/>
      <c r="AW8" s="5334"/>
      <c r="AX8" s="5315" t="s">
        <v>352</v>
      </c>
      <c r="AY8" s="4775"/>
      <c r="AZ8" s="5337" t="s">
        <v>1887</v>
      </c>
      <c r="BA8" s="5337"/>
      <c r="BB8" s="5337"/>
      <c r="BC8" s="5337"/>
      <c r="BD8" s="5337"/>
      <c r="BE8" s="5337"/>
      <c r="BF8" s="5337"/>
      <c r="BG8" s="5337"/>
      <c r="BH8" s="5203" t="str">
        <f>+BC9&amp;" - "&amp; BG9</f>
        <v>2027 г. - 2031 г.</v>
      </c>
      <c r="BI8" s="5337" t="s">
        <v>1888</v>
      </c>
      <c r="BJ8" s="5337"/>
      <c r="BK8" s="5337"/>
      <c r="BL8" s="5337"/>
      <c r="BM8" s="5337"/>
      <c r="BN8" s="5337"/>
      <c r="BO8" s="5337"/>
      <c r="BP8" s="5337"/>
      <c r="BQ8" s="5337" t="s">
        <v>1889</v>
      </c>
      <c r="BR8" s="5337"/>
      <c r="BS8" s="5337"/>
      <c r="BT8" s="5337"/>
      <c r="BU8" s="5337"/>
      <c r="BV8" s="5337"/>
      <c r="BW8" s="5337"/>
      <c r="BX8" s="5337"/>
      <c r="BY8" s="5337" t="s">
        <v>1890</v>
      </c>
      <c r="BZ8" s="5337"/>
      <c r="CA8" s="5337"/>
      <c r="CB8" s="5337"/>
      <c r="CC8" s="5337"/>
      <c r="CD8" s="5337"/>
      <c r="CE8" s="5337"/>
      <c r="CF8" s="5337"/>
    </row>
    <row r="9" spans="1:84" ht="36.75" thickBot="1">
      <c r="A9" s="5331"/>
      <c r="B9" s="5316"/>
      <c r="C9" s="5316"/>
      <c r="D9" s="5316"/>
      <c r="E9" s="5316"/>
      <c r="F9" s="2190" t="str">
        <f>'Приложение '!$C12</f>
        <v>2024 г.</v>
      </c>
      <c r="G9" s="2190" t="str">
        <f>+'11. Амортиз. план'!E8</f>
        <v>2025 г.</v>
      </c>
      <c r="H9" s="2191" t="str">
        <f>'Приложение '!$C13</f>
        <v>2026 г.</v>
      </c>
      <c r="I9" s="2192" t="str">
        <f>'Приложение '!$C14</f>
        <v>2027 г.</v>
      </c>
      <c r="J9" s="2193" t="str">
        <f>'Приложение '!$C15</f>
        <v>2028 г.</v>
      </c>
      <c r="K9" s="2193" t="str">
        <f>'Приложение '!$C16</f>
        <v>2029 г.</v>
      </c>
      <c r="L9" s="2193" t="str">
        <f>'Приложение '!$C17</f>
        <v>2030 г.</v>
      </c>
      <c r="M9" s="2194" t="str">
        <f>'Приложение '!$C18</f>
        <v>2031 г.</v>
      </c>
      <c r="N9" s="5316"/>
      <c r="O9" s="2195" t="str">
        <f t="shared" ref="O9:V9" si="0">F9</f>
        <v>2024 г.</v>
      </c>
      <c r="P9" s="2195" t="str">
        <f t="shared" si="0"/>
        <v>2025 г.</v>
      </c>
      <c r="Q9" s="2196" t="str">
        <f t="shared" si="0"/>
        <v>2026 г.</v>
      </c>
      <c r="R9" s="2197" t="str">
        <f t="shared" si="0"/>
        <v>2027 г.</v>
      </c>
      <c r="S9" s="2198" t="str">
        <f t="shared" si="0"/>
        <v>2028 г.</v>
      </c>
      <c r="T9" s="2198" t="str">
        <f t="shared" si="0"/>
        <v>2029 г.</v>
      </c>
      <c r="U9" s="2198" t="str">
        <f t="shared" si="0"/>
        <v>2030 г.</v>
      </c>
      <c r="V9" s="2199" t="str">
        <f t="shared" si="0"/>
        <v>2031 г.</v>
      </c>
      <c r="W9" s="2200" t="str">
        <f t="shared" ref="W9:AD9" si="1">O9</f>
        <v>2024 г.</v>
      </c>
      <c r="X9" s="2200" t="str">
        <f t="shared" si="1"/>
        <v>2025 г.</v>
      </c>
      <c r="Y9" s="2196" t="str">
        <f t="shared" si="1"/>
        <v>2026 г.</v>
      </c>
      <c r="Z9" s="2197" t="str">
        <f t="shared" si="1"/>
        <v>2027 г.</v>
      </c>
      <c r="AA9" s="2198" t="str">
        <f t="shared" si="1"/>
        <v>2028 г.</v>
      </c>
      <c r="AB9" s="2198" t="str">
        <f t="shared" si="1"/>
        <v>2029 г.</v>
      </c>
      <c r="AC9" s="2198" t="str">
        <f t="shared" si="1"/>
        <v>2030 г.</v>
      </c>
      <c r="AD9" s="2199" t="str">
        <f t="shared" si="1"/>
        <v>2031 г.</v>
      </c>
      <c r="AE9" s="2200" t="str">
        <f t="shared" ref="AE9:AJ9" si="2">O9</f>
        <v>2024 г.</v>
      </c>
      <c r="AF9" s="2200" t="str">
        <f t="shared" si="2"/>
        <v>2025 г.</v>
      </c>
      <c r="AG9" s="2196" t="str">
        <f t="shared" si="2"/>
        <v>2026 г.</v>
      </c>
      <c r="AH9" s="2197" t="str">
        <f t="shared" si="2"/>
        <v>2027 г.</v>
      </c>
      <c r="AI9" s="2198" t="str">
        <f t="shared" si="2"/>
        <v>2028 г.</v>
      </c>
      <c r="AJ9" s="2198" t="str">
        <f t="shared" si="2"/>
        <v>2029 г.</v>
      </c>
      <c r="AK9" s="2198" t="str">
        <f t="shared" ref="AK9" si="3">U9</f>
        <v>2030 г.</v>
      </c>
      <c r="AL9" s="2199" t="str">
        <f t="shared" ref="AL9" si="4">AD9</f>
        <v>2031 г.</v>
      </c>
      <c r="AM9" s="5319"/>
      <c r="AN9" s="5314"/>
      <c r="AO9" s="2201" t="s">
        <v>746</v>
      </c>
      <c r="AP9" s="2202" t="str">
        <f t="shared" ref="AP9:AW9" si="5">F9</f>
        <v>2024 г.</v>
      </c>
      <c r="AQ9" s="4410" t="str">
        <f t="shared" si="5"/>
        <v>2025 г.</v>
      </c>
      <c r="AR9" s="4409" t="str">
        <f t="shared" si="5"/>
        <v>2026 г.</v>
      </c>
      <c r="AS9" s="2203" t="str">
        <f t="shared" si="5"/>
        <v>2027 г.</v>
      </c>
      <c r="AT9" s="2203" t="str">
        <f t="shared" si="5"/>
        <v>2028 г.</v>
      </c>
      <c r="AU9" s="2203" t="str">
        <f t="shared" si="5"/>
        <v>2029 г.</v>
      </c>
      <c r="AV9" s="2203" t="str">
        <f t="shared" si="5"/>
        <v>2030 г.</v>
      </c>
      <c r="AW9" s="2204" t="str">
        <f t="shared" si="5"/>
        <v>2031 г.</v>
      </c>
      <c r="AX9" s="5316"/>
      <c r="AY9" s="4775"/>
      <c r="AZ9" s="4797" t="str">
        <f>+F9</f>
        <v>2024 г.</v>
      </c>
      <c r="BA9" s="4797" t="str">
        <f t="shared" ref="BA9:BG9" si="6">+G9</f>
        <v>2025 г.</v>
      </c>
      <c r="BB9" s="4797" t="str">
        <f t="shared" si="6"/>
        <v>2026 г.</v>
      </c>
      <c r="BC9" s="4797" t="str">
        <f t="shared" si="6"/>
        <v>2027 г.</v>
      </c>
      <c r="BD9" s="4797" t="str">
        <f t="shared" si="6"/>
        <v>2028 г.</v>
      </c>
      <c r="BE9" s="4797" t="str">
        <f t="shared" si="6"/>
        <v>2029 г.</v>
      </c>
      <c r="BF9" s="4797" t="str">
        <f t="shared" si="6"/>
        <v>2030 г.</v>
      </c>
      <c r="BG9" s="4797" t="str">
        <f t="shared" si="6"/>
        <v>2031 г.</v>
      </c>
      <c r="BH9" s="5203"/>
      <c r="BI9" s="4797" t="str">
        <f t="shared" ref="BI9" si="7">AZ9</f>
        <v>2024 г.</v>
      </c>
      <c r="BJ9" s="4797" t="str">
        <f t="shared" ref="BJ9" si="8">BA9</f>
        <v>2025 г.</v>
      </c>
      <c r="BK9" s="4797" t="str">
        <f t="shared" ref="BK9" si="9">BB9</f>
        <v>2026 г.</v>
      </c>
      <c r="BL9" s="4797" t="str">
        <f t="shared" ref="BL9" si="10">BC9</f>
        <v>2027 г.</v>
      </c>
      <c r="BM9" s="4797" t="str">
        <f t="shared" ref="BM9" si="11">BD9</f>
        <v>2028 г.</v>
      </c>
      <c r="BN9" s="4797" t="str">
        <f t="shared" ref="BN9" si="12">BE9</f>
        <v>2029 г.</v>
      </c>
      <c r="BO9" s="4797" t="str">
        <f t="shared" ref="BO9" si="13">BF9</f>
        <v>2030 г.</v>
      </c>
      <c r="BP9" s="4797" t="str">
        <f t="shared" ref="BP9" si="14">BG9</f>
        <v>2031 г.</v>
      </c>
      <c r="BQ9" s="4797" t="str">
        <f t="shared" ref="BQ9" si="15">BI9</f>
        <v>2024 г.</v>
      </c>
      <c r="BR9" s="4797" t="str">
        <f t="shared" ref="BR9" si="16">BJ9</f>
        <v>2025 г.</v>
      </c>
      <c r="BS9" s="4797" t="str">
        <f t="shared" ref="BS9" si="17">BK9</f>
        <v>2026 г.</v>
      </c>
      <c r="BT9" s="4797" t="str">
        <f t="shared" ref="BT9" si="18">BL9</f>
        <v>2027 г.</v>
      </c>
      <c r="BU9" s="4797" t="str">
        <f t="shared" ref="BU9" si="19">BM9</f>
        <v>2028 г.</v>
      </c>
      <c r="BV9" s="4797" t="str">
        <f t="shared" ref="BV9" si="20">BN9</f>
        <v>2029 г.</v>
      </c>
      <c r="BW9" s="4797" t="str">
        <f t="shared" ref="BW9" si="21">BO9</f>
        <v>2030 г.</v>
      </c>
      <c r="BX9" s="4797" t="str">
        <f t="shared" ref="BX9" si="22">BP9</f>
        <v>2031 г.</v>
      </c>
      <c r="BY9" s="4797" t="str">
        <f t="shared" ref="BY9" si="23">BI9</f>
        <v>2024 г.</v>
      </c>
      <c r="BZ9" s="4797" t="str">
        <f t="shared" ref="BZ9" si="24">BJ9</f>
        <v>2025 г.</v>
      </c>
      <c r="CA9" s="4797" t="str">
        <f t="shared" ref="CA9" si="25">BK9</f>
        <v>2026 г.</v>
      </c>
      <c r="CB9" s="4797" t="str">
        <f t="shared" ref="CB9" si="26">BL9</f>
        <v>2027 г.</v>
      </c>
      <c r="CC9" s="4797" t="str">
        <f t="shared" ref="CC9" si="27">BM9</f>
        <v>2028 г.</v>
      </c>
      <c r="CD9" s="4797" t="str">
        <f t="shared" ref="CD9" si="28">BN9</f>
        <v>2029 г.</v>
      </c>
      <c r="CE9" s="4797" t="str">
        <f t="shared" ref="CE9" si="29">BO9</f>
        <v>2030 г.</v>
      </c>
      <c r="CF9" s="4797" t="str">
        <f t="shared" ref="CF9" si="30">BX9</f>
        <v>2031 г.</v>
      </c>
    </row>
    <row r="10" spans="1:84" ht="16.5" thickBot="1">
      <c r="A10" s="5327" t="s">
        <v>1113</v>
      </c>
      <c r="B10" s="5328"/>
      <c r="C10" s="5328"/>
      <c r="D10" s="5328"/>
      <c r="E10" s="5328"/>
      <c r="F10" s="5328"/>
      <c r="G10" s="5328"/>
      <c r="H10" s="5328"/>
      <c r="I10" s="5328"/>
      <c r="J10" s="5328"/>
      <c r="K10" s="5328"/>
      <c r="L10" s="5328"/>
      <c r="M10" s="5328"/>
      <c r="N10" s="5328"/>
      <c r="O10" s="5328"/>
      <c r="P10" s="5328"/>
      <c r="Q10" s="5328"/>
      <c r="R10" s="5328"/>
      <c r="S10" s="5328"/>
      <c r="T10" s="5328"/>
      <c r="U10" s="5328"/>
      <c r="V10" s="5328"/>
      <c r="W10" s="5328"/>
      <c r="X10" s="5328"/>
      <c r="Y10" s="5328"/>
      <c r="Z10" s="5328"/>
      <c r="AA10" s="5328"/>
      <c r="AB10" s="5328"/>
      <c r="AC10" s="5328"/>
      <c r="AD10" s="5328"/>
      <c r="AE10" s="5328"/>
      <c r="AF10" s="5328"/>
      <c r="AG10" s="5328"/>
      <c r="AH10" s="5328"/>
      <c r="AI10" s="5328"/>
      <c r="AJ10" s="5328"/>
      <c r="AK10" s="5328"/>
      <c r="AL10" s="5328"/>
      <c r="AM10" s="5328"/>
      <c r="AN10" s="5328"/>
      <c r="AO10" s="5328"/>
      <c r="AP10" s="5328"/>
      <c r="AQ10" s="5328"/>
      <c r="AR10" s="5328"/>
      <c r="AS10" s="5328"/>
      <c r="AT10" s="5328"/>
      <c r="AU10" s="5328"/>
      <c r="AV10" s="5328"/>
      <c r="AW10" s="5328"/>
      <c r="AX10" s="5329"/>
      <c r="AY10" s="4775"/>
    </row>
    <row r="11" spans="1:84" ht="24.75" thickBot="1">
      <c r="A11" s="2205">
        <v>1.1000000000000001</v>
      </c>
      <c r="B11" s="2205"/>
      <c r="C11" s="2205"/>
      <c r="D11" s="2206"/>
      <c r="E11" s="2207" t="s">
        <v>207</v>
      </c>
      <c r="F11" s="2208">
        <f>SUM(F12:F35)</f>
        <v>6923</v>
      </c>
      <c r="G11" s="4374">
        <f>SUM(G12:G35)</f>
        <v>8811</v>
      </c>
      <c r="H11" s="2209">
        <f t="shared" ref="H11:AL11" si="31">SUM(H12:H35)</f>
        <v>4737</v>
      </c>
      <c r="I11" s="2210">
        <f t="shared" si="31"/>
        <v>3652</v>
      </c>
      <c r="J11" s="2211">
        <f t="shared" si="31"/>
        <v>3030</v>
      </c>
      <c r="K11" s="2211">
        <f t="shared" si="31"/>
        <v>3065</v>
      </c>
      <c r="L11" s="2211">
        <f t="shared" si="31"/>
        <v>3290</v>
      </c>
      <c r="M11" s="2212">
        <f t="shared" si="31"/>
        <v>3025</v>
      </c>
      <c r="N11" s="2213">
        <f t="shared" si="31"/>
        <v>16062</v>
      </c>
      <c r="O11" s="2214">
        <f t="shared" ref="O11" si="32">SUM(O12:O35)</f>
        <v>5670</v>
      </c>
      <c r="P11" s="4390">
        <f t="shared" si="31"/>
        <v>8378</v>
      </c>
      <c r="Q11" s="2215">
        <f t="shared" si="31"/>
        <v>4737</v>
      </c>
      <c r="R11" s="2216">
        <f t="shared" si="31"/>
        <v>3652</v>
      </c>
      <c r="S11" s="2217">
        <f t="shared" si="31"/>
        <v>3030</v>
      </c>
      <c r="T11" s="2217">
        <f t="shared" si="31"/>
        <v>3065</v>
      </c>
      <c r="U11" s="2217">
        <f t="shared" si="31"/>
        <v>3290</v>
      </c>
      <c r="V11" s="2218">
        <f t="shared" si="31"/>
        <v>3025</v>
      </c>
      <c r="W11" s="2214">
        <f t="shared" ref="W11" si="33">SUM(W12:W35)</f>
        <v>1253</v>
      </c>
      <c r="X11" s="4390">
        <f t="shared" si="31"/>
        <v>433</v>
      </c>
      <c r="Y11" s="2215">
        <f t="shared" si="31"/>
        <v>0</v>
      </c>
      <c r="Z11" s="2216">
        <f t="shared" si="31"/>
        <v>0</v>
      </c>
      <c r="AA11" s="2217">
        <f t="shared" si="31"/>
        <v>0</v>
      </c>
      <c r="AB11" s="2217">
        <f t="shared" si="31"/>
        <v>0</v>
      </c>
      <c r="AC11" s="2217">
        <f t="shared" si="31"/>
        <v>0</v>
      </c>
      <c r="AD11" s="2218">
        <f t="shared" si="31"/>
        <v>0</v>
      </c>
      <c r="AE11" s="2214">
        <f t="shared" ref="AE11" si="34">SUM(AE12:AE35)</f>
        <v>0</v>
      </c>
      <c r="AF11" s="4390">
        <f t="shared" si="31"/>
        <v>0</v>
      </c>
      <c r="AG11" s="2215">
        <f t="shared" si="31"/>
        <v>0</v>
      </c>
      <c r="AH11" s="2216">
        <f t="shared" si="31"/>
        <v>0</v>
      </c>
      <c r="AI11" s="2217">
        <f t="shared" si="31"/>
        <v>0</v>
      </c>
      <c r="AJ11" s="2217">
        <f t="shared" si="31"/>
        <v>0</v>
      </c>
      <c r="AK11" s="2217">
        <f t="shared" si="31"/>
        <v>0</v>
      </c>
      <c r="AL11" s="2219">
        <f t="shared" si="31"/>
        <v>0</v>
      </c>
      <c r="AM11" s="2220"/>
      <c r="AN11" s="2221"/>
      <c r="AO11" s="2222"/>
      <c r="AP11" s="2220"/>
      <c r="AQ11" s="2220"/>
      <c r="AR11" s="2223"/>
      <c r="AS11" s="2223"/>
      <c r="AT11" s="2223"/>
      <c r="AU11" s="2223"/>
      <c r="AV11" s="2223"/>
      <c r="AW11" s="2224"/>
      <c r="AX11" s="2225"/>
      <c r="AY11" s="4775"/>
      <c r="AZ11" s="4794">
        <f>IFERROR(F11/$E$1,0)</f>
        <v>3539.6736935214208</v>
      </c>
      <c r="BA11" s="4794">
        <f t="shared" ref="BA11:CE11" si="35">IFERROR(G11/$E$1,0)</f>
        <v>4504.9927652198812</v>
      </c>
      <c r="BB11" s="4794">
        <f t="shared" si="35"/>
        <v>2421.989641226487</v>
      </c>
      <c r="BC11" s="4794">
        <f t="shared" si="35"/>
        <v>1867.23795012859</v>
      </c>
      <c r="BD11" s="4794">
        <f t="shared" si="35"/>
        <v>1549.2144000245421</v>
      </c>
      <c r="BE11" s="4794">
        <f t="shared" si="35"/>
        <v>1567.1096158664097</v>
      </c>
      <c r="BF11" s="4794">
        <f t="shared" si="35"/>
        <v>1682.1502891355588</v>
      </c>
      <c r="BG11" s="4794">
        <f t="shared" si="35"/>
        <v>1546.657940618561</v>
      </c>
      <c r="BH11" s="4794">
        <f t="shared" si="35"/>
        <v>8212.3701957736612</v>
      </c>
      <c r="BI11" s="4794">
        <f t="shared" si="35"/>
        <v>2899.0249663825589</v>
      </c>
      <c r="BJ11" s="4794">
        <f t="shared" si="35"/>
        <v>4283.6033806619189</v>
      </c>
      <c r="BK11" s="4794">
        <f t="shared" si="35"/>
        <v>2421.989641226487</v>
      </c>
      <c r="BL11" s="4794">
        <f t="shared" si="35"/>
        <v>1867.23795012859</v>
      </c>
      <c r="BM11" s="4794">
        <f t="shared" si="35"/>
        <v>1549.2144000245421</v>
      </c>
      <c r="BN11" s="4794">
        <f t="shared" si="35"/>
        <v>1567.1096158664097</v>
      </c>
      <c r="BO11" s="4794">
        <f t="shared" si="35"/>
        <v>1682.1502891355588</v>
      </c>
      <c r="BP11" s="4794">
        <f t="shared" si="35"/>
        <v>1546.657940618561</v>
      </c>
      <c r="BQ11" s="4794">
        <f t="shared" si="35"/>
        <v>640.64872713886177</v>
      </c>
      <c r="BR11" s="4794">
        <f t="shared" si="35"/>
        <v>221.38938455796261</v>
      </c>
      <c r="BS11" s="4794">
        <f t="shared" si="35"/>
        <v>0</v>
      </c>
      <c r="BT11" s="4794">
        <f t="shared" si="35"/>
        <v>0</v>
      </c>
      <c r="BU11" s="4794">
        <f t="shared" si="35"/>
        <v>0</v>
      </c>
      <c r="BV11" s="4794">
        <f t="shared" si="35"/>
        <v>0</v>
      </c>
      <c r="BW11" s="4794">
        <f t="shared" si="35"/>
        <v>0</v>
      </c>
      <c r="BX11" s="4794">
        <f t="shared" si="35"/>
        <v>0</v>
      </c>
      <c r="BY11" s="4794">
        <f t="shared" si="35"/>
        <v>0</v>
      </c>
      <c r="BZ11" s="4794">
        <f t="shared" si="35"/>
        <v>0</v>
      </c>
      <c r="CA11" s="4794">
        <f t="shared" si="35"/>
        <v>0</v>
      </c>
      <c r="CB11" s="4794">
        <f t="shared" si="35"/>
        <v>0</v>
      </c>
      <c r="CC11" s="4794">
        <f t="shared" si="35"/>
        <v>0</v>
      </c>
      <c r="CD11" s="4794">
        <f t="shared" si="35"/>
        <v>0</v>
      </c>
      <c r="CE11" s="4794">
        <f t="shared" si="35"/>
        <v>0</v>
      </c>
      <c r="CF11" s="4794">
        <f>IFERROR(AL11/$E$1,0)</f>
        <v>0</v>
      </c>
    </row>
    <row r="12" spans="1:84">
      <c r="A12" s="2226"/>
      <c r="B12" s="2227">
        <v>2040201</v>
      </c>
      <c r="C12" s="2227" t="s">
        <v>1794</v>
      </c>
      <c r="D12" s="2228">
        <v>0.02</v>
      </c>
      <c r="E12" s="2229" t="s">
        <v>738</v>
      </c>
      <c r="F12" s="4378">
        <f t="shared" ref="F12:F35" si="36">O12+W12+AE12</f>
        <v>0</v>
      </c>
      <c r="G12" s="4375">
        <f t="shared" ref="G12:G35" si="37">P12+X12+AF12</f>
        <v>0</v>
      </c>
      <c r="H12" s="2230">
        <f t="shared" ref="H12:H35" si="38">Q12+Y12+AG12</f>
        <v>0</v>
      </c>
      <c r="I12" s="2231">
        <f t="shared" ref="I12:I35" si="39">R12+Z12+AH12</f>
        <v>0</v>
      </c>
      <c r="J12" s="2232">
        <f t="shared" ref="J12:J35" si="40">S12+AA12+AI12</f>
        <v>0</v>
      </c>
      <c r="K12" s="2232">
        <f t="shared" ref="K12:K35" si="41">T12+AB12+AJ12</f>
        <v>0</v>
      </c>
      <c r="L12" s="2232">
        <f t="shared" ref="L12:L35" si="42">U12+AC12+AK12</f>
        <v>0</v>
      </c>
      <c r="M12" s="2233">
        <f t="shared" ref="M12:M35" si="43">V12+AD12+AL12</f>
        <v>0</v>
      </c>
      <c r="N12" s="2234">
        <f>SUM(I12:M12)</f>
        <v>0</v>
      </c>
      <c r="O12" s="1297"/>
      <c r="P12" s="1299"/>
      <c r="Q12" s="1298"/>
      <c r="R12" s="1299"/>
      <c r="S12" s="1300"/>
      <c r="T12" s="1300"/>
      <c r="U12" s="1300"/>
      <c r="V12" s="1300"/>
      <c r="W12" s="1297"/>
      <c r="X12" s="1299"/>
      <c r="Y12" s="1298"/>
      <c r="Z12" s="1299"/>
      <c r="AA12" s="1300"/>
      <c r="AB12" s="1300"/>
      <c r="AC12" s="1300"/>
      <c r="AD12" s="1300"/>
      <c r="AE12" s="1297"/>
      <c r="AF12" s="1299"/>
      <c r="AG12" s="1298"/>
      <c r="AH12" s="1299"/>
      <c r="AI12" s="1300"/>
      <c r="AJ12" s="1300"/>
      <c r="AK12" s="1300"/>
      <c r="AL12" s="1301"/>
      <c r="AM12" s="1302"/>
      <c r="AN12" s="1303"/>
      <c r="AO12" s="2235" t="s">
        <v>676</v>
      </c>
      <c r="AP12" s="1299"/>
      <c r="AQ12" s="1299"/>
      <c r="AR12" s="1298"/>
      <c r="AS12" s="1299"/>
      <c r="AT12" s="1300"/>
      <c r="AU12" s="1300"/>
      <c r="AV12" s="1300"/>
      <c r="AW12" s="1298"/>
      <c r="AX12" s="2236" t="s">
        <v>354</v>
      </c>
      <c r="AY12" s="4775"/>
      <c r="AZ12" s="4794">
        <f t="shared" ref="AZ12:AZ75" si="44">IFERROR(F12/$E$1,0)</f>
        <v>0</v>
      </c>
      <c r="BA12" s="4794">
        <f t="shared" ref="BA12:BA75" si="45">IFERROR(G12/$E$1,0)</f>
        <v>0</v>
      </c>
      <c r="BB12" s="4794">
        <f t="shared" ref="BB12:BB75" si="46">IFERROR(H12/$E$1,0)</f>
        <v>0</v>
      </c>
      <c r="BC12" s="4794">
        <f t="shared" ref="BC12:BC75" si="47">IFERROR(I12/$E$1,0)</f>
        <v>0</v>
      </c>
      <c r="BD12" s="4794">
        <f t="shared" ref="BD12:BD75" si="48">IFERROR(J12/$E$1,0)</f>
        <v>0</v>
      </c>
      <c r="BE12" s="4794">
        <f t="shared" ref="BE12:BE75" si="49">IFERROR(K12/$E$1,0)</f>
        <v>0</v>
      </c>
      <c r="BF12" s="4794">
        <f t="shared" ref="BF12:BF75" si="50">IFERROR(L12/$E$1,0)</f>
        <v>0</v>
      </c>
      <c r="BG12" s="4794">
        <f t="shared" ref="BG12:BG75" si="51">IFERROR(M12/$E$1,0)</f>
        <v>0</v>
      </c>
      <c r="BH12" s="4794">
        <f t="shared" ref="BH12:BH75" si="52">IFERROR(N12/$E$1,0)</f>
        <v>0</v>
      </c>
      <c r="BI12" s="4794">
        <f t="shared" ref="BI12:BI75" si="53">IFERROR(O12/$E$1,0)</f>
        <v>0</v>
      </c>
      <c r="BJ12" s="4794">
        <f t="shared" ref="BJ12:BJ75" si="54">IFERROR(P12/$E$1,0)</f>
        <v>0</v>
      </c>
      <c r="BK12" s="4794">
        <f t="shared" ref="BK12:BK75" si="55">IFERROR(Q12/$E$1,0)</f>
        <v>0</v>
      </c>
      <c r="BL12" s="4794">
        <f t="shared" ref="BL12:BL75" si="56">IFERROR(R12/$E$1,0)</f>
        <v>0</v>
      </c>
      <c r="BM12" s="4794">
        <f t="shared" ref="BM12:BM75" si="57">IFERROR(S12/$E$1,0)</f>
        <v>0</v>
      </c>
      <c r="BN12" s="4794">
        <f t="shared" ref="BN12:BN75" si="58">IFERROR(T12/$E$1,0)</f>
        <v>0</v>
      </c>
      <c r="BO12" s="4794">
        <f t="shared" ref="BO12:BO75" si="59">IFERROR(U12/$E$1,0)</f>
        <v>0</v>
      </c>
      <c r="BP12" s="4794">
        <f t="shared" ref="BP12:BP75" si="60">IFERROR(V12/$E$1,0)</f>
        <v>0</v>
      </c>
      <c r="BQ12" s="4794">
        <f t="shared" ref="BQ12:BQ75" si="61">IFERROR(W12/$E$1,0)</f>
        <v>0</v>
      </c>
      <c r="BR12" s="4794">
        <f t="shared" ref="BR12:BR75" si="62">IFERROR(X12/$E$1,0)</f>
        <v>0</v>
      </c>
      <c r="BS12" s="4794">
        <f t="shared" ref="BS12:BS75" si="63">IFERROR(Y12/$E$1,0)</f>
        <v>0</v>
      </c>
      <c r="BT12" s="4794">
        <f t="shared" ref="BT12:BT75" si="64">IFERROR(Z12/$E$1,0)</f>
        <v>0</v>
      </c>
      <c r="BU12" s="4794">
        <f t="shared" ref="BU12:BU75" si="65">IFERROR(AA12/$E$1,0)</f>
        <v>0</v>
      </c>
      <c r="BV12" s="4794">
        <f t="shared" ref="BV12:BV75" si="66">IFERROR(AB12/$E$1,0)</f>
        <v>0</v>
      </c>
      <c r="BW12" s="4794">
        <f t="shared" ref="BW12:BW75" si="67">IFERROR(AC12/$E$1,0)</f>
        <v>0</v>
      </c>
      <c r="BX12" s="4794">
        <f t="shared" ref="BX12:BX75" si="68">IFERROR(AD12/$E$1,0)</f>
        <v>0</v>
      </c>
      <c r="BY12" s="4794">
        <f t="shared" ref="BY12:BY75" si="69">IFERROR(AE12/$E$1,0)</f>
        <v>0</v>
      </c>
      <c r="BZ12" s="4794">
        <f t="shared" ref="BZ12:BZ75" si="70">IFERROR(AF12/$E$1,0)</f>
        <v>0</v>
      </c>
      <c r="CA12" s="4794">
        <f t="shared" ref="CA12:CA75" si="71">IFERROR(AG12/$E$1,0)</f>
        <v>0</v>
      </c>
      <c r="CB12" s="4794">
        <f t="shared" ref="CB12:CB75" si="72">IFERROR(AH12/$E$1,0)</f>
        <v>0</v>
      </c>
      <c r="CC12" s="4794">
        <f t="shared" ref="CC12:CC75" si="73">IFERROR(AI12/$E$1,0)</f>
        <v>0</v>
      </c>
      <c r="CD12" s="4794">
        <f t="shared" ref="CD12:CD75" si="74">IFERROR(AJ12/$E$1,0)</f>
        <v>0</v>
      </c>
      <c r="CE12" s="4794">
        <f t="shared" ref="CE12:CE75" si="75">IFERROR(AK12/$E$1,0)</f>
        <v>0</v>
      </c>
      <c r="CF12" s="4794">
        <f t="shared" ref="CF12:CF75" si="76">IFERROR(AL12/$E$1,0)</f>
        <v>0</v>
      </c>
    </row>
    <row r="13" spans="1:84">
      <c r="A13" s="2237"/>
      <c r="B13" s="2238">
        <v>2040202</v>
      </c>
      <c r="C13" s="2238" t="s">
        <v>1795</v>
      </c>
      <c r="D13" s="2239">
        <v>0.02</v>
      </c>
      <c r="E13" s="2240" t="s">
        <v>741</v>
      </c>
      <c r="F13" s="2242">
        <f t="shared" si="36"/>
        <v>144</v>
      </c>
      <c r="G13" s="4376">
        <f t="shared" si="37"/>
        <v>0</v>
      </c>
      <c r="H13" s="2241">
        <f t="shared" si="38"/>
        <v>100</v>
      </c>
      <c r="I13" s="2242">
        <f t="shared" si="39"/>
        <v>50</v>
      </c>
      <c r="J13" s="2243">
        <f t="shared" si="40"/>
        <v>30</v>
      </c>
      <c r="K13" s="2243">
        <f t="shared" si="41"/>
        <v>30</v>
      </c>
      <c r="L13" s="2243">
        <f t="shared" si="42"/>
        <v>30</v>
      </c>
      <c r="M13" s="2244">
        <f t="shared" si="43"/>
        <v>30</v>
      </c>
      <c r="N13" s="2245">
        <f t="shared" ref="N13:N70" si="77">SUM(I13:M13)</f>
        <v>170</v>
      </c>
      <c r="O13" s="1304">
        <v>144</v>
      </c>
      <c r="P13" s="1306"/>
      <c r="Q13" s="1305">
        <v>100</v>
      </c>
      <c r="R13" s="1306">
        <v>50</v>
      </c>
      <c r="S13" s="1307">
        <v>30</v>
      </c>
      <c r="T13" s="1307">
        <v>30</v>
      </c>
      <c r="U13" s="1307">
        <v>30</v>
      </c>
      <c r="V13" s="1307">
        <v>30</v>
      </c>
      <c r="W13" s="1304"/>
      <c r="X13" s="1306"/>
      <c r="Y13" s="1305"/>
      <c r="Z13" s="1306"/>
      <c r="AA13" s="1307"/>
      <c r="AB13" s="1307"/>
      <c r="AC13" s="1307"/>
      <c r="AD13" s="1307"/>
      <c r="AE13" s="1304"/>
      <c r="AF13" s="1306"/>
      <c r="AG13" s="1305"/>
      <c r="AH13" s="1306"/>
      <c r="AI13" s="1307"/>
      <c r="AJ13" s="1307"/>
      <c r="AK13" s="1307"/>
      <c r="AL13" s="1308"/>
      <c r="AM13" s="1309"/>
      <c r="AN13" s="1310"/>
      <c r="AO13" s="2246" t="s">
        <v>676</v>
      </c>
      <c r="AP13" s="1306"/>
      <c r="AQ13" s="1306"/>
      <c r="AR13" s="1305"/>
      <c r="AS13" s="1306"/>
      <c r="AT13" s="1307"/>
      <c r="AU13" s="1307"/>
      <c r="AV13" s="1307"/>
      <c r="AW13" s="1305"/>
      <c r="AX13" s="2247" t="s">
        <v>354</v>
      </c>
      <c r="AY13" s="4775"/>
      <c r="AZ13" s="4794">
        <f t="shared" si="44"/>
        <v>73.626030892255457</v>
      </c>
      <c r="BA13" s="4794">
        <f t="shared" si="45"/>
        <v>0</v>
      </c>
      <c r="BB13" s="4794">
        <f t="shared" si="46"/>
        <v>51.129188119621851</v>
      </c>
      <c r="BC13" s="4794">
        <f t="shared" si="47"/>
        <v>25.564594059810926</v>
      </c>
      <c r="BD13" s="4794">
        <f t="shared" si="48"/>
        <v>15.338756435886555</v>
      </c>
      <c r="BE13" s="4794">
        <f t="shared" si="49"/>
        <v>15.338756435886555</v>
      </c>
      <c r="BF13" s="4794">
        <f t="shared" si="50"/>
        <v>15.338756435886555</v>
      </c>
      <c r="BG13" s="4794">
        <f t="shared" si="51"/>
        <v>15.338756435886555</v>
      </c>
      <c r="BH13" s="4794">
        <f t="shared" si="52"/>
        <v>86.919619803357151</v>
      </c>
      <c r="BI13" s="4794">
        <f t="shared" si="53"/>
        <v>73.626030892255457</v>
      </c>
      <c r="BJ13" s="4794">
        <f t="shared" si="54"/>
        <v>0</v>
      </c>
      <c r="BK13" s="4794">
        <f t="shared" si="55"/>
        <v>51.129188119621851</v>
      </c>
      <c r="BL13" s="4794">
        <f t="shared" si="56"/>
        <v>25.564594059810926</v>
      </c>
      <c r="BM13" s="4794">
        <f t="shared" si="57"/>
        <v>15.338756435886555</v>
      </c>
      <c r="BN13" s="4794">
        <f t="shared" si="58"/>
        <v>15.338756435886555</v>
      </c>
      <c r="BO13" s="4794">
        <f t="shared" si="59"/>
        <v>15.338756435886555</v>
      </c>
      <c r="BP13" s="4794">
        <f t="shared" si="60"/>
        <v>15.338756435886555</v>
      </c>
      <c r="BQ13" s="4794">
        <f t="shared" si="61"/>
        <v>0</v>
      </c>
      <c r="BR13" s="4794">
        <f t="shared" si="62"/>
        <v>0</v>
      </c>
      <c r="BS13" s="4794">
        <f t="shared" si="63"/>
        <v>0</v>
      </c>
      <c r="BT13" s="4794">
        <f t="shared" si="64"/>
        <v>0</v>
      </c>
      <c r="BU13" s="4794">
        <f t="shared" si="65"/>
        <v>0</v>
      </c>
      <c r="BV13" s="4794">
        <f t="shared" si="66"/>
        <v>0</v>
      </c>
      <c r="BW13" s="4794">
        <f t="shared" si="67"/>
        <v>0</v>
      </c>
      <c r="BX13" s="4794">
        <f t="shared" si="68"/>
        <v>0</v>
      </c>
      <c r="BY13" s="4794">
        <f t="shared" si="69"/>
        <v>0</v>
      </c>
      <c r="BZ13" s="4794">
        <f t="shared" si="70"/>
        <v>0</v>
      </c>
      <c r="CA13" s="4794">
        <f t="shared" si="71"/>
        <v>0</v>
      </c>
      <c r="CB13" s="4794">
        <f t="shared" si="72"/>
        <v>0</v>
      </c>
      <c r="CC13" s="4794">
        <f t="shared" si="73"/>
        <v>0</v>
      </c>
      <c r="CD13" s="4794">
        <f t="shared" si="74"/>
        <v>0</v>
      </c>
      <c r="CE13" s="4794">
        <f t="shared" si="75"/>
        <v>0</v>
      </c>
      <c r="CF13" s="4794">
        <f t="shared" si="76"/>
        <v>0</v>
      </c>
    </row>
    <row r="14" spans="1:84">
      <c r="A14" s="2237"/>
      <c r="B14" s="2238">
        <v>2040204</v>
      </c>
      <c r="C14" s="2238" t="s">
        <v>1796</v>
      </c>
      <c r="D14" s="2239">
        <v>0.02</v>
      </c>
      <c r="E14" s="2240" t="s">
        <v>355</v>
      </c>
      <c r="F14" s="2242">
        <f t="shared" si="36"/>
        <v>0</v>
      </c>
      <c r="G14" s="4376">
        <f t="shared" si="37"/>
        <v>0</v>
      </c>
      <c r="H14" s="2241">
        <f t="shared" si="38"/>
        <v>0</v>
      </c>
      <c r="I14" s="2242">
        <f t="shared" si="39"/>
        <v>0</v>
      </c>
      <c r="J14" s="2243">
        <f t="shared" si="40"/>
        <v>0</v>
      </c>
      <c r="K14" s="2243">
        <f t="shared" si="41"/>
        <v>0</v>
      </c>
      <c r="L14" s="2243">
        <f t="shared" si="42"/>
        <v>0</v>
      </c>
      <c r="M14" s="2244">
        <f t="shared" si="43"/>
        <v>0</v>
      </c>
      <c r="N14" s="2245">
        <f>SUM(I14:M14)</f>
        <v>0</v>
      </c>
      <c r="O14" s="1304"/>
      <c r="P14" s="1306"/>
      <c r="Q14" s="1305"/>
      <c r="R14" s="1306"/>
      <c r="S14" s="1307"/>
      <c r="T14" s="1307"/>
      <c r="U14" s="1307"/>
      <c r="V14" s="1307"/>
      <c r="W14" s="1304"/>
      <c r="X14" s="1306"/>
      <c r="Y14" s="1305"/>
      <c r="Z14" s="1306"/>
      <c r="AA14" s="1307"/>
      <c r="AB14" s="1307"/>
      <c r="AC14" s="1307"/>
      <c r="AD14" s="1307"/>
      <c r="AE14" s="1304"/>
      <c r="AF14" s="1306"/>
      <c r="AG14" s="1305"/>
      <c r="AH14" s="1306"/>
      <c r="AI14" s="1307"/>
      <c r="AJ14" s="1307"/>
      <c r="AK14" s="1307"/>
      <c r="AL14" s="1308"/>
      <c r="AM14" s="1309"/>
      <c r="AN14" s="1310"/>
      <c r="AO14" s="2246" t="s">
        <v>676</v>
      </c>
      <c r="AP14" s="1306"/>
      <c r="AQ14" s="1306"/>
      <c r="AR14" s="1305"/>
      <c r="AS14" s="1306"/>
      <c r="AT14" s="1307"/>
      <c r="AU14" s="1307"/>
      <c r="AV14" s="1307"/>
      <c r="AW14" s="1305"/>
      <c r="AX14" s="2247" t="s">
        <v>354</v>
      </c>
      <c r="AY14" s="4775"/>
      <c r="AZ14" s="4794">
        <f t="shared" si="44"/>
        <v>0</v>
      </c>
      <c r="BA14" s="4794">
        <f t="shared" si="45"/>
        <v>0</v>
      </c>
      <c r="BB14" s="4794">
        <f t="shared" si="46"/>
        <v>0</v>
      </c>
      <c r="BC14" s="4794">
        <f t="shared" si="47"/>
        <v>0</v>
      </c>
      <c r="BD14" s="4794">
        <f t="shared" si="48"/>
        <v>0</v>
      </c>
      <c r="BE14" s="4794">
        <f t="shared" si="49"/>
        <v>0</v>
      </c>
      <c r="BF14" s="4794">
        <f t="shared" si="50"/>
        <v>0</v>
      </c>
      <c r="BG14" s="4794">
        <f t="shared" si="51"/>
        <v>0</v>
      </c>
      <c r="BH14" s="4794">
        <f t="shared" si="52"/>
        <v>0</v>
      </c>
      <c r="BI14" s="4794">
        <f t="shared" si="53"/>
        <v>0</v>
      </c>
      <c r="BJ14" s="4794">
        <f t="shared" si="54"/>
        <v>0</v>
      </c>
      <c r="BK14" s="4794">
        <f t="shared" si="55"/>
        <v>0</v>
      </c>
      <c r="BL14" s="4794">
        <f t="shared" si="56"/>
        <v>0</v>
      </c>
      <c r="BM14" s="4794">
        <f t="shared" si="57"/>
        <v>0</v>
      </c>
      <c r="BN14" s="4794">
        <f t="shared" si="58"/>
        <v>0</v>
      </c>
      <c r="BO14" s="4794">
        <f t="shared" si="59"/>
        <v>0</v>
      </c>
      <c r="BP14" s="4794">
        <f t="shared" si="60"/>
        <v>0</v>
      </c>
      <c r="BQ14" s="4794">
        <f t="shared" si="61"/>
        <v>0</v>
      </c>
      <c r="BR14" s="4794">
        <f t="shared" si="62"/>
        <v>0</v>
      </c>
      <c r="BS14" s="4794">
        <f t="shared" si="63"/>
        <v>0</v>
      </c>
      <c r="BT14" s="4794">
        <f t="shared" si="64"/>
        <v>0</v>
      </c>
      <c r="BU14" s="4794">
        <f t="shared" si="65"/>
        <v>0</v>
      </c>
      <c r="BV14" s="4794">
        <f t="shared" si="66"/>
        <v>0</v>
      </c>
      <c r="BW14" s="4794">
        <f t="shared" si="67"/>
        <v>0</v>
      </c>
      <c r="BX14" s="4794">
        <f t="shared" si="68"/>
        <v>0</v>
      </c>
      <c r="BY14" s="4794">
        <f t="shared" si="69"/>
        <v>0</v>
      </c>
      <c r="BZ14" s="4794">
        <f t="shared" si="70"/>
        <v>0</v>
      </c>
      <c r="CA14" s="4794">
        <f t="shared" si="71"/>
        <v>0</v>
      </c>
      <c r="CB14" s="4794">
        <f t="shared" si="72"/>
        <v>0</v>
      </c>
      <c r="CC14" s="4794">
        <f t="shared" si="73"/>
        <v>0</v>
      </c>
      <c r="CD14" s="4794">
        <f t="shared" si="74"/>
        <v>0</v>
      </c>
      <c r="CE14" s="4794">
        <f t="shared" si="75"/>
        <v>0</v>
      </c>
      <c r="CF14" s="4794">
        <f t="shared" si="76"/>
        <v>0</v>
      </c>
    </row>
    <row r="15" spans="1:84">
      <c r="A15" s="2237"/>
      <c r="B15" s="2238">
        <v>20202</v>
      </c>
      <c r="C15" s="2238" t="s">
        <v>1797</v>
      </c>
      <c r="D15" s="2248">
        <v>0.03</v>
      </c>
      <c r="E15" s="2240" t="s">
        <v>356</v>
      </c>
      <c r="F15" s="2242">
        <f t="shared" si="36"/>
        <v>4</v>
      </c>
      <c r="G15" s="4376">
        <f t="shared" si="37"/>
        <v>26</v>
      </c>
      <c r="H15" s="2241">
        <f t="shared" si="38"/>
        <v>15</v>
      </c>
      <c r="I15" s="2242">
        <f t="shared" si="39"/>
        <v>20</v>
      </c>
      <c r="J15" s="2243">
        <f t="shared" si="40"/>
        <v>20</v>
      </c>
      <c r="K15" s="2243">
        <f t="shared" si="41"/>
        <v>20</v>
      </c>
      <c r="L15" s="2243">
        <f t="shared" si="42"/>
        <v>20</v>
      </c>
      <c r="M15" s="2244">
        <f t="shared" si="43"/>
        <v>20</v>
      </c>
      <c r="N15" s="2245">
        <f t="shared" si="77"/>
        <v>100</v>
      </c>
      <c r="O15" s="1304">
        <v>4</v>
      </c>
      <c r="P15" s="1306">
        <v>26</v>
      </c>
      <c r="Q15" s="1305">
        <v>15</v>
      </c>
      <c r="R15" s="1306">
        <v>20</v>
      </c>
      <c r="S15" s="1307">
        <v>20</v>
      </c>
      <c r="T15" s="1307">
        <v>20</v>
      </c>
      <c r="U15" s="1307">
        <v>20</v>
      </c>
      <c r="V15" s="1307">
        <v>20</v>
      </c>
      <c r="W15" s="1304"/>
      <c r="X15" s="1306"/>
      <c r="Y15" s="1305"/>
      <c r="Z15" s="1306"/>
      <c r="AA15" s="1307"/>
      <c r="AB15" s="1307"/>
      <c r="AC15" s="1307"/>
      <c r="AD15" s="1307"/>
      <c r="AE15" s="1304"/>
      <c r="AF15" s="1306"/>
      <c r="AG15" s="1305"/>
      <c r="AH15" s="1306"/>
      <c r="AI15" s="1307"/>
      <c r="AJ15" s="1307"/>
      <c r="AK15" s="1307"/>
      <c r="AL15" s="1308"/>
      <c r="AM15" s="1309"/>
      <c r="AN15" s="1310"/>
      <c r="AO15" s="2246" t="s">
        <v>676</v>
      </c>
      <c r="AP15" s="1306"/>
      <c r="AQ15" s="1306"/>
      <c r="AR15" s="1305"/>
      <c r="AS15" s="1306"/>
      <c r="AT15" s="1307"/>
      <c r="AU15" s="1307"/>
      <c r="AV15" s="1307"/>
      <c r="AW15" s="1305"/>
      <c r="AX15" s="2247" t="s">
        <v>354</v>
      </c>
      <c r="AY15" s="4775"/>
      <c r="AZ15" s="4794">
        <f t="shared" si="44"/>
        <v>2.045167524784874</v>
      </c>
      <c r="BA15" s="4794">
        <f t="shared" si="45"/>
        <v>13.293588911101681</v>
      </c>
      <c r="BB15" s="4794">
        <f t="shared" si="46"/>
        <v>7.6693782179432777</v>
      </c>
      <c r="BC15" s="4794">
        <f t="shared" si="47"/>
        <v>10.22583762392437</v>
      </c>
      <c r="BD15" s="4794">
        <f t="shared" si="48"/>
        <v>10.22583762392437</v>
      </c>
      <c r="BE15" s="4794">
        <f t="shared" si="49"/>
        <v>10.22583762392437</v>
      </c>
      <c r="BF15" s="4794">
        <f t="shared" si="50"/>
        <v>10.22583762392437</v>
      </c>
      <c r="BG15" s="4794">
        <f t="shared" si="51"/>
        <v>10.22583762392437</v>
      </c>
      <c r="BH15" s="4794">
        <f t="shared" si="52"/>
        <v>51.129188119621851</v>
      </c>
      <c r="BI15" s="4794">
        <f t="shared" si="53"/>
        <v>2.045167524784874</v>
      </c>
      <c r="BJ15" s="4794">
        <f t="shared" si="54"/>
        <v>13.293588911101681</v>
      </c>
      <c r="BK15" s="4794">
        <f t="shared" si="55"/>
        <v>7.6693782179432777</v>
      </c>
      <c r="BL15" s="4794">
        <f t="shared" si="56"/>
        <v>10.22583762392437</v>
      </c>
      <c r="BM15" s="4794">
        <f t="shared" si="57"/>
        <v>10.22583762392437</v>
      </c>
      <c r="BN15" s="4794">
        <f t="shared" si="58"/>
        <v>10.22583762392437</v>
      </c>
      <c r="BO15" s="4794">
        <f t="shared" si="59"/>
        <v>10.22583762392437</v>
      </c>
      <c r="BP15" s="4794">
        <f t="shared" si="60"/>
        <v>10.22583762392437</v>
      </c>
      <c r="BQ15" s="4794">
        <f t="shared" si="61"/>
        <v>0</v>
      </c>
      <c r="BR15" s="4794">
        <f t="shared" si="62"/>
        <v>0</v>
      </c>
      <c r="BS15" s="4794">
        <f t="shared" si="63"/>
        <v>0</v>
      </c>
      <c r="BT15" s="4794">
        <f t="shared" si="64"/>
        <v>0</v>
      </c>
      <c r="BU15" s="4794">
        <f t="shared" si="65"/>
        <v>0</v>
      </c>
      <c r="BV15" s="4794">
        <f t="shared" si="66"/>
        <v>0</v>
      </c>
      <c r="BW15" s="4794">
        <f t="shared" si="67"/>
        <v>0</v>
      </c>
      <c r="BX15" s="4794">
        <f t="shared" si="68"/>
        <v>0</v>
      </c>
      <c r="BY15" s="4794">
        <f t="shared" si="69"/>
        <v>0</v>
      </c>
      <c r="BZ15" s="4794">
        <f t="shared" si="70"/>
        <v>0</v>
      </c>
      <c r="CA15" s="4794">
        <f t="shared" si="71"/>
        <v>0</v>
      </c>
      <c r="CB15" s="4794">
        <f t="shared" si="72"/>
        <v>0</v>
      </c>
      <c r="CC15" s="4794">
        <f t="shared" si="73"/>
        <v>0</v>
      </c>
      <c r="CD15" s="4794">
        <f t="shared" si="74"/>
        <v>0</v>
      </c>
      <c r="CE15" s="4794">
        <f t="shared" si="75"/>
        <v>0</v>
      </c>
      <c r="CF15" s="4794">
        <f t="shared" si="76"/>
        <v>0</v>
      </c>
    </row>
    <row r="16" spans="1:84">
      <c r="A16" s="2237"/>
      <c r="B16" s="2238">
        <v>2040205</v>
      </c>
      <c r="C16" s="2238" t="s">
        <v>1798</v>
      </c>
      <c r="D16" s="2239">
        <v>0.02</v>
      </c>
      <c r="E16" s="2240" t="s">
        <v>357</v>
      </c>
      <c r="F16" s="2242">
        <f t="shared" si="36"/>
        <v>1702</v>
      </c>
      <c r="G16" s="4376">
        <f t="shared" si="37"/>
        <v>2078</v>
      </c>
      <c r="H16" s="2241">
        <f t="shared" si="38"/>
        <v>500</v>
      </c>
      <c r="I16" s="2242">
        <f t="shared" si="39"/>
        <v>300</v>
      </c>
      <c r="J16" s="2243">
        <f t="shared" si="40"/>
        <v>100</v>
      </c>
      <c r="K16" s="2243">
        <f t="shared" si="41"/>
        <v>80</v>
      </c>
      <c r="L16" s="2243">
        <f t="shared" si="42"/>
        <v>100</v>
      </c>
      <c r="M16" s="2244">
        <f t="shared" si="43"/>
        <v>100</v>
      </c>
      <c r="N16" s="2245">
        <f t="shared" si="77"/>
        <v>680</v>
      </c>
      <c r="O16" s="1304">
        <v>449</v>
      </c>
      <c r="P16" s="1306">
        <v>1645</v>
      </c>
      <c r="Q16" s="1305">
        <v>500</v>
      </c>
      <c r="R16" s="1306">
        <v>300</v>
      </c>
      <c r="S16" s="1307">
        <v>100</v>
      </c>
      <c r="T16" s="1307">
        <v>80</v>
      </c>
      <c r="U16" s="1307">
        <v>100</v>
      </c>
      <c r="V16" s="1307">
        <v>100</v>
      </c>
      <c r="W16" s="1304">
        <v>1253</v>
      </c>
      <c r="X16" s="1306">
        <v>433</v>
      </c>
      <c r="Y16" s="1305"/>
      <c r="Z16" s="1306"/>
      <c r="AA16" s="1307"/>
      <c r="AB16" s="1307"/>
      <c r="AC16" s="1307"/>
      <c r="AD16" s="1307"/>
      <c r="AE16" s="1304"/>
      <c r="AF16" s="1306"/>
      <c r="AG16" s="1305"/>
      <c r="AH16" s="1306"/>
      <c r="AI16" s="1307"/>
      <c r="AJ16" s="1307"/>
      <c r="AK16" s="1307"/>
      <c r="AL16" s="1308"/>
      <c r="AM16" s="1309"/>
      <c r="AN16" s="1311"/>
      <c r="AO16" s="2246" t="s">
        <v>678</v>
      </c>
      <c r="AP16" s="1306"/>
      <c r="AQ16" s="1306"/>
      <c r="AR16" s="1305"/>
      <c r="AS16" s="1306"/>
      <c r="AT16" s="1307"/>
      <c r="AU16" s="1307"/>
      <c r="AV16" s="1307"/>
      <c r="AW16" s="1305"/>
      <c r="AX16" s="2247" t="s">
        <v>358</v>
      </c>
      <c r="AY16" s="4775"/>
      <c r="AZ16" s="4794">
        <f t="shared" si="44"/>
        <v>870.21878179596388</v>
      </c>
      <c r="BA16" s="4794">
        <f t="shared" si="45"/>
        <v>1062.464529125742</v>
      </c>
      <c r="BB16" s="4794">
        <f t="shared" si="46"/>
        <v>255.64594059810923</v>
      </c>
      <c r="BC16" s="4794">
        <f t="shared" si="47"/>
        <v>153.38756435886555</v>
      </c>
      <c r="BD16" s="4794">
        <f t="shared" si="48"/>
        <v>51.129188119621851</v>
      </c>
      <c r="BE16" s="4794">
        <f t="shared" si="49"/>
        <v>40.903350495697481</v>
      </c>
      <c r="BF16" s="4794">
        <f t="shared" si="50"/>
        <v>51.129188119621851</v>
      </c>
      <c r="BG16" s="4794">
        <f t="shared" si="51"/>
        <v>51.129188119621851</v>
      </c>
      <c r="BH16" s="4794">
        <f t="shared" si="52"/>
        <v>347.6784792134286</v>
      </c>
      <c r="BI16" s="4794">
        <f t="shared" si="53"/>
        <v>229.57005465710211</v>
      </c>
      <c r="BJ16" s="4794">
        <f t="shared" si="54"/>
        <v>841.07514456777938</v>
      </c>
      <c r="BK16" s="4794">
        <f t="shared" si="55"/>
        <v>255.64594059810923</v>
      </c>
      <c r="BL16" s="4794">
        <f t="shared" si="56"/>
        <v>153.38756435886555</v>
      </c>
      <c r="BM16" s="4794">
        <f t="shared" si="57"/>
        <v>51.129188119621851</v>
      </c>
      <c r="BN16" s="4794">
        <f t="shared" si="58"/>
        <v>40.903350495697481</v>
      </c>
      <c r="BO16" s="4794">
        <f t="shared" si="59"/>
        <v>51.129188119621851</v>
      </c>
      <c r="BP16" s="4794">
        <f t="shared" si="60"/>
        <v>51.129188119621851</v>
      </c>
      <c r="BQ16" s="4794">
        <f t="shared" si="61"/>
        <v>640.64872713886177</v>
      </c>
      <c r="BR16" s="4794">
        <f t="shared" si="62"/>
        <v>221.38938455796261</v>
      </c>
      <c r="BS16" s="4794">
        <f t="shared" si="63"/>
        <v>0</v>
      </c>
      <c r="BT16" s="4794">
        <f t="shared" si="64"/>
        <v>0</v>
      </c>
      <c r="BU16" s="4794">
        <f t="shared" si="65"/>
        <v>0</v>
      </c>
      <c r="BV16" s="4794">
        <f t="shared" si="66"/>
        <v>0</v>
      </c>
      <c r="BW16" s="4794">
        <f t="shared" si="67"/>
        <v>0</v>
      </c>
      <c r="BX16" s="4794">
        <f t="shared" si="68"/>
        <v>0</v>
      </c>
      <c r="BY16" s="4794">
        <f t="shared" si="69"/>
        <v>0</v>
      </c>
      <c r="BZ16" s="4794">
        <f t="shared" si="70"/>
        <v>0</v>
      </c>
      <c r="CA16" s="4794">
        <f t="shared" si="71"/>
        <v>0</v>
      </c>
      <c r="CB16" s="4794">
        <f t="shared" si="72"/>
        <v>0</v>
      </c>
      <c r="CC16" s="4794">
        <f t="shared" si="73"/>
        <v>0</v>
      </c>
      <c r="CD16" s="4794">
        <f t="shared" si="74"/>
        <v>0</v>
      </c>
      <c r="CE16" s="4794">
        <f t="shared" si="75"/>
        <v>0</v>
      </c>
      <c r="CF16" s="4794">
        <f t="shared" si="76"/>
        <v>0</v>
      </c>
    </row>
    <row r="17" spans="1:84" ht="24">
      <c r="A17" s="2237"/>
      <c r="B17" s="2238">
        <v>2040207</v>
      </c>
      <c r="C17" s="2238" t="s">
        <v>1799</v>
      </c>
      <c r="D17" s="2239">
        <v>0.04</v>
      </c>
      <c r="E17" s="2240" t="s">
        <v>359</v>
      </c>
      <c r="F17" s="2242">
        <f t="shared" si="36"/>
        <v>21</v>
      </c>
      <c r="G17" s="4376">
        <f t="shared" si="37"/>
        <v>33</v>
      </c>
      <c r="H17" s="2241">
        <f t="shared" si="38"/>
        <v>25</v>
      </c>
      <c r="I17" s="2242">
        <f t="shared" si="39"/>
        <v>50</v>
      </c>
      <c r="J17" s="2243">
        <f t="shared" si="40"/>
        <v>40</v>
      </c>
      <c r="K17" s="2243">
        <f t="shared" si="41"/>
        <v>40</v>
      </c>
      <c r="L17" s="2243">
        <f t="shared" si="42"/>
        <v>40</v>
      </c>
      <c r="M17" s="2244">
        <f t="shared" si="43"/>
        <v>40</v>
      </c>
      <c r="N17" s="2245">
        <f t="shared" si="77"/>
        <v>210</v>
      </c>
      <c r="O17" s="1304">
        <v>21</v>
      </c>
      <c r="P17" s="1306">
        <v>33</v>
      </c>
      <c r="Q17" s="1305">
        <v>25</v>
      </c>
      <c r="R17" s="1306">
        <v>50</v>
      </c>
      <c r="S17" s="1307">
        <v>40</v>
      </c>
      <c r="T17" s="1307">
        <v>40</v>
      </c>
      <c r="U17" s="1307">
        <v>40</v>
      </c>
      <c r="V17" s="1307">
        <v>40</v>
      </c>
      <c r="W17" s="1304"/>
      <c r="X17" s="1306"/>
      <c r="Y17" s="1305"/>
      <c r="Z17" s="1306"/>
      <c r="AA17" s="1307"/>
      <c r="AB17" s="1307"/>
      <c r="AC17" s="1307"/>
      <c r="AD17" s="1307"/>
      <c r="AE17" s="1304"/>
      <c r="AF17" s="1306"/>
      <c r="AG17" s="1305"/>
      <c r="AH17" s="1306"/>
      <c r="AI17" s="1307"/>
      <c r="AJ17" s="1307"/>
      <c r="AK17" s="1307"/>
      <c r="AL17" s="1308"/>
      <c r="AM17" s="1309"/>
      <c r="AN17" s="1311"/>
      <c r="AO17" s="2246" t="s">
        <v>676</v>
      </c>
      <c r="AP17" s="1306"/>
      <c r="AQ17" s="1306"/>
      <c r="AR17" s="1305"/>
      <c r="AS17" s="1306"/>
      <c r="AT17" s="1307"/>
      <c r="AU17" s="1307"/>
      <c r="AV17" s="1307"/>
      <c r="AW17" s="1305"/>
      <c r="AX17" s="2247" t="s">
        <v>360</v>
      </c>
      <c r="AY17" s="4775"/>
      <c r="AZ17" s="4794">
        <f t="shared" si="44"/>
        <v>10.737129505120588</v>
      </c>
      <c r="BA17" s="4794">
        <f t="shared" si="45"/>
        <v>16.87263207947521</v>
      </c>
      <c r="BB17" s="4794">
        <f t="shared" si="46"/>
        <v>12.782297029905463</v>
      </c>
      <c r="BC17" s="4794">
        <f t="shared" si="47"/>
        <v>25.564594059810926</v>
      </c>
      <c r="BD17" s="4794">
        <f t="shared" si="48"/>
        <v>20.45167524784874</v>
      </c>
      <c r="BE17" s="4794">
        <f t="shared" si="49"/>
        <v>20.45167524784874</v>
      </c>
      <c r="BF17" s="4794">
        <f t="shared" si="50"/>
        <v>20.45167524784874</v>
      </c>
      <c r="BG17" s="4794">
        <f t="shared" si="51"/>
        <v>20.45167524784874</v>
      </c>
      <c r="BH17" s="4794">
        <f t="shared" si="52"/>
        <v>107.37129505120589</v>
      </c>
      <c r="BI17" s="4794">
        <f t="shared" si="53"/>
        <v>10.737129505120588</v>
      </c>
      <c r="BJ17" s="4794">
        <f t="shared" si="54"/>
        <v>16.87263207947521</v>
      </c>
      <c r="BK17" s="4794">
        <f t="shared" si="55"/>
        <v>12.782297029905463</v>
      </c>
      <c r="BL17" s="4794">
        <f t="shared" si="56"/>
        <v>25.564594059810926</v>
      </c>
      <c r="BM17" s="4794">
        <f t="shared" si="57"/>
        <v>20.45167524784874</v>
      </c>
      <c r="BN17" s="4794">
        <f t="shared" si="58"/>
        <v>20.45167524784874</v>
      </c>
      <c r="BO17" s="4794">
        <f t="shared" si="59"/>
        <v>20.45167524784874</v>
      </c>
      <c r="BP17" s="4794">
        <f t="shared" si="60"/>
        <v>20.45167524784874</v>
      </c>
      <c r="BQ17" s="4794">
        <f t="shared" si="61"/>
        <v>0</v>
      </c>
      <c r="BR17" s="4794">
        <f t="shared" si="62"/>
        <v>0</v>
      </c>
      <c r="BS17" s="4794">
        <f t="shared" si="63"/>
        <v>0</v>
      </c>
      <c r="BT17" s="4794">
        <f t="shared" si="64"/>
        <v>0</v>
      </c>
      <c r="BU17" s="4794">
        <f t="shared" si="65"/>
        <v>0</v>
      </c>
      <c r="BV17" s="4794">
        <f t="shared" si="66"/>
        <v>0</v>
      </c>
      <c r="BW17" s="4794">
        <f t="shared" si="67"/>
        <v>0</v>
      </c>
      <c r="BX17" s="4794">
        <f t="shared" si="68"/>
        <v>0</v>
      </c>
      <c r="BY17" s="4794">
        <f t="shared" si="69"/>
        <v>0</v>
      </c>
      <c r="BZ17" s="4794">
        <f t="shared" si="70"/>
        <v>0</v>
      </c>
      <c r="CA17" s="4794">
        <f t="shared" si="71"/>
        <v>0</v>
      </c>
      <c r="CB17" s="4794">
        <f t="shared" si="72"/>
        <v>0</v>
      </c>
      <c r="CC17" s="4794">
        <f t="shared" si="73"/>
        <v>0</v>
      </c>
      <c r="CD17" s="4794">
        <f t="shared" si="74"/>
        <v>0</v>
      </c>
      <c r="CE17" s="4794">
        <f t="shared" si="75"/>
        <v>0</v>
      </c>
      <c r="CF17" s="4794">
        <f t="shared" si="76"/>
        <v>0</v>
      </c>
    </row>
    <row r="18" spans="1:84">
      <c r="A18" s="2237"/>
      <c r="B18" s="2238">
        <v>2040207</v>
      </c>
      <c r="C18" s="2238" t="s">
        <v>1800</v>
      </c>
      <c r="D18" s="2239">
        <v>0.04</v>
      </c>
      <c r="E18" s="2249" t="s">
        <v>660</v>
      </c>
      <c r="F18" s="2242">
        <f t="shared" si="36"/>
        <v>78</v>
      </c>
      <c r="G18" s="4376">
        <f t="shared" si="37"/>
        <v>218</v>
      </c>
      <c r="H18" s="2241">
        <f t="shared" si="38"/>
        <v>180</v>
      </c>
      <c r="I18" s="2242">
        <f t="shared" si="39"/>
        <v>70</v>
      </c>
      <c r="J18" s="2243">
        <f t="shared" si="40"/>
        <v>50</v>
      </c>
      <c r="K18" s="2243">
        <f t="shared" si="41"/>
        <v>50</v>
      </c>
      <c r="L18" s="2243">
        <f t="shared" si="42"/>
        <v>50</v>
      </c>
      <c r="M18" s="2244">
        <f t="shared" si="43"/>
        <v>50</v>
      </c>
      <c r="N18" s="2245">
        <f t="shared" si="77"/>
        <v>270</v>
      </c>
      <c r="O18" s="1304">
        <v>78</v>
      </c>
      <c r="P18" s="1306">
        <v>218</v>
      </c>
      <c r="Q18" s="1305">
        <v>180</v>
      </c>
      <c r="R18" s="1306">
        <v>70</v>
      </c>
      <c r="S18" s="1307">
        <v>50</v>
      </c>
      <c r="T18" s="1307">
        <v>50</v>
      </c>
      <c r="U18" s="1307">
        <v>50</v>
      </c>
      <c r="V18" s="1307">
        <v>50</v>
      </c>
      <c r="W18" s="1304"/>
      <c r="X18" s="1306"/>
      <c r="Y18" s="1305"/>
      <c r="Z18" s="1306"/>
      <c r="AA18" s="1307"/>
      <c r="AB18" s="1307"/>
      <c r="AC18" s="1307"/>
      <c r="AD18" s="1307"/>
      <c r="AE18" s="1304"/>
      <c r="AF18" s="1306"/>
      <c r="AG18" s="1305"/>
      <c r="AH18" s="1306"/>
      <c r="AI18" s="1307"/>
      <c r="AJ18" s="1307"/>
      <c r="AK18" s="1307"/>
      <c r="AL18" s="1308"/>
      <c r="AM18" s="1309"/>
      <c r="AN18" s="1311"/>
      <c r="AO18" s="2246" t="s">
        <v>676</v>
      </c>
      <c r="AP18" s="1306"/>
      <c r="AQ18" s="1306"/>
      <c r="AR18" s="1305"/>
      <c r="AS18" s="1306"/>
      <c r="AT18" s="1307"/>
      <c r="AU18" s="1307"/>
      <c r="AV18" s="1307"/>
      <c r="AW18" s="1305"/>
      <c r="AX18" s="2247" t="s">
        <v>360</v>
      </c>
      <c r="AY18" s="4775"/>
      <c r="AZ18" s="4794">
        <f t="shared" si="44"/>
        <v>39.880766733305045</v>
      </c>
      <c r="BA18" s="4794">
        <f t="shared" si="45"/>
        <v>111.46163010077564</v>
      </c>
      <c r="BB18" s="4794">
        <f t="shared" si="46"/>
        <v>92.032538615319325</v>
      </c>
      <c r="BC18" s="4794">
        <f t="shared" si="47"/>
        <v>35.790431683735292</v>
      </c>
      <c r="BD18" s="4794">
        <f t="shared" si="48"/>
        <v>25.564594059810926</v>
      </c>
      <c r="BE18" s="4794">
        <f t="shared" si="49"/>
        <v>25.564594059810926</v>
      </c>
      <c r="BF18" s="4794">
        <f t="shared" si="50"/>
        <v>25.564594059810926</v>
      </c>
      <c r="BG18" s="4794">
        <f t="shared" si="51"/>
        <v>25.564594059810926</v>
      </c>
      <c r="BH18" s="4794">
        <f t="shared" si="52"/>
        <v>138.04880792297899</v>
      </c>
      <c r="BI18" s="4794">
        <f t="shared" si="53"/>
        <v>39.880766733305045</v>
      </c>
      <c r="BJ18" s="4794">
        <f t="shared" si="54"/>
        <v>111.46163010077564</v>
      </c>
      <c r="BK18" s="4794">
        <f t="shared" si="55"/>
        <v>92.032538615319325</v>
      </c>
      <c r="BL18" s="4794">
        <f t="shared" si="56"/>
        <v>35.790431683735292</v>
      </c>
      <c r="BM18" s="4794">
        <f t="shared" si="57"/>
        <v>25.564594059810926</v>
      </c>
      <c r="BN18" s="4794">
        <f t="shared" si="58"/>
        <v>25.564594059810926</v>
      </c>
      <c r="BO18" s="4794">
        <f t="shared" si="59"/>
        <v>25.564594059810926</v>
      </c>
      <c r="BP18" s="4794">
        <f t="shared" si="60"/>
        <v>25.564594059810926</v>
      </c>
      <c r="BQ18" s="4794">
        <f t="shared" si="61"/>
        <v>0</v>
      </c>
      <c r="BR18" s="4794">
        <f t="shared" si="62"/>
        <v>0</v>
      </c>
      <c r="BS18" s="4794">
        <f t="shared" si="63"/>
        <v>0</v>
      </c>
      <c r="BT18" s="4794">
        <f t="shared" si="64"/>
        <v>0</v>
      </c>
      <c r="BU18" s="4794">
        <f t="shared" si="65"/>
        <v>0</v>
      </c>
      <c r="BV18" s="4794">
        <f t="shared" si="66"/>
        <v>0</v>
      </c>
      <c r="BW18" s="4794">
        <f t="shared" si="67"/>
        <v>0</v>
      </c>
      <c r="BX18" s="4794">
        <f t="shared" si="68"/>
        <v>0</v>
      </c>
      <c r="BY18" s="4794">
        <f t="shared" si="69"/>
        <v>0</v>
      </c>
      <c r="BZ18" s="4794">
        <f t="shared" si="70"/>
        <v>0</v>
      </c>
      <c r="CA18" s="4794">
        <f t="shared" si="71"/>
        <v>0</v>
      </c>
      <c r="CB18" s="4794">
        <f t="shared" si="72"/>
        <v>0</v>
      </c>
      <c r="CC18" s="4794">
        <f t="shared" si="73"/>
        <v>0</v>
      </c>
      <c r="CD18" s="4794">
        <f t="shared" si="74"/>
        <v>0</v>
      </c>
      <c r="CE18" s="4794">
        <f t="shared" si="75"/>
        <v>0</v>
      </c>
      <c r="CF18" s="4794">
        <f t="shared" si="76"/>
        <v>0</v>
      </c>
    </row>
    <row r="19" spans="1:84">
      <c r="A19" s="2237"/>
      <c r="B19" s="2238">
        <v>2040207</v>
      </c>
      <c r="C19" s="2238" t="s">
        <v>1801</v>
      </c>
      <c r="D19" s="2239">
        <v>0.04</v>
      </c>
      <c r="E19" s="2249" t="s">
        <v>661</v>
      </c>
      <c r="F19" s="2242">
        <f t="shared" si="36"/>
        <v>0</v>
      </c>
      <c r="G19" s="4376">
        <f t="shared" si="37"/>
        <v>0</v>
      </c>
      <c r="H19" s="2241">
        <f t="shared" si="38"/>
        <v>0</v>
      </c>
      <c r="I19" s="2242">
        <f t="shared" si="39"/>
        <v>0</v>
      </c>
      <c r="J19" s="2243">
        <f t="shared" si="40"/>
        <v>0</v>
      </c>
      <c r="K19" s="2243">
        <f t="shared" si="41"/>
        <v>0</v>
      </c>
      <c r="L19" s="2243">
        <f t="shared" si="42"/>
        <v>0</v>
      </c>
      <c r="M19" s="2244">
        <f t="shared" si="43"/>
        <v>0</v>
      </c>
      <c r="N19" s="2245">
        <f t="shared" si="77"/>
        <v>0</v>
      </c>
      <c r="O19" s="1304"/>
      <c r="P19" s="1306"/>
      <c r="Q19" s="1305"/>
      <c r="R19" s="1306"/>
      <c r="S19" s="1307"/>
      <c r="T19" s="1307"/>
      <c r="U19" s="1307"/>
      <c r="V19" s="1307"/>
      <c r="W19" s="1304"/>
      <c r="X19" s="1306"/>
      <c r="Y19" s="1305"/>
      <c r="Z19" s="1306"/>
      <c r="AA19" s="1307"/>
      <c r="AB19" s="1307"/>
      <c r="AC19" s="1307"/>
      <c r="AD19" s="1307"/>
      <c r="AE19" s="1304"/>
      <c r="AF19" s="1306"/>
      <c r="AG19" s="1305"/>
      <c r="AH19" s="1306"/>
      <c r="AI19" s="1307"/>
      <c r="AJ19" s="1307"/>
      <c r="AK19" s="1307"/>
      <c r="AL19" s="1308"/>
      <c r="AM19" s="1309"/>
      <c r="AN19" s="1311"/>
      <c r="AO19" s="2246" t="s">
        <v>676</v>
      </c>
      <c r="AP19" s="1306"/>
      <c r="AQ19" s="1306"/>
      <c r="AR19" s="1305"/>
      <c r="AS19" s="1306"/>
      <c r="AT19" s="1307"/>
      <c r="AU19" s="1307"/>
      <c r="AV19" s="1307"/>
      <c r="AW19" s="1305"/>
      <c r="AX19" s="2247" t="s">
        <v>360</v>
      </c>
      <c r="AY19" s="4775"/>
      <c r="AZ19" s="4794">
        <f t="shared" si="44"/>
        <v>0</v>
      </c>
      <c r="BA19" s="4794">
        <f t="shared" si="45"/>
        <v>0</v>
      </c>
      <c r="BB19" s="4794">
        <f t="shared" si="46"/>
        <v>0</v>
      </c>
      <c r="BC19" s="4794">
        <f t="shared" si="47"/>
        <v>0</v>
      </c>
      <c r="BD19" s="4794">
        <f t="shared" si="48"/>
        <v>0</v>
      </c>
      <c r="BE19" s="4794">
        <f t="shared" si="49"/>
        <v>0</v>
      </c>
      <c r="BF19" s="4794">
        <f t="shared" si="50"/>
        <v>0</v>
      </c>
      <c r="BG19" s="4794">
        <f t="shared" si="51"/>
        <v>0</v>
      </c>
      <c r="BH19" s="4794">
        <f t="shared" si="52"/>
        <v>0</v>
      </c>
      <c r="BI19" s="4794">
        <f t="shared" si="53"/>
        <v>0</v>
      </c>
      <c r="BJ19" s="4794">
        <f t="shared" si="54"/>
        <v>0</v>
      </c>
      <c r="BK19" s="4794">
        <f t="shared" si="55"/>
        <v>0</v>
      </c>
      <c r="BL19" s="4794">
        <f t="shared" si="56"/>
        <v>0</v>
      </c>
      <c r="BM19" s="4794">
        <f t="shared" si="57"/>
        <v>0</v>
      </c>
      <c r="BN19" s="4794">
        <f t="shared" si="58"/>
        <v>0</v>
      </c>
      <c r="BO19" s="4794">
        <f t="shared" si="59"/>
        <v>0</v>
      </c>
      <c r="BP19" s="4794">
        <f t="shared" si="60"/>
        <v>0</v>
      </c>
      <c r="BQ19" s="4794">
        <f t="shared" si="61"/>
        <v>0</v>
      </c>
      <c r="BR19" s="4794">
        <f t="shared" si="62"/>
        <v>0</v>
      </c>
      <c r="BS19" s="4794">
        <f t="shared" si="63"/>
        <v>0</v>
      </c>
      <c r="BT19" s="4794">
        <f t="shared" si="64"/>
        <v>0</v>
      </c>
      <c r="BU19" s="4794">
        <f t="shared" si="65"/>
        <v>0</v>
      </c>
      <c r="BV19" s="4794">
        <f t="shared" si="66"/>
        <v>0</v>
      </c>
      <c r="BW19" s="4794">
        <f t="shared" si="67"/>
        <v>0</v>
      </c>
      <c r="BX19" s="4794">
        <f t="shared" si="68"/>
        <v>0</v>
      </c>
      <c r="BY19" s="4794">
        <f t="shared" si="69"/>
        <v>0</v>
      </c>
      <c r="BZ19" s="4794">
        <f t="shared" si="70"/>
        <v>0</v>
      </c>
      <c r="CA19" s="4794">
        <f t="shared" si="71"/>
        <v>0</v>
      </c>
      <c r="CB19" s="4794">
        <f t="shared" si="72"/>
        <v>0</v>
      </c>
      <c r="CC19" s="4794">
        <f t="shared" si="73"/>
        <v>0</v>
      </c>
      <c r="CD19" s="4794">
        <f t="shared" si="74"/>
        <v>0</v>
      </c>
      <c r="CE19" s="4794">
        <f t="shared" si="75"/>
        <v>0</v>
      </c>
      <c r="CF19" s="4794">
        <f t="shared" si="76"/>
        <v>0</v>
      </c>
    </row>
    <row r="20" spans="1:84">
      <c r="A20" s="2237"/>
      <c r="B20" s="2238">
        <v>2040207</v>
      </c>
      <c r="C20" s="2238" t="s">
        <v>1802</v>
      </c>
      <c r="D20" s="2239">
        <v>0.04</v>
      </c>
      <c r="E20" s="2249" t="s">
        <v>361</v>
      </c>
      <c r="F20" s="2242">
        <f t="shared" si="36"/>
        <v>2</v>
      </c>
      <c r="G20" s="4376">
        <f t="shared" si="37"/>
        <v>0</v>
      </c>
      <c r="H20" s="2241">
        <f t="shared" si="38"/>
        <v>5</v>
      </c>
      <c r="I20" s="2242">
        <f t="shared" si="39"/>
        <v>10</v>
      </c>
      <c r="J20" s="2243">
        <f t="shared" si="40"/>
        <v>10</v>
      </c>
      <c r="K20" s="2243">
        <f t="shared" si="41"/>
        <v>10</v>
      </c>
      <c r="L20" s="2243">
        <f t="shared" si="42"/>
        <v>10</v>
      </c>
      <c r="M20" s="2244">
        <f t="shared" si="43"/>
        <v>10</v>
      </c>
      <c r="N20" s="2245">
        <f t="shared" si="77"/>
        <v>50</v>
      </c>
      <c r="O20" s="1304">
        <v>2</v>
      </c>
      <c r="P20" s="1306"/>
      <c r="Q20" s="1305">
        <v>5</v>
      </c>
      <c r="R20" s="1306">
        <v>10</v>
      </c>
      <c r="S20" s="1307">
        <v>10</v>
      </c>
      <c r="T20" s="1307">
        <v>10</v>
      </c>
      <c r="U20" s="1307">
        <v>10</v>
      </c>
      <c r="V20" s="1307">
        <v>10</v>
      </c>
      <c r="W20" s="1304"/>
      <c r="X20" s="1306"/>
      <c r="Y20" s="1305"/>
      <c r="Z20" s="1306"/>
      <c r="AA20" s="1307"/>
      <c r="AB20" s="1307"/>
      <c r="AC20" s="1307"/>
      <c r="AD20" s="1307"/>
      <c r="AE20" s="1304"/>
      <c r="AF20" s="1306"/>
      <c r="AG20" s="1305"/>
      <c r="AH20" s="1306"/>
      <c r="AI20" s="1307"/>
      <c r="AJ20" s="1307"/>
      <c r="AK20" s="1307"/>
      <c r="AL20" s="1308"/>
      <c r="AM20" s="1309"/>
      <c r="AN20" s="1310"/>
      <c r="AO20" s="2246" t="s">
        <v>676</v>
      </c>
      <c r="AP20" s="1306"/>
      <c r="AQ20" s="1306"/>
      <c r="AR20" s="1305"/>
      <c r="AS20" s="1306"/>
      <c r="AT20" s="1307"/>
      <c r="AU20" s="1307"/>
      <c r="AV20" s="1307"/>
      <c r="AW20" s="1305"/>
      <c r="AX20" s="2247" t="s">
        <v>360</v>
      </c>
      <c r="AY20" s="4775"/>
      <c r="AZ20" s="4794">
        <f t="shared" si="44"/>
        <v>1.022583762392437</v>
      </c>
      <c r="BA20" s="4794">
        <f t="shared" si="45"/>
        <v>0</v>
      </c>
      <c r="BB20" s="4794">
        <f t="shared" si="46"/>
        <v>2.5564594059810926</v>
      </c>
      <c r="BC20" s="4794">
        <f t="shared" si="47"/>
        <v>5.1129188119621851</v>
      </c>
      <c r="BD20" s="4794">
        <f t="shared" si="48"/>
        <v>5.1129188119621851</v>
      </c>
      <c r="BE20" s="4794">
        <f t="shared" si="49"/>
        <v>5.1129188119621851</v>
      </c>
      <c r="BF20" s="4794">
        <f t="shared" si="50"/>
        <v>5.1129188119621851</v>
      </c>
      <c r="BG20" s="4794">
        <f t="shared" si="51"/>
        <v>5.1129188119621851</v>
      </c>
      <c r="BH20" s="4794">
        <f t="shared" si="52"/>
        <v>25.564594059810926</v>
      </c>
      <c r="BI20" s="4794">
        <f t="shared" si="53"/>
        <v>1.022583762392437</v>
      </c>
      <c r="BJ20" s="4794">
        <f t="shared" si="54"/>
        <v>0</v>
      </c>
      <c r="BK20" s="4794">
        <f t="shared" si="55"/>
        <v>2.5564594059810926</v>
      </c>
      <c r="BL20" s="4794">
        <f t="shared" si="56"/>
        <v>5.1129188119621851</v>
      </c>
      <c r="BM20" s="4794">
        <f t="shared" si="57"/>
        <v>5.1129188119621851</v>
      </c>
      <c r="BN20" s="4794">
        <f t="shared" si="58"/>
        <v>5.1129188119621851</v>
      </c>
      <c r="BO20" s="4794">
        <f t="shared" si="59"/>
        <v>5.1129188119621851</v>
      </c>
      <c r="BP20" s="4794">
        <f t="shared" si="60"/>
        <v>5.1129188119621851</v>
      </c>
      <c r="BQ20" s="4794">
        <f t="shared" si="61"/>
        <v>0</v>
      </c>
      <c r="BR20" s="4794">
        <f t="shared" si="62"/>
        <v>0</v>
      </c>
      <c r="BS20" s="4794">
        <f t="shared" si="63"/>
        <v>0</v>
      </c>
      <c r="BT20" s="4794">
        <f t="shared" si="64"/>
        <v>0</v>
      </c>
      <c r="BU20" s="4794">
        <f t="shared" si="65"/>
        <v>0</v>
      </c>
      <c r="BV20" s="4794">
        <f t="shared" si="66"/>
        <v>0</v>
      </c>
      <c r="BW20" s="4794">
        <f t="shared" si="67"/>
        <v>0</v>
      </c>
      <c r="BX20" s="4794">
        <f t="shared" si="68"/>
        <v>0</v>
      </c>
      <c r="BY20" s="4794">
        <f t="shared" si="69"/>
        <v>0</v>
      </c>
      <c r="BZ20" s="4794">
        <f t="shared" si="70"/>
        <v>0</v>
      </c>
      <c r="CA20" s="4794">
        <f t="shared" si="71"/>
        <v>0</v>
      </c>
      <c r="CB20" s="4794">
        <f t="shared" si="72"/>
        <v>0</v>
      </c>
      <c r="CC20" s="4794">
        <f t="shared" si="73"/>
        <v>0</v>
      </c>
      <c r="CD20" s="4794">
        <f t="shared" si="74"/>
        <v>0</v>
      </c>
      <c r="CE20" s="4794">
        <f t="shared" si="75"/>
        <v>0</v>
      </c>
      <c r="CF20" s="4794">
        <f t="shared" si="76"/>
        <v>0</v>
      </c>
    </row>
    <row r="21" spans="1:84">
      <c r="A21" s="2237"/>
      <c r="B21" s="2238">
        <v>2030401</v>
      </c>
      <c r="C21" s="2238" t="s">
        <v>1803</v>
      </c>
      <c r="D21" s="2250">
        <v>0.1</v>
      </c>
      <c r="E21" s="2249" t="s">
        <v>362</v>
      </c>
      <c r="F21" s="2242">
        <f t="shared" si="36"/>
        <v>0</v>
      </c>
      <c r="G21" s="4376">
        <f t="shared" si="37"/>
        <v>0</v>
      </c>
      <c r="H21" s="2241">
        <f t="shared" si="38"/>
        <v>0</v>
      </c>
      <c r="I21" s="2242">
        <f t="shared" si="39"/>
        <v>0</v>
      </c>
      <c r="J21" s="2243">
        <f t="shared" si="40"/>
        <v>0</v>
      </c>
      <c r="K21" s="2243">
        <f t="shared" si="41"/>
        <v>0</v>
      </c>
      <c r="L21" s="2243">
        <f t="shared" si="42"/>
        <v>0</v>
      </c>
      <c r="M21" s="2244">
        <f t="shared" si="43"/>
        <v>0</v>
      </c>
      <c r="N21" s="2245">
        <f t="shared" si="77"/>
        <v>0</v>
      </c>
      <c r="O21" s="1304"/>
      <c r="P21" s="1306"/>
      <c r="Q21" s="1305"/>
      <c r="R21" s="1306"/>
      <c r="S21" s="1307"/>
      <c r="T21" s="1307"/>
      <c r="U21" s="1307"/>
      <c r="V21" s="1307"/>
      <c r="W21" s="1304"/>
      <c r="X21" s="1306"/>
      <c r="Y21" s="1305"/>
      <c r="Z21" s="1306"/>
      <c r="AA21" s="1307"/>
      <c r="AB21" s="1307"/>
      <c r="AC21" s="1307"/>
      <c r="AD21" s="1307"/>
      <c r="AE21" s="1304"/>
      <c r="AF21" s="1306"/>
      <c r="AG21" s="1305"/>
      <c r="AH21" s="1306"/>
      <c r="AI21" s="1307"/>
      <c r="AJ21" s="1307"/>
      <c r="AK21" s="1307"/>
      <c r="AL21" s="1308"/>
      <c r="AM21" s="1309"/>
      <c r="AN21" s="1311"/>
      <c r="AO21" s="2246" t="s">
        <v>676</v>
      </c>
      <c r="AP21" s="1306"/>
      <c r="AQ21" s="1306"/>
      <c r="AR21" s="1305"/>
      <c r="AS21" s="1306"/>
      <c r="AT21" s="1307"/>
      <c r="AU21" s="1307"/>
      <c r="AV21" s="1307"/>
      <c r="AW21" s="1305"/>
      <c r="AX21" s="2247" t="s">
        <v>360</v>
      </c>
      <c r="AY21" s="4775"/>
      <c r="AZ21" s="4794">
        <f t="shared" si="44"/>
        <v>0</v>
      </c>
      <c r="BA21" s="4794">
        <f t="shared" si="45"/>
        <v>0</v>
      </c>
      <c r="BB21" s="4794">
        <f t="shared" si="46"/>
        <v>0</v>
      </c>
      <c r="BC21" s="4794">
        <f t="shared" si="47"/>
        <v>0</v>
      </c>
      <c r="BD21" s="4794">
        <f t="shared" si="48"/>
        <v>0</v>
      </c>
      <c r="BE21" s="4794">
        <f t="shared" si="49"/>
        <v>0</v>
      </c>
      <c r="BF21" s="4794">
        <f t="shared" si="50"/>
        <v>0</v>
      </c>
      <c r="BG21" s="4794">
        <f t="shared" si="51"/>
        <v>0</v>
      </c>
      <c r="BH21" s="4794">
        <f t="shared" si="52"/>
        <v>0</v>
      </c>
      <c r="BI21" s="4794">
        <f t="shared" si="53"/>
        <v>0</v>
      </c>
      <c r="BJ21" s="4794">
        <f t="shared" si="54"/>
        <v>0</v>
      </c>
      <c r="BK21" s="4794">
        <f t="shared" si="55"/>
        <v>0</v>
      </c>
      <c r="BL21" s="4794">
        <f t="shared" si="56"/>
        <v>0</v>
      </c>
      <c r="BM21" s="4794">
        <f t="shared" si="57"/>
        <v>0</v>
      </c>
      <c r="BN21" s="4794">
        <f t="shared" si="58"/>
        <v>0</v>
      </c>
      <c r="BO21" s="4794">
        <f t="shared" si="59"/>
        <v>0</v>
      </c>
      <c r="BP21" s="4794">
        <f t="shared" si="60"/>
        <v>0</v>
      </c>
      <c r="BQ21" s="4794">
        <f t="shared" si="61"/>
        <v>0</v>
      </c>
      <c r="BR21" s="4794">
        <f t="shared" si="62"/>
        <v>0</v>
      </c>
      <c r="BS21" s="4794">
        <f t="shared" si="63"/>
        <v>0</v>
      </c>
      <c r="BT21" s="4794">
        <f t="shared" si="64"/>
        <v>0</v>
      </c>
      <c r="BU21" s="4794">
        <f t="shared" si="65"/>
        <v>0</v>
      </c>
      <c r="BV21" s="4794">
        <f t="shared" si="66"/>
        <v>0</v>
      </c>
      <c r="BW21" s="4794">
        <f t="shared" si="67"/>
        <v>0</v>
      </c>
      <c r="BX21" s="4794">
        <f t="shared" si="68"/>
        <v>0</v>
      </c>
      <c r="BY21" s="4794">
        <f t="shared" si="69"/>
        <v>0</v>
      </c>
      <c r="BZ21" s="4794">
        <f t="shared" si="70"/>
        <v>0</v>
      </c>
      <c r="CA21" s="4794">
        <f t="shared" si="71"/>
        <v>0</v>
      </c>
      <c r="CB21" s="4794">
        <f t="shared" si="72"/>
        <v>0</v>
      </c>
      <c r="CC21" s="4794">
        <f t="shared" si="73"/>
        <v>0</v>
      </c>
      <c r="CD21" s="4794">
        <f t="shared" si="74"/>
        <v>0</v>
      </c>
      <c r="CE21" s="4794">
        <f t="shared" si="75"/>
        <v>0</v>
      </c>
      <c r="CF21" s="4794">
        <f t="shared" si="76"/>
        <v>0</v>
      </c>
    </row>
    <row r="22" spans="1:84" ht="24">
      <c r="A22" s="2237"/>
      <c r="B22" s="2238">
        <v>2040205</v>
      </c>
      <c r="C22" s="2238" t="s">
        <v>1804</v>
      </c>
      <c r="D22" s="2239">
        <v>0.02</v>
      </c>
      <c r="E22" s="2240" t="s">
        <v>363</v>
      </c>
      <c r="F22" s="2242">
        <f t="shared" si="36"/>
        <v>3605</v>
      </c>
      <c r="G22" s="4376">
        <f t="shared" si="37"/>
        <v>3725</v>
      </c>
      <c r="H22" s="2241">
        <f t="shared" si="38"/>
        <v>3500</v>
      </c>
      <c r="I22" s="2242">
        <f t="shared" si="39"/>
        <v>2800</v>
      </c>
      <c r="J22" s="2243">
        <f t="shared" si="40"/>
        <v>2500</v>
      </c>
      <c r="K22" s="2243">
        <f t="shared" si="41"/>
        <v>2500</v>
      </c>
      <c r="L22" s="2243">
        <f t="shared" si="42"/>
        <v>2500</v>
      </c>
      <c r="M22" s="2244">
        <f t="shared" si="43"/>
        <v>2500</v>
      </c>
      <c r="N22" s="2245">
        <f t="shared" si="77"/>
        <v>12800</v>
      </c>
      <c r="O22" s="1304">
        <v>3605</v>
      </c>
      <c r="P22" s="1306">
        <v>3725</v>
      </c>
      <c r="Q22" s="1305">
        <v>3500</v>
      </c>
      <c r="R22" s="1306">
        <v>2800</v>
      </c>
      <c r="S22" s="1307">
        <v>2500</v>
      </c>
      <c r="T22" s="1307">
        <v>2500</v>
      </c>
      <c r="U22" s="1307">
        <v>2500</v>
      </c>
      <c r="V22" s="1307">
        <v>2500</v>
      </c>
      <c r="W22" s="1304"/>
      <c r="X22" s="1306"/>
      <c r="Y22" s="1305"/>
      <c r="Z22" s="1306"/>
      <c r="AA22" s="1307"/>
      <c r="AB22" s="1307"/>
      <c r="AC22" s="1307"/>
      <c r="AD22" s="1307"/>
      <c r="AE22" s="1304"/>
      <c r="AF22" s="1306"/>
      <c r="AG22" s="1305"/>
      <c r="AH22" s="1306"/>
      <c r="AI22" s="1307"/>
      <c r="AJ22" s="1307"/>
      <c r="AK22" s="1307"/>
      <c r="AL22" s="1308"/>
      <c r="AM22" s="1309"/>
      <c r="AN22" s="1311"/>
      <c r="AO22" s="2246" t="s">
        <v>678</v>
      </c>
      <c r="AP22" s="1306"/>
      <c r="AQ22" s="1306"/>
      <c r="AR22" s="1305"/>
      <c r="AS22" s="1306"/>
      <c r="AT22" s="1307"/>
      <c r="AU22" s="1307"/>
      <c r="AV22" s="1307"/>
      <c r="AW22" s="1305"/>
      <c r="AX22" s="2247" t="s">
        <v>364</v>
      </c>
      <c r="AY22" s="4775"/>
      <c r="AZ22" s="4794">
        <f t="shared" si="44"/>
        <v>1843.2072317123677</v>
      </c>
      <c r="BA22" s="4794">
        <f t="shared" si="45"/>
        <v>1904.5622574559138</v>
      </c>
      <c r="BB22" s="4794">
        <f t="shared" si="46"/>
        <v>1789.5215841867648</v>
      </c>
      <c r="BC22" s="4794">
        <f t="shared" si="47"/>
        <v>1431.6172673494118</v>
      </c>
      <c r="BD22" s="4794">
        <f t="shared" si="48"/>
        <v>1278.2297029905462</v>
      </c>
      <c r="BE22" s="4794">
        <f t="shared" si="49"/>
        <v>1278.2297029905462</v>
      </c>
      <c r="BF22" s="4794">
        <f t="shared" si="50"/>
        <v>1278.2297029905462</v>
      </c>
      <c r="BG22" s="4794">
        <f t="shared" si="51"/>
        <v>1278.2297029905462</v>
      </c>
      <c r="BH22" s="4794">
        <f t="shared" si="52"/>
        <v>6544.5360793115969</v>
      </c>
      <c r="BI22" s="4794">
        <f t="shared" si="53"/>
        <v>1843.2072317123677</v>
      </c>
      <c r="BJ22" s="4794">
        <f t="shared" si="54"/>
        <v>1904.5622574559138</v>
      </c>
      <c r="BK22" s="4794">
        <f t="shared" si="55"/>
        <v>1789.5215841867648</v>
      </c>
      <c r="BL22" s="4794">
        <f t="shared" si="56"/>
        <v>1431.6172673494118</v>
      </c>
      <c r="BM22" s="4794">
        <f t="shared" si="57"/>
        <v>1278.2297029905462</v>
      </c>
      <c r="BN22" s="4794">
        <f t="shared" si="58"/>
        <v>1278.2297029905462</v>
      </c>
      <c r="BO22" s="4794">
        <f t="shared" si="59"/>
        <v>1278.2297029905462</v>
      </c>
      <c r="BP22" s="4794">
        <f t="shared" si="60"/>
        <v>1278.2297029905462</v>
      </c>
      <c r="BQ22" s="4794">
        <f t="shared" si="61"/>
        <v>0</v>
      </c>
      <c r="BR22" s="4794">
        <f t="shared" si="62"/>
        <v>0</v>
      </c>
      <c r="BS22" s="4794">
        <f t="shared" si="63"/>
        <v>0</v>
      </c>
      <c r="BT22" s="4794">
        <f t="shared" si="64"/>
        <v>0</v>
      </c>
      <c r="BU22" s="4794">
        <f t="shared" si="65"/>
        <v>0</v>
      </c>
      <c r="BV22" s="4794">
        <f t="shared" si="66"/>
        <v>0</v>
      </c>
      <c r="BW22" s="4794">
        <f t="shared" si="67"/>
        <v>0</v>
      </c>
      <c r="BX22" s="4794">
        <f t="shared" si="68"/>
        <v>0</v>
      </c>
      <c r="BY22" s="4794">
        <f t="shared" si="69"/>
        <v>0</v>
      </c>
      <c r="BZ22" s="4794">
        <f t="shared" si="70"/>
        <v>0</v>
      </c>
      <c r="CA22" s="4794">
        <f t="shared" si="71"/>
        <v>0</v>
      </c>
      <c r="CB22" s="4794">
        <f t="shared" si="72"/>
        <v>0</v>
      </c>
      <c r="CC22" s="4794">
        <f t="shared" si="73"/>
        <v>0</v>
      </c>
      <c r="CD22" s="4794">
        <f t="shared" si="74"/>
        <v>0</v>
      </c>
      <c r="CE22" s="4794">
        <f t="shared" si="75"/>
        <v>0</v>
      </c>
      <c r="CF22" s="4794">
        <f t="shared" si="76"/>
        <v>0</v>
      </c>
    </row>
    <row r="23" spans="1:84" ht="24">
      <c r="A23" s="2237"/>
      <c r="B23" s="2238">
        <v>2040205</v>
      </c>
      <c r="C23" s="2238" t="s">
        <v>1805</v>
      </c>
      <c r="D23" s="2239">
        <v>0.02</v>
      </c>
      <c r="E23" s="2240" t="s">
        <v>365</v>
      </c>
      <c r="F23" s="2242">
        <f t="shared" si="36"/>
        <v>170</v>
      </c>
      <c r="G23" s="4376">
        <f t="shared" si="37"/>
        <v>192</v>
      </c>
      <c r="H23" s="2241">
        <f t="shared" si="38"/>
        <v>150</v>
      </c>
      <c r="I23" s="2242">
        <f t="shared" si="39"/>
        <v>150</v>
      </c>
      <c r="J23" s="2243">
        <f t="shared" si="40"/>
        <v>150</v>
      </c>
      <c r="K23" s="2243">
        <f t="shared" si="41"/>
        <v>100</v>
      </c>
      <c r="L23" s="2243">
        <f t="shared" si="42"/>
        <v>15</v>
      </c>
      <c r="M23" s="2244">
        <f t="shared" si="43"/>
        <v>150</v>
      </c>
      <c r="N23" s="2245">
        <f t="shared" si="77"/>
        <v>565</v>
      </c>
      <c r="O23" s="1304">
        <v>170</v>
      </c>
      <c r="P23" s="1306">
        <v>192</v>
      </c>
      <c r="Q23" s="1305">
        <v>150</v>
      </c>
      <c r="R23" s="1306">
        <v>150</v>
      </c>
      <c r="S23" s="1307">
        <v>150</v>
      </c>
      <c r="T23" s="1307">
        <v>100</v>
      </c>
      <c r="U23" s="1307">
        <v>15</v>
      </c>
      <c r="V23" s="1307">
        <v>150</v>
      </c>
      <c r="W23" s="1304"/>
      <c r="X23" s="1306"/>
      <c r="Y23" s="1305"/>
      <c r="Z23" s="1306"/>
      <c r="AA23" s="1307"/>
      <c r="AB23" s="1307"/>
      <c r="AC23" s="1307"/>
      <c r="AD23" s="1307"/>
      <c r="AE23" s="1304"/>
      <c r="AF23" s="1306"/>
      <c r="AG23" s="1305"/>
      <c r="AH23" s="1306"/>
      <c r="AI23" s="1307"/>
      <c r="AJ23" s="1307"/>
      <c r="AK23" s="1307"/>
      <c r="AL23" s="1308"/>
      <c r="AM23" s="1309"/>
      <c r="AN23" s="1311"/>
      <c r="AO23" s="2246" t="s">
        <v>676</v>
      </c>
      <c r="AP23" s="1306"/>
      <c r="AQ23" s="1306"/>
      <c r="AR23" s="1305"/>
      <c r="AS23" s="1306"/>
      <c r="AT23" s="1307"/>
      <c r="AU23" s="1307"/>
      <c r="AV23" s="1307"/>
      <c r="AW23" s="1305"/>
      <c r="AX23" s="2247" t="s">
        <v>366</v>
      </c>
      <c r="AY23" s="4775"/>
      <c r="AZ23" s="4794">
        <f t="shared" si="44"/>
        <v>86.919619803357151</v>
      </c>
      <c r="BA23" s="4794">
        <f t="shared" si="45"/>
        <v>98.168041189673957</v>
      </c>
      <c r="BB23" s="4794">
        <f t="shared" si="46"/>
        <v>76.693782179432773</v>
      </c>
      <c r="BC23" s="4794">
        <f t="shared" si="47"/>
        <v>76.693782179432773</v>
      </c>
      <c r="BD23" s="4794">
        <f t="shared" si="48"/>
        <v>76.693782179432773</v>
      </c>
      <c r="BE23" s="4794">
        <f t="shared" si="49"/>
        <v>51.129188119621851</v>
      </c>
      <c r="BF23" s="4794">
        <f t="shared" si="50"/>
        <v>7.6693782179432777</v>
      </c>
      <c r="BG23" s="4794">
        <f t="shared" si="51"/>
        <v>76.693782179432773</v>
      </c>
      <c r="BH23" s="4794">
        <f t="shared" si="52"/>
        <v>288.87991287586345</v>
      </c>
      <c r="BI23" s="4794">
        <f t="shared" si="53"/>
        <v>86.919619803357151</v>
      </c>
      <c r="BJ23" s="4794">
        <f t="shared" si="54"/>
        <v>98.168041189673957</v>
      </c>
      <c r="BK23" s="4794">
        <f t="shared" si="55"/>
        <v>76.693782179432773</v>
      </c>
      <c r="BL23" s="4794">
        <f t="shared" si="56"/>
        <v>76.693782179432773</v>
      </c>
      <c r="BM23" s="4794">
        <f t="shared" si="57"/>
        <v>76.693782179432773</v>
      </c>
      <c r="BN23" s="4794">
        <f t="shared" si="58"/>
        <v>51.129188119621851</v>
      </c>
      <c r="BO23" s="4794">
        <f t="shared" si="59"/>
        <v>7.6693782179432777</v>
      </c>
      <c r="BP23" s="4794">
        <f t="shared" si="60"/>
        <v>76.693782179432773</v>
      </c>
      <c r="BQ23" s="4794">
        <f t="shared" si="61"/>
        <v>0</v>
      </c>
      <c r="BR23" s="4794">
        <f t="shared" si="62"/>
        <v>0</v>
      </c>
      <c r="BS23" s="4794">
        <f t="shared" si="63"/>
        <v>0</v>
      </c>
      <c r="BT23" s="4794">
        <f t="shared" si="64"/>
        <v>0</v>
      </c>
      <c r="BU23" s="4794">
        <f t="shared" si="65"/>
        <v>0</v>
      </c>
      <c r="BV23" s="4794">
        <f t="shared" si="66"/>
        <v>0</v>
      </c>
      <c r="BW23" s="4794">
        <f t="shared" si="67"/>
        <v>0</v>
      </c>
      <c r="BX23" s="4794">
        <f t="shared" si="68"/>
        <v>0</v>
      </c>
      <c r="BY23" s="4794">
        <f t="shared" si="69"/>
        <v>0</v>
      </c>
      <c r="BZ23" s="4794">
        <f t="shared" si="70"/>
        <v>0</v>
      </c>
      <c r="CA23" s="4794">
        <f t="shared" si="71"/>
        <v>0</v>
      </c>
      <c r="CB23" s="4794">
        <f t="shared" si="72"/>
        <v>0</v>
      </c>
      <c r="CC23" s="4794">
        <f t="shared" si="73"/>
        <v>0</v>
      </c>
      <c r="CD23" s="4794">
        <f t="shared" si="74"/>
        <v>0</v>
      </c>
      <c r="CE23" s="4794">
        <f t="shared" si="75"/>
        <v>0</v>
      </c>
      <c r="CF23" s="4794">
        <f t="shared" si="76"/>
        <v>0</v>
      </c>
    </row>
    <row r="24" spans="1:84" ht="36">
      <c r="A24" s="2237"/>
      <c r="B24" s="2238">
        <v>2030502</v>
      </c>
      <c r="C24" s="2238" t="s">
        <v>1806</v>
      </c>
      <c r="D24" s="2239">
        <v>0.1</v>
      </c>
      <c r="E24" s="2240" t="s">
        <v>367</v>
      </c>
      <c r="F24" s="2242">
        <f t="shared" si="36"/>
        <v>14</v>
      </c>
      <c r="G24" s="4376">
        <f t="shared" si="37"/>
        <v>9</v>
      </c>
      <c r="H24" s="2241">
        <f t="shared" si="38"/>
        <v>10</v>
      </c>
      <c r="I24" s="2242">
        <f t="shared" si="39"/>
        <v>10</v>
      </c>
      <c r="J24" s="2243">
        <f t="shared" si="40"/>
        <v>10</v>
      </c>
      <c r="K24" s="2243">
        <f t="shared" si="41"/>
        <v>10</v>
      </c>
      <c r="L24" s="2243">
        <f t="shared" si="42"/>
        <v>10</v>
      </c>
      <c r="M24" s="2244">
        <f t="shared" si="43"/>
        <v>10</v>
      </c>
      <c r="N24" s="2245">
        <f t="shared" si="77"/>
        <v>50</v>
      </c>
      <c r="O24" s="1304">
        <v>14</v>
      </c>
      <c r="P24" s="1306">
        <v>9</v>
      </c>
      <c r="Q24" s="1305">
        <v>10</v>
      </c>
      <c r="R24" s="1306">
        <v>10</v>
      </c>
      <c r="S24" s="1307">
        <v>10</v>
      </c>
      <c r="T24" s="1307">
        <v>10</v>
      </c>
      <c r="U24" s="1307">
        <v>10</v>
      </c>
      <c r="V24" s="1307">
        <v>10</v>
      </c>
      <c r="W24" s="1304"/>
      <c r="X24" s="1306"/>
      <c r="Y24" s="1305"/>
      <c r="Z24" s="1306"/>
      <c r="AA24" s="1307"/>
      <c r="AB24" s="1307"/>
      <c r="AC24" s="1307"/>
      <c r="AD24" s="1307"/>
      <c r="AE24" s="1304"/>
      <c r="AF24" s="1306"/>
      <c r="AG24" s="1305"/>
      <c r="AH24" s="1306"/>
      <c r="AI24" s="1307"/>
      <c r="AJ24" s="1307"/>
      <c r="AK24" s="1307"/>
      <c r="AL24" s="1308"/>
      <c r="AM24" s="1309"/>
      <c r="AN24" s="1310"/>
      <c r="AO24" s="2246" t="s">
        <v>676</v>
      </c>
      <c r="AP24" s="1306"/>
      <c r="AQ24" s="1306"/>
      <c r="AR24" s="1305"/>
      <c r="AS24" s="1306"/>
      <c r="AT24" s="1307"/>
      <c r="AU24" s="1307"/>
      <c r="AV24" s="1307"/>
      <c r="AW24" s="1305"/>
      <c r="AX24" s="2251" t="s">
        <v>1030</v>
      </c>
      <c r="AY24" s="4775"/>
      <c r="AZ24" s="4794">
        <f t="shared" si="44"/>
        <v>7.1580863367470586</v>
      </c>
      <c r="BA24" s="4794">
        <f t="shared" si="45"/>
        <v>4.6016269307659661</v>
      </c>
      <c r="BB24" s="4794">
        <f t="shared" si="46"/>
        <v>5.1129188119621851</v>
      </c>
      <c r="BC24" s="4794">
        <f t="shared" si="47"/>
        <v>5.1129188119621851</v>
      </c>
      <c r="BD24" s="4794">
        <f t="shared" si="48"/>
        <v>5.1129188119621851</v>
      </c>
      <c r="BE24" s="4794">
        <f t="shared" si="49"/>
        <v>5.1129188119621851</v>
      </c>
      <c r="BF24" s="4794">
        <f t="shared" si="50"/>
        <v>5.1129188119621851</v>
      </c>
      <c r="BG24" s="4794">
        <f t="shared" si="51"/>
        <v>5.1129188119621851</v>
      </c>
      <c r="BH24" s="4794">
        <f t="shared" si="52"/>
        <v>25.564594059810926</v>
      </c>
      <c r="BI24" s="4794">
        <f t="shared" si="53"/>
        <v>7.1580863367470586</v>
      </c>
      <c r="BJ24" s="4794">
        <f t="shared" si="54"/>
        <v>4.6016269307659661</v>
      </c>
      <c r="BK24" s="4794">
        <f t="shared" si="55"/>
        <v>5.1129188119621851</v>
      </c>
      <c r="BL24" s="4794">
        <f t="shared" si="56"/>
        <v>5.1129188119621851</v>
      </c>
      <c r="BM24" s="4794">
        <f t="shared" si="57"/>
        <v>5.1129188119621851</v>
      </c>
      <c r="BN24" s="4794">
        <f t="shared" si="58"/>
        <v>5.1129188119621851</v>
      </c>
      <c r="BO24" s="4794">
        <f t="shared" si="59"/>
        <v>5.1129188119621851</v>
      </c>
      <c r="BP24" s="4794">
        <f t="shared" si="60"/>
        <v>5.1129188119621851</v>
      </c>
      <c r="BQ24" s="4794">
        <f t="shared" si="61"/>
        <v>0</v>
      </c>
      <c r="BR24" s="4794">
        <f t="shared" si="62"/>
        <v>0</v>
      </c>
      <c r="BS24" s="4794">
        <f t="shared" si="63"/>
        <v>0</v>
      </c>
      <c r="BT24" s="4794">
        <f t="shared" si="64"/>
        <v>0</v>
      </c>
      <c r="BU24" s="4794">
        <f t="shared" si="65"/>
        <v>0</v>
      </c>
      <c r="BV24" s="4794">
        <f t="shared" si="66"/>
        <v>0</v>
      </c>
      <c r="BW24" s="4794">
        <f t="shared" si="67"/>
        <v>0</v>
      </c>
      <c r="BX24" s="4794">
        <f t="shared" si="68"/>
        <v>0</v>
      </c>
      <c r="BY24" s="4794">
        <f t="shared" si="69"/>
        <v>0</v>
      </c>
      <c r="BZ24" s="4794">
        <f t="shared" si="70"/>
        <v>0</v>
      </c>
      <c r="CA24" s="4794">
        <f t="shared" si="71"/>
        <v>0</v>
      </c>
      <c r="CB24" s="4794">
        <f t="shared" si="72"/>
        <v>0</v>
      </c>
      <c r="CC24" s="4794">
        <f t="shared" si="73"/>
        <v>0</v>
      </c>
      <c r="CD24" s="4794">
        <f t="shared" si="74"/>
        <v>0</v>
      </c>
      <c r="CE24" s="4794">
        <f t="shared" si="75"/>
        <v>0</v>
      </c>
      <c r="CF24" s="4794">
        <f t="shared" si="76"/>
        <v>0</v>
      </c>
    </row>
    <row r="25" spans="1:84" ht="24">
      <c r="A25" s="2237"/>
      <c r="B25" s="2238">
        <v>2030501</v>
      </c>
      <c r="C25" s="2238" t="s">
        <v>1807</v>
      </c>
      <c r="D25" s="2250">
        <v>0.1</v>
      </c>
      <c r="E25" s="2249" t="s">
        <v>652</v>
      </c>
      <c r="F25" s="2242">
        <f t="shared" si="36"/>
        <v>14</v>
      </c>
      <c r="G25" s="4376">
        <f t="shared" si="37"/>
        <v>13</v>
      </c>
      <c r="H25" s="2241">
        <f t="shared" si="38"/>
        <v>12</v>
      </c>
      <c r="I25" s="2242">
        <f t="shared" si="39"/>
        <v>12</v>
      </c>
      <c r="J25" s="2243">
        <f t="shared" si="40"/>
        <v>10</v>
      </c>
      <c r="K25" s="2243">
        <f t="shared" si="41"/>
        <v>20</v>
      </c>
      <c r="L25" s="2243">
        <f t="shared" si="42"/>
        <v>10</v>
      </c>
      <c r="M25" s="2244">
        <f t="shared" si="43"/>
        <v>10</v>
      </c>
      <c r="N25" s="2245">
        <f t="shared" si="77"/>
        <v>62</v>
      </c>
      <c r="O25" s="1304">
        <v>14</v>
      </c>
      <c r="P25" s="1306">
        <v>13</v>
      </c>
      <c r="Q25" s="1305">
        <v>12</v>
      </c>
      <c r="R25" s="1306">
        <v>12</v>
      </c>
      <c r="S25" s="1307">
        <v>10</v>
      </c>
      <c r="T25" s="1307">
        <v>20</v>
      </c>
      <c r="U25" s="1307">
        <v>10</v>
      </c>
      <c r="V25" s="1307">
        <v>10</v>
      </c>
      <c r="W25" s="1304"/>
      <c r="X25" s="1306"/>
      <c r="Y25" s="1305"/>
      <c r="Z25" s="1306"/>
      <c r="AA25" s="1307"/>
      <c r="AB25" s="1307"/>
      <c r="AC25" s="1307"/>
      <c r="AD25" s="1307"/>
      <c r="AE25" s="1304"/>
      <c r="AF25" s="1306"/>
      <c r="AG25" s="1305"/>
      <c r="AH25" s="1306"/>
      <c r="AI25" s="1307"/>
      <c r="AJ25" s="1307"/>
      <c r="AK25" s="1307"/>
      <c r="AL25" s="1308"/>
      <c r="AM25" s="1309"/>
      <c r="AN25" s="1310"/>
      <c r="AO25" s="2246" t="s">
        <v>676</v>
      </c>
      <c r="AP25" s="1306"/>
      <c r="AQ25" s="1306"/>
      <c r="AR25" s="1305"/>
      <c r="AS25" s="1306"/>
      <c r="AT25" s="1307"/>
      <c r="AU25" s="1307"/>
      <c r="AV25" s="1307"/>
      <c r="AW25" s="1305"/>
      <c r="AX25" s="2252" t="s">
        <v>709</v>
      </c>
      <c r="AY25" s="4775"/>
      <c r="AZ25" s="4794">
        <f t="shared" si="44"/>
        <v>7.1580863367470586</v>
      </c>
      <c r="BA25" s="4794">
        <f t="shared" si="45"/>
        <v>6.6467944555508405</v>
      </c>
      <c r="BB25" s="4794">
        <f t="shared" si="46"/>
        <v>6.1355025743546223</v>
      </c>
      <c r="BC25" s="4794">
        <f t="shared" si="47"/>
        <v>6.1355025743546223</v>
      </c>
      <c r="BD25" s="4794">
        <f t="shared" si="48"/>
        <v>5.1129188119621851</v>
      </c>
      <c r="BE25" s="4794">
        <f t="shared" si="49"/>
        <v>10.22583762392437</v>
      </c>
      <c r="BF25" s="4794">
        <f t="shared" si="50"/>
        <v>5.1129188119621851</v>
      </c>
      <c r="BG25" s="4794">
        <f t="shared" si="51"/>
        <v>5.1129188119621851</v>
      </c>
      <c r="BH25" s="4794">
        <f t="shared" si="52"/>
        <v>31.700096634165547</v>
      </c>
      <c r="BI25" s="4794">
        <f t="shared" si="53"/>
        <v>7.1580863367470586</v>
      </c>
      <c r="BJ25" s="4794">
        <f t="shared" si="54"/>
        <v>6.6467944555508405</v>
      </c>
      <c r="BK25" s="4794">
        <f t="shared" si="55"/>
        <v>6.1355025743546223</v>
      </c>
      <c r="BL25" s="4794">
        <f t="shared" si="56"/>
        <v>6.1355025743546223</v>
      </c>
      <c r="BM25" s="4794">
        <f t="shared" si="57"/>
        <v>5.1129188119621851</v>
      </c>
      <c r="BN25" s="4794">
        <f t="shared" si="58"/>
        <v>10.22583762392437</v>
      </c>
      <c r="BO25" s="4794">
        <f t="shared" si="59"/>
        <v>5.1129188119621851</v>
      </c>
      <c r="BP25" s="4794">
        <f t="shared" si="60"/>
        <v>5.1129188119621851</v>
      </c>
      <c r="BQ25" s="4794">
        <f t="shared" si="61"/>
        <v>0</v>
      </c>
      <c r="BR25" s="4794">
        <f t="shared" si="62"/>
        <v>0</v>
      </c>
      <c r="BS25" s="4794">
        <f t="shared" si="63"/>
        <v>0</v>
      </c>
      <c r="BT25" s="4794">
        <f t="shared" si="64"/>
        <v>0</v>
      </c>
      <c r="BU25" s="4794">
        <f t="shared" si="65"/>
        <v>0</v>
      </c>
      <c r="BV25" s="4794">
        <f t="shared" si="66"/>
        <v>0</v>
      </c>
      <c r="BW25" s="4794">
        <f t="shared" si="67"/>
        <v>0</v>
      </c>
      <c r="BX25" s="4794">
        <f t="shared" si="68"/>
        <v>0</v>
      </c>
      <c r="BY25" s="4794">
        <f t="shared" si="69"/>
        <v>0</v>
      </c>
      <c r="BZ25" s="4794">
        <f t="shared" si="70"/>
        <v>0</v>
      </c>
      <c r="CA25" s="4794">
        <f t="shared" si="71"/>
        <v>0</v>
      </c>
      <c r="CB25" s="4794">
        <f t="shared" si="72"/>
        <v>0</v>
      </c>
      <c r="CC25" s="4794">
        <f t="shared" si="73"/>
        <v>0</v>
      </c>
      <c r="CD25" s="4794">
        <f t="shared" si="74"/>
        <v>0</v>
      </c>
      <c r="CE25" s="4794">
        <f t="shared" si="75"/>
        <v>0</v>
      </c>
      <c r="CF25" s="4794">
        <f t="shared" si="76"/>
        <v>0</v>
      </c>
    </row>
    <row r="26" spans="1:84" ht="24">
      <c r="A26" s="2237"/>
      <c r="B26" s="2238">
        <v>2030501</v>
      </c>
      <c r="C26" s="2238" t="s">
        <v>1808</v>
      </c>
      <c r="D26" s="2250">
        <v>0.1</v>
      </c>
      <c r="E26" s="2240" t="s">
        <v>653</v>
      </c>
      <c r="F26" s="2242">
        <f t="shared" si="36"/>
        <v>52</v>
      </c>
      <c r="G26" s="4376">
        <f t="shared" si="37"/>
        <v>132</v>
      </c>
      <c r="H26" s="2241">
        <f t="shared" si="38"/>
        <v>50</v>
      </c>
      <c r="I26" s="2242">
        <f t="shared" si="39"/>
        <v>50</v>
      </c>
      <c r="J26" s="2243">
        <f t="shared" si="40"/>
        <v>30</v>
      </c>
      <c r="K26" s="2243">
        <f t="shared" si="41"/>
        <v>25</v>
      </c>
      <c r="L26" s="2243">
        <f t="shared" si="42"/>
        <v>25</v>
      </c>
      <c r="M26" s="2244">
        <f t="shared" si="43"/>
        <v>25</v>
      </c>
      <c r="N26" s="2245">
        <f t="shared" si="77"/>
        <v>155</v>
      </c>
      <c r="O26" s="1304">
        <v>52</v>
      </c>
      <c r="P26" s="1306">
        <v>132</v>
      </c>
      <c r="Q26" s="1305">
        <v>50</v>
      </c>
      <c r="R26" s="1306">
        <v>50</v>
      </c>
      <c r="S26" s="1307">
        <v>30</v>
      </c>
      <c r="T26" s="1307">
        <v>25</v>
      </c>
      <c r="U26" s="1307">
        <v>25</v>
      </c>
      <c r="V26" s="1307">
        <v>25</v>
      </c>
      <c r="W26" s="1304"/>
      <c r="X26" s="1306"/>
      <c r="Y26" s="1305"/>
      <c r="Z26" s="1306"/>
      <c r="AA26" s="1307"/>
      <c r="AB26" s="1307"/>
      <c r="AC26" s="1307"/>
      <c r="AD26" s="1307"/>
      <c r="AE26" s="1304"/>
      <c r="AF26" s="1306"/>
      <c r="AG26" s="1305"/>
      <c r="AH26" s="1306"/>
      <c r="AI26" s="1307"/>
      <c r="AJ26" s="1307"/>
      <c r="AK26" s="1307"/>
      <c r="AL26" s="1308"/>
      <c r="AM26" s="1309"/>
      <c r="AN26" s="1310"/>
      <c r="AO26" s="2246" t="s">
        <v>676</v>
      </c>
      <c r="AP26" s="1306"/>
      <c r="AQ26" s="1306"/>
      <c r="AR26" s="1305"/>
      <c r="AS26" s="1306"/>
      <c r="AT26" s="1307"/>
      <c r="AU26" s="1307"/>
      <c r="AV26" s="1307"/>
      <c r="AW26" s="1305"/>
      <c r="AX26" s="2252" t="s">
        <v>654</v>
      </c>
      <c r="AY26" s="4775"/>
      <c r="AZ26" s="4794">
        <f t="shared" si="44"/>
        <v>26.587177822203362</v>
      </c>
      <c r="BA26" s="4794">
        <f t="shared" si="45"/>
        <v>67.490528317900839</v>
      </c>
      <c r="BB26" s="4794">
        <f t="shared" si="46"/>
        <v>25.564594059810926</v>
      </c>
      <c r="BC26" s="4794">
        <f t="shared" si="47"/>
        <v>25.564594059810926</v>
      </c>
      <c r="BD26" s="4794">
        <f t="shared" si="48"/>
        <v>15.338756435886555</v>
      </c>
      <c r="BE26" s="4794">
        <f t="shared" si="49"/>
        <v>12.782297029905463</v>
      </c>
      <c r="BF26" s="4794">
        <f t="shared" si="50"/>
        <v>12.782297029905463</v>
      </c>
      <c r="BG26" s="4794">
        <f t="shared" si="51"/>
        <v>12.782297029905463</v>
      </c>
      <c r="BH26" s="4794">
        <f t="shared" si="52"/>
        <v>79.25024158541386</v>
      </c>
      <c r="BI26" s="4794">
        <f t="shared" si="53"/>
        <v>26.587177822203362</v>
      </c>
      <c r="BJ26" s="4794">
        <f t="shared" si="54"/>
        <v>67.490528317900839</v>
      </c>
      <c r="BK26" s="4794">
        <f t="shared" si="55"/>
        <v>25.564594059810926</v>
      </c>
      <c r="BL26" s="4794">
        <f t="shared" si="56"/>
        <v>25.564594059810926</v>
      </c>
      <c r="BM26" s="4794">
        <f t="shared" si="57"/>
        <v>15.338756435886555</v>
      </c>
      <c r="BN26" s="4794">
        <f t="shared" si="58"/>
        <v>12.782297029905463</v>
      </c>
      <c r="BO26" s="4794">
        <f t="shared" si="59"/>
        <v>12.782297029905463</v>
      </c>
      <c r="BP26" s="4794">
        <f t="shared" si="60"/>
        <v>12.782297029905463</v>
      </c>
      <c r="BQ26" s="4794">
        <f t="shared" si="61"/>
        <v>0</v>
      </c>
      <c r="BR26" s="4794">
        <f t="shared" si="62"/>
        <v>0</v>
      </c>
      <c r="BS26" s="4794">
        <f t="shared" si="63"/>
        <v>0</v>
      </c>
      <c r="BT26" s="4794">
        <f t="shared" si="64"/>
        <v>0</v>
      </c>
      <c r="BU26" s="4794">
        <f t="shared" si="65"/>
        <v>0</v>
      </c>
      <c r="BV26" s="4794">
        <f t="shared" si="66"/>
        <v>0</v>
      </c>
      <c r="BW26" s="4794">
        <f t="shared" si="67"/>
        <v>0</v>
      </c>
      <c r="BX26" s="4794">
        <f t="shared" si="68"/>
        <v>0</v>
      </c>
      <c r="BY26" s="4794">
        <f t="shared" si="69"/>
        <v>0</v>
      </c>
      <c r="BZ26" s="4794">
        <f t="shared" si="70"/>
        <v>0</v>
      </c>
      <c r="CA26" s="4794">
        <f t="shared" si="71"/>
        <v>0</v>
      </c>
      <c r="CB26" s="4794">
        <f t="shared" si="72"/>
        <v>0</v>
      </c>
      <c r="CC26" s="4794">
        <f t="shared" si="73"/>
        <v>0</v>
      </c>
      <c r="CD26" s="4794">
        <f t="shared" si="74"/>
        <v>0</v>
      </c>
      <c r="CE26" s="4794">
        <f t="shared" si="75"/>
        <v>0</v>
      </c>
      <c r="CF26" s="4794">
        <f t="shared" si="76"/>
        <v>0</v>
      </c>
    </row>
    <row r="27" spans="1:84">
      <c r="A27" s="2237"/>
      <c r="B27" s="2238">
        <v>2030502</v>
      </c>
      <c r="C27" s="2238" t="s">
        <v>1809</v>
      </c>
      <c r="D27" s="2250">
        <v>0.1</v>
      </c>
      <c r="E27" s="2249" t="s">
        <v>368</v>
      </c>
      <c r="F27" s="2242">
        <f t="shared" si="36"/>
        <v>109</v>
      </c>
      <c r="G27" s="4376">
        <f t="shared" si="37"/>
        <v>33</v>
      </c>
      <c r="H27" s="2241">
        <f t="shared" si="38"/>
        <v>30</v>
      </c>
      <c r="I27" s="2242">
        <f t="shared" si="39"/>
        <v>20</v>
      </c>
      <c r="J27" s="2243">
        <f t="shared" si="40"/>
        <v>20</v>
      </c>
      <c r="K27" s="2243">
        <f t="shared" si="41"/>
        <v>20</v>
      </c>
      <c r="L27" s="2243">
        <f t="shared" si="42"/>
        <v>20</v>
      </c>
      <c r="M27" s="2244">
        <f t="shared" si="43"/>
        <v>20</v>
      </c>
      <c r="N27" s="2245">
        <f t="shared" si="77"/>
        <v>100</v>
      </c>
      <c r="O27" s="1304">
        <v>109</v>
      </c>
      <c r="P27" s="1306">
        <v>33</v>
      </c>
      <c r="Q27" s="1305">
        <v>30</v>
      </c>
      <c r="R27" s="1306">
        <v>20</v>
      </c>
      <c r="S27" s="1307">
        <v>20</v>
      </c>
      <c r="T27" s="1307">
        <v>20</v>
      </c>
      <c r="U27" s="1307">
        <v>20</v>
      </c>
      <c r="V27" s="1307">
        <v>20</v>
      </c>
      <c r="W27" s="1304"/>
      <c r="X27" s="1306"/>
      <c r="Y27" s="1305"/>
      <c r="Z27" s="1306"/>
      <c r="AA27" s="1307"/>
      <c r="AB27" s="1307"/>
      <c r="AC27" s="1307"/>
      <c r="AD27" s="1307"/>
      <c r="AE27" s="1304"/>
      <c r="AF27" s="1306"/>
      <c r="AG27" s="1305"/>
      <c r="AH27" s="1306"/>
      <c r="AI27" s="1307"/>
      <c r="AJ27" s="1307"/>
      <c r="AK27" s="1307"/>
      <c r="AL27" s="1308"/>
      <c r="AM27" s="1309"/>
      <c r="AN27" s="1311"/>
      <c r="AO27" s="2246" t="s">
        <v>676</v>
      </c>
      <c r="AP27" s="1306"/>
      <c r="AQ27" s="1306"/>
      <c r="AR27" s="1305"/>
      <c r="AS27" s="1306"/>
      <c r="AT27" s="1307"/>
      <c r="AU27" s="1307"/>
      <c r="AV27" s="1307"/>
      <c r="AW27" s="1305"/>
      <c r="AX27" s="2252" t="s">
        <v>708</v>
      </c>
      <c r="AY27" s="4775"/>
      <c r="AZ27" s="4794">
        <f t="shared" si="44"/>
        <v>55.730815050387818</v>
      </c>
      <c r="BA27" s="4794">
        <f t="shared" si="45"/>
        <v>16.87263207947521</v>
      </c>
      <c r="BB27" s="4794">
        <f t="shared" si="46"/>
        <v>15.338756435886555</v>
      </c>
      <c r="BC27" s="4794">
        <f t="shared" si="47"/>
        <v>10.22583762392437</v>
      </c>
      <c r="BD27" s="4794">
        <f t="shared" si="48"/>
        <v>10.22583762392437</v>
      </c>
      <c r="BE27" s="4794">
        <f t="shared" si="49"/>
        <v>10.22583762392437</v>
      </c>
      <c r="BF27" s="4794">
        <f t="shared" si="50"/>
        <v>10.22583762392437</v>
      </c>
      <c r="BG27" s="4794">
        <f t="shared" si="51"/>
        <v>10.22583762392437</v>
      </c>
      <c r="BH27" s="4794">
        <f t="shared" si="52"/>
        <v>51.129188119621851</v>
      </c>
      <c r="BI27" s="4794">
        <f t="shared" si="53"/>
        <v>55.730815050387818</v>
      </c>
      <c r="BJ27" s="4794">
        <f t="shared" si="54"/>
        <v>16.87263207947521</v>
      </c>
      <c r="BK27" s="4794">
        <f t="shared" si="55"/>
        <v>15.338756435886555</v>
      </c>
      <c r="BL27" s="4794">
        <f t="shared" si="56"/>
        <v>10.22583762392437</v>
      </c>
      <c r="BM27" s="4794">
        <f t="shared" si="57"/>
        <v>10.22583762392437</v>
      </c>
      <c r="BN27" s="4794">
        <f t="shared" si="58"/>
        <v>10.22583762392437</v>
      </c>
      <c r="BO27" s="4794">
        <f t="shared" si="59"/>
        <v>10.22583762392437</v>
      </c>
      <c r="BP27" s="4794">
        <f t="shared" si="60"/>
        <v>10.22583762392437</v>
      </c>
      <c r="BQ27" s="4794">
        <f t="shared" si="61"/>
        <v>0</v>
      </c>
      <c r="BR27" s="4794">
        <f t="shared" si="62"/>
        <v>0</v>
      </c>
      <c r="BS27" s="4794">
        <f t="shared" si="63"/>
        <v>0</v>
      </c>
      <c r="BT27" s="4794">
        <f t="shared" si="64"/>
        <v>0</v>
      </c>
      <c r="BU27" s="4794">
        <f t="shared" si="65"/>
        <v>0</v>
      </c>
      <c r="BV27" s="4794">
        <f t="shared" si="66"/>
        <v>0</v>
      </c>
      <c r="BW27" s="4794">
        <f t="shared" si="67"/>
        <v>0</v>
      </c>
      <c r="BX27" s="4794">
        <f t="shared" si="68"/>
        <v>0</v>
      </c>
      <c r="BY27" s="4794">
        <f t="shared" si="69"/>
        <v>0</v>
      </c>
      <c r="BZ27" s="4794">
        <f t="shared" si="70"/>
        <v>0</v>
      </c>
      <c r="CA27" s="4794">
        <f t="shared" si="71"/>
        <v>0</v>
      </c>
      <c r="CB27" s="4794">
        <f t="shared" si="72"/>
        <v>0</v>
      </c>
      <c r="CC27" s="4794">
        <f t="shared" si="73"/>
        <v>0</v>
      </c>
      <c r="CD27" s="4794">
        <f t="shared" si="74"/>
        <v>0</v>
      </c>
      <c r="CE27" s="4794">
        <f t="shared" si="75"/>
        <v>0</v>
      </c>
      <c r="CF27" s="4794">
        <f t="shared" si="76"/>
        <v>0</v>
      </c>
    </row>
    <row r="28" spans="1:84" ht="24">
      <c r="A28" s="2237"/>
      <c r="B28" s="2238">
        <v>215</v>
      </c>
      <c r="C28" s="2238" t="s">
        <v>1810</v>
      </c>
      <c r="D28" s="2248">
        <v>0.2</v>
      </c>
      <c r="E28" s="2240" t="s">
        <v>369</v>
      </c>
      <c r="F28" s="2242">
        <f t="shared" si="36"/>
        <v>6</v>
      </c>
      <c r="G28" s="4376">
        <f t="shared" si="37"/>
        <v>83</v>
      </c>
      <c r="H28" s="2241">
        <f t="shared" si="38"/>
        <v>10</v>
      </c>
      <c r="I28" s="2242">
        <f t="shared" si="39"/>
        <v>10</v>
      </c>
      <c r="J28" s="2243">
        <f t="shared" si="40"/>
        <v>10</v>
      </c>
      <c r="K28" s="2243">
        <f t="shared" si="41"/>
        <v>10</v>
      </c>
      <c r="L28" s="2243">
        <f t="shared" si="42"/>
        <v>10</v>
      </c>
      <c r="M28" s="2244">
        <f t="shared" si="43"/>
        <v>10</v>
      </c>
      <c r="N28" s="2245">
        <f t="shared" si="77"/>
        <v>50</v>
      </c>
      <c r="O28" s="1304">
        <v>6</v>
      </c>
      <c r="P28" s="1306">
        <v>83</v>
      </c>
      <c r="Q28" s="1305">
        <v>10</v>
      </c>
      <c r="R28" s="1306">
        <v>10</v>
      </c>
      <c r="S28" s="1307">
        <v>10</v>
      </c>
      <c r="T28" s="1307">
        <v>10</v>
      </c>
      <c r="U28" s="1307">
        <v>10</v>
      </c>
      <c r="V28" s="1307">
        <v>10</v>
      </c>
      <c r="W28" s="1304"/>
      <c r="X28" s="1306"/>
      <c r="Y28" s="1305"/>
      <c r="Z28" s="1306"/>
      <c r="AA28" s="1307"/>
      <c r="AB28" s="1307"/>
      <c r="AC28" s="1307"/>
      <c r="AD28" s="1307"/>
      <c r="AE28" s="1304"/>
      <c r="AF28" s="1306"/>
      <c r="AG28" s="1305"/>
      <c r="AH28" s="1306"/>
      <c r="AI28" s="1307"/>
      <c r="AJ28" s="1307"/>
      <c r="AK28" s="1307"/>
      <c r="AL28" s="1308"/>
      <c r="AM28" s="1309"/>
      <c r="AN28" s="1311"/>
      <c r="AO28" s="2253" t="s">
        <v>313</v>
      </c>
      <c r="AP28" s="1306"/>
      <c r="AQ28" s="1306"/>
      <c r="AR28" s="1305"/>
      <c r="AS28" s="1306"/>
      <c r="AT28" s="1307"/>
      <c r="AU28" s="1307"/>
      <c r="AV28" s="1307"/>
      <c r="AW28" s="1305"/>
      <c r="AX28" s="2247" t="s">
        <v>370</v>
      </c>
      <c r="AY28" s="4775"/>
      <c r="AZ28" s="4794">
        <f t="shared" si="44"/>
        <v>3.0677512871773112</v>
      </c>
      <c r="BA28" s="4794">
        <f t="shared" si="45"/>
        <v>42.437226139286132</v>
      </c>
      <c r="BB28" s="4794">
        <f t="shared" si="46"/>
        <v>5.1129188119621851</v>
      </c>
      <c r="BC28" s="4794">
        <f t="shared" si="47"/>
        <v>5.1129188119621851</v>
      </c>
      <c r="BD28" s="4794">
        <f t="shared" si="48"/>
        <v>5.1129188119621851</v>
      </c>
      <c r="BE28" s="4794">
        <f t="shared" si="49"/>
        <v>5.1129188119621851</v>
      </c>
      <c r="BF28" s="4794">
        <f t="shared" si="50"/>
        <v>5.1129188119621851</v>
      </c>
      <c r="BG28" s="4794">
        <f t="shared" si="51"/>
        <v>5.1129188119621851</v>
      </c>
      <c r="BH28" s="4794">
        <f t="shared" si="52"/>
        <v>25.564594059810926</v>
      </c>
      <c r="BI28" s="4794">
        <f t="shared" si="53"/>
        <v>3.0677512871773112</v>
      </c>
      <c r="BJ28" s="4794">
        <f t="shared" si="54"/>
        <v>42.437226139286132</v>
      </c>
      <c r="BK28" s="4794">
        <f t="shared" si="55"/>
        <v>5.1129188119621851</v>
      </c>
      <c r="BL28" s="4794">
        <f t="shared" si="56"/>
        <v>5.1129188119621851</v>
      </c>
      <c r="BM28" s="4794">
        <f t="shared" si="57"/>
        <v>5.1129188119621851</v>
      </c>
      <c r="BN28" s="4794">
        <f t="shared" si="58"/>
        <v>5.1129188119621851</v>
      </c>
      <c r="BO28" s="4794">
        <f t="shared" si="59"/>
        <v>5.1129188119621851</v>
      </c>
      <c r="BP28" s="4794">
        <f t="shared" si="60"/>
        <v>5.1129188119621851</v>
      </c>
      <c r="BQ28" s="4794">
        <f t="shared" si="61"/>
        <v>0</v>
      </c>
      <c r="BR28" s="4794">
        <f t="shared" si="62"/>
        <v>0</v>
      </c>
      <c r="BS28" s="4794">
        <f t="shared" si="63"/>
        <v>0</v>
      </c>
      <c r="BT28" s="4794">
        <f t="shared" si="64"/>
        <v>0</v>
      </c>
      <c r="BU28" s="4794">
        <f t="shared" si="65"/>
        <v>0</v>
      </c>
      <c r="BV28" s="4794">
        <f t="shared" si="66"/>
        <v>0</v>
      </c>
      <c r="BW28" s="4794">
        <f t="shared" si="67"/>
        <v>0</v>
      </c>
      <c r="BX28" s="4794">
        <f t="shared" si="68"/>
        <v>0</v>
      </c>
      <c r="BY28" s="4794">
        <f t="shared" si="69"/>
        <v>0</v>
      </c>
      <c r="BZ28" s="4794">
        <f t="shared" si="70"/>
        <v>0</v>
      </c>
      <c r="CA28" s="4794">
        <f t="shared" si="71"/>
        <v>0</v>
      </c>
      <c r="CB28" s="4794">
        <f t="shared" si="72"/>
        <v>0</v>
      </c>
      <c r="CC28" s="4794">
        <f t="shared" si="73"/>
        <v>0</v>
      </c>
      <c r="CD28" s="4794">
        <f t="shared" si="74"/>
        <v>0</v>
      </c>
      <c r="CE28" s="4794">
        <f t="shared" si="75"/>
        <v>0</v>
      </c>
      <c r="CF28" s="4794">
        <f t="shared" si="76"/>
        <v>0</v>
      </c>
    </row>
    <row r="29" spans="1:84">
      <c r="A29" s="2237"/>
      <c r="B29" s="2238">
        <v>2030503</v>
      </c>
      <c r="C29" s="2238" t="s">
        <v>1811</v>
      </c>
      <c r="D29" s="2239">
        <v>0.1</v>
      </c>
      <c r="E29" s="2240" t="s">
        <v>664</v>
      </c>
      <c r="F29" s="2242">
        <f t="shared" si="36"/>
        <v>0</v>
      </c>
      <c r="G29" s="4376">
        <f t="shared" si="37"/>
        <v>130</v>
      </c>
      <c r="H29" s="2241">
        <f t="shared" si="38"/>
        <v>0</v>
      </c>
      <c r="I29" s="2242">
        <f t="shared" si="39"/>
        <v>0</v>
      </c>
      <c r="J29" s="2243">
        <f t="shared" si="40"/>
        <v>0</v>
      </c>
      <c r="K29" s="2243">
        <f t="shared" si="41"/>
        <v>0</v>
      </c>
      <c r="L29" s="2243">
        <f t="shared" si="42"/>
        <v>0</v>
      </c>
      <c r="M29" s="2244">
        <f t="shared" si="43"/>
        <v>0</v>
      </c>
      <c r="N29" s="2245">
        <f t="shared" si="77"/>
        <v>0</v>
      </c>
      <c r="O29" s="1304"/>
      <c r="P29" s="1306">
        <v>130</v>
      </c>
      <c r="Q29" s="1305"/>
      <c r="R29" s="1306"/>
      <c r="S29" s="1307"/>
      <c r="T29" s="1307"/>
      <c r="U29" s="1307"/>
      <c r="V29" s="1307"/>
      <c r="W29" s="1304"/>
      <c r="X29" s="1306"/>
      <c r="Y29" s="1305"/>
      <c r="Z29" s="1306"/>
      <c r="AA29" s="1307"/>
      <c r="AB29" s="1307"/>
      <c r="AC29" s="1307"/>
      <c r="AD29" s="1307"/>
      <c r="AE29" s="1304"/>
      <c r="AF29" s="1306"/>
      <c r="AG29" s="1305"/>
      <c r="AH29" s="1306"/>
      <c r="AI29" s="1307"/>
      <c r="AJ29" s="1307"/>
      <c r="AK29" s="1307"/>
      <c r="AL29" s="1308"/>
      <c r="AM29" s="1309"/>
      <c r="AN29" s="1310"/>
      <c r="AO29" s="2246" t="s">
        <v>676</v>
      </c>
      <c r="AP29" s="1306"/>
      <c r="AQ29" s="1306"/>
      <c r="AR29" s="1305"/>
      <c r="AS29" s="1306"/>
      <c r="AT29" s="1307"/>
      <c r="AU29" s="1307"/>
      <c r="AV29" s="1307"/>
      <c r="AW29" s="1305"/>
      <c r="AX29" s="2247" t="s">
        <v>371</v>
      </c>
      <c r="AY29" s="4775"/>
      <c r="AZ29" s="4794">
        <f t="shared" si="44"/>
        <v>0</v>
      </c>
      <c r="BA29" s="4794">
        <f t="shared" si="45"/>
        <v>66.46794455550841</v>
      </c>
      <c r="BB29" s="4794">
        <f t="shared" si="46"/>
        <v>0</v>
      </c>
      <c r="BC29" s="4794">
        <f t="shared" si="47"/>
        <v>0</v>
      </c>
      <c r="BD29" s="4794">
        <f t="shared" si="48"/>
        <v>0</v>
      </c>
      <c r="BE29" s="4794">
        <f t="shared" si="49"/>
        <v>0</v>
      </c>
      <c r="BF29" s="4794">
        <f t="shared" si="50"/>
        <v>0</v>
      </c>
      <c r="BG29" s="4794">
        <f t="shared" si="51"/>
        <v>0</v>
      </c>
      <c r="BH29" s="4794">
        <f t="shared" si="52"/>
        <v>0</v>
      </c>
      <c r="BI29" s="4794">
        <f t="shared" si="53"/>
        <v>0</v>
      </c>
      <c r="BJ29" s="4794">
        <f t="shared" si="54"/>
        <v>66.46794455550841</v>
      </c>
      <c r="BK29" s="4794">
        <f t="shared" si="55"/>
        <v>0</v>
      </c>
      <c r="BL29" s="4794">
        <f t="shared" si="56"/>
        <v>0</v>
      </c>
      <c r="BM29" s="4794">
        <f t="shared" si="57"/>
        <v>0</v>
      </c>
      <c r="BN29" s="4794">
        <f t="shared" si="58"/>
        <v>0</v>
      </c>
      <c r="BO29" s="4794">
        <f t="shared" si="59"/>
        <v>0</v>
      </c>
      <c r="BP29" s="4794">
        <f t="shared" si="60"/>
        <v>0</v>
      </c>
      <c r="BQ29" s="4794">
        <f t="shared" si="61"/>
        <v>0</v>
      </c>
      <c r="BR29" s="4794">
        <f t="shared" si="62"/>
        <v>0</v>
      </c>
      <c r="BS29" s="4794">
        <f t="shared" si="63"/>
        <v>0</v>
      </c>
      <c r="BT29" s="4794">
        <f t="shared" si="64"/>
        <v>0</v>
      </c>
      <c r="BU29" s="4794">
        <f t="shared" si="65"/>
        <v>0</v>
      </c>
      <c r="BV29" s="4794">
        <f t="shared" si="66"/>
        <v>0</v>
      </c>
      <c r="BW29" s="4794">
        <f t="shared" si="67"/>
        <v>0</v>
      </c>
      <c r="BX29" s="4794">
        <f t="shared" si="68"/>
        <v>0</v>
      </c>
      <c r="BY29" s="4794">
        <f t="shared" si="69"/>
        <v>0</v>
      </c>
      <c r="BZ29" s="4794">
        <f t="shared" si="70"/>
        <v>0</v>
      </c>
      <c r="CA29" s="4794">
        <f t="shared" si="71"/>
        <v>0</v>
      </c>
      <c r="CB29" s="4794">
        <f t="shared" si="72"/>
        <v>0</v>
      </c>
      <c r="CC29" s="4794">
        <f t="shared" si="73"/>
        <v>0</v>
      </c>
      <c r="CD29" s="4794">
        <f t="shared" si="74"/>
        <v>0</v>
      </c>
      <c r="CE29" s="4794">
        <f t="shared" si="75"/>
        <v>0</v>
      </c>
      <c r="CF29" s="4794">
        <f t="shared" si="76"/>
        <v>0</v>
      </c>
    </row>
    <row r="30" spans="1:84">
      <c r="A30" s="2254"/>
      <c r="B30" s="2238">
        <v>20302</v>
      </c>
      <c r="C30" s="2238" t="s">
        <v>1812</v>
      </c>
      <c r="D30" s="2239">
        <v>0.1</v>
      </c>
      <c r="E30" s="2240" t="s">
        <v>372</v>
      </c>
      <c r="F30" s="2242">
        <f t="shared" si="36"/>
        <v>0</v>
      </c>
      <c r="G30" s="4376">
        <f t="shared" si="37"/>
        <v>0</v>
      </c>
      <c r="H30" s="2241">
        <f t="shared" si="38"/>
        <v>0</v>
      </c>
      <c r="I30" s="2242">
        <f t="shared" si="39"/>
        <v>0</v>
      </c>
      <c r="J30" s="2243">
        <f t="shared" si="40"/>
        <v>0</v>
      </c>
      <c r="K30" s="2243">
        <f t="shared" si="41"/>
        <v>0</v>
      </c>
      <c r="L30" s="2243">
        <f t="shared" si="42"/>
        <v>0</v>
      </c>
      <c r="M30" s="2244">
        <f t="shared" si="43"/>
        <v>0</v>
      </c>
      <c r="N30" s="2245">
        <f t="shared" si="77"/>
        <v>0</v>
      </c>
      <c r="O30" s="1304"/>
      <c r="P30" s="1306"/>
      <c r="Q30" s="1305"/>
      <c r="R30" s="1306"/>
      <c r="S30" s="1307"/>
      <c r="T30" s="1307"/>
      <c r="U30" s="1307"/>
      <c r="V30" s="1307"/>
      <c r="W30" s="1304"/>
      <c r="X30" s="1306"/>
      <c r="Y30" s="1305"/>
      <c r="Z30" s="1306"/>
      <c r="AA30" s="1307"/>
      <c r="AB30" s="1307"/>
      <c r="AC30" s="1307"/>
      <c r="AD30" s="1307"/>
      <c r="AE30" s="1304"/>
      <c r="AF30" s="1306"/>
      <c r="AG30" s="1305"/>
      <c r="AH30" s="1306"/>
      <c r="AI30" s="1307"/>
      <c r="AJ30" s="1307"/>
      <c r="AK30" s="1307"/>
      <c r="AL30" s="1308"/>
      <c r="AM30" s="1309"/>
      <c r="AN30" s="1310"/>
      <c r="AO30" s="2246" t="s">
        <v>676</v>
      </c>
      <c r="AP30" s="1306"/>
      <c r="AQ30" s="1306"/>
      <c r="AR30" s="1305"/>
      <c r="AS30" s="1306"/>
      <c r="AT30" s="1307"/>
      <c r="AU30" s="1307"/>
      <c r="AV30" s="1307"/>
      <c r="AW30" s="1305"/>
      <c r="AX30" s="2247" t="s">
        <v>373</v>
      </c>
      <c r="AY30" s="4775"/>
      <c r="AZ30" s="4794">
        <f t="shared" si="44"/>
        <v>0</v>
      </c>
      <c r="BA30" s="4794">
        <f t="shared" si="45"/>
        <v>0</v>
      </c>
      <c r="BB30" s="4794">
        <f t="shared" si="46"/>
        <v>0</v>
      </c>
      <c r="BC30" s="4794">
        <f t="shared" si="47"/>
        <v>0</v>
      </c>
      <c r="BD30" s="4794">
        <f t="shared" si="48"/>
        <v>0</v>
      </c>
      <c r="BE30" s="4794">
        <f t="shared" si="49"/>
        <v>0</v>
      </c>
      <c r="BF30" s="4794">
        <f t="shared" si="50"/>
        <v>0</v>
      </c>
      <c r="BG30" s="4794">
        <f t="shared" si="51"/>
        <v>0</v>
      </c>
      <c r="BH30" s="4794">
        <f t="shared" si="52"/>
        <v>0</v>
      </c>
      <c r="BI30" s="4794">
        <f t="shared" si="53"/>
        <v>0</v>
      </c>
      <c r="BJ30" s="4794">
        <f t="shared" si="54"/>
        <v>0</v>
      </c>
      <c r="BK30" s="4794">
        <f t="shared" si="55"/>
        <v>0</v>
      </c>
      <c r="BL30" s="4794">
        <f t="shared" si="56"/>
        <v>0</v>
      </c>
      <c r="BM30" s="4794">
        <f t="shared" si="57"/>
        <v>0</v>
      </c>
      <c r="BN30" s="4794">
        <f t="shared" si="58"/>
        <v>0</v>
      </c>
      <c r="BO30" s="4794">
        <f t="shared" si="59"/>
        <v>0</v>
      </c>
      <c r="BP30" s="4794">
        <f t="shared" si="60"/>
        <v>0</v>
      </c>
      <c r="BQ30" s="4794">
        <f t="shared" si="61"/>
        <v>0</v>
      </c>
      <c r="BR30" s="4794">
        <f t="shared" si="62"/>
        <v>0</v>
      </c>
      <c r="BS30" s="4794">
        <f t="shared" si="63"/>
        <v>0</v>
      </c>
      <c r="BT30" s="4794">
        <f t="shared" si="64"/>
        <v>0</v>
      </c>
      <c r="BU30" s="4794">
        <f t="shared" si="65"/>
        <v>0</v>
      </c>
      <c r="BV30" s="4794">
        <f t="shared" si="66"/>
        <v>0</v>
      </c>
      <c r="BW30" s="4794">
        <f t="shared" si="67"/>
        <v>0</v>
      </c>
      <c r="BX30" s="4794">
        <f t="shared" si="68"/>
        <v>0</v>
      </c>
      <c r="BY30" s="4794">
        <f t="shared" si="69"/>
        <v>0</v>
      </c>
      <c r="BZ30" s="4794">
        <f t="shared" si="70"/>
        <v>0</v>
      </c>
      <c r="CA30" s="4794">
        <f t="shared" si="71"/>
        <v>0</v>
      </c>
      <c r="CB30" s="4794">
        <f t="shared" si="72"/>
        <v>0</v>
      </c>
      <c r="CC30" s="4794">
        <f t="shared" si="73"/>
        <v>0</v>
      </c>
      <c r="CD30" s="4794">
        <f t="shared" si="74"/>
        <v>0</v>
      </c>
      <c r="CE30" s="4794">
        <f t="shared" si="75"/>
        <v>0</v>
      </c>
      <c r="CF30" s="4794">
        <f t="shared" si="76"/>
        <v>0</v>
      </c>
    </row>
    <row r="31" spans="1:84" ht="24">
      <c r="A31" s="2254"/>
      <c r="B31" s="2238">
        <v>20502</v>
      </c>
      <c r="C31" s="2238" t="s">
        <v>1813</v>
      </c>
      <c r="D31" s="2239">
        <v>0.1</v>
      </c>
      <c r="E31" s="2240" t="s">
        <v>374</v>
      </c>
      <c r="F31" s="2242">
        <f t="shared" si="36"/>
        <v>0</v>
      </c>
      <c r="G31" s="4376">
        <f t="shared" si="37"/>
        <v>0</v>
      </c>
      <c r="H31" s="2241">
        <f t="shared" si="38"/>
        <v>0</v>
      </c>
      <c r="I31" s="2242">
        <f t="shared" si="39"/>
        <v>0</v>
      </c>
      <c r="J31" s="2243">
        <f t="shared" si="40"/>
        <v>0</v>
      </c>
      <c r="K31" s="2243">
        <f t="shared" si="41"/>
        <v>0</v>
      </c>
      <c r="L31" s="2243">
        <f t="shared" si="42"/>
        <v>0</v>
      </c>
      <c r="M31" s="2244">
        <f t="shared" si="43"/>
        <v>0</v>
      </c>
      <c r="N31" s="2245">
        <f t="shared" si="77"/>
        <v>0</v>
      </c>
      <c r="O31" s="1304"/>
      <c r="P31" s="1306"/>
      <c r="Q31" s="1305"/>
      <c r="R31" s="1306"/>
      <c r="S31" s="1307"/>
      <c r="T31" s="1307"/>
      <c r="U31" s="1307"/>
      <c r="V31" s="1307"/>
      <c r="W31" s="1304"/>
      <c r="X31" s="1306"/>
      <c r="Y31" s="1305"/>
      <c r="Z31" s="1306"/>
      <c r="AA31" s="1307"/>
      <c r="AB31" s="1307"/>
      <c r="AC31" s="1307"/>
      <c r="AD31" s="1307"/>
      <c r="AE31" s="1304"/>
      <c r="AF31" s="1306"/>
      <c r="AG31" s="1305"/>
      <c r="AH31" s="1306"/>
      <c r="AI31" s="1307"/>
      <c r="AJ31" s="1307"/>
      <c r="AK31" s="1307"/>
      <c r="AL31" s="1308"/>
      <c r="AM31" s="1309"/>
      <c r="AN31" s="1311"/>
      <c r="AO31" s="2246" t="s">
        <v>676</v>
      </c>
      <c r="AP31" s="1306"/>
      <c r="AQ31" s="1306"/>
      <c r="AR31" s="1305"/>
      <c r="AS31" s="1306"/>
      <c r="AT31" s="1307"/>
      <c r="AU31" s="1307"/>
      <c r="AV31" s="1307"/>
      <c r="AW31" s="1305"/>
      <c r="AX31" s="2247" t="s">
        <v>375</v>
      </c>
      <c r="AY31" s="4775"/>
      <c r="AZ31" s="4794">
        <f t="shared" si="44"/>
        <v>0</v>
      </c>
      <c r="BA31" s="4794">
        <f t="shared" si="45"/>
        <v>0</v>
      </c>
      <c r="BB31" s="4794">
        <f t="shared" si="46"/>
        <v>0</v>
      </c>
      <c r="BC31" s="4794">
        <f t="shared" si="47"/>
        <v>0</v>
      </c>
      <c r="BD31" s="4794">
        <f t="shared" si="48"/>
        <v>0</v>
      </c>
      <c r="BE31" s="4794">
        <f t="shared" si="49"/>
        <v>0</v>
      </c>
      <c r="BF31" s="4794">
        <f t="shared" si="50"/>
        <v>0</v>
      </c>
      <c r="BG31" s="4794">
        <f t="shared" si="51"/>
        <v>0</v>
      </c>
      <c r="BH31" s="4794">
        <f t="shared" si="52"/>
        <v>0</v>
      </c>
      <c r="BI31" s="4794">
        <f t="shared" si="53"/>
        <v>0</v>
      </c>
      <c r="BJ31" s="4794">
        <f t="shared" si="54"/>
        <v>0</v>
      </c>
      <c r="BK31" s="4794">
        <f t="shared" si="55"/>
        <v>0</v>
      </c>
      <c r="BL31" s="4794">
        <f t="shared" si="56"/>
        <v>0</v>
      </c>
      <c r="BM31" s="4794">
        <f t="shared" si="57"/>
        <v>0</v>
      </c>
      <c r="BN31" s="4794">
        <f t="shared" si="58"/>
        <v>0</v>
      </c>
      <c r="BO31" s="4794">
        <f t="shared" si="59"/>
        <v>0</v>
      </c>
      <c r="BP31" s="4794">
        <f t="shared" si="60"/>
        <v>0</v>
      </c>
      <c r="BQ31" s="4794">
        <f t="shared" si="61"/>
        <v>0</v>
      </c>
      <c r="BR31" s="4794">
        <f t="shared" si="62"/>
        <v>0</v>
      </c>
      <c r="BS31" s="4794">
        <f t="shared" si="63"/>
        <v>0</v>
      </c>
      <c r="BT31" s="4794">
        <f t="shared" si="64"/>
        <v>0</v>
      </c>
      <c r="BU31" s="4794">
        <f t="shared" si="65"/>
        <v>0</v>
      </c>
      <c r="BV31" s="4794">
        <f t="shared" si="66"/>
        <v>0</v>
      </c>
      <c r="BW31" s="4794">
        <f t="shared" si="67"/>
        <v>0</v>
      </c>
      <c r="BX31" s="4794">
        <f t="shared" si="68"/>
        <v>0</v>
      </c>
      <c r="BY31" s="4794">
        <f t="shared" si="69"/>
        <v>0</v>
      </c>
      <c r="BZ31" s="4794">
        <f t="shared" si="70"/>
        <v>0</v>
      </c>
      <c r="CA31" s="4794">
        <f t="shared" si="71"/>
        <v>0</v>
      </c>
      <c r="CB31" s="4794">
        <f t="shared" si="72"/>
        <v>0</v>
      </c>
      <c r="CC31" s="4794">
        <f t="shared" si="73"/>
        <v>0</v>
      </c>
      <c r="CD31" s="4794">
        <f t="shared" si="74"/>
        <v>0</v>
      </c>
      <c r="CE31" s="4794">
        <f t="shared" si="75"/>
        <v>0</v>
      </c>
      <c r="CF31" s="4794">
        <f t="shared" si="76"/>
        <v>0</v>
      </c>
    </row>
    <row r="32" spans="1:84" ht="24">
      <c r="A32" s="2254"/>
      <c r="B32" s="2238">
        <v>20501</v>
      </c>
      <c r="C32" s="2238" t="s">
        <v>1814</v>
      </c>
      <c r="D32" s="2239">
        <v>0.08</v>
      </c>
      <c r="E32" s="2240" t="s">
        <v>376</v>
      </c>
      <c r="F32" s="2242">
        <f t="shared" si="36"/>
        <v>0</v>
      </c>
      <c r="G32" s="4376">
        <f t="shared" si="37"/>
        <v>1031</v>
      </c>
      <c r="H32" s="2241">
        <f t="shared" si="38"/>
        <v>0</v>
      </c>
      <c r="I32" s="2242">
        <f t="shared" si="39"/>
        <v>0</v>
      </c>
      <c r="J32" s="2243">
        <f t="shared" si="40"/>
        <v>0</v>
      </c>
      <c r="K32" s="2243">
        <f t="shared" si="41"/>
        <v>0</v>
      </c>
      <c r="L32" s="2243">
        <f t="shared" si="42"/>
        <v>300</v>
      </c>
      <c r="M32" s="2244">
        <f t="shared" si="43"/>
        <v>0</v>
      </c>
      <c r="N32" s="2245">
        <f t="shared" si="77"/>
        <v>300</v>
      </c>
      <c r="O32" s="1304"/>
      <c r="P32" s="1306">
        <v>1031</v>
      </c>
      <c r="Q32" s="1305"/>
      <c r="R32" s="1306"/>
      <c r="S32" s="1307"/>
      <c r="T32" s="1307"/>
      <c r="U32" s="1307">
        <v>300</v>
      </c>
      <c r="V32" s="1307"/>
      <c r="W32" s="1304"/>
      <c r="X32" s="1306"/>
      <c r="Y32" s="1305"/>
      <c r="Z32" s="1306"/>
      <c r="AA32" s="1307"/>
      <c r="AB32" s="1307"/>
      <c r="AC32" s="1307"/>
      <c r="AD32" s="1307"/>
      <c r="AE32" s="1304"/>
      <c r="AF32" s="1306"/>
      <c r="AG32" s="1305"/>
      <c r="AH32" s="1306"/>
      <c r="AI32" s="1307"/>
      <c r="AJ32" s="1307"/>
      <c r="AK32" s="1307"/>
      <c r="AL32" s="1308"/>
      <c r="AM32" s="1309"/>
      <c r="AN32" s="1311"/>
      <c r="AO32" s="2246" t="s">
        <v>676</v>
      </c>
      <c r="AP32" s="1306"/>
      <c r="AQ32" s="1306"/>
      <c r="AR32" s="1305"/>
      <c r="AS32" s="1306"/>
      <c r="AT32" s="1307"/>
      <c r="AU32" s="1307"/>
      <c r="AV32" s="1307"/>
      <c r="AW32" s="1305"/>
      <c r="AX32" s="2247" t="s">
        <v>375</v>
      </c>
      <c r="AY32" s="4775"/>
      <c r="AZ32" s="4794">
        <f t="shared" si="44"/>
        <v>0</v>
      </c>
      <c r="BA32" s="4794">
        <f t="shared" si="45"/>
        <v>527.14192951330131</v>
      </c>
      <c r="BB32" s="4794">
        <f t="shared" si="46"/>
        <v>0</v>
      </c>
      <c r="BC32" s="4794">
        <f t="shared" si="47"/>
        <v>0</v>
      </c>
      <c r="BD32" s="4794">
        <f t="shared" si="48"/>
        <v>0</v>
      </c>
      <c r="BE32" s="4794">
        <f t="shared" si="49"/>
        <v>0</v>
      </c>
      <c r="BF32" s="4794">
        <f t="shared" si="50"/>
        <v>153.38756435886555</v>
      </c>
      <c r="BG32" s="4794">
        <f t="shared" si="51"/>
        <v>0</v>
      </c>
      <c r="BH32" s="4794">
        <f t="shared" si="52"/>
        <v>153.38756435886555</v>
      </c>
      <c r="BI32" s="4794">
        <f t="shared" si="53"/>
        <v>0</v>
      </c>
      <c r="BJ32" s="4794">
        <f t="shared" si="54"/>
        <v>527.14192951330131</v>
      </c>
      <c r="BK32" s="4794">
        <f t="shared" si="55"/>
        <v>0</v>
      </c>
      <c r="BL32" s="4794">
        <f t="shared" si="56"/>
        <v>0</v>
      </c>
      <c r="BM32" s="4794">
        <f t="shared" si="57"/>
        <v>0</v>
      </c>
      <c r="BN32" s="4794">
        <f t="shared" si="58"/>
        <v>0</v>
      </c>
      <c r="BO32" s="4794">
        <f t="shared" si="59"/>
        <v>153.38756435886555</v>
      </c>
      <c r="BP32" s="4794">
        <f t="shared" si="60"/>
        <v>0</v>
      </c>
      <c r="BQ32" s="4794">
        <f t="shared" si="61"/>
        <v>0</v>
      </c>
      <c r="BR32" s="4794">
        <f t="shared" si="62"/>
        <v>0</v>
      </c>
      <c r="BS32" s="4794">
        <f t="shared" si="63"/>
        <v>0</v>
      </c>
      <c r="BT32" s="4794">
        <f t="shared" si="64"/>
        <v>0</v>
      </c>
      <c r="BU32" s="4794">
        <f t="shared" si="65"/>
        <v>0</v>
      </c>
      <c r="BV32" s="4794">
        <f t="shared" si="66"/>
        <v>0</v>
      </c>
      <c r="BW32" s="4794">
        <f t="shared" si="67"/>
        <v>0</v>
      </c>
      <c r="BX32" s="4794">
        <f t="shared" si="68"/>
        <v>0</v>
      </c>
      <c r="BY32" s="4794">
        <f t="shared" si="69"/>
        <v>0</v>
      </c>
      <c r="BZ32" s="4794">
        <f t="shared" si="70"/>
        <v>0</v>
      </c>
      <c r="CA32" s="4794">
        <f t="shared" si="71"/>
        <v>0</v>
      </c>
      <c r="CB32" s="4794">
        <f t="shared" si="72"/>
        <v>0</v>
      </c>
      <c r="CC32" s="4794">
        <f t="shared" si="73"/>
        <v>0</v>
      </c>
      <c r="CD32" s="4794">
        <f t="shared" si="74"/>
        <v>0</v>
      </c>
      <c r="CE32" s="4794">
        <f t="shared" si="75"/>
        <v>0</v>
      </c>
      <c r="CF32" s="4794">
        <f t="shared" si="76"/>
        <v>0</v>
      </c>
    </row>
    <row r="33" spans="1:84">
      <c r="A33" s="2254"/>
      <c r="B33" s="2238">
        <v>20503</v>
      </c>
      <c r="C33" s="2238" t="s">
        <v>1815</v>
      </c>
      <c r="D33" s="2239">
        <v>0.1</v>
      </c>
      <c r="E33" s="2249" t="s">
        <v>674</v>
      </c>
      <c r="F33" s="2242">
        <f t="shared" si="36"/>
        <v>0</v>
      </c>
      <c r="G33" s="4376">
        <f t="shared" si="37"/>
        <v>0</v>
      </c>
      <c r="H33" s="2241">
        <f t="shared" si="38"/>
        <v>0</v>
      </c>
      <c r="I33" s="2242">
        <f t="shared" si="39"/>
        <v>0</v>
      </c>
      <c r="J33" s="2243">
        <f t="shared" si="40"/>
        <v>0</v>
      </c>
      <c r="K33" s="2243">
        <f t="shared" si="41"/>
        <v>0</v>
      </c>
      <c r="L33" s="2243">
        <f t="shared" si="42"/>
        <v>0</v>
      </c>
      <c r="M33" s="2244">
        <f t="shared" si="43"/>
        <v>0</v>
      </c>
      <c r="N33" s="2245">
        <f t="shared" si="77"/>
        <v>0</v>
      </c>
      <c r="O33" s="1304"/>
      <c r="P33" s="1306"/>
      <c r="Q33" s="1305"/>
      <c r="R33" s="1306"/>
      <c r="S33" s="1307"/>
      <c r="T33" s="1307"/>
      <c r="U33" s="1307"/>
      <c r="V33" s="1307"/>
      <c r="W33" s="1304"/>
      <c r="X33" s="1306"/>
      <c r="Y33" s="1305"/>
      <c r="Z33" s="1306"/>
      <c r="AA33" s="1307"/>
      <c r="AB33" s="1307"/>
      <c r="AC33" s="1307"/>
      <c r="AD33" s="1307"/>
      <c r="AE33" s="1304"/>
      <c r="AF33" s="1306"/>
      <c r="AG33" s="1305"/>
      <c r="AH33" s="1306"/>
      <c r="AI33" s="1307"/>
      <c r="AJ33" s="1307"/>
      <c r="AK33" s="1307"/>
      <c r="AL33" s="1308"/>
      <c r="AM33" s="1309"/>
      <c r="AN33" s="1310"/>
      <c r="AO33" s="2246" t="s">
        <v>676</v>
      </c>
      <c r="AP33" s="1306"/>
      <c r="AQ33" s="1306"/>
      <c r="AR33" s="1305"/>
      <c r="AS33" s="1306"/>
      <c r="AT33" s="1307"/>
      <c r="AU33" s="1307"/>
      <c r="AV33" s="1307"/>
      <c r="AW33" s="1305"/>
      <c r="AX33" s="2247" t="s">
        <v>375</v>
      </c>
      <c r="AY33" s="4775"/>
      <c r="AZ33" s="4794">
        <f t="shared" si="44"/>
        <v>0</v>
      </c>
      <c r="BA33" s="4794">
        <f t="shared" si="45"/>
        <v>0</v>
      </c>
      <c r="BB33" s="4794">
        <f t="shared" si="46"/>
        <v>0</v>
      </c>
      <c r="BC33" s="4794">
        <f t="shared" si="47"/>
        <v>0</v>
      </c>
      <c r="BD33" s="4794">
        <f t="shared" si="48"/>
        <v>0</v>
      </c>
      <c r="BE33" s="4794">
        <f t="shared" si="49"/>
        <v>0</v>
      </c>
      <c r="BF33" s="4794">
        <f t="shared" si="50"/>
        <v>0</v>
      </c>
      <c r="BG33" s="4794">
        <f t="shared" si="51"/>
        <v>0</v>
      </c>
      <c r="BH33" s="4794">
        <f t="shared" si="52"/>
        <v>0</v>
      </c>
      <c r="BI33" s="4794">
        <f t="shared" si="53"/>
        <v>0</v>
      </c>
      <c r="BJ33" s="4794">
        <f t="shared" si="54"/>
        <v>0</v>
      </c>
      <c r="BK33" s="4794">
        <f t="shared" si="55"/>
        <v>0</v>
      </c>
      <c r="BL33" s="4794">
        <f t="shared" si="56"/>
        <v>0</v>
      </c>
      <c r="BM33" s="4794">
        <f t="shared" si="57"/>
        <v>0</v>
      </c>
      <c r="BN33" s="4794">
        <f t="shared" si="58"/>
        <v>0</v>
      </c>
      <c r="BO33" s="4794">
        <f t="shared" si="59"/>
        <v>0</v>
      </c>
      <c r="BP33" s="4794">
        <f t="shared" si="60"/>
        <v>0</v>
      </c>
      <c r="BQ33" s="4794">
        <f t="shared" si="61"/>
        <v>0</v>
      </c>
      <c r="BR33" s="4794">
        <f t="shared" si="62"/>
        <v>0</v>
      </c>
      <c r="BS33" s="4794">
        <f t="shared" si="63"/>
        <v>0</v>
      </c>
      <c r="BT33" s="4794">
        <f t="shared" si="64"/>
        <v>0</v>
      </c>
      <c r="BU33" s="4794">
        <f t="shared" si="65"/>
        <v>0</v>
      </c>
      <c r="BV33" s="4794">
        <f t="shared" si="66"/>
        <v>0</v>
      </c>
      <c r="BW33" s="4794">
        <f t="shared" si="67"/>
        <v>0</v>
      </c>
      <c r="BX33" s="4794">
        <f t="shared" si="68"/>
        <v>0</v>
      </c>
      <c r="BY33" s="4794">
        <f t="shared" si="69"/>
        <v>0</v>
      </c>
      <c r="BZ33" s="4794">
        <f t="shared" si="70"/>
        <v>0</v>
      </c>
      <c r="CA33" s="4794">
        <f t="shared" si="71"/>
        <v>0</v>
      </c>
      <c r="CB33" s="4794">
        <f t="shared" si="72"/>
        <v>0</v>
      </c>
      <c r="CC33" s="4794">
        <f t="shared" si="73"/>
        <v>0</v>
      </c>
      <c r="CD33" s="4794">
        <f t="shared" si="74"/>
        <v>0</v>
      </c>
      <c r="CE33" s="4794">
        <f t="shared" si="75"/>
        <v>0</v>
      </c>
      <c r="CF33" s="4794">
        <f t="shared" si="76"/>
        <v>0</v>
      </c>
    </row>
    <row r="34" spans="1:84" ht="24">
      <c r="A34" s="2254"/>
      <c r="B34" s="2238">
        <v>20303</v>
      </c>
      <c r="C34" s="2238" t="s">
        <v>1816</v>
      </c>
      <c r="D34" s="2239">
        <v>0.1</v>
      </c>
      <c r="E34" s="2240" t="s">
        <v>377</v>
      </c>
      <c r="F34" s="2242">
        <f t="shared" si="36"/>
        <v>925</v>
      </c>
      <c r="G34" s="4376">
        <f t="shared" si="37"/>
        <v>904</v>
      </c>
      <c r="H34" s="2241">
        <f t="shared" si="38"/>
        <v>0</v>
      </c>
      <c r="I34" s="2242">
        <f t="shared" si="39"/>
        <v>0</v>
      </c>
      <c r="J34" s="2243">
        <f t="shared" si="40"/>
        <v>0</v>
      </c>
      <c r="K34" s="2243">
        <f t="shared" si="41"/>
        <v>100</v>
      </c>
      <c r="L34" s="2243">
        <f t="shared" si="42"/>
        <v>100</v>
      </c>
      <c r="M34" s="2244">
        <f t="shared" si="43"/>
        <v>0</v>
      </c>
      <c r="N34" s="2245">
        <f t="shared" si="77"/>
        <v>200</v>
      </c>
      <c r="O34" s="1304">
        <v>925</v>
      </c>
      <c r="P34" s="1306">
        <v>904</v>
      </c>
      <c r="Q34" s="1305"/>
      <c r="R34" s="1306"/>
      <c r="S34" s="1307"/>
      <c r="T34" s="1307">
        <v>100</v>
      </c>
      <c r="U34" s="1307">
        <v>100</v>
      </c>
      <c r="V34" s="1307"/>
      <c r="W34" s="1304"/>
      <c r="X34" s="1306"/>
      <c r="Y34" s="1305"/>
      <c r="Z34" s="1306"/>
      <c r="AA34" s="1307"/>
      <c r="AB34" s="1307"/>
      <c r="AC34" s="1307"/>
      <c r="AD34" s="1307"/>
      <c r="AE34" s="1304"/>
      <c r="AF34" s="1306"/>
      <c r="AG34" s="1305"/>
      <c r="AH34" s="1306"/>
      <c r="AI34" s="1307"/>
      <c r="AJ34" s="1307"/>
      <c r="AK34" s="1307"/>
      <c r="AL34" s="1308"/>
      <c r="AM34" s="1309"/>
      <c r="AN34" s="1310"/>
      <c r="AO34" s="2246" t="s">
        <v>676</v>
      </c>
      <c r="AP34" s="1306"/>
      <c r="AQ34" s="1306"/>
      <c r="AR34" s="1305"/>
      <c r="AS34" s="1306"/>
      <c r="AT34" s="1307"/>
      <c r="AU34" s="1307"/>
      <c r="AV34" s="1307"/>
      <c r="AW34" s="1305"/>
      <c r="AX34" s="2247" t="s">
        <v>375</v>
      </c>
      <c r="AY34" s="4775"/>
      <c r="AZ34" s="4794">
        <f t="shared" si="44"/>
        <v>472.94499010650213</v>
      </c>
      <c r="BA34" s="4794">
        <f t="shared" si="45"/>
        <v>462.20786060138153</v>
      </c>
      <c r="BB34" s="4794">
        <f t="shared" si="46"/>
        <v>0</v>
      </c>
      <c r="BC34" s="4794">
        <f t="shared" si="47"/>
        <v>0</v>
      </c>
      <c r="BD34" s="4794">
        <f t="shared" si="48"/>
        <v>0</v>
      </c>
      <c r="BE34" s="4794">
        <f t="shared" si="49"/>
        <v>51.129188119621851</v>
      </c>
      <c r="BF34" s="4794">
        <f t="shared" si="50"/>
        <v>51.129188119621851</v>
      </c>
      <c r="BG34" s="4794">
        <f t="shared" si="51"/>
        <v>0</v>
      </c>
      <c r="BH34" s="4794">
        <f t="shared" si="52"/>
        <v>102.2583762392437</v>
      </c>
      <c r="BI34" s="4794">
        <f t="shared" si="53"/>
        <v>472.94499010650213</v>
      </c>
      <c r="BJ34" s="4794">
        <f t="shared" si="54"/>
        <v>462.20786060138153</v>
      </c>
      <c r="BK34" s="4794">
        <f t="shared" si="55"/>
        <v>0</v>
      </c>
      <c r="BL34" s="4794">
        <f t="shared" si="56"/>
        <v>0</v>
      </c>
      <c r="BM34" s="4794">
        <f t="shared" si="57"/>
        <v>0</v>
      </c>
      <c r="BN34" s="4794">
        <f t="shared" si="58"/>
        <v>51.129188119621851</v>
      </c>
      <c r="BO34" s="4794">
        <f t="shared" si="59"/>
        <v>51.129188119621851</v>
      </c>
      <c r="BP34" s="4794">
        <f t="shared" si="60"/>
        <v>0</v>
      </c>
      <c r="BQ34" s="4794">
        <f t="shared" si="61"/>
        <v>0</v>
      </c>
      <c r="BR34" s="4794">
        <f t="shared" si="62"/>
        <v>0</v>
      </c>
      <c r="BS34" s="4794">
        <f t="shared" si="63"/>
        <v>0</v>
      </c>
      <c r="BT34" s="4794">
        <f t="shared" si="64"/>
        <v>0</v>
      </c>
      <c r="BU34" s="4794">
        <f t="shared" si="65"/>
        <v>0</v>
      </c>
      <c r="BV34" s="4794">
        <f t="shared" si="66"/>
        <v>0</v>
      </c>
      <c r="BW34" s="4794">
        <f t="shared" si="67"/>
        <v>0</v>
      </c>
      <c r="BX34" s="4794">
        <f t="shared" si="68"/>
        <v>0</v>
      </c>
      <c r="BY34" s="4794">
        <f t="shared" si="69"/>
        <v>0</v>
      </c>
      <c r="BZ34" s="4794">
        <f t="shared" si="70"/>
        <v>0</v>
      </c>
      <c r="CA34" s="4794">
        <f t="shared" si="71"/>
        <v>0</v>
      </c>
      <c r="CB34" s="4794">
        <f t="shared" si="72"/>
        <v>0</v>
      </c>
      <c r="CC34" s="4794">
        <f t="shared" si="73"/>
        <v>0</v>
      </c>
      <c r="CD34" s="4794">
        <f t="shared" si="74"/>
        <v>0</v>
      </c>
      <c r="CE34" s="4794">
        <f t="shared" si="75"/>
        <v>0</v>
      </c>
      <c r="CF34" s="4794">
        <f t="shared" si="76"/>
        <v>0</v>
      </c>
    </row>
    <row r="35" spans="1:84" ht="24.75" thickBot="1">
      <c r="A35" s="4076"/>
      <c r="B35" s="4077">
        <v>20306</v>
      </c>
      <c r="C35" s="4077" t="s">
        <v>1817</v>
      </c>
      <c r="D35" s="4078">
        <v>0.1</v>
      </c>
      <c r="E35" s="4079" t="s">
        <v>712</v>
      </c>
      <c r="F35" s="4081">
        <f t="shared" si="36"/>
        <v>77</v>
      </c>
      <c r="G35" s="4377">
        <f t="shared" si="37"/>
        <v>204</v>
      </c>
      <c r="H35" s="4080">
        <f t="shared" si="38"/>
        <v>150</v>
      </c>
      <c r="I35" s="4081">
        <f t="shared" si="39"/>
        <v>100</v>
      </c>
      <c r="J35" s="4082">
        <f t="shared" si="40"/>
        <v>50</v>
      </c>
      <c r="K35" s="4082">
        <f t="shared" si="41"/>
        <v>50</v>
      </c>
      <c r="L35" s="4082">
        <f t="shared" si="42"/>
        <v>50</v>
      </c>
      <c r="M35" s="4083">
        <f t="shared" si="43"/>
        <v>50</v>
      </c>
      <c r="N35" s="2259">
        <f t="shared" si="77"/>
        <v>300</v>
      </c>
      <c r="O35" s="1327">
        <v>77</v>
      </c>
      <c r="P35" s="1329">
        <v>204</v>
      </c>
      <c r="Q35" s="1328">
        <v>150</v>
      </c>
      <c r="R35" s="1329">
        <v>100</v>
      </c>
      <c r="S35" s="4084">
        <v>50</v>
      </c>
      <c r="T35" s="4084">
        <v>50</v>
      </c>
      <c r="U35" s="4084">
        <v>50</v>
      </c>
      <c r="V35" s="4084">
        <v>50</v>
      </c>
      <c r="W35" s="1327"/>
      <c r="X35" s="1329"/>
      <c r="Y35" s="1328"/>
      <c r="Z35" s="1329"/>
      <c r="AA35" s="4084"/>
      <c r="AB35" s="4084"/>
      <c r="AC35" s="4084"/>
      <c r="AD35" s="4084"/>
      <c r="AE35" s="1327"/>
      <c r="AF35" s="1329"/>
      <c r="AG35" s="1328"/>
      <c r="AH35" s="1329"/>
      <c r="AI35" s="4084"/>
      <c r="AJ35" s="4084"/>
      <c r="AK35" s="4084"/>
      <c r="AL35" s="4085"/>
      <c r="AM35" s="1325"/>
      <c r="AN35" s="4086"/>
      <c r="AO35" s="2313" t="s">
        <v>676</v>
      </c>
      <c r="AP35" s="1329"/>
      <c r="AQ35" s="1329"/>
      <c r="AR35" s="1328"/>
      <c r="AS35" s="1329"/>
      <c r="AT35" s="4084"/>
      <c r="AU35" s="4084"/>
      <c r="AV35" s="4084"/>
      <c r="AW35" s="1328"/>
      <c r="AX35" s="4087" t="s">
        <v>666</v>
      </c>
      <c r="AY35" s="4775"/>
      <c r="AZ35" s="4794">
        <f t="shared" si="44"/>
        <v>39.369474852108823</v>
      </c>
      <c r="BA35" s="4794">
        <f t="shared" si="45"/>
        <v>104.30354376402857</v>
      </c>
      <c r="BB35" s="4794">
        <f t="shared" si="46"/>
        <v>76.693782179432773</v>
      </c>
      <c r="BC35" s="4794">
        <f t="shared" si="47"/>
        <v>51.129188119621851</v>
      </c>
      <c r="BD35" s="4794">
        <f t="shared" si="48"/>
        <v>25.564594059810926</v>
      </c>
      <c r="BE35" s="4794">
        <f t="shared" si="49"/>
        <v>25.564594059810926</v>
      </c>
      <c r="BF35" s="4794">
        <f t="shared" si="50"/>
        <v>25.564594059810926</v>
      </c>
      <c r="BG35" s="4794">
        <f t="shared" si="51"/>
        <v>25.564594059810926</v>
      </c>
      <c r="BH35" s="4794">
        <f t="shared" si="52"/>
        <v>153.38756435886555</v>
      </c>
      <c r="BI35" s="4794">
        <f t="shared" si="53"/>
        <v>39.369474852108823</v>
      </c>
      <c r="BJ35" s="4794">
        <f t="shared" si="54"/>
        <v>104.30354376402857</v>
      </c>
      <c r="BK35" s="4794">
        <f t="shared" si="55"/>
        <v>76.693782179432773</v>
      </c>
      <c r="BL35" s="4794">
        <f t="shared" si="56"/>
        <v>51.129188119621851</v>
      </c>
      <c r="BM35" s="4794">
        <f t="shared" si="57"/>
        <v>25.564594059810926</v>
      </c>
      <c r="BN35" s="4794">
        <f t="shared" si="58"/>
        <v>25.564594059810926</v>
      </c>
      <c r="BO35" s="4794">
        <f t="shared" si="59"/>
        <v>25.564594059810926</v>
      </c>
      <c r="BP35" s="4794">
        <f t="shared" si="60"/>
        <v>25.564594059810926</v>
      </c>
      <c r="BQ35" s="4794">
        <f t="shared" si="61"/>
        <v>0</v>
      </c>
      <c r="BR35" s="4794">
        <f t="shared" si="62"/>
        <v>0</v>
      </c>
      <c r="BS35" s="4794">
        <f t="shared" si="63"/>
        <v>0</v>
      </c>
      <c r="BT35" s="4794">
        <f t="shared" si="64"/>
        <v>0</v>
      </c>
      <c r="BU35" s="4794">
        <f t="shared" si="65"/>
        <v>0</v>
      </c>
      <c r="BV35" s="4794">
        <f t="shared" si="66"/>
        <v>0</v>
      </c>
      <c r="BW35" s="4794">
        <f t="shared" si="67"/>
        <v>0</v>
      </c>
      <c r="BX35" s="4794">
        <f t="shared" si="68"/>
        <v>0</v>
      </c>
      <c r="BY35" s="4794">
        <f t="shared" si="69"/>
        <v>0</v>
      </c>
      <c r="BZ35" s="4794">
        <f t="shared" si="70"/>
        <v>0</v>
      </c>
      <c r="CA35" s="4794">
        <f t="shared" si="71"/>
        <v>0</v>
      </c>
      <c r="CB35" s="4794">
        <f t="shared" si="72"/>
        <v>0</v>
      </c>
      <c r="CC35" s="4794">
        <f t="shared" si="73"/>
        <v>0</v>
      </c>
      <c r="CD35" s="4794">
        <f t="shared" si="74"/>
        <v>0</v>
      </c>
      <c r="CE35" s="4794">
        <f t="shared" si="75"/>
        <v>0</v>
      </c>
      <c r="CF35" s="4794">
        <f t="shared" si="76"/>
        <v>0</v>
      </c>
    </row>
    <row r="36" spans="1:84" ht="24.75" thickBot="1">
      <c r="A36" s="2205">
        <v>1.2</v>
      </c>
      <c r="B36" s="2205"/>
      <c r="C36" s="2205"/>
      <c r="D36" s="2206"/>
      <c r="E36" s="2207" t="s">
        <v>208</v>
      </c>
      <c r="F36" s="2208">
        <f t="shared" ref="F36" si="78">SUM(F37:F47)</f>
        <v>462</v>
      </c>
      <c r="G36" s="4374">
        <f t="shared" ref="G36:AL36" si="79">SUM(G37:G47)</f>
        <v>466</v>
      </c>
      <c r="H36" s="2209">
        <f t="shared" si="79"/>
        <v>130</v>
      </c>
      <c r="I36" s="2210">
        <f t="shared" si="79"/>
        <v>175</v>
      </c>
      <c r="J36" s="2211">
        <f t="shared" si="79"/>
        <v>170</v>
      </c>
      <c r="K36" s="2211">
        <f t="shared" si="79"/>
        <v>170</v>
      </c>
      <c r="L36" s="2211">
        <f t="shared" si="79"/>
        <v>160</v>
      </c>
      <c r="M36" s="2262">
        <f t="shared" si="79"/>
        <v>160</v>
      </c>
      <c r="N36" s="2263">
        <f t="shared" si="79"/>
        <v>835</v>
      </c>
      <c r="O36" s="2214">
        <f t="shared" ref="O36" si="80">SUM(O37:O47)</f>
        <v>462</v>
      </c>
      <c r="P36" s="4390">
        <f t="shared" si="79"/>
        <v>466</v>
      </c>
      <c r="Q36" s="2215">
        <f t="shared" si="79"/>
        <v>130</v>
      </c>
      <c r="R36" s="2216">
        <f t="shared" si="79"/>
        <v>175</v>
      </c>
      <c r="S36" s="2217">
        <f t="shared" si="79"/>
        <v>170</v>
      </c>
      <c r="T36" s="2217">
        <f t="shared" si="79"/>
        <v>170</v>
      </c>
      <c r="U36" s="2217">
        <f t="shared" si="79"/>
        <v>160</v>
      </c>
      <c r="V36" s="2218">
        <f t="shared" si="79"/>
        <v>160</v>
      </c>
      <c r="W36" s="2214">
        <f t="shared" ref="W36" si="81">SUM(W37:W47)</f>
        <v>0</v>
      </c>
      <c r="X36" s="4390">
        <f t="shared" si="79"/>
        <v>0</v>
      </c>
      <c r="Y36" s="2215">
        <f t="shared" si="79"/>
        <v>0</v>
      </c>
      <c r="Z36" s="2216">
        <f t="shared" si="79"/>
        <v>0</v>
      </c>
      <c r="AA36" s="2217">
        <f t="shared" si="79"/>
        <v>0</v>
      </c>
      <c r="AB36" s="2217">
        <f t="shared" si="79"/>
        <v>0</v>
      </c>
      <c r="AC36" s="2217">
        <f t="shared" si="79"/>
        <v>0</v>
      </c>
      <c r="AD36" s="2218">
        <f t="shared" si="79"/>
        <v>0</v>
      </c>
      <c r="AE36" s="2214">
        <f t="shared" ref="AE36" si="82">SUM(AE37:AE47)</f>
        <v>0</v>
      </c>
      <c r="AF36" s="4390">
        <f t="shared" si="79"/>
        <v>0</v>
      </c>
      <c r="AG36" s="2215">
        <f t="shared" si="79"/>
        <v>0</v>
      </c>
      <c r="AH36" s="2216">
        <f t="shared" si="79"/>
        <v>0</v>
      </c>
      <c r="AI36" s="2217">
        <f t="shared" si="79"/>
        <v>0</v>
      </c>
      <c r="AJ36" s="2217">
        <f t="shared" si="79"/>
        <v>0</v>
      </c>
      <c r="AK36" s="2217">
        <f t="shared" si="79"/>
        <v>0</v>
      </c>
      <c r="AL36" s="2219">
        <f t="shared" si="79"/>
        <v>0</v>
      </c>
      <c r="AM36" s="2264"/>
      <c r="AN36" s="2265"/>
      <c r="AO36" s="2264"/>
      <c r="AP36" s="2266"/>
      <c r="AQ36" s="2266"/>
      <c r="AR36" s="2266"/>
      <c r="AS36" s="2267"/>
      <c r="AT36" s="2267"/>
      <c r="AU36" s="2267"/>
      <c r="AV36" s="2267"/>
      <c r="AW36" s="2268"/>
      <c r="AX36" s="2269"/>
      <c r="AY36" s="4775"/>
      <c r="AZ36" s="4794">
        <f t="shared" si="44"/>
        <v>236.21684911265294</v>
      </c>
      <c r="BA36" s="4794">
        <f t="shared" si="45"/>
        <v>238.26201663743782</v>
      </c>
      <c r="BB36" s="4794">
        <f t="shared" si="46"/>
        <v>66.46794455550841</v>
      </c>
      <c r="BC36" s="4794">
        <f t="shared" si="47"/>
        <v>89.476079209338238</v>
      </c>
      <c r="BD36" s="4794">
        <f t="shared" si="48"/>
        <v>86.919619803357151</v>
      </c>
      <c r="BE36" s="4794">
        <f t="shared" si="49"/>
        <v>86.919619803357151</v>
      </c>
      <c r="BF36" s="4794">
        <f t="shared" si="50"/>
        <v>81.806700991394962</v>
      </c>
      <c r="BG36" s="4794">
        <f t="shared" si="51"/>
        <v>81.806700991394962</v>
      </c>
      <c r="BH36" s="4794">
        <f t="shared" si="52"/>
        <v>426.92872079884245</v>
      </c>
      <c r="BI36" s="4794">
        <f t="shared" si="53"/>
        <v>236.21684911265294</v>
      </c>
      <c r="BJ36" s="4794">
        <f t="shared" si="54"/>
        <v>238.26201663743782</v>
      </c>
      <c r="BK36" s="4794">
        <f t="shared" si="55"/>
        <v>66.46794455550841</v>
      </c>
      <c r="BL36" s="4794">
        <f t="shared" si="56"/>
        <v>89.476079209338238</v>
      </c>
      <c r="BM36" s="4794">
        <f t="shared" si="57"/>
        <v>86.919619803357151</v>
      </c>
      <c r="BN36" s="4794">
        <f t="shared" si="58"/>
        <v>86.919619803357151</v>
      </c>
      <c r="BO36" s="4794">
        <f t="shared" si="59"/>
        <v>81.806700991394962</v>
      </c>
      <c r="BP36" s="4794">
        <f t="shared" si="60"/>
        <v>81.806700991394962</v>
      </c>
      <c r="BQ36" s="4794">
        <f t="shared" si="61"/>
        <v>0</v>
      </c>
      <c r="BR36" s="4794">
        <f t="shared" si="62"/>
        <v>0</v>
      </c>
      <c r="BS36" s="4794">
        <f t="shared" si="63"/>
        <v>0</v>
      </c>
      <c r="BT36" s="4794">
        <f t="shared" si="64"/>
        <v>0</v>
      </c>
      <c r="BU36" s="4794">
        <f t="shared" si="65"/>
        <v>0</v>
      </c>
      <c r="BV36" s="4794">
        <f t="shared" si="66"/>
        <v>0</v>
      </c>
      <c r="BW36" s="4794">
        <f t="shared" si="67"/>
        <v>0</v>
      </c>
      <c r="BX36" s="4794">
        <f t="shared" si="68"/>
        <v>0</v>
      </c>
      <c r="BY36" s="4794">
        <f t="shared" si="69"/>
        <v>0</v>
      </c>
      <c r="BZ36" s="4794">
        <f t="shared" si="70"/>
        <v>0</v>
      </c>
      <c r="CA36" s="4794">
        <f t="shared" si="71"/>
        <v>0</v>
      </c>
      <c r="CB36" s="4794">
        <f t="shared" si="72"/>
        <v>0</v>
      </c>
      <c r="CC36" s="4794">
        <f t="shared" si="73"/>
        <v>0</v>
      </c>
      <c r="CD36" s="4794">
        <f t="shared" si="74"/>
        <v>0</v>
      </c>
      <c r="CE36" s="4794">
        <f t="shared" si="75"/>
        <v>0</v>
      </c>
      <c r="CF36" s="4794">
        <f t="shared" si="76"/>
        <v>0</v>
      </c>
    </row>
    <row r="37" spans="1:84">
      <c r="A37" s="2270"/>
      <c r="B37" s="2271">
        <v>2040207</v>
      </c>
      <c r="C37" s="2271" t="s">
        <v>1818</v>
      </c>
      <c r="D37" s="2228">
        <v>0.04</v>
      </c>
      <c r="E37" s="2272" t="s">
        <v>378</v>
      </c>
      <c r="F37" s="2242">
        <f t="shared" ref="F37:F47" si="83">O37+W37+AE37</f>
        <v>0</v>
      </c>
      <c r="G37" s="4376">
        <f t="shared" ref="G37:G47" si="84">P37+X37+AF37</f>
        <v>0</v>
      </c>
      <c r="H37" s="2241">
        <f t="shared" ref="H37:H47" si="85">Q37+Y37+AG37</f>
        <v>0</v>
      </c>
      <c r="I37" s="2242">
        <f t="shared" ref="I37:I47" si="86">R37+Z37+AH37</f>
        <v>0</v>
      </c>
      <c r="J37" s="2243">
        <f t="shared" ref="J37:J47" si="87">S37+AA37+AI37</f>
        <v>0</v>
      </c>
      <c r="K37" s="2243">
        <f t="shared" ref="K37:K47" si="88">T37+AB37+AJ37</f>
        <v>0</v>
      </c>
      <c r="L37" s="2243">
        <f t="shared" ref="L37:L47" si="89">U37+AC37+AK37</f>
        <v>0</v>
      </c>
      <c r="M37" s="2243">
        <f t="shared" ref="M37:M47" si="90">V37+AD37+AL37</f>
        <v>0</v>
      </c>
      <c r="N37" s="2273">
        <f t="shared" si="77"/>
        <v>0</v>
      </c>
      <c r="O37" s="1297"/>
      <c r="P37" s="1299"/>
      <c r="Q37" s="1298"/>
      <c r="R37" s="1299"/>
      <c r="S37" s="1300"/>
      <c r="T37" s="1300"/>
      <c r="U37" s="1300"/>
      <c r="V37" s="1300"/>
      <c r="W37" s="1297"/>
      <c r="X37" s="1299"/>
      <c r="Y37" s="1298"/>
      <c r="Z37" s="1299"/>
      <c r="AA37" s="1300"/>
      <c r="AB37" s="1300"/>
      <c r="AC37" s="1300"/>
      <c r="AD37" s="1300"/>
      <c r="AE37" s="1297"/>
      <c r="AF37" s="1299"/>
      <c r="AG37" s="1298"/>
      <c r="AH37" s="1299"/>
      <c r="AI37" s="1300"/>
      <c r="AJ37" s="1300"/>
      <c r="AK37" s="1300"/>
      <c r="AL37" s="1301"/>
      <c r="AM37" s="1302"/>
      <c r="AN37" s="1303"/>
      <c r="AO37" s="2235" t="s">
        <v>676</v>
      </c>
      <c r="AP37" s="1299"/>
      <c r="AQ37" s="1299"/>
      <c r="AR37" s="1298"/>
      <c r="AS37" s="1299"/>
      <c r="AT37" s="1300"/>
      <c r="AU37" s="1300"/>
      <c r="AV37" s="1300"/>
      <c r="AW37" s="1298"/>
      <c r="AX37" s="2274" t="s">
        <v>1026</v>
      </c>
      <c r="AY37" s="4775"/>
      <c r="AZ37" s="4794">
        <f t="shared" si="44"/>
        <v>0</v>
      </c>
      <c r="BA37" s="4794">
        <f t="shared" si="45"/>
        <v>0</v>
      </c>
      <c r="BB37" s="4794">
        <f t="shared" si="46"/>
        <v>0</v>
      </c>
      <c r="BC37" s="4794">
        <f t="shared" si="47"/>
        <v>0</v>
      </c>
      <c r="BD37" s="4794">
        <f t="shared" si="48"/>
        <v>0</v>
      </c>
      <c r="BE37" s="4794">
        <f t="shared" si="49"/>
        <v>0</v>
      </c>
      <c r="BF37" s="4794">
        <f t="shared" si="50"/>
        <v>0</v>
      </c>
      <c r="BG37" s="4794">
        <f t="shared" si="51"/>
        <v>0</v>
      </c>
      <c r="BH37" s="4794">
        <f t="shared" si="52"/>
        <v>0</v>
      </c>
      <c r="BI37" s="4794">
        <f t="shared" si="53"/>
        <v>0</v>
      </c>
      <c r="BJ37" s="4794">
        <f t="shared" si="54"/>
        <v>0</v>
      </c>
      <c r="BK37" s="4794">
        <f t="shared" si="55"/>
        <v>0</v>
      </c>
      <c r="BL37" s="4794">
        <f t="shared" si="56"/>
        <v>0</v>
      </c>
      <c r="BM37" s="4794">
        <f t="shared" si="57"/>
        <v>0</v>
      </c>
      <c r="BN37" s="4794">
        <f t="shared" si="58"/>
        <v>0</v>
      </c>
      <c r="BO37" s="4794">
        <f t="shared" si="59"/>
        <v>0</v>
      </c>
      <c r="BP37" s="4794">
        <f t="shared" si="60"/>
        <v>0</v>
      </c>
      <c r="BQ37" s="4794">
        <f t="shared" si="61"/>
        <v>0</v>
      </c>
      <c r="BR37" s="4794">
        <f t="shared" si="62"/>
        <v>0</v>
      </c>
      <c r="BS37" s="4794">
        <f t="shared" si="63"/>
        <v>0</v>
      </c>
      <c r="BT37" s="4794">
        <f t="shared" si="64"/>
        <v>0</v>
      </c>
      <c r="BU37" s="4794">
        <f t="shared" si="65"/>
        <v>0</v>
      </c>
      <c r="BV37" s="4794">
        <f t="shared" si="66"/>
        <v>0</v>
      </c>
      <c r="BW37" s="4794">
        <f t="shared" si="67"/>
        <v>0</v>
      </c>
      <c r="BX37" s="4794">
        <f t="shared" si="68"/>
        <v>0</v>
      </c>
      <c r="BY37" s="4794">
        <f t="shared" si="69"/>
        <v>0</v>
      </c>
      <c r="BZ37" s="4794">
        <f t="shared" si="70"/>
        <v>0</v>
      </c>
      <c r="CA37" s="4794">
        <f t="shared" si="71"/>
        <v>0</v>
      </c>
      <c r="CB37" s="4794">
        <f t="shared" si="72"/>
        <v>0</v>
      </c>
      <c r="CC37" s="4794">
        <f t="shared" si="73"/>
        <v>0</v>
      </c>
      <c r="CD37" s="4794">
        <f t="shared" si="74"/>
        <v>0</v>
      </c>
      <c r="CE37" s="4794">
        <f t="shared" si="75"/>
        <v>0</v>
      </c>
      <c r="CF37" s="4794">
        <f t="shared" si="76"/>
        <v>0</v>
      </c>
    </row>
    <row r="38" spans="1:84" ht="36">
      <c r="A38" s="2275"/>
      <c r="B38" s="2276">
        <v>2040206</v>
      </c>
      <c r="C38" s="2276" t="s">
        <v>1819</v>
      </c>
      <c r="D38" s="2250">
        <v>0.02</v>
      </c>
      <c r="E38" s="2277" t="s">
        <v>655</v>
      </c>
      <c r="F38" s="2242">
        <f t="shared" si="83"/>
        <v>88</v>
      </c>
      <c r="G38" s="4376">
        <f t="shared" si="84"/>
        <v>0</v>
      </c>
      <c r="H38" s="2241">
        <f t="shared" si="85"/>
        <v>30</v>
      </c>
      <c r="I38" s="2242">
        <f t="shared" si="86"/>
        <v>50</v>
      </c>
      <c r="J38" s="2243">
        <f t="shared" si="87"/>
        <v>50</v>
      </c>
      <c r="K38" s="2243">
        <f t="shared" si="88"/>
        <v>50</v>
      </c>
      <c r="L38" s="2243">
        <f t="shared" si="89"/>
        <v>50</v>
      </c>
      <c r="M38" s="2243">
        <f t="shared" si="90"/>
        <v>50</v>
      </c>
      <c r="N38" s="2278">
        <f t="shared" si="77"/>
        <v>250</v>
      </c>
      <c r="O38" s="1304">
        <v>88</v>
      </c>
      <c r="P38" s="1306"/>
      <c r="Q38" s="1305">
        <v>30</v>
      </c>
      <c r="R38" s="1306">
        <v>50</v>
      </c>
      <c r="S38" s="1307">
        <v>50</v>
      </c>
      <c r="T38" s="1307">
        <v>50</v>
      </c>
      <c r="U38" s="1307">
        <v>50</v>
      </c>
      <c r="V38" s="1307">
        <v>50</v>
      </c>
      <c r="W38" s="1304"/>
      <c r="X38" s="1306"/>
      <c r="Y38" s="1305"/>
      <c r="Z38" s="1306"/>
      <c r="AA38" s="1307"/>
      <c r="AB38" s="1307"/>
      <c r="AC38" s="1307"/>
      <c r="AD38" s="1307"/>
      <c r="AE38" s="1304"/>
      <c r="AF38" s="1306"/>
      <c r="AG38" s="1305"/>
      <c r="AH38" s="1306"/>
      <c r="AI38" s="1307"/>
      <c r="AJ38" s="1307"/>
      <c r="AK38" s="1307"/>
      <c r="AL38" s="1308"/>
      <c r="AM38" s="1309"/>
      <c r="AN38" s="1311"/>
      <c r="AO38" s="2246" t="s">
        <v>677</v>
      </c>
      <c r="AP38" s="1306"/>
      <c r="AQ38" s="1306"/>
      <c r="AR38" s="1305"/>
      <c r="AS38" s="1306"/>
      <c r="AT38" s="1307"/>
      <c r="AU38" s="1307"/>
      <c r="AV38" s="1307"/>
      <c r="AW38" s="1305"/>
      <c r="AX38" s="2252" t="s">
        <v>665</v>
      </c>
      <c r="AY38" s="4775"/>
      <c r="AZ38" s="4794">
        <f t="shared" si="44"/>
        <v>44.993685545267226</v>
      </c>
      <c r="BA38" s="4794">
        <f t="shared" si="45"/>
        <v>0</v>
      </c>
      <c r="BB38" s="4794">
        <f t="shared" si="46"/>
        <v>15.338756435886555</v>
      </c>
      <c r="BC38" s="4794">
        <f t="shared" si="47"/>
        <v>25.564594059810926</v>
      </c>
      <c r="BD38" s="4794">
        <f t="shared" si="48"/>
        <v>25.564594059810926</v>
      </c>
      <c r="BE38" s="4794">
        <f t="shared" si="49"/>
        <v>25.564594059810926</v>
      </c>
      <c r="BF38" s="4794">
        <f t="shared" si="50"/>
        <v>25.564594059810926</v>
      </c>
      <c r="BG38" s="4794">
        <f t="shared" si="51"/>
        <v>25.564594059810926</v>
      </c>
      <c r="BH38" s="4794">
        <f t="shared" si="52"/>
        <v>127.82297029905462</v>
      </c>
      <c r="BI38" s="4794">
        <f t="shared" si="53"/>
        <v>44.993685545267226</v>
      </c>
      <c r="BJ38" s="4794">
        <f t="shared" si="54"/>
        <v>0</v>
      </c>
      <c r="BK38" s="4794">
        <f t="shared" si="55"/>
        <v>15.338756435886555</v>
      </c>
      <c r="BL38" s="4794">
        <f t="shared" si="56"/>
        <v>25.564594059810926</v>
      </c>
      <c r="BM38" s="4794">
        <f t="shared" si="57"/>
        <v>25.564594059810926</v>
      </c>
      <c r="BN38" s="4794">
        <f t="shared" si="58"/>
        <v>25.564594059810926</v>
      </c>
      <c r="BO38" s="4794">
        <f t="shared" si="59"/>
        <v>25.564594059810926</v>
      </c>
      <c r="BP38" s="4794">
        <f t="shared" si="60"/>
        <v>25.564594059810926</v>
      </c>
      <c r="BQ38" s="4794">
        <f t="shared" si="61"/>
        <v>0</v>
      </c>
      <c r="BR38" s="4794">
        <f t="shared" si="62"/>
        <v>0</v>
      </c>
      <c r="BS38" s="4794">
        <f t="shared" si="63"/>
        <v>0</v>
      </c>
      <c r="BT38" s="4794">
        <f t="shared" si="64"/>
        <v>0</v>
      </c>
      <c r="BU38" s="4794">
        <f t="shared" si="65"/>
        <v>0</v>
      </c>
      <c r="BV38" s="4794">
        <f t="shared" si="66"/>
        <v>0</v>
      </c>
      <c r="BW38" s="4794">
        <f t="shared" si="67"/>
        <v>0</v>
      </c>
      <c r="BX38" s="4794">
        <f t="shared" si="68"/>
        <v>0</v>
      </c>
      <c r="BY38" s="4794">
        <f t="shared" si="69"/>
        <v>0</v>
      </c>
      <c r="BZ38" s="4794">
        <f t="shared" si="70"/>
        <v>0</v>
      </c>
      <c r="CA38" s="4794">
        <f t="shared" si="71"/>
        <v>0</v>
      </c>
      <c r="CB38" s="4794">
        <f t="shared" si="72"/>
        <v>0</v>
      </c>
      <c r="CC38" s="4794">
        <f t="shared" si="73"/>
        <v>0</v>
      </c>
      <c r="CD38" s="4794">
        <f t="shared" si="74"/>
        <v>0</v>
      </c>
      <c r="CE38" s="4794">
        <f t="shared" si="75"/>
        <v>0</v>
      </c>
      <c r="CF38" s="4794">
        <f t="shared" si="76"/>
        <v>0</v>
      </c>
    </row>
    <row r="39" spans="1:84" ht="24">
      <c r="A39" s="2275"/>
      <c r="B39" s="2276">
        <v>2040206</v>
      </c>
      <c r="C39" s="2276" t="s">
        <v>1820</v>
      </c>
      <c r="D39" s="2250">
        <v>0.02</v>
      </c>
      <c r="E39" s="2277" t="s">
        <v>379</v>
      </c>
      <c r="F39" s="2242">
        <f t="shared" si="83"/>
        <v>306</v>
      </c>
      <c r="G39" s="4376">
        <f t="shared" si="84"/>
        <v>70</v>
      </c>
      <c r="H39" s="2241">
        <f t="shared" si="85"/>
        <v>50</v>
      </c>
      <c r="I39" s="2242">
        <f t="shared" si="86"/>
        <v>70</v>
      </c>
      <c r="J39" s="2243">
        <f t="shared" si="87"/>
        <v>70</v>
      </c>
      <c r="K39" s="2243">
        <f t="shared" si="88"/>
        <v>70</v>
      </c>
      <c r="L39" s="2243">
        <f t="shared" si="89"/>
        <v>60</v>
      </c>
      <c r="M39" s="2243">
        <f t="shared" si="90"/>
        <v>60</v>
      </c>
      <c r="N39" s="2278">
        <f t="shared" si="77"/>
        <v>330</v>
      </c>
      <c r="O39" s="1304">
        <v>306</v>
      </c>
      <c r="P39" s="1306">
        <v>70</v>
      </c>
      <c r="Q39" s="1305">
        <v>50</v>
      </c>
      <c r="R39" s="1306">
        <v>70</v>
      </c>
      <c r="S39" s="1307">
        <v>70</v>
      </c>
      <c r="T39" s="1307">
        <v>70</v>
      </c>
      <c r="U39" s="1307">
        <v>60</v>
      </c>
      <c r="V39" s="1307">
        <v>60</v>
      </c>
      <c r="W39" s="1304"/>
      <c r="X39" s="1306"/>
      <c r="Y39" s="1305"/>
      <c r="Z39" s="1306"/>
      <c r="AA39" s="1307"/>
      <c r="AB39" s="1307"/>
      <c r="AC39" s="1307"/>
      <c r="AD39" s="1307"/>
      <c r="AE39" s="1304"/>
      <c r="AF39" s="1306"/>
      <c r="AG39" s="1305"/>
      <c r="AH39" s="1306"/>
      <c r="AI39" s="1307"/>
      <c r="AJ39" s="1307"/>
      <c r="AK39" s="1307"/>
      <c r="AL39" s="1308"/>
      <c r="AM39" s="1309"/>
      <c r="AN39" s="1311"/>
      <c r="AO39" s="2246" t="s">
        <v>677</v>
      </c>
      <c r="AP39" s="1306"/>
      <c r="AQ39" s="1306"/>
      <c r="AR39" s="1305"/>
      <c r="AS39" s="1306"/>
      <c r="AT39" s="1307"/>
      <c r="AU39" s="1307"/>
      <c r="AV39" s="1307"/>
      <c r="AW39" s="1305"/>
      <c r="AX39" s="2247" t="s">
        <v>380</v>
      </c>
      <c r="AY39" s="4775"/>
      <c r="AZ39" s="4794">
        <f t="shared" si="44"/>
        <v>156.45531564604286</v>
      </c>
      <c r="BA39" s="4794">
        <f t="shared" si="45"/>
        <v>35.790431683735292</v>
      </c>
      <c r="BB39" s="4794">
        <f t="shared" si="46"/>
        <v>25.564594059810926</v>
      </c>
      <c r="BC39" s="4794">
        <f t="shared" si="47"/>
        <v>35.790431683735292</v>
      </c>
      <c r="BD39" s="4794">
        <f t="shared" si="48"/>
        <v>35.790431683735292</v>
      </c>
      <c r="BE39" s="4794">
        <f t="shared" si="49"/>
        <v>35.790431683735292</v>
      </c>
      <c r="BF39" s="4794">
        <f t="shared" si="50"/>
        <v>30.677512871773111</v>
      </c>
      <c r="BG39" s="4794">
        <f t="shared" si="51"/>
        <v>30.677512871773111</v>
      </c>
      <c r="BH39" s="4794">
        <f t="shared" si="52"/>
        <v>168.7263207947521</v>
      </c>
      <c r="BI39" s="4794">
        <f t="shared" si="53"/>
        <v>156.45531564604286</v>
      </c>
      <c r="BJ39" s="4794">
        <f t="shared" si="54"/>
        <v>35.790431683735292</v>
      </c>
      <c r="BK39" s="4794">
        <f t="shared" si="55"/>
        <v>25.564594059810926</v>
      </c>
      <c r="BL39" s="4794">
        <f t="shared" si="56"/>
        <v>35.790431683735292</v>
      </c>
      <c r="BM39" s="4794">
        <f t="shared" si="57"/>
        <v>35.790431683735292</v>
      </c>
      <c r="BN39" s="4794">
        <f t="shared" si="58"/>
        <v>35.790431683735292</v>
      </c>
      <c r="BO39" s="4794">
        <f t="shared" si="59"/>
        <v>30.677512871773111</v>
      </c>
      <c r="BP39" s="4794">
        <f t="shared" si="60"/>
        <v>30.677512871773111</v>
      </c>
      <c r="BQ39" s="4794">
        <f t="shared" si="61"/>
        <v>0</v>
      </c>
      <c r="BR39" s="4794">
        <f t="shared" si="62"/>
        <v>0</v>
      </c>
      <c r="BS39" s="4794">
        <f t="shared" si="63"/>
        <v>0</v>
      </c>
      <c r="BT39" s="4794">
        <f t="shared" si="64"/>
        <v>0</v>
      </c>
      <c r="BU39" s="4794">
        <f t="shared" si="65"/>
        <v>0</v>
      </c>
      <c r="BV39" s="4794">
        <f t="shared" si="66"/>
        <v>0</v>
      </c>
      <c r="BW39" s="4794">
        <f t="shared" si="67"/>
        <v>0</v>
      </c>
      <c r="BX39" s="4794">
        <f t="shared" si="68"/>
        <v>0</v>
      </c>
      <c r="BY39" s="4794">
        <f t="shared" si="69"/>
        <v>0</v>
      </c>
      <c r="BZ39" s="4794">
        <f t="shared" si="70"/>
        <v>0</v>
      </c>
      <c r="CA39" s="4794">
        <f t="shared" si="71"/>
        <v>0</v>
      </c>
      <c r="CB39" s="4794">
        <f t="shared" si="72"/>
        <v>0</v>
      </c>
      <c r="CC39" s="4794">
        <f t="shared" si="73"/>
        <v>0</v>
      </c>
      <c r="CD39" s="4794">
        <f t="shared" si="74"/>
        <v>0</v>
      </c>
      <c r="CE39" s="4794">
        <f t="shared" si="75"/>
        <v>0</v>
      </c>
      <c r="CF39" s="4794">
        <f t="shared" si="76"/>
        <v>0</v>
      </c>
    </row>
    <row r="40" spans="1:84" ht="24">
      <c r="A40" s="2275"/>
      <c r="B40" s="2276">
        <v>2040206</v>
      </c>
      <c r="C40" s="2276" t="s">
        <v>1821</v>
      </c>
      <c r="D40" s="2250">
        <v>0.02</v>
      </c>
      <c r="E40" s="2279" t="s">
        <v>381</v>
      </c>
      <c r="F40" s="2242">
        <f t="shared" si="83"/>
        <v>42</v>
      </c>
      <c r="G40" s="4376">
        <f t="shared" si="84"/>
        <v>24</v>
      </c>
      <c r="H40" s="2241">
        <f t="shared" si="85"/>
        <v>40</v>
      </c>
      <c r="I40" s="2242">
        <f t="shared" si="86"/>
        <v>40</v>
      </c>
      <c r="J40" s="2243">
        <f t="shared" si="87"/>
        <v>40</v>
      </c>
      <c r="K40" s="2243">
        <f t="shared" si="88"/>
        <v>40</v>
      </c>
      <c r="L40" s="2243">
        <f t="shared" si="89"/>
        <v>40</v>
      </c>
      <c r="M40" s="2243">
        <f t="shared" si="90"/>
        <v>40</v>
      </c>
      <c r="N40" s="2278">
        <f t="shared" si="77"/>
        <v>200</v>
      </c>
      <c r="O40" s="1304">
        <v>42</v>
      </c>
      <c r="P40" s="1306">
        <v>24</v>
      </c>
      <c r="Q40" s="1305">
        <v>40</v>
      </c>
      <c r="R40" s="1306">
        <v>40</v>
      </c>
      <c r="S40" s="1307">
        <v>40</v>
      </c>
      <c r="T40" s="1307">
        <v>40</v>
      </c>
      <c r="U40" s="1307">
        <v>40</v>
      </c>
      <c r="V40" s="1307">
        <v>40</v>
      </c>
      <c r="W40" s="1304"/>
      <c r="X40" s="1306"/>
      <c r="Y40" s="1305"/>
      <c r="Z40" s="1306"/>
      <c r="AA40" s="1307"/>
      <c r="AB40" s="1307"/>
      <c r="AC40" s="1307"/>
      <c r="AD40" s="1307"/>
      <c r="AE40" s="1304"/>
      <c r="AF40" s="1306"/>
      <c r="AG40" s="1305"/>
      <c r="AH40" s="1306"/>
      <c r="AI40" s="1307"/>
      <c r="AJ40" s="1307"/>
      <c r="AK40" s="1307"/>
      <c r="AL40" s="1308"/>
      <c r="AM40" s="1309"/>
      <c r="AN40" s="1310"/>
      <c r="AO40" s="2246" t="s">
        <v>676</v>
      </c>
      <c r="AP40" s="1306"/>
      <c r="AQ40" s="1306"/>
      <c r="AR40" s="1305"/>
      <c r="AS40" s="1306"/>
      <c r="AT40" s="1307"/>
      <c r="AU40" s="1307"/>
      <c r="AV40" s="1307"/>
      <c r="AW40" s="1305"/>
      <c r="AX40" s="2247" t="s">
        <v>366</v>
      </c>
      <c r="AY40" s="4775"/>
      <c r="AZ40" s="4794">
        <f t="shared" si="44"/>
        <v>21.474259010241177</v>
      </c>
      <c r="BA40" s="4794">
        <f t="shared" si="45"/>
        <v>12.271005148709245</v>
      </c>
      <c r="BB40" s="4794">
        <f t="shared" si="46"/>
        <v>20.45167524784874</v>
      </c>
      <c r="BC40" s="4794">
        <f t="shared" si="47"/>
        <v>20.45167524784874</v>
      </c>
      <c r="BD40" s="4794">
        <f t="shared" si="48"/>
        <v>20.45167524784874</v>
      </c>
      <c r="BE40" s="4794">
        <f t="shared" si="49"/>
        <v>20.45167524784874</v>
      </c>
      <c r="BF40" s="4794">
        <f t="shared" si="50"/>
        <v>20.45167524784874</v>
      </c>
      <c r="BG40" s="4794">
        <f t="shared" si="51"/>
        <v>20.45167524784874</v>
      </c>
      <c r="BH40" s="4794">
        <f t="shared" si="52"/>
        <v>102.2583762392437</v>
      </c>
      <c r="BI40" s="4794">
        <f t="shared" si="53"/>
        <v>21.474259010241177</v>
      </c>
      <c r="BJ40" s="4794">
        <f t="shared" si="54"/>
        <v>12.271005148709245</v>
      </c>
      <c r="BK40" s="4794">
        <f t="shared" si="55"/>
        <v>20.45167524784874</v>
      </c>
      <c r="BL40" s="4794">
        <f t="shared" si="56"/>
        <v>20.45167524784874</v>
      </c>
      <c r="BM40" s="4794">
        <f t="shared" si="57"/>
        <v>20.45167524784874</v>
      </c>
      <c r="BN40" s="4794">
        <f t="shared" si="58"/>
        <v>20.45167524784874</v>
      </c>
      <c r="BO40" s="4794">
        <f t="shared" si="59"/>
        <v>20.45167524784874</v>
      </c>
      <c r="BP40" s="4794">
        <f t="shared" si="60"/>
        <v>20.45167524784874</v>
      </c>
      <c r="BQ40" s="4794">
        <f t="shared" si="61"/>
        <v>0</v>
      </c>
      <c r="BR40" s="4794">
        <f t="shared" si="62"/>
        <v>0</v>
      </c>
      <c r="BS40" s="4794">
        <f t="shared" si="63"/>
        <v>0</v>
      </c>
      <c r="BT40" s="4794">
        <f t="shared" si="64"/>
        <v>0</v>
      </c>
      <c r="BU40" s="4794">
        <f t="shared" si="65"/>
        <v>0</v>
      </c>
      <c r="BV40" s="4794">
        <f t="shared" si="66"/>
        <v>0</v>
      </c>
      <c r="BW40" s="4794">
        <f t="shared" si="67"/>
        <v>0</v>
      </c>
      <c r="BX40" s="4794">
        <f t="shared" si="68"/>
        <v>0</v>
      </c>
      <c r="BY40" s="4794">
        <f t="shared" si="69"/>
        <v>0</v>
      </c>
      <c r="BZ40" s="4794">
        <f t="shared" si="70"/>
        <v>0</v>
      </c>
      <c r="CA40" s="4794">
        <f t="shared" si="71"/>
        <v>0</v>
      </c>
      <c r="CB40" s="4794">
        <f t="shared" si="72"/>
        <v>0</v>
      </c>
      <c r="CC40" s="4794">
        <f t="shared" si="73"/>
        <v>0</v>
      </c>
      <c r="CD40" s="4794">
        <f t="shared" si="74"/>
        <v>0</v>
      </c>
      <c r="CE40" s="4794">
        <f t="shared" si="75"/>
        <v>0</v>
      </c>
      <c r="CF40" s="4794">
        <f t="shared" si="76"/>
        <v>0</v>
      </c>
    </row>
    <row r="41" spans="1:84" ht="24">
      <c r="A41" s="2275"/>
      <c r="B41" s="2238">
        <v>2030503</v>
      </c>
      <c r="C41" s="2238" t="s">
        <v>1822</v>
      </c>
      <c r="D41" s="2239">
        <v>0.1</v>
      </c>
      <c r="E41" s="2279" t="s">
        <v>663</v>
      </c>
      <c r="F41" s="2242">
        <f t="shared" si="83"/>
        <v>0</v>
      </c>
      <c r="G41" s="4376">
        <f t="shared" si="84"/>
        <v>0</v>
      </c>
      <c r="H41" s="2241">
        <f t="shared" si="85"/>
        <v>0</v>
      </c>
      <c r="I41" s="2242">
        <f t="shared" si="86"/>
        <v>0</v>
      </c>
      <c r="J41" s="2243">
        <f t="shared" si="87"/>
        <v>0</v>
      </c>
      <c r="K41" s="2243">
        <f t="shared" si="88"/>
        <v>0</v>
      </c>
      <c r="L41" s="2243">
        <f t="shared" si="89"/>
        <v>0</v>
      </c>
      <c r="M41" s="2243">
        <f t="shared" si="90"/>
        <v>0</v>
      </c>
      <c r="N41" s="2278">
        <f t="shared" si="77"/>
        <v>0</v>
      </c>
      <c r="O41" s="1304"/>
      <c r="P41" s="1306"/>
      <c r="Q41" s="1305"/>
      <c r="R41" s="1306"/>
      <c r="S41" s="1307"/>
      <c r="T41" s="1307"/>
      <c r="U41" s="1307"/>
      <c r="V41" s="1307"/>
      <c r="W41" s="1304"/>
      <c r="X41" s="1306"/>
      <c r="Y41" s="1305"/>
      <c r="Z41" s="1306"/>
      <c r="AA41" s="1307"/>
      <c r="AB41" s="1307"/>
      <c r="AC41" s="1307"/>
      <c r="AD41" s="1307"/>
      <c r="AE41" s="1304"/>
      <c r="AF41" s="1306"/>
      <c r="AG41" s="1305"/>
      <c r="AH41" s="1306"/>
      <c r="AI41" s="1307"/>
      <c r="AJ41" s="1307"/>
      <c r="AK41" s="1307"/>
      <c r="AL41" s="1308"/>
      <c r="AM41" s="1309"/>
      <c r="AN41" s="1311"/>
      <c r="AO41" s="2246" t="s">
        <v>676</v>
      </c>
      <c r="AP41" s="1306"/>
      <c r="AQ41" s="1306"/>
      <c r="AR41" s="1305"/>
      <c r="AS41" s="1306"/>
      <c r="AT41" s="1307"/>
      <c r="AU41" s="1307"/>
      <c r="AV41" s="1307"/>
      <c r="AW41" s="1305"/>
      <c r="AX41" s="2247" t="s">
        <v>371</v>
      </c>
      <c r="AY41" s="4775"/>
      <c r="AZ41" s="4794">
        <f t="shared" si="44"/>
        <v>0</v>
      </c>
      <c r="BA41" s="4794">
        <f t="shared" si="45"/>
        <v>0</v>
      </c>
      <c r="BB41" s="4794">
        <f t="shared" si="46"/>
        <v>0</v>
      </c>
      <c r="BC41" s="4794">
        <f t="shared" si="47"/>
        <v>0</v>
      </c>
      <c r="BD41" s="4794">
        <f t="shared" si="48"/>
        <v>0</v>
      </c>
      <c r="BE41" s="4794">
        <f t="shared" si="49"/>
        <v>0</v>
      </c>
      <c r="BF41" s="4794">
        <f t="shared" si="50"/>
        <v>0</v>
      </c>
      <c r="BG41" s="4794">
        <f t="shared" si="51"/>
        <v>0</v>
      </c>
      <c r="BH41" s="4794">
        <f t="shared" si="52"/>
        <v>0</v>
      </c>
      <c r="BI41" s="4794">
        <f t="shared" si="53"/>
        <v>0</v>
      </c>
      <c r="BJ41" s="4794">
        <f t="shared" si="54"/>
        <v>0</v>
      </c>
      <c r="BK41" s="4794">
        <f t="shared" si="55"/>
        <v>0</v>
      </c>
      <c r="BL41" s="4794">
        <f t="shared" si="56"/>
        <v>0</v>
      </c>
      <c r="BM41" s="4794">
        <f t="shared" si="57"/>
        <v>0</v>
      </c>
      <c r="BN41" s="4794">
        <f t="shared" si="58"/>
        <v>0</v>
      </c>
      <c r="BO41" s="4794">
        <f t="shared" si="59"/>
        <v>0</v>
      </c>
      <c r="BP41" s="4794">
        <f t="shared" si="60"/>
        <v>0</v>
      </c>
      <c r="BQ41" s="4794">
        <f t="shared" si="61"/>
        <v>0</v>
      </c>
      <c r="BR41" s="4794">
        <f t="shared" si="62"/>
        <v>0</v>
      </c>
      <c r="BS41" s="4794">
        <f t="shared" si="63"/>
        <v>0</v>
      </c>
      <c r="BT41" s="4794">
        <f t="shared" si="64"/>
        <v>0</v>
      </c>
      <c r="BU41" s="4794">
        <f t="shared" si="65"/>
        <v>0</v>
      </c>
      <c r="BV41" s="4794">
        <f t="shared" si="66"/>
        <v>0</v>
      </c>
      <c r="BW41" s="4794">
        <f t="shared" si="67"/>
        <v>0</v>
      </c>
      <c r="BX41" s="4794">
        <f t="shared" si="68"/>
        <v>0</v>
      </c>
      <c r="BY41" s="4794">
        <f t="shared" si="69"/>
        <v>0</v>
      </c>
      <c r="BZ41" s="4794">
        <f t="shared" si="70"/>
        <v>0</v>
      </c>
      <c r="CA41" s="4794">
        <f t="shared" si="71"/>
        <v>0</v>
      </c>
      <c r="CB41" s="4794">
        <f t="shared" si="72"/>
        <v>0</v>
      </c>
      <c r="CC41" s="4794">
        <f t="shared" si="73"/>
        <v>0</v>
      </c>
      <c r="CD41" s="4794">
        <f t="shared" si="74"/>
        <v>0</v>
      </c>
      <c r="CE41" s="4794">
        <f t="shared" si="75"/>
        <v>0</v>
      </c>
      <c r="CF41" s="4794">
        <f t="shared" si="76"/>
        <v>0</v>
      </c>
    </row>
    <row r="42" spans="1:84" ht="24">
      <c r="A42" s="2275"/>
      <c r="B42" s="2238">
        <v>215</v>
      </c>
      <c r="C42" s="2238" t="s">
        <v>1823</v>
      </c>
      <c r="D42" s="2248">
        <v>0.2</v>
      </c>
      <c r="E42" s="2279" t="s">
        <v>382</v>
      </c>
      <c r="F42" s="2242">
        <f t="shared" si="83"/>
        <v>0</v>
      </c>
      <c r="G42" s="4376">
        <f t="shared" si="84"/>
        <v>0</v>
      </c>
      <c r="H42" s="2241">
        <f t="shared" si="85"/>
        <v>0</v>
      </c>
      <c r="I42" s="2242">
        <f t="shared" si="86"/>
        <v>0</v>
      </c>
      <c r="J42" s="2243">
        <f t="shared" si="87"/>
        <v>0</v>
      </c>
      <c r="K42" s="2243">
        <f t="shared" si="88"/>
        <v>0</v>
      </c>
      <c r="L42" s="2243">
        <f t="shared" si="89"/>
        <v>0</v>
      </c>
      <c r="M42" s="2243">
        <f t="shared" si="90"/>
        <v>0</v>
      </c>
      <c r="N42" s="2278">
        <f t="shared" si="77"/>
        <v>0</v>
      </c>
      <c r="O42" s="1304"/>
      <c r="P42" s="1306"/>
      <c r="Q42" s="1305"/>
      <c r="R42" s="1306"/>
      <c r="S42" s="1307"/>
      <c r="T42" s="1307"/>
      <c r="U42" s="1307"/>
      <c r="V42" s="1307"/>
      <c r="W42" s="1304"/>
      <c r="X42" s="1306"/>
      <c r="Y42" s="1305"/>
      <c r="Z42" s="1306"/>
      <c r="AA42" s="1307"/>
      <c r="AB42" s="1307"/>
      <c r="AC42" s="1307"/>
      <c r="AD42" s="1307"/>
      <c r="AE42" s="1304"/>
      <c r="AF42" s="1306"/>
      <c r="AG42" s="1305"/>
      <c r="AH42" s="1306"/>
      <c r="AI42" s="1307"/>
      <c r="AJ42" s="1307"/>
      <c r="AK42" s="1307"/>
      <c r="AL42" s="1308"/>
      <c r="AM42" s="1309"/>
      <c r="AN42" s="1311"/>
      <c r="AO42" s="2253" t="s">
        <v>313</v>
      </c>
      <c r="AP42" s="2280"/>
      <c r="AQ42" s="2280"/>
      <c r="AR42" s="2281"/>
      <c r="AS42" s="2282"/>
      <c r="AT42" s="2283"/>
      <c r="AU42" s="2283"/>
      <c r="AV42" s="2283"/>
      <c r="AW42" s="2284"/>
      <c r="AX42" s="2247" t="s">
        <v>370</v>
      </c>
      <c r="AY42" s="4775"/>
      <c r="AZ42" s="4794">
        <f t="shared" si="44"/>
        <v>0</v>
      </c>
      <c r="BA42" s="4794">
        <f t="shared" si="45"/>
        <v>0</v>
      </c>
      <c r="BB42" s="4794">
        <f t="shared" si="46"/>
        <v>0</v>
      </c>
      <c r="BC42" s="4794">
        <f t="shared" si="47"/>
        <v>0</v>
      </c>
      <c r="BD42" s="4794">
        <f t="shared" si="48"/>
        <v>0</v>
      </c>
      <c r="BE42" s="4794">
        <f t="shared" si="49"/>
        <v>0</v>
      </c>
      <c r="BF42" s="4794">
        <f t="shared" si="50"/>
        <v>0</v>
      </c>
      <c r="BG42" s="4794">
        <f t="shared" si="51"/>
        <v>0</v>
      </c>
      <c r="BH42" s="4794">
        <f t="shared" si="52"/>
        <v>0</v>
      </c>
      <c r="BI42" s="4794">
        <f t="shared" si="53"/>
        <v>0</v>
      </c>
      <c r="BJ42" s="4794">
        <f t="shared" si="54"/>
        <v>0</v>
      </c>
      <c r="BK42" s="4794">
        <f t="shared" si="55"/>
        <v>0</v>
      </c>
      <c r="BL42" s="4794">
        <f t="shared" si="56"/>
        <v>0</v>
      </c>
      <c r="BM42" s="4794">
        <f t="shared" si="57"/>
        <v>0</v>
      </c>
      <c r="BN42" s="4794">
        <f t="shared" si="58"/>
        <v>0</v>
      </c>
      <c r="BO42" s="4794">
        <f t="shared" si="59"/>
        <v>0</v>
      </c>
      <c r="BP42" s="4794">
        <f t="shared" si="60"/>
        <v>0</v>
      </c>
      <c r="BQ42" s="4794">
        <f t="shared" si="61"/>
        <v>0</v>
      </c>
      <c r="BR42" s="4794">
        <f t="shared" si="62"/>
        <v>0</v>
      </c>
      <c r="BS42" s="4794">
        <f t="shared" si="63"/>
        <v>0</v>
      </c>
      <c r="BT42" s="4794">
        <f t="shared" si="64"/>
        <v>0</v>
      </c>
      <c r="BU42" s="4794">
        <f t="shared" si="65"/>
        <v>0</v>
      </c>
      <c r="BV42" s="4794">
        <f t="shared" si="66"/>
        <v>0</v>
      </c>
      <c r="BW42" s="4794">
        <f t="shared" si="67"/>
        <v>0</v>
      </c>
      <c r="BX42" s="4794">
        <f t="shared" si="68"/>
        <v>0</v>
      </c>
      <c r="BY42" s="4794">
        <f t="shared" si="69"/>
        <v>0</v>
      </c>
      <c r="BZ42" s="4794">
        <f t="shared" si="70"/>
        <v>0</v>
      </c>
      <c r="CA42" s="4794">
        <f t="shared" si="71"/>
        <v>0</v>
      </c>
      <c r="CB42" s="4794">
        <f t="shared" si="72"/>
        <v>0</v>
      </c>
      <c r="CC42" s="4794">
        <f t="shared" si="73"/>
        <v>0</v>
      </c>
      <c r="CD42" s="4794">
        <f t="shared" si="74"/>
        <v>0</v>
      </c>
      <c r="CE42" s="4794">
        <f t="shared" si="75"/>
        <v>0</v>
      </c>
      <c r="CF42" s="4794">
        <f t="shared" si="76"/>
        <v>0</v>
      </c>
    </row>
    <row r="43" spans="1:84" ht="24">
      <c r="A43" s="2285"/>
      <c r="B43" s="2276">
        <v>20502</v>
      </c>
      <c r="C43" s="2276" t="s">
        <v>1824</v>
      </c>
      <c r="D43" s="2250">
        <v>0.1</v>
      </c>
      <c r="E43" s="2279" t="s">
        <v>383</v>
      </c>
      <c r="F43" s="2242">
        <f t="shared" si="83"/>
        <v>0</v>
      </c>
      <c r="G43" s="4376">
        <f t="shared" si="84"/>
        <v>0</v>
      </c>
      <c r="H43" s="2241">
        <f t="shared" si="85"/>
        <v>0</v>
      </c>
      <c r="I43" s="2242">
        <f t="shared" si="86"/>
        <v>0</v>
      </c>
      <c r="J43" s="2243">
        <f t="shared" si="87"/>
        <v>0</v>
      </c>
      <c r="K43" s="2243">
        <f t="shared" si="88"/>
        <v>0</v>
      </c>
      <c r="L43" s="2243">
        <f t="shared" si="89"/>
        <v>0</v>
      </c>
      <c r="M43" s="2243">
        <f t="shared" si="90"/>
        <v>0</v>
      </c>
      <c r="N43" s="2278">
        <f t="shared" si="77"/>
        <v>0</v>
      </c>
      <c r="O43" s="1304"/>
      <c r="P43" s="1306"/>
      <c r="Q43" s="1305"/>
      <c r="R43" s="1306"/>
      <c r="S43" s="1307"/>
      <c r="T43" s="1307"/>
      <c r="U43" s="1307"/>
      <c r="V43" s="1307"/>
      <c r="W43" s="1304"/>
      <c r="X43" s="1306"/>
      <c r="Y43" s="1305"/>
      <c r="Z43" s="1306"/>
      <c r="AA43" s="1307"/>
      <c r="AB43" s="1307"/>
      <c r="AC43" s="1307"/>
      <c r="AD43" s="1307"/>
      <c r="AE43" s="1304"/>
      <c r="AF43" s="1306"/>
      <c r="AG43" s="1305"/>
      <c r="AH43" s="1306"/>
      <c r="AI43" s="1307"/>
      <c r="AJ43" s="1307"/>
      <c r="AK43" s="1307"/>
      <c r="AL43" s="1308"/>
      <c r="AM43" s="1309"/>
      <c r="AN43" s="1311"/>
      <c r="AO43" s="2246" t="s">
        <v>676</v>
      </c>
      <c r="AP43" s="1306"/>
      <c r="AQ43" s="1306"/>
      <c r="AR43" s="1305"/>
      <c r="AS43" s="1306"/>
      <c r="AT43" s="1307"/>
      <c r="AU43" s="1307"/>
      <c r="AV43" s="1307"/>
      <c r="AW43" s="1305"/>
      <c r="AX43" s="2247" t="s">
        <v>375</v>
      </c>
      <c r="AY43" s="4775"/>
      <c r="AZ43" s="4794">
        <f t="shared" si="44"/>
        <v>0</v>
      </c>
      <c r="BA43" s="4794">
        <f t="shared" si="45"/>
        <v>0</v>
      </c>
      <c r="BB43" s="4794">
        <f t="shared" si="46"/>
        <v>0</v>
      </c>
      <c r="BC43" s="4794">
        <f t="shared" si="47"/>
        <v>0</v>
      </c>
      <c r="BD43" s="4794">
        <f t="shared" si="48"/>
        <v>0</v>
      </c>
      <c r="BE43" s="4794">
        <f t="shared" si="49"/>
        <v>0</v>
      </c>
      <c r="BF43" s="4794">
        <f t="shared" si="50"/>
        <v>0</v>
      </c>
      <c r="BG43" s="4794">
        <f t="shared" si="51"/>
        <v>0</v>
      </c>
      <c r="BH43" s="4794">
        <f t="shared" si="52"/>
        <v>0</v>
      </c>
      <c r="BI43" s="4794">
        <f t="shared" si="53"/>
        <v>0</v>
      </c>
      <c r="BJ43" s="4794">
        <f t="shared" si="54"/>
        <v>0</v>
      </c>
      <c r="BK43" s="4794">
        <f t="shared" si="55"/>
        <v>0</v>
      </c>
      <c r="BL43" s="4794">
        <f t="shared" si="56"/>
        <v>0</v>
      </c>
      <c r="BM43" s="4794">
        <f t="shared" si="57"/>
        <v>0</v>
      </c>
      <c r="BN43" s="4794">
        <f t="shared" si="58"/>
        <v>0</v>
      </c>
      <c r="BO43" s="4794">
        <f t="shared" si="59"/>
        <v>0</v>
      </c>
      <c r="BP43" s="4794">
        <f t="shared" si="60"/>
        <v>0</v>
      </c>
      <c r="BQ43" s="4794">
        <f t="shared" si="61"/>
        <v>0</v>
      </c>
      <c r="BR43" s="4794">
        <f t="shared" si="62"/>
        <v>0</v>
      </c>
      <c r="BS43" s="4794">
        <f t="shared" si="63"/>
        <v>0</v>
      </c>
      <c r="BT43" s="4794">
        <f t="shared" si="64"/>
        <v>0</v>
      </c>
      <c r="BU43" s="4794">
        <f t="shared" si="65"/>
        <v>0</v>
      </c>
      <c r="BV43" s="4794">
        <f t="shared" si="66"/>
        <v>0</v>
      </c>
      <c r="BW43" s="4794">
        <f t="shared" si="67"/>
        <v>0</v>
      </c>
      <c r="BX43" s="4794">
        <f t="shared" si="68"/>
        <v>0</v>
      </c>
      <c r="BY43" s="4794">
        <f t="shared" si="69"/>
        <v>0</v>
      </c>
      <c r="BZ43" s="4794">
        <f t="shared" si="70"/>
        <v>0</v>
      </c>
      <c r="CA43" s="4794">
        <f t="shared" si="71"/>
        <v>0</v>
      </c>
      <c r="CB43" s="4794">
        <f t="shared" si="72"/>
        <v>0</v>
      </c>
      <c r="CC43" s="4794">
        <f t="shared" si="73"/>
        <v>0</v>
      </c>
      <c r="CD43" s="4794">
        <f t="shared" si="74"/>
        <v>0</v>
      </c>
      <c r="CE43" s="4794">
        <f t="shared" si="75"/>
        <v>0</v>
      </c>
      <c r="CF43" s="4794">
        <f t="shared" si="76"/>
        <v>0</v>
      </c>
    </row>
    <row r="44" spans="1:84" ht="24">
      <c r="A44" s="2285"/>
      <c r="B44" s="2276">
        <v>20501</v>
      </c>
      <c r="C44" s="2276" t="s">
        <v>1825</v>
      </c>
      <c r="D44" s="2250">
        <v>0.08</v>
      </c>
      <c r="E44" s="2279" t="s">
        <v>384</v>
      </c>
      <c r="F44" s="2242">
        <f t="shared" si="83"/>
        <v>0</v>
      </c>
      <c r="G44" s="4376">
        <f t="shared" si="84"/>
        <v>0</v>
      </c>
      <c r="H44" s="2241">
        <f t="shared" si="85"/>
        <v>0</v>
      </c>
      <c r="I44" s="2242">
        <f t="shared" si="86"/>
        <v>0</v>
      </c>
      <c r="J44" s="2243">
        <f t="shared" si="87"/>
        <v>0</v>
      </c>
      <c r="K44" s="2243">
        <f t="shared" si="88"/>
        <v>0</v>
      </c>
      <c r="L44" s="2243">
        <f t="shared" si="89"/>
        <v>0</v>
      </c>
      <c r="M44" s="2243">
        <f t="shared" si="90"/>
        <v>0</v>
      </c>
      <c r="N44" s="2278">
        <f t="shared" si="77"/>
        <v>0</v>
      </c>
      <c r="O44" s="1304"/>
      <c r="P44" s="1306"/>
      <c r="Q44" s="1305"/>
      <c r="R44" s="1306"/>
      <c r="S44" s="1307"/>
      <c r="T44" s="1307"/>
      <c r="U44" s="1307"/>
      <c r="V44" s="1307"/>
      <c r="W44" s="1304"/>
      <c r="X44" s="1306"/>
      <c r="Y44" s="1305"/>
      <c r="Z44" s="1306"/>
      <c r="AA44" s="1307"/>
      <c r="AB44" s="1307"/>
      <c r="AC44" s="1307"/>
      <c r="AD44" s="1307"/>
      <c r="AE44" s="1304"/>
      <c r="AF44" s="1306"/>
      <c r="AG44" s="1305"/>
      <c r="AH44" s="1306"/>
      <c r="AI44" s="1307"/>
      <c r="AJ44" s="1307"/>
      <c r="AK44" s="1307"/>
      <c r="AL44" s="1308"/>
      <c r="AM44" s="1309"/>
      <c r="AN44" s="1311"/>
      <c r="AO44" s="2246" t="s">
        <v>676</v>
      </c>
      <c r="AP44" s="1306"/>
      <c r="AQ44" s="1306"/>
      <c r="AR44" s="1305"/>
      <c r="AS44" s="1306"/>
      <c r="AT44" s="1307"/>
      <c r="AU44" s="1307"/>
      <c r="AV44" s="1307"/>
      <c r="AW44" s="1305"/>
      <c r="AX44" s="2247" t="s">
        <v>375</v>
      </c>
      <c r="AY44" s="4775"/>
      <c r="AZ44" s="4794">
        <f t="shared" si="44"/>
        <v>0</v>
      </c>
      <c r="BA44" s="4794">
        <f t="shared" si="45"/>
        <v>0</v>
      </c>
      <c r="BB44" s="4794">
        <f t="shared" si="46"/>
        <v>0</v>
      </c>
      <c r="BC44" s="4794">
        <f t="shared" si="47"/>
        <v>0</v>
      </c>
      <c r="BD44" s="4794">
        <f t="shared" si="48"/>
        <v>0</v>
      </c>
      <c r="BE44" s="4794">
        <f t="shared" si="49"/>
        <v>0</v>
      </c>
      <c r="BF44" s="4794">
        <f t="shared" si="50"/>
        <v>0</v>
      </c>
      <c r="BG44" s="4794">
        <f t="shared" si="51"/>
        <v>0</v>
      </c>
      <c r="BH44" s="4794">
        <f t="shared" si="52"/>
        <v>0</v>
      </c>
      <c r="BI44" s="4794">
        <f t="shared" si="53"/>
        <v>0</v>
      </c>
      <c r="BJ44" s="4794">
        <f t="shared" si="54"/>
        <v>0</v>
      </c>
      <c r="BK44" s="4794">
        <f t="shared" si="55"/>
        <v>0</v>
      </c>
      <c r="BL44" s="4794">
        <f t="shared" si="56"/>
        <v>0</v>
      </c>
      <c r="BM44" s="4794">
        <f t="shared" si="57"/>
        <v>0</v>
      </c>
      <c r="BN44" s="4794">
        <f t="shared" si="58"/>
        <v>0</v>
      </c>
      <c r="BO44" s="4794">
        <f t="shared" si="59"/>
        <v>0</v>
      </c>
      <c r="BP44" s="4794">
        <f t="shared" si="60"/>
        <v>0</v>
      </c>
      <c r="BQ44" s="4794">
        <f t="shared" si="61"/>
        <v>0</v>
      </c>
      <c r="BR44" s="4794">
        <f t="shared" si="62"/>
        <v>0</v>
      </c>
      <c r="BS44" s="4794">
        <f t="shared" si="63"/>
        <v>0</v>
      </c>
      <c r="BT44" s="4794">
        <f t="shared" si="64"/>
        <v>0</v>
      </c>
      <c r="BU44" s="4794">
        <f t="shared" si="65"/>
        <v>0</v>
      </c>
      <c r="BV44" s="4794">
        <f t="shared" si="66"/>
        <v>0</v>
      </c>
      <c r="BW44" s="4794">
        <f t="shared" si="67"/>
        <v>0</v>
      </c>
      <c r="BX44" s="4794">
        <f t="shared" si="68"/>
        <v>0</v>
      </c>
      <c r="BY44" s="4794">
        <f t="shared" si="69"/>
        <v>0</v>
      </c>
      <c r="BZ44" s="4794">
        <f t="shared" si="70"/>
        <v>0</v>
      </c>
      <c r="CA44" s="4794">
        <f t="shared" si="71"/>
        <v>0</v>
      </c>
      <c r="CB44" s="4794">
        <f t="shared" si="72"/>
        <v>0</v>
      </c>
      <c r="CC44" s="4794">
        <f t="shared" si="73"/>
        <v>0</v>
      </c>
      <c r="CD44" s="4794">
        <f t="shared" si="74"/>
        <v>0</v>
      </c>
      <c r="CE44" s="4794">
        <f t="shared" si="75"/>
        <v>0</v>
      </c>
      <c r="CF44" s="4794">
        <f t="shared" si="76"/>
        <v>0</v>
      </c>
    </row>
    <row r="45" spans="1:84">
      <c r="A45" s="2285"/>
      <c r="B45" s="2276">
        <v>20503</v>
      </c>
      <c r="C45" s="2276" t="s">
        <v>1751</v>
      </c>
      <c r="D45" s="2250">
        <v>0.1</v>
      </c>
      <c r="E45" s="2279" t="s">
        <v>672</v>
      </c>
      <c r="F45" s="2242">
        <f t="shared" si="83"/>
        <v>0</v>
      </c>
      <c r="G45" s="4376">
        <f t="shared" si="84"/>
        <v>0</v>
      </c>
      <c r="H45" s="2241">
        <f t="shared" si="85"/>
        <v>0</v>
      </c>
      <c r="I45" s="2242">
        <f t="shared" si="86"/>
        <v>0</v>
      </c>
      <c r="J45" s="2243">
        <f t="shared" si="87"/>
        <v>0</v>
      </c>
      <c r="K45" s="2243">
        <f t="shared" si="88"/>
        <v>0</v>
      </c>
      <c r="L45" s="2243">
        <f t="shared" si="89"/>
        <v>0</v>
      </c>
      <c r="M45" s="2243">
        <f t="shared" si="90"/>
        <v>0</v>
      </c>
      <c r="N45" s="2278">
        <f t="shared" si="77"/>
        <v>0</v>
      </c>
      <c r="O45" s="1304"/>
      <c r="P45" s="1306"/>
      <c r="Q45" s="1305"/>
      <c r="R45" s="1306"/>
      <c r="S45" s="1307"/>
      <c r="T45" s="1307"/>
      <c r="U45" s="1307"/>
      <c r="V45" s="1307"/>
      <c r="W45" s="1304"/>
      <c r="X45" s="1306"/>
      <c r="Y45" s="1305"/>
      <c r="Z45" s="1306"/>
      <c r="AA45" s="1307"/>
      <c r="AB45" s="1307"/>
      <c r="AC45" s="1307"/>
      <c r="AD45" s="1307"/>
      <c r="AE45" s="1304"/>
      <c r="AF45" s="1306"/>
      <c r="AG45" s="1305"/>
      <c r="AH45" s="1306"/>
      <c r="AI45" s="1307"/>
      <c r="AJ45" s="1307"/>
      <c r="AK45" s="1307"/>
      <c r="AL45" s="1308"/>
      <c r="AM45" s="1309"/>
      <c r="AN45" s="1311"/>
      <c r="AO45" s="2246" t="s">
        <v>676</v>
      </c>
      <c r="AP45" s="1306"/>
      <c r="AQ45" s="1306"/>
      <c r="AR45" s="1305"/>
      <c r="AS45" s="1306"/>
      <c r="AT45" s="1307"/>
      <c r="AU45" s="1307"/>
      <c r="AV45" s="1307"/>
      <c r="AW45" s="1305"/>
      <c r="AX45" s="2247" t="s">
        <v>375</v>
      </c>
      <c r="AY45" s="4775"/>
      <c r="AZ45" s="4794">
        <f t="shared" si="44"/>
        <v>0</v>
      </c>
      <c r="BA45" s="4794">
        <f t="shared" si="45"/>
        <v>0</v>
      </c>
      <c r="BB45" s="4794">
        <f t="shared" si="46"/>
        <v>0</v>
      </c>
      <c r="BC45" s="4794">
        <f t="shared" si="47"/>
        <v>0</v>
      </c>
      <c r="BD45" s="4794">
        <f t="shared" si="48"/>
        <v>0</v>
      </c>
      <c r="BE45" s="4794">
        <f t="shared" si="49"/>
        <v>0</v>
      </c>
      <c r="BF45" s="4794">
        <f t="shared" si="50"/>
        <v>0</v>
      </c>
      <c r="BG45" s="4794">
        <f t="shared" si="51"/>
        <v>0</v>
      </c>
      <c r="BH45" s="4794">
        <f t="shared" si="52"/>
        <v>0</v>
      </c>
      <c r="BI45" s="4794">
        <f t="shared" si="53"/>
        <v>0</v>
      </c>
      <c r="BJ45" s="4794">
        <f t="shared" si="54"/>
        <v>0</v>
      </c>
      <c r="BK45" s="4794">
        <f t="shared" si="55"/>
        <v>0</v>
      </c>
      <c r="BL45" s="4794">
        <f t="shared" si="56"/>
        <v>0</v>
      </c>
      <c r="BM45" s="4794">
        <f t="shared" si="57"/>
        <v>0</v>
      </c>
      <c r="BN45" s="4794">
        <f t="shared" si="58"/>
        <v>0</v>
      </c>
      <c r="BO45" s="4794">
        <f t="shared" si="59"/>
        <v>0</v>
      </c>
      <c r="BP45" s="4794">
        <f t="shared" si="60"/>
        <v>0</v>
      </c>
      <c r="BQ45" s="4794">
        <f t="shared" si="61"/>
        <v>0</v>
      </c>
      <c r="BR45" s="4794">
        <f t="shared" si="62"/>
        <v>0</v>
      </c>
      <c r="BS45" s="4794">
        <f t="shared" si="63"/>
        <v>0</v>
      </c>
      <c r="BT45" s="4794">
        <f t="shared" si="64"/>
        <v>0</v>
      </c>
      <c r="BU45" s="4794">
        <f t="shared" si="65"/>
        <v>0</v>
      </c>
      <c r="BV45" s="4794">
        <f t="shared" si="66"/>
        <v>0</v>
      </c>
      <c r="BW45" s="4794">
        <f t="shared" si="67"/>
        <v>0</v>
      </c>
      <c r="BX45" s="4794">
        <f t="shared" si="68"/>
        <v>0</v>
      </c>
      <c r="BY45" s="4794">
        <f t="shared" si="69"/>
        <v>0</v>
      </c>
      <c r="BZ45" s="4794">
        <f t="shared" si="70"/>
        <v>0</v>
      </c>
      <c r="CA45" s="4794">
        <f t="shared" si="71"/>
        <v>0</v>
      </c>
      <c r="CB45" s="4794">
        <f t="shared" si="72"/>
        <v>0</v>
      </c>
      <c r="CC45" s="4794">
        <f t="shared" si="73"/>
        <v>0</v>
      </c>
      <c r="CD45" s="4794">
        <f t="shared" si="74"/>
        <v>0</v>
      </c>
      <c r="CE45" s="4794">
        <f t="shared" si="75"/>
        <v>0</v>
      </c>
      <c r="CF45" s="4794">
        <f t="shared" si="76"/>
        <v>0</v>
      </c>
    </row>
    <row r="46" spans="1:84" ht="24">
      <c r="A46" s="2285"/>
      <c r="B46" s="2276">
        <v>20303</v>
      </c>
      <c r="C46" s="2276" t="s">
        <v>1826</v>
      </c>
      <c r="D46" s="2239">
        <v>0.1</v>
      </c>
      <c r="E46" s="2277" t="s">
        <v>656</v>
      </c>
      <c r="F46" s="2242">
        <f t="shared" si="83"/>
        <v>0</v>
      </c>
      <c r="G46" s="4376">
        <f t="shared" si="84"/>
        <v>360</v>
      </c>
      <c r="H46" s="2241">
        <f t="shared" si="85"/>
        <v>0</v>
      </c>
      <c r="I46" s="2242">
        <f t="shared" si="86"/>
        <v>0</v>
      </c>
      <c r="J46" s="2243">
        <f t="shared" si="87"/>
        <v>0</v>
      </c>
      <c r="K46" s="2243">
        <f t="shared" si="88"/>
        <v>0</v>
      </c>
      <c r="L46" s="2243">
        <f t="shared" si="89"/>
        <v>0</v>
      </c>
      <c r="M46" s="2243">
        <f t="shared" si="90"/>
        <v>0</v>
      </c>
      <c r="N46" s="2278">
        <f t="shared" si="77"/>
        <v>0</v>
      </c>
      <c r="O46" s="1304"/>
      <c r="P46" s="1306">
        <v>360</v>
      </c>
      <c r="Q46" s="1305"/>
      <c r="R46" s="1306"/>
      <c r="S46" s="1307"/>
      <c r="T46" s="1307"/>
      <c r="U46" s="1307"/>
      <c r="V46" s="1307"/>
      <c r="W46" s="1304"/>
      <c r="X46" s="1306"/>
      <c r="Y46" s="1305"/>
      <c r="Z46" s="1306"/>
      <c r="AA46" s="1307"/>
      <c r="AB46" s="1307"/>
      <c r="AC46" s="1307"/>
      <c r="AD46" s="1307"/>
      <c r="AE46" s="1304"/>
      <c r="AF46" s="1306"/>
      <c r="AG46" s="1305"/>
      <c r="AH46" s="1306"/>
      <c r="AI46" s="1307"/>
      <c r="AJ46" s="1307"/>
      <c r="AK46" s="1307"/>
      <c r="AL46" s="1308"/>
      <c r="AM46" s="1309"/>
      <c r="AN46" s="1311"/>
      <c r="AO46" s="2246" t="s">
        <v>676</v>
      </c>
      <c r="AP46" s="1306"/>
      <c r="AQ46" s="1306"/>
      <c r="AR46" s="1305"/>
      <c r="AS46" s="1306"/>
      <c r="AT46" s="1307"/>
      <c r="AU46" s="1307"/>
      <c r="AV46" s="1307"/>
      <c r="AW46" s="1305"/>
      <c r="AX46" s="2252" t="s">
        <v>1025</v>
      </c>
      <c r="AY46" s="4775"/>
      <c r="AZ46" s="4794">
        <f t="shared" si="44"/>
        <v>0</v>
      </c>
      <c r="BA46" s="4794">
        <f t="shared" si="45"/>
        <v>184.06507723063865</v>
      </c>
      <c r="BB46" s="4794">
        <f t="shared" si="46"/>
        <v>0</v>
      </c>
      <c r="BC46" s="4794">
        <f t="shared" si="47"/>
        <v>0</v>
      </c>
      <c r="BD46" s="4794">
        <f t="shared" si="48"/>
        <v>0</v>
      </c>
      <c r="BE46" s="4794">
        <f t="shared" si="49"/>
        <v>0</v>
      </c>
      <c r="BF46" s="4794">
        <f t="shared" si="50"/>
        <v>0</v>
      </c>
      <c r="BG46" s="4794">
        <f t="shared" si="51"/>
        <v>0</v>
      </c>
      <c r="BH46" s="4794">
        <f t="shared" si="52"/>
        <v>0</v>
      </c>
      <c r="BI46" s="4794">
        <f t="shared" si="53"/>
        <v>0</v>
      </c>
      <c r="BJ46" s="4794">
        <f t="shared" si="54"/>
        <v>184.06507723063865</v>
      </c>
      <c r="BK46" s="4794">
        <f t="shared" si="55"/>
        <v>0</v>
      </c>
      <c r="BL46" s="4794">
        <f t="shared" si="56"/>
        <v>0</v>
      </c>
      <c r="BM46" s="4794">
        <f t="shared" si="57"/>
        <v>0</v>
      </c>
      <c r="BN46" s="4794">
        <f t="shared" si="58"/>
        <v>0</v>
      </c>
      <c r="BO46" s="4794">
        <f t="shared" si="59"/>
        <v>0</v>
      </c>
      <c r="BP46" s="4794">
        <f t="shared" si="60"/>
        <v>0</v>
      </c>
      <c r="BQ46" s="4794">
        <f t="shared" si="61"/>
        <v>0</v>
      </c>
      <c r="BR46" s="4794">
        <f t="shared" si="62"/>
        <v>0</v>
      </c>
      <c r="BS46" s="4794">
        <f t="shared" si="63"/>
        <v>0</v>
      </c>
      <c r="BT46" s="4794">
        <f t="shared" si="64"/>
        <v>0</v>
      </c>
      <c r="BU46" s="4794">
        <f t="shared" si="65"/>
        <v>0</v>
      </c>
      <c r="BV46" s="4794">
        <f t="shared" si="66"/>
        <v>0</v>
      </c>
      <c r="BW46" s="4794">
        <f t="shared" si="67"/>
        <v>0</v>
      </c>
      <c r="BX46" s="4794">
        <f t="shared" si="68"/>
        <v>0</v>
      </c>
      <c r="BY46" s="4794">
        <f t="shared" si="69"/>
        <v>0</v>
      </c>
      <c r="BZ46" s="4794">
        <f t="shared" si="70"/>
        <v>0</v>
      </c>
      <c r="CA46" s="4794">
        <f t="shared" si="71"/>
        <v>0</v>
      </c>
      <c r="CB46" s="4794">
        <f t="shared" si="72"/>
        <v>0</v>
      </c>
      <c r="CC46" s="4794">
        <f t="shared" si="73"/>
        <v>0</v>
      </c>
      <c r="CD46" s="4794">
        <f t="shared" si="74"/>
        <v>0</v>
      </c>
      <c r="CE46" s="4794">
        <f t="shared" si="75"/>
        <v>0</v>
      </c>
      <c r="CF46" s="4794">
        <f t="shared" si="76"/>
        <v>0</v>
      </c>
    </row>
    <row r="47" spans="1:84" ht="24.75" thickBot="1">
      <c r="A47" s="4089"/>
      <c r="B47" s="4090">
        <v>20306</v>
      </c>
      <c r="C47" s="4090" t="s">
        <v>1827</v>
      </c>
      <c r="D47" s="4078">
        <v>0.1</v>
      </c>
      <c r="E47" s="4091" t="s">
        <v>711</v>
      </c>
      <c r="F47" s="4081">
        <f t="shared" si="83"/>
        <v>26</v>
      </c>
      <c r="G47" s="4377">
        <f t="shared" si="84"/>
        <v>12</v>
      </c>
      <c r="H47" s="4080">
        <f t="shared" si="85"/>
        <v>10</v>
      </c>
      <c r="I47" s="4081">
        <f t="shared" si="86"/>
        <v>15</v>
      </c>
      <c r="J47" s="4082">
        <f t="shared" si="87"/>
        <v>10</v>
      </c>
      <c r="K47" s="4082">
        <f t="shared" si="88"/>
        <v>10</v>
      </c>
      <c r="L47" s="4082">
        <f t="shared" si="89"/>
        <v>10</v>
      </c>
      <c r="M47" s="4082">
        <f t="shared" si="90"/>
        <v>10</v>
      </c>
      <c r="N47" s="2464">
        <f t="shared" si="77"/>
        <v>55</v>
      </c>
      <c r="O47" s="1327">
        <v>26</v>
      </c>
      <c r="P47" s="1329">
        <v>12</v>
      </c>
      <c r="Q47" s="1328">
        <v>10</v>
      </c>
      <c r="R47" s="1329">
        <v>15</v>
      </c>
      <c r="S47" s="4084">
        <v>10</v>
      </c>
      <c r="T47" s="4084">
        <v>10</v>
      </c>
      <c r="U47" s="4084">
        <v>10</v>
      </c>
      <c r="V47" s="4084">
        <v>10</v>
      </c>
      <c r="W47" s="1327"/>
      <c r="X47" s="1329"/>
      <c r="Y47" s="1328"/>
      <c r="Z47" s="1329"/>
      <c r="AA47" s="4084"/>
      <c r="AB47" s="4084"/>
      <c r="AC47" s="4084"/>
      <c r="AD47" s="4084"/>
      <c r="AE47" s="1327"/>
      <c r="AF47" s="1329"/>
      <c r="AG47" s="1328"/>
      <c r="AH47" s="1329"/>
      <c r="AI47" s="4084"/>
      <c r="AJ47" s="4084"/>
      <c r="AK47" s="4084"/>
      <c r="AL47" s="4085"/>
      <c r="AM47" s="1325"/>
      <c r="AN47" s="1326"/>
      <c r="AO47" s="2313" t="s">
        <v>676</v>
      </c>
      <c r="AP47" s="1329"/>
      <c r="AQ47" s="1329"/>
      <c r="AR47" s="1328"/>
      <c r="AS47" s="1329"/>
      <c r="AT47" s="4084"/>
      <c r="AU47" s="4084"/>
      <c r="AV47" s="4084"/>
      <c r="AW47" s="1328"/>
      <c r="AX47" s="4087" t="s">
        <v>1024</v>
      </c>
      <c r="AY47" s="4775"/>
      <c r="AZ47" s="4794">
        <f t="shared" si="44"/>
        <v>13.293588911101681</v>
      </c>
      <c r="BA47" s="4794">
        <f t="shared" si="45"/>
        <v>6.1355025743546223</v>
      </c>
      <c r="BB47" s="4794">
        <f t="shared" si="46"/>
        <v>5.1129188119621851</v>
      </c>
      <c r="BC47" s="4794">
        <f t="shared" si="47"/>
        <v>7.6693782179432777</v>
      </c>
      <c r="BD47" s="4794">
        <f t="shared" si="48"/>
        <v>5.1129188119621851</v>
      </c>
      <c r="BE47" s="4794">
        <f t="shared" si="49"/>
        <v>5.1129188119621851</v>
      </c>
      <c r="BF47" s="4794">
        <f t="shared" si="50"/>
        <v>5.1129188119621851</v>
      </c>
      <c r="BG47" s="4794">
        <f t="shared" si="51"/>
        <v>5.1129188119621851</v>
      </c>
      <c r="BH47" s="4794">
        <f t="shared" si="52"/>
        <v>28.121053465792016</v>
      </c>
      <c r="BI47" s="4794">
        <f t="shared" si="53"/>
        <v>13.293588911101681</v>
      </c>
      <c r="BJ47" s="4794">
        <f t="shared" si="54"/>
        <v>6.1355025743546223</v>
      </c>
      <c r="BK47" s="4794">
        <f t="shared" si="55"/>
        <v>5.1129188119621851</v>
      </c>
      <c r="BL47" s="4794">
        <f t="shared" si="56"/>
        <v>7.6693782179432777</v>
      </c>
      <c r="BM47" s="4794">
        <f t="shared" si="57"/>
        <v>5.1129188119621851</v>
      </c>
      <c r="BN47" s="4794">
        <f t="shared" si="58"/>
        <v>5.1129188119621851</v>
      </c>
      <c r="BO47" s="4794">
        <f t="shared" si="59"/>
        <v>5.1129188119621851</v>
      </c>
      <c r="BP47" s="4794">
        <f t="shared" si="60"/>
        <v>5.1129188119621851</v>
      </c>
      <c r="BQ47" s="4794">
        <f t="shared" si="61"/>
        <v>0</v>
      </c>
      <c r="BR47" s="4794">
        <f t="shared" si="62"/>
        <v>0</v>
      </c>
      <c r="BS47" s="4794">
        <f t="shared" si="63"/>
        <v>0</v>
      </c>
      <c r="BT47" s="4794">
        <f t="shared" si="64"/>
        <v>0</v>
      </c>
      <c r="BU47" s="4794">
        <f t="shared" si="65"/>
        <v>0</v>
      </c>
      <c r="BV47" s="4794">
        <f t="shared" si="66"/>
        <v>0</v>
      </c>
      <c r="BW47" s="4794">
        <f t="shared" si="67"/>
        <v>0</v>
      </c>
      <c r="BX47" s="4794">
        <f t="shared" si="68"/>
        <v>0</v>
      </c>
      <c r="BY47" s="4794">
        <f t="shared" si="69"/>
        <v>0</v>
      </c>
      <c r="BZ47" s="4794">
        <f t="shared" si="70"/>
        <v>0</v>
      </c>
      <c r="CA47" s="4794">
        <f t="shared" si="71"/>
        <v>0</v>
      </c>
      <c r="CB47" s="4794">
        <f t="shared" si="72"/>
        <v>0</v>
      </c>
      <c r="CC47" s="4794">
        <f t="shared" si="73"/>
        <v>0</v>
      </c>
      <c r="CD47" s="4794">
        <f t="shared" si="74"/>
        <v>0</v>
      </c>
      <c r="CE47" s="4794">
        <f t="shared" si="75"/>
        <v>0</v>
      </c>
      <c r="CF47" s="4794">
        <f t="shared" si="76"/>
        <v>0</v>
      </c>
    </row>
    <row r="48" spans="1:84" ht="24.75" thickBot="1">
      <c r="A48" s="2205">
        <v>1.3</v>
      </c>
      <c r="B48" s="2205"/>
      <c r="C48" s="2205"/>
      <c r="D48" s="2206"/>
      <c r="E48" s="2207" t="s">
        <v>209</v>
      </c>
      <c r="F48" s="2208">
        <f t="shared" ref="F48" si="91">SUM(F49:F56)</f>
        <v>185</v>
      </c>
      <c r="G48" s="4374">
        <f t="shared" ref="G48:AL48" si="92">SUM(G49:G56)</f>
        <v>97</v>
      </c>
      <c r="H48" s="2209">
        <f t="shared" si="92"/>
        <v>120</v>
      </c>
      <c r="I48" s="2210">
        <f t="shared" si="92"/>
        <v>170</v>
      </c>
      <c r="J48" s="2211">
        <f t="shared" si="92"/>
        <v>150</v>
      </c>
      <c r="K48" s="2211">
        <f t="shared" si="92"/>
        <v>140</v>
      </c>
      <c r="L48" s="2211">
        <f t="shared" si="92"/>
        <v>170</v>
      </c>
      <c r="M48" s="2262">
        <f t="shared" si="92"/>
        <v>140</v>
      </c>
      <c r="N48" s="2263">
        <f t="shared" si="92"/>
        <v>770</v>
      </c>
      <c r="O48" s="2214">
        <f t="shared" ref="O48" si="93">SUM(O49:O56)</f>
        <v>185</v>
      </c>
      <c r="P48" s="4390">
        <f t="shared" si="92"/>
        <v>97</v>
      </c>
      <c r="Q48" s="2215">
        <f t="shared" si="92"/>
        <v>120</v>
      </c>
      <c r="R48" s="2216">
        <f t="shared" si="92"/>
        <v>170</v>
      </c>
      <c r="S48" s="2217">
        <f t="shared" si="92"/>
        <v>150</v>
      </c>
      <c r="T48" s="2217">
        <f t="shared" si="92"/>
        <v>140</v>
      </c>
      <c r="U48" s="2217">
        <f t="shared" si="92"/>
        <v>170</v>
      </c>
      <c r="V48" s="2218">
        <f t="shared" si="92"/>
        <v>140</v>
      </c>
      <c r="W48" s="2214">
        <f t="shared" ref="W48" si="94">SUM(W49:W56)</f>
        <v>0</v>
      </c>
      <c r="X48" s="4390">
        <f t="shared" si="92"/>
        <v>0</v>
      </c>
      <c r="Y48" s="2215">
        <f t="shared" si="92"/>
        <v>0</v>
      </c>
      <c r="Z48" s="2216">
        <f t="shared" si="92"/>
        <v>0</v>
      </c>
      <c r="AA48" s="2217">
        <f t="shared" si="92"/>
        <v>0</v>
      </c>
      <c r="AB48" s="2217">
        <f t="shared" si="92"/>
        <v>0</v>
      </c>
      <c r="AC48" s="2217">
        <f t="shared" si="92"/>
        <v>0</v>
      </c>
      <c r="AD48" s="2218">
        <f t="shared" si="92"/>
        <v>0</v>
      </c>
      <c r="AE48" s="2214">
        <f t="shared" ref="AE48" si="95">SUM(AE49:AE56)</f>
        <v>0</v>
      </c>
      <c r="AF48" s="4390">
        <f t="shared" si="92"/>
        <v>0</v>
      </c>
      <c r="AG48" s="2215">
        <f t="shared" si="92"/>
        <v>0</v>
      </c>
      <c r="AH48" s="2216">
        <f t="shared" si="92"/>
        <v>0</v>
      </c>
      <c r="AI48" s="2217">
        <f t="shared" si="92"/>
        <v>0</v>
      </c>
      <c r="AJ48" s="2217">
        <f t="shared" si="92"/>
        <v>0</v>
      </c>
      <c r="AK48" s="2217">
        <f t="shared" si="92"/>
        <v>0</v>
      </c>
      <c r="AL48" s="2219">
        <f t="shared" si="92"/>
        <v>0</v>
      </c>
      <c r="AM48" s="2264"/>
      <c r="AN48" s="2265"/>
      <c r="AO48" s="2264"/>
      <c r="AP48" s="2266"/>
      <c r="AQ48" s="2266"/>
      <c r="AR48" s="2266"/>
      <c r="AS48" s="2267"/>
      <c r="AT48" s="2267"/>
      <c r="AU48" s="2267"/>
      <c r="AV48" s="2267"/>
      <c r="AW48" s="2268"/>
      <c r="AX48" s="2269"/>
      <c r="AY48" s="4775"/>
      <c r="AZ48" s="4794">
        <f t="shared" si="44"/>
        <v>94.588998021300426</v>
      </c>
      <c r="BA48" s="4794">
        <f t="shared" si="45"/>
        <v>49.595312476033193</v>
      </c>
      <c r="BB48" s="4794">
        <f t="shared" si="46"/>
        <v>61.355025743546221</v>
      </c>
      <c r="BC48" s="4794">
        <f t="shared" si="47"/>
        <v>86.919619803357151</v>
      </c>
      <c r="BD48" s="4794">
        <f t="shared" si="48"/>
        <v>76.693782179432773</v>
      </c>
      <c r="BE48" s="4794">
        <f t="shared" si="49"/>
        <v>71.580863367470585</v>
      </c>
      <c r="BF48" s="4794">
        <f t="shared" si="50"/>
        <v>86.919619803357151</v>
      </c>
      <c r="BG48" s="4794">
        <f t="shared" si="51"/>
        <v>71.580863367470585</v>
      </c>
      <c r="BH48" s="4794">
        <f t="shared" si="52"/>
        <v>393.69474852108823</v>
      </c>
      <c r="BI48" s="4794">
        <f t="shared" si="53"/>
        <v>94.588998021300426</v>
      </c>
      <c r="BJ48" s="4794">
        <f t="shared" si="54"/>
        <v>49.595312476033193</v>
      </c>
      <c r="BK48" s="4794">
        <f t="shared" si="55"/>
        <v>61.355025743546221</v>
      </c>
      <c r="BL48" s="4794">
        <f t="shared" si="56"/>
        <v>86.919619803357151</v>
      </c>
      <c r="BM48" s="4794">
        <f t="shared" si="57"/>
        <v>76.693782179432773</v>
      </c>
      <c r="BN48" s="4794">
        <f t="shared" si="58"/>
        <v>71.580863367470585</v>
      </c>
      <c r="BO48" s="4794">
        <f t="shared" si="59"/>
        <v>86.919619803357151</v>
      </c>
      <c r="BP48" s="4794">
        <f t="shared" si="60"/>
        <v>71.580863367470585</v>
      </c>
      <c r="BQ48" s="4794">
        <f t="shared" si="61"/>
        <v>0</v>
      </c>
      <c r="BR48" s="4794">
        <f t="shared" si="62"/>
        <v>0</v>
      </c>
      <c r="BS48" s="4794">
        <f t="shared" si="63"/>
        <v>0</v>
      </c>
      <c r="BT48" s="4794">
        <f t="shared" si="64"/>
        <v>0</v>
      </c>
      <c r="BU48" s="4794">
        <f t="shared" si="65"/>
        <v>0</v>
      </c>
      <c r="BV48" s="4794">
        <f t="shared" si="66"/>
        <v>0</v>
      </c>
      <c r="BW48" s="4794">
        <f t="shared" si="67"/>
        <v>0</v>
      </c>
      <c r="BX48" s="4794">
        <f t="shared" si="68"/>
        <v>0</v>
      </c>
      <c r="BY48" s="4794">
        <f t="shared" si="69"/>
        <v>0</v>
      </c>
      <c r="BZ48" s="4794">
        <f t="shared" si="70"/>
        <v>0</v>
      </c>
      <c r="CA48" s="4794">
        <f t="shared" si="71"/>
        <v>0</v>
      </c>
      <c r="CB48" s="4794">
        <f t="shared" si="72"/>
        <v>0</v>
      </c>
      <c r="CC48" s="4794">
        <f t="shared" si="73"/>
        <v>0</v>
      </c>
      <c r="CD48" s="4794">
        <f t="shared" si="74"/>
        <v>0</v>
      </c>
      <c r="CE48" s="4794">
        <f t="shared" si="75"/>
        <v>0</v>
      </c>
      <c r="CF48" s="4794">
        <f t="shared" si="76"/>
        <v>0</v>
      </c>
    </row>
    <row r="49" spans="1:84" ht="24">
      <c r="A49" s="2226"/>
      <c r="B49" s="2271">
        <v>2040207</v>
      </c>
      <c r="C49" s="2271" t="s">
        <v>1828</v>
      </c>
      <c r="D49" s="2228">
        <v>0.04</v>
      </c>
      <c r="E49" s="2290" t="s">
        <v>385</v>
      </c>
      <c r="F49" s="2291">
        <f t="shared" ref="F49:M56" si="96">O49+W49+AE49</f>
        <v>115</v>
      </c>
      <c r="G49" s="2293">
        <f t="shared" si="96"/>
        <v>87</v>
      </c>
      <c r="H49" s="2292">
        <f t="shared" si="96"/>
        <v>100</v>
      </c>
      <c r="I49" s="2293">
        <f t="shared" si="96"/>
        <v>100</v>
      </c>
      <c r="J49" s="2294">
        <f t="shared" si="96"/>
        <v>100</v>
      </c>
      <c r="K49" s="2294">
        <f t="shared" si="96"/>
        <v>100</v>
      </c>
      <c r="L49" s="2294">
        <f t="shared" si="96"/>
        <v>100</v>
      </c>
      <c r="M49" s="2294">
        <f t="shared" si="96"/>
        <v>100</v>
      </c>
      <c r="N49" s="2273">
        <f t="shared" si="77"/>
        <v>500</v>
      </c>
      <c r="O49" s="1297">
        <v>115</v>
      </c>
      <c r="P49" s="1299">
        <v>87</v>
      </c>
      <c r="Q49" s="1298">
        <v>100</v>
      </c>
      <c r="R49" s="1299">
        <v>100</v>
      </c>
      <c r="S49" s="1300">
        <v>100</v>
      </c>
      <c r="T49" s="1300">
        <v>100</v>
      </c>
      <c r="U49" s="1300">
        <v>100</v>
      </c>
      <c r="V49" s="1300">
        <v>100</v>
      </c>
      <c r="W49" s="1297"/>
      <c r="X49" s="1299"/>
      <c r="Y49" s="1298"/>
      <c r="Z49" s="1299"/>
      <c r="AA49" s="1300"/>
      <c r="AB49" s="1300"/>
      <c r="AC49" s="1300"/>
      <c r="AD49" s="1300"/>
      <c r="AE49" s="1297"/>
      <c r="AF49" s="1299"/>
      <c r="AG49" s="1298"/>
      <c r="AH49" s="1299"/>
      <c r="AI49" s="1300"/>
      <c r="AJ49" s="1300"/>
      <c r="AK49" s="1300"/>
      <c r="AL49" s="1301"/>
      <c r="AM49" s="1302"/>
      <c r="AN49" s="1319"/>
      <c r="AO49" s="2235" t="s">
        <v>676</v>
      </c>
      <c r="AP49" s="1299"/>
      <c r="AQ49" s="1299"/>
      <c r="AR49" s="1298"/>
      <c r="AS49" s="1299"/>
      <c r="AT49" s="1300"/>
      <c r="AU49" s="1300"/>
      <c r="AV49" s="1300"/>
      <c r="AW49" s="1298"/>
      <c r="AX49" s="2274" t="s">
        <v>1027</v>
      </c>
      <c r="AY49" s="4775"/>
      <c r="AZ49" s="4794">
        <f t="shared" si="44"/>
        <v>58.798566337565127</v>
      </c>
      <c r="BA49" s="4794">
        <f t="shared" si="45"/>
        <v>44.482393664071012</v>
      </c>
      <c r="BB49" s="4794">
        <f t="shared" si="46"/>
        <v>51.129188119621851</v>
      </c>
      <c r="BC49" s="4794">
        <f t="shared" si="47"/>
        <v>51.129188119621851</v>
      </c>
      <c r="BD49" s="4794">
        <f t="shared" si="48"/>
        <v>51.129188119621851</v>
      </c>
      <c r="BE49" s="4794">
        <f t="shared" si="49"/>
        <v>51.129188119621851</v>
      </c>
      <c r="BF49" s="4794">
        <f t="shared" si="50"/>
        <v>51.129188119621851</v>
      </c>
      <c r="BG49" s="4794">
        <f t="shared" si="51"/>
        <v>51.129188119621851</v>
      </c>
      <c r="BH49" s="4794">
        <f t="shared" si="52"/>
        <v>255.64594059810923</v>
      </c>
      <c r="BI49" s="4794">
        <f t="shared" si="53"/>
        <v>58.798566337565127</v>
      </c>
      <c r="BJ49" s="4794">
        <f t="shared" si="54"/>
        <v>44.482393664071012</v>
      </c>
      <c r="BK49" s="4794">
        <f t="shared" si="55"/>
        <v>51.129188119621851</v>
      </c>
      <c r="BL49" s="4794">
        <f t="shared" si="56"/>
        <v>51.129188119621851</v>
      </c>
      <c r="BM49" s="4794">
        <f t="shared" si="57"/>
        <v>51.129188119621851</v>
      </c>
      <c r="BN49" s="4794">
        <f t="shared" si="58"/>
        <v>51.129188119621851</v>
      </c>
      <c r="BO49" s="4794">
        <f t="shared" si="59"/>
        <v>51.129188119621851</v>
      </c>
      <c r="BP49" s="4794">
        <f t="shared" si="60"/>
        <v>51.129188119621851</v>
      </c>
      <c r="BQ49" s="4794">
        <f t="shared" si="61"/>
        <v>0</v>
      </c>
      <c r="BR49" s="4794">
        <f t="shared" si="62"/>
        <v>0</v>
      </c>
      <c r="BS49" s="4794">
        <f t="shared" si="63"/>
        <v>0</v>
      </c>
      <c r="BT49" s="4794">
        <f t="shared" si="64"/>
        <v>0</v>
      </c>
      <c r="BU49" s="4794">
        <f t="shared" si="65"/>
        <v>0</v>
      </c>
      <c r="BV49" s="4794">
        <f t="shared" si="66"/>
        <v>0</v>
      </c>
      <c r="BW49" s="4794">
        <f t="shared" si="67"/>
        <v>0</v>
      </c>
      <c r="BX49" s="4794">
        <f t="shared" si="68"/>
        <v>0</v>
      </c>
      <c r="BY49" s="4794">
        <f t="shared" si="69"/>
        <v>0</v>
      </c>
      <c r="BZ49" s="4794">
        <f t="shared" si="70"/>
        <v>0</v>
      </c>
      <c r="CA49" s="4794">
        <f t="shared" si="71"/>
        <v>0</v>
      </c>
      <c r="CB49" s="4794">
        <f t="shared" si="72"/>
        <v>0</v>
      </c>
      <c r="CC49" s="4794">
        <f t="shared" si="73"/>
        <v>0</v>
      </c>
      <c r="CD49" s="4794">
        <f t="shared" si="74"/>
        <v>0</v>
      </c>
      <c r="CE49" s="4794">
        <f t="shared" si="75"/>
        <v>0</v>
      </c>
      <c r="CF49" s="4794">
        <f t="shared" si="76"/>
        <v>0</v>
      </c>
    </row>
    <row r="50" spans="1:84">
      <c r="A50" s="2254"/>
      <c r="B50" s="2276">
        <v>20302</v>
      </c>
      <c r="C50" s="2276" t="s">
        <v>1829</v>
      </c>
      <c r="D50" s="2239">
        <v>0.1</v>
      </c>
      <c r="E50" s="2279" t="s">
        <v>386</v>
      </c>
      <c r="F50" s="2295">
        <f t="shared" si="96"/>
        <v>0</v>
      </c>
      <c r="G50" s="2297">
        <f t="shared" si="96"/>
        <v>0</v>
      </c>
      <c r="H50" s="2296">
        <f t="shared" si="96"/>
        <v>0</v>
      </c>
      <c r="I50" s="2297">
        <f t="shared" si="96"/>
        <v>20</v>
      </c>
      <c r="J50" s="2298">
        <f t="shared" si="96"/>
        <v>20</v>
      </c>
      <c r="K50" s="2298">
        <f t="shared" si="96"/>
        <v>20</v>
      </c>
      <c r="L50" s="2298">
        <f t="shared" si="96"/>
        <v>20</v>
      </c>
      <c r="M50" s="2298">
        <f t="shared" si="96"/>
        <v>20</v>
      </c>
      <c r="N50" s="2278">
        <f t="shared" si="77"/>
        <v>100</v>
      </c>
      <c r="O50" s="1304"/>
      <c r="P50" s="1306"/>
      <c r="Q50" s="1305"/>
      <c r="R50" s="1306">
        <v>20</v>
      </c>
      <c r="S50" s="1307">
        <v>20</v>
      </c>
      <c r="T50" s="1307">
        <v>20</v>
      </c>
      <c r="U50" s="1307">
        <v>20</v>
      </c>
      <c r="V50" s="1307">
        <v>20</v>
      </c>
      <c r="W50" s="1304"/>
      <c r="X50" s="1306"/>
      <c r="Y50" s="1305"/>
      <c r="Z50" s="1306"/>
      <c r="AA50" s="1307"/>
      <c r="AB50" s="1307"/>
      <c r="AC50" s="1307"/>
      <c r="AD50" s="1307"/>
      <c r="AE50" s="1304"/>
      <c r="AF50" s="1306"/>
      <c r="AG50" s="1305"/>
      <c r="AH50" s="1306"/>
      <c r="AI50" s="1307"/>
      <c r="AJ50" s="1307"/>
      <c r="AK50" s="1307"/>
      <c r="AL50" s="1308"/>
      <c r="AM50" s="1309"/>
      <c r="AN50" s="1310"/>
      <c r="AO50" s="2246" t="s">
        <v>676</v>
      </c>
      <c r="AP50" s="1306"/>
      <c r="AQ50" s="1306"/>
      <c r="AR50" s="1305"/>
      <c r="AS50" s="1306"/>
      <c r="AT50" s="1307"/>
      <c r="AU50" s="1307"/>
      <c r="AV50" s="1307"/>
      <c r="AW50" s="1305"/>
      <c r="AX50" s="2252" t="s">
        <v>373</v>
      </c>
      <c r="AY50" s="4775"/>
      <c r="AZ50" s="4794">
        <f t="shared" si="44"/>
        <v>0</v>
      </c>
      <c r="BA50" s="4794">
        <f t="shared" si="45"/>
        <v>0</v>
      </c>
      <c r="BB50" s="4794">
        <f t="shared" si="46"/>
        <v>0</v>
      </c>
      <c r="BC50" s="4794">
        <f t="shared" si="47"/>
        <v>10.22583762392437</v>
      </c>
      <c r="BD50" s="4794">
        <f t="shared" si="48"/>
        <v>10.22583762392437</v>
      </c>
      <c r="BE50" s="4794">
        <f t="shared" si="49"/>
        <v>10.22583762392437</v>
      </c>
      <c r="BF50" s="4794">
        <f t="shared" si="50"/>
        <v>10.22583762392437</v>
      </c>
      <c r="BG50" s="4794">
        <f t="shared" si="51"/>
        <v>10.22583762392437</v>
      </c>
      <c r="BH50" s="4794">
        <f t="shared" si="52"/>
        <v>51.129188119621851</v>
      </c>
      <c r="BI50" s="4794">
        <f t="shared" si="53"/>
        <v>0</v>
      </c>
      <c r="BJ50" s="4794">
        <f t="shared" si="54"/>
        <v>0</v>
      </c>
      <c r="BK50" s="4794">
        <f t="shared" si="55"/>
        <v>0</v>
      </c>
      <c r="BL50" s="4794">
        <f t="shared" si="56"/>
        <v>10.22583762392437</v>
      </c>
      <c r="BM50" s="4794">
        <f t="shared" si="57"/>
        <v>10.22583762392437</v>
      </c>
      <c r="BN50" s="4794">
        <f t="shared" si="58"/>
        <v>10.22583762392437</v>
      </c>
      <c r="BO50" s="4794">
        <f t="shared" si="59"/>
        <v>10.22583762392437</v>
      </c>
      <c r="BP50" s="4794">
        <f t="shared" si="60"/>
        <v>10.22583762392437</v>
      </c>
      <c r="BQ50" s="4794">
        <f t="shared" si="61"/>
        <v>0</v>
      </c>
      <c r="BR50" s="4794">
        <f t="shared" si="62"/>
        <v>0</v>
      </c>
      <c r="BS50" s="4794">
        <f t="shared" si="63"/>
        <v>0</v>
      </c>
      <c r="BT50" s="4794">
        <f t="shared" si="64"/>
        <v>0</v>
      </c>
      <c r="BU50" s="4794">
        <f t="shared" si="65"/>
        <v>0</v>
      </c>
      <c r="BV50" s="4794">
        <f t="shared" si="66"/>
        <v>0</v>
      </c>
      <c r="BW50" s="4794">
        <f t="shared" si="67"/>
        <v>0</v>
      </c>
      <c r="BX50" s="4794">
        <f t="shared" si="68"/>
        <v>0</v>
      </c>
      <c r="BY50" s="4794">
        <f t="shared" si="69"/>
        <v>0</v>
      </c>
      <c r="BZ50" s="4794">
        <f t="shared" si="70"/>
        <v>0</v>
      </c>
      <c r="CA50" s="4794">
        <f t="shared" si="71"/>
        <v>0</v>
      </c>
      <c r="CB50" s="4794">
        <f t="shared" si="72"/>
        <v>0</v>
      </c>
      <c r="CC50" s="4794">
        <f t="shared" si="73"/>
        <v>0</v>
      </c>
      <c r="CD50" s="4794">
        <f t="shared" si="74"/>
        <v>0</v>
      </c>
      <c r="CE50" s="4794">
        <f t="shared" si="75"/>
        <v>0</v>
      </c>
      <c r="CF50" s="4794">
        <f t="shared" si="76"/>
        <v>0</v>
      </c>
    </row>
    <row r="51" spans="1:84" ht="24">
      <c r="A51" s="2237"/>
      <c r="B51" s="2238">
        <v>2030503</v>
      </c>
      <c r="C51" s="2238" t="s">
        <v>1830</v>
      </c>
      <c r="D51" s="2239">
        <v>0.1</v>
      </c>
      <c r="E51" s="2279" t="s">
        <v>667</v>
      </c>
      <c r="F51" s="2295">
        <f t="shared" si="96"/>
        <v>0</v>
      </c>
      <c r="G51" s="2297">
        <f t="shared" si="96"/>
        <v>7</v>
      </c>
      <c r="H51" s="2296">
        <f t="shared" si="96"/>
        <v>0</v>
      </c>
      <c r="I51" s="2297">
        <f t="shared" si="96"/>
        <v>0</v>
      </c>
      <c r="J51" s="2298">
        <f t="shared" si="96"/>
        <v>0</v>
      </c>
      <c r="K51" s="2298">
        <f t="shared" si="96"/>
        <v>0</v>
      </c>
      <c r="L51" s="2298">
        <f t="shared" si="96"/>
        <v>0</v>
      </c>
      <c r="M51" s="2298">
        <f t="shared" si="96"/>
        <v>0</v>
      </c>
      <c r="N51" s="2278">
        <f t="shared" si="77"/>
        <v>0</v>
      </c>
      <c r="O51" s="1304"/>
      <c r="P51" s="1306">
        <v>7</v>
      </c>
      <c r="Q51" s="1305"/>
      <c r="R51" s="1306"/>
      <c r="S51" s="1307"/>
      <c r="T51" s="1307"/>
      <c r="U51" s="1307"/>
      <c r="V51" s="1307"/>
      <c r="W51" s="1304"/>
      <c r="X51" s="1306"/>
      <c r="Y51" s="1305"/>
      <c r="Z51" s="1306"/>
      <c r="AA51" s="1307"/>
      <c r="AB51" s="1307"/>
      <c r="AC51" s="1307"/>
      <c r="AD51" s="1307"/>
      <c r="AE51" s="1304"/>
      <c r="AF51" s="1306"/>
      <c r="AG51" s="1305"/>
      <c r="AH51" s="1306"/>
      <c r="AI51" s="1307"/>
      <c r="AJ51" s="1307"/>
      <c r="AK51" s="1307"/>
      <c r="AL51" s="1308"/>
      <c r="AM51" s="1309"/>
      <c r="AN51" s="1310"/>
      <c r="AO51" s="2246" t="s">
        <v>676</v>
      </c>
      <c r="AP51" s="1306"/>
      <c r="AQ51" s="1306"/>
      <c r="AR51" s="1305"/>
      <c r="AS51" s="1306"/>
      <c r="AT51" s="1307"/>
      <c r="AU51" s="1307"/>
      <c r="AV51" s="1307"/>
      <c r="AW51" s="1305"/>
      <c r="AX51" s="2252" t="s">
        <v>371</v>
      </c>
      <c r="AY51" s="4775"/>
      <c r="AZ51" s="4794">
        <f t="shared" si="44"/>
        <v>0</v>
      </c>
      <c r="BA51" s="4794">
        <f t="shared" si="45"/>
        <v>3.5790431683735293</v>
      </c>
      <c r="BB51" s="4794">
        <f t="shared" si="46"/>
        <v>0</v>
      </c>
      <c r="BC51" s="4794">
        <f t="shared" si="47"/>
        <v>0</v>
      </c>
      <c r="BD51" s="4794">
        <f t="shared" si="48"/>
        <v>0</v>
      </c>
      <c r="BE51" s="4794">
        <f t="shared" si="49"/>
        <v>0</v>
      </c>
      <c r="BF51" s="4794">
        <f t="shared" si="50"/>
        <v>0</v>
      </c>
      <c r="BG51" s="4794">
        <f t="shared" si="51"/>
        <v>0</v>
      </c>
      <c r="BH51" s="4794">
        <f t="shared" si="52"/>
        <v>0</v>
      </c>
      <c r="BI51" s="4794">
        <f t="shared" si="53"/>
        <v>0</v>
      </c>
      <c r="BJ51" s="4794">
        <f t="shared" si="54"/>
        <v>3.5790431683735293</v>
      </c>
      <c r="BK51" s="4794">
        <f t="shared" si="55"/>
        <v>0</v>
      </c>
      <c r="BL51" s="4794">
        <f t="shared" si="56"/>
        <v>0</v>
      </c>
      <c r="BM51" s="4794">
        <f t="shared" si="57"/>
        <v>0</v>
      </c>
      <c r="BN51" s="4794">
        <f t="shared" si="58"/>
        <v>0</v>
      </c>
      <c r="BO51" s="4794">
        <f t="shared" si="59"/>
        <v>0</v>
      </c>
      <c r="BP51" s="4794">
        <f t="shared" si="60"/>
        <v>0</v>
      </c>
      <c r="BQ51" s="4794">
        <f t="shared" si="61"/>
        <v>0</v>
      </c>
      <c r="BR51" s="4794">
        <f t="shared" si="62"/>
        <v>0</v>
      </c>
      <c r="BS51" s="4794">
        <f t="shared" si="63"/>
        <v>0</v>
      </c>
      <c r="BT51" s="4794">
        <f t="shared" si="64"/>
        <v>0</v>
      </c>
      <c r="BU51" s="4794">
        <f t="shared" si="65"/>
        <v>0</v>
      </c>
      <c r="BV51" s="4794">
        <f t="shared" si="66"/>
        <v>0</v>
      </c>
      <c r="BW51" s="4794">
        <f t="shared" si="67"/>
        <v>0</v>
      </c>
      <c r="BX51" s="4794">
        <f t="shared" si="68"/>
        <v>0</v>
      </c>
      <c r="BY51" s="4794">
        <f t="shared" si="69"/>
        <v>0</v>
      </c>
      <c r="BZ51" s="4794">
        <f t="shared" si="70"/>
        <v>0</v>
      </c>
      <c r="CA51" s="4794">
        <f t="shared" si="71"/>
        <v>0</v>
      </c>
      <c r="CB51" s="4794">
        <f t="shared" si="72"/>
        <v>0</v>
      </c>
      <c r="CC51" s="4794">
        <f t="shared" si="73"/>
        <v>0</v>
      </c>
      <c r="CD51" s="4794">
        <f t="shared" si="74"/>
        <v>0</v>
      </c>
      <c r="CE51" s="4794">
        <f t="shared" si="75"/>
        <v>0</v>
      </c>
      <c r="CF51" s="4794">
        <f t="shared" si="76"/>
        <v>0</v>
      </c>
    </row>
    <row r="52" spans="1:84" ht="24">
      <c r="A52" s="2254"/>
      <c r="B52" s="2276">
        <v>20502</v>
      </c>
      <c r="C52" s="2276" t="s">
        <v>1831</v>
      </c>
      <c r="D52" s="2239">
        <v>0.1</v>
      </c>
      <c r="E52" s="2279" t="s">
        <v>387</v>
      </c>
      <c r="F52" s="2295">
        <f t="shared" si="96"/>
        <v>0</v>
      </c>
      <c r="G52" s="2297">
        <f t="shared" si="96"/>
        <v>0</v>
      </c>
      <c r="H52" s="2296">
        <f t="shared" si="96"/>
        <v>0</v>
      </c>
      <c r="I52" s="2297">
        <f t="shared" si="96"/>
        <v>0</v>
      </c>
      <c r="J52" s="2298">
        <f t="shared" si="96"/>
        <v>0</v>
      </c>
      <c r="K52" s="2298">
        <f t="shared" si="96"/>
        <v>0</v>
      </c>
      <c r="L52" s="2298">
        <f t="shared" si="96"/>
        <v>0</v>
      </c>
      <c r="M52" s="2298">
        <f t="shared" si="96"/>
        <v>0</v>
      </c>
      <c r="N52" s="2278">
        <f t="shared" si="77"/>
        <v>0</v>
      </c>
      <c r="O52" s="1304"/>
      <c r="P52" s="1306"/>
      <c r="Q52" s="1305"/>
      <c r="R52" s="1306"/>
      <c r="S52" s="1307"/>
      <c r="T52" s="1307"/>
      <c r="U52" s="1307"/>
      <c r="V52" s="1307"/>
      <c r="W52" s="1304"/>
      <c r="X52" s="1306"/>
      <c r="Y52" s="1305"/>
      <c r="Z52" s="1306"/>
      <c r="AA52" s="1307"/>
      <c r="AB52" s="1307"/>
      <c r="AC52" s="1307"/>
      <c r="AD52" s="1307"/>
      <c r="AE52" s="1304"/>
      <c r="AF52" s="1306"/>
      <c r="AG52" s="1305"/>
      <c r="AH52" s="1306"/>
      <c r="AI52" s="1307"/>
      <c r="AJ52" s="1307"/>
      <c r="AK52" s="1307"/>
      <c r="AL52" s="1308"/>
      <c r="AM52" s="1309"/>
      <c r="AN52" s="1311"/>
      <c r="AO52" s="2246" t="s">
        <v>676</v>
      </c>
      <c r="AP52" s="1306"/>
      <c r="AQ52" s="1306"/>
      <c r="AR52" s="1305"/>
      <c r="AS52" s="1306"/>
      <c r="AT52" s="1307"/>
      <c r="AU52" s="1307"/>
      <c r="AV52" s="1307"/>
      <c r="AW52" s="1305"/>
      <c r="AX52" s="2252" t="s">
        <v>375</v>
      </c>
      <c r="AY52" s="4775"/>
      <c r="AZ52" s="4794">
        <f t="shared" si="44"/>
        <v>0</v>
      </c>
      <c r="BA52" s="4794">
        <f t="shared" si="45"/>
        <v>0</v>
      </c>
      <c r="BB52" s="4794">
        <f t="shared" si="46"/>
        <v>0</v>
      </c>
      <c r="BC52" s="4794">
        <f t="shared" si="47"/>
        <v>0</v>
      </c>
      <c r="BD52" s="4794">
        <f t="shared" si="48"/>
        <v>0</v>
      </c>
      <c r="BE52" s="4794">
        <f t="shared" si="49"/>
        <v>0</v>
      </c>
      <c r="BF52" s="4794">
        <f t="shared" si="50"/>
        <v>0</v>
      </c>
      <c r="BG52" s="4794">
        <f t="shared" si="51"/>
        <v>0</v>
      </c>
      <c r="BH52" s="4794">
        <f t="shared" si="52"/>
        <v>0</v>
      </c>
      <c r="BI52" s="4794">
        <f t="shared" si="53"/>
        <v>0</v>
      </c>
      <c r="BJ52" s="4794">
        <f t="shared" si="54"/>
        <v>0</v>
      </c>
      <c r="BK52" s="4794">
        <f t="shared" si="55"/>
        <v>0</v>
      </c>
      <c r="BL52" s="4794">
        <f t="shared" si="56"/>
        <v>0</v>
      </c>
      <c r="BM52" s="4794">
        <f t="shared" si="57"/>
        <v>0</v>
      </c>
      <c r="BN52" s="4794">
        <f t="shared" si="58"/>
        <v>0</v>
      </c>
      <c r="BO52" s="4794">
        <f t="shared" si="59"/>
        <v>0</v>
      </c>
      <c r="BP52" s="4794">
        <f t="shared" si="60"/>
        <v>0</v>
      </c>
      <c r="BQ52" s="4794">
        <f t="shared" si="61"/>
        <v>0</v>
      </c>
      <c r="BR52" s="4794">
        <f t="shared" si="62"/>
        <v>0</v>
      </c>
      <c r="BS52" s="4794">
        <f t="shared" si="63"/>
        <v>0</v>
      </c>
      <c r="BT52" s="4794">
        <f t="shared" si="64"/>
        <v>0</v>
      </c>
      <c r="BU52" s="4794">
        <f t="shared" si="65"/>
        <v>0</v>
      </c>
      <c r="BV52" s="4794">
        <f t="shared" si="66"/>
        <v>0</v>
      </c>
      <c r="BW52" s="4794">
        <f t="shared" si="67"/>
        <v>0</v>
      </c>
      <c r="BX52" s="4794">
        <f t="shared" si="68"/>
        <v>0</v>
      </c>
      <c r="BY52" s="4794">
        <f t="shared" si="69"/>
        <v>0</v>
      </c>
      <c r="BZ52" s="4794">
        <f t="shared" si="70"/>
        <v>0</v>
      </c>
      <c r="CA52" s="4794">
        <f t="shared" si="71"/>
        <v>0</v>
      </c>
      <c r="CB52" s="4794">
        <f t="shared" si="72"/>
        <v>0</v>
      </c>
      <c r="CC52" s="4794">
        <f t="shared" si="73"/>
        <v>0</v>
      </c>
      <c r="CD52" s="4794">
        <f t="shared" si="74"/>
        <v>0</v>
      </c>
      <c r="CE52" s="4794">
        <f t="shared" si="75"/>
        <v>0</v>
      </c>
      <c r="CF52" s="4794">
        <f t="shared" si="76"/>
        <v>0</v>
      </c>
    </row>
    <row r="53" spans="1:84" ht="24">
      <c r="A53" s="2254"/>
      <c r="B53" s="2276">
        <v>20501</v>
      </c>
      <c r="C53" s="2276" t="s">
        <v>1832</v>
      </c>
      <c r="D53" s="2239">
        <v>0.08</v>
      </c>
      <c r="E53" s="2277" t="s">
        <v>388</v>
      </c>
      <c r="F53" s="2295">
        <f t="shared" si="96"/>
        <v>0</v>
      </c>
      <c r="G53" s="2297">
        <f t="shared" si="96"/>
        <v>0</v>
      </c>
      <c r="H53" s="2296">
        <f t="shared" si="96"/>
        <v>0</v>
      </c>
      <c r="I53" s="2297">
        <f t="shared" si="96"/>
        <v>0</v>
      </c>
      <c r="J53" s="2298">
        <f t="shared" si="96"/>
        <v>0</v>
      </c>
      <c r="K53" s="2298">
        <f t="shared" si="96"/>
        <v>0</v>
      </c>
      <c r="L53" s="2298">
        <f t="shared" si="96"/>
        <v>0</v>
      </c>
      <c r="M53" s="2298">
        <f t="shared" si="96"/>
        <v>0</v>
      </c>
      <c r="N53" s="2278">
        <f t="shared" si="77"/>
        <v>0</v>
      </c>
      <c r="O53" s="1304"/>
      <c r="P53" s="1306"/>
      <c r="Q53" s="1305"/>
      <c r="R53" s="1306"/>
      <c r="S53" s="1307"/>
      <c r="T53" s="1307"/>
      <c r="U53" s="1307"/>
      <c r="V53" s="1307"/>
      <c r="W53" s="1304"/>
      <c r="X53" s="1306"/>
      <c r="Y53" s="1305"/>
      <c r="Z53" s="1306"/>
      <c r="AA53" s="1307"/>
      <c r="AB53" s="1307"/>
      <c r="AC53" s="1307"/>
      <c r="AD53" s="1307"/>
      <c r="AE53" s="1304"/>
      <c r="AF53" s="1306"/>
      <c r="AG53" s="1305"/>
      <c r="AH53" s="1306"/>
      <c r="AI53" s="1307"/>
      <c r="AJ53" s="1307"/>
      <c r="AK53" s="1307"/>
      <c r="AL53" s="1308"/>
      <c r="AM53" s="1309"/>
      <c r="AN53" s="1311"/>
      <c r="AO53" s="2246" t="s">
        <v>676</v>
      </c>
      <c r="AP53" s="1306"/>
      <c r="AQ53" s="1306"/>
      <c r="AR53" s="1305"/>
      <c r="AS53" s="1306"/>
      <c r="AT53" s="1307"/>
      <c r="AU53" s="1307"/>
      <c r="AV53" s="1307"/>
      <c r="AW53" s="1305"/>
      <c r="AX53" s="2247" t="s">
        <v>375</v>
      </c>
      <c r="AY53" s="4775"/>
      <c r="AZ53" s="4794">
        <f t="shared" si="44"/>
        <v>0</v>
      </c>
      <c r="BA53" s="4794">
        <f t="shared" si="45"/>
        <v>0</v>
      </c>
      <c r="BB53" s="4794">
        <f t="shared" si="46"/>
        <v>0</v>
      </c>
      <c r="BC53" s="4794">
        <f t="shared" si="47"/>
        <v>0</v>
      </c>
      <c r="BD53" s="4794">
        <f t="shared" si="48"/>
        <v>0</v>
      </c>
      <c r="BE53" s="4794">
        <f t="shared" si="49"/>
        <v>0</v>
      </c>
      <c r="BF53" s="4794">
        <f t="shared" si="50"/>
        <v>0</v>
      </c>
      <c r="BG53" s="4794">
        <f t="shared" si="51"/>
        <v>0</v>
      </c>
      <c r="BH53" s="4794">
        <f t="shared" si="52"/>
        <v>0</v>
      </c>
      <c r="BI53" s="4794">
        <f t="shared" si="53"/>
        <v>0</v>
      </c>
      <c r="BJ53" s="4794">
        <f t="shared" si="54"/>
        <v>0</v>
      </c>
      <c r="BK53" s="4794">
        <f t="shared" si="55"/>
        <v>0</v>
      </c>
      <c r="BL53" s="4794">
        <f t="shared" si="56"/>
        <v>0</v>
      </c>
      <c r="BM53" s="4794">
        <f t="shared" si="57"/>
        <v>0</v>
      </c>
      <c r="BN53" s="4794">
        <f t="shared" si="58"/>
        <v>0</v>
      </c>
      <c r="BO53" s="4794">
        <f t="shared" si="59"/>
        <v>0</v>
      </c>
      <c r="BP53" s="4794">
        <f t="shared" si="60"/>
        <v>0</v>
      </c>
      <c r="BQ53" s="4794">
        <f t="shared" si="61"/>
        <v>0</v>
      </c>
      <c r="BR53" s="4794">
        <f t="shared" si="62"/>
        <v>0</v>
      </c>
      <c r="BS53" s="4794">
        <f t="shared" si="63"/>
        <v>0</v>
      </c>
      <c r="BT53" s="4794">
        <f t="shared" si="64"/>
        <v>0</v>
      </c>
      <c r="BU53" s="4794">
        <f t="shared" si="65"/>
        <v>0</v>
      </c>
      <c r="BV53" s="4794">
        <f t="shared" si="66"/>
        <v>0</v>
      </c>
      <c r="BW53" s="4794">
        <f t="shared" si="67"/>
        <v>0</v>
      </c>
      <c r="BX53" s="4794">
        <f t="shared" si="68"/>
        <v>0</v>
      </c>
      <c r="BY53" s="4794">
        <f t="shared" si="69"/>
        <v>0</v>
      </c>
      <c r="BZ53" s="4794">
        <f t="shared" si="70"/>
        <v>0</v>
      </c>
      <c r="CA53" s="4794">
        <f t="shared" si="71"/>
        <v>0</v>
      </c>
      <c r="CB53" s="4794">
        <f t="shared" si="72"/>
        <v>0</v>
      </c>
      <c r="CC53" s="4794">
        <f t="shared" si="73"/>
        <v>0</v>
      </c>
      <c r="CD53" s="4794">
        <f t="shared" si="74"/>
        <v>0</v>
      </c>
      <c r="CE53" s="4794">
        <f t="shared" si="75"/>
        <v>0</v>
      </c>
      <c r="CF53" s="4794">
        <f t="shared" si="76"/>
        <v>0</v>
      </c>
    </row>
    <row r="54" spans="1:84">
      <c r="A54" s="2254"/>
      <c r="B54" s="2276">
        <v>20503</v>
      </c>
      <c r="C54" s="2276" t="s">
        <v>1833</v>
      </c>
      <c r="D54" s="2239">
        <v>0.1</v>
      </c>
      <c r="E54" s="2277" t="s">
        <v>673</v>
      </c>
      <c r="F54" s="2295">
        <f t="shared" si="96"/>
        <v>0</v>
      </c>
      <c r="G54" s="2297">
        <f t="shared" si="96"/>
        <v>0</v>
      </c>
      <c r="H54" s="2296">
        <f t="shared" si="96"/>
        <v>0</v>
      </c>
      <c r="I54" s="2297">
        <f t="shared" si="96"/>
        <v>0</v>
      </c>
      <c r="J54" s="2298">
        <f t="shared" si="96"/>
        <v>0</v>
      </c>
      <c r="K54" s="2298">
        <f t="shared" si="96"/>
        <v>0</v>
      </c>
      <c r="L54" s="2298">
        <f t="shared" si="96"/>
        <v>0</v>
      </c>
      <c r="M54" s="2298">
        <f t="shared" si="96"/>
        <v>0</v>
      </c>
      <c r="N54" s="2278">
        <f t="shared" si="77"/>
        <v>0</v>
      </c>
      <c r="O54" s="1304"/>
      <c r="P54" s="1306"/>
      <c r="Q54" s="1305"/>
      <c r="R54" s="1306"/>
      <c r="S54" s="1307"/>
      <c r="T54" s="1307"/>
      <c r="U54" s="1307"/>
      <c r="V54" s="1307"/>
      <c r="W54" s="1304"/>
      <c r="X54" s="1306"/>
      <c r="Y54" s="1305"/>
      <c r="Z54" s="1306"/>
      <c r="AA54" s="1307"/>
      <c r="AB54" s="1307"/>
      <c r="AC54" s="1307"/>
      <c r="AD54" s="1307"/>
      <c r="AE54" s="1304"/>
      <c r="AF54" s="1306"/>
      <c r="AG54" s="1305"/>
      <c r="AH54" s="1306"/>
      <c r="AI54" s="1307"/>
      <c r="AJ54" s="1307"/>
      <c r="AK54" s="1307"/>
      <c r="AL54" s="1308"/>
      <c r="AM54" s="1309"/>
      <c r="AN54" s="1311"/>
      <c r="AO54" s="2246" t="s">
        <v>676</v>
      </c>
      <c r="AP54" s="1306"/>
      <c r="AQ54" s="1306"/>
      <c r="AR54" s="1305"/>
      <c r="AS54" s="1306"/>
      <c r="AT54" s="1307"/>
      <c r="AU54" s="1307"/>
      <c r="AV54" s="1307"/>
      <c r="AW54" s="1305"/>
      <c r="AX54" s="2247" t="s">
        <v>375</v>
      </c>
      <c r="AY54" s="4775"/>
      <c r="AZ54" s="4794">
        <f t="shared" si="44"/>
        <v>0</v>
      </c>
      <c r="BA54" s="4794">
        <f t="shared" si="45"/>
        <v>0</v>
      </c>
      <c r="BB54" s="4794">
        <f t="shared" si="46"/>
        <v>0</v>
      </c>
      <c r="BC54" s="4794">
        <f t="shared" si="47"/>
        <v>0</v>
      </c>
      <c r="BD54" s="4794">
        <f t="shared" si="48"/>
        <v>0</v>
      </c>
      <c r="BE54" s="4794">
        <f t="shared" si="49"/>
        <v>0</v>
      </c>
      <c r="BF54" s="4794">
        <f t="shared" si="50"/>
        <v>0</v>
      </c>
      <c r="BG54" s="4794">
        <f t="shared" si="51"/>
        <v>0</v>
      </c>
      <c r="BH54" s="4794">
        <f t="shared" si="52"/>
        <v>0</v>
      </c>
      <c r="BI54" s="4794">
        <f t="shared" si="53"/>
        <v>0</v>
      </c>
      <c r="BJ54" s="4794">
        <f t="shared" si="54"/>
        <v>0</v>
      </c>
      <c r="BK54" s="4794">
        <f t="shared" si="55"/>
        <v>0</v>
      </c>
      <c r="BL54" s="4794">
        <f t="shared" si="56"/>
        <v>0</v>
      </c>
      <c r="BM54" s="4794">
        <f t="shared" si="57"/>
        <v>0</v>
      </c>
      <c r="BN54" s="4794">
        <f t="shared" si="58"/>
        <v>0</v>
      </c>
      <c r="BO54" s="4794">
        <f t="shared" si="59"/>
        <v>0</v>
      </c>
      <c r="BP54" s="4794">
        <f t="shared" si="60"/>
        <v>0</v>
      </c>
      <c r="BQ54" s="4794">
        <f t="shared" si="61"/>
        <v>0</v>
      </c>
      <c r="BR54" s="4794">
        <f t="shared" si="62"/>
        <v>0</v>
      </c>
      <c r="BS54" s="4794">
        <f t="shared" si="63"/>
        <v>0</v>
      </c>
      <c r="BT54" s="4794">
        <f t="shared" si="64"/>
        <v>0</v>
      </c>
      <c r="BU54" s="4794">
        <f t="shared" si="65"/>
        <v>0</v>
      </c>
      <c r="BV54" s="4794">
        <f t="shared" si="66"/>
        <v>0</v>
      </c>
      <c r="BW54" s="4794">
        <f t="shared" si="67"/>
        <v>0</v>
      </c>
      <c r="BX54" s="4794">
        <f t="shared" si="68"/>
        <v>0</v>
      </c>
      <c r="BY54" s="4794">
        <f t="shared" si="69"/>
        <v>0</v>
      </c>
      <c r="BZ54" s="4794">
        <f t="shared" si="70"/>
        <v>0</v>
      </c>
      <c r="CA54" s="4794">
        <f t="shared" si="71"/>
        <v>0</v>
      </c>
      <c r="CB54" s="4794">
        <f t="shared" si="72"/>
        <v>0</v>
      </c>
      <c r="CC54" s="4794">
        <f t="shared" si="73"/>
        <v>0</v>
      </c>
      <c r="CD54" s="4794">
        <f t="shared" si="74"/>
        <v>0</v>
      </c>
      <c r="CE54" s="4794">
        <f t="shared" si="75"/>
        <v>0</v>
      </c>
      <c r="CF54" s="4794">
        <f t="shared" si="76"/>
        <v>0</v>
      </c>
    </row>
    <row r="55" spans="1:84" ht="24">
      <c r="A55" s="2254"/>
      <c r="B55" s="2276">
        <v>20303</v>
      </c>
      <c r="C55" s="2276" t="s">
        <v>1834</v>
      </c>
      <c r="D55" s="2239">
        <v>0.1</v>
      </c>
      <c r="E55" s="2277" t="s">
        <v>389</v>
      </c>
      <c r="F55" s="2295">
        <f t="shared" si="96"/>
        <v>0</v>
      </c>
      <c r="G55" s="2297">
        <f t="shared" si="96"/>
        <v>0</v>
      </c>
      <c r="H55" s="2296">
        <f t="shared" si="96"/>
        <v>0</v>
      </c>
      <c r="I55" s="2297">
        <f t="shared" si="96"/>
        <v>0</v>
      </c>
      <c r="J55" s="2298">
        <f t="shared" si="96"/>
        <v>0</v>
      </c>
      <c r="K55" s="2298">
        <f t="shared" si="96"/>
        <v>0</v>
      </c>
      <c r="L55" s="2298">
        <f t="shared" si="96"/>
        <v>0</v>
      </c>
      <c r="M55" s="2298">
        <f t="shared" si="96"/>
        <v>0</v>
      </c>
      <c r="N55" s="2278">
        <f t="shared" si="77"/>
        <v>0</v>
      </c>
      <c r="O55" s="1304"/>
      <c r="P55" s="1306"/>
      <c r="Q55" s="1305"/>
      <c r="R55" s="1306"/>
      <c r="S55" s="1307"/>
      <c r="T55" s="1307"/>
      <c r="U55" s="1307"/>
      <c r="V55" s="1307"/>
      <c r="W55" s="1304"/>
      <c r="X55" s="1306"/>
      <c r="Y55" s="1305"/>
      <c r="Z55" s="1306"/>
      <c r="AA55" s="1307"/>
      <c r="AB55" s="1307"/>
      <c r="AC55" s="1307"/>
      <c r="AD55" s="1307"/>
      <c r="AE55" s="1304"/>
      <c r="AF55" s="1306"/>
      <c r="AG55" s="1305"/>
      <c r="AH55" s="1306"/>
      <c r="AI55" s="1307"/>
      <c r="AJ55" s="1307"/>
      <c r="AK55" s="1307"/>
      <c r="AL55" s="1308"/>
      <c r="AM55" s="1309"/>
      <c r="AN55" s="1311"/>
      <c r="AO55" s="2246" t="s">
        <v>676</v>
      </c>
      <c r="AP55" s="1306"/>
      <c r="AQ55" s="1306"/>
      <c r="AR55" s="1305"/>
      <c r="AS55" s="1306"/>
      <c r="AT55" s="1307"/>
      <c r="AU55" s="1307"/>
      <c r="AV55" s="1307"/>
      <c r="AW55" s="1305"/>
      <c r="AX55" s="2247" t="s">
        <v>375</v>
      </c>
      <c r="AY55" s="4775"/>
      <c r="AZ55" s="4794">
        <f t="shared" si="44"/>
        <v>0</v>
      </c>
      <c r="BA55" s="4794">
        <f t="shared" si="45"/>
        <v>0</v>
      </c>
      <c r="BB55" s="4794">
        <f t="shared" si="46"/>
        <v>0</v>
      </c>
      <c r="BC55" s="4794">
        <f t="shared" si="47"/>
        <v>0</v>
      </c>
      <c r="BD55" s="4794">
        <f t="shared" si="48"/>
        <v>0</v>
      </c>
      <c r="BE55" s="4794">
        <f t="shared" si="49"/>
        <v>0</v>
      </c>
      <c r="BF55" s="4794">
        <f t="shared" si="50"/>
        <v>0</v>
      </c>
      <c r="BG55" s="4794">
        <f t="shared" si="51"/>
        <v>0</v>
      </c>
      <c r="BH55" s="4794">
        <f t="shared" si="52"/>
        <v>0</v>
      </c>
      <c r="BI55" s="4794">
        <f t="shared" si="53"/>
        <v>0</v>
      </c>
      <c r="BJ55" s="4794">
        <f t="shared" si="54"/>
        <v>0</v>
      </c>
      <c r="BK55" s="4794">
        <f t="shared" si="55"/>
        <v>0</v>
      </c>
      <c r="BL55" s="4794">
        <f t="shared" si="56"/>
        <v>0</v>
      </c>
      <c r="BM55" s="4794">
        <f t="shared" si="57"/>
        <v>0</v>
      </c>
      <c r="BN55" s="4794">
        <f t="shared" si="58"/>
        <v>0</v>
      </c>
      <c r="BO55" s="4794">
        <f t="shared" si="59"/>
        <v>0</v>
      </c>
      <c r="BP55" s="4794">
        <f t="shared" si="60"/>
        <v>0</v>
      </c>
      <c r="BQ55" s="4794">
        <f t="shared" si="61"/>
        <v>0</v>
      </c>
      <c r="BR55" s="4794">
        <f t="shared" si="62"/>
        <v>0</v>
      </c>
      <c r="BS55" s="4794">
        <f t="shared" si="63"/>
        <v>0</v>
      </c>
      <c r="BT55" s="4794">
        <f t="shared" si="64"/>
        <v>0</v>
      </c>
      <c r="BU55" s="4794">
        <f t="shared" si="65"/>
        <v>0</v>
      </c>
      <c r="BV55" s="4794">
        <f t="shared" si="66"/>
        <v>0</v>
      </c>
      <c r="BW55" s="4794">
        <f t="shared" si="67"/>
        <v>0</v>
      </c>
      <c r="BX55" s="4794">
        <f t="shared" si="68"/>
        <v>0</v>
      </c>
      <c r="BY55" s="4794">
        <f t="shared" si="69"/>
        <v>0</v>
      </c>
      <c r="BZ55" s="4794">
        <f t="shared" si="70"/>
        <v>0</v>
      </c>
      <c r="CA55" s="4794">
        <f t="shared" si="71"/>
        <v>0</v>
      </c>
      <c r="CB55" s="4794">
        <f t="shared" si="72"/>
        <v>0</v>
      </c>
      <c r="CC55" s="4794">
        <f t="shared" si="73"/>
        <v>0</v>
      </c>
      <c r="CD55" s="4794">
        <f t="shared" si="74"/>
        <v>0</v>
      </c>
      <c r="CE55" s="4794">
        <f t="shared" si="75"/>
        <v>0</v>
      </c>
      <c r="CF55" s="4794">
        <f t="shared" si="76"/>
        <v>0</v>
      </c>
    </row>
    <row r="56" spans="1:84" ht="24.75" thickBot="1">
      <c r="A56" s="2255"/>
      <c r="B56" s="2287">
        <v>20306</v>
      </c>
      <c r="C56" s="2287" t="s">
        <v>1835</v>
      </c>
      <c r="D56" s="2257">
        <v>0.1</v>
      </c>
      <c r="E56" s="2288" t="s">
        <v>710</v>
      </c>
      <c r="F56" s="2299">
        <f t="shared" si="96"/>
        <v>70</v>
      </c>
      <c r="G56" s="2301">
        <f t="shared" si="96"/>
        <v>3</v>
      </c>
      <c r="H56" s="2300">
        <f t="shared" si="96"/>
        <v>20</v>
      </c>
      <c r="I56" s="2301">
        <f t="shared" si="96"/>
        <v>50</v>
      </c>
      <c r="J56" s="2302">
        <f t="shared" si="96"/>
        <v>30</v>
      </c>
      <c r="K56" s="2302">
        <f t="shared" si="96"/>
        <v>20</v>
      </c>
      <c r="L56" s="2302">
        <f t="shared" si="96"/>
        <v>50</v>
      </c>
      <c r="M56" s="2302">
        <f t="shared" si="96"/>
        <v>20</v>
      </c>
      <c r="N56" s="2289">
        <f t="shared" si="77"/>
        <v>170</v>
      </c>
      <c r="O56" s="1312">
        <v>70</v>
      </c>
      <c r="P56" s="1314">
        <v>3</v>
      </c>
      <c r="Q56" s="1313">
        <v>20</v>
      </c>
      <c r="R56" s="1314">
        <v>50</v>
      </c>
      <c r="S56" s="1315">
        <v>30</v>
      </c>
      <c r="T56" s="1315">
        <v>20</v>
      </c>
      <c r="U56" s="1315">
        <v>50</v>
      </c>
      <c r="V56" s="1315">
        <v>20</v>
      </c>
      <c r="W56" s="1312"/>
      <c r="X56" s="1314"/>
      <c r="Y56" s="1313"/>
      <c r="Z56" s="1314"/>
      <c r="AA56" s="1315"/>
      <c r="AB56" s="1315"/>
      <c r="AC56" s="1315"/>
      <c r="AD56" s="1315"/>
      <c r="AE56" s="1312"/>
      <c r="AF56" s="1314"/>
      <c r="AG56" s="1313"/>
      <c r="AH56" s="1314"/>
      <c r="AI56" s="1315"/>
      <c r="AJ56" s="1315"/>
      <c r="AK56" s="1315"/>
      <c r="AL56" s="1316"/>
      <c r="AM56" s="1317"/>
      <c r="AN56" s="1318"/>
      <c r="AO56" s="2260" t="s">
        <v>676</v>
      </c>
      <c r="AP56" s="1314"/>
      <c r="AQ56" s="1314"/>
      <c r="AR56" s="1313"/>
      <c r="AS56" s="1314"/>
      <c r="AT56" s="1315"/>
      <c r="AU56" s="1315"/>
      <c r="AV56" s="1315"/>
      <c r="AW56" s="1313"/>
      <c r="AX56" s="2261" t="s">
        <v>375</v>
      </c>
      <c r="AY56" s="4775"/>
      <c r="AZ56" s="4794">
        <f t="shared" si="44"/>
        <v>35.790431683735292</v>
      </c>
      <c r="BA56" s="4794">
        <f t="shared" si="45"/>
        <v>1.5338756435886556</v>
      </c>
      <c r="BB56" s="4794">
        <f t="shared" si="46"/>
        <v>10.22583762392437</v>
      </c>
      <c r="BC56" s="4794">
        <f t="shared" si="47"/>
        <v>25.564594059810926</v>
      </c>
      <c r="BD56" s="4794">
        <f t="shared" si="48"/>
        <v>15.338756435886555</v>
      </c>
      <c r="BE56" s="4794">
        <f t="shared" si="49"/>
        <v>10.22583762392437</v>
      </c>
      <c r="BF56" s="4794">
        <f t="shared" si="50"/>
        <v>25.564594059810926</v>
      </c>
      <c r="BG56" s="4794">
        <f t="shared" si="51"/>
        <v>10.22583762392437</v>
      </c>
      <c r="BH56" s="4794">
        <f t="shared" si="52"/>
        <v>86.919619803357151</v>
      </c>
      <c r="BI56" s="4794">
        <f t="shared" si="53"/>
        <v>35.790431683735292</v>
      </c>
      <c r="BJ56" s="4794">
        <f t="shared" si="54"/>
        <v>1.5338756435886556</v>
      </c>
      <c r="BK56" s="4794">
        <f t="shared" si="55"/>
        <v>10.22583762392437</v>
      </c>
      <c r="BL56" s="4794">
        <f t="shared" si="56"/>
        <v>25.564594059810926</v>
      </c>
      <c r="BM56" s="4794">
        <f t="shared" si="57"/>
        <v>15.338756435886555</v>
      </c>
      <c r="BN56" s="4794">
        <f t="shared" si="58"/>
        <v>10.22583762392437</v>
      </c>
      <c r="BO56" s="4794">
        <f t="shared" si="59"/>
        <v>25.564594059810926</v>
      </c>
      <c r="BP56" s="4794">
        <f t="shared" si="60"/>
        <v>10.22583762392437</v>
      </c>
      <c r="BQ56" s="4794">
        <f t="shared" si="61"/>
        <v>0</v>
      </c>
      <c r="BR56" s="4794">
        <f t="shared" si="62"/>
        <v>0</v>
      </c>
      <c r="BS56" s="4794">
        <f t="shared" si="63"/>
        <v>0</v>
      </c>
      <c r="BT56" s="4794">
        <f t="shared" si="64"/>
        <v>0</v>
      </c>
      <c r="BU56" s="4794">
        <f t="shared" si="65"/>
        <v>0</v>
      </c>
      <c r="BV56" s="4794">
        <f t="shared" si="66"/>
        <v>0</v>
      </c>
      <c r="BW56" s="4794">
        <f t="shared" si="67"/>
        <v>0</v>
      </c>
      <c r="BX56" s="4794">
        <f t="shared" si="68"/>
        <v>0</v>
      </c>
      <c r="BY56" s="4794">
        <f t="shared" si="69"/>
        <v>0</v>
      </c>
      <c r="BZ56" s="4794">
        <f t="shared" si="70"/>
        <v>0</v>
      </c>
      <c r="CA56" s="4794">
        <f t="shared" si="71"/>
        <v>0</v>
      </c>
      <c r="CB56" s="4794">
        <f t="shared" si="72"/>
        <v>0</v>
      </c>
      <c r="CC56" s="4794">
        <f t="shared" si="73"/>
        <v>0</v>
      </c>
      <c r="CD56" s="4794">
        <f t="shared" si="74"/>
        <v>0</v>
      </c>
      <c r="CE56" s="4794">
        <f t="shared" si="75"/>
        <v>0</v>
      </c>
      <c r="CF56" s="4794">
        <f t="shared" si="76"/>
        <v>0</v>
      </c>
    </row>
    <row r="57" spans="1:84" ht="13.5" thickBot="1">
      <c r="A57" s="2205">
        <v>1.4</v>
      </c>
      <c r="B57" s="2205"/>
      <c r="C57" s="2205"/>
      <c r="D57" s="2206"/>
      <c r="E57" s="2207" t="s">
        <v>1212</v>
      </c>
      <c r="F57" s="2208">
        <f t="shared" ref="F57" si="97">SUM(F58:F59)</f>
        <v>148</v>
      </c>
      <c r="G57" s="4374">
        <f t="shared" ref="G57:AL57" si="98">SUM(G58:G59)</f>
        <v>75</v>
      </c>
      <c r="H57" s="2209">
        <f t="shared" si="98"/>
        <v>100</v>
      </c>
      <c r="I57" s="2210">
        <f t="shared" si="98"/>
        <v>80</v>
      </c>
      <c r="J57" s="2211">
        <f t="shared" si="98"/>
        <v>80</v>
      </c>
      <c r="K57" s="2211">
        <f t="shared" si="98"/>
        <v>80</v>
      </c>
      <c r="L57" s="2211">
        <f t="shared" si="98"/>
        <v>80</v>
      </c>
      <c r="M57" s="2262">
        <f t="shared" si="98"/>
        <v>80</v>
      </c>
      <c r="N57" s="2263">
        <f t="shared" si="98"/>
        <v>400</v>
      </c>
      <c r="O57" s="2214">
        <f t="shared" ref="O57" si="99">SUM(O58:O59)</f>
        <v>148</v>
      </c>
      <c r="P57" s="4390">
        <f t="shared" si="98"/>
        <v>75</v>
      </c>
      <c r="Q57" s="2215">
        <f t="shared" si="98"/>
        <v>100</v>
      </c>
      <c r="R57" s="2216">
        <f t="shared" si="98"/>
        <v>80</v>
      </c>
      <c r="S57" s="2217">
        <f t="shared" si="98"/>
        <v>80</v>
      </c>
      <c r="T57" s="2217">
        <f t="shared" si="98"/>
        <v>80</v>
      </c>
      <c r="U57" s="2217">
        <f t="shared" si="98"/>
        <v>80</v>
      </c>
      <c r="V57" s="2218">
        <f t="shared" si="98"/>
        <v>80</v>
      </c>
      <c r="W57" s="2214">
        <f t="shared" ref="W57" si="100">SUM(W58:W59)</f>
        <v>0</v>
      </c>
      <c r="X57" s="4390">
        <f t="shared" si="98"/>
        <v>0</v>
      </c>
      <c r="Y57" s="2215">
        <f t="shared" si="98"/>
        <v>0</v>
      </c>
      <c r="Z57" s="2216">
        <f t="shared" si="98"/>
        <v>0</v>
      </c>
      <c r="AA57" s="2217">
        <f t="shared" si="98"/>
        <v>0</v>
      </c>
      <c r="AB57" s="2217">
        <f t="shared" si="98"/>
        <v>0</v>
      </c>
      <c r="AC57" s="2217">
        <f t="shared" si="98"/>
        <v>0</v>
      </c>
      <c r="AD57" s="2218">
        <f t="shared" si="98"/>
        <v>0</v>
      </c>
      <c r="AE57" s="2214">
        <f t="shared" ref="AE57" si="101">SUM(AE58:AE59)</f>
        <v>0</v>
      </c>
      <c r="AF57" s="4390">
        <f t="shared" si="98"/>
        <v>0</v>
      </c>
      <c r="AG57" s="2215">
        <f t="shared" si="98"/>
        <v>0</v>
      </c>
      <c r="AH57" s="2216">
        <f t="shared" si="98"/>
        <v>0</v>
      </c>
      <c r="AI57" s="2217">
        <f t="shared" si="98"/>
        <v>0</v>
      </c>
      <c r="AJ57" s="2217">
        <f t="shared" si="98"/>
        <v>0</v>
      </c>
      <c r="AK57" s="2217">
        <f t="shared" si="98"/>
        <v>0</v>
      </c>
      <c r="AL57" s="2219">
        <f t="shared" si="98"/>
        <v>0</v>
      </c>
      <c r="AM57" s="2264"/>
      <c r="AN57" s="2265"/>
      <c r="AO57" s="2264"/>
      <c r="AP57" s="2266"/>
      <c r="AQ57" s="2266"/>
      <c r="AR57" s="2266"/>
      <c r="AS57" s="2267"/>
      <c r="AT57" s="2267"/>
      <c r="AU57" s="2267"/>
      <c r="AV57" s="2267"/>
      <c r="AW57" s="2268"/>
      <c r="AX57" s="2269"/>
      <c r="AY57" s="4775"/>
      <c r="AZ57" s="4794">
        <f t="shared" si="44"/>
        <v>75.671198417040344</v>
      </c>
      <c r="BA57" s="4794">
        <f t="shared" si="45"/>
        <v>38.346891089716387</v>
      </c>
      <c r="BB57" s="4794">
        <f t="shared" si="46"/>
        <v>51.129188119621851</v>
      </c>
      <c r="BC57" s="4794">
        <f t="shared" si="47"/>
        <v>40.903350495697481</v>
      </c>
      <c r="BD57" s="4794">
        <f t="shared" si="48"/>
        <v>40.903350495697481</v>
      </c>
      <c r="BE57" s="4794">
        <f t="shared" si="49"/>
        <v>40.903350495697481</v>
      </c>
      <c r="BF57" s="4794">
        <f t="shared" si="50"/>
        <v>40.903350495697481</v>
      </c>
      <c r="BG57" s="4794">
        <f t="shared" si="51"/>
        <v>40.903350495697481</v>
      </c>
      <c r="BH57" s="4794">
        <f t="shared" si="52"/>
        <v>204.5167524784874</v>
      </c>
      <c r="BI57" s="4794">
        <f t="shared" si="53"/>
        <v>75.671198417040344</v>
      </c>
      <c r="BJ57" s="4794">
        <f t="shared" si="54"/>
        <v>38.346891089716387</v>
      </c>
      <c r="BK57" s="4794">
        <f t="shared" si="55"/>
        <v>51.129188119621851</v>
      </c>
      <c r="BL57" s="4794">
        <f t="shared" si="56"/>
        <v>40.903350495697481</v>
      </c>
      <c r="BM57" s="4794">
        <f t="shared" si="57"/>
        <v>40.903350495697481</v>
      </c>
      <c r="BN57" s="4794">
        <f t="shared" si="58"/>
        <v>40.903350495697481</v>
      </c>
      <c r="BO57" s="4794">
        <f t="shared" si="59"/>
        <v>40.903350495697481</v>
      </c>
      <c r="BP57" s="4794">
        <f t="shared" si="60"/>
        <v>40.903350495697481</v>
      </c>
      <c r="BQ57" s="4794">
        <f t="shared" si="61"/>
        <v>0</v>
      </c>
      <c r="BR57" s="4794">
        <f t="shared" si="62"/>
        <v>0</v>
      </c>
      <c r="BS57" s="4794">
        <f t="shared" si="63"/>
        <v>0</v>
      </c>
      <c r="BT57" s="4794">
        <f t="shared" si="64"/>
        <v>0</v>
      </c>
      <c r="BU57" s="4794">
        <f t="shared" si="65"/>
        <v>0</v>
      </c>
      <c r="BV57" s="4794">
        <f t="shared" si="66"/>
        <v>0</v>
      </c>
      <c r="BW57" s="4794">
        <f t="shared" si="67"/>
        <v>0</v>
      </c>
      <c r="BX57" s="4794">
        <f t="shared" si="68"/>
        <v>0</v>
      </c>
      <c r="BY57" s="4794">
        <f t="shared" si="69"/>
        <v>0</v>
      </c>
      <c r="BZ57" s="4794">
        <f t="shared" si="70"/>
        <v>0</v>
      </c>
      <c r="CA57" s="4794">
        <f t="shared" si="71"/>
        <v>0</v>
      </c>
      <c r="CB57" s="4794">
        <f t="shared" si="72"/>
        <v>0</v>
      </c>
      <c r="CC57" s="4794">
        <f t="shared" si="73"/>
        <v>0</v>
      </c>
      <c r="CD57" s="4794">
        <f t="shared" si="74"/>
        <v>0</v>
      </c>
      <c r="CE57" s="4794">
        <f t="shared" si="75"/>
        <v>0</v>
      </c>
      <c r="CF57" s="4794">
        <f t="shared" si="76"/>
        <v>0</v>
      </c>
    </row>
    <row r="58" spans="1:84" ht="24">
      <c r="A58" s="2270"/>
      <c r="B58" s="2271">
        <v>2030501</v>
      </c>
      <c r="C58" s="2271" t="s">
        <v>1836</v>
      </c>
      <c r="D58" s="2303">
        <v>0.1</v>
      </c>
      <c r="E58" s="2290" t="s">
        <v>390</v>
      </c>
      <c r="F58" s="2242">
        <f t="shared" ref="F58:M59" si="102">O58+W58+AE58</f>
        <v>148</v>
      </c>
      <c r="G58" s="4376">
        <f t="shared" si="102"/>
        <v>75</v>
      </c>
      <c r="H58" s="2241">
        <f t="shared" si="102"/>
        <v>100</v>
      </c>
      <c r="I58" s="2242">
        <f t="shared" si="102"/>
        <v>80</v>
      </c>
      <c r="J58" s="2243">
        <f t="shared" si="102"/>
        <v>80</v>
      </c>
      <c r="K58" s="2243">
        <f t="shared" si="102"/>
        <v>80</v>
      </c>
      <c r="L58" s="2243">
        <f t="shared" si="102"/>
        <v>80</v>
      </c>
      <c r="M58" s="2243">
        <f t="shared" si="102"/>
        <v>80</v>
      </c>
      <c r="N58" s="2273">
        <f t="shared" si="77"/>
        <v>400</v>
      </c>
      <c r="O58" s="1297">
        <v>148</v>
      </c>
      <c r="P58" s="1299">
        <v>75</v>
      </c>
      <c r="Q58" s="1298">
        <v>100</v>
      </c>
      <c r="R58" s="1299">
        <v>80</v>
      </c>
      <c r="S58" s="1300">
        <v>80</v>
      </c>
      <c r="T58" s="1300">
        <v>80</v>
      </c>
      <c r="U58" s="1300">
        <v>80</v>
      </c>
      <c r="V58" s="1300">
        <v>80</v>
      </c>
      <c r="W58" s="1297"/>
      <c r="X58" s="1299"/>
      <c r="Y58" s="1298"/>
      <c r="Z58" s="1299"/>
      <c r="AA58" s="1300"/>
      <c r="AB58" s="1300"/>
      <c r="AC58" s="1300"/>
      <c r="AD58" s="1300"/>
      <c r="AE58" s="1297"/>
      <c r="AF58" s="1299"/>
      <c r="AG58" s="1298"/>
      <c r="AH58" s="1299"/>
      <c r="AI58" s="1300"/>
      <c r="AJ58" s="1300"/>
      <c r="AK58" s="1300"/>
      <c r="AL58" s="1301"/>
      <c r="AM58" s="1302"/>
      <c r="AN58" s="1303"/>
      <c r="AO58" s="2235" t="s">
        <v>676</v>
      </c>
      <c r="AP58" s="1299"/>
      <c r="AQ58" s="1299"/>
      <c r="AR58" s="1320"/>
      <c r="AS58" s="1299"/>
      <c r="AT58" s="1300"/>
      <c r="AU58" s="1300"/>
      <c r="AV58" s="1300"/>
      <c r="AW58" s="1298"/>
      <c r="AX58" s="2304" t="s">
        <v>657</v>
      </c>
      <c r="AY58" s="4775"/>
      <c r="AZ58" s="4794">
        <f t="shared" si="44"/>
        <v>75.671198417040344</v>
      </c>
      <c r="BA58" s="4794">
        <f t="shared" si="45"/>
        <v>38.346891089716387</v>
      </c>
      <c r="BB58" s="4794">
        <f t="shared" si="46"/>
        <v>51.129188119621851</v>
      </c>
      <c r="BC58" s="4794">
        <f t="shared" si="47"/>
        <v>40.903350495697481</v>
      </c>
      <c r="BD58" s="4794">
        <f t="shared" si="48"/>
        <v>40.903350495697481</v>
      </c>
      <c r="BE58" s="4794">
        <f t="shared" si="49"/>
        <v>40.903350495697481</v>
      </c>
      <c r="BF58" s="4794">
        <f t="shared" si="50"/>
        <v>40.903350495697481</v>
      </c>
      <c r="BG58" s="4794">
        <f t="shared" si="51"/>
        <v>40.903350495697481</v>
      </c>
      <c r="BH58" s="4794">
        <f t="shared" si="52"/>
        <v>204.5167524784874</v>
      </c>
      <c r="BI58" s="4794">
        <f t="shared" si="53"/>
        <v>75.671198417040344</v>
      </c>
      <c r="BJ58" s="4794">
        <f t="shared" si="54"/>
        <v>38.346891089716387</v>
      </c>
      <c r="BK58" s="4794">
        <f t="shared" si="55"/>
        <v>51.129188119621851</v>
      </c>
      <c r="BL58" s="4794">
        <f t="shared" si="56"/>
        <v>40.903350495697481</v>
      </c>
      <c r="BM58" s="4794">
        <f t="shared" si="57"/>
        <v>40.903350495697481</v>
      </c>
      <c r="BN58" s="4794">
        <f t="shared" si="58"/>
        <v>40.903350495697481</v>
      </c>
      <c r="BO58" s="4794">
        <f t="shared" si="59"/>
        <v>40.903350495697481</v>
      </c>
      <c r="BP58" s="4794">
        <f t="shared" si="60"/>
        <v>40.903350495697481</v>
      </c>
      <c r="BQ58" s="4794">
        <f t="shared" si="61"/>
        <v>0</v>
      </c>
      <c r="BR58" s="4794">
        <f t="shared" si="62"/>
        <v>0</v>
      </c>
      <c r="BS58" s="4794">
        <f t="shared" si="63"/>
        <v>0</v>
      </c>
      <c r="BT58" s="4794">
        <f t="shared" si="64"/>
        <v>0</v>
      </c>
      <c r="BU58" s="4794">
        <f t="shared" si="65"/>
        <v>0</v>
      </c>
      <c r="BV58" s="4794">
        <f t="shared" si="66"/>
        <v>0</v>
      </c>
      <c r="BW58" s="4794">
        <f t="shared" si="67"/>
        <v>0</v>
      </c>
      <c r="BX58" s="4794">
        <f t="shared" si="68"/>
        <v>0</v>
      </c>
      <c r="BY58" s="4794">
        <f t="shared" si="69"/>
        <v>0</v>
      </c>
      <c r="BZ58" s="4794">
        <f t="shared" si="70"/>
        <v>0</v>
      </c>
      <c r="CA58" s="4794">
        <f t="shared" si="71"/>
        <v>0</v>
      </c>
      <c r="CB58" s="4794">
        <f t="shared" si="72"/>
        <v>0</v>
      </c>
      <c r="CC58" s="4794">
        <f t="shared" si="73"/>
        <v>0</v>
      </c>
      <c r="CD58" s="4794">
        <f t="shared" si="74"/>
        <v>0</v>
      </c>
      <c r="CE58" s="4794">
        <f t="shared" si="75"/>
        <v>0</v>
      </c>
      <c r="CF58" s="4794">
        <f t="shared" si="76"/>
        <v>0</v>
      </c>
    </row>
    <row r="59" spans="1:84" ht="24.75" thickBot="1">
      <c r="A59" s="2305"/>
      <c r="B59" s="2287">
        <v>2030501</v>
      </c>
      <c r="C59" s="2287" t="s">
        <v>1837</v>
      </c>
      <c r="D59" s="2306">
        <v>0.1</v>
      </c>
      <c r="E59" s="2307" t="s">
        <v>391</v>
      </c>
      <c r="F59" s="2242">
        <f t="shared" si="102"/>
        <v>0</v>
      </c>
      <c r="G59" s="4376">
        <f t="shared" si="102"/>
        <v>0</v>
      </c>
      <c r="H59" s="2241">
        <f t="shared" si="102"/>
        <v>0</v>
      </c>
      <c r="I59" s="2242">
        <f t="shared" si="102"/>
        <v>0</v>
      </c>
      <c r="J59" s="2243">
        <f t="shared" si="102"/>
        <v>0</v>
      </c>
      <c r="K59" s="2243">
        <f t="shared" si="102"/>
        <v>0</v>
      </c>
      <c r="L59" s="2243">
        <f t="shared" si="102"/>
        <v>0</v>
      </c>
      <c r="M59" s="2243">
        <f t="shared" si="102"/>
        <v>0</v>
      </c>
      <c r="N59" s="2289">
        <f t="shared" si="77"/>
        <v>0</v>
      </c>
      <c r="O59" s="1312"/>
      <c r="P59" s="1314"/>
      <c r="Q59" s="1313"/>
      <c r="R59" s="1314"/>
      <c r="S59" s="1315"/>
      <c r="T59" s="1315"/>
      <c r="U59" s="1315"/>
      <c r="V59" s="1315"/>
      <c r="W59" s="1312"/>
      <c r="X59" s="1314"/>
      <c r="Y59" s="1313"/>
      <c r="Z59" s="1314"/>
      <c r="AA59" s="1315"/>
      <c r="AB59" s="1315"/>
      <c r="AC59" s="1315"/>
      <c r="AD59" s="1315"/>
      <c r="AE59" s="1312"/>
      <c r="AF59" s="1314"/>
      <c r="AG59" s="1313"/>
      <c r="AH59" s="1314"/>
      <c r="AI59" s="1315"/>
      <c r="AJ59" s="1315"/>
      <c r="AK59" s="1315"/>
      <c r="AL59" s="1316"/>
      <c r="AM59" s="1317"/>
      <c r="AN59" s="1321"/>
      <c r="AO59" s="2260" t="s">
        <v>676</v>
      </c>
      <c r="AP59" s="1314"/>
      <c r="AQ59" s="1314"/>
      <c r="AR59" s="1322"/>
      <c r="AS59" s="1314"/>
      <c r="AT59" s="1315"/>
      <c r="AU59" s="1315"/>
      <c r="AV59" s="1315"/>
      <c r="AW59" s="1313"/>
      <c r="AX59" s="2261" t="s">
        <v>658</v>
      </c>
      <c r="AY59" s="4775"/>
      <c r="AZ59" s="4794">
        <f t="shared" si="44"/>
        <v>0</v>
      </c>
      <c r="BA59" s="4794">
        <f t="shared" si="45"/>
        <v>0</v>
      </c>
      <c r="BB59" s="4794">
        <f t="shared" si="46"/>
        <v>0</v>
      </c>
      <c r="BC59" s="4794">
        <f t="shared" si="47"/>
        <v>0</v>
      </c>
      <c r="BD59" s="4794">
        <f t="shared" si="48"/>
        <v>0</v>
      </c>
      <c r="BE59" s="4794">
        <f t="shared" si="49"/>
        <v>0</v>
      </c>
      <c r="BF59" s="4794">
        <f t="shared" si="50"/>
        <v>0</v>
      </c>
      <c r="BG59" s="4794">
        <f t="shared" si="51"/>
        <v>0</v>
      </c>
      <c r="BH59" s="4794">
        <f t="shared" si="52"/>
        <v>0</v>
      </c>
      <c r="BI59" s="4794">
        <f t="shared" si="53"/>
        <v>0</v>
      </c>
      <c r="BJ59" s="4794">
        <f t="shared" si="54"/>
        <v>0</v>
      </c>
      <c r="BK59" s="4794">
        <f t="shared" si="55"/>
        <v>0</v>
      </c>
      <c r="BL59" s="4794">
        <f t="shared" si="56"/>
        <v>0</v>
      </c>
      <c r="BM59" s="4794">
        <f t="shared" si="57"/>
        <v>0</v>
      </c>
      <c r="BN59" s="4794">
        <f t="shared" si="58"/>
        <v>0</v>
      </c>
      <c r="BO59" s="4794">
        <f t="shared" si="59"/>
        <v>0</v>
      </c>
      <c r="BP59" s="4794">
        <f t="shared" si="60"/>
        <v>0</v>
      </c>
      <c r="BQ59" s="4794">
        <f t="shared" si="61"/>
        <v>0</v>
      </c>
      <c r="BR59" s="4794">
        <f t="shared" si="62"/>
        <v>0</v>
      </c>
      <c r="BS59" s="4794">
        <f t="shared" si="63"/>
        <v>0</v>
      </c>
      <c r="BT59" s="4794">
        <f t="shared" si="64"/>
        <v>0</v>
      </c>
      <c r="BU59" s="4794">
        <f t="shared" si="65"/>
        <v>0</v>
      </c>
      <c r="BV59" s="4794">
        <f t="shared" si="66"/>
        <v>0</v>
      </c>
      <c r="BW59" s="4794">
        <f t="shared" si="67"/>
        <v>0</v>
      </c>
      <c r="BX59" s="4794">
        <f t="shared" si="68"/>
        <v>0</v>
      </c>
      <c r="BY59" s="4794">
        <f t="shared" si="69"/>
        <v>0</v>
      </c>
      <c r="BZ59" s="4794">
        <f t="shared" si="70"/>
        <v>0</v>
      </c>
      <c r="CA59" s="4794">
        <f t="shared" si="71"/>
        <v>0</v>
      </c>
      <c r="CB59" s="4794">
        <f t="shared" si="72"/>
        <v>0</v>
      </c>
      <c r="CC59" s="4794">
        <f t="shared" si="73"/>
        <v>0</v>
      </c>
      <c r="CD59" s="4794">
        <f t="shared" si="74"/>
        <v>0</v>
      </c>
      <c r="CE59" s="4794">
        <f t="shared" si="75"/>
        <v>0</v>
      </c>
      <c r="CF59" s="4794">
        <f t="shared" si="76"/>
        <v>0</v>
      </c>
    </row>
    <row r="60" spans="1:84" ht="24.75" thickBot="1">
      <c r="A60" s="2205">
        <v>1.5</v>
      </c>
      <c r="B60" s="2205"/>
      <c r="C60" s="2205"/>
      <c r="D60" s="2206"/>
      <c r="E60" s="2207" t="s">
        <v>1213</v>
      </c>
      <c r="F60" s="2208">
        <f t="shared" ref="F60" si="103">SUM(F61:F71)</f>
        <v>282</v>
      </c>
      <c r="G60" s="4374">
        <f t="shared" ref="G60:AL60" si="104">SUM(G61:G71)</f>
        <v>1285</v>
      </c>
      <c r="H60" s="2209">
        <f t="shared" si="104"/>
        <v>220</v>
      </c>
      <c r="I60" s="2210">
        <f t="shared" si="104"/>
        <v>170</v>
      </c>
      <c r="J60" s="2211">
        <f t="shared" si="104"/>
        <v>120</v>
      </c>
      <c r="K60" s="2211">
        <f t="shared" si="104"/>
        <v>305</v>
      </c>
      <c r="L60" s="2211">
        <f t="shared" si="104"/>
        <v>70</v>
      </c>
      <c r="M60" s="2262">
        <f t="shared" si="104"/>
        <v>130</v>
      </c>
      <c r="N60" s="2263">
        <f t="shared" si="104"/>
        <v>795</v>
      </c>
      <c r="O60" s="2214">
        <f t="shared" ref="O60" si="105">SUM(O61:O71)</f>
        <v>282</v>
      </c>
      <c r="P60" s="4390">
        <f t="shared" si="104"/>
        <v>1285</v>
      </c>
      <c r="Q60" s="2215">
        <f t="shared" si="104"/>
        <v>220</v>
      </c>
      <c r="R60" s="2216">
        <f t="shared" si="104"/>
        <v>170</v>
      </c>
      <c r="S60" s="2217">
        <f t="shared" si="104"/>
        <v>120</v>
      </c>
      <c r="T60" s="2217">
        <f t="shared" si="104"/>
        <v>305</v>
      </c>
      <c r="U60" s="2217">
        <f t="shared" si="104"/>
        <v>70</v>
      </c>
      <c r="V60" s="2218">
        <f t="shared" si="104"/>
        <v>130</v>
      </c>
      <c r="W60" s="2214">
        <f t="shared" ref="W60" si="106">SUM(W61:W71)</f>
        <v>0</v>
      </c>
      <c r="X60" s="4390">
        <f t="shared" si="104"/>
        <v>0</v>
      </c>
      <c r="Y60" s="2215">
        <f t="shared" si="104"/>
        <v>0</v>
      </c>
      <c r="Z60" s="2216">
        <f t="shared" si="104"/>
        <v>0</v>
      </c>
      <c r="AA60" s="2217">
        <f t="shared" si="104"/>
        <v>0</v>
      </c>
      <c r="AB60" s="2217">
        <f t="shared" si="104"/>
        <v>0</v>
      </c>
      <c r="AC60" s="2217">
        <f t="shared" si="104"/>
        <v>0</v>
      </c>
      <c r="AD60" s="2218">
        <f t="shared" si="104"/>
        <v>0</v>
      </c>
      <c r="AE60" s="2214">
        <f t="shared" ref="AE60" si="107">SUM(AE61:AE71)</f>
        <v>0</v>
      </c>
      <c r="AF60" s="4390">
        <f t="shared" si="104"/>
        <v>0</v>
      </c>
      <c r="AG60" s="2215">
        <f t="shared" si="104"/>
        <v>0</v>
      </c>
      <c r="AH60" s="2216">
        <f t="shared" si="104"/>
        <v>0</v>
      </c>
      <c r="AI60" s="2217">
        <f t="shared" si="104"/>
        <v>0</v>
      </c>
      <c r="AJ60" s="2217">
        <f t="shared" si="104"/>
        <v>0</v>
      </c>
      <c r="AK60" s="2217">
        <f t="shared" si="104"/>
        <v>0</v>
      </c>
      <c r="AL60" s="2219">
        <f t="shared" si="104"/>
        <v>0</v>
      </c>
      <c r="AM60" s="2264"/>
      <c r="AN60" s="2265"/>
      <c r="AO60" s="2264"/>
      <c r="AP60" s="2266"/>
      <c r="AQ60" s="2266"/>
      <c r="AR60" s="2266"/>
      <c r="AS60" s="2267"/>
      <c r="AT60" s="2267"/>
      <c r="AU60" s="2267"/>
      <c r="AV60" s="2267"/>
      <c r="AW60" s="2268"/>
      <c r="AX60" s="2269"/>
      <c r="AY60" s="4775"/>
      <c r="AZ60" s="4794">
        <f t="shared" si="44"/>
        <v>144.18431049733363</v>
      </c>
      <c r="BA60" s="4794">
        <f t="shared" si="45"/>
        <v>657.01006733714075</v>
      </c>
      <c r="BB60" s="4794">
        <f t="shared" si="46"/>
        <v>112.48421386316807</v>
      </c>
      <c r="BC60" s="4794">
        <f t="shared" si="47"/>
        <v>86.919619803357151</v>
      </c>
      <c r="BD60" s="4794">
        <f t="shared" si="48"/>
        <v>61.355025743546221</v>
      </c>
      <c r="BE60" s="4794">
        <f t="shared" si="49"/>
        <v>155.94402376484663</v>
      </c>
      <c r="BF60" s="4794">
        <f t="shared" si="50"/>
        <v>35.790431683735292</v>
      </c>
      <c r="BG60" s="4794">
        <f t="shared" si="51"/>
        <v>66.46794455550841</v>
      </c>
      <c r="BH60" s="4794">
        <f t="shared" si="52"/>
        <v>406.47704555099369</v>
      </c>
      <c r="BI60" s="4794">
        <f t="shared" si="53"/>
        <v>144.18431049733363</v>
      </c>
      <c r="BJ60" s="4794">
        <f t="shared" si="54"/>
        <v>657.01006733714075</v>
      </c>
      <c r="BK60" s="4794">
        <f t="shared" si="55"/>
        <v>112.48421386316807</v>
      </c>
      <c r="BL60" s="4794">
        <f t="shared" si="56"/>
        <v>86.919619803357151</v>
      </c>
      <c r="BM60" s="4794">
        <f t="shared" si="57"/>
        <v>61.355025743546221</v>
      </c>
      <c r="BN60" s="4794">
        <f t="shared" si="58"/>
        <v>155.94402376484663</v>
      </c>
      <c r="BO60" s="4794">
        <f t="shared" si="59"/>
        <v>35.790431683735292</v>
      </c>
      <c r="BP60" s="4794">
        <f t="shared" si="60"/>
        <v>66.46794455550841</v>
      </c>
      <c r="BQ60" s="4794">
        <f t="shared" si="61"/>
        <v>0</v>
      </c>
      <c r="BR60" s="4794">
        <f t="shared" si="62"/>
        <v>0</v>
      </c>
      <c r="BS60" s="4794">
        <f t="shared" si="63"/>
        <v>0</v>
      </c>
      <c r="BT60" s="4794">
        <f t="shared" si="64"/>
        <v>0</v>
      </c>
      <c r="BU60" s="4794">
        <f t="shared" si="65"/>
        <v>0</v>
      </c>
      <c r="BV60" s="4794">
        <f t="shared" si="66"/>
        <v>0</v>
      </c>
      <c r="BW60" s="4794">
        <f t="shared" si="67"/>
        <v>0</v>
      </c>
      <c r="BX60" s="4794">
        <f t="shared" si="68"/>
        <v>0</v>
      </c>
      <c r="BY60" s="4794">
        <f t="shared" si="69"/>
        <v>0</v>
      </c>
      <c r="BZ60" s="4794">
        <f t="shared" si="70"/>
        <v>0</v>
      </c>
      <c r="CA60" s="4794">
        <f t="shared" si="71"/>
        <v>0</v>
      </c>
      <c r="CB60" s="4794">
        <f t="shared" si="72"/>
        <v>0</v>
      </c>
      <c r="CC60" s="4794">
        <f t="shared" si="73"/>
        <v>0</v>
      </c>
      <c r="CD60" s="4794">
        <f t="shared" si="74"/>
        <v>0</v>
      </c>
      <c r="CE60" s="4794">
        <f t="shared" si="75"/>
        <v>0</v>
      </c>
      <c r="CF60" s="4794">
        <f t="shared" si="76"/>
        <v>0</v>
      </c>
    </row>
    <row r="61" spans="1:84" ht="24">
      <c r="A61" s="2308"/>
      <c r="B61" s="2271">
        <v>20201</v>
      </c>
      <c r="C61" s="2271" t="s">
        <v>1838</v>
      </c>
      <c r="D61" s="2309">
        <v>0.03</v>
      </c>
      <c r="E61" s="2272" t="s">
        <v>392</v>
      </c>
      <c r="F61" s="2242">
        <f t="shared" ref="F61:F71" si="108">O61+W61+AE61</f>
        <v>151</v>
      </c>
      <c r="G61" s="4376">
        <f t="shared" ref="G61:G71" si="109">P61+X61+AF61</f>
        <v>64</v>
      </c>
      <c r="H61" s="2241">
        <f t="shared" ref="H61:H71" si="110">Q61+Y61+AG61</f>
        <v>50</v>
      </c>
      <c r="I61" s="2242">
        <f t="shared" ref="I61:I71" si="111">R61+Z61+AH61</f>
        <v>70</v>
      </c>
      <c r="J61" s="2243">
        <f t="shared" ref="J61:J71" si="112">S61+AA61+AI61</f>
        <v>50</v>
      </c>
      <c r="K61" s="2243">
        <f t="shared" ref="K61:K71" si="113">T61+AB61+AJ61</f>
        <v>50</v>
      </c>
      <c r="L61" s="2243">
        <f t="shared" ref="L61:L71" si="114">U61+AC61+AK61</f>
        <v>0</v>
      </c>
      <c r="M61" s="2243">
        <f t="shared" ref="M61:M71" si="115">V61+AD61+AL61</f>
        <v>50</v>
      </c>
      <c r="N61" s="2273">
        <f t="shared" si="77"/>
        <v>220</v>
      </c>
      <c r="O61" s="1297">
        <v>151</v>
      </c>
      <c r="P61" s="1299">
        <v>64</v>
      </c>
      <c r="Q61" s="1298">
        <v>50</v>
      </c>
      <c r="R61" s="1299">
        <v>70</v>
      </c>
      <c r="S61" s="1300">
        <v>50</v>
      </c>
      <c r="T61" s="1300">
        <v>50</v>
      </c>
      <c r="U61" s="1300"/>
      <c r="V61" s="1300">
        <v>50</v>
      </c>
      <c r="W61" s="1297"/>
      <c r="X61" s="1299"/>
      <c r="Y61" s="1298"/>
      <c r="Z61" s="1299"/>
      <c r="AA61" s="1300"/>
      <c r="AB61" s="1300"/>
      <c r="AC61" s="1300"/>
      <c r="AD61" s="1300"/>
      <c r="AE61" s="1297"/>
      <c r="AF61" s="1299"/>
      <c r="AG61" s="1298"/>
      <c r="AH61" s="1299"/>
      <c r="AI61" s="1300"/>
      <c r="AJ61" s="1300"/>
      <c r="AK61" s="1300"/>
      <c r="AL61" s="1301"/>
      <c r="AM61" s="1302"/>
      <c r="AN61" s="1303"/>
      <c r="AO61" s="2235" t="s">
        <v>676</v>
      </c>
      <c r="AP61" s="1299"/>
      <c r="AQ61" s="1299"/>
      <c r="AR61" s="1298"/>
      <c r="AS61" s="1299"/>
      <c r="AT61" s="1300"/>
      <c r="AU61" s="1300"/>
      <c r="AV61" s="1300"/>
      <c r="AW61" s="1298"/>
      <c r="AX61" s="2236" t="s">
        <v>393</v>
      </c>
      <c r="AY61" s="4775"/>
      <c r="AZ61" s="4794">
        <f t="shared" si="44"/>
        <v>77.205074060628988</v>
      </c>
      <c r="BA61" s="4794">
        <f t="shared" si="45"/>
        <v>32.722680396557983</v>
      </c>
      <c r="BB61" s="4794">
        <f t="shared" si="46"/>
        <v>25.564594059810926</v>
      </c>
      <c r="BC61" s="4794">
        <f t="shared" si="47"/>
        <v>35.790431683735292</v>
      </c>
      <c r="BD61" s="4794">
        <f t="shared" si="48"/>
        <v>25.564594059810926</v>
      </c>
      <c r="BE61" s="4794">
        <f t="shared" si="49"/>
        <v>25.564594059810926</v>
      </c>
      <c r="BF61" s="4794">
        <f t="shared" si="50"/>
        <v>0</v>
      </c>
      <c r="BG61" s="4794">
        <f t="shared" si="51"/>
        <v>25.564594059810926</v>
      </c>
      <c r="BH61" s="4794">
        <f t="shared" si="52"/>
        <v>112.48421386316807</v>
      </c>
      <c r="BI61" s="4794">
        <f t="shared" si="53"/>
        <v>77.205074060628988</v>
      </c>
      <c r="BJ61" s="4794">
        <f t="shared" si="54"/>
        <v>32.722680396557983</v>
      </c>
      <c r="BK61" s="4794">
        <f t="shared" si="55"/>
        <v>25.564594059810926</v>
      </c>
      <c r="BL61" s="4794">
        <f t="shared" si="56"/>
        <v>35.790431683735292</v>
      </c>
      <c r="BM61" s="4794">
        <f t="shared" si="57"/>
        <v>25.564594059810926</v>
      </c>
      <c r="BN61" s="4794">
        <f t="shared" si="58"/>
        <v>25.564594059810926</v>
      </c>
      <c r="BO61" s="4794">
        <f t="shared" si="59"/>
        <v>0</v>
      </c>
      <c r="BP61" s="4794">
        <f t="shared" si="60"/>
        <v>25.564594059810926</v>
      </c>
      <c r="BQ61" s="4794">
        <f t="shared" si="61"/>
        <v>0</v>
      </c>
      <c r="BR61" s="4794">
        <f t="shared" si="62"/>
        <v>0</v>
      </c>
      <c r="BS61" s="4794">
        <f t="shared" si="63"/>
        <v>0</v>
      </c>
      <c r="BT61" s="4794">
        <f t="shared" si="64"/>
        <v>0</v>
      </c>
      <c r="BU61" s="4794">
        <f t="shared" si="65"/>
        <v>0</v>
      </c>
      <c r="BV61" s="4794">
        <f t="shared" si="66"/>
        <v>0</v>
      </c>
      <c r="BW61" s="4794">
        <f t="shared" si="67"/>
        <v>0</v>
      </c>
      <c r="BX61" s="4794">
        <f t="shared" si="68"/>
        <v>0</v>
      </c>
      <c r="BY61" s="4794">
        <f t="shared" si="69"/>
        <v>0</v>
      </c>
      <c r="BZ61" s="4794">
        <f t="shared" si="70"/>
        <v>0</v>
      </c>
      <c r="CA61" s="4794">
        <f t="shared" si="71"/>
        <v>0</v>
      </c>
      <c r="CB61" s="4794">
        <f t="shared" si="72"/>
        <v>0</v>
      </c>
      <c r="CC61" s="4794">
        <f t="shared" si="73"/>
        <v>0</v>
      </c>
      <c r="CD61" s="4794">
        <f t="shared" si="74"/>
        <v>0</v>
      </c>
      <c r="CE61" s="4794">
        <f t="shared" si="75"/>
        <v>0</v>
      </c>
      <c r="CF61" s="4794">
        <f t="shared" si="76"/>
        <v>0</v>
      </c>
    </row>
    <row r="62" spans="1:84" ht="24">
      <c r="A62" s="2285"/>
      <c r="B62" s="2276">
        <v>20601</v>
      </c>
      <c r="C62" s="2276" t="s">
        <v>1839</v>
      </c>
      <c r="D62" s="2248">
        <v>0.1</v>
      </c>
      <c r="E62" s="2277" t="s">
        <v>394</v>
      </c>
      <c r="F62" s="2242">
        <f t="shared" si="108"/>
        <v>73</v>
      </c>
      <c r="G62" s="4376">
        <f t="shared" si="109"/>
        <v>154</v>
      </c>
      <c r="H62" s="2241">
        <f t="shared" si="110"/>
        <v>100</v>
      </c>
      <c r="I62" s="2242">
        <f t="shared" si="111"/>
        <v>80</v>
      </c>
      <c r="J62" s="2243">
        <f t="shared" si="112"/>
        <v>50</v>
      </c>
      <c r="K62" s="2243">
        <f t="shared" si="113"/>
        <v>60</v>
      </c>
      <c r="L62" s="2243">
        <f t="shared" si="114"/>
        <v>50</v>
      </c>
      <c r="M62" s="2243">
        <f t="shared" si="115"/>
        <v>60</v>
      </c>
      <c r="N62" s="2278">
        <f t="shared" si="77"/>
        <v>300</v>
      </c>
      <c r="O62" s="1304">
        <v>73</v>
      </c>
      <c r="P62" s="1306">
        <v>154</v>
      </c>
      <c r="Q62" s="1305">
        <v>100</v>
      </c>
      <c r="R62" s="1306">
        <v>80</v>
      </c>
      <c r="S62" s="1307">
        <v>50</v>
      </c>
      <c r="T62" s="1307">
        <v>60</v>
      </c>
      <c r="U62" s="1307">
        <v>50</v>
      </c>
      <c r="V62" s="1307">
        <v>60</v>
      </c>
      <c r="W62" s="1304"/>
      <c r="X62" s="1306"/>
      <c r="Y62" s="1305"/>
      <c r="Z62" s="1306"/>
      <c r="AA62" s="1307"/>
      <c r="AB62" s="1307"/>
      <c r="AC62" s="1307"/>
      <c r="AD62" s="1307"/>
      <c r="AE62" s="1304"/>
      <c r="AF62" s="1306"/>
      <c r="AG62" s="1305"/>
      <c r="AH62" s="1306"/>
      <c r="AI62" s="1307"/>
      <c r="AJ62" s="1307"/>
      <c r="AK62" s="1307"/>
      <c r="AL62" s="1308"/>
      <c r="AM62" s="1309"/>
      <c r="AN62" s="1311"/>
      <c r="AO62" s="2246" t="s">
        <v>676</v>
      </c>
      <c r="AP62" s="1306"/>
      <c r="AQ62" s="1306"/>
      <c r="AR62" s="1305"/>
      <c r="AS62" s="1306"/>
      <c r="AT62" s="1307"/>
      <c r="AU62" s="1307"/>
      <c r="AV62" s="1307"/>
      <c r="AW62" s="1305"/>
      <c r="AX62" s="2247" t="s">
        <v>395</v>
      </c>
      <c r="AY62" s="4775"/>
      <c r="AZ62" s="4794">
        <f t="shared" si="44"/>
        <v>37.32430732732395</v>
      </c>
      <c r="BA62" s="4794">
        <f t="shared" si="45"/>
        <v>78.738949704217646</v>
      </c>
      <c r="BB62" s="4794">
        <f t="shared" si="46"/>
        <v>51.129188119621851</v>
      </c>
      <c r="BC62" s="4794">
        <f t="shared" si="47"/>
        <v>40.903350495697481</v>
      </c>
      <c r="BD62" s="4794">
        <f t="shared" si="48"/>
        <v>25.564594059810926</v>
      </c>
      <c r="BE62" s="4794">
        <f t="shared" si="49"/>
        <v>30.677512871773111</v>
      </c>
      <c r="BF62" s="4794">
        <f t="shared" si="50"/>
        <v>25.564594059810926</v>
      </c>
      <c r="BG62" s="4794">
        <f t="shared" si="51"/>
        <v>30.677512871773111</v>
      </c>
      <c r="BH62" s="4794">
        <f t="shared" si="52"/>
        <v>153.38756435886555</v>
      </c>
      <c r="BI62" s="4794">
        <f t="shared" si="53"/>
        <v>37.32430732732395</v>
      </c>
      <c r="BJ62" s="4794">
        <f t="shared" si="54"/>
        <v>78.738949704217646</v>
      </c>
      <c r="BK62" s="4794">
        <f t="shared" si="55"/>
        <v>51.129188119621851</v>
      </c>
      <c r="BL62" s="4794">
        <f t="shared" si="56"/>
        <v>40.903350495697481</v>
      </c>
      <c r="BM62" s="4794">
        <f t="shared" si="57"/>
        <v>25.564594059810926</v>
      </c>
      <c r="BN62" s="4794">
        <f t="shared" si="58"/>
        <v>30.677512871773111</v>
      </c>
      <c r="BO62" s="4794">
        <f t="shared" si="59"/>
        <v>25.564594059810926</v>
      </c>
      <c r="BP62" s="4794">
        <f t="shared" si="60"/>
        <v>30.677512871773111</v>
      </c>
      <c r="BQ62" s="4794">
        <f t="shared" si="61"/>
        <v>0</v>
      </c>
      <c r="BR62" s="4794">
        <f t="shared" si="62"/>
        <v>0</v>
      </c>
      <c r="BS62" s="4794">
        <f t="shared" si="63"/>
        <v>0</v>
      </c>
      <c r="BT62" s="4794">
        <f t="shared" si="64"/>
        <v>0</v>
      </c>
      <c r="BU62" s="4794">
        <f t="shared" si="65"/>
        <v>0</v>
      </c>
      <c r="BV62" s="4794">
        <f t="shared" si="66"/>
        <v>0</v>
      </c>
      <c r="BW62" s="4794">
        <f t="shared" si="67"/>
        <v>0</v>
      </c>
      <c r="BX62" s="4794">
        <f t="shared" si="68"/>
        <v>0</v>
      </c>
      <c r="BY62" s="4794">
        <f t="shared" si="69"/>
        <v>0</v>
      </c>
      <c r="BZ62" s="4794">
        <f t="shared" si="70"/>
        <v>0</v>
      </c>
      <c r="CA62" s="4794">
        <f t="shared" si="71"/>
        <v>0</v>
      </c>
      <c r="CB62" s="4794">
        <f t="shared" si="72"/>
        <v>0</v>
      </c>
      <c r="CC62" s="4794">
        <f t="shared" si="73"/>
        <v>0</v>
      </c>
      <c r="CD62" s="4794">
        <f t="shared" si="74"/>
        <v>0</v>
      </c>
      <c r="CE62" s="4794">
        <f t="shared" si="75"/>
        <v>0</v>
      </c>
      <c r="CF62" s="4794">
        <f t="shared" si="76"/>
        <v>0</v>
      </c>
    </row>
    <row r="63" spans="1:84">
      <c r="A63" s="2285"/>
      <c r="B63" s="2276">
        <v>20502</v>
      </c>
      <c r="C63" s="2276" t="s">
        <v>1840</v>
      </c>
      <c r="D63" s="2248">
        <v>0.1</v>
      </c>
      <c r="E63" s="2279" t="s">
        <v>669</v>
      </c>
      <c r="F63" s="2242">
        <f t="shared" si="108"/>
        <v>0</v>
      </c>
      <c r="G63" s="4376">
        <f t="shared" si="109"/>
        <v>900</v>
      </c>
      <c r="H63" s="2241">
        <f t="shared" si="110"/>
        <v>0</v>
      </c>
      <c r="I63" s="2242">
        <f t="shared" si="111"/>
        <v>0</v>
      </c>
      <c r="J63" s="2243">
        <f t="shared" si="112"/>
        <v>0</v>
      </c>
      <c r="K63" s="2243">
        <f t="shared" si="113"/>
        <v>150</v>
      </c>
      <c r="L63" s="2243">
        <f t="shared" si="114"/>
        <v>0</v>
      </c>
      <c r="M63" s="2243">
        <f t="shared" si="115"/>
        <v>0</v>
      </c>
      <c r="N63" s="2278">
        <f t="shared" si="77"/>
        <v>150</v>
      </c>
      <c r="O63" s="1304"/>
      <c r="P63" s="1306">
        <v>900</v>
      </c>
      <c r="Q63" s="1305"/>
      <c r="R63" s="1306"/>
      <c r="S63" s="1307"/>
      <c r="T63" s="1307">
        <v>150</v>
      </c>
      <c r="U63" s="1307"/>
      <c r="V63" s="1307"/>
      <c r="W63" s="1304"/>
      <c r="X63" s="1306"/>
      <c r="Y63" s="1305"/>
      <c r="Z63" s="1306"/>
      <c r="AA63" s="1307"/>
      <c r="AB63" s="1307"/>
      <c r="AC63" s="1307"/>
      <c r="AD63" s="1307"/>
      <c r="AE63" s="1304"/>
      <c r="AF63" s="1306"/>
      <c r="AG63" s="1305"/>
      <c r="AH63" s="1306"/>
      <c r="AI63" s="1307"/>
      <c r="AJ63" s="1307"/>
      <c r="AK63" s="1307"/>
      <c r="AL63" s="1308"/>
      <c r="AM63" s="1309"/>
      <c r="AN63" s="1311"/>
      <c r="AO63" s="2246" t="s">
        <v>676</v>
      </c>
      <c r="AP63" s="1323"/>
      <c r="AQ63" s="1307"/>
      <c r="AR63" s="1305"/>
      <c r="AS63" s="1306"/>
      <c r="AT63" s="1307"/>
      <c r="AU63" s="1307"/>
      <c r="AV63" s="1307"/>
      <c r="AW63" s="1305"/>
      <c r="AX63" s="2247" t="s">
        <v>375</v>
      </c>
      <c r="AY63" s="4775"/>
      <c r="AZ63" s="4794">
        <f t="shared" si="44"/>
        <v>0</v>
      </c>
      <c r="BA63" s="4794">
        <f t="shared" si="45"/>
        <v>460.16269307659667</v>
      </c>
      <c r="BB63" s="4794">
        <f t="shared" si="46"/>
        <v>0</v>
      </c>
      <c r="BC63" s="4794">
        <f t="shared" si="47"/>
        <v>0</v>
      </c>
      <c r="BD63" s="4794">
        <f t="shared" si="48"/>
        <v>0</v>
      </c>
      <c r="BE63" s="4794">
        <f t="shared" si="49"/>
        <v>76.693782179432773</v>
      </c>
      <c r="BF63" s="4794">
        <f t="shared" si="50"/>
        <v>0</v>
      </c>
      <c r="BG63" s="4794">
        <f t="shared" si="51"/>
        <v>0</v>
      </c>
      <c r="BH63" s="4794">
        <f t="shared" si="52"/>
        <v>76.693782179432773</v>
      </c>
      <c r="BI63" s="4794">
        <f t="shared" si="53"/>
        <v>0</v>
      </c>
      <c r="BJ63" s="4794">
        <f t="shared" si="54"/>
        <v>460.16269307659667</v>
      </c>
      <c r="BK63" s="4794">
        <f t="shared" si="55"/>
        <v>0</v>
      </c>
      <c r="BL63" s="4794">
        <f t="shared" si="56"/>
        <v>0</v>
      </c>
      <c r="BM63" s="4794">
        <f t="shared" si="57"/>
        <v>0</v>
      </c>
      <c r="BN63" s="4794">
        <f t="shared" si="58"/>
        <v>76.693782179432773</v>
      </c>
      <c r="BO63" s="4794">
        <f t="shared" si="59"/>
        <v>0</v>
      </c>
      <c r="BP63" s="4794">
        <f t="shared" si="60"/>
        <v>0</v>
      </c>
      <c r="BQ63" s="4794">
        <f t="shared" si="61"/>
        <v>0</v>
      </c>
      <c r="BR63" s="4794">
        <f t="shared" si="62"/>
        <v>0</v>
      </c>
      <c r="BS63" s="4794">
        <f t="shared" si="63"/>
        <v>0</v>
      </c>
      <c r="BT63" s="4794">
        <f t="shared" si="64"/>
        <v>0</v>
      </c>
      <c r="BU63" s="4794">
        <f t="shared" si="65"/>
        <v>0</v>
      </c>
      <c r="BV63" s="4794">
        <f t="shared" si="66"/>
        <v>0</v>
      </c>
      <c r="BW63" s="4794">
        <f t="shared" si="67"/>
        <v>0</v>
      </c>
      <c r="BX63" s="4794">
        <f t="shared" si="68"/>
        <v>0</v>
      </c>
      <c r="BY63" s="4794">
        <f t="shared" si="69"/>
        <v>0</v>
      </c>
      <c r="BZ63" s="4794">
        <f t="shared" si="70"/>
        <v>0</v>
      </c>
      <c r="CA63" s="4794">
        <f t="shared" si="71"/>
        <v>0</v>
      </c>
      <c r="CB63" s="4794">
        <f t="shared" si="72"/>
        <v>0</v>
      </c>
      <c r="CC63" s="4794">
        <f t="shared" si="73"/>
        <v>0</v>
      </c>
      <c r="CD63" s="4794">
        <f t="shared" si="74"/>
        <v>0</v>
      </c>
      <c r="CE63" s="4794">
        <f t="shared" si="75"/>
        <v>0</v>
      </c>
      <c r="CF63" s="4794">
        <f t="shared" si="76"/>
        <v>0</v>
      </c>
    </row>
    <row r="64" spans="1:84">
      <c r="A64" s="2285"/>
      <c r="B64" s="2310">
        <v>20501</v>
      </c>
      <c r="C64" s="2310" t="s">
        <v>1841</v>
      </c>
      <c r="D64" s="2311">
        <v>0.08</v>
      </c>
      <c r="E64" s="2312" t="s">
        <v>1215</v>
      </c>
      <c r="F64" s="2242">
        <f t="shared" si="108"/>
        <v>0</v>
      </c>
      <c r="G64" s="4376">
        <f t="shared" si="109"/>
        <v>0</v>
      </c>
      <c r="H64" s="2241">
        <f t="shared" si="110"/>
        <v>0</v>
      </c>
      <c r="I64" s="2242">
        <f t="shared" si="111"/>
        <v>0</v>
      </c>
      <c r="J64" s="2243">
        <f t="shared" si="112"/>
        <v>0</v>
      </c>
      <c r="K64" s="2243">
        <f t="shared" si="113"/>
        <v>0</v>
      </c>
      <c r="L64" s="2243">
        <f t="shared" si="114"/>
        <v>0</v>
      </c>
      <c r="M64" s="2243">
        <f t="shared" si="115"/>
        <v>0</v>
      </c>
      <c r="N64" s="2278">
        <f t="shared" si="77"/>
        <v>0</v>
      </c>
      <c r="O64" s="1304"/>
      <c r="P64" s="1306"/>
      <c r="Q64" s="1305"/>
      <c r="R64" s="1306"/>
      <c r="S64" s="1307"/>
      <c r="T64" s="1307"/>
      <c r="U64" s="1307"/>
      <c r="V64" s="1307"/>
      <c r="W64" s="1304"/>
      <c r="X64" s="1306"/>
      <c r="Y64" s="1305"/>
      <c r="Z64" s="1306"/>
      <c r="AA64" s="1307"/>
      <c r="AB64" s="1307"/>
      <c r="AC64" s="1307"/>
      <c r="AD64" s="1307"/>
      <c r="AE64" s="1304"/>
      <c r="AF64" s="1306"/>
      <c r="AG64" s="1305"/>
      <c r="AH64" s="1306"/>
      <c r="AI64" s="1307"/>
      <c r="AJ64" s="1307"/>
      <c r="AK64" s="1307"/>
      <c r="AL64" s="1308"/>
      <c r="AM64" s="1309"/>
      <c r="AN64" s="1311"/>
      <c r="AO64" s="2246"/>
      <c r="AP64" s="1323"/>
      <c r="AQ64" s="1307"/>
      <c r="AR64" s="1324"/>
      <c r="AS64" s="1306"/>
      <c r="AT64" s="1307"/>
      <c r="AU64" s="1307"/>
      <c r="AV64" s="1307"/>
      <c r="AW64" s="1305"/>
      <c r="AX64" s="2247"/>
      <c r="AY64" s="4775"/>
      <c r="AZ64" s="4794">
        <f t="shared" si="44"/>
        <v>0</v>
      </c>
      <c r="BA64" s="4794">
        <f t="shared" si="45"/>
        <v>0</v>
      </c>
      <c r="BB64" s="4794">
        <f t="shared" si="46"/>
        <v>0</v>
      </c>
      <c r="BC64" s="4794">
        <f t="shared" si="47"/>
        <v>0</v>
      </c>
      <c r="BD64" s="4794">
        <f t="shared" si="48"/>
        <v>0</v>
      </c>
      <c r="BE64" s="4794">
        <f t="shared" si="49"/>
        <v>0</v>
      </c>
      <c r="BF64" s="4794">
        <f t="shared" si="50"/>
        <v>0</v>
      </c>
      <c r="BG64" s="4794">
        <f t="shared" si="51"/>
        <v>0</v>
      </c>
      <c r="BH64" s="4794">
        <f t="shared" si="52"/>
        <v>0</v>
      </c>
      <c r="BI64" s="4794">
        <f t="shared" si="53"/>
        <v>0</v>
      </c>
      <c r="BJ64" s="4794">
        <f t="shared" si="54"/>
        <v>0</v>
      </c>
      <c r="BK64" s="4794">
        <f t="shared" si="55"/>
        <v>0</v>
      </c>
      <c r="BL64" s="4794">
        <f t="shared" si="56"/>
        <v>0</v>
      </c>
      <c r="BM64" s="4794">
        <f t="shared" si="57"/>
        <v>0</v>
      </c>
      <c r="BN64" s="4794">
        <f t="shared" si="58"/>
        <v>0</v>
      </c>
      <c r="BO64" s="4794">
        <f t="shared" si="59"/>
        <v>0</v>
      </c>
      <c r="BP64" s="4794">
        <f t="shared" si="60"/>
        <v>0</v>
      </c>
      <c r="BQ64" s="4794">
        <f t="shared" si="61"/>
        <v>0</v>
      </c>
      <c r="BR64" s="4794">
        <f t="shared" si="62"/>
        <v>0</v>
      </c>
      <c r="BS64" s="4794">
        <f t="shared" si="63"/>
        <v>0</v>
      </c>
      <c r="BT64" s="4794">
        <f t="shared" si="64"/>
        <v>0</v>
      </c>
      <c r="BU64" s="4794">
        <f t="shared" si="65"/>
        <v>0</v>
      </c>
      <c r="BV64" s="4794">
        <f t="shared" si="66"/>
        <v>0</v>
      </c>
      <c r="BW64" s="4794">
        <f t="shared" si="67"/>
        <v>0</v>
      </c>
      <c r="BX64" s="4794">
        <f t="shared" si="68"/>
        <v>0</v>
      </c>
      <c r="BY64" s="4794">
        <f t="shared" si="69"/>
        <v>0</v>
      </c>
      <c r="BZ64" s="4794">
        <f t="shared" si="70"/>
        <v>0</v>
      </c>
      <c r="CA64" s="4794">
        <f t="shared" si="71"/>
        <v>0</v>
      </c>
      <c r="CB64" s="4794">
        <f t="shared" si="72"/>
        <v>0</v>
      </c>
      <c r="CC64" s="4794">
        <f t="shared" si="73"/>
        <v>0</v>
      </c>
      <c r="CD64" s="4794">
        <f t="shared" si="74"/>
        <v>0</v>
      </c>
      <c r="CE64" s="4794">
        <f t="shared" si="75"/>
        <v>0</v>
      </c>
      <c r="CF64" s="4794">
        <f t="shared" si="76"/>
        <v>0</v>
      </c>
    </row>
    <row r="65" spans="1:84">
      <c r="A65" s="2285"/>
      <c r="B65" s="2310">
        <v>20503</v>
      </c>
      <c r="C65" s="2310" t="s">
        <v>1842</v>
      </c>
      <c r="D65" s="2248">
        <v>0.1</v>
      </c>
      <c r="E65" s="2279" t="s">
        <v>668</v>
      </c>
      <c r="F65" s="2242">
        <f t="shared" si="108"/>
        <v>0</v>
      </c>
      <c r="G65" s="4376">
        <f t="shared" si="109"/>
        <v>0</v>
      </c>
      <c r="H65" s="2241">
        <f t="shared" si="110"/>
        <v>0</v>
      </c>
      <c r="I65" s="2242">
        <f t="shared" si="111"/>
        <v>0</v>
      </c>
      <c r="J65" s="2243">
        <f t="shared" si="112"/>
        <v>0</v>
      </c>
      <c r="K65" s="2243">
        <f t="shared" si="113"/>
        <v>0</v>
      </c>
      <c r="L65" s="2243">
        <f t="shared" si="114"/>
        <v>0</v>
      </c>
      <c r="M65" s="2243">
        <f t="shared" si="115"/>
        <v>0</v>
      </c>
      <c r="N65" s="2278">
        <f t="shared" si="77"/>
        <v>0</v>
      </c>
      <c r="O65" s="1304"/>
      <c r="P65" s="1306"/>
      <c r="Q65" s="1305"/>
      <c r="R65" s="1306"/>
      <c r="S65" s="1307"/>
      <c r="T65" s="1307"/>
      <c r="U65" s="1307"/>
      <c r="V65" s="1307"/>
      <c r="W65" s="1304"/>
      <c r="X65" s="1306"/>
      <c r="Y65" s="1305"/>
      <c r="Z65" s="1306"/>
      <c r="AA65" s="1307"/>
      <c r="AB65" s="1307"/>
      <c r="AC65" s="1307"/>
      <c r="AD65" s="1307"/>
      <c r="AE65" s="1304"/>
      <c r="AF65" s="1306"/>
      <c r="AG65" s="1305"/>
      <c r="AH65" s="1306"/>
      <c r="AI65" s="1307"/>
      <c r="AJ65" s="1307"/>
      <c r="AK65" s="1307"/>
      <c r="AL65" s="1308"/>
      <c r="AM65" s="1309"/>
      <c r="AN65" s="1311"/>
      <c r="AO65" s="2246" t="s">
        <v>676</v>
      </c>
      <c r="AP65" s="1323"/>
      <c r="AQ65" s="1307"/>
      <c r="AR65" s="1305"/>
      <c r="AS65" s="1306"/>
      <c r="AT65" s="1307"/>
      <c r="AU65" s="1307"/>
      <c r="AV65" s="1307"/>
      <c r="AW65" s="1305"/>
      <c r="AX65" s="2252" t="s">
        <v>375</v>
      </c>
      <c r="AY65" s="4775"/>
      <c r="AZ65" s="4794">
        <f t="shared" si="44"/>
        <v>0</v>
      </c>
      <c r="BA65" s="4794">
        <f t="shared" si="45"/>
        <v>0</v>
      </c>
      <c r="BB65" s="4794">
        <f t="shared" si="46"/>
        <v>0</v>
      </c>
      <c r="BC65" s="4794">
        <f t="shared" si="47"/>
        <v>0</v>
      </c>
      <c r="BD65" s="4794">
        <f t="shared" si="48"/>
        <v>0</v>
      </c>
      <c r="BE65" s="4794">
        <f t="shared" si="49"/>
        <v>0</v>
      </c>
      <c r="BF65" s="4794">
        <f t="shared" si="50"/>
        <v>0</v>
      </c>
      <c r="BG65" s="4794">
        <f t="shared" si="51"/>
        <v>0</v>
      </c>
      <c r="BH65" s="4794">
        <f t="shared" si="52"/>
        <v>0</v>
      </c>
      <c r="BI65" s="4794">
        <f t="shared" si="53"/>
        <v>0</v>
      </c>
      <c r="BJ65" s="4794">
        <f t="shared" si="54"/>
        <v>0</v>
      </c>
      <c r="BK65" s="4794">
        <f t="shared" si="55"/>
        <v>0</v>
      </c>
      <c r="BL65" s="4794">
        <f t="shared" si="56"/>
        <v>0</v>
      </c>
      <c r="BM65" s="4794">
        <f t="shared" si="57"/>
        <v>0</v>
      </c>
      <c r="BN65" s="4794">
        <f t="shared" si="58"/>
        <v>0</v>
      </c>
      <c r="BO65" s="4794">
        <f t="shared" si="59"/>
        <v>0</v>
      </c>
      <c r="BP65" s="4794">
        <f t="shared" si="60"/>
        <v>0</v>
      </c>
      <c r="BQ65" s="4794">
        <f t="shared" si="61"/>
        <v>0</v>
      </c>
      <c r="BR65" s="4794">
        <f t="shared" si="62"/>
        <v>0</v>
      </c>
      <c r="BS65" s="4794">
        <f t="shared" si="63"/>
        <v>0</v>
      </c>
      <c r="BT65" s="4794">
        <f t="shared" si="64"/>
        <v>0</v>
      </c>
      <c r="BU65" s="4794">
        <f t="shared" si="65"/>
        <v>0</v>
      </c>
      <c r="BV65" s="4794">
        <f t="shared" si="66"/>
        <v>0</v>
      </c>
      <c r="BW65" s="4794">
        <f t="shared" si="67"/>
        <v>0</v>
      </c>
      <c r="BX65" s="4794">
        <f t="shared" si="68"/>
        <v>0</v>
      </c>
      <c r="BY65" s="4794">
        <f t="shared" si="69"/>
        <v>0</v>
      </c>
      <c r="BZ65" s="4794">
        <f t="shared" si="70"/>
        <v>0</v>
      </c>
      <c r="CA65" s="4794">
        <f t="shared" si="71"/>
        <v>0</v>
      </c>
      <c r="CB65" s="4794">
        <f t="shared" si="72"/>
        <v>0</v>
      </c>
      <c r="CC65" s="4794">
        <f t="shared" si="73"/>
        <v>0</v>
      </c>
      <c r="CD65" s="4794">
        <f t="shared" si="74"/>
        <v>0</v>
      </c>
      <c r="CE65" s="4794">
        <f t="shared" si="75"/>
        <v>0</v>
      </c>
      <c r="CF65" s="4794">
        <f t="shared" si="76"/>
        <v>0</v>
      </c>
    </row>
    <row r="66" spans="1:84" ht="24">
      <c r="A66" s="2285"/>
      <c r="B66" s="2310">
        <v>20303</v>
      </c>
      <c r="C66" s="2310" t="s">
        <v>1843</v>
      </c>
      <c r="D66" s="2311">
        <v>0.1</v>
      </c>
      <c r="E66" s="2277" t="s">
        <v>406</v>
      </c>
      <c r="F66" s="2242">
        <f t="shared" si="108"/>
        <v>0</v>
      </c>
      <c r="G66" s="4376">
        <f t="shared" si="109"/>
        <v>0</v>
      </c>
      <c r="H66" s="2241">
        <f t="shared" si="110"/>
        <v>0</v>
      </c>
      <c r="I66" s="2242">
        <f t="shared" si="111"/>
        <v>0</v>
      </c>
      <c r="J66" s="2243">
        <f t="shared" si="112"/>
        <v>0</v>
      </c>
      <c r="K66" s="2243">
        <f t="shared" si="113"/>
        <v>0</v>
      </c>
      <c r="L66" s="2243">
        <f t="shared" si="114"/>
        <v>0</v>
      </c>
      <c r="M66" s="2243">
        <f t="shared" si="115"/>
        <v>0</v>
      </c>
      <c r="N66" s="2278">
        <f t="shared" si="77"/>
        <v>0</v>
      </c>
      <c r="O66" s="1304"/>
      <c r="P66" s="1306"/>
      <c r="Q66" s="1305"/>
      <c r="R66" s="1306"/>
      <c r="S66" s="1307"/>
      <c r="T66" s="1307"/>
      <c r="U66" s="1307"/>
      <c r="V66" s="1307"/>
      <c r="W66" s="1304"/>
      <c r="X66" s="1306"/>
      <c r="Y66" s="1305"/>
      <c r="Z66" s="1306"/>
      <c r="AA66" s="1307"/>
      <c r="AB66" s="1307"/>
      <c r="AC66" s="1307"/>
      <c r="AD66" s="1307"/>
      <c r="AE66" s="1304"/>
      <c r="AF66" s="1306"/>
      <c r="AG66" s="1305"/>
      <c r="AH66" s="1306"/>
      <c r="AI66" s="1307"/>
      <c r="AJ66" s="1307"/>
      <c r="AK66" s="1307"/>
      <c r="AL66" s="1308"/>
      <c r="AM66" s="1309"/>
      <c r="AN66" s="1311"/>
      <c r="AO66" s="2246"/>
      <c r="AP66" s="1323"/>
      <c r="AQ66" s="1307"/>
      <c r="AR66" s="1324"/>
      <c r="AS66" s="1306"/>
      <c r="AT66" s="1307"/>
      <c r="AU66" s="1307"/>
      <c r="AV66" s="1307"/>
      <c r="AW66" s="1305"/>
      <c r="AX66" s="2252"/>
      <c r="AY66" s="4775"/>
      <c r="AZ66" s="4794">
        <f t="shared" si="44"/>
        <v>0</v>
      </c>
      <c r="BA66" s="4794">
        <f t="shared" si="45"/>
        <v>0</v>
      </c>
      <c r="BB66" s="4794">
        <f t="shared" si="46"/>
        <v>0</v>
      </c>
      <c r="BC66" s="4794">
        <f t="shared" si="47"/>
        <v>0</v>
      </c>
      <c r="BD66" s="4794">
        <f t="shared" si="48"/>
        <v>0</v>
      </c>
      <c r="BE66" s="4794">
        <f t="shared" si="49"/>
        <v>0</v>
      </c>
      <c r="BF66" s="4794">
        <f t="shared" si="50"/>
        <v>0</v>
      </c>
      <c r="BG66" s="4794">
        <f t="shared" si="51"/>
        <v>0</v>
      </c>
      <c r="BH66" s="4794">
        <f t="shared" si="52"/>
        <v>0</v>
      </c>
      <c r="BI66" s="4794">
        <f t="shared" si="53"/>
        <v>0</v>
      </c>
      <c r="BJ66" s="4794">
        <f t="shared" si="54"/>
        <v>0</v>
      </c>
      <c r="BK66" s="4794">
        <f t="shared" si="55"/>
        <v>0</v>
      </c>
      <c r="BL66" s="4794">
        <f t="shared" si="56"/>
        <v>0</v>
      </c>
      <c r="BM66" s="4794">
        <f t="shared" si="57"/>
        <v>0</v>
      </c>
      <c r="BN66" s="4794">
        <f t="shared" si="58"/>
        <v>0</v>
      </c>
      <c r="BO66" s="4794">
        <f t="shared" si="59"/>
        <v>0</v>
      </c>
      <c r="BP66" s="4794">
        <f t="shared" si="60"/>
        <v>0</v>
      </c>
      <c r="BQ66" s="4794">
        <f t="shared" si="61"/>
        <v>0</v>
      </c>
      <c r="BR66" s="4794">
        <f t="shared" si="62"/>
        <v>0</v>
      </c>
      <c r="BS66" s="4794">
        <f t="shared" si="63"/>
        <v>0</v>
      </c>
      <c r="BT66" s="4794">
        <f t="shared" si="64"/>
        <v>0</v>
      </c>
      <c r="BU66" s="4794">
        <f t="shared" si="65"/>
        <v>0</v>
      </c>
      <c r="BV66" s="4794">
        <f t="shared" si="66"/>
        <v>0</v>
      </c>
      <c r="BW66" s="4794">
        <f t="shared" si="67"/>
        <v>0</v>
      </c>
      <c r="BX66" s="4794">
        <f t="shared" si="68"/>
        <v>0</v>
      </c>
      <c r="BY66" s="4794">
        <f t="shared" si="69"/>
        <v>0</v>
      </c>
      <c r="BZ66" s="4794">
        <f t="shared" si="70"/>
        <v>0</v>
      </c>
      <c r="CA66" s="4794">
        <f t="shared" si="71"/>
        <v>0</v>
      </c>
      <c r="CB66" s="4794">
        <f t="shared" si="72"/>
        <v>0</v>
      </c>
      <c r="CC66" s="4794">
        <f t="shared" si="73"/>
        <v>0</v>
      </c>
      <c r="CD66" s="4794">
        <f t="shared" si="74"/>
        <v>0</v>
      </c>
      <c r="CE66" s="4794">
        <f t="shared" si="75"/>
        <v>0</v>
      </c>
      <c r="CF66" s="4794">
        <f t="shared" si="76"/>
        <v>0</v>
      </c>
    </row>
    <row r="67" spans="1:84">
      <c r="A67" s="2285"/>
      <c r="B67" s="2310">
        <v>20306</v>
      </c>
      <c r="C67" s="2310" t="s">
        <v>1844</v>
      </c>
      <c r="D67" s="2311">
        <v>0.1</v>
      </c>
      <c r="E67" s="2312" t="s">
        <v>1032</v>
      </c>
      <c r="F67" s="2242">
        <f t="shared" si="108"/>
        <v>0</v>
      </c>
      <c r="G67" s="4376">
        <f t="shared" si="109"/>
        <v>0</v>
      </c>
      <c r="H67" s="2241">
        <f t="shared" si="110"/>
        <v>0</v>
      </c>
      <c r="I67" s="2242">
        <f t="shared" si="111"/>
        <v>0</v>
      </c>
      <c r="J67" s="2243">
        <f t="shared" si="112"/>
        <v>0</v>
      </c>
      <c r="K67" s="2243">
        <f t="shared" si="113"/>
        <v>0</v>
      </c>
      <c r="L67" s="2243">
        <f t="shared" si="114"/>
        <v>0</v>
      </c>
      <c r="M67" s="2243">
        <f t="shared" si="115"/>
        <v>0</v>
      </c>
      <c r="N67" s="2278">
        <f t="shared" si="77"/>
        <v>0</v>
      </c>
      <c r="O67" s="1304"/>
      <c r="P67" s="1306"/>
      <c r="Q67" s="1305"/>
      <c r="R67" s="1306"/>
      <c r="S67" s="1307"/>
      <c r="T67" s="1307"/>
      <c r="U67" s="1307"/>
      <c r="V67" s="1307"/>
      <c r="W67" s="1304"/>
      <c r="X67" s="1306"/>
      <c r="Y67" s="1305"/>
      <c r="Z67" s="1306"/>
      <c r="AA67" s="1307"/>
      <c r="AB67" s="1307"/>
      <c r="AC67" s="1307"/>
      <c r="AD67" s="1307"/>
      <c r="AE67" s="1304"/>
      <c r="AF67" s="1306"/>
      <c r="AG67" s="1305"/>
      <c r="AH67" s="1306"/>
      <c r="AI67" s="1307"/>
      <c r="AJ67" s="1307"/>
      <c r="AK67" s="1307"/>
      <c r="AL67" s="1308"/>
      <c r="AM67" s="1309"/>
      <c r="AN67" s="1311"/>
      <c r="AO67" s="2246"/>
      <c r="AP67" s="1323"/>
      <c r="AQ67" s="1307"/>
      <c r="AR67" s="1324"/>
      <c r="AS67" s="1306"/>
      <c r="AT67" s="1307"/>
      <c r="AU67" s="1307"/>
      <c r="AV67" s="1307"/>
      <c r="AW67" s="1305"/>
      <c r="AX67" s="2252"/>
      <c r="AY67" s="4775"/>
      <c r="AZ67" s="4794">
        <f t="shared" si="44"/>
        <v>0</v>
      </c>
      <c r="BA67" s="4794">
        <f t="shared" si="45"/>
        <v>0</v>
      </c>
      <c r="BB67" s="4794">
        <f t="shared" si="46"/>
        <v>0</v>
      </c>
      <c r="BC67" s="4794">
        <f t="shared" si="47"/>
        <v>0</v>
      </c>
      <c r="BD67" s="4794">
        <f t="shared" si="48"/>
        <v>0</v>
      </c>
      <c r="BE67" s="4794">
        <f t="shared" si="49"/>
        <v>0</v>
      </c>
      <c r="BF67" s="4794">
        <f t="shared" si="50"/>
        <v>0</v>
      </c>
      <c r="BG67" s="4794">
        <f t="shared" si="51"/>
        <v>0</v>
      </c>
      <c r="BH67" s="4794">
        <f t="shared" si="52"/>
        <v>0</v>
      </c>
      <c r="BI67" s="4794">
        <f t="shared" si="53"/>
        <v>0</v>
      </c>
      <c r="BJ67" s="4794">
        <f t="shared" si="54"/>
        <v>0</v>
      </c>
      <c r="BK67" s="4794">
        <f t="shared" si="55"/>
        <v>0</v>
      </c>
      <c r="BL67" s="4794">
        <f t="shared" si="56"/>
        <v>0</v>
      </c>
      <c r="BM67" s="4794">
        <f t="shared" si="57"/>
        <v>0</v>
      </c>
      <c r="BN67" s="4794">
        <f t="shared" si="58"/>
        <v>0</v>
      </c>
      <c r="BO67" s="4794">
        <f t="shared" si="59"/>
        <v>0</v>
      </c>
      <c r="BP67" s="4794">
        <f t="shared" si="60"/>
        <v>0</v>
      </c>
      <c r="BQ67" s="4794">
        <f t="shared" si="61"/>
        <v>0</v>
      </c>
      <c r="BR67" s="4794">
        <f t="shared" si="62"/>
        <v>0</v>
      </c>
      <c r="BS67" s="4794">
        <f t="shared" si="63"/>
        <v>0</v>
      </c>
      <c r="BT67" s="4794">
        <f t="shared" si="64"/>
        <v>0</v>
      </c>
      <c r="BU67" s="4794">
        <f t="shared" si="65"/>
        <v>0</v>
      </c>
      <c r="BV67" s="4794">
        <f t="shared" si="66"/>
        <v>0</v>
      </c>
      <c r="BW67" s="4794">
        <f t="shared" si="67"/>
        <v>0</v>
      </c>
      <c r="BX67" s="4794">
        <f t="shared" si="68"/>
        <v>0</v>
      </c>
      <c r="BY67" s="4794">
        <f t="shared" si="69"/>
        <v>0</v>
      </c>
      <c r="BZ67" s="4794">
        <f t="shared" si="70"/>
        <v>0</v>
      </c>
      <c r="CA67" s="4794">
        <f t="shared" si="71"/>
        <v>0</v>
      </c>
      <c r="CB67" s="4794">
        <f t="shared" si="72"/>
        <v>0</v>
      </c>
      <c r="CC67" s="4794">
        <f t="shared" si="73"/>
        <v>0</v>
      </c>
      <c r="CD67" s="4794">
        <f t="shared" si="74"/>
        <v>0</v>
      </c>
      <c r="CE67" s="4794">
        <f t="shared" si="75"/>
        <v>0</v>
      </c>
      <c r="CF67" s="4794">
        <f t="shared" si="76"/>
        <v>0</v>
      </c>
    </row>
    <row r="68" spans="1:84" ht="24">
      <c r="A68" s="2285"/>
      <c r="B68" s="2276">
        <v>212</v>
      </c>
      <c r="C68" s="2276" t="s">
        <v>1845</v>
      </c>
      <c r="D68" s="2248">
        <v>0.2</v>
      </c>
      <c r="E68" s="2279" t="s">
        <v>984</v>
      </c>
      <c r="F68" s="2242">
        <f t="shared" si="108"/>
        <v>29</v>
      </c>
      <c r="G68" s="4376">
        <f t="shared" si="109"/>
        <v>121</v>
      </c>
      <c r="H68" s="2241">
        <f t="shared" si="110"/>
        <v>50</v>
      </c>
      <c r="I68" s="2242">
        <f t="shared" si="111"/>
        <v>0</v>
      </c>
      <c r="J68" s="2243">
        <f t="shared" si="112"/>
        <v>0</v>
      </c>
      <c r="K68" s="2243">
        <f t="shared" si="113"/>
        <v>25</v>
      </c>
      <c r="L68" s="2243">
        <f t="shared" si="114"/>
        <v>0</v>
      </c>
      <c r="M68" s="2243">
        <f t="shared" si="115"/>
        <v>0</v>
      </c>
      <c r="N68" s="2278">
        <f t="shared" si="77"/>
        <v>25</v>
      </c>
      <c r="O68" s="1304">
        <v>29</v>
      </c>
      <c r="P68" s="1306">
        <v>121</v>
      </c>
      <c r="Q68" s="1305">
        <v>50</v>
      </c>
      <c r="R68" s="1306"/>
      <c r="S68" s="1307"/>
      <c r="T68" s="1307">
        <v>25</v>
      </c>
      <c r="U68" s="1307"/>
      <c r="V68" s="1307"/>
      <c r="W68" s="1304"/>
      <c r="X68" s="1306"/>
      <c r="Y68" s="1305"/>
      <c r="Z68" s="1306"/>
      <c r="AA68" s="1307"/>
      <c r="AB68" s="1307"/>
      <c r="AC68" s="1307"/>
      <c r="AD68" s="1307"/>
      <c r="AE68" s="1304"/>
      <c r="AF68" s="1306"/>
      <c r="AG68" s="1305"/>
      <c r="AH68" s="1306"/>
      <c r="AI68" s="1307"/>
      <c r="AJ68" s="1307"/>
      <c r="AK68" s="1307"/>
      <c r="AL68" s="1308"/>
      <c r="AM68" s="1309"/>
      <c r="AN68" s="1310"/>
      <c r="AO68" s="2246" t="s">
        <v>676</v>
      </c>
      <c r="AP68" s="1323"/>
      <c r="AQ68" s="1307"/>
      <c r="AR68" s="1305"/>
      <c r="AS68" s="1306"/>
      <c r="AT68" s="1307"/>
      <c r="AU68" s="1307"/>
      <c r="AV68" s="1307"/>
      <c r="AW68" s="1305"/>
      <c r="AX68" s="2252" t="s">
        <v>396</v>
      </c>
      <c r="AY68" s="4775"/>
      <c r="AZ68" s="4794">
        <f t="shared" si="44"/>
        <v>14.827464554690337</v>
      </c>
      <c r="BA68" s="4794">
        <f t="shared" si="45"/>
        <v>61.866317624742436</v>
      </c>
      <c r="BB68" s="4794">
        <f t="shared" si="46"/>
        <v>25.564594059810926</v>
      </c>
      <c r="BC68" s="4794">
        <f t="shared" si="47"/>
        <v>0</v>
      </c>
      <c r="BD68" s="4794">
        <f t="shared" si="48"/>
        <v>0</v>
      </c>
      <c r="BE68" s="4794">
        <f t="shared" si="49"/>
        <v>12.782297029905463</v>
      </c>
      <c r="BF68" s="4794">
        <f t="shared" si="50"/>
        <v>0</v>
      </c>
      <c r="BG68" s="4794">
        <f t="shared" si="51"/>
        <v>0</v>
      </c>
      <c r="BH68" s="4794">
        <f t="shared" si="52"/>
        <v>12.782297029905463</v>
      </c>
      <c r="BI68" s="4794">
        <f t="shared" si="53"/>
        <v>14.827464554690337</v>
      </c>
      <c r="BJ68" s="4794">
        <f t="shared" si="54"/>
        <v>61.866317624742436</v>
      </c>
      <c r="BK68" s="4794">
        <f t="shared" si="55"/>
        <v>25.564594059810926</v>
      </c>
      <c r="BL68" s="4794">
        <f t="shared" si="56"/>
        <v>0</v>
      </c>
      <c r="BM68" s="4794">
        <f t="shared" si="57"/>
        <v>0</v>
      </c>
      <c r="BN68" s="4794">
        <f t="shared" si="58"/>
        <v>12.782297029905463</v>
      </c>
      <c r="BO68" s="4794">
        <f t="shared" si="59"/>
        <v>0</v>
      </c>
      <c r="BP68" s="4794">
        <f t="shared" si="60"/>
        <v>0</v>
      </c>
      <c r="BQ68" s="4794">
        <f t="shared" si="61"/>
        <v>0</v>
      </c>
      <c r="BR68" s="4794">
        <f t="shared" si="62"/>
        <v>0</v>
      </c>
      <c r="BS68" s="4794">
        <f t="shared" si="63"/>
        <v>0</v>
      </c>
      <c r="BT68" s="4794">
        <f t="shared" si="64"/>
        <v>0</v>
      </c>
      <c r="BU68" s="4794">
        <f t="shared" si="65"/>
        <v>0</v>
      </c>
      <c r="BV68" s="4794">
        <f t="shared" si="66"/>
        <v>0</v>
      </c>
      <c r="BW68" s="4794">
        <f t="shared" si="67"/>
        <v>0</v>
      </c>
      <c r="BX68" s="4794">
        <f t="shared" si="68"/>
        <v>0</v>
      </c>
      <c r="BY68" s="4794">
        <f t="shared" si="69"/>
        <v>0</v>
      </c>
      <c r="BZ68" s="4794">
        <f t="shared" si="70"/>
        <v>0</v>
      </c>
      <c r="CA68" s="4794">
        <f t="shared" si="71"/>
        <v>0</v>
      </c>
      <c r="CB68" s="4794">
        <f t="shared" si="72"/>
        <v>0</v>
      </c>
      <c r="CC68" s="4794">
        <f t="shared" si="73"/>
        <v>0</v>
      </c>
      <c r="CD68" s="4794">
        <f t="shared" si="74"/>
        <v>0</v>
      </c>
      <c r="CE68" s="4794">
        <f t="shared" si="75"/>
        <v>0</v>
      </c>
      <c r="CF68" s="4794">
        <f t="shared" si="76"/>
        <v>0</v>
      </c>
    </row>
    <row r="69" spans="1:84" ht="24.75" thickBot="1">
      <c r="A69" s="2275"/>
      <c r="B69" s="2276">
        <v>215</v>
      </c>
      <c r="C69" s="2276" t="s">
        <v>1846</v>
      </c>
      <c r="D69" s="2248">
        <v>0.2</v>
      </c>
      <c r="E69" s="2279" t="s">
        <v>985</v>
      </c>
      <c r="F69" s="2242">
        <f t="shared" si="108"/>
        <v>0</v>
      </c>
      <c r="G69" s="4376">
        <f t="shared" si="109"/>
        <v>0</v>
      </c>
      <c r="H69" s="2241">
        <f t="shared" si="110"/>
        <v>0</v>
      </c>
      <c r="I69" s="2242">
        <f t="shared" si="111"/>
        <v>0</v>
      </c>
      <c r="J69" s="2243">
        <f t="shared" si="112"/>
        <v>0</v>
      </c>
      <c r="K69" s="2243">
        <f t="shared" si="113"/>
        <v>0</v>
      </c>
      <c r="L69" s="2243">
        <f t="shared" si="114"/>
        <v>0</v>
      </c>
      <c r="M69" s="2243">
        <f t="shared" si="115"/>
        <v>0</v>
      </c>
      <c r="N69" s="2278">
        <f t="shared" si="77"/>
        <v>0</v>
      </c>
      <c r="O69" s="1304"/>
      <c r="P69" s="1306"/>
      <c r="Q69" s="1305"/>
      <c r="R69" s="1306"/>
      <c r="S69" s="1307"/>
      <c r="T69" s="1307"/>
      <c r="U69" s="1307"/>
      <c r="V69" s="1307"/>
      <c r="W69" s="1304"/>
      <c r="X69" s="1306"/>
      <c r="Y69" s="1305"/>
      <c r="Z69" s="1306"/>
      <c r="AA69" s="1307"/>
      <c r="AB69" s="1307"/>
      <c r="AC69" s="1307"/>
      <c r="AD69" s="1307"/>
      <c r="AE69" s="1304"/>
      <c r="AF69" s="1306"/>
      <c r="AG69" s="1305"/>
      <c r="AH69" s="1306"/>
      <c r="AI69" s="1307"/>
      <c r="AJ69" s="1307"/>
      <c r="AK69" s="1307"/>
      <c r="AL69" s="1308"/>
      <c r="AM69" s="1309"/>
      <c r="AN69" s="1310"/>
      <c r="AO69" s="2313" t="s">
        <v>676</v>
      </c>
      <c r="AP69" s="1306"/>
      <c r="AQ69" s="1306"/>
      <c r="AR69" s="1305"/>
      <c r="AS69" s="1306"/>
      <c r="AT69" s="1307"/>
      <c r="AU69" s="1307"/>
      <c r="AV69" s="1307"/>
      <c r="AW69" s="1305"/>
      <c r="AX69" s="2252" t="s">
        <v>670</v>
      </c>
      <c r="AY69" s="4775"/>
      <c r="AZ69" s="4794">
        <f t="shared" si="44"/>
        <v>0</v>
      </c>
      <c r="BA69" s="4794">
        <f t="shared" si="45"/>
        <v>0</v>
      </c>
      <c r="BB69" s="4794">
        <f t="shared" si="46"/>
        <v>0</v>
      </c>
      <c r="BC69" s="4794">
        <f t="shared" si="47"/>
        <v>0</v>
      </c>
      <c r="BD69" s="4794">
        <f t="shared" si="48"/>
        <v>0</v>
      </c>
      <c r="BE69" s="4794">
        <f t="shared" si="49"/>
        <v>0</v>
      </c>
      <c r="BF69" s="4794">
        <f t="shared" si="50"/>
        <v>0</v>
      </c>
      <c r="BG69" s="4794">
        <f t="shared" si="51"/>
        <v>0</v>
      </c>
      <c r="BH69" s="4794">
        <f t="shared" si="52"/>
        <v>0</v>
      </c>
      <c r="BI69" s="4794">
        <f t="shared" si="53"/>
        <v>0</v>
      </c>
      <c r="BJ69" s="4794">
        <f t="shared" si="54"/>
        <v>0</v>
      </c>
      <c r="BK69" s="4794">
        <f t="shared" si="55"/>
        <v>0</v>
      </c>
      <c r="BL69" s="4794">
        <f t="shared" si="56"/>
        <v>0</v>
      </c>
      <c r="BM69" s="4794">
        <f t="shared" si="57"/>
        <v>0</v>
      </c>
      <c r="BN69" s="4794">
        <f t="shared" si="58"/>
        <v>0</v>
      </c>
      <c r="BO69" s="4794">
        <f t="shared" si="59"/>
        <v>0</v>
      </c>
      <c r="BP69" s="4794">
        <f t="shared" si="60"/>
        <v>0</v>
      </c>
      <c r="BQ69" s="4794">
        <f t="shared" si="61"/>
        <v>0</v>
      </c>
      <c r="BR69" s="4794">
        <f t="shared" si="62"/>
        <v>0</v>
      </c>
      <c r="BS69" s="4794">
        <f t="shared" si="63"/>
        <v>0</v>
      </c>
      <c r="BT69" s="4794">
        <f t="shared" si="64"/>
        <v>0</v>
      </c>
      <c r="BU69" s="4794">
        <f t="shared" si="65"/>
        <v>0</v>
      </c>
      <c r="BV69" s="4794">
        <f t="shared" si="66"/>
        <v>0</v>
      </c>
      <c r="BW69" s="4794">
        <f t="shared" si="67"/>
        <v>0</v>
      </c>
      <c r="BX69" s="4794">
        <f t="shared" si="68"/>
        <v>0</v>
      </c>
      <c r="BY69" s="4794">
        <f t="shared" si="69"/>
        <v>0</v>
      </c>
      <c r="BZ69" s="4794">
        <f t="shared" si="70"/>
        <v>0</v>
      </c>
      <c r="CA69" s="4794">
        <f t="shared" si="71"/>
        <v>0</v>
      </c>
      <c r="CB69" s="4794">
        <f t="shared" si="72"/>
        <v>0</v>
      </c>
      <c r="CC69" s="4794">
        <f t="shared" si="73"/>
        <v>0</v>
      </c>
      <c r="CD69" s="4794">
        <f t="shared" si="74"/>
        <v>0</v>
      </c>
      <c r="CE69" s="4794">
        <f t="shared" si="75"/>
        <v>0</v>
      </c>
      <c r="CF69" s="4794">
        <f t="shared" si="76"/>
        <v>0</v>
      </c>
    </row>
    <row r="70" spans="1:84" ht="24">
      <c r="A70" s="2275"/>
      <c r="B70" s="2276">
        <v>215</v>
      </c>
      <c r="C70" s="2276" t="s">
        <v>1847</v>
      </c>
      <c r="D70" s="2248">
        <v>0.2</v>
      </c>
      <c r="E70" s="2279" t="s">
        <v>659</v>
      </c>
      <c r="F70" s="2242">
        <f t="shared" si="108"/>
        <v>0</v>
      </c>
      <c r="G70" s="4376">
        <f t="shared" si="109"/>
        <v>15</v>
      </c>
      <c r="H70" s="2241">
        <f t="shared" si="110"/>
        <v>0</v>
      </c>
      <c r="I70" s="2242">
        <f t="shared" si="111"/>
        <v>0</v>
      </c>
      <c r="J70" s="2243">
        <f t="shared" si="112"/>
        <v>0</v>
      </c>
      <c r="K70" s="2243">
        <f t="shared" si="113"/>
        <v>0</v>
      </c>
      <c r="L70" s="2243">
        <f t="shared" si="114"/>
        <v>0</v>
      </c>
      <c r="M70" s="2243">
        <f t="shared" si="115"/>
        <v>0</v>
      </c>
      <c r="N70" s="2278">
        <f t="shared" si="77"/>
        <v>0</v>
      </c>
      <c r="O70" s="1304"/>
      <c r="P70" s="1306">
        <v>15</v>
      </c>
      <c r="Q70" s="1305"/>
      <c r="R70" s="1306"/>
      <c r="S70" s="1307"/>
      <c r="T70" s="1307"/>
      <c r="U70" s="1307"/>
      <c r="V70" s="1307"/>
      <c r="W70" s="1304"/>
      <c r="X70" s="1306"/>
      <c r="Y70" s="1305"/>
      <c r="Z70" s="1306"/>
      <c r="AA70" s="1307"/>
      <c r="AB70" s="1307"/>
      <c r="AC70" s="1307"/>
      <c r="AD70" s="1307"/>
      <c r="AE70" s="1304"/>
      <c r="AF70" s="1306"/>
      <c r="AG70" s="1305"/>
      <c r="AH70" s="1306"/>
      <c r="AI70" s="1307"/>
      <c r="AJ70" s="1307"/>
      <c r="AK70" s="1307"/>
      <c r="AL70" s="1308"/>
      <c r="AM70" s="1309"/>
      <c r="AN70" s="1310"/>
      <c r="AO70" s="2314" t="s">
        <v>313</v>
      </c>
      <c r="AP70" s="2282"/>
      <c r="AQ70" s="2282"/>
      <c r="AR70" s="2281"/>
      <c r="AS70" s="2282"/>
      <c r="AT70" s="2283"/>
      <c r="AU70" s="2283"/>
      <c r="AV70" s="2283"/>
      <c r="AW70" s="2284"/>
      <c r="AX70" s="2252" t="s">
        <v>671</v>
      </c>
      <c r="AY70" s="4775"/>
      <c r="AZ70" s="4794">
        <f t="shared" si="44"/>
        <v>0</v>
      </c>
      <c r="BA70" s="4794">
        <f t="shared" si="45"/>
        <v>7.6693782179432777</v>
      </c>
      <c r="BB70" s="4794">
        <f t="shared" si="46"/>
        <v>0</v>
      </c>
      <c r="BC70" s="4794">
        <f t="shared" si="47"/>
        <v>0</v>
      </c>
      <c r="BD70" s="4794">
        <f t="shared" si="48"/>
        <v>0</v>
      </c>
      <c r="BE70" s="4794">
        <f t="shared" si="49"/>
        <v>0</v>
      </c>
      <c r="BF70" s="4794">
        <f t="shared" si="50"/>
        <v>0</v>
      </c>
      <c r="BG70" s="4794">
        <f t="shared" si="51"/>
        <v>0</v>
      </c>
      <c r="BH70" s="4794">
        <f t="shared" si="52"/>
        <v>0</v>
      </c>
      <c r="BI70" s="4794">
        <f t="shared" si="53"/>
        <v>0</v>
      </c>
      <c r="BJ70" s="4794">
        <f t="shared" si="54"/>
        <v>7.6693782179432777</v>
      </c>
      <c r="BK70" s="4794">
        <f t="shared" si="55"/>
        <v>0</v>
      </c>
      <c r="BL70" s="4794">
        <f t="shared" si="56"/>
        <v>0</v>
      </c>
      <c r="BM70" s="4794">
        <f t="shared" si="57"/>
        <v>0</v>
      </c>
      <c r="BN70" s="4794">
        <f t="shared" si="58"/>
        <v>0</v>
      </c>
      <c r="BO70" s="4794">
        <f t="shared" si="59"/>
        <v>0</v>
      </c>
      <c r="BP70" s="4794">
        <f t="shared" si="60"/>
        <v>0</v>
      </c>
      <c r="BQ70" s="4794">
        <f t="shared" si="61"/>
        <v>0</v>
      </c>
      <c r="BR70" s="4794">
        <f t="shared" si="62"/>
        <v>0</v>
      </c>
      <c r="BS70" s="4794">
        <f t="shared" si="63"/>
        <v>0</v>
      </c>
      <c r="BT70" s="4794">
        <f t="shared" si="64"/>
        <v>0</v>
      </c>
      <c r="BU70" s="4794">
        <f t="shared" si="65"/>
        <v>0</v>
      </c>
      <c r="BV70" s="4794">
        <f t="shared" si="66"/>
        <v>0</v>
      </c>
      <c r="BW70" s="4794">
        <f t="shared" si="67"/>
        <v>0</v>
      </c>
      <c r="BX70" s="4794">
        <f t="shared" si="68"/>
        <v>0</v>
      </c>
      <c r="BY70" s="4794">
        <f t="shared" si="69"/>
        <v>0</v>
      </c>
      <c r="BZ70" s="4794">
        <f t="shared" si="70"/>
        <v>0</v>
      </c>
      <c r="CA70" s="4794">
        <f t="shared" si="71"/>
        <v>0</v>
      </c>
      <c r="CB70" s="4794">
        <f t="shared" si="72"/>
        <v>0</v>
      </c>
      <c r="CC70" s="4794">
        <f t="shared" si="73"/>
        <v>0</v>
      </c>
      <c r="CD70" s="4794">
        <f t="shared" si="74"/>
        <v>0</v>
      </c>
      <c r="CE70" s="4794">
        <f t="shared" si="75"/>
        <v>0</v>
      </c>
      <c r="CF70" s="4794">
        <f t="shared" si="76"/>
        <v>0</v>
      </c>
    </row>
    <row r="71" spans="1:84" ht="13.5" thickBot="1">
      <c r="A71" s="2286"/>
      <c r="B71" s="2287">
        <v>208</v>
      </c>
      <c r="C71" s="2287" t="s">
        <v>1848</v>
      </c>
      <c r="D71" s="2257">
        <v>0.2</v>
      </c>
      <c r="E71" s="2288" t="s">
        <v>397</v>
      </c>
      <c r="F71" s="4081">
        <f t="shared" si="108"/>
        <v>29</v>
      </c>
      <c r="G71" s="4376">
        <f t="shared" si="109"/>
        <v>31</v>
      </c>
      <c r="H71" s="2241">
        <f t="shared" si="110"/>
        <v>20</v>
      </c>
      <c r="I71" s="2242">
        <f t="shared" si="111"/>
        <v>20</v>
      </c>
      <c r="J71" s="2243">
        <f t="shared" si="112"/>
        <v>20</v>
      </c>
      <c r="K71" s="2243">
        <f t="shared" si="113"/>
        <v>20</v>
      </c>
      <c r="L71" s="2243">
        <f t="shared" si="114"/>
        <v>20</v>
      </c>
      <c r="M71" s="2243">
        <f t="shared" si="115"/>
        <v>20</v>
      </c>
      <c r="N71" s="2289">
        <f>SUM(I71:M71)</f>
        <v>100</v>
      </c>
      <c r="O71" s="1327">
        <v>29</v>
      </c>
      <c r="P71" s="1314">
        <v>31</v>
      </c>
      <c r="Q71" s="1313">
        <v>20</v>
      </c>
      <c r="R71" s="1314">
        <v>20</v>
      </c>
      <c r="S71" s="1315">
        <v>20</v>
      </c>
      <c r="T71" s="1315">
        <v>20</v>
      </c>
      <c r="U71" s="1315">
        <v>20</v>
      </c>
      <c r="V71" s="1315">
        <v>20</v>
      </c>
      <c r="W71" s="1327"/>
      <c r="X71" s="1314"/>
      <c r="Y71" s="1313"/>
      <c r="Z71" s="1314"/>
      <c r="AA71" s="1315"/>
      <c r="AB71" s="1315"/>
      <c r="AC71" s="1315"/>
      <c r="AD71" s="1315"/>
      <c r="AE71" s="1327"/>
      <c r="AF71" s="1314"/>
      <c r="AG71" s="1313"/>
      <c r="AH71" s="1314"/>
      <c r="AI71" s="1315"/>
      <c r="AJ71" s="1315"/>
      <c r="AK71" s="1315"/>
      <c r="AL71" s="1316"/>
      <c r="AM71" s="1325"/>
      <c r="AN71" s="1326"/>
      <c r="AO71" s="2313" t="s">
        <v>676</v>
      </c>
      <c r="AP71" s="1327"/>
      <c r="AQ71" s="1327"/>
      <c r="AR71" s="1328"/>
      <c r="AS71" s="1329"/>
      <c r="AT71" s="1329"/>
      <c r="AU71" s="1329"/>
      <c r="AV71" s="1329"/>
      <c r="AW71" s="1329"/>
      <c r="AX71" s="2315" t="s">
        <v>395</v>
      </c>
      <c r="AY71" s="4775"/>
      <c r="AZ71" s="4794">
        <f t="shared" si="44"/>
        <v>14.827464554690337</v>
      </c>
      <c r="BA71" s="4794">
        <f t="shared" si="45"/>
        <v>15.850048317082774</v>
      </c>
      <c r="BB71" s="4794">
        <f t="shared" si="46"/>
        <v>10.22583762392437</v>
      </c>
      <c r="BC71" s="4794">
        <f t="shared" si="47"/>
        <v>10.22583762392437</v>
      </c>
      <c r="BD71" s="4794">
        <f t="shared" si="48"/>
        <v>10.22583762392437</v>
      </c>
      <c r="BE71" s="4794">
        <f t="shared" si="49"/>
        <v>10.22583762392437</v>
      </c>
      <c r="BF71" s="4794">
        <f t="shared" si="50"/>
        <v>10.22583762392437</v>
      </c>
      <c r="BG71" s="4794">
        <f t="shared" si="51"/>
        <v>10.22583762392437</v>
      </c>
      <c r="BH71" s="4794">
        <f t="shared" si="52"/>
        <v>51.129188119621851</v>
      </c>
      <c r="BI71" s="4794">
        <f t="shared" si="53"/>
        <v>14.827464554690337</v>
      </c>
      <c r="BJ71" s="4794">
        <f t="shared" si="54"/>
        <v>15.850048317082774</v>
      </c>
      <c r="BK71" s="4794">
        <f t="shared" si="55"/>
        <v>10.22583762392437</v>
      </c>
      <c r="BL71" s="4794">
        <f t="shared" si="56"/>
        <v>10.22583762392437</v>
      </c>
      <c r="BM71" s="4794">
        <f t="shared" si="57"/>
        <v>10.22583762392437</v>
      </c>
      <c r="BN71" s="4794">
        <f t="shared" si="58"/>
        <v>10.22583762392437</v>
      </c>
      <c r="BO71" s="4794">
        <f t="shared" si="59"/>
        <v>10.22583762392437</v>
      </c>
      <c r="BP71" s="4794">
        <f t="shared" si="60"/>
        <v>10.22583762392437</v>
      </c>
      <c r="BQ71" s="4794">
        <f t="shared" si="61"/>
        <v>0</v>
      </c>
      <c r="BR71" s="4794">
        <f t="shared" si="62"/>
        <v>0</v>
      </c>
      <c r="BS71" s="4794">
        <f t="shared" si="63"/>
        <v>0</v>
      </c>
      <c r="BT71" s="4794">
        <f t="shared" si="64"/>
        <v>0</v>
      </c>
      <c r="BU71" s="4794">
        <f t="shared" si="65"/>
        <v>0</v>
      </c>
      <c r="BV71" s="4794">
        <f t="shared" si="66"/>
        <v>0</v>
      </c>
      <c r="BW71" s="4794">
        <f t="shared" si="67"/>
        <v>0</v>
      </c>
      <c r="BX71" s="4794">
        <f t="shared" si="68"/>
        <v>0</v>
      </c>
      <c r="BY71" s="4794">
        <f t="shared" si="69"/>
        <v>0</v>
      </c>
      <c r="BZ71" s="4794">
        <f t="shared" si="70"/>
        <v>0</v>
      </c>
      <c r="CA71" s="4794">
        <f t="shared" si="71"/>
        <v>0</v>
      </c>
      <c r="CB71" s="4794">
        <f t="shared" si="72"/>
        <v>0</v>
      </c>
      <c r="CC71" s="4794">
        <f t="shared" si="73"/>
        <v>0</v>
      </c>
      <c r="CD71" s="4794">
        <f t="shared" si="74"/>
        <v>0</v>
      </c>
      <c r="CE71" s="4794">
        <f t="shared" si="75"/>
        <v>0</v>
      </c>
      <c r="CF71" s="4794">
        <f t="shared" si="76"/>
        <v>0</v>
      </c>
    </row>
    <row r="72" spans="1:84" ht="16.5" thickBot="1">
      <c r="A72" s="5327" t="s">
        <v>1214</v>
      </c>
      <c r="B72" s="5328"/>
      <c r="C72" s="5328"/>
      <c r="D72" s="5328"/>
      <c r="E72" s="5328"/>
      <c r="F72" s="5328"/>
      <c r="G72" s="5328"/>
      <c r="H72" s="5328"/>
      <c r="I72" s="5328"/>
      <c r="J72" s="5328"/>
      <c r="K72" s="5328"/>
      <c r="L72" s="5328"/>
      <c r="M72" s="5328"/>
      <c r="N72" s="5328"/>
      <c r="O72" s="5328"/>
      <c r="P72" s="5328"/>
      <c r="Q72" s="5328"/>
      <c r="R72" s="5328"/>
      <c r="S72" s="5328"/>
      <c r="T72" s="5328"/>
      <c r="U72" s="5328"/>
      <c r="V72" s="5328"/>
      <c r="W72" s="5328"/>
      <c r="X72" s="5328"/>
      <c r="Y72" s="5328"/>
      <c r="Z72" s="5328"/>
      <c r="AA72" s="5328"/>
      <c r="AB72" s="5328"/>
      <c r="AC72" s="5328"/>
      <c r="AD72" s="5328"/>
      <c r="AE72" s="5328"/>
      <c r="AF72" s="5328"/>
      <c r="AG72" s="5328"/>
      <c r="AH72" s="5328"/>
      <c r="AI72" s="5328"/>
      <c r="AJ72" s="5328"/>
      <c r="AK72" s="5328"/>
      <c r="AL72" s="5328"/>
      <c r="AM72" s="5328"/>
      <c r="AN72" s="5328"/>
      <c r="AO72" s="5328"/>
      <c r="AP72" s="5328"/>
      <c r="AQ72" s="5328"/>
      <c r="AR72" s="5328"/>
      <c r="AS72" s="5328"/>
      <c r="AT72" s="5328"/>
      <c r="AU72" s="5328"/>
      <c r="AV72" s="5328"/>
      <c r="AW72" s="5328"/>
      <c r="AX72" s="5329"/>
      <c r="AY72" s="4775"/>
      <c r="AZ72" s="4794">
        <f t="shared" si="44"/>
        <v>0</v>
      </c>
      <c r="BA72" s="4794">
        <f t="shared" si="45"/>
        <v>0</v>
      </c>
      <c r="BB72" s="4794">
        <f t="shared" si="46"/>
        <v>0</v>
      </c>
      <c r="BC72" s="4794">
        <f t="shared" si="47"/>
        <v>0</v>
      </c>
      <c r="BD72" s="4794">
        <f t="shared" si="48"/>
        <v>0</v>
      </c>
      <c r="BE72" s="4794">
        <f t="shared" si="49"/>
        <v>0</v>
      </c>
      <c r="BF72" s="4794">
        <f t="shared" si="50"/>
        <v>0</v>
      </c>
      <c r="BG72" s="4794">
        <f t="shared" si="51"/>
        <v>0</v>
      </c>
      <c r="BH72" s="4794">
        <f t="shared" si="52"/>
        <v>0</v>
      </c>
      <c r="BI72" s="4794">
        <f t="shared" si="53"/>
        <v>0</v>
      </c>
      <c r="BJ72" s="4794">
        <f t="shared" si="54"/>
        <v>0</v>
      </c>
      <c r="BK72" s="4794">
        <f t="shared" si="55"/>
        <v>0</v>
      </c>
      <c r="BL72" s="4794">
        <f t="shared" si="56"/>
        <v>0</v>
      </c>
      <c r="BM72" s="4794">
        <f t="shared" si="57"/>
        <v>0</v>
      </c>
      <c r="BN72" s="4794">
        <f t="shared" si="58"/>
        <v>0</v>
      </c>
      <c r="BO72" s="4794">
        <f t="shared" si="59"/>
        <v>0</v>
      </c>
      <c r="BP72" s="4794">
        <f t="shared" si="60"/>
        <v>0</v>
      </c>
      <c r="BQ72" s="4794">
        <f t="shared" si="61"/>
        <v>0</v>
      </c>
      <c r="BR72" s="4794">
        <f t="shared" si="62"/>
        <v>0</v>
      </c>
      <c r="BS72" s="4794">
        <f t="shared" si="63"/>
        <v>0</v>
      </c>
      <c r="BT72" s="4794">
        <f t="shared" si="64"/>
        <v>0</v>
      </c>
      <c r="BU72" s="4794">
        <f t="shared" si="65"/>
        <v>0</v>
      </c>
      <c r="BV72" s="4794">
        <f t="shared" si="66"/>
        <v>0</v>
      </c>
      <c r="BW72" s="4794">
        <f t="shared" si="67"/>
        <v>0</v>
      </c>
      <c r="BX72" s="4794">
        <f t="shared" si="68"/>
        <v>0</v>
      </c>
      <c r="BY72" s="4794">
        <f t="shared" si="69"/>
        <v>0</v>
      </c>
      <c r="BZ72" s="4794">
        <f t="shared" si="70"/>
        <v>0</v>
      </c>
      <c r="CA72" s="4794">
        <f t="shared" si="71"/>
        <v>0</v>
      </c>
      <c r="CB72" s="4794">
        <f t="shared" si="72"/>
        <v>0</v>
      </c>
      <c r="CC72" s="4794">
        <f t="shared" si="73"/>
        <v>0</v>
      </c>
      <c r="CD72" s="4794">
        <f t="shared" si="74"/>
        <v>0</v>
      </c>
      <c r="CE72" s="4794">
        <f t="shared" si="75"/>
        <v>0</v>
      </c>
      <c r="CF72" s="4794">
        <f t="shared" si="76"/>
        <v>0</v>
      </c>
    </row>
    <row r="73" spans="1:84" ht="24.75" thickBot="1">
      <c r="A73" s="2205">
        <v>1.6</v>
      </c>
      <c r="B73" s="2205"/>
      <c r="C73" s="2205"/>
      <c r="D73" s="2206"/>
      <c r="E73" s="2207" t="s">
        <v>1029</v>
      </c>
      <c r="F73" s="2316">
        <f>SUM(F74:F97)</f>
        <v>0</v>
      </c>
      <c r="G73" s="4379">
        <f>SUM(G74:G97)</f>
        <v>0</v>
      </c>
      <c r="H73" s="2317">
        <f t="shared" ref="H73:AL73" si="116">SUM(H74:H97)</f>
        <v>0</v>
      </c>
      <c r="I73" s="2318">
        <f t="shared" si="116"/>
        <v>0</v>
      </c>
      <c r="J73" s="2319">
        <f t="shared" si="116"/>
        <v>0</v>
      </c>
      <c r="K73" s="2319">
        <f t="shared" si="116"/>
        <v>0</v>
      </c>
      <c r="L73" s="2319">
        <f t="shared" si="116"/>
        <v>0</v>
      </c>
      <c r="M73" s="2320">
        <f t="shared" si="116"/>
        <v>0</v>
      </c>
      <c r="N73" s="2213">
        <f t="shared" si="116"/>
        <v>0</v>
      </c>
      <c r="O73" s="2214">
        <f t="shared" ref="O73" si="117">SUM(O74:O97)</f>
        <v>0</v>
      </c>
      <c r="P73" s="4390">
        <f t="shared" si="116"/>
        <v>0</v>
      </c>
      <c r="Q73" s="2215">
        <f t="shared" si="116"/>
        <v>0</v>
      </c>
      <c r="R73" s="2216">
        <f t="shared" si="116"/>
        <v>0</v>
      </c>
      <c r="S73" s="2217">
        <f t="shared" si="116"/>
        <v>0</v>
      </c>
      <c r="T73" s="2217">
        <f t="shared" si="116"/>
        <v>0</v>
      </c>
      <c r="U73" s="2217">
        <f t="shared" si="116"/>
        <v>0</v>
      </c>
      <c r="V73" s="2218">
        <f t="shared" si="116"/>
        <v>0</v>
      </c>
      <c r="W73" s="2214">
        <f t="shared" ref="W73" si="118">SUM(W74:W97)</f>
        <v>0</v>
      </c>
      <c r="X73" s="4390">
        <f t="shared" si="116"/>
        <v>0</v>
      </c>
      <c r="Y73" s="2215">
        <f t="shared" si="116"/>
        <v>0</v>
      </c>
      <c r="Z73" s="2216">
        <f t="shared" si="116"/>
        <v>0</v>
      </c>
      <c r="AA73" s="2217">
        <f t="shared" si="116"/>
        <v>0</v>
      </c>
      <c r="AB73" s="2217">
        <f t="shared" si="116"/>
        <v>0</v>
      </c>
      <c r="AC73" s="2217">
        <f t="shared" si="116"/>
        <v>0</v>
      </c>
      <c r="AD73" s="2218">
        <f t="shared" si="116"/>
        <v>0</v>
      </c>
      <c r="AE73" s="2214">
        <f t="shared" ref="AE73" si="119">SUM(AE74:AE97)</f>
        <v>0</v>
      </c>
      <c r="AF73" s="4390">
        <f t="shared" si="116"/>
        <v>0</v>
      </c>
      <c r="AG73" s="2215">
        <f t="shared" si="116"/>
        <v>0</v>
      </c>
      <c r="AH73" s="2216">
        <f t="shared" si="116"/>
        <v>0</v>
      </c>
      <c r="AI73" s="2217">
        <f t="shared" si="116"/>
        <v>0</v>
      </c>
      <c r="AJ73" s="2217">
        <f t="shared" si="116"/>
        <v>0</v>
      </c>
      <c r="AK73" s="2217">
        <f t="shared" si="116"/>
        <v>0</v>
      </c>
      <c r="AL73" s="2219">
        <f t="shared" si="116"/>
        <v>0</v>
      </c>
      <c r="AM73" s="2220"/>
      <c r="AN73" s="2221"/>
      <c r="AO73" s="2222"/>
      <c r="AP73" s="2321"/>
      <c r="AQ73" s="2321"/>
      <c r="AR73" s="2322"/>
      <c r="AS73" s="2223"/>
      <c r="AT73" s="2223"/>
      <c r="AU73" s="2223"/>
      <c r="AV73" s="2223"/>
      <c r="AW73" s="2224"/>
      <c r="AX73" s="2225"/>
      <c r="AY73" s="4775"/>
      <c r="AZ73" s="4794">
        <f t="shared" si="44"/>
        <v>0</v>
      </c>
      <c r="BA73" s="4794">
        <f t="shared" si="45"/>
        <v>0</v>
      </c>
      <c r="BB73" s="4794">
        <f t="shared" si="46"/>
        <v>0</v>
      </c>
      <c r="BC73" s="4794">
        <f t="shared" si="47"/>
        <v>0</v>
      </c>
      <c r="BD73" s="4794">
        <f t="shared" si="48"/>
        <v>0</v>
      </c>
      <c r="BE73" s="4794">
        <f t="shared" si="49"/>
        <v>0</v>
      </c>
      <c r="BF73" s="4794">
        <f t="shared" si="50"/>
        <v>0</v>
      </c>
      <c r="BG73" s="4794">
        <f t="shared" si="51"/>
        <v>0</v>
      </c>
      <c r="BH73" s="4794">
        <f t="shared" si="52"/>
        <v>0</v>
      </c>
      <c r="BI73" s="4794">
        <f t="shared" si="53"/>
        <v>0</v>
      </c>
      <c r="BJ73" s="4794">
        <f t="shared" si="54"/>
        <v>0</v>
      </c>
      <c r="BK73" s="4794">
        <f t="shared" si="55"/>
        <v>0</v>
      </c>
      <c r="BL73" s="4794">
        <f t="shared" si="56"/>
        <v>0</v>
      </c>
      <c r="BM73" s="4794">
        <f t="shared" si="57"/>
        <v>0</v>
      </c>
      <c r="BN73" s="4794">
        <f t="shared" si="58"/>
        <v>0</v>
      </c>
      <c r="BO73" s="4794">
        <f t="shared" si="59"/>
        <v>0</v>
      </c>
      <c r="BP73" s="4794">
        <f t="shared" si="60"/>
        <v>0</v>
      </c>
      <c r="BQ73" s="4794">
        <f t="shared" si="61"/>
        <v>0</v>
      </c>
      <c r="BR73" s="4794">
        <f t="shared" si="62"/>
        <v>0</v>
      </c>
      <c r="BS73" s="4794">
        <f t="shared" si="63"/>
        <v>0</v>
      </c>
      <c r="BT73" s="4794">
        <f t="shared" si="64"/>
        <v>0</v>
      </c>
      <c r="BU73" s="4794">
        <f t="shared" si="65"/>
        <v>0</v>
      </c>
      <c r="BV73" s="4794">
        <f t="shared" si="66"/>
        <v>0</v>
      </c>
      <c r="BW73" s="4794">
        <f t="shared" si="67"/>
        <v>0</v>
      </c>
      <c r="BX73" s="4794">
        <f t="shared" si="68"/>
        <v>0</v>
      </c>
      <c r="BY73" s="4794">
        <f t="shared" si="69"/>
        <v>0</v>
      </c>
      <c r="BZ73" s="4794">
        <f t="shared" si="70"/>
        <v>0</v>
      </c>
      <c r="CA73" s="4794">
        <f t="shared" si="71"/>
        <v>0</v>
      </c>
      <c r="CB73" s="4794">
        <f t="shared" si="72"/>
        <v>0</v>
      </c>
      <c r="CC73" s="4794">
        <f t="shared" si="73"/>
        <v>0</v>
      </c>
      <c r="CD73" s="4794">
        <f t="shared" si="74"/>
        <v>0</v>
      </c>
      <c r="CE73" s="4794">
        <f t="shared" si="75"/>
        <v>0</v>
      </c>
      <c r="CF73" s="4794">
        <f t="shared" si="76"/>
        <v>0</v>
      </c>
    </row>
    <row r="74" spans="1:84">
      <c r="A74" s="2226"/>
      <c r="B74" s="2227">
        <v>2040201</v>
      </c>
      <c r="C74" s="2227">
        <v>2070101</v>
      </c>
      <c r="D74" s="2228">
        <v>0.02</v>
      </c>
      <c r="E74" s="2229" t="s">
        <v>738</v>
      </c>
      <c r="F74" s="4378">
        <f t="shared" ref="F74:F97" si="120">O74+W74+AE74</f>
        <v>0</v>
      </c>
      <c r="G74" s="4375">
        <f t="shared" ref="G74:G97" si="121">P74+X74+AF74</f>
        <v>0</v>
      </c>
      <c r="H74" s="2230">
        <f t="shared" ref="H74:H97" si="122">Q74+Y74+AG74</f>
        <v>0</v>
      </c>
      <c r="I74" s="2231">
        <f t="shared" ref="I74:I97" si="123">R74+Z74+AH74</f>
        <v>0</v>
      </c>
      <c r="J74" s="2232">
        <f t="shared" ref="J74:J97" si="124">S74+AA74+AI74</f>
        <v>0</v>
      </c>
      <c r="K74" s="2232">
        <f t="shared" ref="K74:K97" si="125">T74+AB74+AJ74</f>
        <v>0</v>
      </c>
      <c r="L74" s="2232">
        <f t="shared" ref="L74:L97" si="126">U74+AC74+AK74</f>
        <v>0</v>
      </c>
      <c r="M74" s="2233">
        <f t="shared" ref="M74:M97" si="127">V74+AD74+AL74</f>
        <v>0</v>
      </c>
      <c r="N74" s="2234">
        <f>SUM(I74:M74)</f>
        <v>0</v>
      </c>
      <c r="O74" s="1297"/>
      <c r="P74" s="1299"/>
      <c r="Q74" s="1298"/>
      <c r="R74" s="1299"/>
      <c r="S74" s="1300"/>
      <c r="T74" s="1300"/>
      <c r="U74" s="1300"/>
      <c r="V74" s="1300"/>
      <c r="W74" s="1297"/>
      <c r="X74" s="1299"/>
      <c r="Y74" s="1298"/>
      <c r="Z74" s="1299"/>
      <c r="AA74" s="1300"/>
      <c r="AB74" s="1300"/>
      <c r="AC74" s="1300"/>
      <c r="AD74" s="1300"/>
      <c r="AE74" s="1297"/>
      <c r="AF74" s="1299"/>
      <c r="AG74" s="1298"/>
      <c r="AH74" s="1299"/>
      <c r="AI74" s="1300"/>
      <c r="AJ74" s="1300"/>
      <c r="AK74" s="1300"/>
      <c r="AL74" s="1301"/>
      <c r="AM74" s="1302"/>
      <c r="AN74" s="1303"/>
      <c r="AO74" s="2235" t="s">
        <v>676</v>
      </c>
      <c r="AP74" s="1299"/>
      <c r="AQ74" s="1299"/>
      <c r="AR74" s="1298"/>
      <c r="AS74" s="1299"/>
      <c r="AT74" s="1300"/>
      <c r="AU74" s="1300"/>
      <c r="AV74" s="1300"/>
      <c r="AW74" s="1298"/>
      <c r="AX74" s="2236" t="s">
        <v>354</v>
      </c>
      <c r="AY74" s="4775"/>
      <c r="AZ74" s="4794">
        <f t="shared" si="44"/>
        <v>0</v>
      </c>
      <c r="BA74" s="4794">
        <f t="shared" si="45"/>
        <v>0</v>
      </c>
      <c r="BB74" s="4794">
        <f t="shared" si="46"/>
        <v>0</v>
      </c>
      <c r="BC74" s="4794">
        <f t="shared" si="47"/>
        <v>0</v>
      </c>
      <c r="BD74" s="4794">
        <f t="shared" si="48"/>
        <v>0</v>
      </c>
      <c r="BE74" s="4794">
        <f t="shared" si="49"/>
        <v>0</v>
      </c>
      <c r="BF74" s="4794">
        <f t="shared" si="50"/>
        <v>0</v>
      </c>
      <c r="BG74" s="4794">
        <f t="shared" si="51"/>
        <v>0</v>
      </c>
      <c r="BH74" s="4794">
        <f t="shared" si="52"/>
        <v>0</v>
      </c>
      <c r="BI74" s="4794">
        <f t="shared" si="53"/>
        <v>0</v>
      </c>
      <c r="BJ74" s="4794">
        <f t="shared" si="54"/>
        <v>0</v>
      </c>
      <c r="BK74" s="4794">
        <f t="shared" si="55"/>
        <v>0</v>
      </c>
      <c r="BL74" s="4794">
        <f t="shared" si="56"/>
        <v>0</v>
      </c>
      <c r="BM74" s="4794">
        <f t="shared" si="57"/>
        <v>0</v>
      </c>
      <c r="BN74" s="4794">
        <f t="shared" si="58"/>
        <v>0</v>
      </c>
      <c r="BO74" s="4794">
        <f t="shared" si="59"/>
        <v>0</v>
      </c>
      <c r="BP74" s="4794">
        <f t="shared" si="60"/>
        <v>0</v>
      </c>
      <c r="BQ74" s="4794">
        <f t="shared" si="61"/>
        <v>0</v>
      </c>
      <c r="BR74" s="4794">
        <f t="shared" si="62"/>
        <v>0</v>
      </c>
      <c r="BS74" s="4794">
        <f t="shared" si="63"/>
        <v>0</v>
      </c>
      <c r="BT74" s="4794">
        <f t="shared" si="64"/>
        <v>0</v>
      </c>
      <c r="BU74" s="4794">
        <f t="shared" si="65"/>
        <v>0</v>
      </c>
      <c r="BV74" s="4794">
        <f t="shared" si="66"/>
        <v>0</v>
      </c>
      <c r="BW74" s="4794">
        <f t="shared" si="67"/>
        <v>0</v>
      </c>
      <c r="BX74" s="4794">
        <f t="shared" si="68"/>
        <v>0</v>
      </c>
      <c r="BY74" s="4794">
        <f t="shared" si="69"/>
        <v>0</v>
      </c>
      <c r="BZ74" s="4794">
        <f t="shared" si="70"/>
        <v>0</v>
      </c>
      <c r="CA74" s="4794">
        <f t="shared" si="71"/>
        <v>0</v>
      </c>
      <c r="CB74" s="4794">
        <f t="shared" si="72"/>
        <v>0</v>
      </c>
      <c r="CC74" s="4794">
        <f t="shared" si="73"/>
        <v>0</v>
      </c>
      <c r="CD74" s="4794">
        <f t="shared" si="74"/>
        <v>0</v>
      </c>
      <c r="CE74" s="4794">
        <f t="shared" si="75"/>
        <v>0</v>
      </c>
      <c r="CF74" s="4794">
        <f t="shared" si="76"/>
        <v>0</v>
      </c>
    </row>
    <row r="75" spans="1:84">
      <c r="A75" s="2237"/>
      <c r="B75" s="2238">
        <v>2040202</v>
      </c>
      <c r="C75" s="2238">
        <v>2070102</v>
      </c>
      <c r="D75" s="2239">
        <v>0.02</v>
      </c>
      <c r="E75" s="2240" t="s">
        <v>741</v>
      </c>
      <c r="F75" s="2242">
        <f t="shared" si="120"/>
        <v>0</v>
      </c>
      <c r="G75" s="4376">
        <f t="shared" si="121"/>
        <v>0</v>
      </c>
      <c r="H75" s="2241">
        <f t="shared" si="122"/>
        <v>0</v>
      </c>
      <c r="I75" s="2242">
        <f t="shared" si="123"/>
        <v>0</v>
      </c>
      <c r="J75" s="2243">
        <f t="shared" si="124"/>
        <v>0</v>
      </c>
      <c r="K75" s="2243">
        <f t="shared" si="125"/>
        <v>0</v>
      </c>
      <c r="L75" s="2243">
        <f t="shared" si="126"/>
        <v>0</v>
      </c>
      <c r="M75" s="2244">
        <f t="shared" si="127"/>
        <v>0</v>
      </c>
      <c r="N75" s="2245">
        <f>SUM(I75:M75)</f>
        <v>0</v>
      </c>
      <c r="O75" s="1304"/>
      <c r="P75" s="1306"/>
      <c r="Q75" s="1305"/>
      <c r="R75" s="1306"/>
      <c r="S75" s="1307"/>
      <c r="T75" s="1307"/>
      <c r="U75" s="1307"/>
      <c r="V75" s="1307"/>
      <c r="W75" s="1304"/>
      <c r="X75" s="1306"/>
      <c r="Y75" s="1305"/>
      <c r="Z75" s="1306"/>
      <c r="AA75" s="1307"/>
      <c r="AB75" s="1307"/>
      <c r="AC75" s="1307"/>
      <c r="AD75" s="1307"/>
      <c r="AE75" s="1304"/>
      <c r="AF75" s="1306"/>
      <c r="AG75" s="1305"/>
      <c r="AH75" s="1306"/>
      <c r="AI75" s="1307"/>
      <c r="AJ75" s="1307"/>
      <c r="AK75" s="1307"/>
      <c r="AL75" s="1308"/>
      <c r="AM75" s="1309"/>
      <c r="AN75" s="1310"/>
      <c r="AO75" s="2246" t="s">
        <v>676</v>
      </c>
      <c r="AP75" s="1306"/>
      <c r="AQ75" s="1306"/>
      <c r="AR75" s="1305"/>
      <c r="AS75" s="1306"/>
      <c r="AT75" s="1307"/>
      <c r="AU75" s="1307"/>
      <c r="AV75" s="1307"/>
      <c r="AW75" s="1305"/>
      <c r="AX75" s="2247" t="s">
        <v>354</v>
      </c>
      <c r="AY75" s="4775"/>
      <c r="AZ75" s="4794">
        <f t="shared" si="44"/>
        <v>0</v>
      </c>
      <c r="BA75" s="4794">
        <f t="shared" si="45"/>
        <v>0</v>
      </c>
      <c r="BB75" s="4794">
        <f t="shared" si="46"/>
        <v>0</v>
      </c>
      <c r="BC75" s="4794">
        <f t="shared" si="47"/>
        <v>0</v>
      </c>
      <c r="BD75" s="4794">
        <f t="shared" si="48"/>
        <v>0</v>
      </c>
      <c r="BE75" s="4794">
        <f t="shared" si="49"/>
        <v>0</v>
      </c>
      <c r="BF75" s="4794">
        <f t="shared" si="50"/>
        <v>0</v>
      </c>
      <c r="BG75" s="4794">
        <f t="shared" si="51"/>
        <v>0</v>
      </c>
      <c r="BH75" s="4794">
        <f t="shared" si="52"/>
        <v>0</v>
      </c>
      <c r="BI75" s="4794">
        <f t="shared" si="53"/>
        <v>0</v>
      </c>
      <c r="BJ75" s="4794">
        <f t="shared" si="54"/>
        <v>0</v>
      </c>
      <c r="BK75" s="4794">
        <f t="shared" si="55"/>
        <v>0</v>
      </c>
      <c r="BL75" s="4794">
        <f t="shared" si="56"/>
        <v>0</v>
      </c>
      <c r="BM75" s="4794">
        <f t="shared" si="57"/>
        <v>0</v>
      </c>
      <c r="BN75" s="4794">
        <f t="shared" si="58"/>
        <v>0</v>
      </c>
      <c r="BO75" s="4794">
        <f t="shared" si="59"/>
        <v>0</v>
      </c>
      <c r="BP75" s="4794">
        <f t="shared" si="60"/>
        <v>0</v>
      </c>
      <c r="BQ75" s="4794">
        <f t="shared" si="61"/>
        <v>0</v>
      </c>
      <c r="BR75" s="4794">
        <f t="shared" si="62"/>
        <v>0</v>
      </c>
      <c r="BS75" s="4794">
        <f t="shared" si="63"/>
        <v>0</v>
      </c>
      <c r="BT75" s="4794">
        <f t="shared" si="64"/>
        <v>0</v>
      </c>
      <c r="BU75" s="4794">
        <f t="shared" si="65"/>
        <v>0</v>
      </c>
      <c r="BV75" s="4794">
        <f t="shared" si="66"/>
        <v>0</v>
      </c>
      <c r="BW75" s="4794">
        <f t="shared" si="67"/>
        <v>0</v>
      </c>
      <c r="BX75" s="4794">
        <f t="shared" si="68"/>
        <v>0</v>
      </c>
      <c r="BY75" s="4794">
        <f t="shared" si="69"/>
        <v>0</v>
      </c>
      <c r="BZ75" s="4794">
        <f t="shared" si="70"/>
        <v>0</v>
      </c>
      <c r="CA75" s="4794">
        <f t="shared" si="71"/>
        <v>0</v>
      </c>
      <c r="CB75" s="4794">
        <f t="shared" si="72"/>
        <v>0</v>
      </c>
      <c r="CC75" s="4794">
        <f t="shared" si="73"/>
        <v>0</v>
      </c>
      <c r="CD75" s="4794">
        <f t="shared" si="74"/>
        <v>0</v>
      </c>
      <c r="CE75" s="4794">
        <f t="shared" si="75"/>
        <v>0</v>
      </c>
      <c r="CF75" s="4794">
        <f t="shared" si="76"/>
        <v>0</v>
      </c>
    </row>
    <row r="76" spans="1:84">
      <c r="A76" s="2237"/>
      <c r="B76" s="2238">
        <v>2040204</v>
      </c>
      <c r="C76" s="2227">
        <v>2070103</v>
      </c>
      <c r="D76" s="2239">
        <v>0.02</v>
      </c>
      <c r="E76" s="2240" t="s">
        <v>355</v>
      </c>
      <c r="F76" s="2242">
        <f t="shared" si="120"/>
        <v>0</v>
      </c>
      <c r="G76" s="4376">
        <f t="shared" si="121"/>
        <v>0</v>
      </c>
      <c r="H76" s="2241">
        <f t="shared" si="122"/>
        <v>0</v>
      </c>
      <c r="I76" s="2242">
        <f t="shared" si="123"/>
        <v>0</v>
      </c>
      <c r="J76" s="2243">
        <f t="shared" si="124"/>
        <v>0</v>
      </c>
      <c r="K76" s="2243">
        <f t="shared" si="125"/>
        <v>0</v>
      </c>
      <c r="L76" s="2243">
        <f t="shared" si="126"/>
        <v>0</v>
      </c>
      <c r="M76" s="2244">
        <f t="shared" si="127"/>
        <v>0</v>
      </c>
      <c r="N76" s="2245">
        <f t="shared" ref="N76:N97" si="128">SUM(I76:M76)</f>
        <v>0</v>
      </c>
      <c r="O76" s="1304"/>
      <c r="P76" s="1306"/>
      <c r="Q76" s="1305"/>
      <c r="R76" s="1306"/>
      <c r="S76" s="1307"/>
      <c r="T76" s="1307"/>
      <c r="U76" s="1307"/>
      <c r="V76" s="1307"/>
      <c r="W76" s="1304"/>
      <c r="X76" s="1306"/>
      <c r="Y76" s="1305"/>
      <c r="Z76" s="1306"/>
      <c r="AA76" s="1307"/>
      <c r="AB76" s="1307"/>
      <c r="AC76" s="1307"/>
      <c r="AD76" s="1307"/>
      <c r="AE76" s="1304"/>
      <c r="AF76" s="1306"/>
      <c r="AG76" s="1305"/>
      <c r="AH76" s="1306"/>
      <c r="AI76" s="1307"/>
      <c r="AJ76" s="1307"/>
      <c r="AK76" s="1307"/>
      <c r="AL76" s="1308"/>
      <c r="AM76" s="1309"/>
      <c r="AN76" s="1310"/>
      <c r="AO76" s="2246" t="s">
        <v>676</v>
      </c>
      <c r="AP76" s="1306"/>
      <c r="AQ76" s="1306"/>
      <c r="AR76" s="1305"/>
      <c r="AS76" s="1306"/>
      <c r="AT76" s="1307"/>
      <c r="AU76" s="1307"/>
      <c r="AV76" s="1307"/>
      <c r="AW76" s="1305"/>
      <c r="AX76" s="2247" t="s">
        <v>354</v>
      </c>
      <c r="AY76" s="4775"/>
      <c r="AZ76" s="4794">
        <f t="shared" ref="AZ76:AZ126" si="129">IFERROR(F76/$E$1,0)</f>
        <v>0</v>
      </c>
      <c r="BA76" s="4794">
        <f t="shared" ref="BA76:BA126" si="130">IFERROR(G76/$E$1,0)</f>
        <v>0</v>
      </c>
      <c r="BB76" s="4794">
        <f t="shared" ref="BB76:BB126" si="131">IFERROR(H76/$E$1,0)</f>
        <v>0</v>
      </c>
      <c r="BC76" s="4794">
        <f t="shared" ref="BC76:BC126" si="132">IFERROR(I76/$E$1,0)</f>
        <v>0</v>
      </c>
      <c r="BD76" s="4794">
        <f t="shared" ref="BD76:BD126" si="133">IFERROR(J76/$E$1,0)</f>
        <v>0</v>
      </c>
      <c r="BE76" s="4794">
        <f t="shared" ref="BE76:BE126" si="134">IFERROR(K76/$E$1,0)</f>
        <v>0</v>
      </c>
      <c r="BF76" s="4794">
        <f t="shared" ref="BF76:BF126" si="135">IFERROR(L76/$E$1,0)</f>
        <v>0</v>
      </c>
      <c r="BG76" s="4794">
        <f t="shared" ref="BG76:BG126" si="136">IFERROR(M76/$E$1,0)</f>
        <v>0</v>
      </c>
      <c r="BH76" s="4794">
        <f t="shared" ref="BH76:BH126" si="137">IFERROR(N76/$E$1,0)</f>
        <v>0</v>
      </c>
      <c r="BI76" s="4794">
        <f t="shared" ref="BI76:BI126" si="138">IFERROR(O76/$E$1,0)</f>
        <v>0</v>
      </c>
      <c r="BJ76" s="4794">
        <f t="shared" ref="BJ76:BJ126" si="139">IFERROR(P76/$E$1,0)</f>
        <v>0</v>
      </c>
      <c r="BK76" s="4794">
        <f t="shared" ref="BK76:BK126" si="140">IFERROR(Q76/$E$1,0)</f>
        <v>0</v>
      </c>
      <c r="BL76" s="4794">
        <f t="shared" ref="BL76:BL126" si="141">IFERROR(R76/$E$1,0)</f>
        <v>0</v>
      </c>
      <c r="BM76" s="4794">
        <f t="shared" ref="BM76:BM126" si="142">IFERROR(S76/$E$1,0)</f>
        <v>0</v>
      </c>
      <c r="BN76" s="4794">
        <f t="shared" ref="BN76:BN126" si="143">IFERROR(T76/$E$1,0)</f>
        <v>0</v>
      </c>
      <c r="BO76" s="4794">
        <f t="shared" ref="BO76:BO126" si="144">IFERROR(U76/$E$1,0)</f>
        <v>0</v>
      </c>
      <c r="BP76" s="4794">
        <f t="shared" ref="BP76:BP126" si="145">IFERROR(V76/$E$1,0)</f>
        <v>0</v>
      </c>
      <c r="BQ76" s="4794">
        <f t="shared" ref="BQ76:BQ126" si="146">IFERROR(W76/$E$1,0)</f>
        <v>0</v>
      </c>
      <c r="BR76" s="4794">
        <f t="shared" ref="BR76:BR126" si="147">IFERROR(X76/$E$1,0)</f>
        <v>0</v>
      </c>
      <c r="BS76" s="4794">
        <f t="shared" ref="BS76:BS126" si="148">IFERROR(Y76/$E$1,0)</f>
        <v>0</v>
      </c>
      <c r="BT76" s="4794">
        <f t="shared" ref="BT76:BT126" si="149">IFERROR(Z76/$E$1,0)</f>
        <v>0</v>
      </c>
      <c r="BU76" s="4794">
        <f t="shared" ref="BU76:BU126" si="150">IFERROR(AA76/$E$1,0)</f>
        <v>0</v>
      </c>
      <c r="BV76" s="4794">
        <f t="shared" ref="BV76:BV126" si="151">IFERROR(AB76/$E$1,0)</f>
        <v>0</v>
      </c>
      <c r="BW76" s="4794">
        <f t="shared" ref="BW76:BW126" si="152">IFERROR(AC76/$E$1,0)</f>
        <v>0</v>
      </c>
      <c r="BX76" s="4794">
        <f t="shared" ref="BX76:BX126" si="153">IFERROR(AD76/$E$1,0)</f>
        <v>0</v>
      </c>
      <c r="BY76" s="4794">
        <f t="shared" ref="BY76:BY126" si="154">IFERROR(AE76/$E$1,0)</f>
        <v>0</v>
      </c>
      <c r="BZ76" s="4794">
        <f t="shared" ref="BZ76:BZ126" si="155">IFERROR(AF76/$E$1,0)</f>
        <v>0</v>
      </c>
      <c r="CA76" s="4794">
        <f t="shared" ref="CA76:CA126" si="156">IFERROR(AG76/$E$1,0)</f>
        <v>0</v>
      </c>
      <c r="CB76" s="4794">
        <f t="shared" ref="CB76:CB126" si="157">IFERROR(AH76/$E$1,0)</f>
        <v>0</v>
      </c>
      <c r="CC76" s="4794">
        <f t="shared" ref="CC76:CC126" si="158">IFERROR(AI76/$E$1,0)</f>
        <v>0</v>
      </c>
      <c r="CD76" s="4794">
        <f t="shared" ref="CD76:CD126" si="159">IFERROR(AJ76/$E$1,0)</f>
        <v>0</v>
      </c>
      <c r="CE76" s="4794">
        <f t="shared" ref="CE76:CE126" si="160">IFERROR(AK76/$E$1,0)</f>
        <v>0</v>
      </c>
      <c r="CF76" s="4794">
        <f t="shared" ref="CF76:CF126" si="161">IFERROR(AL76/$E$1,0)</f>
        <v>0</v>
      </c>
    </row>
    <row r="77" spans="1:84">
      <c r="A77" s="2237"/>
      <c r="B77" s="2238">
        <v>20202</v>
      </c>
      <c r="C77" s="2238">
        <v>2070104</v>
      </c>
      <c r="D77" s="2248">
        <v>0.03</v>
      </c>
      <c r="E77" s="2240" t="s">
        <v>356</v>
      </c>
      <c r="F77" s="2242">
        <f t="shared" si="120"/>
        <v>0</v>
      </c>
      <c r="G77" s="4376">
        <f t="shared" si="121"/>
        <v>0</v>
      </c>
      <c r="H77" s="2241">
        <f t="shared" si="122"/>
        <v>0</v>
      </c>
      <c r="I77" s="2242">
        <f t="shared" si="123"/>
        <v>0</v>
      </c>
      <c r="J77" s="2243">
        <f t="shared" si="124"/>
        <v>0</v>
      </c>
      <c r="K77" s="2243">
        <f t="shared" si="125"/>
        <v>0</v>
      </c>
      <c r="L77" s="2243">
        <f t="shared" si="126"/>
        <v>0</v>
      </c>
      <c r="M77" s="2244">
        <f t="shared" si="127"/>
        <v>0</v>
      </c>
      <c r="N77" s="2245">
        <f t="shared" si="128"/>
        <v>0</v>
      </c>
      <c r="O77" s="1304"/>
      <c r="P77" s="1306"/>
      <c r="Q77" s="1305"/>
      <c r="R77" s="1306"/>
      <c r="S77" s="1307"/>
      <c r="T77" s="1307"/>
      <c r="U77" s="1307"/>
      <c r="V77" s="1307"/>
      <c r="W77" s="1304"/>
      <c r="X77" s="1306"/>
      <c r="Y77" s="1305"/>
      <c r="Z77" s="1306"/>
      <c r="AA77" s="1307"/>
      <c r="AB77" s="1307"/>
      <c r="AC77" s="1307"/>
      <c r="AD77" s="1307"/>
      <c r="AE77" s="1304"/>
      <c r="AF77" s="1306"/>
      <c r="AG77" s="1305"/>
      <c r="AH77" s="1306"/>
      <c r="AI77" s="1307"/>
      <c r="AJ77" s="1307"/>
      <c r="AK77" s="1307"/>
      <c r="AL77" s="1308"/>
      <c r="AM77" s="1309"/>
      <c r="AN77" s="1310"/>
      <c r="AO77" s="2246" t="s">
        <v>676</v>
      </c>
      <c r="AP77" s="1306"/>
      <c r="AQ77" s="1306"/>
      <c r="AR77" s="1305"/>
      <c r="AS77" s="1306"/>
      <c r="AT77" s="1307"/>
      <c r="AU77" s="1307"/>
      <c r="AV77" s="1307"/>
      <c r="AW77" s="1305"/>
      <c r="AX77" s="2247" t="s">
        <v>354</v>
      </c>
      <c r="AY77" s="4775"/>
      <c r="AZ77" s="4794">
        <f t="shared" si="129"/>
        <v>0</v>
      </c>
      <c r="BA77" s="4794">
        <f t="shared" si="130"/>
        <v>0</v>
      </c>
      <c r="BB77" s="4794">
        <f t="shared" si="131"/>
        <v>0</v>
      </c>
      <c r="BC77" s="4794">
        <f t="shared" si="132"/>
        <v>0</v>
      </c>
      <c r="BD77" s="4794">
        <f t="shared" si="133"/>
        <v>0</v>
      </c>
      <c r="BE77" s="4794">
        <f t="shared" si="134"/>
        <v>0</v>
      </c>
      <c r="BF77" s="4794">
        <f t="shared" si="135"/>
        <v>0</v>
      </c>
      <c r="BG77" s="4794">
        <f t="shared" si="136"/>
        <v>0</v>
      </c>
      <c r="BH77" s="4794">
        <f t="shared" si="137"/>
        <v>0</v>
      </c>
      <c r="BI77" s="4794">
        <f t="shared" si="138"/>
        <v>0</v>
      </c>
      <c r="BJ77" s="4794">
        <f t="shared" si="139"/>
        <v>0</v>
      </c>
      <c r="BK77" s="4794">
        <f t="shared" si="140"/>
        <v>0</v>
      </c>
      <c r="BL77" s="4794">
        <f t="shared" si="141"/>
        <v>0</v>
      </c>
      <c r="BM77" s="4794">
        <f t="shared" si="142"/>
        <v>0</v>
      </c>
      <c r="BN77" s="4794">
        <f t="shared" si="143"/>
        <v>0</v>
      </c>
      <c r="BO77" s="4794">
        <f t="shared" si="144"/>
        <v>0</v>
      </c>
      <c r="BP77" s="4794">
        <f t="shared" si="145"/>
        <v>0</v>
      </c>
      <c r="BQ77" s="4794">
        <f t="shared" si="146"/>
        <v>0</v>
      </c>
      <c r="BR77" s="4794">
        <f t="shared" si="147"/>
        <v>0</v>
      </c>
      <c r="BS77" s="4794">
        <f t="shared" si="148"/>
        <v>0</v>
      </c>
      <c r="BT77" s="4794">
        <f t="shared" si="149"/>
        <v>0</v>
      </c>
      <c r="BU77" s="4794">
        <f t="shared" si="150"/>
        <v>0</v>
      </c>
      <c r="BV77" s="4794">
        <f t="shared" si="151"/>
        <v>0</v>
      </c>
      <c r="BW77" s="4794">
        <f t="shared" si="152"/>
        <v>0</v>
      </c>
      <c r="BX77" s="4794">
        <f t="shared" si="153"/>
        <v>0</v>
      </c>
      <c r="BY77" s="4794">
        <f t="shared" si="154"/>
        <v>0</v>
      </c>
      <c r="BZ77" s="4794">
        <f t="shared" si="155"/>
        <v>0</v>
      </c>
      <c r="CA77" s="4794">
        <f t="shared" si="156"/>
        <v>0</v>
      </c>
      <c r="CB77" s="4794">
        <f t="shared" si="157"/>
        <v>0</v>
      </c>
      <c r="CC77" s="4794">
        <f t="shared" si="158"/>
        <v>0</v>
      </c>
      <c r="CD77" s="4794">
        <f t="shared" si="159"/>
        <v>0</v>
      </c>
      <c r="CE77" s="4794">
        <f t="shared" si="160"/>
        <v>0</v>
      </c>
      <c r="CF77" s="4794">
        <f t="shared" si="161"/>
        <v>0</v>
      </c>
    </row>
    <row r="78" spans="1:84">
      <c r="A78" s="2237"/>
      <c r="B78" s="2238">
        <v>2040205</v>
      </c>
      <c r="C78" s="2227">
        <v>2070105</v>
      </c>
      <c r="D78" s="2239">
        <v>0.02</v>
      </c>
      <c r="E78" s="2240" t="s">
        <v>357</v>
      </c>
      <c r="F78" s="2242">
        <f t="shared" si="120"/>
        <v>0</v>
      </c>
      <c r="G78" s="4376">
        <f t="shared" si="121"/>
        <v>0</v>
      </c>
      <c r="H78" s="2241">
        <f t="shared" si="122"/>
        <v>0</v>
      </c>
      <c r="I78" s="2242">
        <f t="shared" si="123"/>
        <v>0</v>
      </c>
      <c r="J78" s="2243">
        <f t="shared" si="124"/>
        <v>0</v>
      </c>
      <c r="K78" s="2243">
        <f t="shared" si="125"/>
        <v>0</v>
      </c>
      <c r="L78" s="2243">
        <f t="shared" si="126"/>
        <v>0</v>
      </c>
      <c r="M78" s="2244">
        <f t="shared" si="127"/>
        <v>0</v>
      </c>
      <c r="N78" s="2245">
        <f t="shared" si="128"/>
        <v>0</v>
      </c>
      <c r="O78" s="1304"/>
      <c r="P78" s="1306"/>
      <c r="Q78" s="1305"/>
      <c r="R78" s="1306"/>
      <c r="S78" s="1307"/>
      <c r="T78" s="1307"/>
      <c r="U78" s="1307"/>
      <c r="V78" s="1307"/>
      <c r="W78" s="1304"/>
      <c r="X78" s="1306"/>
      <c r="Y78" s="1305"/>
      <c r="Z78" s="1306"/>
      <c r="AA78" s="1307"/>
      <c r="AB78" s="1307"/>
      <c r="AC78" s="1307"/>
      <c r="AD78" s="1307"/>
      <c r="AE78" s="1304"/>
      <c r="AF78" s="1306"/>
      <c r="AG78" s="1305"/>
      <c r="AH78" s="1306"/>
      <c r="AI78" s="1307"/>
      <c r="AJ78" s="1307"/>
      <c r="AK78" s="1307"/>
      <c r="AL78" s="1308"/>
      <c r="AM78" s="1309"/>
      <c r="AN78" s="1311"/>
      <c r="AO78" s="2246" t="s">
        <v>678</v>
      </c>
      <c r="AP78" s="1306"/>
      <c r="AQ78" s="1306"/>
      <c r="AR78" s="1305"/>
      <c r="AS78" s="1306"/>
      <c r="AT78" s="1307"/>
      <c r="AU78" s="1307"/>
      <c r="AV78" s="1307"/>
      <c r="AW78" s="1305"/>
      <c r="AX78" s="2247" t="s">
        <v>358</v>
      </c>
      <c r="AY78" s="4775"/>
      <c r="AZ78" s="4794">
        <f t="shared" si="129"/>
        <v>0</v>
      </c>
      <c r="BA78" s="4794">
        <f t="shared" si="130"/>
        <v>0</v>
      </c>
      <c r="BB78" s="4794">
        <f t="shared" si="131"/>
        <v>0</v>
      </c>
      <c r="BC78" s="4794">
        <f t="shared" si="132"/>
        <v>0</v>
      </c>
      <c r="BD78" s="4794">
        <f t="shared" si="133"/>
        <v>0</v>
      </c>
      <c r="BE78" s="4794">
        <f t="shared" si="134"/>
        <v>0</v>
      </c>
      <c r="BF78" s="4794">
        <f t="shared" si="135"/>
        <v>0</v>
      </c>
      <c r="BG78" s="4794">
        <f t="shared" si="136"/>
        <v>0</v>
      </c>
      <c r="BH78" s="4794">
        <f t="shared" si="137"/>
        <v>0</v>
      </c>
      <c r="BI78" s="4794">
        <f t="shared" si="138"/>
        <v>0</v>
      </c>
      <c r="BJ78" s="4794">
        <f t="shared" si="139"/>
        <v>0</v>
      </c>
      <c r="BK78" s="4794">
        <f t="shared" si="140"/>
        <v>0</v>
      </c>
      <c r="BL78" s="4794">
        <f t="shared" si="141"/>
        <v>0</v>
      </c>
      <c r="BM78" s="4794">
        <f t="shared" si="142"/>
        <v>0</v>
      </c>
      <c r="BN78" s="4794">
        <f t="shared" si="143"/>
        <v>0</v>
      </c>
      <c r="BO78" s="4794">
        <f t="shared" si="144"/>
        <v>0</v>
      </c>
      <c r="BP78" s="4794">
        <f t="shared" si="145"/>
        <v>0</v>
      </c>
      <c r="BQ78" s="4794">
        <f t="shared" si="146"/>
        <v>0</v>
      </c>
      <c r="BR78" s="4794">
        <f t="shared" si="147"/>
        <v>0</v>
      </c>
      <c r="BS78" s="4794">
        <f t="shared" si="148"/>
        <v>0</v>
      </c>
      <c r="BT78" s="4794">
        <f t="shared" si="149"/>
        <v>0</v>
      </c>
      <c r="BU78" s="4794">
        <f t="shared" si="150"/>
        <v>0</v>
      </c>
      <c r="BV78" s="4794">
        <f t="shared" si="151"/>
        <v>0</v>
      </c>
      <c r="BW78" s="4794">
        <f t="shared" si="152"/>
        <v>0</v>
      </c>
      <c r="BX78" s="4794">
        <f t="shared" si="153"/>
        <v>0</v>
      </c>
      <c r="BY78" s="4794">
        <f t="shared" si="154"/>
        <v>0</v>
      </c>
      <c r="BZ78" s="4794">
        <f t="shared" si="155"/>
        <v>0</v>
      </c>
      <c r="CA78" s="4794">
        <f t="shared" si="156"/>
        <v>0</v>
      </c>
      <c r="CB78" s="4794">
        <f t="shared" si="157"/>
        <v>0</v>
      </c>
      <c r="CC78" s="4794">
        <f t="shared" si="158"/>
        <v>0</v>
      </c>
      <c r="CD78" s="4794">
        <f t="shared" si="159"/>
        <v>0</v>
      </c>
      <c r="CE78" s="4794">
        <f t="shared" si="160"/>
        <v>0</v>
      </c>
      <c r="CF78" s="4794">
        <f t="shared" si="161"/>
        <v>0</v>
      </c>
    </row>
    <row r="79" spans="1:84" ht="24">
      <c r="A79" s="2237"/>
      <c r="B79" s="2238">
        <v>2040207</v>
      </c>
      <c r="C79" s="2238">
        <v>2070106</v>
      </c>
      <c r="D79" s="2239">
        <v>0.04</v>
      </c>
      <c r="E79" s="2240" t="s">
        <v>359</v>
      </c>
      <c r="F79" s="2242">
        <f t="shared" si="120"/>
        <v>0</v>
      </c>
      <c r="G79" s="4376">
        <f t="shared" si="121"/>
        <v>0</v>
      </c>
      <c r="H79" s="2241">
        <f t="shared" si="122"/>
        <v>0</v>
      </c>
      <c r="I79" s="2242">
        <f t="shared" si="123"/>
        <v>0</v>
      </c>
      <c r="J79" s="2243">
        <f t="shared" si="124"/>
        <v>0</v>
      </c>
      <c r="K79" s="2243">
        <f t="shared" si="125"/>
        <v>0</v>
      </c>
      <c r="L79" s="2243">
        <f t="shared" si="126"/>
        <v>0</v>
      </c>
      <c r="M79" s="2244">
        <f t="shared" si="127"/>
        <v>0</v>
      </c>
      <c r="N79" s="2245">
        <f t="shared" si="128"/>
        <v>0</v>
      </c>
      <c r="O79" s="1304"/>
      <c r="P79" s="1306"/>
      <c r="Q79" s="1305"/>
      <c r="R79" s="1306"/>
      <c r="S79" s="1307"/>
      <c r="T79" s="1307"/>
      <c r="U79" s="1307"/>
      <c r="V79" s="1307"/>
      <c r="W79" s="1304"/>
      <c r="X79" s="1306"/>
      <c r="Y79" s="1305"/>
      <c r="Z79" s="1306"/>
      <c r="AA79" s="1307"/>
      <c r="AB79" s="1307"/>
      <c r="AC79" s="1307"/>
      <c r="AD79" s="1307"/>
      <c r="AE79" s="1304"/>
      <c r="AF79" s="1306"/>
      <c r="AG79" s="1305"/>
      <c r="AH79" s="1306"/>
      <c r="AI79" s="1307"/>
      <c r="AJ79" s="1307"/>
      <c r="AK79" s="1307"/>
      <c r="AL79" s="1308"/>
      <c r="AM79" s="1309"/>
      <c r="AN79" s="1311"/>
      <c r="AO79" s="2246" t="s">
        <v>676</v>
      </c>
      <c r="AP79" s="1306"/>
      <c r="AQ79" s="1306"/>
      <c r="AR79" s="1305"/>
      <c r="AS79" s="1306"/>
      <c r="AT79" s="1307"/>
      <c r="AU79" s="1307"/>
      <c r="AV79" s="1307"/>
      <c r="AW79" s="1305"/>
      <c r="AX79" s="2247" t="s">
        <v>360</v>
      </c>
      <c r="AY79" s="4775"/>
      <c r="AZ79" s="4794">
        <f t="shared" si="129"/>
        <v>0</v>
      </c>
      <c r="BA79" s="4794">
        <f t="shared" si="130"/>
        <v>0</v>
      </c>
      <c r="BB79" s="4794">
        <f t="shared" si="131"/>
        <v>0</v>
      </c>
      <c r="BC79" s="4794">
        <f t="shared" si="132"/>
        <v>0</v>
      </c>
      <c r="BD79" s="4794">
        <f t="shared" si="133"/>
        <v>0</v>
      </c>
      <c r="BE79" s="4794">
        <f t="shared" si="134"/>
        <v>0</v>
      </c>
      <c r="BF79" s="4794">
        <f t="shared" si="135"/>
        <v>0</v>
      </c>
      <c r="BG79" s="4794">
        <f t="shared" si="136"/>
        <v>0</v>
      </c>
      <c r="BH79" s="4794">
        <f t="shared" si="137"/>
        <v>0</v>
      </c>
      <c r="BI79" s="4794">
        <f t="shared" si="138"/>
        <v>0</v>
      </c>
      <c r="BJ79" s="4794">
        <f t="shared" si="139"/>
        <v>0</v>
      </c>
      <c r="BK79" s="4794">
        <f t="shared" si="140"/>
        <v>0</v>
      </c>
      <c r="BL79" s="4794">
        <f t="shared" si="141"/>
        <v>0</v>
      </c>
      <c r="BM79" s="4794">
        <f t="shared" si="142"/>
        <v>0</v>
      </c>
      <c r="BN79" s="4794">
        <f t="shared" si="143"/>
        <v>0</v>
      </c>
      <c r="BO79" s="4794">
        <f t="shared" si="144"/>
        <v>0</v>
      </c>
      <c r="BP79" s="4794">
        <f t="shared" si="145"/>
        <v>0</v>
      </c>
      <c r="BQ79" s="4794">
        <f t="shared" si="146"/>
        <v>0</v>
      </c>
      <c r="BR79" s="4794">
        <f t="shared" si="147"/>
        <v>0</v>
      </c>
      <c r="BS79" s="4794">
        <f t="shared" si="148"/>
        <v>0</v>
      </c>
      <c r="BT79" s="4794">
        <f t="shared" si="149"/>
        <v>0</v>
      </c>
      <c r="BU79" s="4794">
        <f t="shared" si="150"/>
        <v>0</v>
      </c>
      <c r="BV79" s="4794">
        <f t="shared" si="151"/>
        <v>0</v>
      </c>
      <c r="BW79" s="4794">
        <f t="shared" si="152"/>
        <v>0</v>
      </c>
      <c r="BX79" s="4794">
        <f t="shared" si="153"/>
        <v>0</v>
      </c>
      <c r="BY79" s="4794">
        <f t="shared" si="154"/>
        <v>0</v>
      </c>
      <c r="BZ79" s="4794">
        <f t="shared" si="155"/>
        <v>0</v>
      </c>
      <c r="CA79" s="4794">
        <f t="shared" si="156"/>
        <v>0</v>
      </c>
      <c r="CB79" s="4794">
        <f t="shared" si="157"/>
        <v>0</v>
      </c>
      <c r="CC79" s="4794">
        <f t="shared" si="158"/>
        <v>0</v>
      </c>
      <c r="CD79" s="4794">
        <f t="shared" si="159"/>
        <v>0</v>
      </c>
      <c r="CE79" s="4794">
        <f t="shared" si="160"/>
        <v>0</v>
      </c>
      <c r="CF79" s="4794">
        <f t="shared" si="161"/>
        <v>0</v>
      </c>
    </row>
    <row r="80" spans="1:84">
      <c r="A80" s="2237"/>
      <c r="B80" s="2238">
        <v>2040207</v>
      </c>
      <c r="C80" s="2227">
        <v>2070107</v>
      </c>
      <c r="D80" s="2239">
        <v>0.04</v>
      </c>
      <c r="E80" s="2249" t="s">
        <v>660</v>
      </c>
      <c r="F80" s="2242">
        <f t="shared" si="120"/>
        <v>0</v>
      </c>
      <c r="G80" s="4376">
        <f t="shared" si="121"/>
        <v>0</v>
      </c>
      <c r="H80" s="2241">
        <f t="shared" si="122"/>
        <v>0</v>
      </c>
      <c r="I80" s="2242">
        <f t="shared" si="123"/>
        <v>0</v>
      </c>
      <c r="J80" s="2243">
        <f t="shared" si="124"/>
        <v>0</v>
      </c>
      <c r="K80" s="2243">
        <f t="shared" si="125"/>
        <v>0</v>
      </c>
      <c r="L80" s="2243">
        <f t="shared" si="126"/>
        <v>0</v>
      </c>
      <c r="M80" s="2244">
        <f t="shared" si="127"/>
        <v>0</v>
      </c>
      <c r="N80" s="2245">
        <f t="shared" si="128"/>
        <v>0</v>
      </c>
      <c r="O80" s="1304"/>
      <c r="P80" s="1306"/>
      <c r="Q80" s="1305"/>
      <c r="R80" s="1306"/>
      <c r="S80" s="1307"/>
      <c r="T80" s="1307"/>
      <c r="U80" s="1307"/>
      <c r="V80" s="1307"/>
      <c r="W80" s="1304"/>
      <c r="X80" s="1306"/>
      <c r="Y80" s="1305"/>
      <c r="Z80" s="1306"/>
      <c r="AA80" s="1307"/>
      <c r="AB80" s="1307"/>
      <c r="AC80" s="1307"/>
      <c r="AD80" s="1307"/>
      <c r="AE80" s="1304"/>
      <c r="AF80" s="1306"/>
      <c r="AG80" s="1305"/>
      <c r="AH80" s="1306"/>
      <c r="AI80" s="1307"/>
      <c r="AJ80" s="1307"/>
      <c r="AK80" s="1307"/>
      <c r="AL80" s="1308"/>
      <c r="AM80" s="1309"/>
      <c r="AN80" s="1311"/>
      <c r="AO80" s="2246" t="s">
        <v>676</v>
      </c>
      <c r="AP80" s="1306"/>
      <c r="AQ80" s="1306"/>
      <c r="AR80" s="1305"/>
      <c r="AS80" s="1306"/>
      <c r="AT80" s="1307"/>
      <c r="AU80" s="1307"/>
      <c r="AV80" s="1307"/>
      <c r="AW80" s="1305"/>
      <c r="AX80" s="2247" t="s">
        <v>360</v>
      </c>
      <c r="AY80" s="4775"/>
      <c r="AZ80" s="4794">
        <f t="shared" si="129"/>
        <v>0</v>
      </c>
      <c r="BA80" s="4794">
        <f t="shared" si="130"/>
        <v>0</v>
      </c>
      <c r="BB80" s="4794">
        <f t="shared" si="131"/>
        <v>0</v>
      </c>
      <c r="BC80" s="4794">
        <f t="shared" si="132"/>
        <v>0</v>
      </c>
      <c r="BD80" s="4794">
        <f t="shared" si="133"/>
        <v>0</v>
      </c>
      <c r="BE80" s="4794">
        <f t="shared" si="134"/>
        <v>0</v>
      </c>
      <c r="BF80" s="4794">
        <f t="shared" si="135"/>
        <v>0</v>
      </c>
      <c r="BG80" s="4794">
        <f t="shared" si="136"/>
        <v>0</v>
      </c>
      <c r="BH80" s="4794">
        <f t="shared" si="137"/>
        <v>0</v>
      </c>
      <c r="BI80" s="4794">
        <f t="shared" si="138"/>
        <v>0</v>
      </c>
      <c r="BJ80" s="4794">
        <f t="shared" si="139"/>
        <v>0</v>
      </c>
      <c r="BK80" s="4794">
        <f t="shared" si="140"/>
        <v>0</v>
      </c>
      <c r="BL80" s="4794">
        <f t="shared" si="141"/>
        <v>0</v>
      </c>
      <c r="BM80" s="4794">
        <f t="shared" si="142"/>
        <v>0</v>
      </c>
      <c r="BN80" s="4794">
        <f t="shared" si="143"/>
        <v>0</v>
      </c>
      <c r="BO80" s="4794">
        <f t="shared" si="144"/>
        <v>0</v>
      </c>
      <c r="BP80" s="4794">
        <f t="shared" si="145"/>
        <v>0</v>
      </c>
      <c r="BQ80" s="4794">
        <f t="shared" si="146"/>
        <v>0</v>
      </c>
      <c r="BR80" s="4794">
        <f t="shared" si="147"/>
        <v>0</v>
      </c>
      <c r="BS80" s="4794">
        <f t="shared" si="148"/>
        <v>0</v>
      </c>
      <c r="BT80" s="4794">
        <f t="shared" si="149"/>
        <v>0</v>
      </c>
      <c r="BU80" s="4794">
        <f t="shared" si="150"/>
        <v>0</v>
      </c>
      <c r="BV80" s="4794">
        <f t="shared" si="151"/>
        <v>0</v>
      </c>
      <c r="BW80" s="4794">
        <f t="shared" si="152"/>
        <v>0</v>
      </c>
      <c r="BX80" s="4794">
        <f t="shared" si="153"/>
        <v>0</v>
      </c>
      <c r="BY80" s="4794">
        <f t="shared" si="154"/>
        <v>0</v>
      </c>
      <c r="BZ80" s="4794">
        <f t="shared" si="155"/>
        <v>0</v>
      </c>
      <c r="CA80" s="4794">
        <f t="shared" si="156"/>
        <v>0</v>
      </c>
      <c r="CB80" s="4794">
        <f t="shared" si="157"/>
        <v>0</v>
      </c>
      <c r="CC80" s="4794">
        <f t="shared" si="158"/>
        <v>0</v>
      </c>
      <c r="CD80" s="4794">
        <f t="shared" si="159"/>
        <v>0</v>
      </c>
      <c r="CE80" s="4794">
        <f t="shared" si="160"/>
        <v>0</v>
      </c>
      <c r="CF80" s="4794">
        <f t="shared" si="161"/>
        <v>0</v>
      </c>
    </row>
    <row r="81" spans="1:84">
      <c r="A81" s="2237"/>
      <c r="B81" s="2238">
        <v>2040207</v>
      </c>
      <c r="C81" s="2238">
        <v>2070108</v>
      </c>
      <c r="D81" s="2239">
        <v>0.04</v>
      </c>
      <c r="E81" s="2249" t="s">
        <v>661</v>
      </c>
      <c r="F81" s="2242">
        <f t="shared" si="120"/>
        <v>0</v>
      </c>
      <c r="G81" s="4376">
        <f t="shared" si="121"/>
        <v>0</v>
      </c>
      <c r="H81" s="2241">
        <f t="shared" si="122"/>
        <v>0</v>
      </c>
      <c r="I81" s="2242">
        <f t="shared" si="123"/>
        <v>0</v>
      </c>
      <c r="J81" s="2243">
        <f t="shared" si="124"/>
        <v>0</v>
      </c>
      <c r="K81" s="2243">
        <f t="shared" si="125"/>
        <v>0</v>
      </c>
      <c r="L81" s="2243">
        <f t="shared" si="126"/>
        <v>0</v>
      </c>
      <c r="M81" s="2244">
        <f t="shared" si="127"/>
        <v>0</v>
      </c>
      <c r="N81" s="2245">
        <f t="shared" si="128"/>
        <v>0</v>
      </c>
      <c r="O81" s="1304"/>
      <c r="P81" s="1306"/>
      <c r="Q81" s="1305"/>
      <c r="R81" s="1306"/>
      <c r="S81" s="1307"/>
      <c r="T81" s="1307"/>
      <c r="U81" s="1307"/>
      <c r="V81" s="1307"/>
      <c r="W81" s="1304"/>
      <c r="X81" s="1306"/>
      <c r="Y81" s="1305"/>
      <c r="Z81" s="1306"/>
      <c r="AA81" s="1307"/>
      <c r="AB81" s="1307"/>
      <c r="AC81" s="1307"/>
      <c r="AD81" s="1307"/>
      <c r="AE81" s="1304"/>
      <c r="AF81" s="1306"/>
      <c r="AG81" s="1305"/>
      <c r="AH81" s="1306"/>
      <c r="AI81" s="1307"/>
      <c r="AJ81" s="1307"/>
      <c r="AK81" s="1307"/>
      <c r="AL81" s="1308"/>
      <c r="AM81" s="1309"/>
      <c r="AN81" s="1311"/>
      <c r="AO81" s="2246" t="s">
        <v>676</v>
      </c>
      <c r="AP81" s="1306"/>
      <c r="AQ81" s="1306"/>
      <c r="AR81" s="1305"/>
      <c r="AS81" s="1306"/>
      <c r="AT81" s="1307"/>
      <c r="AU81" s="1307"/>
      <c r="AV81" s="1307"/>
      <c r="AW81" s="1305"/>
      <c r="AX81" s="2247" t="s">
        <v>360</v>
      </c>
      <c r="AY81" s="4775"/>
      <c r="AZ81" s="4794">
        <f t="shared" si="129"/>
        <v>0</v>
      </c>
      <c r="BA81" s="4794">
        <f t="shared" si="130"/>
        <v>0</v>
      </c>
      <c r="BB81" s="4794">
        <f t="shared" si="131"/>
        <v>0</v>
      </c>
      <c r="BC81" s="4794">
        <f t="shared" si="132"/>
        <v>0</v>
      </c>
      <c r="BD81" s="4794">
        <f t="shared" si="133"/>
        <v>0</v>
      </c>
      <c r="BE81" s="4794">
        <f t="shared" si="134"/>
        <v>0</v>
      </c>
      <c r="BF81" s="4794">
        <f t="shared" si="135"/>
        <v>0</v>
      </c>
      <c r="BG81" s="4794">
        <f t="shared" si="136"/>
        <v>0</v>
      </c>
      <c r="BH81" s="4794">
        <f t="shared" si="137"/>
        <v>0</v>
      </c>
      <c r="BI81" s="4794">
        <f t="shared" si="138"/>
        <v>0</v>
      </c>
      <c r="BJ81" s="4794">
        <f t="shared" si="139"/>
        <v>0</v>
      </c>
      <c r="BK81" s="4794">
        <f t="shared" si="140"/>
        <v>0</v>
      </c>
      <c r="BL81" s="4794">
        <f t="shared" si="141"/>
        <v>0</v>
      </c>
      <c r="BM81" s="4794">
        <f t="shared" si="142"/>
        <v>0</v>
      </c>
      <c r="BN81" s="4794">
        <f t="shared" si="143"/>
        <v>0</v>
      </c>
      <c r="BO81" s="4794">
        <f t="shared" si="144"/>
        <v>0</v>
      </c>
      <c r="BP81" s="4794">
        <f t="shared" si="145"/>
        <v>0</v>
      </c>
      <c r="BQ81" s="4794">
        <f t="shared" si="146"/>
        <v>0</v>
      </c>
      <c r="BR81" s="4794">
        <f t="shared" si="147"/>
        <v>0</v>
      </c>
      <c r="BS81" s="4794">
        <f t="shared" si="148"/>
        <v>0</v>
      </c>
      <c r="BT81" s="4794">
        <f t="shared" si="149"/>
        <v>0</v>
      </c>
      <c r="BU81" s="4794">
        <f t="shared" si="150"/>
        <v>0</v>
      </c>
      <c r="BV81" s="4794">
        <f t="shared" si="151"/>
        <v>0</v>
      </c>
      <c r="BW81" s="4794">
        <f t="shared" si="152"/>
        <v>0</v>
      </c>
      <c r="BX81" s="4794">
        <f t="shared" si="153"/>
        <v>0</v>
      </c>
      <c r="BY81" s="4794">
        <f t="shared" si="154"/>
        <v>0</v>
      </c>
      <c r="BZ81" s="4794">
        <f t="shared" si="155"/>
        <v>0</v>
      </c>
      <c r="CA81" s="4794">
        <f t="shared" si="156"/>
        <v>0</v>
      </c>
      <c r="CB81" s="4794">
        <f t="shared" si="157"/>
        <v>0</v>
      </c>
      <c r="CC81" s="4794">
        <f t="shared" si="158"/>
        <v>0</v>
      </c>
      <c r="CD81" s="4794">
        <f t="shared" si="159"/>
        <v>0</v>
      </c>
      <c r="CE81" s="4794">
        <f t="shared" si="160"/>
        <v>0</v>
      </c>
      <c r="CF81" s="4794">
        <f t="shared" si="161"/>
        <v>0</v>
      </c>
    </row>
    <row r="82" spans="1:84">
      <c r="A82" s="2237"/>
      <c r="B82" s="2238">
        <v>2040207</v>
      </c>
      <c r="C82" s="2227">
        <v>2070109</v>
      </c>
      <c r="D82" s="2239">
        <v>0.04</v>
      </c>
      <c r="E82" s="2249" t="s">
        <v>361</v>
      </c>
      <c r="F82" s="2242">
        <f t="shared" si="120"/>
        <v>0</v>
      </c>
      <c r="G82" s="4376">
        <f t="shared" si="121"/>
        <v>0</v>
      </c>
      <c r="H82" s="2241">
        <f t="shared" si="122"/>
        <v>0</v>
      </c>
      <c r="I82" s="2242">
        <f t="shared" si="123"/>
        <v>0</v>
      </c>
      <c r="J82" s="2243">
        <f t="shared" si="124"/>
        <v>0</v>
      </c>
      <c r="K82" s="2243">
        <f t="shared" si="125"/>
        <v>0</v>
      </c>
      <c r="L82" s="2243">
        <f t="shared" si="126"/>
        <v>0</v>
      </c>
      <c r="M82" s="2244">
        <f t="shared" si="127"/>
        <v>0</v>
      </c>
      <c r="N82" s="2245">
        <f t="shared" si="128"/>
        <v>0</v>
      </c>
      <c r="O82" s="1304"/>
      <c r="P82" s="1306"/>
      <c r="Q82" s="1305"/>
      <c r="R82" s="1306"/>
      <c r="S82" s="1307"/>
      <c r="T82" s="1307"/>
      <c r="U82" s="1307"/>
      <c r="V82" s="1307"/>
      <c r="W82" s="1304"/>
      <c r="X82" s="1306"/>
      <c r="Y82" s="1305"/>
      <c r="Z82" s="1306"/>
      <c r="AA82" s="1307"/>
      <c r="AB82" s="1307"/>
      <c r="AC82" s="1307"/>
      <c r="AD82" s="1307"/>
      <c r="AE82" s="1304"/>
      <c r="AF82" s="1306"/>
      <c r="AG82" s="1305"/>
      <c r="AH82" s="1306"/>
      <c r="AI82" s="1307"/>
      <c r="AJ82" s="1307"/>
      <c r="AK82" s="1307"/>
      <c r="AL82" s="1308"/>
      <c r="AM82" s="1309"/>
      <c r="AN82" s="1310"/>
      <c r="AO82" s="2246" t="s">
        <v>676</v>
      </c>
      <c r="AP82" s="1306"/>
      <c r="AQ82" s="1306"/>
      <c r="AR82" s="1305"/>
      <c r="AS82" s="1306"/>
      <c r="AT82" s="1307"/>
      <c r="AU82" s="1307"/>
      <c r="AV82" s="1307"/>
      <c r="AW82" s="1305"/>
      <c r="AX82" s="2247" t="s">
        <v>360</v>
      </c>
      <c r="AY82" s="4775"/>
      <c r="AZ82" s="4794">
        <f t="shared" si="129"/>
        <v>0</v>
      </c>
      <c r="BA82" s="4794">
        <f t="shared" si="130"/>
        <v>0</v>
      </c>
      <c r="BB82" s="4794">
        <f t="shared" si="131"/>
        <v>0</v>
      </c>
      <c r="BC82" s="4794">
        <f t="shared" si="132"/>
        <v>0</v>
      </c>
      <c r="BD82" s="4794">
        <f t="shared" si="133"/>
        <v>0</v>
      </c>
      <c r="BE82" s="4794">
        <f t="shared" si="134"/>
        <v>0</v>
      </c>
      <c r="BF82" s="4794">
        <f t="shared" si="135"/>
        <v>0</v>
      </c>
      <c r="BG82" s="4794">
        <f t="shared" si="136"/>
        <v>0</v>
      </c>
      <c r="BH82" s="4794">
        <f t="shared" si="137"/>
        <v>0</v>
      </c>
      <c r="BI82" s="4794">
        <f t="shared" si="138"/>
        <v>0</v>
      </c>
      <c r="BJ82" s="4794">
        <f t="shared" si="139"/>
        <v>0</v>
      </c>
      <c r="BK82" s="4794">
        <f t="shared" si="140"/>
        <v>0</v>
      </c>
      <c r="BL82" s="4794">
        <f t="shared" si="141"/>
        <v>0</v>
      </c>
      <c r="BM82" s="4794">
        <f t="shared" si="142"/>
        <v>0</v>
      </c>
      <c r="BN82" s="4794">
        <f t="shared" si="143"/>
        <v>0</v>
      </c>
      <c r="BO82" s="4794">
        <f t="shared" si="144"/>
        <v>0</v>
      </c>
      <c r="BP82" s="4794">
        <f t="shared" si="145"/>
        <v>0</v>
      </c>
      <c r="BQ82" s="4794">
        <f t="shared" si="146"/>
        <v>0</v>
      </c>
      <c r="BR82" s="4794">
        <f t="shared" si="147"/>
        <v>0</v>
      </c>
      <c r="BS82" s="4794">
        <f t="shared" si="148"/>
        <v>0</v>
      </c>
      <c r="BT82" s="4794">
        <f t="shared" si="149"/>
        <v>0</v>
      </c>
      <c r="BU82" s="4794">
        <f t="shared" si="150"/>
        <v>0</v>
      </c>
      <c r="BV82" s="4794">
        <f t="shared" si="151"/>
        <v>0</v>
      </c>
      <c r="BW82" s="4794">
        <f t="shared" si="152"/>
        <v>0</v>
      </c>
      <c r="BX82" s="4794">
        <f t="shared" si="153"/>
        <v>0</v>
      </c>
      <c r="BY82" s="4794">
        <f t="shared" si="154"/>
        <v>0</v>
      </c>
      <c r="BZ82" s="4794">
        <f t="shared" si="155"/>
        <v>0</v>
      </c>
      <c r="CA82" s="4794">
        <f t="shared" si="156"/>
        <v>0</v>
      </c>
      <c r="CB82" s="4794">
        <f t="shared" si="157"/>
        <v>0</v>
      </c>
      <c r="CC82" s="4794">
        <f t="shared" si="158"/>
        <v>0</v>
      </c>
      <c r="CD82" s="4794">
        <f t="shared" si="159"/>
        <v>0</v>
      </c>
      <c r="CE82" s="4794">
        <f t="shared" si="160"/>
        <v>0</v>
      </c>
      <c r="CF82" s="4794">
        <f t="shared" si="161"/>
        <v>0</v>
      </c>
    </row>
    <row r="83" spans="1:84">
      <c r="A83" s="2237"/>
      <c r="B83" s="2238">
        <v>2030401</v>
      </c>
      <c r="C83" s="2238">
        <v>2070110</v>
      </c>
      <c r="D83" s="2250">
        <v>0.1</v>
      </c>
      <c r="E83" s="2249" t="s">
        <v>362</v>
      </c>
      <c r="F83" s="2242">
        <f t="shared" si="120"/>
        <v>0</v>
      </c>
      <c r="G83" s="4376">
        <f t="shared" si="121"/>
        <v>0</v>
      </c>
      <c r="H83" s="2241">
        <f t="shared" si="122"/>
        <v>0</v>
      </c>
      <c r="I83" s="2242">
        <f t="shared" si="123"/>
        <v>0</v>
      </c>
      <c r="J83" s="2243">
        <f t="shared" si="124"/>
        <v>0</v>
      </c>
      <c r="K83" s="2243">
        <f t="shared" si="125"/>
        <v>0</v>
      </c>
      <c r="L83" s="2243">
        <f t="shared" si="126"/>
        <v>0</v>
      </c>
      <c r="M83" s="2244">
        <f t="shared" si="127"/>
        <v>0</v>
      </c>
      <c r="N83" s="2245">
        <f t="shared" si="128"/>
        <v>0</v>
      </c>
      <c r="O83" s="1304"/>
      <c r="P83" s="1306"/>
      <c r="Q83" s="1305"/>
      <c r="R83" s="1306"/>
      <c r="S83" s="1307"/>
      <c r="T83" s="1307"/>
      <c r="U83" s="1307"/>
      <c r="V83" s="1307"/>
      <c r="W83" s="1304"/>
      <c r="X83" s="1306"/>
      <c r="Y83" s="1305"/>
      <c r="Z83" s="1306"/>
      <c r="AA83" s="1307"/>
      <c r="AB83" s="1307"/>
      <c r="AC83" s="1307"/>
      <c r="AD83" s="1307"/>
      <c r="AE83" s="1304"/>
      <c r="AF83" s="1306"/>
      <c r="AG83" s="1305"/>
      <c r="AH83" s="1306"/>
      <c r="AI83" s="1307"/>
      <c r="AJ83" s="1307"/>
      <c r="AK83" s="1307"/>
      <c r="AL83" s="1308"/>
      <c r="AM83" s="1309"/>
      <c r="AN83" s="1311"/>
      <c r="AO83" s="2246" t="s">
        <v>676</v>
      </c>
      <c r="AP83" s="1306"/>
      <c r="AQ83" s="1306"/>
      <c r="AR83" s="1305"/>
      <c r="AS83" s="1306"/>
      <c r="AT83" s="1307"/>
      <c r="AU83" s="1307"/>
      <c r="AV83" s="1307"/>
      <c r="AW83" s="1305"/>
      <c r="AX83" s="2247" t="s">
        <v>360</v>
      </c>
      <c r="AY83" s="4775"/>
      <c r="AZ83" s="4794">
        <f t="shared" si="129"/>
        <v>0</v>
      </c>
      <c r="BA83" s="4794">
        <f t="shared" si="130"/>
        <v>0</v>
      </c>
      <c r="BB83" s="4794">
        <f t="shared" si="131"/>
        <v>0</v>
      </c>
      <c r="BC83" s="4794">
        <f t="shared" si="132"/>
        <v>0</v>
      </c>
      <c r="BD83" s="4794">
        <f t="shared" si="133"/>
        <v>0</v>
      </c>
      <c r="BE83" s="4794">
        <f t="shared" si="134"/>
        <v>0</v>
      </c>
      <c r="BF83" s="4794">
        <f t="shared" si="135"/>
        <v>0</v>
      </c>
      <c r="BG83" s="4794">
        <f t="shared" si="136"/>
        <v>0</v>
      </c>
      <c r="BH83" s="4794">
        <f t="shared" si="137"/>
        <v>0</v>
      </c>
      <c r="BI83" s="4794">
        <f t="shared" si="138"/>
        <v>0</v>
      </c>
      <c r="BJ83" s="4794">
        <f t="shared" si="139"/>
        <v>0</v>
      </c>
      <c r="BK83" s="4794">
        <f t="shared" si="140"/>
        <v>0</v>
      </c>
      <c r="BL83" s="4794">
        <f t="shared" si="141"/>
        <v>0</v>
      </c>
      <c r="BM83" s="4794">
        <f t="shared" si="142"/>
        <v>0</v>
      </c>
      <c r="BN83" s="4794">
        <f t="shared" si="143"/>
        <v>0</v>
      </c>
      <c r="BO83" s="4794">
        <f t="shared" si="144"/>
        <v>0</v>
      </c>
      <c r="BP83" s="4794">
        <f t="shared" si="145"/>
        <v>0</v>
      </c>
      <c r="BQ83" s="4794">
        <f t="shared" si="146"/>
        <v>0</v>
      </c>
      <c r="BR83" s="4794">
        <f t="shared" si="147"/>
        <v>0</v>
      </c>
      <c r="BS83" s="4794">
        <f t="shared" si="148"/>
        <v>0</v>
      </c>
      <c r="BT83" s="4794">
        <f t="shared" si="149"/>
        <v>0</v>
      </c>
      <c r="BU83" s="4794">
        <f t="shared" si="150"/>
        <v>0</v>
      </c>
      <c r="BV83" s="4794">
        <f t="shared" si="151"/>
        <v>0</v>
      </c>
      <c r="BW83" s="4794">
        <f t="shared" si="152"/>
        <v>0</v>
      </c>
      <c r="BX83" s="4794">
        <f t="shared" si="153"/>
        <v>0</v>
      </c>
      <c r="BY83" s="4794">
        <f t="shared" si="154"/>
        <v>0</v>
      </c>
      <c r="BZ83" s="4794">
        <f t="shared" si="155"/>
        <v>0</v>
      </c>
      <c r="CA83" s="4794">
        <f t="shared" si="156"/>
        <v>0</v>
      </c>
      <c r="CB83" s="4794">
        <f t="shared" si="157"/>
        <v>0</v>
      </c>
      <c r="CC83" s="4794">
        <f t="shared" si="158"/>
        <v>0</v>
      </c>
      <c r="CD83" s="4794">
        <f t="shared" si="159"/>
        <v>0</v>
      </c>
      <c r="CE83" s="4794">
        <f t="shared" si="160"/>
        <v>0</v>
      </c>
      <c r="CF83" s="4794">
        <f t="shared" si="161"/>
        <v>0</v>
      </c>
    </row>
    <row r="84" spans="1:84" ht="24">
      <c r="A84" s="2237"/>
      <c r="B84" s="2238">
        <v>2040205</v>
      </c>
      <c r="C84" s="2227">
        <v>2070111</v>
      </c>
      <c r="D84" s="2239">
        <v>0.02</v>
      </c>
      <c r="E84" s="2240" t="s">
        <v>363</v>
      </c>
      <c r="F84" s="2242">
        <f t="shared" si="120"/>
        <v>0</v>
      </c>
      <c r="G84" s="4376">
        <f t="shared" si="121"/>
        <v>0</v>
      </c>
      <c r="H84" s="2241">
        <f t="shared" si="122"/>
        <v>0</v>
      </c>
      <c r="I84" s="2242">
        <f t="shared" si="123"/>
        <v>0</v>
      </c>
      <c r="J84" s="2243">
        <f t="shared" si="124"/>
        <v>0</v>
      </c>
      <c r="K84" s="2243">
        <f t="shared" si="125"/>
        <v>0</v>
      </c>
      <c r="L84" s="2243">
        <f t="shared" si="126"/>
        <v>0</v>
      </c>
      <c r="M84" s="2244">
        <f t="shared" si="127"/>
        <v>0</v>
      </c>
      <c r="N84" s="2245">
        <f t="shared" si="128"/>
        <v>0</v>
      </c>
      <c r="O84" s="1304"/>
      <c r="P84" s="1306"/>
      <c r="Q84" s="1305"/>
      <c r="R84" s="1306"/>
      <c r="S84" s="1307"/>
      <c r="T84" s="1307"/>
      <c r="U84" s="1307"/>
      <c r="V84" s="1307"/>
      <c r="W84" s="1304"/>
      <c r="X84" s="1306"/>
      <c r="Y84" s="1305"/>
      <c r="Z84" s="1306"/>
      <c r="AA84" s="1307"/>
      <c r="AB84" s="1307"/>
      <c r="AC84" s="1307"/>
      <c r="AD84" s="1307"/>
      <c r="AE84" s="1304"/>
      <c r="AF84" s="1306"/>
      <c r="AG84" s="1305"/>
      <c r="AH84" s="1306"/>
      <c r="AI84" s="1307"/>
      <c r="AJ84" s="1307"/>
      <c r="AK84" s="1307"/>
      <c r="AL84" s="1308"/>
      <c r="AM84" s="1309"/>
      <c r="AN84" s="1311"/>
      <c r="AO84" s="2246" t="s">
        <v>678</v>
      </c>
      <c r="AP84" s="1306"/>
      <c r="AQ84" s="1306"/>
      <c r="AR84" s="1305"/>
      <c r="AS84" s="1306"/>
      <c r="AT84" s="1307"/>
      <c r="AU84" s="1307"/>
      <c r="AV84" s="1307"/>
      <c r="AW84" s="1305"/>
      <c r="AX84" s="2247" t="s">
        <v>364</v>
      </c>
      <c r="AY84" s="4775"/>
      <c r="AZ84" s="4794">
        <f t="shared" si="129"/>
        <v>0</v>
      </c>
      <c r="BA84" s="4794">
        <f t="shared" si="130"/>
        <v>0</v>
      </c>
      <c r="BB84" s="4794">
        <f t="shared" si="131"/>
        <v>0</v>
      </c>
      <c r="BC84" s="4794">
        <f t="shared" si="132"/>
        <v>0</v>
      </c>
      <c r="BD84" s="4794">
        <f t="shared" si="133"/>
        <v>0</v>
      </c>
      <c r="BE84" s="4794">
        <f t="shared" si="134"/>
        <v>0</v>
      </c>
      <c r="BF84" s="4794">
        <f t="shared" si="135"/>
        <v>0</v>
      </c>
      <c r="BG84" s="4794">
        <f t="shared" si="136"/>
        <v>0</v>
      </c>
      <c r="BH84" s="4794">
        <f t="shared" si="137"/>
        <v>0</v>
      </c>
      <c r="BI84" s="4794">
        <f t="shared" si="138"/>
        <v>0</v>
      </c>
      <c r="BJ84" s="4794">
        <f t="shared" si="139"/>
        <v>0</v>
      </c>
      <c r="BK84" s="4794">
        <f t="shared" si="140"/>
        <v>0</v>
      </c>
      <c r="BL84" s="4794">
        <f t="shared" si="141"/>
        <v>0</v>
      </c>
      <c r="BM84" s="4794">
        <f t="shared" si="142"/>
        <v>0</v>
      </c>
      <c r="BN84" s="4794">
        <f t="shared" si="143"/>
        <v>0</v>
      </c>
      <c r="BO84" s="4794">
        <f t="shared" si="144"/>
        <v>0</v>
      </c>
      <c r="BP84" s="4794">
        <f t="shared" si="145"/>
        <v>0</v>
      </c>
      <c r="BQ84" s="4794">
        <f t="shared" si="146"/>
        <v>0</v>
      </c>
      <c r="BR84" s="4794">
        <f t="shared" si="147"/>
        <v>0</v>
      </c>
      <c r="BS84" s="4794">
        <f t="shared" si="148"/>
        <v>0</v>
      </c>
      <c r="BT84" s="4794">
        <f t="shared" si="149"/>
        <v>0</v>
      </c>
      <c r="BU84" s="4794">
        <f t="shared" si="150"/>
        <v>0</v>
      </c>
      <c r="BV84" s="4794">
        <f t="shared" si="151"/>
        <v>0</v>
      </c>
      <c r="BW84" s="4794">
        <f t="shared" si="152"/>
        <v>0</v>
      </c>
      <c r="BX84" s="4794">
        <f t="shared" si="153"/>
        <v>0</v>
      </c>
      <c r="BY84" s="4794">
        <f t="shared" si="154"/>
        <v>0</v>
      </c>
      <c r="BZ84" s="4794">
        <f t="shared" si="155"/>
        <v>0</v>
      </c>
      <c r="CA84" s="4794">
        <f t="shared" si="156"/>
        <v>0</v>
      </c>
      <c r="CB84" s="4794">
        <f t="shared" si="157"/>
        <v>0</v>
      </c>
      <c r="CC84" s="4794">
        <f t="shared" si="158"/>
        <v>0</v>
      </c>
      <c r="CD84" s="4794">
        <f t="shared" si="159"/>
        <v>0</v>
      </c>
      <c r="CE84" s="4794">
        <f t="shared" si="160"/>
        <v>0</v>
      </c>
      <c r="CF84" s="4794">
        <f t="shared" si="161"/>
        <v>0</v>
      </c>
    </row>
    <row r="85" spans="1:84" ht="24">
      <c r="A85" s="2237"/>
      <c r="B85" s="2238">
        <v>2040205</v>
      </c>
      <c r="C85" s="2238">
        <v>2070112</v>
      </c>
      <c r="D85" s="2239">
        <v>0.02</v>
      </c>
      <c r="E85" s="2240" t="s">
        <v>365</v>
      </c>
      <c r="F85" s="2242">
        <f t="shared" si="120"/>
        <v>0</v>
      </c>
      <c r="G85" s="4376">
        <f t="shared" si="121"/>
        <v>0</v>
      </c>
      <c r="H85" s="2241">
        <f t="shared" si="122"/>
        <v>0</v>
      </c>
      <c r="I85" s="2242">
        <f t="shared" si="123"/>
        <v>0</v>
      </c>
      <c r="J85" s="2243">
        <f t="shared" si="124"/>
        <v>0</v>
      </c>
      <c r="K85" s="2243">
        <f t="shared" si="125"/>
        <v>0</v>
      </c>
      <c r="L85" s="2243">
        <f t="shared" si="126"/>
        <v>0</v>
      </c>
      <c r="M85" s="2244">
        <f t="shared" si="127"/>
        <v>0</v>
      </c>
      <c r="N85" s="2245">
        <f t="shared" si="128"/>
        <v>0</v>
      </c>
      <c r="O85" s="1304"/>
      <c r="P85" s="1306"/>
      <c r="Q85" s="1305"/>
      <c r="R85" s="1306"/>
      <c r="S85" s="1307"/>
      <c r="T85" s="1307"/>
      <c r="U85" s="1307"/>
      <c r="V85" s="1307"/>
      <c r="W85" s="1304"/>
      <c r="X85" s="1306"/>
      <c r="Y85" s="1305"/>
      <c r="Z85" s="1306"/>
      <c r="AA85" s="1307"/>
      <c r="AB85" s="1307"/>
      <c r="AC85" s="1307"/>
      <c r="AD85" s="1307"/>
      <c r="AE85" s="1304"/>
      <c r="AF85" s="1306"/>
      <c r="AG85" s="1305"/>
      <c r="AH85" s="1306"/>
      <c r="AI85" s="1307"/>
      <c r="AJ85" s="1307"/>
      <c r="AK85" s="1307"/>
      <c r="AL85" s="1308"/>
      <c r="AM85" s="1309"/>
      <c r="AN85" s="1311"/>
      <c r="AO85" s="2246" t="s">
        <v>676</v>
      </c>
      <c r="AP85" s="1306"/>
      <c r="AQ85" s="1306"/>
      <c r="AR85" s="1305"/>
      <c r="AS85" s="1306"/>
      <c r="AT85" s="1307"/>
      <c r="AU85" s="1307"/>
      <c r="AV85" s="1307"/>
      <c r="AW85" s="1305"/>
      <c r="AX85" s="2247" t="s">
        <v>366</v>
      </c>
      <c r="AY85" s="4775"/>
      <c r="AZ85" s="4794">
        <f t="shared" si="129"/>
        <v>0</v>
      </c>
      <c r="BA85" s="4794">
        <f t="shared" si="130"/>
        <v>0</v>
      </c>
      <c r="BB85" s="4794">
        <f t="shared" si="131"/>
        <v>0</v>
      </c>
      <c r="BC85" s="4794">
        <f t="shared" si="132"/>
        <v>0</v>
      </c>
      <c r="BD85" s="4794">
        <f t="shared" si="133"/>
        <v>0</v>
      </c>
      <c r="BE85" s="4794">
        <f t="shared" si="134"/>
        <v>0</v>
      </c>
      <c r="BF85" s="4794">
        <f t="shared" si="135"/>
        <v>0</v>
      </c>
      <c r="BG85" s="4794">
        <f t="shared" si="136"/>
        <v>0</v>
      </c>
      <c r="BH85" s="4794">
        <f t="shared" si="137"/>
        <v>0</v>
      </c>
      <c r="BI85" s="4794">
        <f t="shared" si="138"/>
        <v>0</v>
      </c>
      <c r="BJ85" s="4794">
        <f t="shared" si="139"/>
        <v>0</v>
      </c>
      <c r="BK85" s="4794">
        <f t="shared" si="140"/>
        <v>0</v>
      </c>
      <c r="BL85" s="4794">
        <f t="shared" si="141"/>
        <v>0</v>
      </c>
      <c r="BM85" s="4794">
        <f t="shared" si="142"/>
        <v>0</v>
      </c>
      <c r="BN85" s="4794">
        <f t="shared" si="143"/>
        <v>0</v>
      </c>
      <c r="BO85" s="4794">
        <f t="shared" si="144"/>
        <v>0</v>
      </c>
      <c r="BP85" s="4794">
        <f t="shared" si="145"/>
        <v>0</v>
      </c>
      <c r="BQ85" s="4794">
        <f t="shared" si="146"/>
        <v>0</v>
      </c>
      <c r="BR85" s="4794">
        <f t="shared" si="147"/>
        <v>0</v>
      </c>
      <c r="BS85" s="4794">
        <f t="shared" si="148"/>
        <v>0</v>
      </c>
      <c r="BT85" s="4794">
        <f t="shared" si="149"/>
        <v>0</v>
      </c>
      <c r="BU85" s="4794">
        <f t="shared" si="150"/>
        <v>0</v>
      </c>
      <c r="BV85" s="4794">
        <f t="shared" si="151"/>
        <v>0</v>
      </c>
      <c r="BW85" s="4794">
        <f t="shared" si="152"/>
        <v>0</v>
      </c>
      <c r="BX85" s="4794">
        <f t="shared" si="153"/>
        <v>0</v>
      </c>
      <c r="BY85" s="4794">
        <f t="shared" si="154"/>
        <v>0</v>
      </c>
      <c r="BZ85" s="4794">
        <f t="shared" si="155"/>
        <v>0</v>
      </c>
      <c r="CA85" s="4794">
        <f t="shared" si="156"/>
        <v>0</v>
      </c>
      <c r="CB85" s="4794">
        <f t="shared" si="157"/>
        <v>0</v>
      </c>
      <c r="CC85" s="4794">
        <f t="shared" si="158"/>
        <v>0</v>
      </c>
      <c r="CD85" s="4794">
        <f t="shared" si="159"/>
        <v>0</v>
      </c>
      <c r="CE85" s="4794">
        <f t="shared" si="160"/>
        <v>0</v>
      </c>
      <c r="CF85" s="4794">
        <f t="shared" si="161"/>
        <v>0</v>
      </c>
    </row>
    <row r="86" spans="1:84" ht="36">
      <c r="A86" s="2237"/>
      <c r="B86" s="2238">
        <v>2030502</v>
      </c>
      <c r="C86" s="2227">
        <v>2070113</v>
      </c>
      <c r="D86" s="2239">
        <v>0.1</v>
      </c>
      <c r="E86" s="2240" t="s">
        <v>367</v>
      </c>
      <c r="F86" s="2242">
        <f t="shared" si="120"/>
        <v>0</v>
      </c>
      <c r="G86" s="4376">
        <f t="shared" si="121"/>
        <v>0</v>
      </c>
      <c r="H86" s="2241">
        <f t="shared" si="122"/>
        <v>0</v>
      </c>
      <c r="I86" s="2242">
        <f t="shared" si="123"/>
        <v>0</v>
      </c>
      <c r="J86" s="2243">
        <f t="shared" si="124"/>
        <v>0</v>
      </c>
      <c r="K86" s="2243">
        <f t="shared" si="125"/>
        <v>0</v>
      </c>
      <c r="L86" s="2243">
        <f t="shared" si="126"/>
        <v>0</v>
      </c>
      <c r="M86" s="2244">
        <f t="shared" si="127"/>
        <v>0</v>
      </c>
      <c r="N86" s="2245">
        <f t="shared" si="128"/>
        <v>0</v>
      </c>
      <c r="O86" s="1304"/>
      <c r="P86" s="1306"/>
      <c r="Q86" s="1305"/>
      <c r="R86" s="1306"/>
      <c r="S86" s="1307"/>
      <c r="T86" s="1307"/>
      <c r="U86" s="1307"/>
      <c r="V86" s="1307"/>
      <c r="W86" s="1304"/>
      <c r="X86" s="1306"/>
      <c r="Y86" s="1305"/>
      <c r="Z86" s="1306"/>
      <c r="AA86" s="1307"/>
      <c r="AB86" s="1307"/>
      <c r="AC86" s="1307"/>
      <c r="AD86" s="1307"/>
      <c r="AE86" s="1304"/>
      <c r="AF86" s="1306"/>
      <c r="AG86" s="1305"/>
      <c r="AH86" s="1306"/>
      <c r="AI86" s="1307"/>
      <c r="AJ86" s="1307"/>
      <c r="AK86" s="1307"/>
      <c r="AL86" s="1308"/>
      <c r="AM86" s="1309"/>
      <c r="AN86" s="1310"/>
      <c r="AO86" s="2246" t="s">
        <v>676</v>
      </c>
      <c r="AP86" s="1306"/>
      <c r="AQ86" s="1306"/>
      <c r="AR86" s="1305"/>
      <c r="AS86" s="1306"/>
      <c r="AT86" s="1307"/>
      <c r="AU86" s="1307"/>
      <c r="AV86" s="1307"/>
      <c r="AW86" s="1305"/>
      <c r="AX86" s="2251" t="s">
        <v>1030</v>
      </c>
      <c r="AY86" s="4775"/>
      <c r="AZ86" s="4794">
        <f t="shared" si="129"/>
        <v>0</v>
      </c>
      <c r="BA86" s="4794">
        <f t="shared" si="130"/>
        <v>0</v>
      </c>
      <c r="BB86" s="4794">
        <f t="shared" si="131"/>
        <v>0</v>
      </c>
      <c r="BC86" s="4794">
        <f t="shared" si="132"/>
        <v>0</v>
      </c>
      <c r="BD86" s="4794">
        <f t="shared" si="133"/>
        <v>0</v>
      </c>
      <c r="BE86" s="4794">
        <f t="shared" si="134"/>
        <v>0</v>
      </c>
      <c r="BF86" s="4794">
        <f t="shared" si="135"/>
        <v>0</v>
      </c>
      <c r="BG86" s="4794">
        <f t="shared" si="136"/>
        <v>0</v>
      </c>
      <c r="BH86" s="4794">
        <f t="shared" si="137"/>
        <v>0</v>
      </c>
      <c r="BI86" s="4794">
        <f t="shared" si="138"/>
        <v>0</v>
      </c>
      <c r="BJ86" s="4794">
        <f t="shared" si="139"/>
        <v>0</v>
      </c>
      <c r="BK86" s="4794">
        <f t="shared" si="140"/>
        <v>0</v>
      </c>
      <c r="BL86" s="4794">
        <f t="shared" si="141"/>
        <v>0</v>
      </c>
      <c r="BM86" s="4794">
        <f t="shared" si="142"/>
        <v>0</v>
      </c>
      <c r="BN86" s="4794">
        <f t="shared" si="143"/>
        <v>0</v>
      </c>
      <c r="BO86" s="4794">
        <f t="shared" si="144"/>
        <v>0</v>
      </c>
      <c r="BP86" s="4794">
        <f t="shared" si="145"/>
        <v>0</v>
      </c>
      <c r="BQ86" s="4794">
        <f t="shared" si="146"/>
        <v>0</v>
      </c>
      <c r="BR86" s="4794">
        <f t="shared" si="147"/>
        <v>0</v>
      </c>
      <c r="BS86" s="4794">
        <f t="shared" si="148"/>
        <v>0</v>
      </c>
      <c r="BT86" s="4794">
        <f t="shared" si="149"/>
        <v>0</v>
      </c>
      <c r="BU86" s="4794">
        <f t="shared" si="150"/>
        <v>0</v>
      </c>
      <c r="BV86" s="4794">
        <f t="shared" si="151"/>
        <v>0</v>
      </c>
      <c r="BW86" s="4794">
        <f t="shared" si="152"/>
        <v>0</v>
      </c>
      <c r="BX86" s="4794">
        <f t="shared" si="153"/>
        <v>0</v>
      </c>
      <c r="BY86" s="4794">
        <f t="shared" si="154"/>
        <v>0</v>
      </c>
      <c r="BZ86" s="4794">
        <f t="shared" si="155"/>
        <v>0</v>
      </c>
      <c r="CA86" s="4794">
        <f t="shared" si="156"/>
        <v>0</v>
      </c>
      <c r="CB86" s="4794">
        <f t="shared" si="157"/>
        <v>0</v>
      </c>
      <c r="CC86" s="4794">
        <f t="shared" si="158"/>
        <v>0</v>
      </c>
      <c r="CD86" s="4794">
        <f t="shared" si="159"/>
        <v>0</v>
      </c>
      <c r="CE86" s="4794">
        <f t="shared" si="160"/>
        <v>0</v>
      </c>
      <c r="CF86" s="4794">
        <f t="shared" si="161"/>
        <v>0</v>
      </c>
    </row>
    <row r="87" spans="1:84" ht="24">
      <c r="A87" s="2237"/>
      <c r="B87" s="2238">
        <v>2030501</v>
      </c>
      <c r="C87" s="2238">
        <v>2070114</v>
      </c>
      <c r="D87" s="2250">
        <v>0.1</v>
      </c>
      <c r="E87" s="2249" t="s">
        <v>652</v>
      </c>
      <c r="F87" s="2242">
        <f t="shared" si="120"/>
        <v>0</v>
      </c>
      <c r="G87" s="4376">
        <f t="shared" si="121"/>
        <v>0</v>
      </c>
      <c r="H87" s="2241">
        <f t="shared" si="122"/>
        <v>0</v>
      </c>
      <c r="I87" s="2242">
        <f t="shared" si="123"/>
        <v>0</v>
      </c>
      <c r="J87" s="2243">
        <f t="shared" si="124"/>
        <v>0</v>
      </c>
      <c r="K87" s="2243">
        <f t="shared" si="125"/>
        <v>0</v>
      </c>
      <c r="L87" s="2243">
        <f t="shared" si="126"/>
        <v>0</v>
      </c>
      <c r="M87" s="2244">
        <f t="shared" si="127"/>
        <v>0</v>
      </c>
      <c r="N87" s="2245">
        <f t="shared" si="128"/>
        <v>0</v>
      </c>
      <c r="O87" s="1304"/>
      <c r="P87" s="1306"/>
      <c r="Q87" s="1305"/>
      <c r="R87" s="1306"/>
      <c r="S87" s="1307"/>
      <c r="T87" s="1307"/>
      <c r="U87" s="1307"/>
      <c r="V87" s="1307"/>
      <c r="W87" s="1304"/>
      <c r="X87" s="1306"/>
      <c r="Y87" s="1305"/>
      <c r="Z87" s="1306"/>
      <c r="AA87" s="1307"/>
      <c r="AB87" s="1307"/>
      <c r="AC87" s="1307"/>
      <c r="AD87" s="1307"/>
      <c r="AE87" s="1304"/>
      <c r="AF87" s="1306"/>
      <c r="AG87" s="1305"/>
      <c r="AH87" s="1306"/>
      <c r="AI87" s="1307"/>
      <c r="AJ87" s="1307"/>
      <c r="AK87" s="1307"/>
      <c r="AL87" s="1308"/>
      <c r="AM87" s="1309"/>
      <c r="AN87" s="1310"/>
      <c r="AO87" s="2246" t="s">
        <v>676</v>
      </c>
      <c r="AP87" s="1306"/>
      <c r="AQ87" s="1306"/>
      <c r="AR87" s="1305"/>
      <c r="AS87" s="1306"/>
      <c r="AT87" s="1307"/>
      <c r="AU87" s="1307"/>
      <c r="AV87" s="1307"/>
      <c r="AW87" s="1305"/>
      <c r="AX87" s="2252" t="s">
        <v>709</v>
      </c>
      <c r="AY87" s="4775"/>
      <c r="AZ87" s="4794">
        <f t="shared" si="129"/>
        <v>0</v>
      </c>
      <c r="BA87" s="4794">
        <f t="shared" si="130"/>
        <v>0</v>
      </c>
      <c r="BB87" s="4794">
        <f t="shared" si="131"/>
        <v>0</v>
      </c>
      <c r="BC87" s="4794">
        <f t="shared" si="132"/>
        <v>0</v>
      </c>
      <c r="BD87" s="4794">
        <f t="shared" si="133"/>
        <v>0</v>
      </c>
      <c r="BE87" s="4794">
        <f t="shared" si="134"/>
        <v>0</v>
      </c>
      <c r="BF87" s="4794">
        <f t="shared" si="135"/>
        <v>0</v>
      </c>
      <c r="BG87" s="4794">
        <f t="shared" si="136"/>
        <v>0</v>
      </c>
      <c r="BH87" s="4794">
        <f t="shared" si="137"/>
        <v>0</v>
      </c>
      <c r="BI87" s="4794">
        <f t="shared" si="138"/>
        <v>0</v>
      </c>
      <c r="BJ87" s="4794">
        <f t="shared" si="139"/>
        <v>0</v>
      </c>
      <c r="BK87" s="4794">
        <f t="shared" si="140"/>
        <v>0</v>
      </c>
      <c r="BL87" s="4794">
        <f t="shared" si="141"/>
        <v>0</v>
      </c>
      <c r="BM87" s="4794">
        <f t="shared" si="142"/>
        <v>0</v>
      </c>
      <c r="BN87" s="4794">
        <f t="shared" si="143"/>
        <v>0</v>
      </c>
      <c r="BO87" s="4794">
        <f t="shared" si="144"/>
        <v>0</v>
      </c>
      <c r="BP87" s="4794">
        <f t="shared" si="145"/>
        <v>0</v>
      </c>
      <c r="BQ87" s="4794">
        <f t="shared" si="146"/>
        <v>0</v>
      </c>
      <c r="BR87" s="4794">
        <f t="shared" si="147"/>
        <v>0</v>
      </c>
      <c r="BS87" s="4794">
        <f t="shared" si="148"/>
        <v>0</v>
      </c>
      <c r="BT87" s="4794">
        <f t="shared" si="149"/>
        <v>0</v>
      </c>
      <c r="BU87" s="4794">
        <f t="shared" si="150"/>
        <v>0</v>
      </c>
      <c r="BV87" s="4794">
        <f t="shared" si="151"/>
        <v>0</v>
      </c>
      <c r="BW87" s="4794">
        <f t="shared" si="152"/>
        <v>0</v>
      </c>
      <c r="BX87" s="4794">
        <f t="shared" si="153"/>
        <v>0</v>
      </c>
      <c r="BY87" s="4794">
        <f t="shared" si="154"/>
        <v>0</v>
      </c>
      <c r="BZ87" s="4794">
        <f t="shared" si="155"/>
        <v>0</v>
      </c>
      <c r="CA87" s="4794">
        <f t="shared" si="156"/>
        <v>0</v>
      </c>
      <c r="CB87" s="4794">
        <f t="shared" si="157"/>
        <v>0</v>
      </c>
      <c r="CC87" s="4794">
        <f t="shared" si="158"/>
        <v>0</v>
      </c>
      <c r="CD87" s="4794">
        <f t="shared" si="159"/>
        <v>0</v>
      </c>
      <c r="CE87" s="4794">
        <f t="shared" si="160"/>
        <v>0</v>
      </c>
      <c r="CF87" s="4794">
        <f t="shared" si="161"/>
        <v>0</v>
      </c>
    </row>
    <row r="88" spans="1:84" ht="24">
      <c r="A88" s="2237"/>
      <c r="B88" s="2238">
        <v>2030501</v>
      </c>
      <c r="C88" s="2227">
        <v>2070115</v>
      </c>
      <c r="D88" s="2250">
        <v>0.1</v>
      </c>
      <c r="E88" s="2240" t="s">
        <v>653</v>
      </c>
      <c r="F88" s="2242">
        <f t="shared" si="120"/>
        <v>0</v>
      </c>
      <c r="G88" s="4376">
        <f t="shared" si="121"/>
        <v>0</v>
      </c>
      <c r="H88" s="2241">
        <f t="shared" si="122"/>
        <v>0</v>
      </c>
      <c r="I88" s="2242">
        <f t="shared" si="123"/>
        <v>0</v>
      </c>
      <c r="J88" s="2243">
        <f t="shared" si="124"/>
        <v>0</v>
      </c>
      <c r="K88" s="2243">
        <f t="shared" si="125"/>
        <v>0</v>
      </c>
      <c r="L88" s="2243">
        <f t="shared" si="126"/>
        <v>0</v>
      </c>
      <c r="M88" s="2244">
        <f t="shared" si="127"/>
        <v>0</v>
      </c>
      <c r="N88" s="2245">
        <f t="shared" si="128"/>
        <v>0</v>
      </c>
      <c r="O88" s="1304"/>
      <c r="P88" s="1306"/>
      <c r="Q88" s="1305"/>
      <c r="R88" s="1306"/>
      <c r="S88" s="1307"/>
      <c r="T88" s="1307"/>
      <c r="U88" s="1307"/>
      <c r="V88" s="1307"/>
      <c r="W88" s="1304"/>
      <c r="X88" s="1306"/>
      <c r="Y88" s="1305"/>
      <c r="Z88" s="1306"/>
      <c r="AA88" s="1307"/>
      <c r="AB88" s="1307"/>
      <c r="AC88" s="1307"/>
      <c r="AD88" s="1307"/>
      <c r="AE88" s="1304"/>
      <c r="AF88" s="1306"/>
      <c r="AG88" s="1305"/>
      <c r="AH88" s="1306"/>
      <c r="AI88" s="1307"/>
      <c r="AJ88" s="1307"/>
      <c r="AK88" s="1307"/>
      <c r="AL88" s="1308"/>
      <c r="AM88" s="1309"/>
      <c r="AN88" s="1310"/>
      <c r="AO88" s="2246" t="s">
        <v>676</v>
      </c>
      <c r="AP88" s="1306"/>
      <c r="AQ88" s="1306"/>
      <c r="AR88" s="1305"/>
      <c r="AS88" s="1306"/>
      <c r="AT88" s="1307"/>
      <c r="AU88" s="1307"/>
      <c r="AV88" s="1307"/>
      <c r="AW88" s="1305"/>
      <c r="AX88" s="2252" t="s">
        <v>654</v>
      </c>
      <c r="AY88" s="4775"/>
      <c r="AZ88" s="4794">
        <f t="shared" si="129"/>
        <v>0</v>
      </c>
      <c r="BA88" s="4794">
        <f t="shared" si="130"/>
        <v>0</v>
      </c>
      <c r="BB88" s="4794">
        <f t="shared" si="131"/>
        <v>0</v>
      </c>
      <c r="BC88" s="4794">
        <f t="shared" si="132"/>
        <v>0</v>
      </c>
      <c r="BD88" s="4794">
        <f t="shared" si="133"/>
        <v>0</v>
      </c>
      <c r="BE88" s="4794">
        <f t="shared" si="134"/>
        <v>0</v>
      </c>
      <c r="BF88" s="4794">
        <f t="shared" si="135"/>
        <v>0</v>
      </c>
      <c r="BG88" s="4794">
        <f t="shared" si="136"/>
        <v>0</v>
      </c>
      <c r="BH88" s="4794">
        <f t="shared" si="137"/>
        <v>0</v>
      </c>
      <c r="BI88" s="4794">
        <f t="shared" si="138"/>
        <v>0</v>
      </c>
      <c r="BJ88" s="4794">
        <f t="shared" si="139"/>
        <v>0</v>
      </c>
      <c r="BK88" s="4794">
        <f t="shared" si="140"/>
        <v>0</v>
      </c>
      <c r="BL88" s="4794">
        <f t="shared" si="141"/>
        <v>0</v>
      </c>
      <c r="BM88" s="4794">
        <f t="shared" si="142"/>
        <v>0</v>
      </c>
      <c r="BN88" s="4794">
        <f t="shared" si="143"/>
        <v>0</v>
      </c>
      <c r="BO88" s="4794">
        <f t="shared" si="144"/>
        <v>0</v>
      </c>
      <c r="BP88" s="4794">
        <f t="shared" si="145"/>
        <v>0</v>
      </c>
      <c r="BQ88" s="4794">
        <f t="shared" si="146"/>
        <v>0</v>
      </c>
      <c r="BR88" s="4794">
        <f t="shared" si="147"/>
        <v>0</v>
      </c>
      <c r="BS88" s="4794">
        <f t="shared" si="148"/>
        <v>0</v>
      </c>
      <c r="BT88" s="4794">
        <f t="shared" si="149"/>
        <v>0</v>
      </c>
      <c r="BU88" s="4794">
        <f t="shared" si="150"/>
        <v>0</v>
      </c>
      <c r="BV88" s="4794">
        <f t="shared" si="151"/>
        <v>0</v>
      </c>
      <c r="BW88" s="4794">
        <f t="shared" si="152"/>
        <v>0</v>
      </c>
      <c r="BX88" s="4794">
        <f t="shared" si="153"/>
        <v>0</v>
      </c>
      <c r="BY88" s="4794">
        <f t="shared" si="154"/>
        <v>0</v>
      </c>
      <c r="BZ88" s="4794">
        <f t="shared" si="155"/>
        <v>0</v>
      </c>
      <c r="CA88" s="4794">
        <f t="shared" si="156"/>
        <v>0</v>
      </c>
      <c r="CB88" s="4794">
        <f t="shared" si="157"/>
        <v>0</v>
      </c>
      <c r="CC88" s="4794">
        <f t="shared" si="158"/>
        <v>0</v>
      </c>
      <c r="CD88" s="4794">
        <f t="shared" si="159"/>
        <v>0</v>
      </c>
      <c r="CE88" s="4794">
        <f t="shared" si="160"/>
        <v>0</v>
      </c>
      <c r="CF88" s="4794">
        <f t="shared" si="161"/>
        <v>0</v>
      </c>
    </row>
    <row r="89" spans="1:84">
      <c r="A89" s="2237"/>
      <c r="B89" s="2238">
        <v>2030502</v>
      </c>
      <c r="C89" s="2238">
        <v>2070116</v>
      </c>
      <c r="D89" s="2250">
        <v>0.1</v>
      </c>
      <c r="E89" s="2249" t="s">
        <v>368</v>
      </c>
      <c r="F89" s="2242">
        <f t="shared" si="120"/>
        <v>0</v>
      </c>
      <c r="G89" s="4376">
        <f t="shared" si="121"/>
        <v>0</v>
      </c>
      <c r="H89" s="2241">
        <f t="shared" si="122"/>
        <v>0</v>
      </c>
      <c r="I89" s="2242">
        <f t="shared" si="123"/>
        <v>0</v>
      </c>
      <c r="J89" s="2243">
        <f t="shared" si="124"/>
        <v>0</v>
      </c>
      <c r="K89" s="2243">
        <f t="shared" si="125"/>
        <v>0</v>
      </c>
      <c r="L89" s="2243">
        <f t="shared" si="126"/>
        <v>0</v>
      </c>
      <c r="M89" s="2244">
        <f t="shared" si="127"/>
        <v>0</v>
      </c>
      <c r="N89" s="2245">
        <f t="shared" si="128"/>
        <v>0</v>
      </c>
      <c r="O89" s="1304"/>
      <c r="P89" s="1306"/>
      <c r="Q89" s="1305"/>
      <c r="R89" s="1306"/>
      <c r="S89" s="1307"/>
      <c r="T89" s="1307"/>
      <c r="U89" s="1307"/>
      <c r="V89" s="1307"/>
      <c r="W89" s="1304"/>
      <c r="X89" s="1306"/>
      <c r="Y89" s="1305"/>
      <c r="Z89" s="1306"/>
      <c r="AA89" s="1307"/>
      <c r="AB89" s="1307"/>
      <c r="AC89" s="1307"/>
      <c r="AD89" s="1307"/>
      <c r="AE89" s="1304"/>
      <c r="AF89" s="1306"/>
      <c r="AG89" s="1305"/>
      <c r="AH89" s="1306"/>
      <c r="AI89" s="1307"/>
      <c r="AJ89" s="1307"/>
      <c r="AK89" s="1307"/>
      <c r="AL89" s="1308"/>
      <c r="AM89" s="1309"/>
      <c r="AN89" s="1311"/>
      <c r="AO89" s="2246" t="s">
        <v>676</v>
      </c>
      <c r="AP89" s="1306"/>
      <c r="AQ89" s="1306"/>
      <c r="AR89" s="1305"/>
      <c r="AS89" s="1306"/>
      <c r="AT89" s="1307"/>
      <c r="AU89" s="1307"/>
      <c r="AV89" s="1307"/>
      <c r="AW89" s="1305"/>
      <c r="AX89" s="2252" t="s">
        <v>708</v>
      </c>
      <c r="AY89" s="4775"/>
      <c r="AZ89" s="4794">
        <f t="shared" si="129"/>
        <v>0</v>
      </c>
      <c r="BA89" s="4794">
        <f t="shared" si="130"/>
        <v>0</v>
      </c>
      <c r="BB89" s="4794">
        <f t="shared" si="131"/>
        <v>0</v>
      </c>
      <c r="BC89" s="4794">
        <f t="shared" si="132"/>
        <v>0</v>
      </c>
      <c r="BD89" s="4794">
        <f t="shared" si="133"/>
        <v>0</v>
      </c>
      <c r="BE89" s="4794">
        <f t="shared" si="134"/>
        <v>0</v>
      </c>
      <c r="BF89" s="4794">
        <f t="shared" si="135"/>
        <v>0</v>
      </c>
      <c r="BG89" s="4794">
        <f t="shared" si="136"/>
        <v>0</v>
      </c>
      <c r="BH89" s="4794">
        <f t="shared" si="137"/>
        <v>0</v>
      </c>
      <c r="BI89" s="4794">
        <f t="shared" si="138"/>
        <v>0</v>
      </c>
      <c r="BJ89" s="4794">
        <f t="shared" si="139"/>
        <v>0</v>
      </c>
      <c r="BK89" s="4794">
        <f t="shared" si="140"/>
        <v>0</v>
      </c>
      <c r="BL89" s="4794">
        <f t="shared" si="141"/>
        <v>0</v>
      </c>
      <c r="BM89" s="4794">
        <f t="shared" si="142"/>
        <v>0</v>
      </c>
      <c r="BN89" s="4794">
        <f t="shared" si="143"/>
        <v>0</v>
      </c>
      <c r="BO89" s="4794">
        <f t="shared" si="144"/>
        <v>0</v>
      </c>
      <c r="BP89" s="4794">
        <f t="shared" si="145"/>
        <v>0</v>
      </c>
      <c r="BQ89" s="4794">
        <f t="shared" si="146"/>
        <v>0</v>
      </c>
      <c r="BR89" s="4794">
        <f t="shared" si="147"/>
        <v>0</v>
      </c>
      <c r="BS89" s="4794">
        <f t="shared" si="148"/>
        <v>0</v>
      </c>
      <c r="BT89" s="4794">
        <f t="shared" si="149"/>
        <v>0</v>
      </c>
      <c r="BU89" s="4794">
        <f t="shared" si="150"/>
        <v>0</v>
      </c>
      <c r="BV89" s="4794">
        <f t="shared" si="151"/>
        <v>0</v>
      </c>
      <c r="BW89" s="4794">
        <f t="shared" si="152"/>
        <v>0</v>
      </c>
      <c r="BX89" s="4794">
        <f t="shared" si="153"/>
        <v>0</v>
      </c>
      <c r="BY89" s="4794">
        <f t="shared" si="154"/>
        <v>0</v>
      </c>
      <c r="BZ89" s="4794">
        <f t="shared" si="155"/>
        <v>0</v>
      </c>
      <c r="CA89" s="4794">
        <f t="shared" si="156"/>
        <v>0</v>
      </c>
      <c r="CB89" s="4794">
        <f t="shared" si="157"/>
        <v>0</v>
      </c>
      <c r="CC89" s="4794">
        <f t="shared" si="158"/>
        <v>0</v>
      </c>
      <c r="CD89" s="4794">
        <f t="shared" si="159"/>
        <v>0</v>
      </c>
      <c r="CE89" s="4794">
        <f t="shared" si="160"/>
        <v>0</v>
      </c>
      <c r="CF89" s="4794">
        <f t="shared" si="161"/>
        <v>0</v>
      </c>
    </row>
    <row r="90" spans="1:84" ht="24">
      <c r="A90" s="2237"/>
      <c r="B90" s="2238">
        <v>215</v>
      </c>
      <c r="C90" s="2227">
        <v>2070117</v>
      </c>
      <c r="D90" s="2248">
        <v>0.2</v>
      </c>
      <c r="E90" s="2240" t="s">
        <v>369</v>
      </c>
      <c r="F90" s="2242">
        <f t="shared" si="120"/>
        <v>0</v>
      </c>
      <c r="G90" s="4376">
        <f t="shared" si="121"/>
        <v>0</v>
      </c>
      <c r="H90" s="2241">
        <f t="shared" si="122"/>
        <v>0</v>
      </c>
      <c r="I90" s="2242">
        <f t="shared" si="123"/>
        <v>0</v>
      </c>
      <c r="J90" s="2243">
        <f t="shared" si="124"/>
        <v>0</v>
      </c>
      <c r="K90" s="2243">
        <f t="shared" si="125"/>
        <v>0</v>
      </c>
      <c r="L90" s="2243">
        <f t="shared" si="126"/>
        <v>0</v>
      </c>
      <c r="M90" s="2244">
        <f t="shared" si="127"/>
        <v>0</v>
      </c>
      <c r="N90" s="2245">
        <f t="shared" si="128"/>
        <v>0</v>
      </c>
      <c r="O90" s="1304"/>
      <c r="P90" s="1306"/>
      <c r="Q90" s="1305"/>
      <c r="R90" s="1306"/>
      <c r="S90" s="1307"/>
      <c r="T90" s="1307"/>
      <c r="U90" s="1307"/>
      <c r="V90" s="1307"/>
      <c r="W90" s="1304"/>
      <c r="X90" s="1306"/>
      <c r="Y90" s="1305"/>
      <c r="Z90" s="1306"/>
      <c r="AA90" s="1307"/>
      <c r="AB90" s="1307"/>
      <c r="AC90" s="1307"/>
      <c r="AD90" s="1307"/>
      <c r="AE90" s="1304"/>
      <c r="AF90" s="1306"/>
      <c r="AG90" s="1305"/>
      <c r="AH90" s="1306"/>
      <c r="AI90" s="1307"/>
      <c r="AJ90" s="1307"/>
      <c r="AK90" s="1307"/>
      <c r="AL90" s="1308"/>
      <c r="AM90" s="1309"/>
      <c r="AN90" s="1311"/>
      <c r="AO90" s="2253" t="s">
        <v>313</v>
      </c>
      <c r="AP90" s="1306"/>
      <c r="AQ90" s="1306"/>
      <c r="AR90" s="1305"/>
      <c r="AS90" s="1306"/>
      <c r="AT90" s="1307"/>
      <c r="AU90" s="1307"/>
      <c r="AV90" s="1307"/>
      <c r="AW90" s="1305"/>
      <c r="AX90" s="2247" t="s">
        <v>370</v>
      </c>
      <c r="AY90" s="4775"/>
      <c r="AZ90" s="4794">
        <f t="shared" si="129"/>
        <v>0</v>
      </c>
      <c r="BA90" s="4794">
        <f t="shared" si="130"/>
        <v>0</v>
      </c>
      <c r="BB90" s="4794">
        <f t="shared" si="131"/>
        <v>0</v>
      </c>
      <c r="BC90" s="4794">
        <f t="shared" si="132"/>
        <v>0</v>
      </c>
      <c r="BD90" s="4794">
        <f t="shared" si="133"/>
        <v>0</v>
      </c>
      <c r="BE90" s="4794">
        <f t="shared" si="134"/>
        <v>0</v>
      </c>
      <c r="BF90" s="4794">
        <f t="shared" si="135"/>
        <v>0</v>
      </c>
      <c r="BG90" s="4794">
        <f t="shared" si="136"/>
        <v>0</v>
      </c>
      <c r="BH90" s="4794">
        <f t="shared" si="137"/>
        <v>0</v>
      </c>
      <c r="BI90" s="4794">
        <f t="shared" si="138"/>
        <v>0</v>
      </c>
      <c r="BJ90" s="4794">
        <f t="shared" si="139"/>
        <v>0</v>
      </c>
      <c r="BK90" s="4794">
        <f t="shared" si="140"/>
        <v>0</v>
      </c>
      <c r="BL90" s="4794">
        <f t="shared" si="141"/>
        <v>0</v>
      </c>
      <c r="BM90" s="4794">
        <f t="shared" si="142"/>
        <v>0</v>
      </c>
      <c r="BN90" s="4794">
        <f t="shared" si="143"/>
        <v>0</v>
      </c>
      <c r="BO90" s="4794">
        <f t="shared" si="144"/>
        <v>0</v>
      </c>
      <c r="BP90" s="4794">
        <f t="shared" si="145"/>
        <v>0</v>
      </c>
      <c r="BQ90" s="4794">
        <f t="shared" si="146"/>
        <v>0</v>
      </c>
      <c r="BR90" s="4794">
        <f t="shared" si="147"/>
        <v>0</v>
      </c>
      <c r="BS90" s="4794">
        <f t="shared" si="148"/>
        <v>0</v>
      </c>
      <c r="BT90" s="4794">
        <f t="shared" si="149"/>
        <v>0</v>
      </c>
      <c r="BU90" s="4794">
        <f t="shared" si="150"/>
        <v>0</v>
      </c>
      <c r="BV90" s="4794">
        <f t="shared" si="151"/>
        <v>0</v>
      </c>
      <c r="BW90" s="4794">
        <f t="shared" si="152"/>
        <v>0</v>
      </c>
      <c r="BX90" s="4794">
        <f t="shared" si="153"/>
        <v>0</v>
      </c>
      <c r="BY90" s="4794">
        <f t="shared" si="154"/>
        <v>0</v>
      </c>
      <c r="BZ90" s="4794">
        <f t="shared" si="155"/>
        <v>0</v>
      </c>
      <c r="CA90" s="4794">
        <f t="shared" si="156"/>
        <v>0</v>
      </c>
      <c r="CB90" s="4794">
        <f t="shared" si="157"/>
        <v>0</v>
      </c>
      <c r="CC90" s="4794">
        <f t="shared" si="158"/>
        <v>0</v>
      </c>
      <c r="CD90" s="4794">
        <f t="shared" si="159"/>
        <v>0</v>
      </c>
      <c r="CE90" s="4794">
        <f t="shared" si="160"/>
        <v>0</v>
      </c>
      <c r="CF90" s="4794">
        <f t="shared" si="161"/>
        <v>0</v>
      </c>
    </row>
    <row r="91" spans="1:84">
      <c r="A91" s="2237"/>
      <c r="B91" s="2238">
        <v>2030503</v>
      </c>
      <c r="C91" s="2238">
        <v>2070118</v>
      </c>
      <c r="D91" s="2239">
        <v>0.1</v>
      </c>
      <c r="E91" s="2240" t="s">
        <v>664</v>
      </c>
      <c r="F91" s="2242">
        <f t="shared" si="120"/>
        <v>0</v>
      </c>
      <c r="G91" s="4376">
        <f t="shared" si="121"/>
        <v>0</v>
      </c>
      <c r="H91" s="2241">
        <f t="shared" si="122"/>
        <v>0</v>
      </c>
      <c r="I91" s="2242">
        <f t="shared" si="123"/>
        <v>0</v>
      </c>
      <c r="J91" s="2243">
        <f t="shared" si="124"/>
        <v>0</v>
      </c>
      <c r="K91" s="2243">
        <f t="shared" si="125"/>
        <v>0</v>
      </c>
      <c r="L91" s="2243">
        <f t="shared" si="126"/>
        <v>0</v>
      </c>
      <c r="M91" s="2244">
        <f t="shared" si="127"/>
        <v>0</v>
      </c>
      <c r="N91" s="2245">
        <f t="shared" si="128"/>
        <v>0</v>
      </c>
      <c r="O91" s="1304"/>
      <c r="P91" s="1306"/>
      <c r="Q91" s="1305"/>
      <c r="R91" s="1306"/>
      <c r="S91" s="1307"/>
      <c r="T91" s="1307"/>
      <c r="U91" s="1307"/>
      <c r="V91" s="1307"/>
      <c r="W91" s="1304"/>
      <c r="X91" s="1306"/>
      <c r="Y91" s="1305"/>
      <c r="Z91" s="1306"/>
      <c r="AA91" s="1307"/>
      <c r="AB91" s="1307"/>
      <c r="AC91" s="1307"/>
      <c r="AD91" s="1307"/>
      <c r="AE91" s="1304"/>
      <c r="AF91" s="1306"/>
      <c r="AG91" s="1305"/>
      <c r="AH91" s="1306"/>
      <c r="AI91" s="1307"/>
      <c r="AJ91" s="1307"/>
      <c r="AK91" s="1307"/>
      <c r="AL91" s="1308"/>
      <c r="AM91" s="1309"/>
      <c r="AN91" s="1310"/>
      <c r="AO91" s="2246" t="s">
        <v>676</v>
      </c>
      <c r="AP91" s="1306"/>
      <c r="AQ91" s="1306"/>
      <c r="AR91" s="1305"/>
      <c r="AS91" s="1306"/>
      <c r="AT91" s="1307"/>
      <c r="AU91" s="1307"/>
      <c r="AV91" s="1307"/>
      <c r="AW91" s="1305"/>
      <c r="AX91" s="2247" t="s">
        <v>371</v>
      </c>
      <c r="AY91" s="4775"/>
      <c r="AZ91" s="4794">
        <f t="shared" si="129"/>
        <v>0</v>
      </c>
      <c r="BA91" s="4794">
        <f t="shared" si="130"/>
        <v>0</v>
      </c>
      <c r="BB91" s="4794">
        <f t="shared" si="131"/>
        <v>0</v>
      </c>
      <c r="BC91" s="4794">
        <f t="shared" si="132"/>
        <v>0</v>
      </c>
      <c r="BD91" s="4794">
        <f t="shared" si="133"/>
        <v>0</v>
      </c>
      <c r="BE91" s="4794">
        <f t="shared" si="134"/>
        <v>0</v>
      </c>
      <c r="BF91" s="4794">
        <f t="shared" si="135"/>
        <v>0</v>
      </c>
      <c r="BG91" s="4794">
        <f t="shared" si="136"/>
        <v>0</v>
      </c>
      <c r="BH91" s="4794">
        <f t="shared" si="137"/>
        <v>0</v>
      </c>
      <c r="BI91" s="4794">
        <f t="shared" si="138"/>
        <v>0</v>
      </c>
      <c r="BJ91" s="4794">
        <f t="shared" si="139"/>
        <v>0</v>
      </c>
      <c r="BK91" s="4794">
        <f t="shared" si="140"/>
        <v>0</v>
      </c>
      <c r="BL91" s="4794">
        <f t="shared" si="141"/>
        <v>0</v>
      </c>
      <c r="BM91" s="4794">
        <f t="shared" si="142"/>
        <v>0</v>
      </c>
      <c r="BN91" s="4794">
        <f t="shared" si="143"/>
        <v>0</v>
      </c>
      <c r="BO91" s="4794">
        <f t="shared" si="144"/>
        <v>0</v>
      </c>
      <c r="BP91" s="4794">
        <f t="shared" si="145"/>
        <v>0</v>
      </c>
      <c r="BQ91" s="4794">
        <f t="shared" si="146"/>
        <v>0</v>
      </c>
      <c r="BR91" s="4794">
        <f t="shared" si="147"/>
        <v>0</v>
      </c>
      <c r="BS91" s="4794">
        <f t="shared" si="148"/>
        <v>0</v>
      </c>
      <c r="BT91" s="4794">
        <f t="shared" si="149"/>
        <v>0</v>
      </c>
      <c r="BU91" s="4794">
        <f t="shared" si="150"/>
        <v>0</v>
      </c>
      <c r="BV91" s="4794">
        <f t="shared" si="151"/>
        <v>0</v>
      </c>
      <c r="BW91" s="4794">
        <f t="shared" si="152"/>
        <v>0</v>
      </c>
      <c r="BX91" s="4794">
        <f t="shared" si="153"/>
        <v>0</v>
      </c>
      <c r="BY91" s="4794">
        <f t="shared" si="154"/>
        <v>0</v>
      </c>
      <c r="BZ91" s="4794">
        <f t="shared" si="155"/>
        <v>0</v>
      </c>
      <c r="CA91" s="4794">
        <f t="shared" si="156"/>
        <v>0</v>
      </c>
      <c r="CB91" s="4794">
        <f t="shared" si="157"/>
        <v>0</v>
      </c>
      <c r="CC91" s="4794">
        <f t="shared" si="158"/>
        <v>0</v>
      </c>
      <c r="CD91" s="4794">
        <f t="shared" si="159"/>
        <v>0</v>
      </c>
      <c r="CE91" s="4794">
        <f t="shared" si="160"/>
        <v>0</v>
      </c>
      <c r="CF91" s="4794">
        <f t="shared" si="161"/>
        <v>0</v>
      </c>
    </row>
    <row r="92" spans="1:84">
      <c r="A92" s="2254"/>
      <c r="B92" s="2238">
        <v>20302</v>
      </c>
      <c r="C92" s="2227">
        <v>2070119</v>
      </c>
      <c r="D92" s="2239">
        <v>0.1</v>
      </c>
      <c r="E92" s="2240" t="s">
        <v>372</v>
      </c>
      <c r="F92" s="2242">
        <f t="shared" si="120"/>
        <v>0</v>
      </c>
      <c r="G92" s="4376">
        <f t="shared" si="121"/>
        <v>0</v>
      </c>
      <c r="H92" s="2241">
        <f t="shared" si="122"/>
        <v>0</v>
      </c>
      <c r="I92" s="2242">
        <f t="shared" si="123"/>
        <v>0</v>
      </c>
      <c r="J92" s="2243">
        <f t="shared" si="124"/>
        <v>0</v>
      </c>
      <c r="K92" s="2243">
        <f t="shared" si="125"/>
        <v>0</v>
      </c>
      <c r="L92" s="2243">
        <f t="shared" si="126"/>
        <v>0</v>
      </c>
      <c r="M92" s="2244">
        <f t="shared" si="127"/>
        <v>0</v>
      </c>
      <c r="N92" s="2245">
        <f t="shared" si="128"/>
        <v>0</v>
      </c>
      <c r="O92" s="1304"/>
      <c r="P92" s="1306"/>
      <c r="Q92" s="1305"/>
      <c r="R92" s="1306"/>
      <c r="S92" s="1307"/>
      <c r="T92" s="1307"/>
      <c r="U92" s="1307"/>
      <c r="V92" s="1307"/>
      <c r="W92" s="1304"/>
      <c r="X92" s="1306"/>
      <c r="Y92" s="1305"/>
      <c r="Z92" s="1306"/>
      <c r="AA92" s="1307"/>
      <c r="AB92" s="1307"/>
      <c r="AC92" s="1307"/>
      <c r="AD92" s="1307"/>
      <c r="AE92" s="1304"/>
      <c r="AF92" s="1306"/>
      <c r="AG92" s="1305"/>
      <c r="AH92" s="1306"/>
      <c r="AI92" s="1307"/>
      <c r="AJ92" s="1307"/>
      <c r="AK92" s="1307"/>
      <c r="AL92" s="1308"/>
      <c r="AM92" s="1309"/>
      <c r="AN92" s="1310"/>
      <c r="AO92" s="2246" t="s">
        <v>676</v>
      </c>
      <c r="AP92" s="1306"/>
      <c r="AQ92" s="1306"/>
      <c r="AR92" s="1305"/>
      <c r="AS92" s="1306"/>
      <c r="AT92" s="1307"/>
      <c r="AU92" s="1307"/>
      <c r="AV92" s="1307"/>
      <c r="AW92" s="1305"/>
      <c r="AX92" s="2247" t="s">
        <v>373</v>
      </c>
      <c r="AY92" s="4775"/>
      <c r="AZ92" s="4794">
        <f t="shared" si="129"/>
        <v>0</v>
      </c>
      <c r="BA92" s="4794">
        <f t="shared" si="130"/>
        <v>0</v>
      </c>
      <c r="BB92" s="4794">
        <f t="shared" si="131"/>
        <v>0</v>
      </c>
      <c r="BC92" s="4794">
        <f t="shared" si="132"/>
        <v>0</v>
      </c>
      <c r="BD92" s="4794">
        <f t="shared" si="133"/>
        <v>0</v>
      </c>
      <c r="BE92" s="4794">
        <f t="shared" si="134"/>
        <v>0</v>
      </c>
      <c r="BF92" s="4794">
        <f t="shared" si="135"/>
        <v>0</v>
      </c>
      <c r="BG92" s="4794">
        <f t="shared" si="136"/>
        <v>0</v>
      </c>
      <c r="BH92" s="4794">
        <f t="shared" si="137"/>
        <v>0</v>
      </c>
      <c r="BI92" s="4794">
        <f t="shared" si="138"/>
        <v>0</v>
      </c>
      <c r="BJ92" s="4794">
        <f t="shared" si="139"/>
        <v>0</v>
      </c>
      <c r="BK92" s="4794">
        <f t="shared" si="140"/>
        <v>0</v>
      </c>
      <c r="BL92" s="4794">
        <f t="shared" si="141"/>
        <v>0</v>
      </c>
      <c r="BM92" s="4794">
        <f t="shared" si="142"/>
        <v>0</v>
      </c>
      <c r="BN92" s="4794">
        <f t="shared" si="143"/>
        <v>0</v>
      </c>
      <c r="BO92" s="4794">
        <f t="shared" si="144"/>
        <v>0</v>
      </c>
      <c r="BP92" s="4794">
        <f t="shared" si="145"/>
        <v>0</v>
      </c>
      <c r="BQ92" s="4794">
        <f t="shared" si="146"/>
        <v>0</v>
      </c>
      <c r="BR92" s="4794">
        <f t="shared" si="147"/>
        <v>0</v>
      </c>
      <c r="BS92" s="4794">
        <f t="shared" si="148"/>
        <v>0</v>
      </c>
      <c r="BT92" s="4794">
        <f t="shared" si="149"/>
        <v>0</v>
      </c>
      <c r="BU92" s="4794">
        <f t="shared" si="150"/>
        <v>0</v>
      </c>
      <c r="BV92" s="4794">
        <f t="shared" si="151"/>
        <v>0</v>
      </c>
      <c r="BW92" s="4794">
        <f t="shared" si="152"/>
        <v>0</v>
      </c>
      <c r="BX92" s="4794">
        <f t="shared" si="153"/>
        <v>0</v>
      </c>
      <c r="BY92" s="4794">
        <f t="shared" si="154"/>
        <v>0</v>
      </c>
      <c r="BZ92" s="4794">
        <f t="shared" si="155"/>
        <v>0</v>
      </c>
      <c r="CA92" s="4794">
        <f t="shared" si="156"/>
        <v>0</v>
      </c>
      <c r="CB92" s="4794">
        <f t="shared" si="157"/>
        <v>0</v>
      </c>
      <c r="CC92" s="4794">
        <f t="shared" si="158"/>
        <v>0</v>
      </c>
      <c r="CD92" s="4794">
        <f t="shared" si="159"/>
        <v>0</v>
      </c>
      <c r="CE92" s="4794">
        <f t="shared" si="160"/>
        <v>0</v>
      </c>
      <c r="CF92" s="4794">
        <f t="shared" si="161"/>
        <v>0</v>
      </c>
    </row>
    <row r="93" spans="1:84" ht="24">
      <c r="A93" s="2254"/>
      <c r="B93" s="2238">
        <v>20502</v>
      </c>
      <c r="C93" s="2238">
        <v>2070120</v>
      </c>
      <c r="D93" s="2239">
        <v>0.1</v>
      </c>
      <c r="E93" s="2240" t="s">
        <v>374</v>
      </c>
      <c r="F93" s="2242">
        <f t="shared" si="120"/>
        <v>0</v>
      </c>
      <c r="G93" s="4376">
        <f t="shared" si="121"/>
        <v>0</v>
      </c>
      <c r="H93" s="2241">
        <f t="shared" si="122"/>
        <v>0</v>
      </c>
      <c r="I93" s="2242">
        <f t="shared" si="123"/>
        <v>0</v>
      </c>
      <c r="J93" s="2243">
        <f t="shared" si="124"/>
        <v>0</v>
      </c>
      <c r="K93" s="2243">
        <f t="shared" si="125"/>
        <v>0</v>
      </c>
      <c r="L93" s="2243">
        <f t="shared" si="126"/>
        <v>0</v>
      </c>
      <c r="M93" s="2244">
        <f t="shared" si="127"/>
        <v>0</v>
      </c>
      <c r="N93" s="2245">
        <f t="shared" si="128"/>
        <v>0</v>
      </c>
      <c r="O93" s="1304"/>
      <c r="P93" s="1306"/>
      <c r="Q93" s="1305"/>
      <c r="R93" s="1306"/>
      <c r="S93" s="1307"/>
      <c r="T93" s="1307"/>
      <c r="U93" s="1307"/>
      <c r="V93" s="1307"/>
      <c r="W93" s="1304"/>
      <c r="X93" s="1306"/>
      <c r="Y93" s="1305"/>
      <c r="Z93" s="1306"/>
      <c r="AA93" s="1307"/>
      <c r="AB93" s="1307"/>
      <c r="AC93" s="1307"/>
      <c r="AD93" s="1307"/>
      <c r="AE93" s="1304"/>
      <c r="AF93" s="1306"/>
      <c r="AG93" s="1305"/>
      <c r="AH93" s="1306"/>
      <c r="AI93" s="1307"/>
      <c r="AJ93" s="1307"/>
      <c r="AK93" s="1307"/>
      <c r="AL93" s="1308"/>
      <c r="AM93" s="1309"/>
      <c r="AN93" s="1311"/>
      <c r="AO93" s="2246" t="s">
        <v>676</v>
      </c>
      <c r="AP93" s="1306"/>
      <c r="AQ93" s="1306"/>
      <c r="AR93" s="1305"/>
      <c r="AS93" s="1306"/>
      <c r="AT93" s="1307"/>
      <c r="AU93" s="1307"/>
      <c r="AV93" s="1307"/>
      <c r="AW93" s="1305"/>
      <c r="AX93" s="2247" t="s">
        <v>375</v>
      </c>
      <c r="AY93" s="4775"/>
      <c r="AZ93" s="4794">
        <f t="shared" si="129"/>
        <v>0</v>
      </c>
      <c r="BA93" s="4794">
        <f t="shared" si="130"/>
        <v>0</v>
      </c>
      <c r="BB93" s="4794">
        <f t="shared" si="131"/>
        <v>0</v>
      </c>
      <c r="BC93" s="4794">
        <f t="shared" si="132"/>
        <v>0</v>
      </c>
      <c r="BD93" s="4794">
        <f t="shared" si="133"/>
        <v>0</v>
      </c>
      <c r="BE93" s="4794">
        <f t="shared" si="134"/>
        <v>0</v>
      </c>
      <c r="BF93" s="4794">
        <f t="shared" si="135"/>
        <v>0</v>
      </c>
      <c r="BG93" s="4794">
        <f t="shared" si="136"/>
        <v>0</v>
      </c>
      <c r="BH93" s="4794">
        <f t="shared" si="137"/>
        <v>0</v>
      </c>
      <c r="BI93" s="4794">
        <f t="shared" si="138"/>
        <v>0</v>
      </c>
      <c r="BJ93" s="4794">
        <f t="shared" si="139"/>
        <v>0</v>
      </c>
      <c r="BK93" s="4794">
        <f t="shared" si="140"/>
        <v>0</v>
      </c>
      <c r="BL93" s="4794">
        <f t="shared" si="141"/>
        <v>0</v>
      </c>
      <c r="BM93" s="4794">
        <f t="shared" si="142"/>
        <v>0</v>
      </c>
      <c r="BN93" s="4794">
        <f t="shared" si="143"/>
        <v>0</v>
      </c>
      <c r="BO93" s="4794">
        <f t="shared" si="144"/>
        <v>0</v>
      </c>
      <c r="BP93" s="4794">
        <f t="shared" si="145"/>
        <v>0</v>
      </c>
      <c r="BQ93" s="4794">
        <f t="shared" si="146"/>
        <v>0</v>
      </c>
      <c r="BR93" s="4794">
        <f t="shared" si="147"/>
        <v>0</v>
      </c>
      <c r="BS93" s="4794">
        <f t="shared" si="148"/>
        <v>0</v>
      </c>
      <c r="BT93" s="4794">
        <f t="shared" si="149"/>
        <v>0</v>
      </c>
      <c r="BU93" s="4794">
        <f t="shared" si="150"/>
        <v>0</v>
      </c>
      <c r="BV93" s="4794">
        <f t="shared" si="151"/>
        <v>0</v>
      </c>
      <c r="BW93" s="4794">
        <f t="shared" si="152"/>
        <v>0</v>
      </c>
      <c r="BX93" s="4794">
        <f t="shared" si="153"/>
        <v>0</v>
      </c>
      <c r="BY93" s="4794">
        <f t="shared" si="154"/>
        <v>0</v>
      </c>
      <c r="BZ93" s="4794">
        <f t="shared" si="155"/>
        <v>0</v>
      </c>
      <c r="CA93" s="4794">
        <f t="shared" si="156"/>
        <v>0</v>
      </c>
      <c r="CB93" s="4794">
        <f t="shared" si="157"/>
        <v>0</v>
      </c>
      <c r="CC93" s="4794">
        <f t="shared" si="158"/>
        <v>0</v>
      </c>
      <c r="CD93" s="4794">
        <f t="shared" si="159"/>
        <v>0</v>
      </c>
      <c r="CE93" s="4794">
        <f t="shared" si="160"/>
        <v>0</v>
      </c>
      <c r="CF93" s="4794">
        <f t="shared" si="161"/>
        <v>0</v>
      </c>
    </row>
    <row r="94" spans="1:84" ht="24">
      <c r="A94" s="2254"/>
      <c r="B94" s="2238">
        <v>20501</v>
      </c>
      <c r="C94" s="2227">
        <v>2070121</v>
      </c>
      <c r="D94" s="2239">
        <v>0.08</v>
      </c>
      <c r="E94" s="2240" t="s">
        <v>376</v>
      </c>
      <c r="F94" s="2242">
        <f t="shared" si="120"/>
        <v>0</v>
      </c>
      <c r="G94" s="4376">
        <f t="shared" si="121"/>
        <v>0</v>
      </c>
      <c r="H94" s="2241">
        <f t="shared" si="122"/>
        <v>0</v>
      </c>
      <c r="I94" s="2242">
        <f t="shared" si="123"/>
        <v>0</v>
      </c>
      <c r="J94" s="2243">
        <f t="shared" si="124"/>
        <v>0</v>
      </c>
      <c r="K94" s="2243">
        <f t="shared" si="125"/>
        <v>0</v>
      </c>
      <c r="L94" s="2243">
        <f t="shared" si="126"/>
        <v>0</v>
      </c>
      <c r="M94" s="2244">
        <f t="shared" si="127"/>
        <v>0</v>
      </c>
      <c r="N94" s="2245">
        <f t="shared" si="128"/>
        <v>0</v>
      </c>
      <c r="O94" s="1304"/>
      <c r="P94" s="1306"/>
      <c r="Q94" s="1305"/>
      <c r="R94" s="1306"/>
      <c r="S94" s="1307"/>
      <c r="T94" s="1307"/>
      <c r="U94" s="1307"/>
      <c r="V94" s="1307"/>
      <c r="W94" s="1304"/>
      <c r="X94" s="1306"/>
      <c r="Y94" s="1305"/>
      <c r="Z94" s="1306"/>
      <c r="AA94" s="1307"/>
      <c r="AB94" s="1307"/>
      <c r="AC94" s="1307"/>
      <c r="AD94" s="1307"/>
      <c r="AE94" s="1304"/>
      <c r="AF94" s="1306"/>
      <c r="AG94" s="1305"/>
      <c r="AH94" s="1306"/>
      <c r="AI94" s="1307"/>
      <c r="AJ94" s="1307"/>
      <c r="AK94" s="1307"/>
      <c r="AL94" s="1308"/>
      <c r="AM94" s="1309"/>
      <c r="AN94" s="1311"/>
      <c r="AO94" s="2246" t="s">
        <v>676</v>
      </c>
      <c r="AP94" s="1306"/>
      <c r="AQ94" s="1306"/>
      <c r="AR94" s="1305"/>
      <c r="AS94" s="1306"/>
      <c r="AT94" s="1307"/>
      <c r="AU94" s="1307"/>
      <c r="AV94" s="1307"/>
      <c r="AW94" s="1305"/>
      <c r="AX94" s="2247" t="s">
        <v>375</v>
      </c>
      <c r="AY94" s="4775"/>
      <c r="AZ94" s="4794">
        <f t="shared" si="129"/>
        <v>0</v>
      </c>
      <c r="BA94" s="4794">
        <f t="shared" si="130"/>
        <v>0</v>
      </c>
      <c r="BB94" s="4794">
        <f t="shared" si="131"/>
        <v>0</v>
      </c>
      <c r="BC94" s="4794">
        <f t="shared" si="132"/>
        <v>0</v>
      </c>
      <c r="BD94" s="4794">
        <f t="shared" si="133"/>
        <v>0</v>
      </c>
      <c r="BE94" s="4794">
        <f t="shared" si="134"/>
        <v>0</v>
      </c>
      <c r="BF94" s="4794">
        <f t="shared" si="135"/>
        <v>0</v>
      </c>
      <c r="BG94" s="4794">
        <f t="shared" si="136"/>
        <v>0</v>
      </c>
      <c r="BH94" s="4794">
        <f t="shared" si="137"/>
        <v>0</v>
      </c>
      <c r="BI94" s="4794">
        <f t="shared" si="138"/>
        <v>0</v>
      </c>
      <c r="BJ94" s="4794">
        <f t="shared" si="139"/>
        <v>0</v>
      </c>
      <c r="BK94" s="4794">
        <f t="shared" si="140"/>
        <v>0</v>
      </c>
      <c r="BL94" s="4794">
        <f t="shared" si="141"/>
        <v>0</v>
      </c>
      <c r="BM94" s="4794">
        <f t="shared" si="142"/>
        <v>0</v>
      </c>
      <c r="BN94" s="4794">
        <f t="shared" si="143"/>
        <v>0</v>
      </c>
      <c r="BO94" s="4794">
        <f t="shared" si="144"/>
        <v>0</v>
      </c>
      <c r="BP94" s="4794">
        <f t="shared" si="145"/>
        <v>0</v>
      </c>
      <c r="BQ94" s="4794">
        <f t="shared" si="146"/>
        <v>0</v>
      </c>
      <c r="BR94" s="4794">
        <f t="shared" si="147"/>
        <v>0</v>
      </c>
      <c r="BS94" s="4794">
        <f t="shared" si="148"/>
        <v>0</v>
      </c>
      <c r="BT94" s="4794">
        <f t="shared" si="149"/>
        <v>0</v>
      </c>
      <c r="BU94" s="4794">
        <f t="shared" si="150"/>
        <v>0</v>
      </c>
      <c r="BV94" s="4794">
        <f t="shared" si="151"/>
        <v>0</v>
      </c>
      <c r="BW94" s="4794">
        <f t="shared" si="152"/>
        <v>0</v>
      </c>
      <c r="BX94" s="4794">
        <f t="shared" si="153"/>
        <v>0</v>
      </c>
      <c r="BY94" s="4794">
        <f t="shared" si="154"/>
        <v>0</v>
      </c>
      <c r="BZ94" s="4794">
        <f t="shared" si="155"/>
        <v>0</v>
      </c>
      <c r="CA94" s="4794">
        <f t="shared" si="156"/>
        <v>0</v>
      </c>
      <c r="CB94" s="4794">
        <f t="shared" si="157"/>
        <v>0</v>
      </c>
      <c r="CC94" s="4794">
        <f t="shared" si="158"/>
        <v>0</v>
      </c>
      <c r="CD94" s="4794">
        <f t="shared" si="159"/>
        <v>0</v>
      </c>
      <c r="CE94" s="4794">
        <f t="shared" si="160"/>
        <v>0</v>
      </c>
      <c r="CF94" s="4794">
        <f t="shared" si="161"/>
        <v>0</v>
      </c>
    </row>
    <row r="95" spans="1:84">
      <c r="A95" s="2254"/>
      <c r="B95" s="2238">
        <v>20503</v>
      </c>
      <c r="C95" s="2238">
        <v>2070122</v>
      </c>
      <c r="D95" s="2239">
        <v>0.1</v>
      </c>
      <c r="E95" s="2249" t="s">
        <v>674</v>
      </c>
      <c r="F95" s="2242">
        <f t="shared" si="120"/>
        <v>0</v>
      </c>
      <c r="G95" s="4376">
        <f t="shared" si="121"/>
        <v>0</v>
      </c>
      <c r="H95" s="2241">
        <f t="shared" si="122"/>
        <v>0</v>
      </c>
      <c r="I95" s="2242">
        <f t="shared" si="123"/>
        <v>0</v>
      </c>
      <c r="J95" s="2243">
        <f t="shared" si="124"/>
        <v>0</v>
      </c>
      <c r="K95" s="2243">
        <f t="shared" si="125"/>
        <v>0</v>
      </c>
      <c r="L95" s="2243">
        <f t="shared" si="126"/>
        <v>0</v>
      </c>
      <c r="M95" s="2244">
        <f t="shared" si="127"/>
        <v>0</v>
      </c>
      <c r="N95" s="2245">
        <f t="shared" si="128"/>
        <v>0</v>
      </c>
      <c r="O95" s="1304"/>
      <c r="P95" s="1306"/>
      <c r="Q95" s="1305"/>
      <c r="R95" s="1306"/>
      <c r="S95" s="1307"/>
      <c r="T95" s="1307"/>
      <c r="U95" s="1307"/>
      <c r="V95" s="1307"/>
      <c r="W95" s="1304"/>
      <c r="X95" s="1306"/>
      <c r="Y95" s="1305"/>
      <c r="Z95" s="1306"/>
      <c r="AA95" s="1307"/>
      <c r="AB95" s="1307"/>
      <c r="AC95" s="1307"/>
      <c r="AD95" s="1307"/>
      <c r="AE95" s="1304"/>
      <c r="AF95" s="1306"/>
      <c r="AG95" s="1305"/>
      <c r="AH95" s="1306"/>
      <c r="AI95" s="1307"/>
      <c r="AJ95" s="1307"/>
      <c r="AK95" s="1307"/>
      <c r="AL95" s="1308"/>
      <c r="AM95" s="1309"/>
      <c r="AN95" s="1310"/>
      <c r="AO95" s="2246" t="s">
        <v>676</v>
      </c>
      <c r="AP95" s="1306"/>
      <c r="AQ95" s="1306"/>
      <c r="AR95" s="1305"/>
      <c r="AS95" s="1306"/>
      <c r="AT95" s="1307"/>
      <c r="AU95" s="1307"/>
      <c r="AV95" s="1307"/>
      <c r="AW95" s="1305"/>
      <c r="AX95" s="2247" t="s">
        <v>375</v>
      </c>
      <c r="AY95" s="4775"/>
      <c r="AZ95" s="4794">
        <f t="shared" si="129"/>
        <v>0</v>
      </c>
      <c r="BA95" s="4794">
        <f t="shared" si="130"/>
        <v>0</v>
      </c>
      <c r="BB95" s="4794">
        <f t="shared" si="131"/>
        <v>0</v>
      </c>
      <c r="BC95" s="4794">
        <f t="shared" si="132"/>
        <v>0</v>
      </c>
      <c r="BD95" s="4794">
        <f t="shared" si="133"/>
        <v>0</v>
      </c>
      <c r="BE95" s="4794">
        <f t="shared" si="134"/>
        <v>0</v>
      </c>
      <c r="BF95" s="4794">
        <f t="shared" si="135"/>
        <v>0</v>
      </c>
      <c r="BG95" s="4794">
        <f t="shared" si="136"/>
        <v>0</v>
      </c>
      <c r="BH95" s="4794">
        <f t="shared" si="137"/>
        <v>0</v>
      </c>
      <c r="BI95" s="4794">
        <f t="shared" si="138"/>
        <v>0</v>
      </c>
      <c r="BJ95" s="4794">
        <f t="shared" si="139"/>
        <v>0</v>
      </c>
      <c r="BK95" s="4794">
        <f t="shared" si="140"/>
        <v>0</v>
      </c>
      <c r="BL95" s="4794">
        <f t="shared" si="141"/>
        <v>0</v>
      </c>
      <c r="BM95" s="4794">
        <f t="shared" si="142"/>
        <v>0</v>
      </c>
      <c r="BN95" s="4794">
        <f t="shared" si="143"/>
        <v>0</v>
      </c>
      <c r="BO95" s="4794">
        <f t="shared" si="144"/>
        <v>0</v>
      </c>
      <c r="BP95" s="4794">
        <f t="shared" si="145"/>
        <v>0</v>
      </c>
      <c r="BQ95" s="4794">
        <f t="shared" si="146"/>
        <v>0</v>
      </c>
      <c r="BR95" s="4794">
        <f t="shared" si="147"/>
        <v>0</v>
      </c>
      <c r="BS95" s="4794">
        <f t="shared" si="148"/>
        <v>0</v>
      </c>
      <c r="BT95" s="4794">
        <f t="shared" si="149"/>
        <v>0</v>
      </c>
      <c r="BU95" s="4794">
        <f t="shared" si="150"/>
        <v>0</v>
      </c>
      <c r="BV95" s="4794">
        <f t="shared" si="151"/>
        <v>0</v>
      </c>
      <c r="BW95" s="4794">
        <f t="shared" si="152"/>
        <v>0</v>
      </c>
      <c r="BX95" s="4794">
        <f t="shared" si="153"/>
        <v>0</v>
      </c>
      <c r="BY95" s="4794">
        <f t="shared" si="154"/>
        <v>0</v>
      </c>
      <c r="BZ95" s="4794">
        <f t="shared" si="155"/>
        <v>0</v>
      </c>
      <c r="CA95" s="4794">
        <f t="shared" si="156"/>
        <v>0</v>
      </c>
      <c r="CB95" s="4794">
        <f t="shared" si="157"/>
        <v>0</v>
      </c>
      <c r="CC95" s="4794">
        <f t="shared" si="158"/>
        <v>0</v>
      </c>
      <c r="CD95" s="4794">
        <f t="shared" si="159"/>
        <v>0</v>
      </c>
      <c r="CE95" s="4794">
        <f t="shared" si="160"/>
        <v>0</v>
      </c>
      <c r="CF95" s="4794">
        <f t="shared" si="161"/>
        <v>0</v>
      </c>
    </row>
    <row r="96" spans="1:84" ht="24">
      <c r="A96" s="2254"/>
      <c r="B96" s="2238">
        <v>20303</v>
      </c>
      <c r="C96" s="2227">
        <v>2070123</v>
      </c>
      <c r="D96" s="2239">
        <v>0.1</v>
      </c>
      <c r="E96" s="2240" t="s">
        <v>377</v>
      </c>
      <c r="F96" s="2242">
        <f t="shared" si="120"/>
        <v>0</v>
      </c>
      <c r="G96" s="4376">
        <f t="shared" si="121"/>
        <v>0</v>
      </c>
      <c r="H96" s="2241">
        <f t="shared" si="122"/>
        <v>0</v>
      </c>
      <c r="I96" s="2242">
        <f t="shared" si="123"/>
        <v>0</v>
      </c>
      <c r="J96" s="2243">
        <f t="shared" si="124"/>
        <v>0</v>
      </c>
      <c r="K96" s="2243">
        <f t="shared" si="125"/>
        <v>0</v>
      </c>
      <c r="L96" s="2243">
        <f t="shared" si="126"/>
        <v>0</v>
      </c>
      <c r="M96" s="2244">
        <f t="shared" si="127"/>
        <v>0</v>
      </c>
      <c r="N96" s="2245">
        <f t="shared" si="128"/>
        <v>0</v>
      </c>
      <c r="O96" s="1304"/>
      <c r="P96" s="1306"/>
      <c r="Q96" s="1305"/>
      <c r="R96" s="1306"/>
      <c r="S96" s="1307"/>
      <c r="T96" s="1307"/>
      <c r="U96" s="1307"/>
      <c r="V96" s="1307"/>
      <c r="W96" s="1304"/>
      <c r="X96" s="1306"/>
      <c r="Y96" s="1305"/>
      <c r="Z96" s="1306"/>
      <c r="AA96" s="1307"/>
      <c r="AB96" s="1307"/>
      <c r="AC96" s="1307"/>
      <c r="AD96" s="1307"/>
      <c r="AE96" s="1304"/>
      <c r="AF96" s="1306"/>
      <c r="AG96" s="1305"/>
      <c r="AH96" s="1306"/>
      <c r="AI96" s="1307"/>
      <c r="AJ96" s="1307"/>
      <c r="AK96" s="1307"/>
      <c r="AL96" s="1308"/>
      <c r="AM96" s="1309"/>
      <c r="AN96" s="1310"/>
      <c r="AO96" s="2246" t="s">
        <v>676</v>
      </c>
      <c r="AP96" s="1306"/>
      <c r="AQ96" s="1306"/>
      <c r="AR96" s="1305"/>
      <c r="AS96" s="1306"/>
      <c r="AT96" s="1307"/>
      <c r="AU96" s="1307"/>
      <c r="AV96" s="1307"/>
      <c r="AW96" s="1305"/>
      <c r="AX96" s="2247" t="s">
        <v>375</v>
      </c>
      <c r="AY96" s="4775"/>
      <c r="AZ96" s="4794">
        <f t="shared" si="129"/>
        <v>0</v>
      </c>
      <c r="BA96" s="4794">
        <f t="shared" si="130"/>
        <v>0</v>
      </c>
      <c r="BB96" s="4794">
        <f t="shared" si="131"/>
        <v>0</v>
      </c>
      <c r="BC96" s="4794">
        <f t="shared" si="132"/>
        <v>0</v>
      </c>
      <c r="BD96" s="4794">
        <f t="shared" si="133"/>
        <v>0</v>
      </c>
      <c r="BE96" s="4794">
        <f t="shared" si="134"/>
        <v>0</v>
      </c>
      <c r="BF96" s="4794">
        <f t="shared" si="135"/>
        <v>0</v>
      </c>
      <c r="BG96" s="4794">
        <f t="shared" si="136"/>
        <v>0</v>
      </c>
      <c r="BH96" s="4794">
        <f t="shared" si="137"/>
        <v>0</v>
      </c>
      <c r="BI96" s="4794">
        <f t="shared" si="138"/>
        <v>0</v>
      </c>
      <c r="BJ96" s="4794">
        <f t="shared" si="139"/>
        <v>0</v>
      </c>
      <c r="BK96" s="4794">
        <f t="shared" si="140"/>
        <v>0</v>
      </c>
      <c r="BL96" s="4794">
        <f t="shared" si="141"/>
        <v>0</v>
      </c>
      <c r="BM96" s="4794">
        <f t="shared" si="142"/>
        <v>0</v>
      </c>
      <c r="BN96" s="4794">
        <f t="shared" si="143"/>
        <v>0</v>
      </c>
      <c r="BO96" s="4794">
        <f t="shared" si="144"/>
        <v>0</v>
      </c>
      <c r="BP96" s="4794">
        <f t="shared" si="145"/>
        <v>0</v>
      </c>
      <c r="BQ96" s="4794">
        <f t="shared" si="146"/>
        <v>0</v>
      </c>
      <c r="BR96" s="4794">
        <f t="shared" si="147"/>
        <v>0</v>
      </c>
      <c r="BS96" s="4794">
        <f t="shared" si="148"/>
        <v>0</v>
      </c>
      <c r="BT96" s="4794">
        <f t="shared" si="149"/>
        <v>0</v>
      </c>
      <c r="BU96" s="4794">
        <f t="shared" si="150"/>
        <v>0</v>
      </c>
      <c r="BV96" s="4794">
        <f t="shared" si="151"/>
        <v>0</v>
      </c>
      <c r="BW96" s="4794">
        <f t="shared" si="152"/>
        <v>0</v>
      </c>
      <c r="BX96" s="4794">
        <f t="shared" si="153"/>
        <v>0</v>
      </c>
      <c r="BY96" s="4794">
        <f t="shared" si="154"/>
        <v>0</v>
      </c>
      <c r="BZ96" s="4794">
        <f t="shared" si="155"/>
        <v>0</v>
      </c>
      <c r="CA96" s="4794">
        <f t="shared" si="156"/>
        <v>0</v>
      </c>
      <c r="CB96" s="4794">
        <f t="shared" si="157"/>
        <v>0</v>
      </c>
      <c r="CC96" s="4794">
        <f t="shared" si="158"/>
        <v>0</v>
      </c>
      <c r="CD96" s="4794">
        <f t="shared" si="159"/>
        <v>0</v>
      </c>
      <c r="CE96" s="4794">
        <f t="shared" si="160"/>
        <v>0</v>
      </c>
      <c r="CF96" s="4794">
        <f t="shared" si="161"/>
        <v>0</v>
      </c>
    </row>
    <row r="97" spans="1:84" ht="24.75" thickBot="1">
      <c r="A97" s="4076"/>
      <c r="B97" s="4077">
        <v>20306</v>
      </c>
      <c r="C97" s="4077">
        <v>2070124</v>
      </c>
      <c r="D97" s="4078">
        <v>0.1</v>
      </c>
      <c r="E97" s="4079" t="s">
        <v>712</v>
      </c>
      <c r="F97" s="4081">
        <f t="shared" si="120"/>
        <v>0</v>
      </c>
      <c r="G97" s="4377">
        <f t="shared" si="121"/>
        <v>0</v>
      </c>
      <c r="H97" s="4080">
        <f t="shared" si="122"/>
        <v>0</v>
      </c>
      <c r="I97" s="4081">
        <f t="shared" si="123"/>
        <v>0</v>
      </c>
      <c r="J97" s="4082">
        <f t="shared" si="124"/>
        <v>0</v>
      </c>
      <c r="K97" s="4082">
        <f t="shared" si="125"/>
        <v>0</v>
      </c>
      <c r="L97" s="4082">
        <f t="shared" si="126"/>
        <v>0</v>
      </c>
      <c r="M97" s="4083">
        <f t="shared" si="127"/>
        <v>0</v>
      </c>
      <c r="N97" s="2259">
        <f t="shared" si="128"/>
        <v>0</v>
      </c>
      <c r="O97" s="1327"/>
      <c r="P97" s="1329"/>
      <c r="Q97" s="1328"/>
      <c r="R97" s="1329"/>
      <c r="S97" s="4084"/>
      <c r="T97" s="4084"/>
      <c r="U97" s="4084"/>
      <c r="V97" s="4084"/>
      <c r="W97" s="1327"/>
      <c r="X97" s="1329"/>
      <c r="Y97" s="1328"/>
      <c r="Z97" s="1329"/>
      <c r="AA97" s="4084"/>
      <c r="AB97" s="4084"/>
      <c r="AC97" s="4084"/>
      <c r="AD97" s="4084"/>
      <c r="AE97" s="1327"/>
      <c r="AF97" s="1329"/>
      <c r="AG97" s="1328"/>
      <c r="AH97" s="1329"/>
      <c r="AI97" s="4084"/>
      <c r="AJ97" s="4084"/>
      <c r="AK97" s="4084"/>
      <c r="AL97" s="4085"/>
      <c r="AM97" s="1325"/>
      <c r="AN97" s="4086"/>
      <c r="AO97" s="2313" t="s">
        <v>676</v>
      </c>
      <c r="AP97" s="1329"/>
      <c r="AQ97" s="1329"/>
      <c r="AR97" s="1328"/>
      <c r="AS97" s="1329"/>
      <c r="AT97" s="4084"/>
      <c r="AU97" s="4084"/>
      <c r="AV97" s="4084"/>
      <c r="AW97" s="1328"/>
      <c r="AX97" s="4087" t="s">
        <v>666</v>
      </c>
      <c r="AY97" s="4775"/>
      <c r="AZ97" s="4794">
        <f t="shared" si="129"/>
        <v>0</v>
      </c>
      <c r="BA97" s="4794">
        <f t="shared" si="130"/>
        <v>0</v>
      </c>
      <c r="BB97" s="4794">
        <f t="shared" si="131"/>
        <v>0</v>
      </c>
      <c r="BC97" s="4794">
        <f t="shared" si="132"/>
        <v>0</v>
      </c>
      <c r="BD97" s="4794">
        <f t="shared" si="133"/>
        <v>0</v>
      </c>
      <c r="BE97" s="4794">
        <f t="shared" si="134"/>
        <v>0</v>
      </c>
      <c r="BF97" s="4794">
        <f t="shared" si="135"/>
        <v>0</v>
      </c>
      <c r="BG97" s="4794">
        <f t="shared" si="136"/>
        <v>0</v>
      </c>
      <c r="BH97" s="4794">
        <f t="shared" si="137"/>
        <v>0</v>
      </c>
      <c r="BI97" s="4794">
        <f t="shared" si="138"/>
        <v>0</v>
      </c>
      <c r="BJ97" s="4794">
        <f t="shared" si="139"/>
        <v>0</v>
      </c>
      <c r="BK97" s="4794">
        <f t="shared" si="140"/>
        <v>0</v>
      </c>
      <c r="BL97" s="4794">
        <f t="shared" si="141"/>
        <v>0</v>
      </c>
      <c r="BM97" s="4794">
        <f t="shared" si="142"/>
        <v>0</v>
      </c>
      <c r="BN97" s="4794">
        <f t="shared" si="143"/>
        <v>0</v>
      </c>
      <c r="BO97" s="4794">
        <f t="shared" si="144"/>
        <v>0</v>
      </c>
      <c r="BP97" s="4794">
        <f t="shared" si="145"/>
        <v>0</v>
      </c>
      <c r="BQ97" s="4794">
        <f t="shared" si="146"/>
        <v>0</v>
      </c>
      <c r="BR97" s="4794">
        <f t="shared" si="147"/>
        <v>0</v>
      </c>
      <c r="BS97" s="4794">
        <f t="shared" si="148"/>
        <v>0</v>
      </c>
      <c r="BT97" s="4794">
        <f t="shared" si="149"/>
        <v>0</v>
      </c>
      <c r="BU97" s="4794">
        <f t="shared" si="150"/>
        <v>0</v>
      </c>
      <c r="BV97" s="4794">
        <f t="shared" si="151"/>
        <v>0</v>
      </c>
      <c r="BW97" s="4794">
        <f t="shared" si="152"/>
        <v>0</v>
      </c>
      <c r="BX97" s="4794">
        <f t="shared" si="153"/>
        <v>0</v>
      </c>
      <c r="BY97" s="4794">
        <f t="shared" si="154"/>
        <v>0</v>
      </c>
      <c r="BZ97" s="4794">
        <f t="shared" si="155"/>
        <v>0</v>
      </c>
      <c r="CA97" s="4794">
        <f t="shared" si="156"/>
        <v>0</v>
      </c>
      <c r="CB97" s="4794">
        <f t="shared" si="157"/>
        <v>0</v>
      </c>
      <c r="CC97" s="4794">
        <f t="shared" si="158"/>
        <v>0</v>
      </c>
      <c r="CD97" s="4794">
        <f t="shared" si="159"/>
        <v>0</v>
      </c>
      <c r="CE97" s="4794">
        <f t="shared" si="160"/>
        <v>0</v>
      </c>
      <c r="CF97" s="4794">
        <f t="shared" si="161"/>
        <v>0</v>
      </c>
    </row>
    <row r="98" spans="1:84" ht="16.5" thickBot="1">
      <c r="A98" s="5327" t="s">
        <v>1501</v>
      </c>
      <c r="B98" s="5328"/>
      <c r="C98" s="5328"/>
      <c r="D98" s="5328"/>
      <c r="E98" s="5328"/>
      <c r="F98" s="5328"/>
      <c r="G98" s="5328"/>
      <c r="H98" s="5328"/>
      <c r="I98" s="5328"/>
      <c r="J98" s="5328"/>
      <c r="K98" s="5328"/>
      <c r="L98" s="5328"/>
      <c r="M98" s="5328"/>
      <c r="N98" s="5328"/>
      <c r="O98" s="5328"/>
      <c r="P98" s="5328"/>
      <c r="Q98" s="5328"/>
      <c r="R98" s="5328"/>
      <c r="S98" s="5328"/>
      <c r="T98" s="5328"/>
      <c r="U98" s="5328"/>
      <c r="V98" s="5328"/>
      <c r="W98" s="5328"/>
      <c r="X98" s="5328"/>
      <c r="Y98" s="5328"/>
      <c r="Z98" s="5328"/>
      <c r="AA98" s="5328"/>
      <c r="AB98" s="5328"/>
      <c r="AC98" s="5328"/>
      <c r="AD98" s="5328"/>
      <c r="AE98" s="5328"/>
      <c r="AF98" s="5328"/>
      <c r="AG98" s="5328"/>
      <c r="AH98" s="5328"/>
      <c r="AI98" s="5328"/>
      <c r="AJ98" s="5328"/>
      <c r="AK98" s="5328"/>
      <c r="AL98" s="5328"/>
      <c r="AM98" s="5328"/>
      <c r="AN98" s="5328"/>
      <c r="AO98" s="5328"/>
      <c r="AP98" s="5328"/>
      <c r="AQ98" s="5328"/>
      <c r="AR98" s="5328"/>
      <c r="AS98" s="5328"/>
      <c r="AT98" s="5328"/>
      <c r="AU98" s="5328"/>
      <c r="AV98" s="5328"/>
      <c r="AW98" s="5328"/>
      <c r="AX98" s="5329"/>
      <c r="AY98" s="4775"/>
      <c r="AZ98" s="4794">
        <f t="shared" si="129"/>
        <v>0</v>
      </c>
      <c r="BA98" s="4794">
        <f t="shared" si="130"/>
        <v>0</v>
      </c>
      <c r="BB98" s="4794">
        <f t="shared" si="131"/>
        <v>0</v>
      </c>
      <c r="BC98" s="4794">
        <f t="shared" si="132"/>
        <v>0</v>
      </c>
      <c r="BD98" s="4794">
        <f t="shared" si="133"/>
        <v>0</v>
      </c>
      <c r="BE98" s="4794">
        <f t="shared" si="134"/>
        <v>0</v>
      </c>
      <c r="BF98" s="4794">
        <f t="shared" si="135"/>
        <v>0</v>
      </c>
      <c r="BG98" s="4794">
        <f t="shared" si="136"/>
        <v>0</v>
      </c>
      <c r="BH98" s="4794">
        <f t="shared" si="137"/>
        <v>0</v>
      </c>
      <c r="BI98" s="4794">
        <f t="shared" si="138"/>
        <v>0</v>
      </c>
      <c r="BJ98" s="4794">
        <f t="shared" si="139"/>
        <v>0</v>
      </c>
      <c r="BK98" s="4794">
        <f t="shared" si="140"/>
        <v>0</v>
      </c>
      <c r="BL98" s="4794">
        <f t="shared" si="141"/>
        <v>0</v>
      </c>
      <c r="BM98" s="4794">
        <f t="shared" si="142"/>
        <v>0</v>
      </c>
      <c r="BN98" s="4794">
        <f t="shared" si="143"/>
        <v>0</v>
      </c>
      <c r="BO98" s="4794">
        <f t="shared" si="144"/>
        <v>0</v>
      </c>
      <c r="BP98" s="4794">
        <f t="shared" si="145"/>
        <v>0</v>
      </c>
      <c r="BQ98" s="4794">
        <f t="shared" si="146"/>
        <v>0</v>
      </c>
      <c r="BR98" s="4794">
        <f t="shared" si="147"/>
        <v>0</v>
      </c>
      <c r="BS98" s="4794">
        <f t="shared" si="148"/>
        <v>0</v>
      </c>
      <c r="BT98" s="4794">
        <f t="shared" si="149"/>
        <v>0</v>
      </c>
      <c r="BU98" s="4794">
        <f t="shared" si="150"/>
        <v>0</v>
      </c>
      <c r="BV98" s="4794">
        <f t="shared" si="151"/>
        <v>0</v>
      </c>
      <c r="BW98" s="4794">
        <f t="shared" si="152"/>
        <v>0</v>
      </c>
      <c r="BX98" s="4794">
        <f t="shared" si="153"/>
        <v>0</v>
      </c>
      <c r="BY98" s="4794">
        <f t="shared" si="154"/>
        <v>0</v>
      </c>
      <c r="BZ98" s="4794">
        <f t="shared" si="155"/>
        <v>0</v>
      </c>
      <c r="CA98" s="4794">
        <f t="shared" si="156"/>
        <v>0</v>
      </c>
      <c r="CB98" s="4794">
        <f t="shared" si="157"/>
        <v>0</v>
      </c>
      <c r="CC98" s="4794">
        <f t="shared" si="158"/>
        <v>0</v>
      </c>
      <c r="CD98" s="4794">
        <f t="shared" si="159"/>
        <v>0</v>
      </c>
      <c r="CE98" s="4794">
        <f t="shared" si="160"/>
        <v>0</v>
      </c>
      <c r="CF98" s="4794">
        <f t="shared" si="161"/>
        <v>0</v>
      </c>
    </row>
    <row r="99" spans="1:84" ht="24.75" thickBot="1">
      <c r="A99" s="2205">
        <v>1.7</v>
      </c>
      <c r="B99" s="2205"/>
      <c r="C99" s="2205"/>
      <c r="D99" s="2206"/>
      <c r="E99" s="2207" t="s">
        <v>1092</v>
      </c>
      <c r="F99" s="2208">
        <f>SUM(F100:F123)</f>
        <v>0</v>
      </c>
      <c r="G99" s="4374">
        <f>SUM(G100:G123)</f>
        <v>0</v>
      </c>
      <c r="H99" s="2209">
        <f t="shared" ref="H99:AL99" si="162">SUM(H100:H123)</f>
        <v>0</v>
      </c>
      <c r="I99" s="2210">
        <f t="shared" si="162"/>
        <v>0</v>
      </c>
      <c r="J99" s="2211">
        <f t="shared" si="162"/>
        <v>0</v>
      </c>
      <c r="K99" s="2211">
        <f t="shared" si="162"/>
        <v>0</v>
      </c>
      <c r="L99" s="2211">
        <f t="shared" si="162"/>
        <v>0</v>
      </c>
      <c r="M99" s="2212">
        <f t="shared" si="162"/>
        <v>0</v>
      </c>
      <c r="N99" s="2213">
        <f t="shared" si="162"/>
        <v>0</v>
      </c>
      <c r="O99" s="2214">
        <f t="shared" ref="O99" si="163">SUM(O100:O123)</f>
        <v>0</v>
      </c>
      <c r="P99" s="4390">
        <f t="shared" si="162"/>
        <v>0</v>
      </c>
      <c r="Q99" s="2215">
        <f t="shared" si="162"/>
        <v>0</v>
      </c>
      <c r="R99" s="2216">
        <f t="shared" si="162"/>
        <v>0</v>
      </c>
      <c r="S99" s="2217">
        <f t="shared" si="162"/>
        <v>0</v>
      </c>
      <c r="T99" s="2217">
        <f t="shared" si="162"/>
        <v>0</v>
      </c>
      <c r="U99" s="2217">
        <f t="shared" si="162"/>
        <v>0</v>
      </c>
      <c r="V99" s="2218">
        <f t="shared" si="162"/>
        <v>0</v>
      </c>
      <c r="W99" s="2214">
        <f t="shared" ref="W99" si="164">SUM(W100:W123)</f>
        <v>0</v>
      </c>
      <c r="X99" s="4390">
        <f t="shared" si="162"/>
        <v>0</v>
      </c>
      <c r="Y99" s="2215">
        <f t="shared" si="162"/>
        <v>0</v>
      </c>
      <c r="Z99" s="2216">
        <f t="shared" si="162"/>
        <v>0</v>
      </c>
      <c r="AA99" s="2217">
        <f t="shared" si="162"/>
        <v>0</v>
      </c>
      <c r="AB99" s="2217">
        <f t="shared" si="162"/>
        <v>0</v>
      </c>
      <c r="AC99" s="2217">
        <f t="shared" si="162"/>
        <v>0</v>
      </c>
      <c r="AD99" s="2218">
        <f t="shared" si="162"/>
        <v>0</v>
      </c>
      <c r="AE99" s="2214">
        <f t="shared" ref="AE99" si="165">SUM(AE100:AE123)</f>
        <v>0</v>
      </c>
      <c r="AF99" s="4390">
        <f t="shared" si="162"/>
        <v>0</v>
      </c>
      <c r="AG99" s="2215">
        <f t="shared" si="162"/>
        <v>0</v>
      </c>
      <c r="AH99" s="2216">
        <f>SUM(AH100:AH123)</f>
        <v>0</v>
      </c>
      <c r="AI99" s="2217">
        <f t="shared" si="162"/>
        <v>0</v>
      </c>
      <c r="AJ99" s="2217">
        <f t="shared" si="162"/>
        <v>0</v>
      </c>
      <c r="AK99" s="2217">
        <f t="shared" si="162"/>
        <v>0</v>
      </c>
      <c r="AL99" s="2219">
        <f t="shared" si="162"/>
        <v>0</v>
      </c>
      <c r="AM99" s="2220"/>
      <c r="AN99" s="2221"/>
      <c r="AO99" s="2222"/>
      <c r="AP99" s="2321"/>
      <c r="AQ99" s="2321"/>
      <c r="AR99" s="2322"/>
      <c r="AS99" s="2223"/>
      <c r="AT99" s="2223"/>
      <c r="AU99" s="2223"/>
      <c r="AV99" s="2223"/>
      <c r="AW99" s="2224"/>
      <c r="AX99" s="2225"/>
      <c r="AY99" s="4775"/>
      <c r="AZ99" s="4794">
        <f t="shared" si="129"/>
        <v>0</v>
      </c>
      <c r="BA99" s="4794">
        <f t="shared" si="130"/>
        <v>0</v>
      </c>
      <c r="BB99" s="4794">
        <f t="shared" si="131"/>
        <v>0</v>
      </c>
      <c r="BC99" s="4794">
        <f t="shared" si="132"/>
        <v>0</v>
      </c>
      <c r="BD99" s="4794">
        <f t="shared" si="133"/>
        <v>0</v>
      </c>
      <c r="BE99" s="4794">
        <f t="shared" si="134"/>
        <v>0</v>
      </c>
      <c r="BF99" s="4794">
        <f t="shared" si="135"/>
        <v>0</v>
      </c>
      <c r="BG99" s="4794">
        <f t="shared" si="136"/>
        <v>0</v>
      </c>
      <c r="BH99" s="4794">
        <f t="shared" si="137"/>
        <v>0</v>
      </c>
      <c r="BI99" s="4794">
        <f t="shared" si="138"/>
        <v>0</v>
      </c>
      <c r="BJ99" s="4794">
        <f t="shared" si="139"/>
        <v>0</v>
      </c>
      <c r="BK99" s="4794">
        <f t="shared" si="140"/>
        <v>0</v>
      </c>
      <c r="BL99" s="4794">
        <f t="shared" si="141"/>
        <v>0</v>
      </c>
      <c r="BM99" s="4794">
        <f t="shared" si="142"/>
        <v>0</v>
      </c>
      <c r="BN99" s="4794">
        <f t="shared" si="143"/>
        <v>0</v>
      </c>
      <c r="BO99" s="4794">
        <f t="shared" si="144"/>
        <v>0</v>
      </c>
      <c r="BP99" s="4794">
        <f t="shared" si="145"/>
        <v>0</v>
      </c>
      <c r="BQ99" s="4794">
        <f t="shared" si="146"/>
        <v>0</v>
      </c>
      <c r="BR99" s="4794">
        <f t="shared" si="147"/>
        <v>0</v>
      </c>
      <c r="BS99" s="4794">
        <f t="shared" si="148"/>
        <v>0</v>
      </c>
      <c r="BT99" s="4794">
        <f t="shared" si="149"/>
        <v>0</v>
      </c>
      <c r="BU99" s="4794">
        <f t="shared" si="150"/>
        <v>0</v>
      </c>
      <c r="BV99" s="4794">
        <f t="shared" si="151"/>
        <v>0</v>
      </c>
      <c r="BW99" s="4794">
        <f t="shared" si="152"/>
        <v>0</v>
      </c>
      <c r="BX99" s="4794">
        <f t="shared" si="153"/>
        <v>0</v>
      </c>
      <c r="BY99" s="4794">
        <f t="shared" si="154"/>
        <v>0</v>
      </c>
      <c r="BZ99" s="4794">
        <f t="shared" si="155"/>
        <v>0</v>
      </c>
      <c r="CA99" s="4794">
        <f t="shared" si="156"/>
        <v>0</v>
      </c>
      <c r="CB99" s="4794">
        <f t="shared" si="157"/>
        <v>0</v>
      </c>
      <c r="CC99" s="4794">
        <f t="shared" si="158"/>
        <v>0</v>
      </c>
      <c r="CD99" s="4794">
        <f t="shared" si="159"/>
        <v>0</v>
      </c>
      <c r="CE99" s="4794">
        <f t="shared" si="160"/>
        <v>0</v>
      </c>
      <c r="CF99" s="4794">
        <f t="shared" si="161"/>
        <v>0</v>
      </c>
    </row>
    <row r="100" spans="1:84">
      <c r="A100" s="2226"/>
      <c r="B100" s="2227">
        <v>2040201</v>
      </c>
      <c r="C100" s="2227">
        <v>2070101</v>
      </c>
      <c r="D100" s="2228">
        <v>0.02</v>
      </c>
      <c r="E100" s="2229" t="s">
        <v>738</v>
      </c>
      <c r="F100" s="4378">
        <f t="shared" ref="F100:F123" si="166">O100+W100+AE100</f>
        <v>0</v>
      </c>
      <c r="G100" s="4375">
        <f t="shared" ref="G100:G123" si="167">P100+X100+AF100</f>
        <v>0</v>
      </c>
      <c r="H100" s="2230">
        <f t="shared" ref="H100:H123" si="168">Q100+Y100+AG100</f>
        <v>0</v>
      </c>
      <c r="I100" s="2231">
        <f t="shared" ref="I100:I123" si="169">R100+Z100+AH100</f>
        <v>0</v>
      </c>
      <c r="J100" s="2232">
        <f t="shared" ref="J100:J123" si="170">S100+AA100+AI100</f>
        <v>0</v>
      </c>
      <c r="K100" s="2232">
        <f t="shared" ref="K100:K123" si="171">T100+AB100+AJ100</f>
        <v>0</v>
      </c>
      <c r="L100" s="2232">
        <f t="shared" ref="L100:L123" si="172">U100+AC100+AK100</f>
        <v>0</v>
      </c>
      <c r="M100" s="2233">
        <f t="shared" ref="M100:M123" si="173">V100+AD100+AL100</f>
        <v>0</v>
      </c>
      <c r="N100" s="2234">
        <f>SUM(I100:M100)</f>
        <v>0</v>
      </c>
      <c r="O100" s="1297"/>
      <c r="P100" s="1299"/>
      <c r="Q100" s="1298"/>
      <c r="R100" s="1299"/>
      <c r="S100" s="1300"/>
      <c r="T100" s="1300"/>
      <c r="U100" s="1300"/>
      <c r="V100" s="1300"/>
      <c r="W100" s="1297"/>
      <c r="X100" s="1299"/>
      <c r="Y100" s="1298"/>
      <c r="Z100" s="1299"/>
      <c r="AA100" s="1300"/>
      <c r="AB100" s="1300"/>
      <c r="AC100" s="1300"/>
      <c r="AD100" s="1300"/>
      <c r="AE100" s="1297"/>
      <c r="AF100" s="1299"/>
      <c r="AG100" s="1298"/>
      <c r="AH100" s="1299"/>
      <c r="AI100" s="1300"/>
      <c r="AJ100" s="1300"/>
      <c r="AK100" s="1300"/>
      <c r="AL100" s="1301"/>
      <c r="AM100" s="1302"/>
      <c r="AN100" s="1303"/>
      <c r="AO100" s="2235" t="s">
        <v>676</v>
      </c>
      <c r="AP100" s="1299"/>
      <c r="AQ100" s="1299"/>
      <c r="AR100" s="1298"/>
      <c r="AS100" s="1299"/>
      <c r="AT100" s="1300"/>
      <c r="AU100" s="1300"/>
      <c r="AV100" s="1300"/>
      <c r="AW100" s="1298"/>
      <c r="AX100" s="2236" t="s">
        <v>354</v>
      </c>
      <c r="AY100" s="4775"/>
      <c r="AZ100" s="4794">
        <f t="shared" si="129"/>
        <v>0</v>
      </c>
      <c r="BA100" s="4794">
        <f t="shared" si="130"/>
        <v>0</v>
      </c>
      <c r="BB100" s="4794">
        <f t="shared" si="131"/>
        <v>0</v>
      </c>
      <c r="BC100" s="4794">
        <f t="shared" si="132"/>
        <v>0</v>
      </c>
      <c r="BD100" s="4794">
        <f t="shared" si="133"/>
        <v>0</v>
      </c>
      <c r="BE100" s="4794">
        <f t="shared" si="134"/>
        <v>0</v>
      </c>
      <c r="BF100" s="4794">
        <f t="shared" si="135"/>
        <v>0</v>
      </c>
      <c r="BG100" s="4794">
        <f t="shared" si="136"/>
        <v>0</v>
      </c>
      <c r="BH100" s="4794">
        <f t="shared" si="137"/>
        <v>0</v>
      </c>
      <c r="BI100" s="4794">
        <f t="shared" si="138"/>
        <v>0</v>
      </c>
      <c r="BJ100" s="4794">
        <f t="shared" si="139"/>
        <v>0</v>
      </c>
      <c r="BK100" s="4794">
        <f t="shared" si="140"/>
        <v>0</v>
      </c>
      <c r="BL100" s="4794">
        <f t="shared" si="141"/>
        <v>0</v>
      </c>
      <c r="BM100" s="4794">
        <f t="shared" si="142"/>
        <v>0</v>
      </c>
      <c r="BN100" s="4794">
        <f t="shared" si="143"/>
        <v>0</v>
      </c>
      <c r="BO100" s="4794">
        <f t="shared" si="144"/>
        <v>0</v>
      </c>
      <c r="BP100" s="4794">
        <f t="shared" si="145"/>
        <v>0</v>
      </c>
      <c r="BQ100" s="4794">
        <f t="shared" si="146"/>
        <v>0</v>
      </c>
      <c r="BR100" s="4794">
        <f t="shared" si="147"/>
        <v>0</v>
      </c>
      <c r="BS100" s="4794">
        <f t="shared" si="148"/>
        <v>0</v>
      </c>
      <c r="BT100" s="4794">
        <f t="shared" si="149"/>
        <v>0</v>
      </c>
      <c r="BU100" s="4794">
        <f t="shared" si="150"/>
        <v>0</v>
      </c>
      <c r="BV100" s="4794">
        <f t="shared" si="151"/>
        <v>0</v>
      </c>
      <c r="BW100" s="4794">
        <f t="shared" si="152"/>
        <v>0</v>
      </c>
      <c r="BX100" s="4794">
        <f t="shared" si="153"/>
        <v>0</v>
      </c>
      <c r="BY100" s="4794">
        <f t="shared" si="154"/>
        <v>0</v>
      </c>
      <c r="BZ100" s="4794">
        <f t="shared" si="155"/>
        <v>0</v>
      </c>
      <c r="CA100" s="4794">
        <f t="shared" si="156"/>
        <v>0</v>
      </c>
      <c r="CB100" s="4794">
        <f t="shared" si="157"/>
        <v>0</v>
      </c>
      <c r="CC100" s="4794">
        <f t="shared" si="158"/>
        <v>0</v>
      </c>
      <c r="CD100" s="4794">
        <f t="shared" si="159"/>
        <v>0</v>
      </c>
      <c r="CE100" s="4794">
        <f t="shared" si="160"/>
        <v>0</v>
      </c>
      <c r="CF100" s="4794">
        <f t="shared" si="161"/>
        <v>0</v>
      </c>
    </row>
    <row r="101" spans="1:84">
      <c r="A101" s="2237"/>
      <c r="B101" s="2238">
        <v>2040202</v>
      </c>
      <c r="C101" s="2238">
        <v>2070102</v>
      </c>
      <c r="D101" s="2239">
        <v>0.02</v>
      </c>
      <c r="E101" s="2240" t="s">
        <v>741</v>
      </c>
      <c r="F101" s="2242">
        <f t="shared" si="166"/>
        <v>0</v>
      </c>
      <c r="G101" s="4376">
        <f t="shared" si="167"/>
        <v>0</v>
      </c>
      <c r="H101" s="2241">
        <f t="shared" si="168"/>
        <v>0</v>
      </c>
      <c r="I101" s="2242">
        <f t="shared" si="169"/>
        <v>0</v>
      </c>
      <c r="J101" s="2243">
        <f t="shared" si="170"/>
        <v>0</v>
      </c>
      <c r="K101" s="2243">
        <f t="shared" si="171"/>
        <v>0</v>
      </c>
      <c r="L101" s="2243">
        <f t="shared" si="172"/>
        <v>0</v>
      </c>
      <c r="M101" s="2244">
        <f t="shared" si="173"/>
        <v>0</v>
      </c>
      <c r="N101" s="2245">
        <f t="shared" ref="N101:N122" si="174">SUM(I101:M101)</f>
        <v>0</v>
      </c>
      <c r="O101" s="1304"/>
      <c r="P101" s="1306"/>
      <c r="Q101" s="1305"/>
      <c r="R101" s="1306"/>
      <c r="S101" s="1307"/>
      <c r="T101" s="1307"/>
      <c r="U101" s="1307"/>
      <c r="V101" s="1307"/>
      <c r="W101" s="1304"/>
      <c r="X101" s="1306"/>
      <c r="Y101" s="1305"/>
      <c r="Z101" s="1306"/>
      <c r="AA101" s="1307"/>
      <c r="AB101" s="1307"/>
      <c r="AC101" s="1307"/>
      <c r="AD101" s="1307"/>
      <c r="AE101" s="1304"/>
      <c r="AF101" s="1306"/>
      <c r="AG101" s="1305"/>
      <c r="AH101" s="1306"/>
      <c r="AI101" s="1307"/>
      <c r="AJ101" s="1307"/>
      <c r="AK101" s="1307"/>
      <c r="AL101" s="1308"/>
      <c r="AM101" s="1309"/>
      <c r="AN101" s="1310"/>
      <c r="AO101" s="2246" t="s">
        <v>676</v>
      </c>
      <c r="AP101" s="1306"/>
      <c r="AQ101" s="1306"/>
      <c r="AR101" s="1305"/>
      <c r="AS101" s="1306"/>
      <c r="AT101" s="1307"/>
      <c r="AU101" s="1307"/>
      <c r="AV101" s="1307"/>
      <c r="AW101" s="1305"/>
      <c r="AX101" s="2247" t="s">
        <v>354</v>
      </c>
      <c r="AY101" s="4775"/>
      <c r="AZ101" s="4794">
        <f t="shared" si="129"/>
        <v>0</v>
      </c>
      <c r="BA101" s="4794">
        <f t="shared" si="130"/>
        <v>0</v>
      </c>
      <c r="BB101" s="4794">
        <f t="shared" si="131"/>
        <v>0</v>
      </c>
      <c r="BC101" s="4794">
        <f t="shared" si="132"/>
        <v>0</v>
      </c>
      <c r="BD101" s="4794">
        <f t="shared" si="133"/>
        <v>0</v>
      </c>
      <c r="BE101" s="4794">
        <f t="shared" si="134"/>
        <v>0</v>
      </c>
      <c r="BF101" s="4794">
        <f t="shared" si="135"/>
        <v>0</v>
      </c>
      <c r="BG101" s="4794">
        <f t="shared" si="136"/>
        <v>0</v>
      </c>
      <c r="BH101" s="4794">
        <f t="shared" si="137"/>
        <v>0</v>
      </c>
      <c r="BI101" s="4794">
        <f t="shared" si="138"/>
        <v>0</v>
      </c>
      <c r="BJ101" s="4794">
        <f t="shared" si="139"/>
        <v>0</v>
      </c>
      <c r="BK101" s="4794">
        <f t="shared" si="140"/>
        <v>0</v>
      </c>
      <c r="BL101" s="4794">
        <f t="shared" si="141"/>
        <v>0</v>
      </c>
      <c r="BM101" s="4794">
        <f t="shared" si="142"/>
        <v>0</v>
      </c>
      <c r="BN101" s="4794">
        <f t="shared" si="143"/>
        <v>0</v>
      </c>
      <c r="BO101" s="4794">
        <f t="shared" si="144"/>
        <v>0</v>
      </c>
      <c r="BP101" s="4794">
        <f t="shared" si="145"/>
        <v>0</v>
      </c>
      <c r="BQ101" s="4794">
        <f t="shared" si="146"/>
        <v>0</v>
      </c>
      <c r="BR101" s="4794">
        <f t="shared" si="147"/>
        <v>0</v>
      </c>
      <c r="BS101" s="4794">
        <f t="shared" si="148"/>
        <v>0</v>
      </c>
      <c r="BT101" s="4794">
        <f t="shared" si="149"/>
        <v>0</v>
      </c>
      <c r="BU101" s="4794">
        <f t="shared" si="150"/>
        <v>0</v>
      </c>
      <c r="BV101" s="4794">
        <f t="shared" si="151"/>
        <v>0</v>
      </c>
      <c r="BW101" s="4794">
        <f t="shared" si="152"/>
        <v>0</v>
      </c>
      <c r="BX101" s="4794">
        <f t="shared" si="153"/>
        <v>0</v>
      </c>
      <c r="BY101" s="4794">
        <f t="shared" si="154"/>
        <v>0</v>
      </c>
      <c r="BZ101" s="4794">
        <f t="shared" si="155"/>
        <v>0</v>
      </c>
      <c r="CA101" s="4794">
        <f t="shared" si="156"/>
        <v>0</v>
      </c>
      <c r="CB101" s="4794">
        <f t="shared" si="157"/>
        <v>0</v>
      </c>
      <c r="CC101" s="4794">
        <f t="shared" si="158"/>
        <v>0</v>
      </c>
      <c r="CD101" s="4794">
        <f t="shared" si="159"/>
        <v>0</v>
      </c>
      <c r="CE101" s="4794">
        <f t="shared" si="160"/>
        <v>0</v>
      </c>
      <c r="CF101" s="4794">
        <f t="shared" si="161"/>
        <v>0</v>
      </c>
    </row>
    <row r="102" spans="1:84">
      <c r="A102" s="2237"/>
      <c r="B102" s="2238">
        <v>2040204</v>
      </c>
      <c r="C102" s="2227">
        <v>2070103</v>
      </c>
      <c r="D102" s="2239">
        <v>0.02</v>
      </c>
      <c r="E102" s="2240" t="s">
        <v>355</v>
      </c>
      <c r="F102" s="2242">
        <f t="shared" si="166"/>
        <v>0</v>
      </c>
      <c r="G102" s="4376">
        <f t="shared" si="167"/>
        <v>0</v>
      </c>
      <c r="H102" s="2241">
        <f t="shared" si="168"/>
        <v>0</v>
      </c>
      <c r="I102" s="2242">
        <f t="shared" si="169"/>
        <v>0</v>
      </c>
      <c r="J102" s="2243">
        <f t="shared" si="170"/>
        <v>0</v>
      </c>
      <c r="K102" s="2243">
        <f t="shared" si="171"/>
        <v>0</v>
      </c>
      <c r="L102" s="2243">
        <f t="shared" si="172"/>
        <v>0</v>
      </c>
      <c r="M102" s="2244">
        <f t="shared" si="173"/>
        <v>0</v>
      </c>
      <c r="N102" s="2245">
        <f t="shared" si="174"/>
        <v>0</v>
      </c>
      <c r="O102" s="1304"/>
      <c r="P102" s="1306"/>
      <c r="Q102" s="1305"/>
      <c r="R102" s="1306"/>
      <c r="S102" s="1307"/>
      <c r="T102" s="1307"/>
      <c r="U102" s="1307"/>
      <c r="V102" s="1307"/>
      <c r="W102" s="1304"/>
      <c r="X102" s="1306"/>
      <c r="Y102" s="1305"/>
      <c r="Z102" s="1306"/>
      <c r="AA102" s="1307"/>
      <c r="AB102" s="1307"/>
      <c r="AC102" s="1307"/>
      <c r="AD102" s="1307"/>
      <c r="AE102" s="1304"/>
      <c r="AF102" s="1306"/>
      <c r="AG102" s="1305"/>
      <c r="AH102" s="1306"/>
      <c r="AI102" s="1307"/>
      <c r="AJ102" s="1307"/>
      <c r="AK102" s="1307"/>
      <c r="AL102" s="1308"/>
      <c r="AM102" s="1309"/>
      <c r="AN102" s="1310"/>
      <c r="AO102" s="2246" t="s">
        <v>676</v>
      </c>
      <c r="AP102" s="1306"/>
      <c r="AQ102" s="1306"/>
      <c r="AR102" s="1305"/>
      <c r="AS102" s="1306"/>
      <c r="AT102" s="1307"/>
      <c r="AU102" s="1307"/>
      <c r="AV102" s="1307"/>
      <c r="AW102" s="1305"/>
      <c r="AX102" s="2247" t="s">
        <v>354</v>
      </c>
      <c r="AY102" s="4775"/>
      <c r="AZ102" s="4794">
        <f t="shared" si="129"/>
        <v>0</v>
      </c>
      <c r="BA102" s="4794">
        <f t="shared" si="130"/>
        <v>0</v>
      </c>
      <c r="BB102" s="4794">
        <f t="shared" si="131"/>
        <v>0</v>
      </c>
      <c r="BC102" s="4794">
        <f t="shared" si="132"/>
        <v>0</v>
      </c>
      <c r="BD102" s="4794">
        <f t="shared" si="133"/>
        <v>0</v>
      </c>
      <c r="BE102" s="4794">
        <f t="shared" si="134"/>
        <v>0</v>
      </c>
      <c r="BF102" s="4794">
        <f t="shared" si="135"/>
        <v>0</v>
      </c>
      <c r="BG102" s="4794">
        <f t="shared" si="136"/>
        <v>0</v>
      </c>
      <c r="BH102" s="4794">
        <f t="shared" si="137"/>
        <v>0</v>
      </c>
      <c r="BI102" s="4794">
        <f t="shared" si="138"/>
        <v>0</v>
      </c>
      <c r="BJ102" s="4794">
        <f t="shared" si="139"/>
        <v>0</v>
      </c>
      <c r="BK102" s="4794">
        <f t="shared" si="140"/>
        <v>0</v>
      </c>
      <c r="BL102" s="4794">
        <f t="shared" si="141"/>
        <v>0</v>
      </c>
      <c r="BM102" s="4794">
        <f t="shared" si="142"/>
        <v>0</v>
      </c>
      <c r="BN102" s="4794">
        <f t="shared" si="143"/>
        <v>0</v>
      </c>
      <c r="BO102" s="4794">
        <f t="shared" si="144"/>
        <v>0</v>
      </c>
      <c r="BP102" s="4794">
        <f t="shared" si="145"/>
        <v>0</v>
      </c>
      <c r="BQ102" s="4794">
        <f t="shared" si="146"/>
        <v>0</v>
      </c>
      <c r="BR102" s="4794">
        <f t="shared" si="147"/>
        <v>0</v>
      </c>
      <c r="BS102" s="4794">
        <f t="shared" si="148"/>
        <v>0</v>
      </c>
      <c r="BT102" s="4794">
        <f t="shared" si="149"/>
        <v>0</v>
      </c>
      <c r="BU102" s="4794">
        <f t="shared" si="150"/>
        <v>0</v>
      </c>
      <c r="BV102" s="4794">
        <f t="shared" si="151"/>
        <v>0</v>
      </c>
      <c r="BW102" s="4794">
        <f t="shared" si="152"/>
        <v>0</v>
      </c>
      <c r="BX102" s="4794">
        <f t="shared" si="153"/>
        <v>0</v>
      </c>
      <c r="BY102" s="4794">
        <f t="shared" si="154"/>
        <v>0</v>
      </c>
      <c r="BZ102" s="4794">
        <f t="shared" si="155"/>
        <v>0</v>
      </c>
      <c r="CA102" s="4794">
        <f t="shared" si="156"/>
        <v>0</v>
      </c>
      <c r="CB102" s="4794">
        <f t="shared" si="157"/>
        <v>0</v>
      </c>
      <c r="CC102" s="4794">
        <f t="shared" si="158"/>
        <v>0</v>
      </c>
      <c r="CD102" s="4794">
        <f t="shared" si="159"/>
        <v>0</v>
      </c>
      <c r="CE102" s="4794">
        <f t="shared" si="160"/>
        <v>0</v>
      </c>
      <c r="CF102" s="4794">
        <f t="shared" si="161"/>
        <v>0</v>
      </c>
    </row>
    <row r="103" spans="1:84">
      <c r="A103" s="2237"/>
      <c r="B103" s="2238">
        <v>20202</v>
      </c>
      <c r="C103" s="2238">
        <v>2070104</v>
      </c>
      <c r="D103" s="2248">
        <v>0.03</v>
      </c>
      <c r="E103" s="2240" t="s">
        <v>356</v>
      </c>
      <c r="F103" s="2242">
        <f t="shared" si="166"/>
        <v>0</v>
      </c>
      <c r="G103" s="4376">
        <f t="shared" si="167"/>
        <v>0</v>
      </c>
      <c r="H103" s="2241">
        <f t="shared" si="168"/>
        <v>0</v>
      </c>
      <c r="I103" s="2242">
        <f t="shared" si="169"/>
        <v>0</v>
      </c>
      <c r="J103" s="2243">
        <f t="shared" si="170"/>
        <v>0</v>
      </c>
      <c r="K103" s="2243">
        <f t="shared" si="171"/>
        <v>0</v>
      </c>
      <c r="L103" s="2243">
        <f t="shared" si="172"/>
        <v>0</v>
      </c>
      <c r="M103" s="2244">
        <f t="shared" si="173"/>
        <v>0</v>
      </c>
      <c r="N103" s="2245">
        <f t="shared" si="174"/>
        <v>0</v>
      </c>
      <c r="O103" s="1304"/>
      <c r="P103" s="1306"/>
      <c r="Q103" s="1305"/>
      <c r="R103" s="1306"/>
      <c r="S103" s="1307"/>
      <c r="T103" s="1307"/>
      <c r="U103" s="1307"/>
      <c r="V103" s="1307"/>
      <c r="W103" s="1304"/>
      <c r="X103" s="1306"/>
      <c r="Y103" s="1305"/>
      <c r="Z103" s="1306"/>
      <c r="AA103" s="1307"/>
      <c r="AB103" s="1307"/>
      <c r="AC103" s="1307"/>
      <c r="AD103" s="1307"/>
      <c r="AE103" s="1304"/>
      <c r="AF103" s="1306"/>
      <c r="AG103" s="1305"/>
      <c r="AH103" s="1306"/>
      <c r="AI103" s="1307"/>
      <c r="AJ103" s="1307"/>
      <c r="AK103" s="1307"/>
      <c r="AL103" s="1308"/>
      <c r="AM103" s="1309"/>
      <c r="AN103" s="1310"/>
      <c r="AO103" s="2246" t="s">
        <v>676</v>
      </c>
      <c r="AP103" s="1306"/>
      <c r="AQ103" s="1306"/>
      <c r="AR103" s="1305"/>
      <c r="AS103" s="1306"/>
      <c r="AT103" s="1307"/>
      <c r="AU103" s="1307"/>
      <c r="AV103" s="1307"/>
      <c r="AW103" s="1305"/>
      <c r="AX103" s="2247" t="s">
        <v>354</v>
      </c>
      <c r="AY103" s="4775"/>
      <c r="AZ103" s="4794">
        <f t="shared" si="129"/>
        <v>0</v>
      </c>
      <c r="BA103" s="4794">
        <f t="shared" si="130"/>
        <v>0</v>
      </c>
      <c r="BB103" s="4794">
        <f t="shared" si="131"/>
        <v>0</v>
      </c>
      <c r="BC103" s="4794">
        <f t="shared" si="132"/>
        <v>0</v>
      </c>
      <c r="BD103" s="4794">
        <f t="shared" si="133"/>
        <v>0</v>
      </c>
      <c r="BE103" s="4794">
        <f t="shared" si="134"/>
        <v>0</v>
      </c>
      <c r="BF103" s="4794">
        <f t="shared" si="135"/>
        <v>0</v>
      </c>
      <c r="BG103" s="4794">
        <f t="shared" si="136"/>
        <v>0</v>
      </c>
      <c r="BH103" s="4794">
        <f t="shared" si="137"/>
        <v>0</v>
      </c>
      <c r="BI103" s="4794">
        <f t="shared" si="138"/>
        <v>0</v>
      </c>
      <c r="BJ103" s="4794">
        <f t="shared" si="139"/>
        <v>0</v>
      </c>
      <c r="BK103" s="4794">
        <f t="shared" si="140"/>
        <v>0</v>
      </c>
      <c r="BL103" s="4794">
        <f t="shared" si="141"/>
        <v>0</v>
      </c>
      <c r="BM103" s="4794">
        <f t="shared" si="142"/>
        <v>0</v>
      </c>
      <c r="BN103" s="4794">
        <f t="shared" si="143"/>
        <v>0</v>
      </c>
      <c r="BO103" s="4794">
        <f t="shared" si="144"/>
        <v>0</v>
      </c>
      <c r="BP103" s="4794">
        <f t="shared" si="145"/>
        <v>0</v>
      </c>
      <c r="BQ103" s="4794">
        <f t="shared" si="146"/>
        <v>0</v>
      </c>
      <c r="BR103" s="4794">
        <f t="shared" si="147"/>
        <v>0</v>
      </c>
      <c r="BS103" s="4794">
        <f t="shared" si="148"/>
        <v>0</v>
      </c>
      <c r="BT103" s="4794">
        <f t="shared" si="149"/>
        <v>0</v>
      </c>
      <c r="BU103" s="4794">
        <f t="shared" si="150"/>
        <v>0</v>
      </c>
      <c r="BV103" s="4794">
        <f t="shared" si="151"/>
        <v>0</v>
      </c>
      <c r="BW103" s="4794">
        <f t="shared" si="152"/>
        <v>0</v>
      </c>
      <c r="BX103" s="4794">
        <f t="shared" si="153"/>
        <v>0</v>
      </c>
      <c r="BY103" s="4794">
        <f t="shared" si="154"/>
        <v>0</v>
      </c>
      <c r="BZ103" s="4794">
        <f t="shared" si="155"/>
        <v>0</v>
      </c>
      <c r="CA103" s="4794">
        <f t="shared" si="156"/>
        <v>0</v>
      </c>
      <c r="CB103" s="4794">
        <f t="shared" si="157"/>
        <v>0</v>
      </c>
      <c r="CC103" s="4794">
        <f t="shared" si="158"/>
        <v>0</v>
      </c>
      <c r="CD103" s="4794">
        <f t="shared" si="159"/>
        <v>0</v>
      </c>
      <c r="CE103" s="4794">
        <f t="shared" si="160"/>
        <v>0</v>
      </c>
      <c r="CF103" s="4794">
        <f t="shared" si="161"/>
        <v>0</v>
      </c>
    </row>
    <row r="104" spans="1:84">
      <c r="A104" s="2237"/>
      <c r="B104" s="2238">
        <v>2040205</v>
      </c>
      <c r="C104" s="2227">
        <v>2070105</v>
      </c>
      <c r="D104" s="2239">
        <v>0.02</v>
      </c>
      <c r="E104" s="2240" t="s">
        <v>357</v>
      </c>
      <c r="F104" s="2242">
        <f t="shared" si="166"/>
        <v>0</v>
      </c>
      <c r="G104" s="4376">
        <f t="shared" si="167"/>
        <v>0</v>
      </c>
      <c r="H104" s="2241">
        <f t="shared" si="168"/>
        <v>0</v>
      </c>
      <c r="I104" s="2242">
        <f t="shared" si="169"/>
        <v>0</v>
      </c>
      <c r="J104" s="2243">
        <f t="shared" si="170"/>
        <v>0</v>
      </c>
      <c r="K104" s="2243">
        <f t="shared" si="171"/>
        <v>0</v>
      </c>
      <c r="L104" s="2243">
        <f t="shared" si="172"/>
        <v>0</v>
      </c>
      <c r="M104" s="2244">
        <f t="shared" si="173"/>
        <v>0</v>
      </c>
      <c r="N104" s="2245">
        <f t="shared" si="174"/>
        <v>0</v>
      </c>
      <c r="O104" s="1304"/>
      <c r="P104" s="1306"/>
      <c r="Q104" s="1305"/>
      <c r="R104" s="1306"/>
      <c r="S104" s="1307"/>
      <c r="T104" s="1307"/>
      <c r="U104" s="1307"/>
      <c r="V104" s="1307"/>
      <c r="W104" s="1304"/>
      <c r="X104" s="1306"/>
      <c r="Y104" s="1305"/>
      <c r="Z104" s="1306"/>
      <c r="AA104" s="1307"/>
      <c r="AB104" s="1307"/>
      <c r="AC104" s="1307"/>
      <c r="AD104" s="1307"/>
      <c r="AE104" s="1304"/>
      <c r="AF104" s="1306"/>
      <c r="AG104" s="1305"/>
      <c r="AH104" s="1306"/>
      <c r="AI104" s="1307"/>
      <c r="AJ104" s="1307"/>
      <c r="AK104" s="1307"/>
      <c r="AL104" s="1308"/>
      <c r="AM104" s="1309"/>
      <c r="AN104" s="1311"/>
      <c r="AO104" s="2246" t="s">
        <v>678</v>
      </c>
      <c r="AP104" s="1306"/>
      <c r="AQ104" s="1306"/>
      <c r="AR104" s="1305"/>
      <c r="AS104" s="1306"/>
      <c r="AT104" s="1307"/>
      <c r="AU104" s="1307"/>
      <c r="AV104" s="1307"/>
      <c r="AW104" s="1305"/>
      <c r="AX104" s="2247" t="s">
        <v>358</v>
      </c>
      <c r="AY104" s="4775"/>
      <c r="AZ104" s="4794">
        <f t="shared" si="129"/>
        <v>0</v>
      </c>
      <c r="BA104" s="4794">
        <f t="shared" si="130"/>
        <v>0</v>
      </c>
      <c r="BB104" s="4794">
        <f t="shared" si="131"/>
        <v>0</v>
      </c>
      <c r="BC104" s="4794">
        <f t="shared" si="132"/>
        <v>0</v>
      </c>
      <c r="BD104" s="4794">
        <f t="shared" si="133"/>
        <v>0</v>
      </c>
      <c r="BE104" s="4794">
        <f t="shared" si="134"/>
        <v>0</v>
      </c>
      <c r="BF104" s="4794">
        <f t="shared" si="135"/>
        <v>0</v>
      </c>
      <c r="BG104" s="4794">
        <f t="shared" si="136"/>
        <v>0</v>
      </c>
      <c r="BH104" s="4794">
        <f t="shared" si="137"/>
        <v>0</v>
      </c>
      <c r="BI104" s="4794">
        <f t="shared" si="138"/>
        <v>0</v>
      </c>
      <c r="BJ104" s="4794">
        <f t="shared" si="139"/>
        <v>0</v>
      </c>
      <c r="BK104" s="4794">
        <f t="shared" si="140"/>
        <v>0</v>
      </c>
      <c r="BL104" s="4794">
        <f t="shared" si="141"/>
        <v>0</v>
      </c>
      <c r="BM104" s="4794">
        <f t="shared" si="142"/>
        <v>0</v>
      </c>
      <c r="BN104" s="4794">
        <f t="shared" si="143"/>
        <v>0</v>
      </c>
      <c r="BO104" s="4794">
        <f t="shared" si="144"/>
        <v>0</v>
      </c>
      <c r="BP104" s="4794">
        <f t="shared" si="145"/>
        <v>0</v>
      </c>
      <c r="BQ104" s="4794">
        <f t="shared" si="146"/>
        <v>0</v>
      </c>
      <c r="BR104" s="4794">
        <f t="shared" si="147"/>
        <v>0</v>
      </c>
      <c r="BS104" s="4794">
        <f t="shared" si="148"/>
        <v>0</v>
      </c>
      <c r="BT104" s="4794">
        <f t="shared" si="149"/>
        <v>0</v>
      </c>
      <c r="BU104" s="4794">
        <f t="shared" si="150"/>
        <v>0</v>
      </c>
      <c r="BV104" s="4794">
        <f t="shared" si="151"/>
        <v>0</v>
      </c>
      <c r="BW104" s="4794">
        <f t="shared" si="152"/>
        <v>0</v>
      </c>
      <c r="BX104" s="4794">
        <f t="shared" si="153"/>
        <v>0</v>
      </c>
      <c r="BY104" s="4794">
        <f t="shared" si="154"/>
        <v>0</v>
      </c>
      <c r="BZ104" s="4794">
        <f t="shared" si="155"/>
        <v>0</v>
      </c>
      <c r="CA104" s="4794">
        <f t="shared" si="156"/>
        <v>0</v>
      </c>
      <c r="CB104" s="4794">
        <f t="shared" si="157"/>
        <v>0</v>
      </c>
      <c r="CC104" s="4794">
        <f t="shared" si="158"/>
        <v>0</v>
      </c>
      <c r="CD104" s="4794">
        <f t="shared" si="159"/>
        <v>0</v>
      </c>
      <c r="CE104" s="4794">
        <f t="shared" si="160"/>
        <v>0</v>
      </c>
      <c r="CF104" s="4794">
        <f t="shared" si="161"/>
        <v>0</v>
      </c>
    </row>
    <row r="105" spans="1:84" ht="24">
      <c r="A105" s="2237"/>
      <c r="B105" s="2238">
        <v>2040207</v>
      </c>
      <c r="C105" s="2238">
        <v>2070106</v>
      </c>
      <c r="D105" s="2239">
        <v>0.04</v>
      </c>
      <c r="E105" s="2240" t="s">
        <v>359</v>
      </c>
      <c r="F105" s="2242">
        <f t="shared" si="166"/>
        <v>0</v>
      </c>
      <c r="G105" s="4376">
        <f t="shared" si="167"/>
        <v>0</v>
      </c>
      <c r="H105" s="2241">
        <f t="shared" si="168"/>
        <v>0</v>
      </c>
      <c r="I105" s="2242">
        <f t="shared" si="169"/>
        <v>0</v>
      </c>
      <c r="J105" s="2243">
        <f t="shared" si="170"/>
        <v>0</v>
      </c>
      <c r="K105" s="2243">
        <f t="shared" si="171"/>
        <v>0</v>
      </c>
      <c r="L105" s="2243">
        <f t="shared" si="172"/>
        <v>0</v>
      </c>
      <c r="M105" s="2244">
        <f t="shared" si="173"/>
        <v>0</v>
      </c>
      <c r="N105" s="2245">
        <f t="shared" si="174"/>
        <v>0</v>
      </c>
      <c r="O105" s="1304"/>
      <c r="P105" s="1306"/>
      <c r="Q105" s="1305"/>
      <c r="R105" s="1306"/>
      <c r="S105" s="1307"/>
      <c r="T105" s="1307"/>
      <c r="U105" s="1307"/>
      <c r="V105" s="1307"/>
      <c r="W105" s="1304"/>
      <c r="X105" s="1306"/>
      <c r="Y105" s="1305"/>
      <c r="Z105" s="1306"/>
      <c r="AA105" s="1307"/>
      <c r="AB105" s="1307"/>
      <c r="AC105" s="1307"/>
      <c r="AD105" s="1307"/>
      <c r="AE105" s="1304"/>
      <c r="AF105" s="1306"/>
      <c r="AG105" s="1305"/>
      <c r="AH105" s="1306"/>
      <c r="AI105" s="1307"/>
      <c r="AJ105" s="1307"/>
      <c r="AK105" s="1307"/>
      <c r="AL105" s="1308"/>
      <c r="AM105" s="1309"/>
      <c r="AN105" s="1311"/>
      <c r="AO105" s="2246" t="s">
        <v>676</v>
      </c>
      <c r="AP105" s="1306"/>
      <c r="AQ105" s="1306"/>
      <c r="AR105" s="1305"/>
      <c r="AS105" s="1306"/>
      <c r="AT105" s="1307"/>
      <c r="AU105" s="1307"/>
      <c r="AV105" s="1307"/>
      <c r="AW105" s="1305"/>
      <c r="AX105" s="2247" t="s">
        <v>360</v>
      </c>
      <c r="AY105" s="4775"/>
      <c r="AZ105" s="4794">
        <f t="shared" si="129"/>
        <v>0</v>
      </c>
      <c r="BA105" s="4794">
        <f t="shared" si="130"/>
        <v>0</v>
      </c>
      <c r="BB105" s="4794">
        <f t="shared" si="131"/>
        <v>0</v>
      </c>
      <c r="BC105" s="4794">
        <f t="shared" si="132"/>
        <v>0</v>
      </c>
      <c r="BD105" s="4794">
        <f t="shared" si="133"/>
        <v>0</v>
      </c>
      <c r="BE105" s="4794">
        <f t="shared" si="134"/>
        <v>0</v>
      </c>
      <c r="BF105" s="4794">
        <f t="shared" si="135"/>
        <v>0</v>
      </c>
      <c r="BG105" s="4794">
        <f t="shared" si="136"/>
        <v>0</v>
      </c>
      <c r="BH105" s="4794">
        <f t="shared" si="137"/>
        <v>0</v>
      </c>
      <c r="BI105" s="4794">
        <f t="shared" si="138"/>
        <v>0</v>
      </c>
      <c r="BJ105" s="4794">
        <f t="shared" si="139"/>
        <v>0</v>
      </c>
      <c r="BK105" s="4794">
        <f t="shared" si="140"/>
        <v>0</v>
      </c>
      <c r="BL105" s="4794">
        <f t="shared" si="141"/>
        <v>0</v>
      </c>
      <c r="BM105" s="4794">
        <f t="shared" si="142"/>
        <v>0</v>
      </c>
      <c r="BN105" s="4794">
        <f t="shared" si="143"/>
        <v>0</v>
      </c>
      <c r="BO105" s="4794">
        <f t="shared" si="144"/>
        <v>0</v>
      </c>
      <c r="BP105" s="4794">
        <f t="shared" si="145"/>
        <v>0</v>
      </c>
      <c r="BQ105" s="4794">
        <f t="shared" si="146"/>
        <v>0</v>
      </c>
      <c r="BR105" s="4794">
        <f t="shared" si="147"/>
        <v>0</v>
      </c>
      <c r="BS105" s="4794">
        <f t="shared" si="148"/>
        <v>0</v>
      </c>
      <c r="BT105" s="4794">
        <f t="shared" si="149"/>
        <v>0</v>
      </c>
      <c r="BU105" s="4794">
        <f t="shared" si="150"/>
        <v>0</v>
      </c>
      <c r="BV105" s="4794">
        <f t="shared" si="151"/>
        <v>0</v>
      </c>
      <c r="BW105" s="4794">
        <f t="shared" si="152"/>
        <v>0</v>
      </c>
      <c r="BX105" s="4794">
        <f t="shared" si="153"/>
        <v>0</v>
      </c>
      <c r="BY105" s="4794">
        <f t="shared" si="154"/>
        <v>0</v>
      </c>
      <c r="BZ105" s="4794">
        <f t="shared" si="155"/>
        <v>0</v>
      </c>
      <c r="CA105" s="4794">
        <f t="shared" si="156"/>
        <v>0</v>
      </c>
      <c r="CB105" s="4794">
        <f t="shared" si="157"/>
        <v>0</v>
      </c>
      <c r="CC105" s="4794">
        <f t="shared" si="158"/>
        <v>0</v>
      </c>
      <c r="CD105" s="4794">
        <f t="shared" si="159"/>
        <v>0</v>
      </c>
      <c r="CE105" s="4794">
        <f t="shared" si="160"/>
        <v>0</v>
      </c>
      <c r="CF105" s="4794">
        <f t="shared" si="161"/>
        <v>0</v>
      </c>
    </row>
    <row r="106" spans="1:84">
      <c r="A106" s="2237"/>
      <c r="B106" s="2238">
        <v>2040207</v>
      </c>
      <c r="C106" s="2227">
        <v>2070107</v>
      </c>
      <c r="D106" s="2239">
        <v>0.04</v>
      </c>
      <c r="E106" s="2249" t="s">
        <v>660</v>
      </c>
      <c r="F106" s="2242">
        <f t="shared" si="166"/>
        <v>0</v>
      </c>
      <c r="G106" s="4376">
        <f t="shared" si="167"/>
        <v>0</v>
      </c>
      <c r="H106" s="2241">
        <f t="shared" si="168"/>
        <v>0</v>
      </c>
      <c r="I106" s="2242">
        <f t="shared" si="169"/>
        <v>0</v>
      </c>
      <c r="J106" s="2243">
        <f t="shared" si="170"/>
        <v>0</v>
      </c>
      <c r="K106" s="2243">
        <f t="shared" si="171"/>
        <v>0</v>
      </c>
      <c r="L106" s="2243">
        <f t="shared" si="172"/>
        <v>0</v>
      </c>
      <c r="M106" s="2244">
        <f t="shared" si="173"/>
        <v>0</v>
      </c>
      <c r="N106" s="2245">
        <f t="shared" si="174"/>
        <v>0</v>
      </c>
      <c r="O106" s="1304"/>
      <c r="P106" s="1306"/>
      <c r="Q106" s="1305"/>
      <c r="R106" s="1306"/>
      <c r="S106" s="1307"/>
      <c r="T106" s="1307"/>
      <c r="U106" s="1307"/>
      <c r="V106" s="1307"/>
      <c r="W106" s="1304"/>
      <c r="X106" s="1306"/>
      <c r="Y106" s="1305"/>
      <c r="Z106" s="1306"/>
      <c r="AA106" s="1307"/>
      <c r="AB106" s="1307"/>
      <c r="AC106" s="1307"/>
      <c r="AD106" s="1307"/>
      <c r="AE106" s="1304"/>
      <c r="AF106" s="1306"/>
      <c r="AG106" s="1305"/>
      <c r="AH106" s="1306"/>
      <c r="AI106" s="1307"/>
      <c r="AJ106" s="1307"/>
      <c r="AK106" s="1307"/>
      <c r="AL106" s="1308"/>
      <c r="AM106" s="1309"/>
      <c r="AN106" s="1311"/>
      <c r="AO106" s="2246" t="s">
        <v>676</v>
      </c>
      <c r="AP106" s="1306"/>
      <c r="AQ106" s="1306"/>
      <c r="AR106" s="1305"/>
      <c r="AS106" s="1306"/>
      <c r="AT106" s="1307"/>
      <c r="AU106" s="1307"/>
      <c r="AV106" s="1307"/>
      <c r="AW106" s="1305"/>
      <c r="AX106" s="2247" t="s">
        <v>360</v>
      </c>
      <c r="AY106" s="4775"/>
      <c r="AZ106" s="4794">
        <f t="shared" si="129"/>
        <v>0</v>
      </c>
      <c r="BA106" s="4794">
        <f t="shared" si="130"/>
        <v>0</v>
      </c>
      <c r="BB106" s="4794">
        <f t="shared" si="131"/>
        <v>0</v>
      </c>
      <c r="BC106" s="4794">
        <f t="shared" si="132"/>
        <v>0</v>
      </c>
      <c r="BD106" s="4794">
        <f t="shared" si="133"/>
        <v>0</v>
      </c>
      <c r="BE106" s="4794">
        <f t="shared" si="134"/>
        <v>0</v>
      </c>
      <c r="BF106" s="4794">
        <f t="shared" si="135"/>
        <v>0</v>
      </c>
      <c r="BG106" s="4794">
        <f t="shared" si="136"/>
        <v>0</v>
      </c>
      <c r="BH106" s="4794">
        <f t="shared" si="137"/>
        <v>0</v>
      </c>
      <c r="BI106" s="4794">
        <f t="shared" si="138"/>
        <v>0</v>
      </c>
      <c r="BJ106" s="4794">
        <f t="shared" si="139"/>
        <v>0</v>
      </c>
      <c r="BK106" s="4794">
        <f t="shared" si="140"/>
        <v>0</v>
      </c>
      <c r="BL106" s="4794">
        <f t="shared" si="141"/>
        <v>0</v>
      </c>
      <c r="BM106" s="4794">
        <f t="shared" si="142"/>
        <v>0</v>
      </c>
      <c r="BN106" s="4794">
        <f t="shared" si="143"/>
        <v>0</v>
      </c>
      <c r="BO106" s="4794">
        <f t="shared" si="144"/>
        <v>0</v>
      </c>
      <c r="BP106" s="4794">
        <f t="shared" si="145"/>
        <v>0</v>
      </c>
      <c r="BQ106" s="4794">
        <f t="shared" si="146"/>
        <v>0</v>
      </c>
      <c r="BR106" s="4794">
        <f t="shared" si="147"/>
        <v>0</v>
      </c>
      <c r="BS106" s="4794">
        <f t="shared" si="148"/>
        <v>0</v>
      </c>
      <c r="BT106" s="4794">
        <f t="shared" si="149"/>
        <v>0</v>
      </c>
      <c r="BU106" s="4794">
        <f t="shared" si="150"/>
        <v>0</v>
      </c>
      <c r="BV106" s="4794">
        <f t="shared" si="151"/>
        <v>0</v>
      </c>
      <c r="BW106" s="4794">
        <f t="shared" si="152"/>
        <v>0</v>
      </c>
      <c r="BX106" s="4794">
        <f t="shared" si="153"/>
        <v>0</v>
      </c>
      <c r="BY106" s="4794">
        <f t="shared" si="154"/>
        <v>0</v>
      </c>
      <c r="BZ106" s="4794">
        <f t="shared" si="155"/>
        <v>0</v>
      </c>
      <c r="CA106" s="4794">
        <f t="shared" si="156"/>
        <v>0</v>
      </c>
      <c r="CB106" s="4794">
        <f t="shared" si="157"/>
        <v>0</v>
      </c>
      <c r="CC106" s="4794">
        <f t="shared" si="158"/>
        <v>0</v>
      </c>
      <c r="CD106" s="4794">
        <f t="shared" si="159"/>
        <v>0</v>
      </c>
      <c r="CE106" s="4794">
        <f t="shared" si="160"/>
        <v>0</v>
      </c>
      <c r="CF106" s="4794">
        <f t="shared" si="161"/>
        <v>0</v>
      </c>
    </row>
    <row r="107" spans="1:84">
      <c r="A107" s="2237"/>
      <c r="B107" s="2238">
        <v>2040207</v>
      </c>
      <c r="C107" s="2238">
        <v>2070108</v>
      </c>
      <c r="D107" s="2239">
        <v>0.04</v>
      </c>
      <c r="E107" s="2249" t="s">
        <v>661</v>
      </c>
      <c r="F107" s="2242">
        <f t="shared" si="166"/>
        <v>0</v>
      </c>
      <c r="G107" s="4376">
        <f t="shared" si="167"/>
        <v>0</v>
      </c>
      <c r="H107" s="2241">
        <f t="shared" si="168"/>
        <v>0</v>
      </c>
      <c r="I107" s="2242">
        <f t="shared" si="169"/>
        <v>0</v>
      </c>
      <c r="J107" s="2243">
        <f t="shared" si="170"/>
        <v>0</v>
      </c>
      <c r="K107" s="2243">
        <f t="shared" si="171"/>
        <v>0</v>
      </c>
      <c r="L107" s="2243">
        <f t="shared" si="172"/>
        <v>0</v>
      </c>
      <c r="M107" s="2244">
        <f t="shared" si="173"/>
        <v>0</v>
      </c>
      <c r="N107" s="2245">
        <f t="shared" si="174"/>
        <v>0</v>
      </c>
      <c r="O107" s="1304"/>
      <c r="P107" s="1306"/>
      <c r="Q107" s="1305"/>
      <c r="R107" s="1306"/>
      <c r="S107" s="1307"/>
      <c r="T107" s="1307"/>
      <c r="U107" s="1307"/>
      <c r="V107" s="1307"/>
      <c r="W107" s="1304"/>
      <c r="X107" s="1306"/>
      <c r="Y107" s="1305"/>
      <c r="Z107" s="1306"/>
      <c r="AA107" s="1307"/>
      <c r="AB107" s="1307"/>
      <c r="AC107" s="1307"/>
      <c r="AD107" s="1307"/>
      <c r="AE107" s="1304"/>
      <c r="AF107" s="1306"/>
      <c r="AG107" s="1305"/>
      <c r="AH107" s="1306"/>
      <c r="AI107" s="1307"/>
      <c r="AJ107" s="1307"/>
      <c r="AK107" s="1307"/>
      <c r="AL107" s="1308"/>
      <c r="AM107" s="1309"/>
      <c r="AN107" s="1311"/>
      <c r="AO107" s="2246" t="s">
        <v>676</v>
      </c>
      <c r="AP107" s="1306"/>
      <c r="AQ107" s="1306"/>
      <c r="AR107" s="1305"/>
      <c r="AS107" s="1306"/>
      <c r="AT107" s="1307"/>
      <c r="AU107" s="1307"/>
      <c r="AV107" s="1307"/>
      <c r="AW107" s="1305"/>
      <c r="AX107" s="2247" t="s">
        <v>360</v>
      </c>
      <c r="AY107" s="4775"/>
      <c r="AZ107" s="4794">
        <f t="shared" si="129"/>
        <v>0</v>
      </c>
      <c r="BA107" s="4794">
        <f t="shared" si="130"/>
        <v>0</v>
      </c>
      <c r="BB107" s="4794">
        <f t="shared" si="131"/>
        <v>0</v>
      </c>
      <c r="BC107" s="4794">
        <f t="shared" si="132"/>
        <v>0</v>
      </c>
      <c r="BD107" s="4794">
        <f t="shared" si="133"/>
        <v>0</v>
      </c>
      <c r="BE107" s="4794">
        <f t="shared" si="134"/>
        <v>0</v>
      </c>
      <c r="BF107" s="4794">
        <f t="shared" si="135"/>
        <v>0</v>
      </c>
      <c r="BG107" s="4794">
        <f t="shared" si="136"/>
        <v>0</v>
      </c>
      <c r="BH107" s="4794">
        <f t="shared" si="137"/>
        <v>0</v>
      </c>
      <c r="BI107" s="4794">
        <f t="shared" si="138"/>
        <v>0</v>
      </c>
      <c r="BJ107" s="4794">
        <f t="shared" si="139"/>
        <v>0</v>
      </c>
      <c r="BK107" s="4794">
        <f t="shared" si="140"/>
        <v>0</v>
      </c>
      <c r="BL107" s="4794">
        <f t="shared" si="141"/>
        <v>0</v>
      </c>
      <c r="BM107" s="4794">
        <f t="shared" si="142"/>
        <v>0</v>
      </c>
      <c r="BN107" s="4794">
        <f t="shared" si="143"/>
        <v>0</v>
      </c>
      <c r="BO107" s="4794">
        <f t="shared" si="144"/>
        <v>0</v>
      </c>
      <c r="BP107" s="4794">
        <f t="shared" si="145"/>
        <v>0</v>
      </c>
      <c r="BQ107" s="4794">
        <f t="shared" si="146"/>
        <v>0</v>
      </c>
      <c r="BR107" s="4794">
        <f t="shared" si="147"/>
        <v>0</v>
      </c>
      <c r="BS107" s="4794">
        <f t="shared" si="148"/>
        <v>0</v>
      </c>
      <c r="BT107" s="4794">
        <f t="shared" si="149"/>
        <v>0</v>
      </c>
      <c r="BU107" s="4794">
        <f t="shared" si="150"/>
        <v>0</v>
      </c>
      <c r="BV107" s="4794">
        <f t="shared" si="151"/>
        <v>0</v>
      </c>
      <c r="BW107" s="4794">
        <f t="shared" si="152"/>
        <v>0</v>
      </c>
      <c r="BX107" s="4794">
        <f t="shared" si="153"/>
        <v>0</v>
      </c>
      <c r="BY107" s="4794">
        <f t="shared" si="154"/>
        <v>0</v>
      </c>
      <c r="BZ107" s="4794">
        <f t="shared" si="155"/>
        <v>0</v>
      </c>
      <c r="CA107" s="4794">
        <f t="shared" si="156"/>
        <v>0</v>
      </c>
      <c r="CB107" s="4794">
        <f t="shared" si="157"/>
        <v>0</v>
      </c>
      <c r="CC107" s="4794">
        <f t="shared" si="158"/>
        <v>0</v>
      </c>
      <c r="CD107" s="4794">
        <f t="shared" si="159"/>
        <v>0</v>
      </c>
      <c r="CE107" s="4794">
        <f t="shared" si="160"/>
        <v>0</v>
      </c>
      <c r="CF107" s="4794">
        <f t="shared" si="161"/>
        <v>0</v>
      </c>
    </row>
    <row r="108" spans="1:84">
      <c r="A108" s="2237"/>
      <c r="B108" s="2238">
        <v>2040207</v>
      </c>
      <c r="C108" s="2227">
        <v>2070109</v>
      </c>
      <c r="D108" s="2239">
        <v>0.04</v>
      </c>
      <c r="E108" s="2249" t="s">
        <v>361</v>
      </c>
      <c r="F108" s="2242">
        <f t="shared" si="166"/>
        <v>0</v>
      </c>
      <c r="G108" s="4376">
        <f t="shared" si="167"/>
        <v>0</v>
      </c>
      <c r="H108" s="2241">
        <f t="shared" si="168"/>
        <v>0</v>
      </c>
      <c r="I108" s="2242">
        <f t="shared" si="169"/>
        <v>0</v>
      </c>
      <c r="J108" s="2243">
        <f t="shared" si="170"/>
        <v>0</v>
      </c>
      <c r="K108" s="2243">
        <f t="shared" si="171"/>
        <v>0</v>
      </c>
      <c r="L108" s="2243">
        <f t="shared" si="172"/>
        <v>0</v>
      </c>
      <c r="M108" s="2244">
        <f t="shared" si="173"/>
        <v>0</v>
      </c>
      <c r="N108" s="2245">
        <f t="shared" si="174"/>
        <v>0</v>
      </c>
      <c r="O108" s="1304"/>
      <c r="P108" s="1306"/>
      <c r="Q108" s="1305"/>
      <c r="R108" s="1306"/>
      <c r="S108" s="1307"/>
      <c r="T108" s="1307"/>
      <c r="U108" s="1307"/>
      <c r="V108" s="1307"/>
      <c r="W108" s="1304"/>
      <c r="X108" s="1306"/>
      <c r="Y108" s="1305"/>
      <c r="Z108" s="1306"/>
      <c r="AA108" s="1307"/>
      <c r="AB108" s="1307"/>
      <c r="AC108" s="1307"/>
      <c r="AD108" s="1307"/>
      <c r="AE108" s="1304"/>
      <c r="AF108" s="1306"/>
      <c r="AG108" s="1305"/>
      <c r="AH108" s="1306"/>
      <c r="AI108" s="1307"/>
      <c r="AJ108" s="1307"/>
      <c r="AK108" s="1307"/>
      <c r="AL108" s="1308"/>
      <c r="AM108" s="1309"/>
      <c r="AN108" s="1310"/>
      <c r="AO108" s="2246" t="s">
        <v>676</v>
      </c>
      <c r="AP108" s="1306"/>
      <c r="AQ108" s="1306"/>
      <c r="AR108" s="1305"/>
      <c r="AS108" s="1306"/>
      <c r="AT108" s="1307"/>
      <c r="AU108" s="1307"/>
      <c r="AV108" s="1307"/>
      <c r="AW108" s="1305"/>
      <c r="AX108" s="2247" t="s">
        <v>360</v>
      </c>
      <c r="AY108" s="4775"/>
      <c r="AZ108" s="4794">
        <f t="shared" si="129"/>
        <v>0</v>
      </c>
      <c r="BA108" s="4794">
        <f t="shared" si="130"/>
        <v>0</v>
      </c>
      <c r="BB108" s="4794">
        <f t="shared" si="131"/>
        <v>0</v>
      </c>
      <c r="BC108" s="4794">
        <f t="shared" si="132"/>
        <v>0</v>
      </c>
      <c r="BD108" s="4794">
        <f t="shared" si="133"/>
        <v>0</v>
      </c>
      <c r="BE108" s="4794">
        <f t="shared" si="134"/>
        <v>0</v>
      </c>
      <c r="BF108" s="4794">
        <f t="shared" si="135"/>
        <v>0</v>
      </c>
      <c r="BG108" s="4794">
        <f t="shared" si="136"/>
        <v>0</v>
      </c>
      <c r="BH108" s="4794">
        <f t="shared" si="137"/>
        <v>0</v>
      </c>
      <c r="BI108" s="4794">
        <f t="shared" si="138"/>
        <v>0</v>
      </c>
      <c r="BJ108" s="4794">
        <f t="shared" si="139"/>
        <v>0</v>
      </c>
      <c r="BK108" s="4794">
        <f t="shared" si="140"/>
        <v>0</v>
      </c>
      <c r="BL108" s="4794">
        <f t="shared" si="141"/>
        <v>0</v>
      </c>
      <c r="BM108" s="4794">
        <f t="shared" si="142"/>
        <v>0</v>
      </c>
      <c r="BN108" s="4794">
        <f t="shared" si="143"/>
        <v>0</v>
      </c>
      <c r="BO108" s="4794">
        <f t="shared" si="144"/>
        <v>0</v>
      </c>
      <c r="BP108" s="4794">
        <f t="shared" si="145"/>
        <v>0</v>
      </c>
      <c r="BQ108" s="4794">
        <f t="shared" si="146"/>
        <v>0</v>
      </c>
      <c r="BR108" s="4794">
        <f t="shared" si="147"/>
        <v>0</v>
      </c>
      <c r="BS108" s="4794">
        <f t="shared" si="148"/>
        <v>0</v>
      </c>
      <c r="BT108" s="4794">
        <f t="shared" si="149"/>
        <v>0</v>
      </c>
      <c r="BU108" s="4794">
        <f t="shared" si="150"/>
        <v>0</v>
      </c>
      <c r="BV108" s="4794">
        <f t="shared" si="151"/>
        <v>0</v>
      </c>
      <c r="BW108" s="4794">
        <f t="shared" si="152"/>
        <v>0</v>
      </c>
      <c r="BX108" s="4794">
        <f t="shared" si="153"/>
        <v>0</v>
      </c>
      <c r="BY108" s="4794">
        <f t="shared" si="154"/>
        <v>0</v>
      </c>
      <c r="BZ108" s="4794">
        <f t="shared" si="155"/>
        <v>0</v>
      </c>
      <c r="CA108" s="4794">
        <f t="shared" si="156"/>
        <v>0</v>
      </c>
      <c r="CB108" s="4794">
        <f t="shared" si="157"/>
        <v>0</v>
      </c>
      <c r="CC108" s="4794">
        <f t="shared" si="158"/>
        <v>0</v>
      </c>
      <c r="CD108" s="4794">
        <f t="shared" si="159"/>
        <v>0</v>
      </c>
      <c r="CE108" s="4794">
        <f t="shared" si="160"/>
        <v>0</v>
      </c>
      <c r="CF108" s="4794">
        <f t="shared" si="161"/>
        <v>0</v>
      </c>
    </row>
    <row r="109" spans="1:84">
      <c r="A109" s="2237"/>
      <c r="B109" s="2238">
        <v>2030401</v>
      </c>
      <c r="C109" s="2238">
        <v>2070110</v>
      </c>
      <c r="D109" s="2250">
        <v>0.1</v>
      </c>
      <c r="E109" s="2249" t="s">
        <v>362</v>
      </c>
      <c r="F109" s="2242">
        <f t="shared" si="166"/>
        <v>0</v>
      </c>
      <c r="G109" s="4376">
        <f t="shared" si="167"/>
        <v>0</v>
      </c>
      <c r="H109" s="2241">
        <f t="shared" si="168"/>
        <v>0</v>
      </c>
      <c r="I109" s="2242">
        <f t="shared" si="169"/>
        <v>0</v>
      </c>
      <c r="J109" s="2243">
        <f t="shared" si="170"/>
        <v>0</v>
      </c>
      <c r="K109" s="2243">
        <f t="shared" si="171"/>
        <v>0</v>
      </c>
      <c r="L109" s="2243">
        <f t="shared" si="172"/>
        <v>0</v>
      </c>
      <c r="M109" s="2244">
        <f t="shared" si="173"/>
        <v>0</v>
      </c>
      <c r="N109" s="2245">
        <f t="shared" si="174"/>
        <v>0</v>
      </c>
      <c r="O109" s="1304"/>
      <c r="P109" s="1306"/>
      <c r="Q109" s="1305"/>
      <c r="R109" s="1306"/>
      <c r="S109" s="1307"/>
      <c r="T109" s="1307"/>
      <c r="U109" s="1307"/>
      <c r="V109" s="1307"/>
      <c r="W109" s="1304"/>
      <c r="X109" s="1306"/>
      <c r="Y109" s="1305"/>
      <c r="Z109" s="1306"/>
      <c r="AA109" s="1307"/>
      <c r="AB109" s="1307"/>
      <c r="AC109" s="1307"/>
      <c r="AD109" s="1307"/>
      <c r="AE109" s="1304"/>
      <c r="AF109" s="1306"/>
      <c r="AG109" s="1305"/>
      <c r="AH109" s="1306"/>
      <c r="AI109" s="1307"/>
      <c r="AJ109" s="1307"/>
      <c r="AK109" s="1307"/>
      <c r="AL109" s="1308"/>
      <c r="AM109" s="1309"/>
      <c r="AN109" s="1311"/>
      <c r="AO109" s="2246" t="s">
        <v>676</v>
      </c>
      <c r="AP109" s="1306"/>
      <c r="AQ109" s="1306"/>
      <c r="AR109" s="1305"/>
      <c r="AS109" s="1306"/>
      <c r="AT109" s="1307"/>
      <c r="AU109" s="1307"/>
      <c r="AV109" s="1307"/>
      <c r="AW109" s="1305"/>
      <c r="AX109" s="2247" t="s">
        <v>360</v>
      </c>
      <c r="AY109" s="4775"/>
      <c r="AZ109" s="4794">
        <f t="shared" si="129"/>
        <v>0</v>
      </c>
      <c r="BA109" s="4794">
        <f t="shared" si="130"/>
        <v>0</v>
      </c>
      <c r="BB109" s="4794">
        <f t="shared" si="131"/>
        <v>0</v>
      </c>
      <c r="BC109" s="4794">
        <f t="shared" si="132"/>
        <v>0</v>
      </c>
      <c r="BD109" s="4794">
        <f t="shared" si="133"/>
        <v>0</v>
      </c>
      <c r="BE109" s="4794">
        <f t="shared" si="134"/>
        <v>0</v>
      </c>
      <c r="BF109" s="4794">
        <f t="shared" si="135"/>
        <v>0</v>
      </c>
      <c r="BG109" s="4794">
        <f t="shared" si="136"/>
        <v>0</v>
      </c>
      <c r="BH109" s="4794">
        <f t="shared" si="137"/>
        <v>0</v>
      </c>
      <c r="BI109" s="4794">
        <f t="shared" si="138"/>
        <v>0</v>
      </c>
      <c r="BJ109" s="4794">
        <f t="shared" si="139"/>
        <v>0</v>
      </c>
      <c r="BK109" s="4794">
        <f t="shared" si="140"/>
        <v>0</v>
      </c>
      <c r="BL109" s="4794">
        <f t="shared" si="141"/>
        <v>0</v>
      </c>
      <c r="BM109" s="4794">
        <f t="shared" si="142"/>
        <v>0</v>
      </c>
      <c r="BN109" s="4794">
        <f t="shared" si="143"/>
        <v>0</v>
      </c>
      <c r="BO109" s="4794">
        <f t="shared" si="144"/>
        <v>0</v>
      </c>
      <c r="BP109" s="4794">
        <f t="shared" si="145"/>
        <v>0</v>
      </c>
      <c r="BQ109" s="4794">
        <f t="shared" si="146"/>
        <v>0</v>
      </c>
      <c r="BR109" s="4794">
        <f t="shared" si="147"/>
        <v>0</v>
      </c>
      <c r="BS109" s="4794">
        <f t="shared" si="148"/>
        <v>0</v>
      </c>
      <c r="BT109" s="4794">
        <f t="shared" si="149"/>
        <v>0</v>
      </c>
      <c r="BU109" s="4794">
        <f t="shared" si="150"/>
        <v>0</v>
      </c>
      <c r="BV109" s="4794">
        <f t="shared" si="151"/>
        <v>0</v>
      </c>
      <c r="BW109" s="4794">
        <f t="shared" si="152"/>
        <v>0</v>
      </c>
      <c r="BX109" s="4794">
        <f t="shared" si="153"/>
        <v>0</v>
      </c>
      <c r="BY109" s="4794">
        <f t="shared" si="154"/>
        <v>0</v>
      </c>
      <c r="BZ109" s="4794">
        <f t="shared" si="155"/>
        <v>0</v>
      </c>
      <c r="CA109" s="4794">
        <f t="shared" si="156"/>
        <v>0</v>
      </c>
      <c r="CB109" s="4794">
        <f t="shared" si="157"/>
        <v>0</v>
      </c>
      <c r="CC109" s="4794">
        <f t="shared" si="158"/>
        <v>0</v>
      </c>
      <c r="CD109" s="4794">
        <f t="shared" si="159"/>
        <v>0</v>
      </c>
      <c r="CE109" s="4794">
        <f t="shared" si="160"/>
        <v>0</v>
      </c>
      <c r="CF109" s="4794">
        <f t="shared" si="161"/>
        <v>0</v>
      </c>
    </row>
    <row r="110" spans="1:84" ht="24">
      <c r="A110" s="2237"/>
      <c r="B110" s="2238">
        <v>2040205</v>
      </c>
      <c r="C110" s="2227">
        <v>2070111</v>
      </c>
      <c r="D110" s="2239">
        <v>0.02</v>
      </c>
      <c r="E110" s="2240" t="s">
        <v>363</v>
      </c>
      <c r="F110" s="2242">
        <f t="shared" si="166"/>
        <v>0</v>
      </c>
      <c r="G110" s="4376">
        <f t="shared" si="167"/>
        <v>0</v>
      </c>
      <c r="H110" s="2241">
        <f t="shared" si="168"/>
        <v>0</v>
      </c>
      <c r="I110" s="2242">
        <f t="shared" si="169"/>
        <v>0</v>
      </c>
      <c r="J110" s="2243">
        <f t="shared" si="170"/>
        <v>0</v>
      </c>
      <c r="K110" s="2243">
        <f t="shared" si="171"/>
        <v>0</v>
      </c>
      <c r="L110" s="2243">
        <f t="shared" si="172"/>
        <v>0</v>
      </c>
      <c r="M110" s="2244">
        <f t="shared" si="173"/>
        <v>0</v>
      </c>
      <c r="N110" s="2245">
        <f t="shared" si="174"/>
        <v>0</v>
      </c>
      <c r="O110" s="1304"/>
      <c r="P110" s="1306"/>
      <c r="Q110" s="1305"/>
      <c r="R110" s="1306"/>
      <c r="S110" s="1307"/>
      <c r="T110" s="1307"/>
      <c r="U110" s="1307"/>
      <c r="V110" s="1307"/>
      <c r="W110" s="1304"/>
      <c r="X110" s="1306"/>
      <c r="Y110" s="1305"/>
      <c r="Z110" s="1306"/>
      <c r="AA110" s="1307"/>
      <c r="AB110" s="1307"/>
      <c r="AC110" s="1307"/>
      <c r="AD110" s="1307"/>
      <c r="AE110" s="1304"/>
      <c r="AF110" s="1306"/>
      <c r="AG110" s="1305"/>
      <c r="AH110" s="1306"/>
      <c r="AI110" s="1307"/>
      <c r="AJ110" s="1307"/>
      <c r="AK110" s="1307"/>
      <c r="AL110" s="1308"/>
      <c r="AM110" s="1309"/>
      <c r="AN110" s="1311"/>
      <c r="AO110" s="2246" t="s">
        <v>678</v>
      </c>
      <c r="AP110" s="1306"/>
      <c r="AQ110" s="1306"/>
      <c r="AR110" s="1305"/>
      <c r="AS110" s="1306"/>
      <c r="AT110" s="1307"/>
      <c r="AU110" s="1307"/>
      <c r="AV110" s="1307"/>
      <c r="AW110" s="1305"/>
      <c r="AX110" s="2247" t="s">
        <v>364</v>
      </c>
      <c r="AY110" s="4775"/>
      <c r="AZ110" s="4794">
        <f t="shared" si="129"/>
        <v>0</v>
      </c>
      <c r="BA110" s="4794">
        <f t="shared" si="130"/>
        <v>0</v>
      </c>
      <c r="BB110" s="4794">
        <f t="shared" si="131"/>
        <v>0</v>
      </c>
      <c r="BC110" s="4794">
        <f t="shared" si="132"/>
        <v>0</v>
      </c>
      <c r="BD110" s="4794">
        <f t="shared" si="133"/>
        <v>0</v>
      </c>
      <c r="BE110" s="4794">
        <f t="shared" si="134"/>
        <v>0</v>
      </c>
      <c r="BF110" s="4794">
        <f t="shared" si="135"/>
        <v>0</v>
      </c>
      <c r="BG110" s="4794">
        <f t="shared" si="136"/>
        <v>0</v>
      </c>
      <c r="BH110" s="4794">
        <f t="shared" si="137"/>
        <v>0</v>
      </c>
      <c r="BI110" s="4794">
        <f t="shared" si="138"/>
        <v>0</v>
      </c>
      <c r="BJ110" s="4794">
        <f t="shared" si="139"/>
        <v>0</v>
      </c>
      <c r="BK110" s="4794">
        <f t="shared" si="140"/>
        <v>0</v>
      </c>
      <c r="BL110" s="4794">
        <f t="shared" si="141"/>
        <v>0</v>
      </c>
      <c r="BM110" s="4794">
        <f t="shared" si="142"/>
        <v>0</v>
      </c>
      <c r="BN110" s="4794">
        <f t="shared" si="143"/>
        <v>0</v>
      </c>
      <c r="BO110" s="4794">
        <f t="shared" si="144"/>
        <v>0</v>
      </c>
      <c r="BP110" s="4794">
        <f t="shared" si="145"/>
        <v>0</v>
      </c>
      <c r="BQ110" s="4794">
        <f t="shared" si="146"/>
        <v>0</v>
      </c>
      <c r="BR110" s="4794">
        <f t="shared" si="147"/>
        <v>0</v>
      </c>
      <c r="BS110" s="4794">
        <f t="shared" si="148"/>
        <v>0</v>
      </c>
      <c r="BT110" s="4794">
        <f t="shared" si="149"/>
        <v>0</v>
      </c>
      <c r="BU110" s="4794">
        <f t="shared" si="150"/>
        <v>0</v>
      </c>
      <c r="BV110" s="4794">
        <f t="shared" si="151"/>
        <v>0</v>
      </c>
      <c r="BW110" s="4794">
        <f t="shared" si="152"/>
        <v>0</v>
      </c>
      <c r="BX110" s="4794">
        <f t="shared" si="153"/>
        <v>0</v>
      </c>
      <c r="BY110" s="4794">
        <f t="shared" si="154"/>
        <v>0</v>
      </c>
      <c r="BZ110" s="4794">
        <f t="shared" si="155"/>
        <v>0</v>
      </c>
      <c r="CA110" s="4794">
        <f t="shared" si="156"/>
        <v>0</v>
      </c>
      <c r="CB110" s="4794">
        <f t="shared" si="157"/>
        <v>0</v>
      </c>
      <c r="CC110" s="4794">
        <f t="shared" si="158"/>
        <v>0</v>
      </c>
      <c r="CD110" s="4794">
        <f t="shared" si="159"/>
        <v>0</v>
      </c>
      <c r="CE110" s="4794">
        <f t="shared" si="160"/>
        <v>0</v>
      </c>
      <c r="CF110" s="4794">
        <f t="shared" si="161"/>
        <v>0</v>
      </c>
    </row>
    <row r="111" spans="1:84" ht="24">
      <c r="A111" s="2237"/>
      <c r="B111" s="2238">
        <v>2040205</v>
      </c>
      <c r="C111" s="2238">
        <v>2070112</v>
      </c>
      <c r="D111" s="2239">
        <v>0.02</v>
      </c>
      <c r="E111" s="2240" t="s">
        <v>365</v>
      </c>
      <c r="F111" s="2242">
        <f t="shared" si="166"/>
        <v>0</v>
      </c>
      <c r="G111" s="4376">
        <f t="shared" si="167"/>
        <v>0</v>
      </c>
      <c r="H111" s="2241">
        <f t="shared" si="168"/>
        <v>0</v>
      </c>
      <c r="I111" s="2242">
        <f t="shared" si="169"/>
        <v>0</v>
      </c>
      <c r="J111" s="2243">
        <f t="shared" si="170"/>
        <v>0</v>
      </c>
      <c r="K111" s="2243">
        <f t="shared" si="171"/>
        <v>0</v>
      </c>
      <c r="L111" s="2243">
        <f t="shared" si="172"/>
        <v>0</v>
      </c>
      <c r="M111" s="2244">
        <f t="shared" si="173"/>
        <v>0</v>
      </c>
      <c r="N111" s="2245">
        <f t="shared" si="174"/>
        <v>0</v>
      </c>
      <c r="O111" s="1304"/>
      <c r="P111" s="1306"/>
      <c r="Q111" s="1305"/>
      <c r="R111" s="1306"/>
      <c r="S111" s="1307"/>
      <c r="T111" s="1307"/>
      <c r="U111" s="1307"/>
      <c r="V111" s="1307"/>
      <c r="W111" s="1304"/>
      <c r="X111" s="1306"/>
      <c r="Y111" s="1305"/>
      <c r="Z111" s="1306"/>
      <c r="AA111" s="1307"/>
      <c r="AB111" s="1307"/>
      <c r="AC111" s="1307"/>
      <c r="AD111" s="1307"/>
      <c r="AE111" s="1304"/>
      <c r="AF111" s="1306"/>
      <c r="AG111" s="1305"/>
      <c r="AH111" s="1306"/>
      <c r="AI111" s="1307"/>
      <c r="AJ111" s="1307"/>
      <c r="AK111" s="1307"/>
      <c r="AL111" s="1308"/>
      <c r="AM111" s="1309"/>
      <c r="AN111" s="1311"/>
      <c r="AO111" s="2246" t="s">
        <v>676</v>
      </c>
      <c r="AP111" s="1306"/>
      <c r="AQ111" s="1306"/>
      <c r="AR111" s="1305"/>
      <c r="AS111" s="1306"/>
      <c r="AT111" s="1307"/>
      <c r="AU111" s="1307"/>
      <c r="AV111" s="1307"/>
      <c r="AW111" s="1305"/>
      <c r="AX111" s="2247" t="s">
        <v>366</v>
      </c>
      <c r="AY111" s="4775"/>
      <c r="AZ111" s="4794">
        <f t="shared" si="129"/>
        <v>0</v>
      </c>
      <c r="BA111" s="4794">
        <f t="shared" si="130"/>
        <v>0</v>
      </c>
      <c r="BB111" s="4794">
        <f t="shared" si="131"/>
        <v>0</v>
      </c>
      <c r="BC111" s="4794">
        <f t="shared" si="132"/>
        <v>0</v>
      </c>
      <c r="BD111" s="4794">
        <f t="shared" si="133"/>
        <v>0</v>
      </c>
      <c r="BE111" s="4794">
        <f t="shared" si="134"/>
        <v>0</v>
      </c>
      <c r="BF111" s="4794">
        <f t="shared" si="135"/>
        <v>0</v>
      </c>
      <c r="BG111" s="4794">
        <f t="shared" si="136"/>
        <v>0</v>
      </c>
      <c r="BH111" s="4794">
        <f t="shared" si="137"/>
        <v>0</v>
      </c>
      <c r="BI111" s="4794">
        <f t="shared" si="138"/>
        <v>0</v>
      </c>
      <c r="BJ111" s="4794">
        <f t="shared" si="139"/>
        <v>0</v>
      </c>
      <c r="BK111" s="4794">
        <f t="shared" si="140"/>
        <v>0</v>
      </c>
      <c r="BL111" s="4794">
        <f t="shared" si="141"/>
        <v>0</v>
      </c>
      <c r="BM111" s="4794">
        <f t="shared" si="142"/>
        <v>0</v>
      </c>
      <c r="BN111" s="4794">
        <f t="shared" si="143"/>
        <v>0</v>
      </c>
      <c r="BO111" s="4794">
        <f t="shared" si="144"/>
        <v>0</v>
      </c>
      <c r="BP111" s="4794">
        <f t="shared" si="145"/>
        <v>0</v>
      </c>
      <c r="BQ111" s="4794">
        <f t="shared" si="146"/>
        <v>0</v>
      </c>
      <c r="BR111" s="4794">
        <f t="shared" si="147"/>
        <v>0</v>
      </c>
      <c r="BS111" s="4794">
        <f t="shared" si="148"/>
        <v>0</v>
      </c>
      <c r="BT111" s="4794">
        <f t="shared" si="149"/>
        <v>0</v>
      </c>
      <c r="BU111" s="4794">
        <f t="shared" si="150"/>
        <v>0</v>
      </c>
      <c r="BV111" s="4794">
        <f t="shared" si="151"/>
        <v>0</v>
      </c>
      <c r="BW111" s="4794">
        <f t="shared" si="152"/>
        <v>0</v>
      </c>
      <c r="BX111" s="4794">
        <f t="shared" si="153"/>
        <v>0</v>
      </c>
      <c r="BY111" s="4794">
        <f t="shared" si="154"/>
        <v>0</v>
      </c>
      <c r="BZ111" s="4794">
        <f t="shared" si="155"/>
        <v>0</v>
      </c>
      <c r="CA111" s="4794">
        <f t="shared" si="156"/>
        <v>0</v>
      </c>
      <c r="CB111" s="4794">
        <f t="shared" si="157"/>
        <v>0</v>
      </c>
      <c r="CC111" s="4794">
        <f t="shared" si="158"/>
        <v>0</v>
      </c>
      <c r="CD111" s="4794">
        <f t="shared" si="159"/>
        <v>0</v>
      </c>
      <c r="CE111" s="4794">
        <f t="shared" si="160"/>
        <v>0</v>
      </c>
      <c r="CF111" s="4794">
        <f t="shared" si="161"/>
        <v>0</v>
      </c>
    </row>
    <row r="112" spans="1:84" ht="36">
      <c r="A112" s="2237"/>
      <c r="B112" s="2238">
        <v>2030502</v>
      </c>
      <c r="C112" s="2227">
        <v>2070113</v>
      </c>
      <c r="D112" s="2239">
        <v>0.1</v>
      </c>
      <c r="E112" s="2240" t="s">
        <v>367</v>
      </c>
      <c r="F112" s="2242">
        <f t="shared" si="166"/>
        <v>0</v>
      </c>
      <c r="G112" s="4376">
        <f t="shared" si="167"/>
        <v>0</v>
      </c>
      <c r="H112" s="2241">
        <f t="shared" si="168"/>
        <v>0</v>
      </c>
      <c r="I112" s="2242">
        <f t="shared" si="169"/>
        <v>0</v>
      </c>
      <c r="J112" s="2243">
        <f t="shared" si="170"/>
        <v>0</v>
      </c>
      <c r="K112" s="2243">
        <f t="shared" si="171"/>
        <v>0</v>
      </c>
      <c r="L112" s="2243">
        <f t="shared" si="172"/>
        <v>0</v>
      </c>
      <c r="M112" s="2244">
        <f t="shared" si="173"/>
        <v>0</v>
      </c>
      <c r="N112" s="2245">
        <f t="shared" si="174"/>
        <v>0</v>
      </c>
      <c r="O112" s="1304"/>
      <c r="P112" s="1306"/>
      <c r="Q112" s="1305"/>
      <c r="R112" s="1306"/>
      <c r="S112" s="1307"/>
      <c r="T112" s="1307"/>
      <c r="U112" s="1307"/>
      <c r="V112" s="1307"/>
      <c r="W112" s="1304"/>
      <c r="X112" s="1306"/>
      <c r="Y112" s="1305"/>
      <c r="Z112" s="1306"/>
      <c r="AA112" s="1307"/>
      <c r="AB112" s="1307"/>
      <c r="AC112" s="1307"/>
      <c r="AD112" s="1307"/>
      <c r="AE112" s="1304"/>
      <c r="AF112" s="1306"/>
      <c r="AG112" s="1305"/>
      <c r="AH112" s="1306"/>
      <c r="AI112" s="1307"/>
      <c r="AJ112" s="1307"/>
      <c r="AK112" s="1307"/>
      <c r="AL112" s="1308"/>
      <c r="AM112" s="1309"/>
      <c r="AN112" s="1310"/>
      <c r="AO112" s="2246" t="s">
        <v>676</v>
      </c>
      <c r="AP112" s="1306"/>
      <c r="AQ112" s="1306"/>
      <c r="AR112" s="1305"/>
      <c r="AS112" s="1306"/>
      <c r="AT112" s="1307"/>
      <c r="AU112" s="1307"/>
      <c r="AV112" s="1307"/>
      <c r="AW112" s="1305"/>
      <c r="AX112" s="2251" t="s">
        <v>1030</v>
      </c>
      <c r="AY112" s="4775"/>
      <c r="AZ112" s="4794">
        <f t="shared" si="129"/>
        <v>0</v>
      </c>
      <c r="BA112" s="4794">
        <f t="shared" si="130"/>
        <v>0</v>
      </c>
      <c r="BB112" s="4794">
        <f t="shared" si="131"/>
        <v>0</v>
      </c>
      <c r="BC112" s="4794">
        <f t="shared" si="132"/>
        <v>0</v>
      </c>
      <c r="BD112" s="4794">
        <f t="shared" si="133"/>
        <v>0</v>
      </c>
      <c r="BE112" s="4794">
        <f t="shared" si="134"/>
        <v>0</v>
      </c>
      <c r="BF112" s="4794">
        <f t="shared" si="135"/>
        <v>0</v>
      </c>
      <c r="BG112" s="4794">
        <f t="shared" si="136"/>
        <v>0</v>
      </c>
      <c r="BH112" s="4794">
        <f t="shared" si="137"/>
        <v>0</v>
      </c>
      <c r="BI112" s="4794">
        <f t="shared" si="138"/>
        <v>0</v>
      </c>
      <c r="BJ112" s="4794">
        <f t="shared" si="139"/>
        <v>0</v>
      </c>
      <c r="BK112" s="4794">
        <f t="shared" si="140"/>
        <v>0</v>
      </c>
      <c r="BL112" s="4794">
        <f t="shared" si="141"/>
        <v>0</v>
      </c>
      <c r="BM112" s="4794">
        <f t="shared" si="142"/>
        <v>0</v>
      </c>
      <c r="BN112" s="4794">
        <f t="shared" si="143"/>
        <v>0</v>
      </c>
      <c r="BO112" s="4794">
        <f t="shared" si="144"/>
        <v>0</v>
      </c>
      <c r="BP112" s="4794">
        <f t="shared" si="145"/>
        <v>0</v>
      </c>
      <c r="BQ112" s="4794">
        <f t="shared" si="146"/>
        <v>0</v>
      </c>
      <c r="BR112" s="4794">
        <f t="shared" si="147"/>
        <v>0</v>
      </c>
      <c r="BS112" s="4794">
        <f t="shared" si="148"/>
        <v>0</v>
      </c>
      <c r="BT112" s="4794">
        <f t="shared" si="149"/>
        <v>0</v>
      </c>
      <c r="BU112" s="4794">
        <f t="shared" si="150"/>
        <v>0</v>
      </c>
      <c r="BV112" s="4794">
        <f t="shared" si="151"/>
        <v>0</v>
      </c>
      <c r="BW112" s="4794">
        <f t="shared" si="152"/>
        <v>0</v>
      </c>
      <c r="BX112" s="4794">
        <f t="shared" si="153"/>
        <v>0</v>
      </c>
      <c r="BY112" s="4794">
        <f t="shared" si="154"/>
        <v>0</v>
      </c>
      <c r="BZ112" s="4794">
        <f t="shared" si="155"/>
        <v>0</v>
      </c>
      <c r="CA112" s="4794">
        <f t="shared" si="156"/>
        <v>0</v>
      </c>
      <c r="CB112" s="4794">
        <f t="shared" si="157"/>
        <v>0</v>
      </c>
      <c r="CC112" s="4794">
        <f t="shared" si="158"/>
        <v>0</v>
      </c>
      <c r="CD112" s="4794">
        <f t="shared" si="159"/>
        <v>0</v>
      </c>
      <c r="CE112" s="4794">
        <f t="shared" si="160"/>
        <v>0</v>
      </c>
      <c r="CF112" s="4794">
        <f t="shared" si="161"/>
        <v>0</v>
      </c>
    </row>
    <row r="113" spans="1:84" ht="24">
      <c r="A113" s="2237"/>
      <c r="B113" s="2238">
        <v>2030501</v>
      </c>
      <c r="C113" s="2238">
        <v>2070114</v>
      </c>
      <c r="D113" s="2250">
        <v>0.1</v>
      </c>
      <c r="E113" s="2249" t="s">
        <v>652</v>
      </c>
      <c r="F113" s="2242">
        <f t="shared" si="166"/>
        <v>0</v>
      </c>
      <c r="G113" s="4376">
        <f t="shared" si="167"/>
        <v>0</v>
      </c>
      <c r="H113" s="2241">
        <f t="shared" si="168"/>
        <v>0</v>
      </c>
      <c r="I113" s="2242">
        <f t="shared" si="169"/>
        <v>0</v>
      </c>
      <c r="J113" s="2243">
        <f t="shared" si="170"/>
        <v>0</v>
      </c>
      <c r="K113" s="2243">
        <f t="shared" si="171"/>
        <v>0</v>
      </c>
      <c r="L113" s="2243">
        <f t="shared" si="172"/>
        <v>0</v>
      </c>
      <c r="M113" s="2244">
        <f t="shared" si="173"/>
        <v>0</v>
      </c>
      <c r="N113" s="2245">
        <f t="shared" si="174"/>
        <v>0</v>
      </c>
      <c r="O113" s="1304"/>
      <c r="P113" s="1306"/>
      <c r="Q113" s="1305"/>
      <c r="R113" s="1306"/>
      <c r="S113" s="1307"/>
      <c r="T113" s="1307"/>
      <c r="U113" s="1307"/>
      <c r="V113" s="1307"/>
      <c r="W113" s="1304"/>
      <c r="X113" s="1306"/>
      <c r="Y113" s="1305"/>
      <c r="Z113" s="1306"/>
      <c r="AA113" s="1307"/>
      <c r="AB113" s="1307"/>
      <c r="AC113" s="1307"/>
      <c r="AD113" s="1307"/>
      <c r="AE113" s="1304"/>
      <c r="AF113" s="1306"/>
      <c r="AG113" s="1305"/>
      <c r="AH113" s="1306"/>
      <c r="AI113" s="1307"/>
      <c r="AJ113" s="1307"/>
      <c r="AK113" s="1307"/>
      <c r="AL113" s="1308"/>
      <c r="AM113" s="1309"/>
      <c r="AN113" s="1310"/>
      <c r="AO113" s="2246" t="s">
        <v>676</v>
      </c>
      <c r="AP113" s="1306"/>
      <c r="AQ113" s="1306"/>
      <c r="AR113" s="1305"/>
      <c r="AS113" s="1306"/>
      <c r="AT113" s="1307"/>
      <c r="AU113" s="1307"/>
      <c r="AV113" s="1307"/>
      <c r="AW113" s="1305"/>
      <c r="AX113" s="2252" t="s">
        <v>709</v>
      </c>
      <c r="AY113" s="4775"/>
      <c r="AZ113" s="4794">
        <f t="shared" si="129"/>
        <v>0</v>
      </c>
      <c r="BA113" s="4794">
        <f t="shared" si="130"/>
        <v>0</v>
      </c>
      <c r="BB113" s="4794">
        <f t="shared" si="131"/>
        <v>0</v>
      </c>
      <c r="BC113" s="4794">
        <f t="shared" si="132"/>
        <v>0</v>
      </c>
      <c r="BD113" s="4794">
        <f t="shared" si="133"/>
        <v>0</v>
      </c>
      <c r="BE113" s="4794">
        <f t="shared" si="134"/>
        <v>0</v>
      </c>
      <c r="BF113" s="4794">
        <f t="shared" si="135"/>
        <v>0</v>
      </c>
      <c r="BG113" s="4794">
        <f t="shared" si="136"/>
        <v>0</v>
      </c>
      <c r="BH113" s="4794">
        <f t="shared" si="137"/>
        <v>0</v>
      </c>
      <c r="BI113" s="4794">
        <f t="shared" si="138"/>
        <v>0</v>
      </c>
      <c r="BJ113" s="4794">
        <f t="shared" si="139"/>
        <v>0</v>
      </c>
      <c r="BK113" s="4794">
        <f t="shared" si="140"/>
        <v>0</v>
      </c>
      <c r="BL113" s="4794">
        <f t="shared" si="141"/>
        <v>0</v>
      </c>
      <c r="BM113" s="4794">
        <f t="shared" si="142"/>
        <v>0</v>
      </c>
      <c r="BN113" s="4794">
        <f t="shared" si="143"/>
        <v>0</v>
      </c>
      <c r="BO113" s="4794">
        <f t="shared" si="144"/>
        <v>0</v>
      </c>
      <c r="BP113" s="4794">
        <f t="shared" si="145"/>
        <v>0</v>
      </c>
      <c r="BQ113" s="4794">
        <f t="shared" si="146"/>
        <v>0</v>
      </c>
      <c r="BR113" s="4794">
        <f t="shared" si="147"/>
        <v>0</v>
      </c>
      <c r="BS113" s="4794">
        <f t="shared" si="148"/>
        <v>0</v>
      </c>
      <c r="BT113" s="4794">
        <f t="shared" si="149"/>
        <v>0</v>
      </c>
      <c r="BU113" s="4794">
        <f t="shared" si="150"/>
        <v>0</v>
      </c>
      <c r="BV113" s="4794">
        <f t="shared" si="151"/>
        <v>0</v>
      </c>
      <c r="BW113" s="4794">
        <f t="shared" si="152"/>
        <v>0</v>
      </c>
      <c r="BX113" s="4794">
        <f t="shared" si="153"/>
        <v>0</v>
      </c>
      <c r="BY113" s="4794">
        <f t="shared" si="154"/>
        <v>0</v>
      </c>
      <c r="BZ113" s="4794">
        <f t="shared" si="155"/>
        <v>0</v>
      </c>
      <c r="CA113" s="4794">
        <f t="shared" si="156"/>
        <v>0</v>
      </c>
      <c r="CB113" s="4794">
        <f t="shared" si="157"/>
        <v>0</v>
      </c>
      <c r="CC113" s="4794">
        <f t="shared" si="158"/>
        <v>0</v>
      </c>
      <c r="CD113" s="4794">
        <f t="shared" si="159"/>
        <v>0</v>
      </c>
      <c r="CE113" s="4794">
        <f t="shared" si="160"/>
        <v>0</v>
      </c>
      <c r="CF113" s="4794">
        <f t="shared" si="161"/>
        <v>0</v>
      </c>
    </row>
    <row r="114" spans="1:84" ht="24">
      <c r="A114" s="2237"/>
      <c r="B114" s="2238">
        <v>2030501</v>
      </c>
      <c r="C114" s="2227">
        <v>2070115</v>
      </c>
      <c r="D114" s="2250">
        <v>0.1</v>
      </c>
      <c r="E114" s="2240" t="s">
        <v>653</v>
      </c>
      <c r="F114" s="2242">
        <f t="shared" si="166"/>
        <v>0</v>
      </c>
      <c r="G114" s="4376">
        <f t="shared" si="167"/>
        <v>0</v>
      </c>
      <c r="H114" s="2241">
        <f t="shared" si="168"/>
        <v>0</v>
      </c>
      <c r="I114" s="2242">
        <f t="shared" si="169"/>
        <v>0</v>
      </c>
      <c r="J114" s="2243">
        <f t="shared" si="170"/>
        <v>0</v>
      </c>
      <c r="K114" s="2243">
        <f t="shared" si="171"/>
        <v>0</v>
      </c>
      <c r="L114" s="2243">
        <f t="shared" si="172"/>
        <v>0</v>
      </c>
      <c r="M114" s="2244">
        <f t="shared" si="173"/>
        <v>0</v>
      </c>
      <c r="N114" s="2245">
        <f t="shared" si="174"/>
        <v>0</v>
      </c>
      <c r="O114" s="1304"/>
      <c r="P114" s="1306"/>
      <c r="Q114" s="1305"/>
      <c r="R114" s="1306"/>
      <c r="S114" s="1307"/>
      <c r="T114" s="1307"/>
      <c r="U114" s="1307"/>
      <c r="V114" s="1307"/>
      <c r="W114" s="1304"/>
      <c r="X114" s="1306"/>
      <c r="Y114" s="1305"/>
      <c r="Z114" s="1306"/>
      <c r="AA114" s="1307"/>
      <c r="AB114" s="1307"/>
      <c r="AC114" s="1307"/>
      <c r="AD114" s="1307"/>
      <c r="AE114" s="1304"/>
      <c r="AF114" s="1306"/>
      <c r="AG114" s="1305"/>
      <c r="AH114" s="1306"/>
      <c r="AI114" s="1307"/>
      <c r="AJ114" s="1307"/>
      <c r="AK114" s="1307"/>
      <c r="AL114" s="1308"/>
      <c r="AM114" s="1309"/>
      <c r="AN114" s="1310"/>
      <c r="AO114" s="2246" t="s">
        <v>676</v>
      </c>
      <c r="AP114" s="1306"/>
      <c r="AQ114" s="1306"/>
      <c r="AR114" s="1305"/>
      <c r="AS114" s="1306"/>
      <c r="AT114" s="1307"/>
      <c r="AU114" s="1307"/>
      <c r="AV114" s="1307"/>
      <c r="AW114" s="1305"/>
      <c r="AX114" s="2252" t="s">
        <v>654</v>
      </c>
      <c r="AY114" s="4775"/>
      <c r="AZ114" s="4794">
        <f t="shared" si="129"/>
        <v>0</v>
      </c>
      <c r="BA114" s="4794">
        <f t="shared" si="130"/>
        <v>0</v>
      </c>
      <c r="BB114" s="4794">
        <f t="shared" si="131"/>
        <v>0</v>
      </c>
      <c r="BC114" s="4794">
        <f t="shared" si="132"/>
        <v>0</v>
      </c>
      <c r="BD114" s="4794">
        <f t="shared" si="133"/>
        <v>0</v>
      </c>
      <c r="BE114" s="4794">
        <f t="shared" si="134"/>
        <v>0</v>
      </c>
      <c r="BF114" s="4794">
        <f t="shared" si="135"/>
        <v>0</v>
      </c>
      <c r="BG114" s="4794">
        <f t="shared" si="136"/>
        <v>0</v>
      </c>
      <c r="BH114" s="4794">
        <f t="shared" si="137"/>
        <v>0</v>
      </c>
      <c r="BI114" s="4794">
        <f t="shared" si="138"/>
        <v>0</v>
      </c>
      <c r="BJ114" s="4794">
        <f t="shared" si="139"/>
        <v>0</v>
      </c>
      <c r="BK114" s="4794">
        <f t="shared" si="140"/>
        <v>0</v>
      </c>
      <c r="BL114" s="4794">
        <f t="shared" si="141"/>
        <v>0</v>
      </c>
      <c r="BM114" s="4794">
        <f t="shared" si="142"/>
        <v>0</v>
      </c>
      <c r="BN114" s="4794">
        <f t="shared" si="143"/>
        <v>0</v>
      </c>
      <c r="BO114" s="4794">
        <f t="shared" si="144"/>
        <v>0</v>
      </c>
      <c r="BP114" s="4794">
        <f t="shared" si="145"/>
        <v>0</v>
      </c>
      <c r="BQ114" s="4794">
        <f t="shared" si="146"/>
        <v>0</v>
      </c>
      <c r="BR114" s="4794">
        <f t="shared" si="147"/>
        <v>0</v>
      </c>
      <c r="BS114" s="4794">
        <f t="shared" si="148"/>
        <v>0</v>
      </c>
      <c r="BT114" s="4794">
        <f t="shared" si="149"/>
        <v>0</v>
      </c>
      <c r="BU114" s="4794">
        <f t="shared" si="150"/>
        <v>0</v>
      </c>
      <c r="BV114" s="4794">
        <f t="shared" si="151"/>
        <v>0</v>
      </c>
      <c r="BW114" s="4794">
        <f t="shared" si="152"/>
        <v>0</v>
      </c>
      <c r="BX114" s="4794">
        <f t="shared" si="153"/>
        <v>0</v>
      </c>
      <c r="BY114" s="4794">
        <f t="shared" si="154"/>
        <v>0</v>
      </c>
      <c r="BZ114" s="4794">
        <f t="shared" si="155"/>
        <v>0</v>
      </c>
      <c r="CA114" s="4794">
        <f t="shared" si="156"/>
        <v>0</v>
      </c>
      <c r="CB114" s="4794">
        <f t="shared" si="157"/>
        <v>0</v>
      </c>
      <c r="CC114" s="4794">
        <f t="shared" si="158"/>
        <v>0</v>
      </c>
      <c r="CD114" s="4794">
        <f t="shared" si="159"/>
        <v>0</v>
      </c>
      <c r="CE114" s="4794">
        <f t="shared" si="160"/>
        <v>0</v>
      </c>
      <c r="CF114" s="4794">
        <f t="shared" si="161"/>
        <v>0</v>
      </c>
    </row>
    <row r="115" spans="1:84">
      <c r="A115" s="2237"/>
      <c r="B115" s="2238">
        <v>2030502</v>
      </c>
      <c r="C115" s="2238">
        <v>2070116</v>
      </c>
      <c r="D115" s="2250">
        <v>0.1</v>
      </c>
      <c r="E115" s="2249" t="s">
        <v>368</v>
      </c>
      <c r="F115" s="2242">
        <f t="shared" si="166"/>
        <v>0</v>
      </c>
      <c r="G115" s="4376">
        <f t="shared" si="167"/>
        <v>0</v>
      </c>
      <c r="H115" s="2241">
        <f t="shared" si="168"/>
        <v>0</v>
      </c>
      <c r="I115" s="2242">
        <f t="shared" si="169"/>
        <v>0</v>
      </c>
      <c r="J115" s="2243">
        <f t="shared" si="170"/>
        <v>0</v>
      </c>
      <c r="K115" s="2243">
        <f t="shared" si="171"/>
        <v>0</v>
      </c>
      <c r="L115" s="2243">
        <f t="shared" si="172"/>
        <v>0</v>
      </c>
      <c r="M115" s="2244">
        <f t="shared" si="173"/>
        <v>0</v>
      </c>
      <c r="N115" s="2245">
        <f t="shared" si="174"/>
        <v>0</v>
      </c>
      <c r="O115" s="1304"/>
      <c r="P115" s="1306"/>
      <c r="Q115" s="1305"/>
      <c r="R115" s="1306"/>
      <c r="S115" s="1307"/>
      <c r="T115" s="1307"/>
      <c r="U115" s="1307"/>
      <c r="V115" s="1307"/>
      <c r="W115" s="1304"/>
      <c r="X115" s="1306"/>
      <c r="Y115" s="1305"/>
      <c r="Z115" s="1306"/>
      <c r="AA115" s="1307"/>
      <c r="AB115" s="1307"/>
      <c r="AC115" s="1307"/>
      <c r="AD115" s="1307"/>
      <c r="AE115" s="1304"/>
      <c r="AF115" s="1306"/>
      <c r="AG115" s="1305"/>
      <c r="AH115" s="1306"/>
      <c r="AI115" s="1307"/>
      <c r="AJ115" s="1307"/>
      <c r="AK115" s="1307"/>
      <c r="AL115" s="1308"/>
      <c r="AM115" s="1309"/>
      <c r="AN115" s="1311"/>
      <c r="AO115" s="2246" t="s">
        <v>676</v>
      </c>
      <c r="AP115" s="1306"/>
      <c r="AQ115" s="1306"/>
      <c r="AR115" s="1305"/>
      <c r="AS115" s="1306"/>
      <c r="AT115" s="1307"/>
      <c r="AU115" s="1307"/>
      <c r="AV115" s="1307"/>
      <c r="AW115" s="1305"/>
      <c r="AX115" s="2252" t="s">
        <v>708</v>
      </c>
      <c r="AY115" s="4775"/>
      <c r="AZ115" s="4794">
        <f t="shared" si="129"/>
        <v>0</v>
      </c>
      <c r="BA115" s="4794">
        <f t="shared" si="130"/>
        <v>0</v>
      </c>
      <c r="BB115" s="4794">
        <f t="shared" si="131"/>
        <v>0</v>
      </c>
      <c r="BC115" s="4794">
        <f t="shared" si="132"/>
        <v>0</v>
      </c>
      <c r="BD115" s="4794">
        <f t="shared" si="133"/>
        <v>0</v>
      </c>
      <c r="BE115" s="4794">
        <f t="shared" si="134"/>
        <v>0</v>
      </c>
      <c r="BF115" s="4794">
        <f t="shared" si="135"/>
        <v>0</v>
      </c>
      <c r="BG115" s="4794">
        <f t="shared" si="136"/>
        <v>0</v>
      </c>
      <c r="BH115" s="4794">
        <f t="shared" si="137"/>
        <v>0</v>
      </c>
      <c r="BI115" s="4794">
        <f t="shared" si="138"/>
        <v>0</v>
      </c>
      <c r="BJ115" s="4794">
        <f t="shared" si="139"/>
        <v>0</v>
      </c>
      <c r="BK115" s="4794">
        <f t="shared" si="140"/>
        <v>0</v>
      </c>
      <c r="BL115" s="4794">
        <f t="shared" si="141"/>
        <v>0</v>
      </c>
      <c r="BM115" s="4794">
        <f t="shared" si="142"/>
        <v>0</v>
      </c>
      <c r="BN115" s="4794">
        <f t="shared" si="143"/>
        <v>0</v>
      </c>
      <c r="BO115" s="4794">
        <f t="shared" si="144"/>
        <v>0</v>
      </c>
      <c r="BP115" s="4794">
        <f t="shared" si="145"/>
        <v>0</v>
      </c>
      <c r="BQ115" s="4794">
        <f t="shared" si="146"/>
        <v>0</v>
      </c>
      <c r="BR115" s="4794">
        <f t="shared" si="147"/>
        <v>0</v>
      </c>
      <c r="BS115" s="4794">
        <f t="shared" si="148"/>
        <v>0</v>
      </c>
      <c r="BT115" s="4794">
        <f t="shared" si="149"/>
        <v>0</v>
      </c>
      <c r="BU115" s="4794">
        <f t="shared" si="150"/>
        <v>0</v>
      </c>
      <c r="BV115" s="4794">
        <f t="shared" si="151"/>
        <v>0</v>
      </c>
      <c r="BW115" s="4794">
        <f t="shared" si="152"/>
        <v>0</v>
      </c>
      <c r="BX115" s="4794">
        <f t="shared" si="153"/>
        <v>0</v>
      </c>
      <c r="BY115" s="4794">
        <f t="shared" si="154"/>
        <v>0</v>
      </c>
      <c r="BZ115" s="4794">
        <f t="shared" si="155"/>
        <v>0</v>
      </c>
      <c r="CA115" s="4794">
        <f t="shared" si="156"/>
        <v>0</v>
      </c>
      <c r="CB115" s="4794">
        <f t="shared" si="157"/>
        <v>0</v>
      </c>
      <c r="CC115" s="4794">
        <f t="shared" si="158"/>
        <v>0</v>
      </c>
      <c r="CD115" s="4794">
        <f t="shared" si="159"/>
        <v>0</v>
      </c>
      <c r="CE115" s="4794">
        <f t="shared" si="160"/>
        <v>0</v>
      </c>
      <c r="CF115" s="4794">
        <f t="shared" si="161"/>
        <v>0</v>
      </c>
    </row>
    <row r="116" spans="1:84" ht="24">
      <c r="A116" s="2237"/>
      <c r="B116" s="2238">
        <v>215</v>
      </c>
      <c r="C116" s="2227">
        <v>2070117</v>
      </c>
      <c r="D116" s="2248">
        <v>0.2</v>
      </c>
      <c r="E116" s="2240" t="s">
        <v>369</v>
      </c>
      <c r="F116" s="2242">
        <f t="shared" si="166"/>
        <v>0</v>
      </c>
      <c r="G116" s="4376">
        <f t="shared" si="167"/>
        <v>0</v>
      </c>
      <c r="H116" s="2241">
        <f t="shared" si="168"/>
        <v>0</v>
      </c>
      <c r="I116" s="2242">
        <f t="shared" si="169"/>
        <v>0</v>
      </c>
      <c r="J116" s="2243">
        <f t="shared" si="170"/>
        <v>0</v>
      </c>
      <c r="K116" s="2243">
        <f t="shared" si="171"/>
        <v>0</v>
      </c>
      <c r="L116" s="2243">
        <f t="shared" si="172"/>
        <v>0</v>
      </c>
      <c r="M116" s="2244">
        <f t="shared" si="173"/>
        <v>0</v>
      </c>
      <c r="N116" s="2245">
        <f t="shared" si="174"/>
        <v>0</v>
      </c>
      <c r="O116" s="1304"/>
      <c r="P116" s="1306"/>
      <c r="Q116" s="1305"/>
      <c r="R116" s="1306"/>
      <c r="S116" s="1307"/>
      <c r="T116" s="1307"/>
      <c r="U116" s="1307"/>
      <c r="V116" s="1307"/>
      <c r="W116" s="1304"/>
      <c r="X116" s="1306"/>
      <c r="Y116" s="1305"/>
      <c r="Z116" s="1306"/>
      <c r="AA116" s="1307"/>
      <c r="AB116" s="1307"/>
      <c r="AC116" s="1307"/>
      <c r="AD116" s="1307"/>
      <c r="AE116" s="1304"/>
      <c r="AF116" s="1306"/>
      <c r="AG116" s="1305"/>
      <c r="AH116" s="1306"/>
      <c r="AI116" s="1307"/>
      <c r="AJ116" s="1307"/>
      <c r="AK116" s="1307"/>
      <c r="AL116" s="1308"/>
      <c r="AM116" s="1309"/>
      <c r="AN116" s="1311"/>
      <c r="AO116" s="2253" t="s">
        <v>313</v>
      </c>
      <c r="AP116" s="1306"/>
      <c r="AQ116" s="1306"/>
      <c r="AR116" s="1305"/>
      <c r="AS116" s="1306"/>
      <c r="AT116" s="1307"/>
      <c r="AU116" s="1307"/>
      <c r="AV116" s="1307"/>
      <c r="AW116" s="1305"/>
      <c r="AX116" s="2247" t="s">
        <v>370</v>
      </c>
      <c r="AY116" s="4775"/>
      <c r="AZ116" s="4794">
        <f t="shared" si="129"/>
        <v>0</v>
      </c>
      <c r="BA116" s="4794">
        <f t="shared" si="130"/>
        <v>0</v>
      </c>
      <c r="BB116" s="4794">
        <f t="shared" si="131"/>
        <v>0</v>
      </c>
      <c r="BC116" s="4794">
        <f t="shared" si="132"/>
        <v>0</v>
      </c>
      <c r="BD116" s="4794">
        <f t="shared" si="133"/>
        <v>0</v>
      </c>
      <c r="BE116" s="4794">
        <f t="shared" si="134"/>
        <v>0</v>
      </c>
      <c r="BF116" s="4794">
        <f t="shared" si="135"/>
        <v>0</v>
      </c>
      <c r="BG116" s="4794">
        <f t="shared" si="136"/>
        <v>0</v>
      </c>
      <c r="BH116" s="4794">
        <f t="shared" si="137"/>
        <v>0</v>
      </c>
      <c r="BI116" s="4794">
        <f t="shared" si="138"/>
        <v>0</v>
      </c>
      <c r="BJ116" s="4794">
        <f t="shared" si="139"/>
        <v>0</v>
      </c>
      <c r="BK116" s="4794">
        <f t="shared" si="140"/>
        <v>0</v>
      </c>
      <c r="BL116" s="4794">
        <f t="shared" si="141"/>
        <v>0</v>
      </c>
      <c r="BM116" s="4794">
        <f t="shared" si="142"/>
        <v>0</v>
      </c>
      <c r="BN116" s="4794">
        <f t="shared" si="143"/>
        <v>0</v>
      </c>
      <c r="BO116" s="4794">
        <f t="shared" si="144"/>
        <v>0</v>
      </c>
      <c r="BP116" s="4794">
        <f t="shared" si="145"/>
        <v>0</v>
      </c>
      <c r="BQ116" s="4794">
        <f t="shared" si="146"/>
        <v>0</v>
      </c>
      <c r="BR116" s="4794">
        <f t="shared" si="147"/>
        <v>0</v>
      </c>
      <c r="BS116" s="4794">
        <f t="shared" si="148"/>
        <v>0</v>
      </c>
      <c r="BT116" s="4794">
        <f t="shared" si="149"/>
        <v>0</v>
      </c>
      <c r="BU116" s="4794">
        <f t="shared" si="150"/>
        <v>0</v>
      </c>
      <c r="BV116" s="4794">
        <f t="shared" si="151"/>
        <v>0</v>
      </c>
      <c r="BW116" s="4794">
        <f t="shared" si="152"/>
        <v>0</v>
      </c>
      <c r="BX116" s="4794">
        <f t="shared" si="153"/>
        <v>0</v>
      </c>
      <c r="BY116" s="4794">
        <f t="shared" si="154"/>
        <v>0</v>
      </c>
      <c r="BZ116" s="4794">
        <f t="shared" si="155"/>
        <v>0</v>
      </c>
      <c r="CA116" s="4794">
        <f t="shared" si="156"/>
        <v>0</v>
      </c>
      <c r="CB116" s="4794">
        <f t="shared" si="157"/>
        <v>0</v>
      </c>
      <c r="CC116" s="4794">
        <f t="shared" si="158"/>
        <v>0</v>
      </c>
      <c r="CD116" s="4794">
        <f t="shared" si="159"/>
        <v>0</v>
      </c>
      <c r="CE116" s="4794">
        <f t="shared" si="160"/>
        <v>0</v>
      </c>
      <c r="CF116" s="4794">
        <f t="shared" si="161"/>
        <v>0</v>
      </c>
    </row>
    <row r="117" spans="1:84">
      <c r="A117" s="2237"/>
      <c r="B117" s="2238">
        <v>2030503</v>
      </c>
      <c r="C117" s="2238">
        <v>2070118</v>
      </c>
      <c r="D117" s="2239">
        <v>0.1</v>
      </c>
      <c r="E117" s="2240" t="s">
        <v>664</v>
      </c>
      <c r="F117" s="2242">
        <f t="shared" si="166"/>
        <v>0</v>
      </c>
      <c r="G117" s="4376">
        <f t="shared" si="167"/>
        <v>0</v>
      </c>
      <c r="H117" s="2241">
        <f t="shared" si="168"/>
        <v>0</v>
      </c>
      <c r="I117" s="2242">
        <f t="shared" si="169"/>
        <v>0</v>
      </c>
      <c r="J117" s="2243">
        <f t="shared" si="170"/>
        <v>0</v>
      </c>
      <c r="K117" s="2243">
        <f t="shared" si="171"/>
        <v>0</v>
      </c>
      <c r="L117" s="2243">
        <f t="shared" si="172"/>
        <v>0</v>
      </c>
      <c r="M117" s="2244">
        <f t="shared" si="173"/>
        <v>0</v>
      </c>
      <c r="N117" s="2245">
        <f t="shared" si="174"/>
        <v>0</v>
      </c>
      <c r="O117" s="1304"/>
      <c r="P117" s="1306"/>
      <c r="Q117" s="1305"/>
      <c r="R117" s="1306"/>
      <c r="S117" s="1307"/>
      <c r="T117" s="1307"/>
      <c r="U117" s="1307"/>
      <c r="V117" s="1307"/>
      <c r="W117" s="1304"/>
      <c r="X117" s="1306"/>
      <c r="Y117" s="1305"/>
      <c r="Z117" s="1306"/>
      <c r="AA117" s="1307"/>
      <c r="AB117" s="1307"/>
      <c r="AC117" s="1307"/>
      <c r="AD117" s="1307"/>
      <c r="AE117" s="1304"/>
      <c r="AF117" s="1306"/>
      <c r="AG117" s="1305"/>
      <c r="AH117" s="1306"/>
      <c r="AI117" s="1307"/>
      <c r="AJ117" s="1307"/>
      <c r="AK117" s="1307"/>
      <c r="AL117" s="1308"/>
      <c r="AM117" s="1309"/>
      <c r="AN117" s="1310"/>
      <c r="AO117" s="2246" t="s">
        <v>676</v>
      </c>
      <c r="AP117" s="1306"/>
      <c r="AQ117" s="1306"/>
      <c r="AR117" s="1305"/>
      <c r="AS117" s="1306"/>
      <c r="AT117" s="1307"/>
      <c r="AU117" s="1307"/>
      <c r="AV117" s="1307"/>
      <c r="AW117" s="1305"/>
      <c r="AX117" s="2247" t="s">
        <v>371</v>
      </c>
      <c r="AY117" s="4775"/>
      <c r="AZ117" s="4794">
        <f t="shared" si="129"/>
        <v>0</v>
      </c>
      <c r="BA117" s="4794">
        <f t="shared" si="130"/>
        <v>0</v>
      </c>
      <c r="BB117" s="4794">
        <f t="shared" si="131"/>
        <v>0</v>
      </c>
      <c r="BC117" s="4794">
        <f t="shared" si="132"/>
        <v>0</v>
      </c>
      <c r="BD117" s="4794">
        <f t="shared" si="133"/>
        <v>0</v>
      </c>
      <c r="BE117" s="4794">
        <f t="shared" si="134"/>
        <v>0</v>
      </c>
      <c r="BF117" s="4794">
        <f t="shared" si="135"/>
        <v>0</v>
      </c>
      <c r="BG117" s="4794">
        <f t="shared" si="136"/>
        <v>0</v>
      </c>
      <c r="BH117" s="4794">
        <f t="shared" si="137"/>
        <v>0</v>
      </c>
      <c r="BI117" s="4794">
        <f t="shared" si="138"/>
        <v>0</v>
      </c>
      <c r="BJ117" s="4794">
        <f t="shared" si="139"/>
        <v>0</v>
      </c>
      <c r="BK117" s="4794">
        <f t="shared" si="140"/>
        <v>0</v>
      </c>
      <c r="BL117" s="4794">
        <f t="shared" si="141"/>
        <v>0</v>
      </c>
      <c r="BM117" s="4794">
        <f t="shared" si="142"/>
        <v>0</v>
      </c>
      <c r="BN117" s="4794">
        <f t="shared" si="143"/>
        <v>0</v>
      </c>
      <c r="BO117" s="4794">
        <f t="shared" si="144"/>
        <v>0</v>
      </c>
      <c r="BP117" s="4794">
        <f t="shared" si="145"/>
        <v>0</v>
      </c>
      <c r="BQ117" s="4794">
        <f t="shared" si="146"/>
        <v>0</v>
      </c>
      <c r="BR117" s="4794">
        <f t="shared" si="147"/>
        <v>0</v>
      </c>
      <c r="BS117" s="4794">
        <f t="shared" si="148"/>
        <v>0</v>
      </c>
      <c r="BT117" s="4794">
        <f t="shared" si="149"/>
        <v>0</v>
      </c>
      <c r="BU117" s="4794">
        <f t="shared" si="150"/>
        <v>0</v>
      </c>
      <c r="BV117" s="4794">
        <f t="shared" si="151"/>
        <v>0</v>
      </c>
      <c r="BW117" s="4794">
        <f t="shared" si="152"/>
        <v>0</v>
      </c>
      <c r="BX117" s="4794">
        <f t="shared" si="153"/>
        <v>0</v>
      </c>
      <c r="BY117" s="4794">
        <f t="shared" si="154"/>
        <v>0</v>
      </c>
      <c r="BZ117" s="4794">
        <f t="shared" si="155"/>
        <v>0</v>
      </c>
      <c r="CA117" s="4794">
        <f t="shared" si="156"/>
        <v>0</v>
      </c>
      <c r="CB117" s="4794">
        <f t="shared" si="157"/>
        <v>0</v>
      </c>
      <c r="CC117" s="4794">
        <f t="shared" si="158"/>
        <v>0</v>
      </c>
      <c r="CD117" s="4794">
        <f t="shared" si="159"/>
        <v>0</v>
      </c>
      <c r="CE117" s="4794">
        <f t="shared" si="160"/>
        <v>0</v>
      </c>
      <c r="CF117" s="4794">
        <f t="shared" si="161"/>
        <v>0</v>
      </c>
    </row>
    <row r="118" spans="1:84">
      <c r="A118" s="2254"/>
      <c r="B118" s="2238">
        <v>20302</v>
      </c>
      <c r="C118" s="2227">
        <v>2070119</v>
      </c>
      <c r="D118" s="2239">
        <v>0.1</v>
      </c>
      <c r="E118" s="2240" t="s">
        <v>372</v>
      </c>
      <c r="F118" s="2242">
        <f t="shared" si="166"/>
        <v>0</v>
      </c>
      <c r="G118" s="4376">
        <f t="shared" si="167"/>
        <v>0</v>
      </c>
      <c r="H118" s="2241">
        <f t="shared" si="168"/>
        <v>0</v>
      </c>
      <c r="I118" s="2242">
        <f t="shared" si="169"/>
        <v>0</v>
      </c>
      <c r="J118" s="2243">
        <f t="shared" si="170"/>
        <v>0</v>
      </c>
      <c r="K118" s="2243">
        <f t="shared" si="171"/>
        <v>0</v>
      </c>
      <c r="L118" s="2243">
        <f t="shared" si="172"/>
        <v>0</v>
      </c>
      <c r="M118" s="2244">
        <f t="shared" si="173"/>
        <v>0</v>
      </c>
      <c r="N118" s="2245">
        <f t="shared" si="174"/>
        <v>0</v>
      </c>
      <c r="O118" s="1304"/>
      <c r="P118" s="1306"/>
      <c r="Q118" s="1305"/>
      <c r="R118" s="1306"/>
      <c r="S118" s="1307"/>
      <c r="T118" s="1307"/>
      <c r="U118" s="1307"/>
      <c r="V118" s="1307"/>
      <c r="W118" s="1304"/>
      <c r="X118" s="1306"/>
      <c r="Y118" s="1305"/>
      <c r="Z118" s="1306"/>
      <c r="AA118" s="1307"/>
      <c r="AB118" s="1307"/>
      <c r="AC118" s="1307"/>
      <c r="AD118" s="1307"/>
      <c r="AE118" s="1304"/>
      <c r="AF118" s="1306"/>
      <c r="AG118" s="1305"/>
      <c r="AH118" s="1306"/>
      <c r="AI118" s="1307"/>
      <c r="AJ118" s="1307"/>
      <c r="AK118" s="1307"/>
      <c r="AL118" s="1308"/>
      <c r="AM118" s="1309"/>
      <c r="AN118" s="1310"/>
      <c r="AO118" s="2246" t="s">
        <v>676</v>
      </c>
      <c r="AP118" s="1306"/>
      <c r="AQ118" s="1306"/>
      <c r="AR118" s="1305"/>
      <c r="AS118" s="1306"/>
      <c r="AT118" s="1307"/>
      <c r="AU118" s="1307"/>
      <c r="AV118" s="1307"/>
      <c r="AW118" s="1305"/>
      <c r="AX118" s="2247" t="s">
        <v>373</v>
      </c>
      <c r="AY118" s="4775"/>
      <c r="AZ118" s="4794">
        <f t="shared" si="129"/>
        <v>0</v>
      </c>
      <c r="BA118" s="4794">
        <f t="shared" si="130"/>
        <v>0</v>
      </c>
      <c r="BB118" s="4794">
        <f t="shared" si="131"/>
        <v>0</v>
      </c>
      <c r="BC118" s="4794">
        <f t="shared" si="132"/>
        <v>0</v>
      </c>
      <c r="BD118" s="4794">
        <f t="shared" si="133"/>
        <v>0</v>
      </c>
      <c r="BE118" s="4794">
        <f t="shared" si="134"/>
        <v>0</v>
      </c>
      <c r="BF118" s="4794">
        <f t="shared" si="135"/>
        <v>0</v>
      </c>
      <c r="BG118" s="4794">
        <f t="shared" si="136"/>
        <v>0</v>
      </c>
      <c r="BH118" s="4794">
        <f t="shared" si="137"/>
        <v>0</v>
      </c>
      <c r="BI118" s="4794">
        <f t="shared" si="138"/>
        <v>0</v>
      </c>
      <c r="BJ118" s="4794">
        <f t="shared" si="139"/>
        <v>0</v>
      </c>
      <c r="BK118" s="4794">
        <f t="shared" si="140"/>
        <v>0</v>
      </c>
      <c r="BL118" s="4794">
        <f t="shared" si="141"/>
        <v>0</v>
      </c>
      <c r="BM118" s="4794">
        <f t="shared" si="142"/>
        <v>0</v>
      </c>
      <c r="BN118" s="4794">
        <f t="shared" si="143"/>
        <v>0</v>
      </c>
      <c r="BO118" s="4794">
        <f t="shared" si="144"/>
        <v>0</v>
      </c>
      <c r="BP118" s="4794">
        <f t="shared" si="145"/>
        <v>0</v>
      </c>
      <c r="BQ118" s="4794">
        <f t="shared" si="146"/>
        <v>0</v>
      </c>
      <c r="BR118" s="4794">
        <f t="shared" si="147"/>
        <v>0</v>
      </c>
      <c r="BS118" s="4794">
        <f t="shared" si="148"/>
        <v>0</v>
      </c>
      <c r="BT118" s="4794">
        <f t="shared" si="149"/>
        <v>0</v>
      </c>
      <c r="BU118" s="4794">
        <f t="shared" si="150"/>
        <v>0</v>
      </c>
      <c r="BV118" s="4794">
        <f t="shared" si="151"/>
        <v>0</v>
      </c>
      <c r="BW118" s="4794">
        <f t="shared" si="152"/>
        <v>0</v>
      </c>
      <c r="BX118" s="4794">
        <f t="shared" si="153"/>
        <v>0</v>
      </c>
      <c r="BY118" s="4794">
        <f t="shared" si="154"/>
        <v>0</v>
      </c>
      <c r="BZ118" s="4794">
        <f t="shared" si="155"/>
        <v>0</v>
      </c>
      <c r="CA118" s="4794">
        <f t="shared" si="156"/>
        <v>0</v>
      </c>
      <c r="CB118" s="4794">
        <f t="shared" si="157"/>
        <v>0</v>
      </c>
      <c r="CC118" s="4794">
        <f t="shared" si="158"/>
        <v>0</v>
      </c>
      <c r="CD118" s="4794">
        <f t="shared" si="159"/>
        <v>0</v>
      </c>
      <c r="CE118" s="4794">
        <f t="shared" si="160"/>
        <v>0</v>
      </c>
      <c r="CF118" s="4794">
        <f t="shared" si="161"/>
        <v>0</v>
      </c>
    </row>
    <row r="119" spans="1:84" ht="24">
      <c r="A119" s="2254"/>
      <c r="B119" s="2238">
        <v>20502</v>
      </c>
      <c r="C119" s="2238">
        <v>2070120</v>
      </c>
      <c r="D119" s="2239">
        <v>0.1</v>
      </c>
      <c r="E119" s="2240" t="s">
        <v>374</v>
      </c>
      <c r="F119" s="2242">
        <f t="shared" si="166"/>
        <v>0</v>
      </c>
      <c r="G119" s="4376">
        <f t="shared" si="167"/>
        <v>0</v>
      </c>
      <c r="H119" s="2241">
        <f t="shared" si="168"/>
        <v>0</v>
      </c>
      <c r="I119" s="2242">
        <f t="shared" si="169"/>
        <v>0</v>
      </c>
      <c r="J119" s="2243">
        <f t="shared" si="170"/>
        <v>0</v>
      </c>
      <c r="K119" s="2243">
        <f t="shared" si="171"/>
        <v>0</v>
      </c>
      <c r="L119" s="2243">
        <f t="shared" si="172"/>
        <v>0</v>
      </c>
      <c r="M119" s="2244">
        <f t="shared" si="173"/>
        <v>0</v>
      </c>
      <c r="N119" s="2245">
        <f t="shared" si="174"/>
        <v>0</v>
      </c>
      <c r="O119" s="1304"/>
      <c r="P119" s="1306"/>
      <c r="Q119" s="1305"/>
      <c r="R119" s="1306"/>
      <c r="S119" s="1307"/>
      <c r="T119" s="1307"/>
      <c r="U119" s="1307"/>
      <c r="V119" s="1307"/>
      <c r="W119" s="1304"/>
      <c r="X119" s="1306"/>
      <c r="Y119" s="1305"/>
      <c r="Z119" s="1306"/>
      <c r="AA119" s="1307"/>
      <c r="AB119" s="1307"/>
      <c r="AC119" s="1307"/>
      <c r="AD119" s="1307"/>
      <c r="AE119" s="1304"/>
      <c r="AF119" s="1306"/>
      <c r="AG119" s="1305"/>
      <c r="AH119" s="1306"/>
      <c r="AI119" s="1307"/>
      <c r="AJ119" s="1307"/>
      <c r="AK119" s="1307"/>
      <c r="AL119" s="1308"/>
      <c r="AM119" s="1309"/>
      <c r="AN119" s="1311"/>
      <c r="AO119" s="2246" t="s">
        <v>676</v>
      </c>
      <c r="AP119" s="1306"/>
      <c r="AQ119" s="1306"/>
      <c r="AR119" s="1305"/>
      <c r="AS119" s="1306"/>
      <c r="AT119" s="1307"/>
      <c r="AU119" s="1307"/>
      <c r="AV119" s="1307"/>
      <c r="AW119" s="1305"/>
      <c r="AX119" s="2247" t="s">
        <v>375</v>
      </c>
      <c r="AY119" s="4775"/>
      <c r="AZ119" s="4794">
        <f t="shared" si="129"/>
        <v>0</v>
      </c>
      <c r="BA119" s="4794">
        <f t="shared" si="130"/>
        <v>0</v>
      </c>
      <c r="BB119" s="4794">
        <f t="shared" si="131"/>
        <v>0</v>
      </c>
      <c r="BC119" s="4794">
        <f t="shared" si="132"/>
        <v>0</v>
      </c>
      <c r="BD119" s="4794">
        <f t="shared" si="133"/>
        <v>0</v>
      </c>
      <c r="BE119" s="4794">
        <f t="shared" si="134"/>
        <v>0</v>
      </c>
      <c r="BF119" s="4794">
        <f t="shared" si="135"/>
        <v>0</v>
      </c>
      <c r="BG119" s="4794">
        <f t="shared" si="136"/>
        <v>0</v>
      </c>
      <c r="BH119" s="4794">
        <f t="shared" si="137"/>
        <v>0</v>
      </c>
      <c r="BI119" s="4794">
        <f t="shared" si="138"/>
        <v>0</v>
      </c>
      <c r="BJ119" s="4794">
        <f t="shared" si="139"/>
        <v>0</v>
      </c>
      <c r="BK119" s="4794">
        <f t="shared" si="140"/>
        <v>0</v>
      </c>
      <c r="BL119" s="4794">
        <f t="shared" si="141"/>
        <v>0</v>
      </c>
      <c r="BM119" s="4794">
        <f t="shared" si="142"/>
        <v>0</v>
      </c>
      <c r="BN119" s="4794">
        <f t="shared" si="143"/>
        <v>0</v>
      </c>
      <c r="BO119" s="4794">
        <f t="shared" si="144"/>
        <v>0</v>
      </c>
      <c r="BP119" s="4794">
        <f t="shared" si="145"/>
        <v>0</v>
      </c>
      <c r="BQ119" s="4794">
        <f t="shared" si="146"/>
        <v>0</v>
      </c>
      <c r="BR119" s="4794">
        <f t="shared" si="147"/>
        <v>0</v>
      </c>
      <c r="BS119" s="4794">
        <f t="shared" si="148"/>
        <v>0</v>
      </c>
      <c r="BT119" s="4794">
        <f t="shared" si="149"/>
        <v>0</v>
      </c>
      <c r="BU119" s="4794">
        <f t="shared" si="150"/>
        <v>0</v>
      </c>
      <c r="BV119" s="4794">
        <f t="shared" si="151"/>
        <v>0</v>
      </c>
      <c r="BW119" s="4794">
        <f t="shared" si="152"/>
        <v>0</v>
      </c>
      <c r="BX119" s="4794">
        <f t="shared" si="153"/>
        <v>0</v>
      </c>
      <c r="BY119" s="4794">
        <f t="shared" si="154"/>
        <v>0</v>
      </c>
      <c r="BZ119" s="4794">
        <f t="shared" si="155"/>
        <v>0</v>
      </c>
      <c r="CA119" s="4794">
        <f t="shared" si="156"/>
        <v>0</v>
      </c>
      <c r="CB119" s="4794">
        <f t="shared" si="157"/>
        <v>0</v>
      </c>
      <c r="CC119" s="4794">
        <f t="shared" si="158"/>
        <v>0</v>
      </c>
      <c r="CD119" s="4794">
        <f t="shared" si="159"/>
        <v>0</v>
      </c>
      <c r="CE119" s="4794">
        <f t="shared" si="160"/>
        <v>0</v>
      </c>
      <c r="CF119" s="4794">
        <f t="shared" si="161"/>
        <v>0</v>
      </c>
    </row>
    <row r="120" spans="1:84" ht="24">
      <c r="A120" s="2254"/>
      <c r="B120" s="2238">
        <v>20501</v>
      </c>
      <c r="C120" s="2227">
        <v>2070121</v>
      </c>
      <c r="D120" s="2239">
        <v>0.08</v>
      </c>
      <c r="E120" s="2240" t="s">
        <v>376</v>
      </c>
      <c r="F120" s="2242">
        <f t="shared" si="166"/>
        <v>0</v>
      </c>
      <c r="G120" s="4376">
        <f t="shared" si="167"/>
        <v>0</v>
      </c>
      <c r="H120" s="2241">
        <f t="shared" si="168"/>
        <v>0</v>
      </c>
      <c r="I120" s="2242">
        <f t="shared" si="169"/>
        <v>0</v>
      </c>
      <c r="J120" s="2243">
        <f t="shared" si="170"/>
        <v>0</v>
      </c>
      <c r="K120" s="2243">
        <f t="shared" si="171"/>
        <v>0</v>
      </c>
      <c r="L120" s="2243">
        <f t="shared" si="172"/>
        <v>0</v>
      </c>
      <c r="M120" s="2244">
        <f t="shared" si="173"/>
        <v>0</v>
      </c>
      <c r="N120" s="2245">
        <f t="shared" si="174"/>
        <v>0</v>
      </c>
      <c r="O120" s="1304"/>
      <c r="P120" s="1306"/>
      <c r="Q120" s="1305"/>
      <c r="R120" s="1306"/>
      <c r="S120" s="1307"/>
      <c r="T120" s="1307"/>
      <c r="U120" s="1307"/>
      <c r="V120" s="1307"/>
      <c r="W120" s="1304"/>
      <c r="X120" s="1306"/>
      <c r="Y120" s="1305"/>
      <c r="Z120" s="1306"/>
      <c r="AA120" s="1307"/>
      <c r="AB120" s="1307"/>
      <c r="AC120" s="1307"/>
      <c r="AD120" s="1307"/>
      <c r="AE120" s="1304"/>
      <c r="AF120" s="1306"/>
      <c r="AG120" s="1305"/>
      <c r="AH120" s="1306"/>
      <c r="AI120" s="1307"/>
      <c r="AJ120" s="1307"/>
      <c r="AK120" s="1307"/>
      <c r="AL120" s="1308"/>
      <c r="AM120" s="1309"/>
      <c r="AN120" s="1311"/>
      <c r="AO120" s="2246" t="s">
        <v>676</v>
      </c>
      <c r="AP120" s="1306"/>
      <c r="AQ120" s="1306"/>
      <c r="AR120" s="1305"/>
      <c r="AS120" s="1306"/>
      <c r="AT120" s="1307"/>
      <c r="AU120" s="1307"/>
      <c r="AV120" s="1307"/>
      <c r="AW120" s="1305"/>
      <c r="AX120" s="2247" t="s">
        <v>375</v>
      </c>
      <c r="AY120" s="4775"/>
      <c r="AZ120" s="4794">
        <f t="shared" si="129"/>
        <v>0</v>
      </c>
      <c r="BA120" s="4794">
        <f t="shared" si="130"/>
        <v>0</v>
      </c>
      <c r="BB120" s="4794">
        <f t="shared" si="131"/>
        <v>0</v>
      </c>
      <c r="BC120" s="4794">
        <f t="shared" si="132"/>
        <v>0</v>
      </c>
      <c r="BD120" s="4794">
        <f t="shared" si="133"/>
        <v>0</v>
      </c>
      <c r="BE120" s="4794">
        <f t="shared" si="134"/>
        <v>0</v>
      </c>
      <c r="BF120" s="4794">
        <f t="shared" si="135"/>
        <v>0</v>
      </c>
      <c r="BG120" s="4794">
        <f t="shared" si="136"/>
        <v>0</v>
      </c>
      <c r="BH120" s="4794">
        <f t="shared" si="137"/>
        <v>0</v>
      </c>
      <c r="BI120" s="4794">
        <f t="shared" si="138"/>
        <v>0</v>
      </c>
      <c r="BJ120" s="4794">
        <f t="shared" si="139"/>
        <v>0</v>
      </c>
      <c r="BK120" s="4794">
        <f t="shared" si="140"/>
        <v>0</v>
      </c>
      <c r="BL120" s="4794">
        <f t="shared" si="141"/>
        <v>0</v>
      </c>
      <c r="BM120" s="4794">
        <f t="shared" si="142"/>
        <v>0</v>
      </c>
      <c r="BN120" s="4794">
        <f t="shared" si="143"/>
        <v>0</v>
      </c>
      <c r="BO120" s="4794">
        <f t="shared" si="144"/>
        <v>0</v>
      </c>
      <c r="BP120" s="4794">
        <f t="shared" si="145"/>
        <v>0</v>
      </c>
      <c r="BQ120" s="4794">
        <f t="shared" si="146"/>
        <v>0</v>
      </c>
      <c r="BR120" s="4794">
        <f t="shared" si="147"/>
        <v>0</v>
      </c>
      <c r="BS120" s="4794">
        <f t="shared" si="148"/>
        <v>0</v>
      </c>
      <c r="BT120" s="4794">
        <f t="shared" si="149"/>
        <v>0</v>
      </c>
      <c r="BU120" s="4794">
        <f t="shared" si="150"/>
        <v>0</v>
      </c>
      <c r="BV120" s="4794">
        <f t="shared" si="151"/>
        <v>0</v>
      </c>
      <c r="BW120" s="4794">
        <f t="shared" si="152"/>
        <v>0</v>
      </c>
      <c r="BX120" s="4794">
        <f t="shared" si="153"/>
        <v>0</v>
      </c>
      <c r="BY120" s="4794">
        <f t="shared" si="154"/>
        <v>0</v>
      </c>
      <c r="BZ120" s="4794">
        <f t="shared" si="155"/>
        <v>0</v>
      </c>
      <c r="CA120" s="4794">
        <f t="shared" si="156"/>
        <v>0</v>
      </c>
      <c r="CB120" s="4794">
        <f t="shared" si="157"/>
        <v>0</v>
      </c>
      <c r="CC120" s="4794">
        <f t="shared" si="158"/>
        <v>0</v>
      </c>
      <c r="CD120" s="4794">
        <f t="shared" si="159"/>
        <v>0</v>
      </c>
      <c r="CE120" s="4794">
        <f t="shared" si="160"/>
        <v>0</v>
      </c>
      <c r="CF120" s="4794">
        <f t="shared" si="161"/>
        <v>0</v>
      </c>
    </row>
    <row r="121" spans="1:84">
      <c r="A121" s="2254"/>
      <c r="B121" s="2238">
        <v>20503</v>
      </c>
      <c r="C121" s="2238">
        <v>2070122</v>
      </c>
      <c r="D121" s="2239">
        <v>0.1</v>
      </c>
      <c r="E121" s="2249" t="s">
        <v>674</v>
      </c>
      <c r="F121" s="2242">
        <f t="shared" si="166"/>
        <v>0</v>
      </c>
      <c r="G121" s="4376">
        <f t="shared" si="167"/>
        <v>0</v>
      </c>
      <c r="H121" s="2241">
        <f t="shared" si="168"/>
        <v>0</v>
      </c>
      <c r="I121" s="2242">
        <f t="shared" si="169"/>
        <v>0</v>
      </c>
      <c r="J121" s="2243">
        <f t="shared" si="170"/>
        <v>0</v>
      </c>
      <c r="K121" s="2243">
        <f t="shared" si="171"/>
        <v>0</v>
      </c>
      <c r="L121" s="2243">
        <f t="shared" si="172"/>
        <v>0</v>
      </c>
      <c r="M121" s="2244">
        <f t="shared" si="173"/>
        <v>0</v>
      </c>
      <c r="N121" s="2245">
        <f t="shared" si="174"/>
        <v>0</v>
      </c>
      <c r="O121" s="1304"/>
      <c r="P121" s="1306"/>
      <c r="Q121" s="1305"/>
      <c r="R121" s="1306"/>
      <c r="S121" s="1307"/>
      <c r="T121" s="1307"/>
      <c r="U121" s="1307"/>
      <c r="V121" s="1307"/>
      <c r="W121" s="1304"/>
      <c r="X121" s="1306"/>
      <c r="Y121" s="1305"/>
      <c r="Z121" s="1306"/>
      <c r="AA121" s="1307"/>
      <c r="AB121" s="1307"/>
      <c r="AC121" s="1307"/>
      <c r="AD121" s="1307"/>
      <c r="AE121" s="1304"/>
      <c r="AF121" s="1306"/>
      <c r="AG121" s="1305"/>
      <c r="AH121" s="1306"/>
      <c r="AI121" s="1307"/>
      <c r="AJ121" s="1307"/>
      <c r="AK121" s="1307"/>
      <c r="AL121" s="1308"/>
      <c r="AM121" s="1309"/>
      <c r="AN121" s="1310"/>
      <c r="AO121" s="2246" t="s">
        <v>676</v>
      </c>
      <c r="AP121" s="1306"/>
      <c r="AQ121" s="1306"/>
      <c r="AR121" s="1305"/>
      <c r="AS121" s="1306"/>
      <c r="AT121" s="1307"/>
      <c r="AU121" s="1307"/>
      <c r="AV121" s="1307"/>
      <c r="AW121" s="1305"/>
      <c r="AX121" s="2247" t="s">
        <v>375</v>
      </c>
      <c r="AY121" s="4775"/>
      <c r="AZ121" s="4794">
        <f t="shared" si="129"/>
        <v>0</v>
      </c>
      <c r="BA121" s="4794">
        <f t="shared" si="130"/>
        <v>0</v>
      </c>
      <c r="BB121" s="4794">
        <f t="shared" si="131"/>
        <v>0</v>
      </c>
      <c r="BC121" s="4794">
        <f t="shared" si="132"/>
        <v>0</v>
      </c>
      <c r="BD121" s="4794">
        <f t="shared" si="133"/>
        <v>0</v>
      </c>
      <c r="BE121" s="4794">
        <f t="shared" si="134"/>
        <v>0</v>
      </c>
      <c r="BF121" s="4794">
        <f t="shared" si="135"/>
        <v>0</v>
      </c>
      <c r="BG121" s="4794">
        <f t="shared" si="136"/>
        <v>0</v>
      </c>
      <c r="BH121" s="4794">
        <f t="shared" si="137"/>
        <v>0</v>
      </c>
      <c r="BI121" s="4794">
        <f t="shared" si="138"/>
        <v>0</v>
      </c>
      <c r="BJ121" s="4794">
        <f t="shared" si="139"/>
        <v>0</v>
      </c>
      <c r="BK121" s="4794">
        <f t="shared" si="140"/>
        <v>0</v>
      </c>
      <c r="BL121" s="4794">
        <f t="shared" si="141"/>
        <v>0</v>
      </c>
      <c r="BM121" s="4794">
        <f t="shared" si="142"/>
        <v>0</v>
      </c>
      <c r="BN121" s="4794">
        <f t="shared" si="143"/>
        <v>0</v>
      </c>
      <c r="BO121" s="4794">
        <f t="shared" si="144"/>
        <v>0</v>
      </c>
      <c r="BP121" s="4794">
        <f t="shared" si="145"/>
        <v>0</v>
      </c>
      <c r="BQ121" s="4794">
        <f t="shared" si="146"/>
        <v>0</v>
      </c>
      <c r="BR121" s="4794">
        <f t="shared" si="147"/>
        <v>0</v>
      </c>
      <c r="BS121" s="4794">
        <f t="shared" si="148"/>
        <v>0</v>
      </c>
      <c r="BT121" s="4794">
        <f t="shared" si="149"/>
        <v>0</v>
      </c>
      <c r="BU121" s="4794">
        <f t="shared" si="150"/>
        <v>0</v>
      </c>
      <c r="BV121" s="4794">
        <f t="shared" si="151"/>
        <v>0</v>
      </c>
      <c r="BW121" s="4794">
        <f t="shared" si="152"/>
        <v>0</v>
      </c>
      <c r="BX121" s="4794">
        <f t="shared" si="153"/>
        <v>0</v>
      </c>
      <c r="BY121" s="4794">
        <f t="shared" si="154"/>
        <v>0</v>
      </c>
      <c r="BZ121" s="4794">
        <f t="shared" si="155"/>
        <v>0</v>
      </c>
      <c r="CA121" s="4794">
        <f t="shared" si="156"/>
        <v>0</v>
      </c>
      <c r="CB121" s="4794">
        <f t="shared" si="157"/>
        <v>0</v>
      </c>
      <c r="CC121" s="4794">
        <f t="shared" si="158"/>
        <v>0</v>
      </c>
      <c r="CD121" s="4794">
        <f t="shared" si="159"/>
        <v>0</v>
      </c>
      <c r="CE121" s="4794">
        <f t="shared" si="160"/>
        <v>0</v>
      </c>
      <c r="CF121" s="4794">
        <f t="shared" si="161"/>
        <v>0</v>
      </c>
    </row>
    <row r="122" spans="1:84" ht="24">
      <c r="A122" s="2254"/>
      <c r="B122" s="2238">
        <v>20303</v>
      </c>
      <c r="C122" s="2227">
        <v>2070123</v>
      </c>
      <c r="D122" s="2239">
        <v>0.1</v>
      </c>
      <c r="E122" s="2240" t="s">
        <v>377</v>
      </c>
      <c r="F122" s="2242">
        <f t="shared" si="166"/>
        <v>0</v>
      </c>
      <c r="G122" s="4376">
        <f t="shared" si="167"/>
        <v>0</v>
      </c>
      <c r="H122" s="2241">
        <f t="shared" si="168"/>
        <v>0</v>
      </c>
      <c r="I122" s="2242">
        <f t="shared" si="169"/>
        <v>0</v>
      </c>
      <c r="J122" s="2243">
        <f t="shared" si="170"/>
        <v>0</v>
      </c>
      <c r="K122" s="2243">
        <f t="shared" si="171"/>
        <v>0</v>
      </c>
      <c r="L122" s="2243">
        <f t="shared" si="172"/>
        <v>0</v>
      </c>
      <c r="M122" s="2244">
        <f t="shared" si="173"/>
        <v>0</v>
      </c>
      <c r="N122" s="2245">
        <f t="shared" si="174"/>
        <v>0</v>
      </c>
      <c r="O122" s="1304"/>
      <c r="P122" s="1306"/>
      <c r="Q122" s="1305"/>
      <c r="R122" s="1306"/>
      <c r="S122" s="1307"/>
      <c r="T122" s="1307"/>
      <c r="U122" s="1307"/>
      <c r="V122" s="1307"/>
      <c r="W122" s="1304"/>
      <c r="X122" s="1306"/>
      <c r="Y122" s="1305"/>
      <c r="Z122" s="1306"/>
      <c r="AA122" s="1307"/>
      <c r="AB122" s="1307"/>
      <c r="AC122" s="1307"/>
      <c r="AD122" s="1307"/>
      <c r="AE122" s="1304"/>
      <c r="AF122" s="1306"/>
      <c r="AG122" s="1305"/>
      <c r="AH122" s="1306"/>
      <c r="AI122" s="1307"/>
      <c r="AJ122" s="1307"/>
      <c r="AK122" s="1307"/>
      <c r="AL122" s="1308"/>
      <c r="AM122" s="1309"/>
      <c r="AN122" s="1310"/>
      <c r="AO122" s="2246" t="s">
        <v>676</v>
      </c>
      <c r="AP122" s="1306"/>
      <c r="AQ122" s="1306"/>
      <c r="AR122" s="1305"/>
      <c r="AS122" s="1306"/>
      <c r="AT122" s="1307"/>
      <c r="AU122" s="1307"/>
      <c r="AV122" s="1307"/>
      <c r="AW122" s="1305"/>
      <c r="AX122" s="2247" t="s">
        <v>375</v>
      </c>
      <c r="AY122" s="4775"/>
      <c r="AZ122" s="4794">
        <f t="shared" si="129"/>
        <v>0</v>
      </c>
      <c r="BA122" s="4794">
        <f t="shared" si="130"/>
        <v>0</v>
      </c>
      <c r="BB122" s="4794">
        <f t="shared" si="131"/>
        <v>0</v>
      </c>
      <c r="BC122" s="4794">
        <f t="shared" si="132"/>
        <v>0</v>
      </c>
      <c r="BD122" s="4794">
        <f t="shared" si="133"/>
        <v>0</v>
      </c>
      <c r="BE122" s="4794">
        <f t="shared" si="134"/>
        <v>0</v>
      </c>
      <c r="BF122" s="4794">
        <f t="shared" si="135"/>
        <v>0</v>
      </c>
      <c r="BG122" s="4794">
        <f t="shared" si="136"/>
        <v>0</v>
      </c>
      <c r="BH122" s="4794">
        <f t="shared" si="137"/>
        <v>0</v>
      </c>
      <c r="BI122" s="4794">
        <f t="shared" si="138"/>
        <v>0</v>
      </c>
      <c r="BJ122" s="4794">
        <f t="shared" si="139"/>
        <v>0</v>
      </c>
      <c r="BK122" s="4794">
        <f t="shared" si="140"/>
        <v>0</v>
      </c>
      <c r="BL122" s="4794">
        <f t="shared" si="141"/>
        <v>0</v>
      </c>
      <c r="BM122" s="4794">
        <f t="shared" si="142"/>
        <v>0</v>
      </c>
      <c r="BN122" s="4794">
        <f t="shared" si="143"/>
        <v>0</v>
      </c>
      <c r="BO122" s="4794">
        <f t="shared" si="144"/>
        <v>0</v>
      </c>
      <c r="BP122" s="4794">
        <f t="shared" si="145"/>
        <v>0</v>
      </c>
      <c r="BQ122" s="4794">
        <f t="shared" si="146"/>
        <v>0</v>
      </c>
      <c r="BR122" s="4794">
        <f t="shared" si="147"/>
        <v>0</v>
      </c>
      <c r="BS122" s="4794">
        <f t="shared" si="148"/>
        <v>0</v>
      </c>
      <c r="BT122" s="4794">
        <f t="shared" si="149"/>
        <v>0</v>
      </c>
      <c r="BU122" s="4794">
        <f t="shared" si="150"/>
        <v>0</v>
      </c>
      <c r="BV122" s="4794">
        <f t="shared" si="151"/>
        <v>0</v>
      </c>
      <c r="BW122" s="4794">
        <f t="shared" si="152"/>
        <v>0</v>
      </c>
      <c r="BX122" s="4794">
        <f t="shared" si="153"/>
        <v>0</v>
      </c>
      <c r="BY122" s="4794">
        <f t="shared" si="154"/>
        <v>0</v>
      </c>
      <c r="BZ122" s="4794">
        <f t="shared" si="155"/>
        <v>0</v>
      </c>
      <c r="CA122" s="4794">
        <f t="shared" si="156"/>
        <v>0</v>
      </c>
      <c r="CB122" s="4794">
        <f t="shared" si="157"/>
        <v>0</v>
      </c>
      <c r="CC122" s="4794">
        <f t="shared" si="158"/>
        <v>0</v>
      </c>
      <c r="CD122" s="4794">
        <f t="shared" si="159"/>
        <v>0</v>
      </c>
      <c r="CE122" s="4794">
        <f t="shared" si="160"/>
        <v>0</v>
      </c>
      <c r="CF122" s="4794">
        <f t="shared" si="161"/>
        <v>0</v>
      </c>
    </row>
    <row r="123" spans="1:84" ht="24.75" thickBot="1">
      <c r="A123" s="2255"/>
      <c r="B123" s="2256">
        <v>20306</v>
      </c>
      <c r="C123" s="2238">
        <v>2070124</v>
      </c>
      <c r="D123" s="2257">
        <v>0.1</v>
      </c>
      <c r="E123" s="2258" t="s">
        <v>712</v>
      </c>
      <c r="F123" s="2242">
        <f t="shared" si="166"/>
        <v>0</v>
      </c>
      <c r="G123" s="4376">
        <f t="shared" si="167"/>
        <v>0</v>
      </c>
      <c r="H123" s="2241">
        <f t="shared" si="168"/>
        <v>0</v>
      </c>
      <c r="I123" s="2242">
        <f t="shared" si="169"/>
        <v>0</v>
      </c>
      <c r="J123" s="2243">
        <f t="shared" si="170"/>
        <v>0</v>
      </c>
      <c r="K123" s="2243">
        <f t="shared" si="171"/>
        <v>0</v>
      </c>
      <c r="L123" s="2243">
        <f t="shared" si="172"/>
        <v>0</v>
      </c>
      <c r="M123" s="2244">
        <f t="shared" si="173"/>
        <v>0</v>
      </c>
      <c r="N123" s="2259">
        <f>SUM(I123:M123)</f>
        <v>0</v>
      </c>
      <c r="O123" s="1312"/>
      <c r="P123" s="1314"/>
      <c r="Q123" s="1313"/>
      <c r="R123" s="1314"/>
      <c r="S123" s="1315"/>
      <c r="T123" s="1315"/>
      <c r="U123" s="1315"/>
      <c r="V123" s="1315"/>
      <c r="W123" s="1312"/>
      <c r="X123" s="1314"/>
      <c r="Y123" s="1313"/>
      <c r="Z123" s="1314"/>
      <c r="AA123" s="1315"/>
      <c r="AB123" s="1315"/>
      <c r="AC123" s="1315"/>
      <c r="AD123" s="1315"/>
      <c r="AE123" s="1312"/>
      <c r="AF123" s="1314"/>
      <c r="AG123" s="1313"/>
      <c r="AH123" s="1314"/>
      <c r="AI123" s="1315"/>
      <c r="AJ123" s="1315"/>
      <c r="AK123" s="1315"/>
      <c r="AL123" s="1316"/>
      <c r="AM123" s="1317"/>
      <c r="AN123" s="1318"/>
      <c r="AO123" s="2260" t="s">
        <v>676</v>
      </c>
      <c r="AP123" s="1314"/>
      <c r="AQ123" s="1314"/>
      <c r="AR123" s="1313"/>
      <c r="AS123" s="1314"/>
      <c r="AT123" s="1315"/>
      <c r="AU123" s="1315"/>
      <c r="AV123" s="1315"/>
      <c r="AW123" s="1313"/>
      <c r="AX123" s="2261" t="s">
        <v>666</v>
      </c>
      <c r="AY123" s="4775"/>
      <c r="AZ123" s="4794">
        <f t="shared" si="129"/>
        <v>0</v>
      </c>
      <c r="BA123" s="4794">
        <f t="shared" si="130"/>
        <v>0</v>
      </c>
      <c r="BB123" s="4794">
        <f t="shared" si="131"/>
        <v>0</v>
      </c>
      <c r="BC123" s="4794">
        <f t="shared" si="132"/>
        <v>0</v>
      </c>
      <c r="BD123" s="4794">
        <f t="shared" si="133"/>
        <v>0</v>
      </c>
      <c r="BE123" s="4794">
        <f t="shared" si="134"/>
        <v>0</v>
      </c>
      <c r="BF123" s="4794">
        <f t="shared" si="135"/>
        <v>0</v>
      </c>
      <c r="BG123" s="4794">
        <f t="shared" si="136"/>
        <v>0</v>
      </c>
      <c r="BH123" s="4794">
        <f t="shared" si="137"/>
        <v>0</v>
      </c>
      <c r="BI123" s="4794">
        <f t="shared" si="138"/>
        <v>0</v>
      </c>
      <c r="BJ123" s="4794">
        <f t="shared" si="139"/>
        <v>0</v>
      </c>
      <c r="BK123" s="4794">
        <f t="shared" si="140"/>
        <v>0</v>
      </c>
      <c r="BL123" s="4794">
        <f t="shared" si="141"/>
        <v>0</v>
      </c>
      <c r="BM123" s="4794">
        <f t="shared" si="142"/>
        <v>0</v>
      </c>
      <c r="BN123" s="4794">
        <f t="shared" si="143"/>
        <v>0</v>
      </c>
      <c r="BO123" s="4794">
        <f t="shared" si="144"/>
        <v>0</v>
      </c>
      <c r="BP123" s="4794">
        <f t="shared" si="145"/>
        <v>0</v>
      </c>
      <c r="BQ123" s="4794">
        <f t="shared" si="146"/>
        <v>0</v>
      </c>
      <c r="BR123" s="4794">
        <f t="shared" si="147"/>
        <v>0</v>
      </c>
      <c r="BS123" s="4794">
        <f t="shared" si="148"/>
        <v>0</v>
      </c>
      <c r="BT123" s="4794">
        <f t="shared" si="149"/>
        <v>0</v>
      </c>
      <c r="BU123" s="4794">
        <f t="shared" si="150"/>
        <v>0</v>
      </c>
      <c r="BV123" s="4794">
        <f t="shared" si="151"/>
        <v>0</v>
      </c>
      <c r="BW123" s="4794">
        <f t="shared" si="152"/>
        <v>0</v>
      </c>
      <c r="BX123" s="4794">
        <f t="shared" si="153"/>
        <v>0</v>
      </c>
      <c r="BY123" s="4794">
        <f t="shared" si="154"/>
        <v>0</v>
      </c>
      <c r="BZ123" s="4794">
        <f t="shared" si="155"/>
        <v>0</v>
      </c>
      <c r="CA123" s="4794">
        <f t="shared" si="156"/>
        <v>0</v>
      </c>
      <c r="CB123" s="4794">
        <f t="shared" si="157"/>
        <v>0</v>
      </c>
      <c r="CC123" s="4794">
        <f t="shared" si="158"/>
        <v>0</v>
      </c>
      <c r="CD123" s="4794">
        <f t="shared" si="159"/>
        <v>0</v>
      </c>
      <c r="CE123" s="4794">
        <f t="shared" si="160"/>
        <v>0</v>
      </c>
      <c r="CF123" s="4794">
        <f t="shared" si="161"/>
        <v>0</v>
      </c>
    </row>
    <row r="124" spans="1:84" s="1296" customFormat="1" ht="24">
      <c r="A124" s="2323">
        <v>1</v>
      </c>
      <c r="B124" s="2323"/>
      <c r="C124" s="2323"/>
      <c r="D124" s="2324"/>
      <c r="E124" s="2325" t="s">
        <v>1235</v>
      </c>
      <c r="F124" s="2326">
        <f>F60+F57+F48+F36+F11+F73+F99</f>
        <v>8000</v>
      </c>
      <c r="G124" s="4380">
        <f>G60+G57+G48+G36+G11+G73+G99</f>
        <v>10734</v>
      </c>
      <c r="H124" s="2327">
        <f t="shared" ref="H124:M124" si="175">H60+H57+H48+H36+H11+H73+H99</f>
        <v>5307</v>
      </c>
      <c r="I124" s="2328">
        <f t="shared" si="175"/>
        <v>4247</v>
      </c>
      <c r="J124" s="2329">
        <f t="shared" si="175"/>
        <v>3550</v>
      </c>
      <c r="K124" s="2329">
        <f t="shared" si="175"/>
        <v>3760</v>
      </c>
      <c r="L124" s="2329">
        <f t="shared" si="175"/>
        <v>3770</v>
      </c>
      <c r="M124" s="2330">
        <f t="shared" si="175"/>
        <v>3535</v>
      </c>
      <c r="N124" s="2331">
        <f>SUM(I124:M124)</f>
        <v>18862</v>
      </c>
      <c r="O124" s="2332">
        <f t="shared" ref="O124" si="176">O60+O57+O48+O36+O11+O73+O99</f>
        <v>6747</v>
      </c>
      <c r="P124" s="4387">
        <f t="shared" ref="P124:AL124" si="177">P60+P57+P48+P36+P11+P73+P99</f>
        <v>10301</v>
      </c>
      <c r="Q124" s="2333">
        <f t="shared" si="177"/>
        <v>5307</v>
      </c>
      <c r="R124" s="2334">
        <f t="shared" si="177"/>
        <v>4247</v>
      </c>
      <c r="S124" s="2335">
        <f t="shared" si="177"/>
        <v>3550</v>
      </c>
      <c r="T124" s="2335">
        <f t="shared" si="177"/>
        <v>3760</v>
      </c>
      <c r="U124" s="2335">
        <f t="shared" si="177"/>
        <v>3770</v>
      </c>
      <c r="V124" s="2336">
        <f t="shared" si="177"/>
        <v>3535</v>
      </c>
      <c r="W124" s="2332">
        <f t="shared" ref="W124" si="178">W60+W57+W48+W36+W11+W73+W99</f>
        <v>1253</v>
      </c>
      <c r="X124" s="4387">
        <f t="shared" si="177"/>
        <v>433</v>
      </c>
      <c r="Y124" s="2333">
        <f t="shared" si="177"/>
        <v>0</v>
      </c>
      <c r="Z124" s="2334">
        <f t="shared" si="177"/>
        <v>0</v>
      </c>
      <c r="AA124" s="2335">
        <f t="shared" si="177"/>
        <v>0</v>
      </c>
      <c r="AB124" s="2335">
        <f t="shared" si="177"/>
        <v>0</v>
      </c>
      <c r="AC124" s="2335">
        <f t="shared" si="177"/>
        <v>0</v>
      </c>
      <c r="AD124" s="2337">
        <f t="shared" si="177"/>
        <v>0</v>
      </c>
      <c r="AE124" s="2332">
        <f t="shared" ref="AE124" si="179">AE60+AE57+AE48+AE36+AE11+AE73+AE99</f>
        <v>0</v>
      </c>
      <c r="AF124" s="4387">
        <f t="shared" si="177"/>
        <v>0</v>
      </c>
      <c r="AG124" s="2333">
        <f t="shared" si="177"/>
        <v>0</v>
      </c>
      <c r="AH124" s="2334">
        <f t="shared" si="177"/>
        <v>0</v>
      </c>
      <c r="AI124" s="2335">
        <f t="shared" si="177"/>
        <v>0</v>
      </c>
      <c r="AJ124" s="2335">
        <f t="shared" si="177"/>
        <v>0</v>
      </c>
      <c r="AK124" s="2335">
        <f t="shared" si="177"/>
        <v>0</v>
      </c>
      <c r="AL124" s="2336">
        <f t="shared" si="177"/>
        <v>0</v>
      </c>
      <c r="AM124" s="2338"/>
      <c r="AN124" s="2339"/>
      <c r="AO124" s="2338"/>
      <c r="AP124" s="2338"/>
      <c r="AQ124" s="2338"/>
      <c r="AR124" s="2338"/>
      <c r="AS124" s="2338"/>
      <c r="AT124" s="2338"/>
      <c r="AU124" s="2338"/>
      <c r="AV124" s="2338"/>
      <c r="AW124" s="2339"/>
      <c r="AX124" s="2340"/>
      <c r="AY124" s="4775"/>
      <c r="AZ124" s="4794">
        <f t="shared" si="129"/>
        <v>4090.3350495697478</v>
      </c>
      <c r="BA124" s="4794">
        <f t="shared" si="130"/>
        <v>5488.2070527602091</v>
      </c>
      <c r="BB124" s="4794">
        <f t="shared" si="131"/>
        <v>2713.4260135083314</v>
      </c>
      <c r="BC124" s="4794">
        <f t="shared" si="132"/>
        <v>2171.4566194403401</v>
      </c>
      <c r="BD124" s="4794">
        <f t="shared" si="133"/>
        <v>1815.0861782465756</v>
      </c>
      <c r="BE124" s="4794">
        <f t="shared" si="134"/>
        <v>1922.4574732977815</v>
      </c>
      <c r="BF124" s="4794">
        <f t="shared" si="135"/>
        <v>1927.5703921097438</v>
      </c>
      <c r="BG124" s="4794">
        <f t="shared" si="136"/>
        <v>1807.4168000286325</v>
      </c>
      <c r="BH124" s="4794">
        <f t="shared" si="137"/>
        <v>9643.9874631230741</v>
      </c>
      <c r="BI124" s="4794">
        <f t="shared" si="138"/>
        <v>3449.6863224308863</v>
      </c>
      <c r="BJ124" s="4794">
        <f t="shared" si="139"/>
        <v>5266.8176682022468</v>
      </c>
      <c r="BK124" s="4794">
        <f t="shared" si="140"/>
        <v>2713.4260135083314</v>
      </c>
      <c r="BL124" s="4794">
        <f t="shared" si="141"/>
        <v>2171.4566194403401</v>
      </c>
      <c r="BM124" s="4794">
        <f t="shared" si="142"/>
        <v>1815.0861782465756</v>
      </c>
      <c r="BN124" s="4794">
        <f t="shared" si="143"/>
        <v>1922.4574732977815</v>
      </c>
      <c r="BO124" s="4794">
        <f t="shared" si="144"/>
        <v>1927.5703921097438</v>
      </c>
      <c r="BP124" s="4794">
        <f t="shared" si="145"/>
        <v>1807.4168000286325</v>
      </c>
      <c r="BQ124" s="4794">
        <f t="shared" si="146"/>
        <v>640.64872713886177</v>
      </c>
      <c r="BR124" s="4794">
        <f t="shared" si="147"/>
        <v>221.38938455796261</v>
      </c>
      <c r="BS124" s="4794">
        <f t="shared" si="148"/>
        <v>0</v>
      </c>
      <c r="BT124" s="4794">
        <f t="shared" si="149"/>
        <v>0</v>
      </c>
      <c r="BU124" s="4794">
        <f t="shared" si="150"/>
        <v>0</v>
      </c>
      <c r="BV124" s="4794">
        <f t="shared" si="151"/>
        <v>0</v>
      </c>
      <c r="BW124" s="4794">
        <f t="shared" si="152"/>
        <v>0</v>
      </c>
      <c r="BX124" s="4794">
        <f t="shared" si="153"/>
        <v>0</v>
      </c>
      <c r="BY124" s="4794">
        <f t="shared" si="154"/>
        <v>0</v>
      </c>
      <c r="BZ124" s="4794">
        <f t="shared" si="155"/>
        <v>0</v>
      </c>
      <c r="CA124" s="4794">
        <f t="shared" si="156"/>
        <v>0</v>
      </c>
      <c r="CB124" s="4794">
        <f t="shared" si="157"/>
        <v>0</v>
      </c>
      <c r="CC124" s="4794">
        <f t="shared" si="158"/>
        <v>0</v>
      </c>
      <c r="CD124" s="4794">
        <f t="shared" si="159"/>
        <v>0</v>
      </c>
      <c r="CE124" s="4794">
        <f t="shared" si="160"/>
        <v>0</v>
      </c>
      <c r="CF124" s="4794">
        <f t="shared" si="161"/>
        <v>0</v>
      </c>
    </row>
    <row r="125" spans="1:84" ht="24">
      <c r="A125" s="2341"/>
      <c r="B125" s="2341"/>
      <c r="C125" s="2341"/>
      <c r="D125" s="2342"/>
      <c r="E125" s="2343" t="s">
        <v>625</v>
      </c>
      <c r="F125" s="2344">
        <f>SUM(F30:F35)+SUM(F43:F47)+F50+SUM(F52:F56)+F60-F69-F70+SUM(F92:F97)+SUM(F118:F123)</f>
        <v>1380</v>
      </c>
      <c r="G125" s="4381">
        <f>SUM(G30:G35)+SUM(G43:G47)+G50+SUM(G52:G56)+G60-G69-G70+SUM(G92:G97)+SUM(G118:G123)</f>
        <v>3784</v>
      </c>
      <c r="H125" s="2345">
        <f t="shared" ref="H125:M125" si="180">SUM(H30:H35)+SUM(H43:H47)+H50+SUM(H52:H56)+H60-H69-H70+SUM(H92:H97)+SUM(H118:H123)</f>
        <v>400</v>
      </c>
      <c r="I125" s="2346">
        <f t="shared" si="180"/>
        <v>355</v>
      </c>
      <c r="J125" s="2347">
        <f t="shared" si="180"/>
        <v>230</v>
      </c>
      <c r="K125" s="2347">
        <f t="shared" si="180"/>
        <v>505</v>
      </c>
      <c r="L125" s="2347">
        <f t="shared" si="180"/>
        <v>600</v>
      </c>
      <c r="M125" s="2348">
        <f t="shared" si="180"/>
        <v>230</v>
      </c>
      <c r="N125" s="2349">
        <f>SUM(I125:M125)</f>
        <v>1920</v>
      </c>
      <c r="O125" s="2350">
        <f t="shared" ref="O125" si="181">SUM(O30:O35)+SUM(O43:O47)+O50+SUM(O52:O56)+O60-O69-O70+SUM(O92:O97)+SUM(O118:O123)</f>
        <v>1380</v>
      </c>
      <c r="P125" s="4391">
        <f t="shared" ref="P125:AL125" si="182">SUM(P30:P35)+SUM(P43:P47)+P50+SUM(P52:P56)+P60-P69-P70+SUM(P92:P97)+SUM(P118:P123)</f>
        <v>3784</v>
      </c>
      <c r="Q125" s="2351">
        <f t="shared" si="182"/>
        <v>400</v>
      </c>
      <c r="R125" s="2352">
        <f t="shared" si="182"/>
        <v>355</v>
      </c>
      <c r="S125" s="2353">
        <f t="shared" si="182"/>
        <v>230</v>
      </c>
      <c r="T125" s="2353">
        <f t="shared" si="182"/>
        <v>505</v>
      </c>
      <c r="U125" s="2353">
        <f t="shared" si="182"/>
        <v>600</v>
      </c>
      <c r="V125" s="2349">
        <f t="shared" si="182"/>
        <v>230</v>
      </c>
      <c r="W125" s="2350">
        <f t="shared" ref="W125" si="183">SUM(W30:W35)+SUM(W43:W47)+W50+SUM(W52:W56)+W60-W69-W70+SUM(W92:W97)+SUM(W118:W123)</f>
        <v>0</v>
      </c>
      <c r="X125" s="4391">
        <f t="shared" si="182"/>
        <v>0</v>
      </c>
      <c r="Y125" s="2351">
        <f t="shared" si="182"/>
        <v>0</v>
      </c>
      <c r="Z125" s="2352">
        <f t="shared" si="182"/>
        <v>0</v>
      </c>
      <c r="AA125" s="2353">
        <f t="shared" si="182"/>
        <v>0</v>
      </c>
      <c r="AB125" s="2353">
        <f t="shared" si="182"/>
        <v>0</v>
      </c>
      <c r="AC125" s="2353">
        <f t="shared" si="182"/>
        <v>0</v>
      </c>
      <c r="AD125" s="2354">
        <f t="shared" si="182"/>
        <v>0</v>
      </c>
      <c r="AE125" s="2350">
        <f t="shared" ref="AE125" si="184">SUM(AE30:AE35)+SUM(AE43:AE47)+AE50+SUM(AE52:AE56)+AE60-AE69-AE70+SUM(AE92:AE97)+SUM(AE118:AE123)</f>
        <v>0</v>
      </c>
      <c r="AF125" s="4391">
        <f t="shared" si="182"/>
        <v>0</v>
      </c>
      <c r="AG125" s="2351">
        <f t="shared" si="182"/>
        <v>0</v>
      </c>
      <c r="AH125" s="2352">
        <f t="shared" si="182"/>
        <v>0</v>
      </c>
      <c r="AI125" s="2353">
        <f t="shared" si="182"/>
        <v>0</v>
      </c>
      <c r="AJ125" s="2353">
        <f t="shared" si="182"/>
        <v>0</v>
      </c>
      <c r="AK125" s="2353">
        <f t="shared" si="182"/>
        <v>0</v>
      </c>
      <c r="AL125" s="2349">
        <f t="shared" si="182"/>
        <v>0</v>
      </c>
      <c r="AM125" s="2355"/>
      <c r="AN125" s="2356"/>
      <c r="AO125" s="2355"/>
      <c r="AP125" s="2355"/>
      <c r="AQ125" s="2355"/>
      <c r="AR125" s="2355"/>
      <c r="AS125" s="2355"/>
      <c r="AT125" s="2355"/>
      <c r="AU125" s="2355"/>
      <c r="AV125" s="2355"/>
      <c r="AW125" s="2356"/>
      <c r="AX125" s="2357"/>
      <c r="AY125" s="4775"/>
      <c r="AZ125" s="4794">
        <f t="shared" si="129"/>
        <v>705.58279605078155</v>
      </c>
      <c r="BA125" s="4794">
        <f t="shared" si="130"/>
        <v>1934.7284784464907</v>
      </c>
      <c r="BB125" s="4794">
        <f t="shared" si="131"/>
        <v>204.5167524784874</v>
      </c>
      <c r="BC125" s="4794">
        <f t="shared" si="132"/>
        <v>181.50861782465756</v>
      </c>
      <c r="BD125" s="4794">
        <f t="shared" si="133"/>
        <v>117.59713267513025</v>
      </c>
      <c r="BE125" s="4794">
        <f t="shared" si="134"/>
        <v>258.20240000409035</v>
      </c>
      <c r="BF125" s="4794">
        <f t="shared" si="135"/>
        <v>306.77512871773109</v>
      </c>
      <c r="BG125" s="4794">
        <f t="shared" si="136"/>
        <v>117.59713267513025</v>
      </c>
      <c r="BH125" s="4794">
        <f t="shared" si="137"/>
        <v>981.68041189673954</v>
      </c>
      <c r="BI125" s="4794">
        <f t="shared" si="138"/>
        <v>705.58279605078155</v>
      </c>
      <c r="BJ125" s="4794">
        <f t="shared" si="139"/>
        <v>1934.7284784464907</v>
      </c>
      <c r="BK125" s="4794">
        <f t="shared" si="140"/>
        <v>204.5167524784874</v>
      </c>
      <c r="BL125" s="4794">
        <f t="shared" si="141"/>
        <v>181.50861782465756</v>
      </c>
      <c r="BM125" s="4794">
        <f t="shared" si="142"/>
        <v>117.59713267513025</v>
      </c>
      <c r="BN125" s="4794">
        <f t="shared" si="143"/>
        <v>258.20240000409035</v>
      </c>
      <c r="BO125" s="4794">
        <f t="shared" si="144"/>
        <v>306.77512871773109</v>
      </c>
      <c r="BP125" s="4794">
        <f t="shared" si="145"/>
        <v>117.59713267513025</v>
      </c>
      <c r="BQ125" s="4794">
        <f t="shared" si="146"/>
        <v>0</v>
      </c>
      <c r="BR125" s="4794">
        <f t="shared" si="147"/>
        <v>0</v>
      </c>
      <c r="BS125" s="4794">
        <f t="shared" si="148"/>
        <v>0</v>
      </c>
      <c r="BT125" s="4794">
        <f t="shared" si="149"/>
        <v>0</v>
      </c>
      <c r="BU125" s="4794">
        <f t="shared" si="150"/>
        <v>0</v>
      </c>
      <c r="BV125" s="4794">
        <f t="shared" si="151"/>
        <v>0</v>
      </c>
      <c r="BW125" s="4794">
        <f t="shared" si="152"/>
        <v>0</v>
      </c>
      <c r="BX125" s="4794">
        <f t="shared" si="153"/>
        <v>0</v>
      </c>
      <c r="BY125" s="4794">
        <f t="shared" si="154"/>
        <v>0</v>
      </c>
      <c r="BZ125" s="4794">
        <f t="shared" si="155"/>
        <v>0</v>
      </c>
      <c r="CA125" s="4794">
        <f t="shared" si="156"/>
        <v>0</v>
      </c>
      <c r="CB125" s="4794">
        <f t="shared" si="157"/>
        <v>0</v>
      </c>
      <c r="CC125" s="4794">
        <f t="shared" si="158"/>
        <v>0</v>
      </c>
      <c r="CD125" s="4794">
        <f t="shared" si="159"/>
        <v>0</v>
      </c>
      <c r="CE125" s="4794">
        <f t="shared" si="160"/>
        <v>0</v>
      </c>
      <c r="CF125" s="4794">
        <f t="shared" si="161"/>
        <v>0</v>
      </c>
    </row>
    <row r="126" spans="1:84" ht="24.75" thickBot="1">
      <c r="A126" s="2358"/>
      <c r="B126" s="2358"/>
      <c r="C126" s="2358"/>
      <c r="D126" s="2359"/>
      <c r="E126" s="2360" t="s">
        <v>626</v>
      </c>
      <c r="F126" s="2361">
        <f>SUM(F12:F29)+SUM(F37:F42)+F49+F51+F57+F69+F70+SUM(F74:F91)+SUM(F100:F117)</f>
        <v>6620</v>
      </c>
      <c r="G126" s="4382">
        <f>SUM(G12:G29)+SUM(G37:G42)+G49+G51+G57+G69+G70+SUM(G74:G91)+SUM(G100:G117)</f>
        <v>6950</v>
      </c>
      <c r="H126" s="2362">
        <f t="shared" ref="H126:M126" si="185">SUM(H12:H29)+SUM(H37:H42)+H49+H51+H57+H69+H70+SUM(H74:H91)+SUM(H100:H117)</f>
        <v>4907</v>
      </c>
      <c r="I126" s="2363">
        <f t="shared" si="185"/>
        <v>3892</v>
      </c>
      <c r="J126" s="2364">
        <f t="shared" si="185"/>
        <v>3320</v>
      </c>
      <c r="K126" s="2364">
        <f t="shared" si="185"/>
        <v>3255</v>
      </c>
      <c r="L126" s="2364">
        <f t="shared" si="185"/>
        <v>3170</v>
      </c>
      <c r="M126" s="2365">
        <f t="shared" si="185"/>
        <v>3305</v>
      </c>
      <c r="N126" s="2366">
        <f>SUM(I126:M126)</f>
        <v>16942</v>
      </c>
      <c r="O126" s="2367">
        <f t="shared" ref="O126" si="186">SUM(O12:O29)+SUM(O37:O42)+O49+O51+O57+O69+O70+SUM(O74:O91)+SUM(O100:O117)</f>
        <v>5367</v>
      </c>
      <c r="P126" s="4392">
        <f t="shared" ref="P126:AL126" si="187">SUM(P12:P29)+SUM(P37:P42)+P49+P51+P57+P69+P70+SUM(P74:P91)+SUM(P100:P117)</f>
        <v>6517</v>
      </c>
      <c r="Q126" s="2368">
        <f t="shared" si="187"/>
        <v>4907</v>
      </c>
      <c r="R126" s="2369">
        <f t="shared" si="187"/>
        <v>3892</v>
      </c>
      <c r="S126" s="2370">
        <f t="shared" si="187"/>
        <v>3320</v>
      </c>
      <c r="T126" s="2370">
        <f t="shared" si="187"/>
        <v>3255</v>
      </c>
      <c r="U126" s="2370">
        <f t="shared" si="187"/>
        <v>3170</v>
      </c>
      <c r="V126" s="2366">
        <f t="shared" si="187"/>
        <v>3305</v>
      </c>
      <c r="W126" s="2367">
        <f t="shared" ref="W126" si="188">SUM(W12:W29)+SUM(W37:W42)+W49+W51+W57+W69+W70+SUM(W74:W91)+SUM(W100:W117)</f>
        <v>1253</v>
      </c>
      <c r="X126" s="4392">
        <f t="shared" si="187"/>
        <v>433</v>
      </c>
      <c r="Y126" s="2368">
        <f t="shared" si="187"/>
        <v>0</v>
      </c>
      <c r="Z126" s="2369">
        <f t="shared" si="187"/>
        <v>0</v>
      </c>
      <c r="AA126" s="2370">
        <f t="shared" si="187"/>
        <v>0</v>
      </c>
      <c r="AB126" s="2370">
        <f t="shared" si="187"/>
        <v>0</v>
      </c>
      <c r="AC126" s="2370">
        <f t="shared" si="187"/>
        <v>0</v>
      </c>
      <c r="AD126" s="2371">
        <f t="shared" si="187"/>
        <v>0</v>
      </c>
      <c r="AE126" s="2367">
        <f t="shared" ref="AE126" si="189">SUM(AE12:AE29)+SUM(AE37:AE42)+AE49+AE51+AE57+AE69+AE70+SUM(AE74:AE91)+SUM(AE100:AE117)</f>
        <v>0</v>
      </c>
      <c r="AF126" s="4392">
        <f t="shared" si="187"/>
        <v>0</v>
      </c>
      <c r="AG126" s="2368">
        <f t="shared" si="187"/>
        <v>0</v>
      </c>
      <c r="AH126" s="2369">
        <f t="shared" si="187"/>
        <v>0</v>
      </c>
      <c r="AI126" s="2370">
        <f t="shared" si="187"/>
        <v>0</v>
      </c>
      <c r="AJ126" s="2370">
        <f t="shared" si="187"/>
        <v>0</v>
      </c>
      <c r="AK126" s="2370">
        <f t="shared" si="187"/>
        <v>0</v>
      </c>
      <c r="AL126" s="2366">
        <f t="shared" si="187"/>
        <v>0</v>
      </c>
      <c r="AM126" s="2372"/>
      <c r="AN126" s="2373"/>
      <c r="AO126" s="2372"/>
      <c r="AP126" s="2372"/>
      <c r="AQ126" s="2372"/>
      <c r="AR126" s="2372"/>
      <c r="AS126" s="2372"/>
      <c r="AT126" s="2372"/>
      <c r="AU126" s="2372"/>
      <c r="AV126" s="2372"/>
      <c r="AW126" s="2373"/>
      <c r="AX126" s="2374"/>
      <c r="AY126" s="4775"/>
      <c r="AZ126" s="4794">
        <f t="shared" si="129"/>
        <v>3384.7522535189664</v>
      </c>
      <c r="BA126" s="4794">
        <f t="shared" si="130"/>
        <v>3553.4785743137186</v>
      </c>
      <c r="BB126" s="4794">
        <f t="shared" si="131"/>
        <v>2508.9092610298439</v>
      </c>
      <c r="BC126" s="4794">
        <f t="shared" si="132"/>
        <v>1989.9480016156824</v>
      </c>
      <c r="BD126" s="4794">
        <f t="shared" si="133"/>
        <v>1697.4890455714453</v>
      </c>
      <c r="BE126" s="4794">
        <f t="shared" si="134"/>
        <v>1664.2550732936911</v>
      </c>
      <c r="BF126" s="4794">
        <f t="shared" si="135"/>
        <v>1620.7952633920127</v>
      </c>
      <c r="BG126" s="4794">
        <f t="shared" si="136"/>
        <v>1689.8196673535022</v>
      </c>
      <c r="BH126" s="4794">
        <f t="shared" si="137"/>
        <v>8662.307051226333</v>
      </c>
      <c r="BI126" s="4794">
        <f t="shared" si="138"/>
        <v>2744.1035263801045</v>
      </c>
      <c r="BJ126" s="4794">
        <f t="shared" si="139"/>
        <v>3332.0891897557558</v>
      </c>
      <c r="BK126" s="4794">
        <f t="shared" si="140"/>
        <v>2508.9092610298439</v>
      </c>
      <c r="BL126" s="4794">
        <f t="shared" si="141"/>
        <v>1989.9480016156824</v>
      </c>
      <c r="BM126" s="4794">
        <f t="shared" si="142"/>
        <v>1697.4890455714453</v>
      </c>
      <c r="BN126" s="4794">
        <f t="shared" si="143"/>
        <v>1664.2550732936911</v>
      </c>
      <c r="BO126" s="4794">
        <f t="shared" si="144"/>
        <v>1620.7952633920127</v>
      </c>
      <c r="BP126" s="4794">
        <f t="shared" si="145"/>
        <v>1689.8196673535022</v>
      </c>
      <c r="BQ126" s="4794">
        <f t="shared" si="146"/>
        <v>640.64872713886177</v>
      </c>
      <c r="BR126" s="4794">
        <f t="shared" si="147"/>
        <v>221.38938455796261</v>
      </c>
      <c r="BS126" s="4794">
        <f t="shared" si="148"/>
        <v>0</v>
      </c>
      <c r="BT126" s="4794">
        <f t="shared" si="149"/>
        <v>0</v>
      </c>
      <c r="BU126" s="4794">
        <f t="shared" si="150"/>
        <v>0</v>
      </c>
      <c r="BV126" s="4794">
        <f t="shared" si="151"/>
        <v>0</v>
      </c>
      <c r="BW126" s="4794">
        <f t="shared" si="152"/>
        <v>0</v>
      </c>
      <c r="BX126" s="4794">
        <f t="shared" si="153"/>
        <v>0</v>
      </c>
      <c r="BY126" s="4794">
        <f t="shared" si="154"/>
        <v>0</v>
      </c>
      <c r="BZ126" s="4794">
        <f t="shared" si="155"/>
        <v>0</v>
      </c>
      <c r="CA126" s="4794">
        <f t="shared" si="156"/>
        <v>0</v>
      </c>
      <c r="CB126" s="4794">
        <f t="shared" si="157"/>
        <v>0</v>
      </c>
      <c r="CC126" s="4794">
        <f t="shared" si="158"/>
        <v>0</v>
      </c>
      <c r="CD126" s="4794">
        <f t="shared" si="159"/>
        <v>0</v>
      </c>
      <c r="CE126" s="4794">
        <f t="shared" si="160"/>
        <v>0</v>
      </c>
      <c r="CF126" s="4794">
        <f t="shared" si="161"/>
        <v>0</v>
      </c>
    </row>
    <row r="127" spans="1:84" hidden="1">
      <c r="A127" s="2375"/>
      <c r="B127" s="2376"/>
      <c r="C127" s="2376"/>
      <c r="D127" s="2376"/>
      <c r="E127" s="2174"/>
      <c r="F127" s="2377"/>
      <c r="G127" s="2377"/>
      <c r="H127" s="2377"/>
      <c r="I127" s="2378"/>
      <c r="J127" s="2378"/>
      <c r="K127" s="2378"/>
      <c r="L127" s="2378"/>
      <c r="M127" s="2378"/>
      <c r="N127" s="2379"/>
      <c r="O127" s="2380"/>
      <c r="P127" s="2380"/>
      <c r="Q127" s="2380"/>
      <c r="R127" s="2379"/>
      <c r="S127" s="2379"/>
      <c r="T127" s="2379"/>
      <c r="U127" s="2379"/>
      <c r="V127" s="2379"/>
      <c r="W127" s="2380"/>
      <c r="X127" s="2380"/>
      <c r="Y127" s="2380"/>
      <c r="Z127" s="2379"/>
      <c r="AA127" s="2379"/>
      <c r="AB127" s="2379"/>
      <c r="AC127" s="2379"/>
      <c r="AD127" s="2379"/>
      <c r="AE127" s="2381"/>
      <c r="AF127" s="2381"/>
      <c r="AG127" s="2381"/>
      <c r="AH127" s="2381"/>
      <c r="AI127" s="2381"/>
      <c r="AJ127" s="2381"/>
      <c r="AK127" s="2381"/>
      <c r="AL127" s="2381"/>
      <c r="AM127" s="2382"/>
      <c r="AN127" s="2383"/>
      <c r="AO127" s="2382"/>
      <c r="AP127" s="2382"/>
      <c r="AQ127" s="2382"/>
      <c r="AR127" s="2176"/>
      <c r="AS127" s="2176"/>
      <c r="AT127" s="2176"/>
      <c r="AU127" s="2176"/>
      <c r="AV127" s="2176"/>
      <c r="AW127" s="2384"/>
      <c r="AX127" s="2182"/>
      <c r="AY127" s="4775"/>
    </row>
    <row r="128" spans="1:84" ht="13.5" thickBot="1">
      <c r="A128" s="2176"/>
      <c r="B128" s="2176"/>
      <c r="C128" s="2176"/>
      <c r="D128" s="2384"/>
      <c r="E128" s="2385"/>
      <c r="F128" s="2386"/>
      <c r="G128" s="2386"/>
      <c r="H128" s="2386"/>
      <c r="I128" s="2387"/>
      <c r="J128" s="2387"/>
      <c r="K128" s="2387"/>
      <c r="L128" s="2387"/>
      <c r="M128" s="2387"/>
      <c r="N128" s="2388"/>
      <c r="O128" s="2389"/>
      <c r="P128" s="2389"/>
      <c r="Q128" s="2389"/>
      <c r="R128" s="2388"/>
      <c r="S128" s="2388"/>
      <c r="T128" s="2388"/>
      <c r="U128" s="2388"/>
      <c r="V128" s="2388"/>
      <c r="W128" s="2389"/>
      <c r="X128" s="2389"/>
      <c r="Y128" s="2389"/>
      <c r="Z128" s="2388"/>
      <c r="AA128" s="2388"/>
      <c r="AB128" s="2388"/>
      <c r="AC128" s="2388"/>
      <c r="AD128" s="2388"/>
      <c r="AE128" s="2389"/>
      <c r="AF128" s="2389"/>
      <c r="AG128" s="2389"/>
      <c r="AH128" s="2388"/>
      <c r="AI128" s="2388"/>
      <c r="AJ128" s="2388"/>
      <c r="AK128" s="2388"/>
      <c r="AL128" s="2388"/>
      <c r="AM128" s="2382"/>
      <c r="AN128" s="2381"/>
      <c r="AO128" s="2382"/>
      <c r="AP128" s="2382"/>
      <c r="AQ128" s="2382"/>
      <c r="AR128" s="2176"/>
      <c r="AS128" s="2176"/>
      <c r="AT128" s="2176"/>
      <c r="AU128" s="2176"/>
      <c r="AV128" s="2176"/>
      <c r="AW128" s="2384"/>
      <c r="AX128" s="2182"/>
      <c r="AY128" s="4775"/>
    </row>
    <row r="129" spans="1:84" s="1333" customFormat="1" ht="36.75" thickBot="1">
      <c r="A129" s="2375"/>
      <c r="B129" s="2376"/>
      <c r="C129" s="2376"/>
      <c r="D129" s="2376"/>
      <c r="E129" s="2390" t="s">
        <v>647</v>
      </c>
      <c r="F129" s="2391">
        <f>SUM(F130:F132)</f>
        <v>1</v>
      </c>
      <c r="G129" s="4383">
        <f>SUM(G130:G132)</f>
        <v>1</v>
      </c>
      <c r="H129" s="2392">
        <f t="shared" ref="H129:AL129" si="190">SUM(H130:H132)</f>
        <v>1</v>
      </c>
      <c r="I129" s="2393">
        <f t="shared" si="190"/>
        <v>1</v>
      </c>
      <c r="J129" s="2394">
        <f t="shared" si="190"/>
        <v>1</v>
      </c>
      <c r="K129" s="2394">
        <f t="shared" si="190"/>
        <v>1</v>
      </c>
      <c r="L129" s="2394">
        <f t="shared" si="190"/>
        <v>1</v>
      </c>
      <c r="M129" s="2395">
        <f t="shared" si="190"/>
        <v>1</v>
      </c>
      <c r="N129" s="4393"/>
      <c r="O129" s="2391">
        <f>SUM(O130:O132)</f>
        <v>1</v>
      </c>
      <c r="P129" s="4383">
        <f>SUM(P130:P132)</f>
        <v>1</v>
      </c>
      <c r="Q129" s="2392">
        <f t="shared" si="190"/>
        <v>1</v>
      </c>
      <c r="R129" s="2393">
        <f t="shared" si="190"/>
        <v>1</v>
      </c>
      <c r="S129" s="2394">
        <f t="shared" si="190"/>
        <v>1</v>
      </c>
      <c r="T129" s="2394">
        <f t="shared" si="190"/>
        <v>1</v>
      </c>
      <c r="U129" s="2394">
        <f t="shared" si="190"/>
        <v>1</v>
      </c>
      <c r="V129" s="2396">
        <f t="shared" si="190"/>
        <v>1</v>
      </c>
      <c r="W129" s="2391">
        <f t="shared" ref="W129" si="191">SUM(W130:W132)</f>
        <v>1</v>
      </c>
      <c r="X129" s="4383">
        <f t="shared" si="190"/>
        <v>1</v>
      </c>
      <c r="Y129" s="2392">
        <f t="shared" si="190"/>
        <v>1</v>
      </c>
      <c r="Z129" s="2393">
        <f t="shared" si="190"/>
        <v>1</v>
      </c>
      <c r="AA129" s="2394">
        <f t="shared" si="190"/>
        <v>1</v>
      </c>
      <c r="AB129" s="2394">
        <f t="shared" si="190"/>
        <v>1</v>
      </c>
      <c r="AC129" s="2394">
        <f t="shared" si="190"/>
        <v>1</v>
      </c>
      <c r="AD129" s="2396">
        <f t="shared" si="190"/>
        <v>1</v>
      </c>
      <c r="AE129" s="2391">
        <f t="shared" ref="AE129" si="192">SUM(AE130:AE132)</f>
        <v>1</v>
      </c>
      <c r="AF129" s="4383">
        <f t="shared" si="190"/>
        <v>1</v>
      </c>
      <c r="AG129" s="2392">
        <f t="shared" si="190"/>
        <v>1</v>
      </c>
      <c r="AH129" s="2393">
        <f t="shared" si="190"/>
        <v>1</v>
      </c>
      <c r="AI129" s="2394">
        <f t="shared" si="190"/>
        <v>1</v>
      </c>
      <c r="AJ129" s="2394">
        <f t="shared" si="190"/>
        <v>1</v>
      </c>
      <c r="AK129" s="2394">
        <f t="shared" si="190"/>
        <v>1</v>
      </c>
      <c r="AL129" s="2396">
        <f t="shared" si="190"/>
        <v>1</v>
      </c>
      <c r="AM129" s="2397" t="s">
        <v>1</v>
      </c>
      <c r="AN129" s="2398" t="s">
        <v>2</v>
      </c>
      <c r="AO129" s="2332"/>
      <c r="AP129" s="2332"/>
      <c r="AQ129" s="2332"/>
      <c r="AR129" s="2333"/>
      <c r="AS129" s="2399"/>
      <c r="AT129" s="2335"/>
      <c r="AU129" s="2335"/>
      <c r="AV129" s="2335"/>
      <c r="AW129" s="2337"/>
      <c r="AX129" s="2182"/>
      <c r="AY129" s="4775"/>
    </row>
    <row r="130" spans="1:84">
      <c r="A130" s="2375"/>
      <c r="B130" s="2376"/>
      <c r="C130" s="2376"/>
      <c r="D130" s="2376"/>
      <c r="E130" s="2400" t="s">
        <v>398</v>
      </c>
      <c r="F130" s="2401">
        <f>IF('4. Отчет и прогн. потребление'!D9&gt;0,(1/SUM(IF('4. Отчет и прогн. потребление'!D9&gt;0,1,0),IF('4. Отчет и прогн. потребление'!D48&gt;0,1,0),IF('4. Отчет и прогн. потребление'!D53&gt;0,1,0))),0)</f>
        <v>0.33333333333333331</v>
      </c>
      <c r="G130" s="4384">
        <f>IF('4. Отчет и прогн. потребление'!D9&gt;0,(1/SUM(IF('4. Отчет и прогн. потребление'!D9&gt;0,1,0),IF('4. Отчет и прогн. потребление'!D48&gt;0,1,0),IF('4. Отчет и прогн. потребление'!D53&gt;0,1,0))),0)</f>
        <v>0.33333333333333331</v>
      </c>
      <c r="H130" s="2402">
        <f>IF('4. Отчет и прогн. потребление'!D9&gt;0,(1/SUM(IF('4. Отчет и прогн. потребление'!D9&gt;0,1,0),IF('4. Отчет и прогн. потребление'!D48&gt;0,1,0),IF('4. Отчет и прогн. потребление'!D53&gt;0,1,0))),0)</f>
        <v>0.33333333333333331</v>
      </c>
      <c r="I130" s="2403">
        <f>IF('4. Отчет и прогн. потребление'!E9&gt;0,(1/SUM(IF('4. Отчет и прогн. потребление'!E9&gt;0,1,0),IF('4. Отчет и прогн. потребление'!E48&gt;0,1,0),IF('4. Отчет и прогн. потребление'!E53&gt;0,1,0))),0)</f>
        <v>0.33333333333333331</v>
      </c>
      <c r="J130" s="2404">
        <f>IF('4. Отчет и прогн. потребление'!F9&gt;0,(1/SUM(IF('4. Отчет и прогн. потребление'!F9&gt;0,1,0),IF('4. Отчет и прогн. потребление'!F48&gt;0,1,0),IF('4. Отчет и прогн. потребление'!F53&gt;0,1,0))),0)</f>
        <v>0.33333333333333331</v>
      </c>
      <c r="K130" s="2404">
        <f>IF('4. Отчет и прогн. потребление'!G9&gt;0,(1/SUM(IF('4. Отчет и прогн. потребление'!G9&gt;0,1,0),IF('4. Отчет и прогн. потребление'!G48&gt;0,1,0),IF('4. Отчет и прогн. потребление'!G53&gt;0,1,0))),0)</f>
        <v>0.33333333333333331</v>
      </c>
      <c r="L130" s="2404">
        <f>IF('4. Отчет и прогн. потребление'!H9&gt;0,(1/SUM(IF('4. Отчет и прогн. потребление'!H9&gt;0,1,0),IF('4. Отчет и прогн. потребление'!H48&gt;0,1,0),IF('4. Отчет и прогн. потребление'!H53&gt;0,1,0))),0)</f>
        <v>0.33333333333333331</v>
      </c>
      <c r="M130" s="2405">
        <f>IF('4. Отчет и прогн. потребление'!I9&gt;0,(1/SUM(IF('4. Отчет и прогн. потребление'!I9&gt;0,1,0),IF('4. Отчет и прогн. потребление'!I48&gt;0,1,0),IF('4. Отчет и прогн. потребление'!I53&gt;0,1,0))),0)</f>
        <v>0.33333333333333331</v>
      </c>
      <c r="N130" s="4394"/>
      <c r="O130" s="2408">
        <f t="shared" ref="O130:V131" si="193">F130</f>
        <v>0.33333333333333331</v>
      </c>
      <c r="P130" s="2407">
        <f t="shared" si="193"/>
        <v>0.33333333333333331</v>
      </c>
      <c r="Q130" s="2406">
        <f t="shared" si="193"/>
        <v>0.33333333333333331</v>
      </c>
      <c r="R130" s="2407">
        <f t="shared" si="193"/>
        <v>0.33333333333333331</v>
      </c>
      <c r="S130" s="2405">
        <f t="shared" si="193"/>
        <v>0.33333333333333331</v>
      </c>
      <c r="T130" s="2405">
        <f t="shared" si="193"/>
        <v>0.33333333333333331</v>
      </c>
      <c r="U130" s="2405">
        <f t="shared" si="193"/>
        <v>0.33333333333333331</v>
      </c>
      <c r="V130" s="2405">
        <f t="shared" si="193"/>
        <v>0.33333333333333331</v>
      </c>
      <c r="W130" s="2408">
        <f t="shared" ref="W130:AD132" si="194">F130</f>
        <v>0.33333333333333331</v>
      </c>
      <c r="X130" s="2403">
        <f t="shared" si="194"/>
        <v>0.33333333333333331</v>
      </c>
      <c r="Y130" s="2405">
        <f t="shared" si="194"/>
        <v>0.33333333333333331</v>
      </c>
      <c r="Z130" s="2408">
        <f t="shared" si="194"/>
        <v>0.33333333333333331</v>
      </c>
      <c r="AA130" s="2405">
        <f t="shared" si="194"/>
        <v>0.33333333333333331</v>
      </c>
      <c r="AB130" s="2405">
        <f t="shared" si="194"/>
        <v>0.33333333333333331</v>
      </c>
      <c r="AC130" s="2405">
        <f t="shared" si="194"/>
        <v>0.33333333333333331</v>
      </c>
      <c r="AD130" s="2406">
        <f t="shared" si="194"/>
        <v>0.33333333333333331</v>
      </c>
      <c r="AE130" s="2408">
        <f t="shared" ref="AE130:AL132" si="195">F130</f>
        <v>0.33333333333333331</v>
      </c>
      <c r="AF130" s="2403">
        <f t="shared" si="195"/>
        <v>0.33333333333333331</v>
      </c>
      <c r="AG130" s="2405">
        <f t="shared" si="195"/>
        <v>0.33333333333333331</v>
      </c>
      <c r="AH130" s="2408">
        <f t="shared" si="195"/>
        <v>0.33333333333333331</v>
      </c>
      <c r="AI130" s="2405">
        <f t="shared" si="195"/>
        <v>0.33333333333333331</v>
      </c>
      <c r="AJ130" s="2405">
        <f t="shared" si="195"/>
        <v>0.33333333333333331</v>
      </c>
      <c r="AK130" s="2405">
        <f t="shared" si="195"/>
        <v>0.33333333333333331</v>
      </c>
      <c r="AL130" s="2406">
        <f t="shared" si="195"/>
        <v>0.33333333333333331</v>
      </c>
      <c r="AM130" s="2409" t="s">
        <v>46</v>
      </c>
      <c r="AN130" s="2410" t="s">
        <v>827</v>
      </c>
      <c r="AO130" s="2411" t="s">
        <v>677</v>
      </c>
      <c r="AP130" s="2282">
        <f>SUM((AP16+AP22)-'2. Променливи'!E78*1000)</f>
        <v>-40000</v>
      </c>
      <c r="AQ130" s="4407"/>
      <c r="AR130" s="4405"/>
      <c r="AS130" s="2412">
        <f>SUM((AS16+AS22)-'2. Променливи'!F78*1000)</f>
        <v>-40000</v>
      </c>
      <c r="AT130" s="2413">
        <f>SUM((AT16+AT22)-'2. Променливи'!G78*1000)</f>
        <v>-41000</v>
      </c>
      <c r="AU130" s="2413">
        <f>SUM((AU16+AU22)-'2. Променливи'!H78*1000)</f>
        <v>-42000</v>
      </c>
      <c r="AV130" s="2413">
        <f>SUM((AV16+AV22)-'2. Променливи'!I78*1000)</f>
        <v>-42000</v>
      </c>
      <c r="AW130" s="2414">
        <f>SUM((AW16+AW22)-'2. Променливи'!J78*1000)</f>
        <v>-43000</v>
      </c>
      <c r="AX130" s="2182"/>
      <c r="AY130" s="4775"/>
    </row>
    <row r="131" spans="1:84" ht="24">
      <c r="A131" s="2375"/>
      <c r="B131" s="2376"/>
      <c r="C131" s="2376"/>
      <c r="D131" s="2376"/>
      <c r="E131" s="2410" t="s">
        <v>646</v>
      </c>
      <c r="F131" s="2415">
        <f>IF('4. Отчет и прогн. потребление'!D48&gt;0,(1/SUM(IF('4. Отчет и прогн. потребление'!D9&gt;0,1,0),IF('4. Отчет и прогн. потребление'!D48&gt;0,1,0),IF('4. Отчет и прогн. потребление'!D53&gt;0,1,0))),0)</f>
        <v>0.33333333333333331</v>
      </c>
      <c r="G131" s="4385">
        <f>IF('4. Отчет и прогн. потребление'!D48&gt;0,(1/SUM(IF('4. Отчет и прогн. потребление'!D9&gt;0,1,0),IF('4. Отчет и прогн. потребление'!D48&gt;0,1,0),IF('4. Отчет и прогн. потребление'!D53&gt;0,1,0))),0)</f>
        <v>0.33333333333333331</v>
      </c>
      <c r="H131" s="2416">
        <f>IF('4. Отчет и прогн. потребление'!D48&gt;0,(1/SUM(IF('4. Отчет и прогн. потребление'!D9&gt;0,1,0),IF('4. Отчет и прогн. потребление'!D48&gt;0,1,0),IF('4. Отчет и прогн. потребление'!D53&gt;0,1,0))),0)</f>
        <v>0.33333333333333331</v>
      </c>
      <c r="I131" s="2417">
        <f>IF('4. Отчет и прогн. потребление'!E48&gt;0,(1/SUM(IF('4. Отчет и прогн. потребление'!E9&gt;0,1,0),IF('4. Отчет и прогн. потребление'!E48&gt;0,1,0),IF('4. Отчет и прогн. потребление'!E53&gt;0,1,0))),0)</f>
        <v>0.33333333333333331</v>
      </c>
      <c r="J131" s="2418">
        <f>IF('4. Отчет и прогн. потребление'!F48&gt;0,(1/SUM(IF('4. Отчет и прогн. потребление'!F9&gt;0,1,0),IF('4. Отчет и прогн. потребление'!F48&gt;0,1,0),IF('4. Отчет и прогн. потребление'!F53&gt;0,1,0))),0)</f>
        <v>0.33333333333333331</v>
      </c>
      <c r="K131" s="2418">
        <f>IF('4. Отчет и прогн. потребление'!G48&gt;0,(1/SUM(IF('4. Отчет и прогн. потребление'!G9&gt;0,1,0),IF('4. Отчет и прогн. потребление'!G48&gt;0,1,0),IF('4. Отчет и прогн. потребление'!G53&gt;0,1,0))),0)</f>
        <v>0.33333333333333331</v>
      </c>
      <c r="L131" s="2418">
        <f>IF('4. Отчет и прогн. потребление'!H48&gt;0,(1/SUM(IF('4. Отчет и прогн. потребление'!H9&gt;0,1,0),IF('4. Отчет и прогн. потребление'!H48&gt;0,1,0),IF('4. Отчет и прогн. потребление'!H53&gt;0,1,0))),0)</f>
        <v>0.33333333333333331</v>
      </c>
      <c r="M131" s="2419">
        <f>IF('4. Отчет и прогн. потребление'!I48&gt;0,(1/SUM(IF('4. Отчет и прогн. потребление'!I9&gt;0,1,0),IF('4. Отчет и прогн. потребление'!I48&gt;0,1,0),IF('4. Отчет и прогн. потребление'!I53&gt;0,1,0))),0)</f>
        <v>0.33333333333333331</v>
      </c>
      <c r="N131" s="4395"/>
      <c r="O131" s="2422">
        <f t="shared" si="193"/>
        <v>0.33333333333333331</v>
      </c>
      <c r="P131" s="2421">
        <f t="shared" si="193"/>
        <v>0.33333333333333331</v>
      </c>
      <c r="Q131" s="2420">
        <f t="shared" si="193"/>
        <v>0.33333333333333331</v>
      </c>
      <c r="R131" s="2421">
        <f t="shared" si="193"/>
        <v>0.33333333333333331</v>
      </c>
      <c r="S131" s="2419">
        <f t="shared" si="193"/>
        <v>0.33333333333333331</v>
      </c>
      <c r="T131" s="2419">
        <f t="shared" si="193"/>
        <v>0.33333333333333331</v>
      </c>
      <c r="U131" s="2419">
        <f t="shared" si="193"/>
        <v>0.33333333333333331</v>
      </c>
      <c r="V131" s="2419">
        <f t="shared" si="193"/>
        <v>0.33333333333333331</v>
      </c>
      <c r="W131" s="2422">
        <f t="shared" si="194"/>
        <v>0.33333333333333331</v>
      </c>
      <c r="X131" s="2417">
        <f t="shared" si="194"/>
        <v>0.33333333333333331</v>
      </c>
      <c r="Y131" s="2419">
        <f t="shared" si="194"/>
        <v>0.33333333333333331</v>
      </c>
      <c r="Z131" s="2422">
        <f t="shared" si="194"/>
        <v>0.33333333333333331</v>
      </c>
      <c r="AA131" s="2419">
        <f t="shared" si="194"/>
        <v>0.33333333333333331</v>
      </c>
      <c r="AB131" s="2419">
        <f t="shared" si="194"/>
        <v>0.33333333333333331</v>
      </c>
      <c r="AC131" s="2419">
        <f t="shared" si="194"/>
        <v>0.33333333333333331</v>
      </c>
      <c r="AD131" s="2420">
        <f t="shared" si="194"/>
        <v>0.33333333333333331</v>
      </c>
      <c r="AE131" s="2422">
        <f t="shared" si="195"/>
        <v>0.33333333333333331</v>
      </c>
      <c r="AF131" s="2417">
        <f t="shared" si="195"/>
        <v>0.33333333333333331</v>
      </c>
      <c r="AG131" s="2419">
        <f t="shared" si="195"/>
        <v>0.33333333333333331</v>
      </c>
      <c r="AH131" s="2422">
        <f t="shared" si="195"/>
        <v>0.33333333333333331</v>
      </c>
      <c r="AI131" s="2419">
        <f t="shared" si="195"/>
        <v>0.33333333333333331</v>
      </c>
      <c r="AJ131" s="2419">
        <f t="shared" si="195"/>
        <v>0.33333333333333331</v>
      </c>
      <c r="AK131" s="2419">
        <f t="shared" si="195"/>
        <v>0.33333333333333331</v>
      </c>
      <c r="AL131" s="2420">
        <f t="shared" si="195"/>
        <v>0.33333333333333331</v>
      </c>
      <c r="AM131" s="2423" t="s">
        <v>742</v>
      </c>
      <c r="AN131" s="2410" t="s">
        <v>1334</v>
      </c>
      <c r="AO131" s="2411" t="s">
        <v>676</v>
      </c>
      <c r="AP131" s="2424"/>
      <c r="AQ131" s="4407"/>
      <c r="AR131" s="4405"/>
      <c r="AS131" s="2425"/>
      <c r="AT131" s="2426">
        <f>SUM(AT26-('2. Променливи'!G73-'2. Променливи'!F73))</f>
        <v>-5</v>
      </c>
      <c r="AU131" s="2426">
        <f>SUM(AU26-('2. Променливи'!H73-'2. Променливи'!G73))</f>
        <v>-10</v>
      </c>
      <c r="AV131" s="2426">
        <f>SUM(AV26-('2. Променливи'!I73-'2. Променливи'!H73))</f>
        <v>-5</v>
      </c>
      <c r="AW131" s="2427">
        <f>SUM(AW26-('2. Променливи'!J73-'2. Променливи'!I73))</f>
        <v>-18</v>
      </c>
      <c r="AX131" s="2182"/>
      <c r="AY131" s="4775"/>
    </row>
    <row r="132" spans="1:84" ht="13.5" thickBot="1">
      <c r="A132" s="2375"/>
      <c r="B132" s="2376"/>
      <c r="C132" s="2376"/>
      <c r="D132" s="2376"/>
      <c r="E132" s="2428" t="s">
        <v>399</v>
      </c>
      <c r="F132" s="2429">
        <f>IF('4. Отчет и прогн. потребление'!D53&gt;0,(1/SUM(IF('4. Отчет и прогн. потребление'!D9&gt;0,1,0),IF('4. Отчет и прогн. потребление'!D48&gt;0,1,0),IF('4. Отчет и прогн. потребление'!D53&gt;0,1,0))),0)</f>
        <v>0.33333333333333331</v>
      </c>
      <c r="G132" s="4386">
        <f>IF('4. Отчет и прогн. потребление'!D53&gt;0,(1/SUM(IF('4. Отчет и прогн. потребление'!D9&gt;0,1,0),IF('4. Отчет и прогн. потребление'!D48&gt;0,1,0),IF('4. Отчет и прогн. потребление'!D53&gt;0,1,0))),0)</f>
        <v>0.33333333333333331</v>
      </c>
      <c r="H132" s="2430">
        <f>IF('4. Отчет и прогн. потребление'!D53&gt;0,(1/SUM(IF('4. Отчет и прогн. потребление'!D9&gt;0,1,0),IF('4. Отчет и прогн. потребление'!D48&gt;0,1,0),IF('4. Отчет и прогн. потребление'!D53&gt;0,1,0))),0)</f>
        <v>0.33333333333333331</v>
      </c>
      <c r="I132" s="2430">
        <f>IF('4. Отчет и прогн. потребление'!E53&gt;0,(1/SUM(IF('4. Отчет и прогн. потребление'!E9&gt;0,1,0),IF('4. Отчет и прогн. потребление'!E48&gt;0,1,0),IF('4. Отчет и прогн. потребление'!E53&gt;0,1,0))),0)</f>
        <v>0.33333333333333331</v>
      </c>
      <c r="J132" s="2431">
        <f>IF('4. Отчет и прогн. потребление'!F53&gt;0,(1/SUM(IF('4. Отчет и прогн. потребление'!F9&gt;0,1,0),IF('4. Отчет и прогн. потребление'!F48&gt;0,1,0),IF('4. Отчет и прогн. потребление'!F53&gt;0,1,0))),0)</f>
        <v>0.33333333333333331</v>
      </c>
      <c r="K132" s="2431">
        <f>IF('4. Отчет и прогн. потребление'!G53&gt;0,(1/SUM(IF('4. Отчет и прогн. потребление'!G9&gt;0,1,0),IF('4. Отчет и прогн. потребление'!G48&gt;0,1,0),IF('4. Отчет и прогн. потребление'!G53&gt;0,1,0))),0)</f>
        <v>0.33333333333333331</v>
      </c>
      <c r="L132" s="2431">
        <f>IF('4. Отчет и прогн. потребление'!H53&gt;0,(1/SUM(IF('4. Отчет и прогн. потребление'!H9&gt;0,1,0),IF('4. Отчет и прогн. потребление'!H48&gt;0,1,0),IF('4. Отчет и прогн. потребление'!H53&gt;0,1,0))),0)</f>
        <v>0.33333333333333331</v>
      </c>
      <c r="M132" s="2432">
        <f>IF('4. Отчет и прогн. потребление'!I53&gt;0,(1/SUM(IF('4. Отчет и прогн. потребление'!I9&gt;0,1,0),IF('4. Отчет и прогн. потребление'!I48&gt;0,1,0),IF('4. Отчет и прогн. потребление'!I53&gt;0,1,0))),0)</f>
        <v>0.33333333333333331</v>
      </c>
      <c r="N132" s="4396"/>
      <c r="O132" s="2435">
        <f t="shared" ref="O132:P132" si="196">F132</f>
        <v>0.33333333333333331</v>
      </c>
      <c r="P132" s="2434">
        <f t="shared" si="196"/>
        <v>0.33333333333333331</v>
      </c>
      <c r="Q132" s="2433">
        <f t="shared" ref="Q132:V132" si="197">H132</f>
        <v>0.33333333333333331</v>
      </c>
      <c r="R132" s="2434">
        <f t="shared" si="197"/>
        <v>0.33333333333333331</v>
      </c>
      <c r="S132" s="2432">
        <f t="shared" si="197"/>
        <v>0.33333333333333331</v>
      </c>
      <c r="T132" s="2432">
        <f t="shared" si="197"/>
        <v>0.33333333333333331</v>
      </c>
      <c r="U132" s="2432">
        <f t="shared" si="197"/>
        <v>0.33333333333333331</v>
      </c>
      <c r="V132" s="2432">
        <f t="shared" si="197"/>
        <v>0.33333333333333331</v>
      </c>
      <c r="W132" s="2435">
        <f t="shared" si="194"/>
        <v>0.33333333333333331</v>
      </c>
      <c r="X132" s="2430">
        <f t="shared" si="194"/>
        <v>0.33333333333333331</v>
      </c>
      <c r="Y132" s="2432">
        <f t="shared" si="194"/>
        <v>0.33333333333333331</v>
      </c>
      <c r="Z132" s="2435">
        <f t="shared" si="194"/>
        <v>0.33333333333333331</v>
      </c>
      <c r="AA132" s="2432">
        <f t="shared" si="194"/>
        <v>0.33333333333333331</v>
      </c>
      <c r="AB132" s="2432">
        <f t="shared" si="194"/>
        <v>0.33333333333333331</v>
      </c>
      <c r="AC132" s="2432">
        <f t="shared" si="194"/>
        <v>0.33333333333333331</v>
      </c>
      <c r="AD132" s="2433">
        <f t="shared" si="194"/>
        <v>0.33333333333333331</v>
      </c>
      <c r="AE132" s="2435">
        <f t="shared" si="195"/>
        <v>0.33333333333333331</v>
      </c>
      <c r="AF132" s="2430">
        <f t="shared" si="195"/>
        <v>0.33333333333333331</v>
      </c>
      <c r="AG132" s="2432">
        <f t="shared" si="195"/>
        <v>0.33333333333333331</v>
      </c>
      <c r="AH132" s="2435">
        <f t="shared" si="195"/>
        <v>0.33333333333333331</v>
      </c>
      <c r="AI132" s="2432">
        <f t="shared" si="195"/>
        <v>0.33333333333333331</v>
      </c>
      <c r="AJ132" s="2432">
        <f t="shared" si="195"/>
        <v>0.33333333333333331</v>
      </c>
      <c r="AK132" s="2432">
        <f t="shared" si="195"/>
        <v>0.33333333333333331</v>
      </c>
      <c r="AL132" s="2433">
        <f t="shared" si="195"/>
        <v>0.33333333333333331</v>
      </c>
      <c r="AM132" s="2436" t="s">
        <v>46</v>
      </c>
      <c r="AN132" s="2428" t="s">
        <v>1333</v>
      </c>
      <c r="AO132" s="2437" t="s">
        <v>677</v>
      </c>
      <c r="AP132" s="2437">
        <f>(AP78+AP84)-'2. Променливи'!E130*1000</f>
        <v>0</v>
      </c>
      <c r="AQ132" s="4408"/>
      <c r="AR132" s="4406"/>
      <c r="AS132" s="2438">
        <f>(AS78+AS84)-'2. Променливи'!F130</f>
        <v>0</v>
      </c>
      <c r="AT132" s="2439">
        <f>(AT78+AT84)-'2. Променливи'!G130</f>
        <v>0</v>
      </c>
      <c r="AU132" s="2439">
        <f>(AU78+AU84)-'2. Променливи'!H130</f>
        <v>0</v>
      </c>
      <c r="AV132" s="2439">
        <f>(AV78+AV84)-'2. Променливи'!I130</f>
        <v>0</v>
      </c>
      <c r="AW132" s="2440">
        <f>(AW78+AW84)-'2. Променливи'!J130</f>
        <v>0</v>
      </c>
      <c r="AX132" s="2182"/>
      <c r="AY132" s="4775"/>
    </row>
    <row r="133" spans="1:84" ht="13.5" thickBot="1">
      <c r="A133" s="2375"/>
      <c r="B133" s="2376"/>
      <c r="C133" s="2376"/>
      <c r="D133" s="2376"/>
      <c r="E133" s="2385"/>
      <c r="F133" s="2386"/>
      <c r="G133" s="2386"/>
      <c r="H133" s="2386"/>
      <c r="I133" s="2387"/>
      <c r="J133" s="2387"/>
      <c r="K133" s="2387"/>
      <c r="L133" s="2387"/>
      <c r="M133" s="2441"/>
      <c r="N133" s="2441"/>
      <c r="O133" s="2386"/>
      <c r="P133" s="2386"/>
      <c r="Q133" s="2386"/>
      <c r="R133" s="2387"/>
      <c r="S133" s="2387"/>
      <c r="T133" s="2387"/>
      <c r="U133" s="2387"/>
      <c r="V133" s="2441"/>
      <c r="W133" s="2442"/>
      <c r="X133" s="2442"/>
      <c r="Y133" s="2442"/>
      <c r="Z133" s="2441"/>
      <c r="AA133" s="2441"/>
      <c r="AB133" s="2441"/>
      <c r="AC133" s="2441"/>
      <c r="AD133" s="2441"/>
      <c r="AE133" s="2381"/>
      <c r="AF133" s="2381"/>
      <c r="AG133" s="2381"/>
      <c r="AH133" s="2381"/>
      <c r="AI133" s="2381"/>
      <c r="AJ133" s="2381"/>
      <c r="AK133" s="2381"/>
      <c r="AL133" s="2381"/>
      <c r="AM133" s="2381"/>
      <c r="AN133" s="2381"/>
      <c r="AO133" s="2381"/>
      <c r="AP133" s="2381"/>
      <c r="AQ133" s="2381"/>
      <c r="AR133" s="2381"/>
      <c r="AS133" s="2381"/>
      <c r="AT133" s="2381"/>
      <c r="AU133" s="2381"/>
      <c r="AV133" s="2381"/>
      <c r="AW133" s="2381"/>
      <c r="AX133" s="2182"/>
      <c r="AY133" s="4775"/>
    </row>
    <row r="134" spans="1:84" ht="24">
      <c r="A134" s="2375"/>
      <c r="B134" s="2376"/>
      <c r="C134" s="2376"/>
      <c r="D134" s="2376"/>
      <c r="E134" s="2443" t="s">
        <v>400</v>
      </c>
      <c r="F134" s="2332">
        <f t="shared" ref="F134" si="198">F57+F60</f>
        <v>430</v>
      </c>
      <c r="G134" s="4387">
        <f t="shared" ref="G134:M134" si="199">G57+G60</f>
        <v>1360</v>
      </c>
      <c r="H134" s="2333">
        <f>H57+H60</f>
        <v>320</v>
      </c>
      <c r="I134" s="2334">
        <f t="shared" si="199"/>
        <v>250</v>
      </c>
      <c r="J134" s="2335">
        <f t="shared" si="199"/>
        <v>200</v>
      </c>
      <c r="K134" s="2335">
        <f t="shared" si="199"/>
        <v>385</v>
      </c>
      <c r="L134" s="2335">
        <f t="shared" si="199"/>
        <v>150</v>
      </c>
      <c r="M134" s="2336">
        <f t="shared" si="199"/>
        <v>210</v>
      </c>
      <c r="N134" s="2444">
        <f t="shared" ref="N134:N157" si="200">SUM(I134:M134)</f>
        <v>1195</v>
      </c>
      <c r="O134" s="2332">
        <f t="shared" ref="O134" si="201">O57+O60</f>
        <v>430</v>
      </c>
      <c r="P134" s="4387">
        <f t="shared" ref="P134:AL134" si="202">P57+P60</f>
        <v>1360</v>
      </c>
      <c r="Q134" s="2333">
        <f t="shared" si="202"/>
        <v>320</v>
      </c>
      <c r="R134" s="2334">
        <f t="shared" si="202"/>
        <v>250</v>
      </c>
      <c r="S134" s="2335">
        <f t="shared" si="202"/>
        <v>200</v>
      </c>
      <c r="T134" s="2335">
        <f t="shared" si="202"/>
        <v>385</v>
      </c>
      <c r="U134" s="2335">
        <f t="shared" si="202"/>
        <v>150</v>
      </c>
      <c r="V134" s="2337">
        <f t="shared" si="202"/>
        <v>210</v>
      </c>
      <c r="W134" s="2332">
        <f t="shared" ref="W134" si="203">W57+W60</f>
        <v>0</v>
      </c>
      <c r="X134" s="4387">
        <f t="shared" si="202"/>
        <v>0</v>
      </c>
      <c r="Y134" s="2333">
        <f t="shared" si="202"/>
        <v>0</v>
      </c>
      <c r="Z134" s="2399">
        <f t="shared" si="202"/>
        <v>0</v>
      </c>
      <c r="AA134" s="2335">
        <f t="shared" si="202"/>
        <v>0</v>
      </c>
      <c r="AB134" s="2335">
        <f t="shared" si="202"/>
        <v>0</v>
      </c>
      <c r="AC134" s="2335">
        <f t="shared" si="202"/>
        <v>0</v>
      </c>
      <c r="AD134" s="2337">
        <f t="shared" si="202"/>
        <v>0</v>
      </c>
      <c r="AE134" s="2332">
        <f t="shared" ref="AE134" si="204">AE57+AE60</f>
        <v>0</v>
      </c>
      <c r="AF134" s="4387">
        <f t="shared" si="202"/>
        <v>0</v>
      </c>
      <c r="AG134" s="2333">
        <f>AG57+AG60</f>
        <v>0</v>
      </c>
      <c r="AH134" s="2399">
        <f t="shared" si="202"/>
        <v>0</v>
      </c>
      <c r="AI134" s="2335">
        <f t="shared" si="202"/>
        <v>0</v>
      </c>
      <c r="AJ134" s="2335">
        <f t="shared" si="202"/>
        <v>0</v>
      </c>
      <c r="AK134" s="2335">
        <f t="shared" si="202"/>
        <v>0</v>
      </c>
      <c r="AL134" s="2337">
        <f t="shared" si="202"/>
        <v>0</v>
      </c>
      <c r="AM134" s="2381"/>
      <c r="AN134" s="2381"/>
      <c r="AO134" s="2381"/>
      <c r="AP134" s="2381"/>
      <c r="AQ134" s="2381"/>
      <c r="AR134" s="2381"/>
      <c r="AS134" s="2381"/>
      <c r="AT134" s="2381"/>
      <c r="AU134" s="2381"/>
      <c r="AV134" s="2381"/>
      <c r="AW134" s="2381"/>
      <c r="AX134" s="2182"/>
      <c r="AY134" s="4775"/>
      <c r="AZ134" s="4794">
        <f t="shared" ref="AZ134:AZ137" si="205">IFERROR(F134/$E$1,0)</f>
        <v>219.85550891437396</v>
      </c>
      <c r="BA134" s="4794">
        <f t="shared" ref="BA134:BA137" si="206">IFERROR(G134/$E$1,0)</f>
        <v>695.3569584268572</v>
      </c>
      <c r="BB134" s="4794">
        <f t="shared" ref="BB134:BB137" si="207">IFERROR(H134/$E$1,0)</f>
        <v>163.61340198278992</v>
      </c>
      <c r="BC134" s="4794">
        <f t="shared" ref="BC134:BC137" si="208">IFERROR(I134/$E$1,0)</f>
        <v>127.82297029905462</v>
      </c>
      <c r="BD134" s="4794">
        <f t="shared" ref="BD134:BD137" si="209">IFERROR(J134/$E$1,0)</f>
        <v>102.2583762392437</v>
      </c>
      <c r="BE134" s="4794">
        <f t="shared" ref="BE134:BE137" si="210">IFERROR(K134/$E$1,0)</f>
        <v>196.84737426054411</v>
      </c>
      <c r="BF134" s="4794">
        <f t="shared" ref="BF134:BF137" si="211">IFERROR(L134/$E$1,0)</f>
        <v>76.693782179432773</v>
      </c>
      <c r="BG134" s="4794">
        <f t="shared" ref="BG134:BG137" si="212">IFERROR(M134/$E$1,0)</f>
        <v>107.37129505120589</v>
      </c>
      <c r="BH134" s="4794">
        <f t="shared" ref="BH134:BH137" si="213">IFERROR(N134/$E$1,0)</f>
        <v>610.99379802948113</v>
      </c>
      <c r="BI134" s="4794">
        <f t="shared" ref="BI134:BI137" si="214">IFERROR(O134/$E$1,0)</f>
        <v>219.85550891437396</v>
      </c>
      <c r="BJ134" s="4794">
        <f t="shared" ref="BJ134:BJ137" si="215">IFERROR(P134/$E$1,0)</f>
        <v>695.3569584268572</v>
      </c>
      <c r="BK134" s="4794">
        <f t="shared" ref="BK134:BK137" si="216">IFERROR(Q134/$E$1,0)</f>
        <v>163.61340198278992</v>
      </c>
      <c r="BL134" s="4794">
        <f t="shared" ref="BL134:BL137" si="217">IFERROR(R134/$E$1,0)</f>
        <v>127.82297029905462</v>
      </c>
      <c r="BM134" s="4794">
        <f t="shared" ref="BM134:BM137" si="218">IFERROR(S134/$E$1,0)</f>
        <v>102.2583762392437</v>
      </c>
      <c r="BN134" s="4794">
        <f t="shared" ref="BN134:BN137" si="219">IFERROR(T134/$E$1,0)</f>
        <v>196.84737426054411</v>
      </c>
      <c r="BO134" s="4794">
        <f t="shared" ref="BO134:BO137" si="220">IFERROR(U134/$E$1,0)</f>
        <v>76.693782179432773</v>
      </c>
      <c r="BP134" s="4794">
        <f t="shared" ref="BP134:BP137" si="221">IFERROR(V134/$E$1,0)</f>
        <v>107.37129505120589</v>
      </c>
      <c r="BQ134" s="4794">
        <f t="shared" ref="BQ134:BQ137" si="222">IFERROR(W134/$E$1,0)</f>
        <v>0</v>
      </c>
      <c r="BR134" s="4794">
        <f t="shared" ref="BR134:BR137" si="223">IFERROR(X134/$E$1,0)</f>
        <v>0</v>
      </c>
      <c r="BS134" s="4794">
        <f t="shared" ref="BS134:BS137" si="224">IFERROR(Y134/$E$1,0)</f>
        <v>0</v>
      </c>
      <c r="BT134" s="4794">
        <f t="shared" ref="BT134:BT137" si="225">IFERROR(Z134/$E$1,0)</f>
        <v>0</v>
      </c>
      <c r="BU134" s="4794">
        <f t="shared" ref="BU134:BU137" si="226">IFERROR(AA134/$E$1,0)</f>
        <v>0</v>
      </c>
      <c r="BV134" s="4794">
        <f t="shared" ref="BV134:BV137" si="227">IFERROR(AB134/$E$1,0)</f>
        <v>0</v>
      </c>
      <c r="BW134" s="4794">
        <f t="shared" ref="BW134:BW137" si="228">IFERROR(AC134/$E$1,0)</f>
        <v>0</v>
      </c>
      <c r="BX134" s="4794">
        <f t="shared" ref="BX134:BX137" si="229">IFERROR(AD134/$E$1,0)</f>
        <v>0</v>
      </c>
      <c r="BY134" s="4794">
        <f t="shared" ref="BY134:BY137" si="230">IFERROR(AE134/$E$1,0)</f>
        <v>0</v>
      </c>
      <c r="BZ134" s="4794">
        <f t="shared" ref="BZ134:BZ137" si="231">IFERROR(AF134/$E$1,0)</f>
        <v>0</v>
      </c>
      <c r="CA134" s="4794">
        <f t="shared" ref="CA134:CA137" si="232">IFERROR(AG134/$E$1,0)</f>
        <v>0</v>
      </c>
      <c r="CB134" s="4794">
        <f t="shared" ref="CB134:CB137" si="233">IFERROR(AH134/$E$1,0)</f>
        <v>0</v>
      </c>
      <c r="CC134" s="4794">
        <f t="shared" ref="CC134:CC137" si="234">IFERROR(AI134/$E$1,0)</f>
        <v>0</v>
      </c>
      <c r="CD134" s="4794">
        <f t="shared" ref="CD134:CD137" si="235">IFERROR(AJ134/$E$1,0)</f>
        <v>0</v>
      </c>
      <c r="CE134" s="4794">
        <f t="shared" ref="CE134:CE137" si="236">IFERROR(AK134/$E$1,0)</f>
        <v>0</v>
      </c>
      <c r="CF134" s="4794">
        <f t="shared" ref="CF134:CF137" si="237">IFERROR(AL134/$E$1,0)</f>
        <v>0</v>
      </c>
    </row>
    <row r="135" spans="1:84" ht="24">
      <c r="A135" s="2375"/>
      <c r="B135" s="2376"/>
      <c r="C135" s="2376"/>
      <c r="D135" s="2376"/>
      <c r="E135" s="2410" t="s">
        <v>207</v>
      </c>
      <c r="F135" s="2445">
        <f t="shared" ref="F135" si="238">F130*F$134</f>
        <v>143.33333333333331</v>
      </c>
      <c r="G135" s="4388">
        <f t="shared" ref="G135:M137" si="239">G130*G$134</f>
        <v>453.33333333333331</v>
      </c>
      <c r="H135" s="2446">
        <f>H130*H$134</f>
        <v>106.66666666666666</v>
      </c>
      <c r="I135" s="2447">
        <f>I130*I$134</f>
        <v>83.333333333333329</v>
      </c>
      <c r="J135" s="2448">
        <f t="shared" si="239"/>
        <v>66.666666666666657</v>
      </c>
      <c r="K135" s="2448">
        <f t="shared" si="239"/>
        <v>128.33333333333331</v>
      </c>
      <c r="L135" s="2448">
        <f t="shared" si="239"/>
        <v>50</v>
      </c>
      <c r="M135" s="2449">
        <f t="shared" si="239"/>
        <v>70</v>
      </c>
      <c r="N135" s="2278">
        <f t="shared" si="200"/>
        <v>398.33333333333331</v>
      </c>
      <c r="O135" s="2411">
        <f t="shared" ref="O135:V137" si="240">F130*O$134</f>
        <v>143.33333333333331</v>
      </c>
      <c r="P135" s="2455">
        <f t="shared" si="240"/>
        <v>453.33333333333331</v>
      </c>
      <c r="Q135" s="2446">
        <f t="shared" si="240"/>
        <v>106.66666666666666</v>
      </c>
      <c r="R135" s="2450">
        <f t="shared" si="240"/>
        <v>83.333333333333329</v>
      </c>
      <c r="S135" s="2451">
        <f t="shared" si="240"/>
        <v>66.666666666666657</v>
      </c>
      <c r="T135" s="2451">
        <f t="shared" si="240"/>
        <v>128.33333333333331</v>
      </c>
      <c r="U135" s="2451">
        <f t="shared" si="240"/>
        <v>50</v>
      </c>
      <c r="V135" s="2452">
        <f t="shared" si="240"/>
        <v>70</v>
      </c>
      <c r="W135" s="2445">
        <f t="shared" ref="W135:AD137" si="241">F130*W$134</f>
        <v>0</v>
      </c>
      <c r="X135" s="4388">
        <f t="shared" si="241"/>
        <v>0</v>
      </c>
      <c r="Y135" s="2446">
        <f t="shared" si="241"/>
        <v>0</v>
      </c>
      <c r="Z135" s="2445">
        <f t="shared" si="241"/>
        <v>0</v>
      </c>
      <c r="AA135" s="2453">
        <f t="shared" si="241"/>
        <v>0</v>
      </c>
      <c r="AB135" s="2453">
        <f t="shared" si="241"/>
        <v>0</v>
      </c>
      <c r="AC135" s="2453">
        <f t="shared" si="241"/>
        <v>0</v>
      </c>
      <c r="AD135" s="2446">
        <f t="shared" si="241"/>
        <v>0</v>
      </c>
      <c r="AE135" s="2445">
        <f t="shared" ref="AE135:AL137" si="242">F130*AE$134</f>
        <v>0</v>
      </c>
      <c r="AF135" s="4388">
        <f t="shared" si="242"/>
        <v>0</v>
      </c>
      <c r="AG135" s="2446">
        <f t="shared" si="242"/>
        <v>0</v>
      </c>
      <c r="AH135" s="2445">
        <f t="shared" si="242"/>
        <v>0</v>
      </c>
      <c r="AI135" s="2453">
        <f t="shared" si="242"/>
        <v>0</v>
      </c>
      <c r="AJ135" s="2453">
        <f t="shared" si="242"/>
        <v>0</v>
      </c>
      <c r="AK135" s="2453">
        <f t="shared" si="242"/>
        <v>0</v>
      </c>
      <c r="AL135" s="2446">
        <f t="shared" si="242"/>
        <v>0</v>
      </c>
      <c r="AM135" s="2381"/>
      <c r="AN135" s="2381"/>
      <c r="AO135" s="2381"/>
      <c r="AP135" s="2381"/>
      <c r="AQ135" s="2381"/>
      <c r="AR135" s="2381"/>
      <c r="AS135" s="2381"/>
      <c r="AT135" s="2381"/>
      <c r="AU135" s="2381"/>
      <c r="AV135" s="2381"/>
      <c r="AW135" s="2381"/>
      <c r="AX135" s="2182"/>
      <c r="AY135" s="4775"/>
      <c r="AZ135" s="4794">
        <f t="shared" si="205"/>
        <v>73.285169638124643</v>
      </c>
      <c r="BA135" s="4794">
        <f t="shared" si="206"/>
        <v>231.78565280895236</v>
      </c>
      <c r="BB135" s="4794">
        <f t="shared" si="207"/>
        <v>54.537800660929967</v>
      </c>
      <c r="BC135" s="4794">
        <f t="shared" si="208"/>
        <v>42.607656766351539</v>
      </c>
      <c r="BD135" s="4794">
        <f t="shared" si="209"/>
        <v>34.086125413081227</v>
      </c>
      <c r="BE135" s="4794">
        <f t="shared" si="210"/>
        <v>65.615791420181367</v>
      </c>
      <c r="BF135" s="4794">
        <f t="shared" si="211"/>
        <v>25.564594059810926</v>
      </c>
      <c r="BG135" s="4794">
        <f t="shared" si="212"/>
        <v>35.790431683735292</v>
      </c>
      <c r="BH135" s="4794">
        <f t="shared" si="213"/>
        <v>203.66459934316035</v>
      </c>
      <c r="BI135" s="4794">
        <f t="shared" si="214"/>
        <v>73.285169638124643</v>
      </c>
      <c r="BJ135" s="4794">
        <f t="shared" si="215"/>
        <v>231.78565280895236</v>
      </c>
      <c r="BK135" s="4794">
        <f t="shared" si="216"/>
        <v>54.537800660929967</v>
      </c>
      <c r="BL135" s="4794">
        <f t="shared" si="217"/>
        <v>42.607656766351539</v>
      </c>
      <c r="BM135" s="4794">
        <f t="shared" si="218"/>
        <v>34.086125413081227</v>
      </c>
      <c r="BN135" s="4794">
        <f t="shared" si="219"/>
        <v>65.615791420181367</v>
      </c>
      <c r="BO135" s="4794">
        <f t="shared" si="220"/>
        <v>25.564594059810926</v>
      </c>
      <c r="BP135" s="4794">
        <f t="shared" si="221"/>
        <v>35.790431683735292</v>
      </c>
      <c r="BQ135" s="4794">
        <f t="shared" si="222"/>
        <v>0</v>
      </c>
      <c r="BR135" s="4794">
        <f t="shared" si="223"/>
        <v>0</v>
      </c>
      <c r="BS135" s="4794">
        <f t="shared" si="224"/>
        <v>0</v>
      </c>
      <c r="BT135" s="4794">
        <f t="shared" si="225"/>
        <v>0</v>
      </c>
      <c r="BU135" s="4794">
        <f t="shared" si="226"/>
        <v>0</v>
      </c>
      <c r="BV135" s="4794">
        <f t="shared" si="227"/>
        <v>0</v>
      </c>
      <c r="BW135" s="4794">
        <f t="shared" si="228"/>
        <v>0</v>
      </c>
      <c r="BX135" s="4794">
        <f t="shared" si="229"/>
        <v>0</v>
      </c>
      <c r="BY135" s="4794">
        <f t="shared" si="230"/>
        <v>0</v>
      </c>
      <c r="BZ135" s="4794">
        <f t="shared" si="231"/>
        <v>0</v>
      </c>
      <c r="CA135" s="4794">
        <f t="shared" si="232"/>
        <v>0</v>
      </c>
      <c r="CB135" s="4794">
        <f t="shared" si="233"/>
        <v>0</v>
      </c>
      <c r="CC135" s="4794">
        <f t="shared" si="234"/>
        <v>0</v>
      </c>
      <c r="CD135" s="4794">
        <f t="shared" si="235"/>
        <v>0</v>
      </c>
      <c r="CE135" s="4794">
        <f t="shared" si="236"/>
        <v>0</v>
      </c>
      <c r="CF135" s="4794">
        <f t="shared" si="237"/>
        <v>0</v>
      </c>
    </row>
    <row r="136" spans="1:84">
      <c r="A136" s="2375"/>
      <c r="B136" s="2376"/>
      <c r="C136" s="2376"/>
      <c r="D136" s="2376"/>
      <c r="E136" s="2410" t="s">
        <v>208</v>
      </c>
      <c r="F136" s="2411">
        <f>F131*F$134</f>
        <v>143.33333333333331</v>
      </c>
      <c r="G136" s="2455">
        <f>G131*G$134</f>
        <v>453.33333333333331</v>
      </c>
      <c r="H136" s="2446">
        <f t="shared" si="239"/>
        <v>106.66666666666666</v>
      </c>
      <c r="I136" s="2447">
        <f t="shared" si="239"/>
        <v>83.333333333333329</v>
      </c>
      <c r="J136" s="2448">
        <f t="shared" si="239"/>
        <v>66.666666666666657</v>
      </c>
      <c r="K136" s="2448">
        <f t="shared" si="239"/>
        <v>128.33333333333331</v>
      </c>
      <c r="L136" s="2448">
        <f t="shared" si="239"/>
        <v>50</v>
      </c>
      <c r="M136" s="2449">
        <f t="shared" si="239"/>
        <v>70</v>
      </c>
      <c r="N136" s="2278">
        <f t="shared" si="200"/>
        <v>398.33333333333331</v>
      </c>
      <c r="O136" s="2411">
        <f t="shared" si="240"/>
        <v>143.33333333333331</v>
      </c>
      <c r="P136" s="2455">
        <f t="shared" si="240"/>
        <v>453.33333333333331</v>
      </c>
      <c r="Q136" s="2454">
        <f t="shared" si="240"/>
        <v>106.66666666666666</v>
      </c>
      <c r="R136" s="2455">
        <f t="shared" si="240"/>
        <v>83.333333333333329</v>
      </c>
      <c r="S136" s="2456">
        <f t="shared" si="240"/>
        <v>66.666666666666657</v>
      </c>
      <c r="T136" s="2456">
        <f t="shared" si="240"/>
        <v>128.33333333333331</v>
      </c>
      <c r="U136" s="2456">
        <f t="shared" si="240"/>
        <v>50</v>
      </c>
      <c r="V136" s="2454">
        <f t="shared" si="240"/>
        <v>70</v>
      </c>
      <c r="W136" s="2411">
        <f t="shared" si="241"/>
        <v>0</v>
      </c>
      <c r="X136" s="2455">
        <f t="shared" si="241"/>
        <v>0</v>
      </c>
      <c r="Y136" s="2454">
        <f t="shared" si="241"/>
        <v>0</v>
      </c>
      <c r="Z136" s="2411">
        <f t="shared" si="241"/>
        <v>0</v>
      </c>
      <c r="AA136" s="2456">
        <f t="shared" si="241"/>
        <v>0</v>
      </c>
      <c r="AB136" s="2456">
        <f t="shared" si="241"/>
        <v>0</v>
      </c>
      <c r="AC136" s="2456">
        <f t="shared" si="241"/>
        <v>0</v>
      </c>
      <c r="AD136" s="2454">
        <f t="shared" si="241"/>
        <v>0</v>
      </c>
      <c r="AE136" s="2411">
        <f t="shared" si="242"/>
        <v>0</v>
      </c>
      <c r="AF136" s="2455">
        <f t="shared" si="242"/>
        <v>0</v>
      </c>
      <c r="AG136" s="2454">
        <f t="shared" si="242"/>
        <v>0</v>
      </c>
      <c r="AH136" s="2411">
        <f t="shared" si="242"/>
        <v>0</v>
      </c>
      <c r="AI136" s="2456">
        <f t="shared" si="242"/>
        <v>0</v>
      </c>
      <c r="AJ136" s="2456">
        <f t="shared" si="242"/>
        <v>0</v>
      </c>
      <c r="AK136" s="2456">
        <f t="shared" si="242"/>
        <v>0</v>
      </c>
      <c r="AL136" s="2454">
        <f t="shared" si="242"/>
        <v>0</v>
      </c>
      <c r="AM136" s="2382"/>
      <c r="AN136" s="2381"/>
      <c r="AO136" s="2382"/>
      <c r="AP136" s="2382"/>
      <c r="AQ136" s="2382"/>
      <c r="AR136" s="2176"/>
      <c r="AS136" s="2176"/>
      <c r="AT136" s="2176"/>
      <c r="AU136" s="2176"/>
      <c r="AV136" s="2176"/>
      <c r="AW136" s="2384"/>
      <c r="AX136" s="2182"/>
      <c r="AY136" s="4775"/>
      <c r="AZ136" s="4794">
        <f t="shared" si="205"/>
        <v>73.285169638124643</v>
      </c>
      <c r="BA136" s="4794">
        <f t="shared" si="206"/>
        <v>231.78565280895236</v>
      </c>
      <c r="BB136" s="4794">
        <f t="shared" si="207"/>
        <v>54.537800660929967</v>
      </c>
      <c r="BC136" s="4794">
        <f t="shared" si="208"/>
        <v>42.607656766351539</v>
      </c>
      <c r="BD136" s="4794">
        <f t="shared" si="209"/>
        <v>34.086125413081227</v>
      </c>
      <c r="BE136" s="4794">
        <f t="shared" si="210"/>
        <v>65.615791420181367</v>
      </c>
      <c r="BF136" s="4794">
        <f t="shared" si="211"/>
        <v>25.564594059810926</v>
      </c>
      <c r="BG136" s="4794">
        <f t="shared" si="212"/>
        <v>35.790431683735292</v>
      </c>
      <c r="BH136" s="4794">
        <f t="shared" si="213"/>
        <v>203.66459934316035</v>
      </c>
      <c r="BI136" s="4794">
        <f t="shared" si="214"/>
        <v>73.285169638124643</v>
      </c>
      <c r="BJ136" s="4794">
        <f t="shared" si="215"/>
        <v>231.78565280895236</v>
      </c>
      <c r="BK136" s="4794">
        <f t="shared" si="216"/>
        <v>54.537800660929967</v>
      </c>
      <c r="BL136" s="4794">
        <f t="shared" si="217"/>
        <v>42.607656766351539</v>
      </c>
      <c r="BM136" s="4794">
        <f t="shared" si="218"/>
        <v>34.086125413081227</v>
      </c>
      <c r="BN136" s="4794">
        <f t="shared" si="219"/>
        <v>65.615791420181367</v>
      </c>
      <c r="BO136" s="4794">
        <f t="shared" si="220"/>
        <v>25.564594059810926</v>
      </c>
      <c r="BP136" s="4794">
        <f t="shared" si="221"/>
        <v>35.790431683735292</v>
      </c>
      <c r="BQ136" s="4794">
        <f t="shared" si="222"/>
        <v>0</v>
      </c>
      <c r="BR136" s="4794">
        <f t="shared" si="223"/>
        <v>0</v>
      </c>
      <c r="BS136" s="4794">
        <f t="shared" si="224"/>
        <v>0</v>
      </c>
      <c r="BT136" s="4794">
        <f t="shared" si="225"/>
        <v>0</v>
      </c>
      <c r="BU136" s="4794">
        <f t="shared" si="226"/>
        <v>0</v>
      </c>
      <c r="BV136" s="4794">
        <f t="shared" si="227"/>
        <v>0</v>
      </c>
      <c r="BW136" s="4794">
        <f t="shared" si="228"/>
        <v>0</v>
      </c>
      <c r="BX136" s="4794">
        <f t="shared" si="229"/>
        <v>0</v>
      </c>
      <c r="BY136" s="4794">
        <f t="shared" si="230"/>
        <v>0</v>
      </c>
      <c r="BZ136" s="4794">
        <f t="shared" si="231"/>
        <v>0</v>
      </c>
      <c r="CA136" s="4794">
        <f t="shared" si="232"/>
        <v>0</v>
      </c>
      <c r="CB136" s="4794">
        <f t="shared" si="233"/>
        <v>0</v>
      </c>
      <c r="CC136" s="4794">
        <f t="shared" si="234"/>
        <v>0</v>
      </c>
      <c r="CD136" s="4794">
        <f t="shared" si="235"/>
        <v>0</v>
      </c>
      <c r="CE136" s="4794">
        <f t="shared" si="236"/>
        <v>0</v>
      </c>
      <c r="CF136" s="4794">
        <f t="shared" si="237"/>
        <v>0</v>
      </c>
    </row>
    <row r="137" spans="1:84" s="1334" customFormat="1" ht="13.5" thickBot="1">
      <c r="A137" s="2457"/>
      <c r="B137" s="2458"/>
      <c r="C137" s="2458"/>
      <c r="D137" s="2458"/>
      <c r="E137" s="2410" t="s">
        <v>209</v>
      </c>
      <c r="F137" s="2459">
        <f>F132*F$134</f>
        <v>143.33333333333331</v>
      </c>
      <c r="G137" s="2466">
        <f>G132*G$134</f>
        <v>453.33333333333331</v>
      </c>
      <c r="H137" s="2460">
        <f t="shared" si="239"/>
        <v>106.66666666666666</v>
      </c>
      <c r="I137" s="2461">
        <f t="shared" si="239"/>
        <v>83.333333333333329</v>
      </c>
      <c r="J137" s="2462">
        <f t="shared" si="239"/>
        <v>66.666666666666657</v>
      </c>
      <c r="K137" s="2462">
        <f t="shared" si="239"/>
        <v>128.33333333333331</v>
      </c>
      <c r="L137" s="2462">
        <f t="shared" si="239"/>
        <v>50</v>
      </c>
      <c r="M137" s="2463">
        <f t="shared" si="239"/>
        <v>70</v>
      </c>
      <c r="N137" s="2464">
        <f t="shared" si="200"/>
        <v>398.33333333333331</v>
      </c>
      <c r="O137" s="2459">
        <f t="shared" si="240"/>
        <v>143.33333333333331</v>
      </c>
      <c r="P137" s="2466">
        <f t="shared" si="240"/>
        <v>453.33333333333331</v>
      </c>
      <c r="Q137" s="2465">
        <f t="shared" si="240"/>
        <v>106.66666666666666</v>
      </c>
      <c r="R137" s="2466">
        <f t="shared" si="240"/>
        <v>83.333333333333329</v>
      </c>
      <c r="S137" s="2467">
        <f t="shared" si="240"/>
        <v>66.666666666666657</v>
      </c>
      <c r="T137" s="2467">
        <f t="shared" si="240"/>
        <v>128.33333333333331</v>
      </c>
      <c r="U137" s="2467">
        <f t="shared" si="240"/>
        <v>50</v>
      </c>
      <c r="V137" s="2465">
        <f t="shared" si="240"/>
        <v>70</v>
      </c>
      <c r="W137" s="2468">
        <f t="shared" si="241"/>
        <v>0</v>
      </c>
      <c r="X137" s="4404">
        <f t="shared" si="241"/>
        <v>0</v>
      </c>
      <c r="Y137" s="2460">
        <f t="shared" si="241"/>
        <v>0</v>
      </c>
      <c r="Z137" s="2468">
        <f t="shared" si="241"/>
        <v>0</v>
      </c>
      <c r="AA137" s="2469">
        <f t="shared" si="241"/>
        <v>0</v>
      </c>
      <c r="AB137" s="2469">
        <f t="shared" si="241"/>
        <v>0</v>
      </c>
      <c r="AC137" s="2469">
        <f t="shared" si="241"/>
        <v>0</v>
      </c>
      <c r="AD137" s="2460">
        <f t="shared" si="241"/>
        <v>0</v>
      </c>
      <c r="AE137" s="2468">
        <f t="shared" si="242"/>
        <v>0</v>
      </c>
      <c r="AF137" s="4404">
        <f t="shared" si="242"/>
        <v>0</v>
      </c>
      <c r="AG137" s="2460">
        <f t="shared" si="242"/>
        <v>0</v>
      </c>
      <c r="AH137" s="2468">
        <f t="shared" si="242"/>
        <v>0</v>
      </c>
      <c r="AI137" s="2469">
        <f t="shared" si="242"/>
        <v>0</v>
      </c>
      <c r="AJ137" s="2469">
        <f t="shared" si="242"/>
        <v>0</v>
      </c>
      <c r="AK137" s="2469">
        <f t="shared" si="242"/>
        <v>0</v>
      </c>
      <c r="AL137" s="2460">
        <f t="shared" si="242"/>
        <v>0</v>
      </c>
      <c r="AM137" s="2470"/>
      <c r="AN137" s="2471"/>
      <c r="AO137" s="2470"/>
      <c r="AP137" s="2470"/>
      <c r="AQ137" s="2470"/>
      <c r="AR137" s="2472"/>
      <c r="AS137" s="2472"/>
      <c r="AT137" s="2472"/>
      <c r="AU137" s="2472"/>
      <c r="AV137" s="2472"/>
      <c r="AW137" s="2473"/>
      <c r="AX137" s="2474"/>
      <c r="AY137" s="4775"/>
      <c r="AZ137" s="4794">
        <f t="shared" si="205"/>
        <v>73.285169638124643</v>
      </c>
      <c r="BA137" s="4794">
        <f t="shared" si="206"/>
        <v>231.78565280895236</v>
      </c>
      <c r="BB137" s="4794">
        <f t="shared" si="207"/>
        <v>54.537800660929967</v>
      </c>
      <c r="BC137" s="4794">
        <f t="shared" si="208"/>
        <v>42.607656766351539</v>
      </c>
      <c r="BD137" s="4794">
        <f t="shared" si="209"/>
        <v>34.086125413081227</v>
      </c>
      <c r="BE137" s="4794">
        <f t="shared" si="210"/>
        <v>65.615791420181367</v>
      </c>
      <c r="BF137" s="4794">
        <f t="shared" si="211"/>
        <v>25.564594059810926</v>
      </c>
      <c r="BG137" s="4794">
        <f t="shared" si="212"/>
        <v>35.790431683735292</v>
      </c>
      <c r="BH137" s="4794">
        <f t="shared" si="213"/>
        <v>203.66459934316035</v>
      </c>
      <c r="BI137" s="4794">
        <f t="shared" si="214"/>
        <v>73.285169638124643</v>
      </c>
      <c r="BJ137" s="4794">
        <f t="shared" si="215"/>
        <v>231.78565280895236</v>
      </c>
      <c r="BK137" s="4794">
        <f t="shared" si="216"/>
        <v>54.537800660929967</v>
      </c>
      <c r="BL137" s="4794">
        <f t="shared" si="217"/>
        <v>42.607656766351539</v>
      </c>
      <c r="BM137" s="4794">
        <f t="shared" si="218"/>
        <v>34.086125413081227</v>
      </c>
      <c r="BN137" s="4794">
        <f t="shared" si="219"/>
        <v>65.615791420181367</v>
      </c>
      <c r="BO137" s="4794">
        <f t="shared" si="220"/>
        <v>25.564594059810926</v>
      </c>
      <c r="BP137" s="4794">
        <f t="shared" si="221"/>
        <v>35.790431683735292</v>
      </c>
      <c r="BQ137" s="4794">
        <f t="shared" si="222"/>
        <v>0</v>
      </c>
      <c r="BR137" s="4794">
        <f t="shared" si="223"/>
        <v>0</v>
      </c>
      <c r="BS137" s="4794">
        <f t="shared" si="224"/>
        <v>0</v>
      </c>
      <c r="BT137" s="4794">
        <f t="shared" si="225"/>
        <v>0</v>
      </c>
      <c r="BU137" s="4794">
        <f t="shared" si="226"/>
        <v>0</v>
      </c>
      <c r="BV137" s="4794">
        <f t="shared" si="227"/>
        <v>0</v>
      </c>
      <c r="BW137" s="4794">
        <f t="shared" si="228"/>
        <v>0</v>
      </c>
      <c r="BX137" s="4794">
        <f t="shared" si="229"/>
        <v>0</v>
      </c>
      <c r="BY137" s="4794">
        <f t="shared" si="230"/>
        <v>0</v>
      </c>
      <c r="BZ137" s="4794">
        <f t="shared" si="231"/>
        <v>0</v>
      </c>
      <c r="CA137" s="4794">
        <f t="shared" si="232"/>
        <v>0</v>
      </c>
      <c r="CB137" s="4794">
        <f t="shared" si="233"/>
        <v>0</v>
      </c>
      <c r="CC137" s="4794">
        <f t="shared" si="234"/>
        <v>0</v>
      </c>
      <c r="CD137" s="4794">
        <f t="shared" si="235"/>
        <v>0</v>
      </c>
      <c r="CE137" s="4794">
        <f t="shared" si="236"/>
        <v>0</v>
      </c>
      <c r="CF137" s="4794">
        <f t="shared" si="237"/>
        <v>0</v>
      </c>
    </row>
    <row r="138" spans="1:84" ht="13.5" thickBot="1">
      <c r="A138" s="2375"/>
      <c r="B138" s="2376"/>
      <c r="C138" s="2376"/>
      <c r="D138" s="2376"/>
      <c r="E138" s="2385"/>
      <c r="F138" s="2386"/>
      <c r="G138" s="2386"/>
      <c r="H138" s="2386"/>
      <c r="I138" s="2387"/>
      <c r="J138" s="2387"/>
      <c r="K138" s="2387"/>
      <c r="L138" s="2387"/>
      <c r="M138" s="2475"/>
      <c r="N138" s="2441"/>
      <c r="O138" s="2442"/>
      <c r="P138" s="2442"/>
      <c r="Q138" s="2442"/>
      <c r="R138" s="2441"/>
      <c r="S138" s="2441"/>
      <c r="T138" s="2441"/>
      <c r="U138" s="2441"/>
      <c r="V138" s="2441"/>
      <c r="W138" s="2442"/>
      <c r="X138" s="2442"/>
      <c r="Y138" s="2442"/>
      <c r="Z138" s="2441"/>
      <c r="AA138" s="2441"/>
      <c r="AB138" s="2441"/>
      <c r="AC138" s="2441"/>
      <c r="AD138" s="2441"/>
      <c r="AE138" s="2442"/>
      <c r="AF138" s="2442"/>
      <c r="AG138" s="2442"/>
      <c r="AH138" s="2441"/>
      <c r="AI138" s="2441"/>
      <c r="AJ138" s="2441"/>
      <c r="AK138" s="2441"/>
      <c r="AL138" s="2441"/>
      <c r="AM138" s="2382"/>
      <c r="AN138" s="2381"/>
      <c r="AO138" s="2382"/>
      <c r="AP138" s="4440" t="str">
        <f>'Приложение '!$B$82</f>
        <v>Дата: 15.04.2026 г.</v>
      </c>
      <c r="AQ138" s="2382"/>
      <c r="AR138" s="2176"/>
      <c r="AS138" s="2176"/>
      <c r="AT138" s="2176"/>
      <c r="AU138" s="2176"/>
      <c r="AV138" s="2176"/>
      <c r="AW138" s="2384"/>
      <c r="AX138" s="2182"/>
      <c r="AY138" s="4775"/>
    </row>
    <row r="139" spans="1:84" ht="24">
      <c r="A139" s="2375"/>
      <c r="B139" s="2376"/>
      <c r="C139" s="2376"/>
      <c r="D139" s="2376"/>
      <c r="E139" s="2476" t="s">
        <v>401</v>
      </c>
      <c r="F139" s="2480">
        <f>SUM(F140:F144)</f>
        <v>7999.9999999999991</v>
      </c>
      <c r="G139" s="2477">
        <f>SUM(G140:G144)</f>
        <v>10734.000000000002</v>
      </c>
      <c r="H139" s="2478">
        <f t="shared" ref="H139:M139" si="243">SUM(H140:H144)</f>
        <v>5307.0000000000009</v>
      </c>
      <c r="I139" s="2477">
        <f t="shared" si="243"/>
        <v>4247</v>
      </c>
      <c r="J139" s="2479">
        <f t="shared" si="243"/>
        <v>3549.9999999999995</v>
      </c>
      <c r="K139" s="2479">
        <f t="shared" si="243"/>
        <v>3760.0000000000005</v>
      </c>
      <c r="L139" s="2479">
        <f t="shared" si="243"/>
        <v>3770</v>
      </c>
      <c r="M139" s="2478">
        <f t="shared" si="243"/>
        <v>3535</v>
      </c>
      <c r="N139" s="2444">
        <f t="shared" si="200"/>
        <v>18862</v>
      </c>
      <c r="O139" s="2480">
        <f t="shared" ref="O139" si="244">SUM(O140:O144)</f>
        <v>6746.9999999999991</v>
      </c>
      <c r="P139" s="2477">
        <f t="shared" ref="P139:AL139" si="245">SUM(P140:P144)</f>
        <v>10301.000000000002</v>
      </c>
      <c r="Q139" s="2478">
        <f t="shared" si="245"/>
        <v>5307.0000000000009</v>
      </c>
      <c r="R139" s="2477">
        <f t="shared" si="245"/>
        <v>4247</v>
      </c>
      <c r="S139" s="2479">
        <f t="shared" si="245"/>
        <v>3549.9999999999995</v>
      </c>
      <c r="T139" s="2479">
        <f t="shared" si="245"/>
        <v>3760.0000000000005</v>
      </c>
      <c r="U139" s="2479">
        <f t="shared" si="245"/>
        <v>3770</v>
      </c>
      <c r="V139" s="2478">
        <f t="shared" si="245"/>
        <v>3535</v>
      </c>
      <c r="W139" s="2480">
        <f t="shared" ref="W139" si="246">SUM(W140:W144)</f>
        <v>1253</v>
      </c>
      <c r="X139" s="2477">
        <f t="shared" si="245"/>
        <v>433</v>
      </c>
      <c r="Y139" s="2478">
        <f t="shared" si="245"/>
        <v>0</v>
      </c>
      <c r="Z139" s="2477">
        <f t="shared" si="245"/>
        <v>0</v>
      </c>
      <c r="AA139" s="2479">
        <f t="shared" si="245"/>
        <v>0</v>
      </c>
      <c r="AB139" s="2479">
        <f t="shared" si="245"/>
        <v>0</v>
      </c>
      <c r="AC139" s="2479">
        <f t="shared" si="245"/>
        <v>0</v>
      </c>
      <c r="AD139" s="2478">
        <f t="shared" si="245"/>
        <v>0</v>
      </c>
      <c r="AE139" s="2480">
        <f t="shared" ref="AE139" si="247">SUM(AE140:AE144)</f>
        <v>0</v>
      </c>
      <c r="AF139" s="2477">
        <f t="shared" si="245"/>
        <v>0</v>
      </c>
      <c r="AG139" s="2478">
        <f t="shared" si="245"/>
        <v>0</v>
      </c>
      <c r="AH139" s="2477">
        <f t="shared" si="245"/>
        <v>0</v>
      </c>
      <c r="AI139" s="2479">
        <f t="shared" si="245"/>
        <v>0</v>
      </c>
      <c r="AJ139" s="2479">
        <f t="shared" si="245"/>
        <v>0</v>
      </c>
      <c r="AK139" s="2479">
        <f t="shared" si="245"/>
        <v>0</v>
      </c>
      <c r="AL139" s="2478">
        <f t="shared" si="245"/>
        <v>0</v>
      </c>
      <c r="AM139" s="2382"/>
      <c r="AN139" s="2485"/>
      <c r="AP139" s="2382"/>
      <c r="AQ139" s="2382"/>
      <c r="AR139" s="1293"/>
      <c r="AS139" s="2483"/>
      <c r="AT139" s="2486"/>
      <c r="AU139" s="2487"/>
      <c r="AV139" s="2388"/>
      <c r="AW139" s="2388"/>
      <c r="AX139" s="2382"/>
      <c r="AY139" s="4775"/>
      <c r="AZ139" s="4794">
        <f t="shared" ref="AZ139:AZ144" si="248">IFERROR(F139/$E$1,0)</f>
        <v>4090.3350495697473</v>
      </c>
      <c r="BA139" s="4794">
        <f t="shared" ref="BA139:BA144" si="249">IFERROR(G139/$E$1,0)</f>
        <v>5488.20705276021</v>
      </c>
      <c r="BB139" s="4794">
        <f t="shared" ref="BB139:BB144" si="250">IFERROR(H139/$E$1,0)</f>
        <v>2713.4260135083318</v>
      </c>
      <c r="BC139" s="4794">
        <f t="shared" ref="BC139:BC144" si="251">IFERROR(I139/$E$1,0)</f>
        <v>2171.4566194403401</v>
      </c>
      <c r="BD139" s="4794">
        <f t="shared" ref="BD139:BD144" si="252">IFERROR(J139/$E$1,0)</f>
        <v>1815.0861782465754</v>
      </c>
      <c r="BE139" s="4794">
        <f t="shared" ref="BE139:BE144" si="253">IFERROR(K139/$E$1,0)</f>
        <v>1922.4574732977817</v>
      </c>
      <c r="BF139" s="4794">
        <f t="shared" ref="BF139:BF144" si="254">IFERROR(L139/$E$1,0)</f>
        <v>1927.5703921097438</v>
      </c>
      <c r="BG139" s="4794">
        <f t="shared" ref="BG139:BG144" si="255">IFERROR(M139/$E$1,0)</f>
        <v>1807.4168000286325</v>
      </c>
      <c r="BH139" s="4794">
        <f t="shared" ref="BH139:BH144" si="256">IFERROR(N139/$E$1,0)</f>
        <v>9643.9874631230741</v>
      </c>
      <c r="BI139" s="4794">
        <f t="shared" ref="BI139:BI144" si="257">IFERROR(O139/$E$1,0)</f>
        <v>3449.6863224308859</v>
      </c>
      <c r="BJ139" s="4794">
        <f t="shared" ref="BJ139:BJ144" si="258">IFERROR(P139/$E$1,0)</f>
        <v>5266.8176682022477</v>
      </c>
      <c r="BK139" s="4794">
        <f t="shared" ref="BK139:BK144" si="259">IFERROR(Q139/$E$1,0)</f>
        <v>2713.4260135083318</v>
      </c>
      <c r="BL139" s="4794">
        <f t="shared" ref="BL139:BL144" si="260">IFERROR(R139/$E$1,0)</f>
        <v>2171.4566194403401</v>
      </c>
      <c r="BM139" s="4794">
        <f t="shared" ref="BM139:BM144" si="261">IFERROR(S139/$E$1,0)</f>
        <v>1815.0861782465754</v>
      </c>
      <c r="BN139" s="4794">
        <f t="shared" ref="BN139:BN144" si="262">IFERROR(T139/$E$1,0)</f>
        <v>1922.4574732977817</v>
      </c>
      <c r="BO139" s="4794">
        <f t="shared" ref="BO139:BO144" si="263">IFERROR(U139/$E$1,0)</f>
        <v>1927.5703921097438</v>
      </c>
      <c r="BP139" s="4794">
        <f t="shared" ref="BP139:BP144" si="264">IFERROR(V139/$E$1,0)</f>
        <v>1807.4168000286325</v>
      </c>
      <c r="BQ139" s="4794">
        <f t="shared" ref="BQ139:BQ144" si="265">IFERROR(W139/$E$1,0)</f>
        <v>640.64872713886177</v>
      </c>
      <c r="BR139" s="4794">
        <f t="shared" ref="BR139:BR144" si="266">IFERROR(X139/$E$1,0)</f>
        <v>221.38938455796261</v>
      </c>
      <c r="BS139" s="4794">
        <f t="shared" ref="BS139:BS144" si="267">IFERROR(Y139/$E$1,0)</f>
        <v>0</v>
      </c>
      <c r="BT139" s="4794">
        <f t="shared" ref="BT139:BT144" si="268">IFERROR(Z139/$E$1,0)</f>
        <v>0</v>
      </c>
      <c r="BU139" s="4794">
        <f t="shared" ref="BU139:BU144" si="269">IFERROR(AA139/$E$1,0)</f>
        <v>0</v>
      </c>
      <c r="BV139" s="4794">
        <f t="shared" ref="BV139:BV144" si="270">IFERROR(AB139/$E$1,0)</f>
        <v>0</v>
      </c>
      <c r="BW139" s="4794">
        <f t="shared" ref="BW139:BW144" si="271">IFERROR(AC139/$E$1,0)</f>
        <v>0</v>
      </c>
      <c r="BX139" s="4794">
        <f t="shared" ref="BX139:BX144" si="272">IFERROR(AD139/$E$1,0)</f>
        <v>0</v>
      </c>
      <c r="BY139" s="4794">
        <f t="shared" ref="BY139:BY144" si="273">IFERROR(AE139/$E$1,0)</f>
        <v>0</v>
      </c>
      <c r="BZ139" s="4794">
        <f t="shared" ref="BZ139:BZ144" si="274">IFERROR(AF139/$E$1,0)</f>
        <v>0</v>
      </c>
      <c r="CA139" s="4794">
        <f t="shared" ref="CA139:CA144" si="275">IFERROR(AG139/$E$1,0)</f>
        <v>0</v>
      </c>
      <c r="CB139" s="4794">
        <f t="shared" ref="CB139:CB144" si="276">IFERROR(AH139/$E$1,0)</f>
        <v>0</v>
      </c>
      <c r="CC139" s="4794">
        <f t="shared" ref="CC139:CC144" si="277">IFERROR(AI139/$E$1,0)</f>
        <v>0</v>
      </c>
      <c r="CD139" s="4794">
        <f t="shared" ref="CD139:CD144" si="278">IFERROR(AJ139/$E$1,0)</f>
        <v>0</v>
      </c>
      <c r="CE139" s="4794">
        <f t="shared" ref="CE139:CE144" si="279">IFERROR(AK139/$E$1,0)</f>
        <v>0</v>
      </c>
      <c r="CF139" s="4794">
        <f t="shared" ref="CF139:CF144" si="280">IFERROR(AL139/$E$1,0)</f>
        <v>0</v>
      </c>
    </row>
    <row r="140" spans="1:84" ht="24">
      <c r="A140" s="2375"/>
      <c r="B140" s="2376"/>
      <c r="C140" s="2376"/>
      <c r="D140" s="2376"/>
      <c r="E140" s="2481" t="str">
        <f>E135</f>
        <v>Доставяне на вода на потребителите</v>
      </c>
      <c r="F140" s="2518">
        <f>F11+F135</f>
        <v>7066.333333333333</v>
      </c>
      <c r="G140" s="2447">
        <f>G11+G135</f>
        <v>9264.3333333333339</v>
      </c>
      <c r="H140" s="2452">
        <f t="shared" ref="H140:M140" si="281">H11+H135</f>
        <v>4843.666666666667</v>
      </c>
      <c r="I140" s="2450">
        <f t="shared" si="281"/>
        <v>3735.3333333333335</v>
      </c>
      <c r="J140" s="2451">
        <f t="shared" si="281"/>
        <v>3096.6666666666665</v>
      </c>
      <c r="K140" s="2451">
        <f t="shared" si="281"/>
        <v>3193.3333333333335</v>
      </c>
      <c r="L140" s="2451">
        <f t="shared" si="281"/>
        <v>3340</v>
      </c>
      <c r="M140" s="2452">
        <f t="shared" si="281"/>
        <v>3095</v>
      </c>
      <c r="N140" s="2278">
        <f t="shared" si="200"/>
        <v>16460.333333333336</v>
      </c>
      <c r="O140" s="2482">
        <f t="shared" ref="O140" si="282">O11+O135</f>
        <v>5813.333333333333</v>
      </c>
      <c r="P140" s="2450">
        <f t="shared" ref="P140:AL140" si="283">P11+P135</f>
        <v>8831.3333333333339</v>
      </c>
      <c r="Q140" s="2452">
        <f t="shared" si="283"/>
        <v>4843.666666666667</v>
      </c>
      <c r="R140" s="2450">
        <f t="shared" si="283"/>
        <v>3735.3333333333335</v>
      </c>
      <c r="S140" s="2451">
        <f t="shared" si="283"/>
        <v>3096.6666666666665</v>
      </c>
      <c r="T140" s="2451">
        <f t="shared" si="283"/>
        <v>3193.3333333333335</v>
      </c>
      <c r="U140" s="2451">
        <f t="shared" si="283"/>
        <v>3340</v>
      </c>
      <c r="V140" s="2452">
        <f t="shared" si="283"/>
        <v>3095</v>
      </c>
      <c r="W140" s="2482">
        <f t="shared" ref="W140" si="284">W11+W135</f>
        <v>1253</v>
      </c>
      <c r="X140" s="2450">
        <f t="shared" si="283"/>
        <v>433</v>
      </c>
      <c r="Y140" s="2452">
        <f t="shared" si="283"/>
        <v>0</v>
      </c>
      <c r="Z140" s="2450">
        <f t="shared" si="283"/>
        <v>0</v>
      </c>
      <c r="AA140" s="2451">
        <f t="shared" si="283"/>
        <v>0</v>
      </c>
      <c r="AB140" s="2451">
        <f t="shared" si="283"/>
        <v>0</v>
      </c>
      <c r="AC140" s="2451">
        <f t="shared" si="283"/>
        <v>0</v>
      </c>
      <c r="AD140" s="2452">
        <f t="shared" si="283"/>
        <v>0</v>
      </c>
      <c r="AE140" s="2482">
        <f>AE11+AE135</f>
        <v>0</v>
      </c>
      <c r="AF140" s="2450">
        <f>AF11+AF135</f>
        <v>0</v>
      </c>
      <c r="AG140" s="2452">
        <f t="shared" si="283"/>
        <v>0</v>
      </c>
      <c r="AH140" s="2450">
        <f t="shared" si="283"/>
        <v>0</v>
      </c>
      <c r="AI140" s="2451">
        <f t="shared" si="283"/>
        <v>0</v>
      </c>
      <c r="AJ140" s="2451">
        <f t="shared" si="283"/>
        <v>0</v>
      </c>
      <c r="AK140" s="2451">
        <f t="shared" si="283"/>
        <v>0</v>
      </c>
      <c r="AL140" s="2452">
        <f t="shared" si="283"/>
        <v>0</v>
      </c>
      <c r="AM140" s="2178"/>
      <c r="AN140" s="2483"/>
      <c r="AP140" s="2484"/>
      <c r="AQ140" s="2484"/>
      <c r="AR140" s="2488"/>
      <c r="AS140" s="2489"/>
      <c r="AT140" s="2490"/>
      <c r="AU140" s="2487"/>
      <c r="AV140" s="2491"/>
      <c r="AW140" s="2492"/>
      <c r="AX140" s="2492"/>
      <c r="AY140" s="4775"/>
      <c r="AZ140" s="4794">
        <f t="shared" si="248"/>
        <v>3612.9588631595452</v>
      </c>
      <c r="BA140" s="4794">
        <f t="shared" si="249"/>
        <v>4736.7784180288336</v>
      </c>
      <c r="BB140" s="4794">
        <f t="shared" si="250"/>
        <v>2476.5274418874174</v>
      </c>
      <c r="BC140" s="4794">
        <f t="shared" si="251"/>
        <v>1909.8456068949415</v>
      </c>
      <c r="BD140" s="4794">
        <f t="shared" si="252"/>
        <v>1583.3005254376233</v>
      </c>
      <c r="BE140" s="4794">
        <f t="shared" si="253"/>
        <v>1632.7254072865912</v>
      </c>
      <c r="BF140" s="4794">
        <f t="shared" si="254"/>
        <v>1707.7148831953698</v>
      </c>
      <c r="BG140" s="4794">
        <f t="shared" si="255"/>
        <v>1582.4483723022963</v>
      </c>
      <c r="BH140" s="4794">
        <f t="shared" si="256"/>
        <v>8416.0347951168224</v>
      </c>
      <c r="BI140" s="4794">
        <f t="shared" si="257"/>
        <v>2972.3101360206833</v>
      </c>
      <c r="BJ140" s="4794">
        <f t="shared" si="258"/>
        <v>4515.3890334708713</v>
      </c>
      <c r="BK140" s="4794">
        <f t="shared" si="259"/>
        <v>2476.5274418874174</v>
      </c>
      <c r="BL140" s="4794">
        <f t="shared" si="260"/>
        <v>1909.8456068949415</v>
      </c>
      <c r="BM140" s="4794">
        <f t="shared" si="261"/>
        <v>1583.3005254376233</v>
      </c>
      <c r="BN140" s="4794">
        <f t="shared" si="262"/>
        <v>1632.7254072865912</v>
      </c>
      <c r="BO140" s="4794">
        <f t="shared" si="263"/>
        <v>1707.7148831953698</v>
      </c>
      <c r="BP140" s="4794">
        <f t="shared" si="264"/>
        <v>1582.4483723022963</v>
      </c>
      <c r="BQ140" s="4794">
        <f t="shared" si="265"/>
        <v>640.64872713886177</v>
      </c>
      <c r="BR140" s="4794">
        <f t="shared" si="266"/>
        <v>221.38938455796261</v>
      </c>
      <c r="BS140" s="4794">
        <f t="shared" si="267"/>
        <v>0</v>
      </c>
      <c r="BT140" s="4794">
        <f t="shared" si="268"/>
        <v>0</v>
      </c>
      <c r="BU140" s="4794">
        <f t="shared" si="269"/>
        <v>0</v>
      </c>
      <c r="BV140" s="4794">
        <f t="shared" si="270"/>
        <v>0</v>
      </c>
      <c r="BW140" s="4794">
        <f t="shared" si="271"/>
        <v>0</v>
      </c>
      <c r="BX140" s="4794">
        <f t="shared" si="272"/>
        <v>0</v>
      </c>
      <c r="BY140" s="4794">
        <f t="shared" si="273"/>
        <v>0</v>
      </c>
      <c r="BZ140" s="4794">
        <f t="shared" si="274"/>
        <v>0</v>
      </c>
      <c r="CA140" s="4794">
        <f t="shared" si="275"/>
        <v>0</v>
      </c>
      <c r="CB140" s="4794">
        <f t="shared" si="276"/>
        <v>0</v>
      </c>
      <c r="CC140" s="4794">
        <f t="shared" si="277"/>
        <v>0</v>
      </c>
      <c r="CD140" s="4794">
        <f t="shared" si="278"/>
        <v>0</v>
      </c>
      <c r="CE140" s="4794">
        <f t="shared" si="279"/>
        <v>0</v>
      </c>
      <c r="CF140" s="4794">
        <f t="shared" si="280"/>
        <v>0</v>
      </c>
    </row>
    <row r="141" spans="1:84">
      <c r="A141" s="2375"/>
      <c r="B141" s="2376"/>
      <c r="C141" s="2376"/>
      <c r="D141" s="2376"/>
      <c r="E141" s="2481" t="str">
        <f>E136</f>
        <v>Отвеждане на отпадъчните води</v>
      </c>
      <c r="F141" s="2518">
        <f>F36+F136</f>
        <v>605.33333333333326</v>
      </c>
      <c r="G141" s="2447">
        <f>G36+G136</f>
        <v>919.33333333333326</v>
      </c>
      <c r="H141" s="2452">
        <f t="shared" ref="H141:M141" si="285">H36+H136</f>
        <v>236.66666666666666</v>
      </c>
      <c r="I141" s="2450">
        <f t="shared" si="285"/>
        <v>258.33333333333331</v>
      </c>
      <c r="J141" s="2451">
        <f t="shared" si="285"/>
        <v>236.66666666666666</v>
      </c>
      <c r="K141" s="2451">
        <f t="shared" si="285"/>
        <v>298.33333333333331</v>
      </c>
      <c r="L141" s="2451">
        <f t="shared" si="285"/>
        <v>210</v>
      </c>
      <c r="M141" s="2452">
        <f t="shared" si="285"/>
        <v>230</v>
      </c>
      <c r="N141" s="2278">
        <f t="shared" si="200"/>
        <v>1233.3333333333333</v>
      </c>
      <c r="O141" s="2482">
        <f t="shared" ref="O141" si="286">O36+O136</f>
        <v>605.33333333333326</v>
      </c>
      <c r="P141" s="2450">
        <f t="shared" ref="P141:AL141" si="287">P36+P136</f>
        <v>919.33333333333326</v>
      </c>
      <c r="Q141" s="2452">
        <f t="shared" si="287"/>
        <v>236.66666666666666</v>
      </c>
      <c r="R141" s="2450">
        <f t="shared" si="287"/>
        <v>258.33333333333331</v>
      </c>
      <c r="S141" s="2451">
        <f t="shared" si="287"/>
        <v>236.66666666666666</v>
      </c>
      <c r="T141" s="2451">
        <f t="shared" si="287"/>
        <v>298.33333333333331</v>
      </c>
      <c r="U141" s="2451">
        <f t="shared" si="287"/>
        <v>210</v>
      </c>
      <c r="V141" s="2452">
        <f t="shared" si="287"/>
        <v>230</v>
      </c>
      <c r="W141" s="2482">
        <f t="shared" ref="W141" si="288">W36+W136</f>
        <v>0</v>
      </c>
      <c r="X141" s="2450">
        <f t="shared" si="287"/>
        <v>0</v>
      </c>
      <c r="Y141" s="2452">
        <f t="shared" si="287"/>
        <v>0</v>
      </c>
      <c r="Z141" s="2450">
        <f t="shared" si="287"/>
        <v>0</v>
      </c>
      <c r="AA141" s="2451">
        <f t="shared" si="287"/>
        <v>0</v>
      </c>
      <c r="AB141" s="2451">
        <f t="shared" si="287"/>
        <v>0</v>
      </c>
      <c r="AC141" s="2451">
        <f t="shared" si="287"/>
        <v>0</v>
      </c>
      <c r="AD141" s="2452">
        <f t="shared" si="287"/>
        <v>0</v>
      </c>
      <c r="AE141" s="2482">
        <f>AE36+AE136</f>
        <v>0</v>
      </c>
      <c r="AF141" s="2450">
        <f>AF36+AF136</f>
        <v>0</v>
      </c>
      <c r="AG141" s="2452">
        <f t="shared" si="287"/>
        <v>0</v>
      </c>
      <c r="AH141" s="2450">
        <f t="shared" si="287"/>
        <v>0</v>
      </c>
      <c r="AI141" s="2451">
        <f t="shared" si="287"/>
        <v>0</v>
      </c>
      <c r="AJ141" s="2451">
        <f t="shared" si="287"/>
        <v>0</v>
      </c>
      <c r="AK141" s="2451">
        <f t="shared" si="287"/>
        <v>0</v>
      </c>
      <c r="AL141" s="2452">
        <f t="shared" si="287"/>
        <v>0</v>
      </c>
      <c r="AP141" s="2541" t="s">
        <v>187</v>
      </c>
      <c r="AQ141" s="2529"/>
      <c r="AR141" s="2376"/>
      <c r="AS141" s="2376"/>
      <c r="AT141" s="2544"/>
      <c r="AU141" s="2545"/>
      <c r="AV141" s="2376"/>
      <c r="AW141" s="2375"/>
      <c r="AX141" s="2531"/>
      <c r="AY141" s="4775"/>
      <c r="AZ141" s="4794">
        <f t="shared" si="248"/>
        <v>309.50201875077755</v>
      </c>
      <c r="BA141" s="4794">
        <f t="shared" si="249"/>
        <v>470.04766944639016</v>
      </c>
      <c r="BB141" s="4794">
        <f t="shared" si="250"/>
        <v>121.00574521643837</v>
      </c>
      <c r="BC141" s="4794">
        <f t="shared" si="251"/>
        <v>132.08373597568976</v>
      </c>
      <c r="BD141" s="4794">
        <f t="shared" si="252"/>
        <v>121.00574521643837</v>
      </c>
      <c r="BE141" s="4794">
        <f t="shared" si="253"/>
        <v>152.53541122353852</v>
      </c>
      <c r="BF141" s="4794">
        <f t="shared" si="254"/>
        <v>107.37129505120589</v>
      </c>
      <c r="BG141" s="4794">
        <f t="shared" si="255"/>
        <v>117.59713267513025</v>
      </c>
      <c r="BH141" s="4794">
        <f t="shared" si="256"/>
        <v>630.59332014200277</v>
      </c>
      <c r="BI141" s="4794">
        <f t="shared" si="257"/>
        <v>309.50201875077755</v>
      </c>
      <c r="BJ141" s="4794">
        <f t="shared" si="258"/>
        <v>470.04766944639016</v>
      </c>
      <c r="BK141" s="4794">
        <f t="shared" si="259"/>
        <v>121.00574521643837</v>
      </c>
      <c r="BL141" s="4794">
        <f t="shared" si="260"/>
        <v>132.08373597568976</v>
      </c>
      <c r="BM141" s="4794">
        <f t="shared" si="261"/>
        <v>121.00574521643837</v>
      </c>
      <c r="BN141" s="4794">
        <f t="shared" si="262"/>
        <v>152.53541122353852</v>
      </c>
      <c r="BO141" s="4794">
        <f t="shared" si="263"/>
        <v>107.37129505120589</v>
      </c>
      <c r="BP141" s="4794">
        <f t="shared" si="264"/>
        <v>117.59713267513025</v>
      </c>
      <c r="BQ141" s="4794">
        <f t="shared" si="265"/>
        <v>0</v>
      </c>
      <c r="BR141" s="4794">
        <f t="shared" si="266"/>
        <v>0</v>
      </c>
      <c r="BS141" s="4794">
        <f t="shared" si="267"/>
        <v>0</v>
      </c>
      <c r="BT141" s="4794">
        <f t="shared" si="268"/>
        <v>0</v>
      </c>
      <c r="BU141" s="4794">
        <f t="shared" si="269"/>
        <v>0</v>
      </c>
      <c r="BV141" s="4794">
        <f t="shared" si="270"/>
        <v>0</v>
      </c>
      <c r="BW141" s="4794">
        <f t="shared" si="271"/>
        <v>0</v>
      </c>
      <c r="BX141" s="4794">
        <f t="shared" si="272"/>
        <v>0</v>
      </c>
      <c r="BY141" s="4794">
        <f t="shared" si="273"/>
        <v>0</v>
      </c>
      <c r="BZ141" s="4794">
        <f t="shared" si="274"/>
        <v>0</v>
      </c>
      <c r="CA141" s="4794">
        <f t="shared" si="275"/>
        <v>0</v>
      </c>
      <c r="CB141" s="4794">
        <f t="shared" si="276"/>
        <v>0</v>
      </c>
      <c r="CC141" s="4794">
        <f t="shared" si="277"/>
        <v>0</v>
      </c>
      <c r="CD141" s="4794">
        <f t="shared" si="278"/>
        <v>0</v>
      </c>
      <c r="CE141" s="4794">
        <f t="shared" si="279"/>
        <v>0</v>
      </c>
      <c r="CF141" s="4794">
        <f t="shared" si="280"/>
        <v>0</v>
      </c>
    </row>
    <row r="142" spans="1:84" s="1335" customFormat="1">
      <c r="A142" s="2457"/>
      <c r="B142" s="2458"/>
      <c r="C142" s="2458"/>
      <c r="D142" s="2458"/>
      <c r="E142" s="2481" t="str">
        <f>E137</f>
        <v>Пречистване на отпадъчните води</v>
      </c>
      <c r="F142" s="2482">
        <f>F48+F137</f>
        <v>328.33333333333331</v>
      </c>
      <c r="G142" s="2450">
        <f>G48+G137</f>
        <v>550.33333333333326</v>
      </c>
      <c r="H142" s="2452">
        <f t="shared" ref="H142:M142" si="289">H48+H137</f>
        <v>226.66666666666666</v>
      </c>
      <c r="I142" s="2450">
        <f t="shared" si="289"/>
        <v>253.33333333333331</v>
      </c>
      <c r="J142" s="2451">
        <f t="shared" si="289"/>
        <v>216.66666666666666</v>
      </c>
      <c r="K142" s="2451">
        <f t="shared" si="289"/>
        <v>268.33333333333331</v>
      </c>
      <c r="L142" s="2451">
        <f t="shared" si="289"/>
        <v>220</v>
      </c>
      <c r="M142" s="2452">
        <f t="shared" si="289"/>
        <v>210</v>
      </c>
      <c r="N142" s="2278">
        <f>SUM(I142:M142)</f>
        <v>1168.3333333333333</v>
      </c>
      <c r="O142" s="2482">
        <f t="shared" ref="O142" si="290">O48+O137</f>
        <v>328.33333333333331</v>
      </c>
      <c r="P142" s="2450">
        <f t="shared" ref="P142:AL142" si="291">P48+P137</f>
        <v>550.33333333333326</v>
      </c>
      <c r="Q142" s="2452">
        <f t="shared" si="291"/>
        <v>226.66666666666666</v>
      </c>
      <c r="R142" s="2450">
        <f t="shared" si="291"/>
        <v>253.33333333333331</v>
      </c>
      <c r="S142" s="2451">
        <f t="shared" si="291"/>
        <v>216.66666666666666</v>
      </c>
      <c r="T142" s="2451">
        <f t="shared" si="291"/>
        <v>268.33333333333331</v>
      </c>
      <c r="U142" s="2451">
        <f t="shared" si="291"/>
        <v>220</v>
      </c>
      <c r="V142" s="2452">
        <f t="shared" si="291"/>
        <v>210</v>
      </c>
      <c r="W142" s="2482">
        <f t="shared" ref="W142" si="292">W48+W137</f>
        <v>0</v>
      </c>
      <c r="X142" s="2450">
        <f t="shared" si="291"/>
        <v>0</v>
      </c>
      <c r="Y142" s="2452">
        <f t="shared" si="291"/>
        <v>0</v>
      </c>
      <c r="Z142" s="2450">
        <f t="shared" si="291"/>
        <v>0</v>
      </c>
      <c r="AA142" s="2451">
        <f t="shared" si="291"/>
        <v>0</v>
      </c>
      <c r="AB142" s="2451">
        <f t="shared" si="291"/>
        <v>0</v>
      </c>
      <c r="AC142" s="2451">
        <f t="shared" si="291"/>
        <v>0</v>
      </c>
      <c r="AD142" s="2452">
        <f t="shared" si="291"/>
        <v>0</v>
      </c>
      <c r="AE142" s="2482">
        <f>AE48+AE137</f>
        <v>0</v>
      </c>
      <c r="AF142" s="2450">
        <f>AF48+AF137</f>
        <v>0</v>
      </c>
      <c r="AG142" s="2452">
        <f t="shared" si="291"/>
        <v>0</v>
      </c>
      <c r="AH142" s="2450">
        <f t="shared" si="291"/>
        <v>0</v>
      </c>
      <c r="AI142" s="2451">
        <f t="shared" si="291"/>
        <v>0</v>
      </c>
      <c r="AJ142" s="2451">
        <f t="shared" si="291"/>
        <v>0</v>
      </c>
      <c r="AK142" s="2451">
        <f t="shared" si="291"/>
        <v>0</v>
      </c>
      <c r="AL142" s="2452">
        <f t="shared" si="291"/>
        <v>0</v>
      </c>
      <c r="AP142" s="5317" t="s">
        <v>188</v>
      </c>
      <c r="AQ142" s="5317"/>
      <c r="AR142" s="5317"/>
      <c r="AS142" s="5317"/>
      <c r="AT142" s="5317"/>
      <c r="AU142" s="5317"/>
      <c r="AV142" s="5317"/>
      <c r="AW142" s="5317"/>
      <c r="AX142" s="5317"/>
      <c r="AY142" s="4775"/>
      <c r="AZ142" s="4794">
        <f t="shared" si="248"/>
        <v>167.87416765942507</v>
      </c>
      <c r="BA142" s="4794">
        <f t="shared" si="249"/>
        <v>281.38096528498556</v>
      </c>
      <c r="BB142" s="4794">
        <f t="shared" si="250"/>
        <v>115.89282640447618</v>
      </c>
      <c r="BC142" s="4794">
        <f t="shared" si="251"/>
        <v>129.52727656970868</v>
      </c>
      <c r="BD142" s="4794">
        <f t="shared" si="252"/>
        <v>110.77990759251401</v>
      </c>
      <c r="BE142" s="4794">
        <f t="shared" si="253"/>
        <v>137.19665478765197</v>
      </c>
      <c r="BF142" s="4794">
        <f t="shared" si="254"/>
        <v>112.48421386316807</v>
      </c>
      <c r="BG142" s="4794">
        <f t="shared" si="255"/>
        <v>107.37129505120589</v>
      </c>
      <c r="BH142" s="4794">
        <f t="shared" si="256"/>
        <v>597.35934786424855</v>
      </c>
      <c r="BI142" s="4794">
        <f t="shared" si="257"/>
        <v>167.87416765942507</v>
      </c>
      <c r="BJ142" s="4794">
        <f t="shared" si="258"/>
        <v>281.38096528498556</v>
      </c>
      <c r="BK142" s="4794">
        <f t="shared" si="259"/>
        <v>115.89282640447618</v>
      </c>
      <c r="BL142" s="4794">
        <f t="shared" si="260"/>
        <v>129.52727656970868</v>
      </c>
      <c r="BM142" s="4794">
        <f t="shared" si="261"/>
        <v>110.77990759251401</v>
      </c>
      <c r="BN142" s="4794">
        <f t="shared" si="262"/>
        <v>137.19665478765197</v>
      </c>
      <c r="BO142" s="4794">
        <f t="shared" si="263"/>
        <v>112.48421386316807</v>
      </c>
      <c r="BP142" s="4794">
        <f t="shared" si="264"/>
        <v>107.37129505120589</v>
      </c>
      <c r="BQ142" s="4794">
        <f t="shared" si="265"/>
        <v>0</v>
      </c>
      <c r="BR142" s="4794">
        <f t="shared" si="266"/>
        <v>0</v>
      </c>
      <c r="BS142" s="4794">
        <f t="shared" si="267"/>
        <v>0</v>
      </c>
      <c r="BT142" s="4794">
        <f t="shared" si="268"/>
        <v>0</v>
      </c>
      <c r="BU142" s="4794">
        <f t="shared" si="269"/>
        <v>0</v>
      </c>
      <c r="BV142" s="4794">
        <f t="shared" si="270"/>
        <v>0</v>
      </c>
      <c r="BW142" s="4794">
        <f t="shared" si="271"/>
        <v>0</v>
      </c>
      <c r="BX142" s="4794">
        <f t="shared" si="272"/>
        <v>0</v>
      </c>
      <c r="BY142" s="4794">
        <f t="shared" si="273"/>
        <v>0</v>
      </c>
      <c r="BZ142" s="4794">
        <f t="shared" si="274"/>
        <v>0</v>
      </c>
      <c r="CA142" s="4794">
        <f t="shared" si="275"/>
        <v>0</v>
      </c>
      <c r="CB142" s="4794">
        <f t="shared" si="276"/>
        <v>0</v>
      </c>
      <c r="CC142" s="4794">
        <f t="shared" si="277"/>
        <v>0</v>
      </c>
      <c r="CD142" s="4794">
        <f t="shared" si="278"/>
        <v>0</v>
      </c>
      <c r="CE142" s="4794">
        <f t="shared" si="279"/>
        <v>0</v>
      </c>
      <c r="CF142" s="4794">
        <f t="shared" si="280"/>
        <v>0</v>
      </c>
    </row>
    <row r="143" spans="1:84" ht="24">
      <c r="A143" s="2375"/>
      <c r="B143" s="2376"/>
      <c r="C143" s="2376"/>
      <c r="D143" s="2376"/>
      <c r="E143" s="2493" t="str">
        <f t="shared" ref="E143:M143" si="293">E73</f>
        <v>Доставяне на вода с непитейни качества</v>
      </c>
      <c r="F143" s="2498">
        <f t="shared" ref="F143" si="294">F73</f>
        <v>0</v>
      </c>
      <c r="G143" s="2494">
        <f t="shared" si="293"/>
        <v>0</v>
      </c>
      <c r="H143" s="2495">
        <f t="shared" si="293"/>
        <v>0</v>
      </c>
      <c r="I143" s="2494">
        <f t="shared" si="293"/>
        <v>0</v>
      </c>
      <c r="J143" s="2496">
        <f t="shared" si="293"/>
        <v>0</v>
      </c>
      <c r="K143" s="2496">
        <f t="shared" si="293"/>
        <v>0</v>
      </c>
      <c r="L143" s="2496">
        <f t="shared" si="293"/>
        <v>0</v>
      </c>
      <c r="M143" s="2495">
        <f t="shared" si="293"/>
        <v>0</v>
      </c>
      <c r="N143" s="2497">
        <f t="shared" ref="N143:N144" si="295">SUM(I143:M143)</f>
        <v>0</v>
      </c>
      <c r="O143" s="2498">
        <f t="shared" ref="O143" si="296">O73</f>
        <v>0</v>
      </c>
      <c r="P143" s="2494">
        <f t="shared" ref="P143:AL143" si="297">P73</f>
        <v>0</v>
      </c>
      <c r="Q143" s="2495">
        <f t="shared" si="297"/>
        <v>0</v>
      </c>
      <c r="R143" s="2494">
        <f t="shared" si="297"/>
        <v>0</v>
      </c>
      <c r="S143" s="2496">
        <f t="shared" si="297"/>
        <v>0</v>
      </c>
      <c r="T143" s="2496">
        <f t="shared" si="297"/>
        <v>0</v>
      </c>
      <c r="U143" s="2496">
        <f t="shared" si="297"/>
        <v>0</v>
      </c>
      <c r="V143" s="2495">
        <f t="shared" si="297"/>
        <v>0</v>
      </c>
      <c r="W143" s="2498">
        <f t="shared" ref="W143" si="298">W73</f>
        <v>0</v>
      </c>
      <c r="X143" s="2494">
        <f t="shared" si="297"/>
        <v>0</v>
      </c>
      <c r="Y143" s="2495">
        <f t="shared" si="297"/>
        <v>0</v>
      </c>
      <c r="Z143" s="2494">
        <f t="shared" si="297"/>
        <v>0</v>
      </c>
      <c r="AA143" s="2496">
        <f t="shared" si="297"/>
        <v>0</v>
      </c>
      <c r="AB143" s="2496">
        <f t="shared" si="297"/>
        <v>0</v>
      </c>
      <c r="AC143" s="2496">
        <f t="shared" si="297"/>
        <v>0</v>
      </c>
      <c r="AD143" s="2495">
        <f t="shared" si="297"/>
        <v>0</v>
      </c>
      <c r="AE143" s="2498">
        <f>AE73</f>
        <v>0</v>
      </c>
      <c r="AF143" s="2494">
        <f>AF73</f>
        <v>0</v>
      </c>
      <c r="AG143" s="2495">
        <f t="shared" si="297"/>
        <v>0</v>
      </c>
      <c r="AH143" s="2494">
        <f t="shared" si="297"/>
        <v>0</v>
      </c>
      <c r="AI143" s="2496">
        <f t="shared" si="297"/>
        <v>0</v>
      </c>
      <c r="AJ143" s="2496">
        <f t="shared" si="297"/>
        <v>0</v>
      </c>
      <c r="AK143" s="2496">
        <f t="shared" si="297"/>
        <v>0</v>
      </c>
      <c r="AL143" s="2495">
        <f t="shared" si="297"/>
        <v>0</v>
      </c>
      <c r="AP143" s="5088" t="s">
        <v>1850</v>
      </c>
      <c r="AQ143" s="5088"/>
      <c r="AR143" s="5088"/>
      <c r="AS143" s="5088"/>
      <c r="AT143" s="5088"/>
      <c r="AU143" s="5088"/>
      <c r="AV143" s="5088"/>
      <c r="AW143" s="5088"/>
      <c r="AX143" s="5088"/>
      <c r="AY143" s="4775"/>
      <c r="AZ143" s="4794">
        <f t="shared" si="248"/>
        <v>0</v>
      </c>
      <c r="BA143" s="4794">
        <f t="shared" si="249"/>
        <v>0</v>
      </c>
      <c r="BB143" s="4794">
        <f t="shared" si="250"/>
        <v>0</v>
      </c>
      <c r="BC143" s="4794">
        <f t="shared" si="251"/>
        <v>0</v>
      </c>
      <c r="BD143" s="4794">
        <f t="shared" si="252"/>
        <v>0</v>
      </c>
      <c r="BE143" s="4794">
        <f t="shared" si="253"/>
        <v>0</v>
      </c>
      <c r="BF143" s="4794">
        <f t="shared" si="254"/>
        <v>0</v>
      </c>
      <c r="BG143" s="4794">
        <f t="shared" si="255"/>
        <v>0</v>
      </c>
      <c r="BH143" s="4794">
        <f t="shared" si="256"/>
        <v>0</v>
      </c>
      <c r="BI143" s="4794">
        <f t="shared" si="257"/>
        <v>0</v>
      </c>
      <c r="BJ143" s="4794">
        <f t="shared" si="258"/>
        <v>0</v>
      </c>
      <c r="BK143" s="4794">
        <f t="shared" si="259"/>
        <v>0</v>
      </c>
      <c r="BL143" s="4794">
        <f t="shared" si="260"/>
        <v>0</v>
      </c>
      <c r="BM143" s="4794">
        <f t="shared" si="261"/>
        <v>0</v>
      </c>
      <c r="BN143" s="4794">
        <f t="shared" si="262"/>
        <v>0</v>
      </c>
      <c r="BO143" s="4794">
        <f t="shared" si="263"/>
        <v>0</v>
      </c>
      <c r="BP143" s="4794">
        <f t="shared" si="264"/>
        <v>0</v>
      </c>
      <c r="BQ143" s="4794">
        <f t="shared" si="265"/>
        <v>0</v>
      </c>
      <c r="BR143" s="4794">
        <f t="shared" si="266"/>
        <v>0</v>
      </c>
      <c r="BS143" s="4794">
        <f t="shared" si="267"/>
        <v>0</v>
      </c>
      <c r="BT143" s="4794">
        <f t="shared" si="268"/>
        <v>0</v>
      </c>
      <c r="BU143" s="4794">
        <f t="shared" si="269"/>
        <v>0</v>
      </c>
      <c r="BV143" s="4794">
        <f t="shared" si="270"/>
        <v>0</v>
      </c>
      <c r="BW143" s="4794">
        <f t="shared" si="271"/>
        <v>0</v>
      </c>
      <c r="BX143" s="4794">
        <f t="shared" si="272"/>
        <v>0</v>
      </c>
      <c r="BY143" s="4794">
        <f t="shared" si="273"/>
        <v>0</v>
      </c>
      <c r="BZ143" s="4794">
        <f t="shared" si="274"/>
        <v>0</v>
      </c>
      <c r="CA143" s="4794">
        <f t="shared" si="275"/>
        <v>0</v>
      </c>
      <c r="CB143" s="4794">
        <f t="shared" si="276"/>
        <v>0</v>
      </c>
      <c r="CC143" s="4794">
        <f t="shared" si="277"/>
        <v>0</v>
      </c>
      <c r="CD143" s="4794">
        <f t="shared" si="278"/>
        <v>0</v>
      </c>
      <c r="CE143" s="4794">
        <f t="shared" si="279"/>
        <v>0</v>
      </c>
      <c r="CF143" s="4794">
        <f t="shared" si="280"/>
        <v>0</v>
      </c>
    </row>
    <row r="144" spans="1:84" ht="24.75" thickBot="1">
      <c r="A144" s="2375"/>
      <c r="B144" s="2376"/>
      <c r="C144" s="2376"/>
      <c r="D144" s="2376"/>
      <c r="E144" s="2499" t="str">
        <f t="shared" ref="E144:M144" si="299">E99</f>
        <v>Доставяне на вода на друг ВиК оператор</v>
      </c>
      <c r="F144" s="4389">
        <f t="shared" ref="F144" si="300">F99</f>
        <v>0</v>
      </c>
      <c r="G144" s="2500">
        <f t="shared" si="299"/>
        <v>0</v>
      </c>
      <c r="H144" s="2501">
        <f t="shared" si="299"/>
        <v>0</v>
      </c>
      <c r="I144" s="2502">
        <f t="shared" si="299"/>
        <v>0</v>
      </c>
      <c r="J144" s="2503">
        <f t="shared" si="299"/>
        <v>0</v>
      </c>
      <c r="K144" s="2503">
        <f t="shared" si="299"/>
        <v>0</v>
      </c>
      <c r="L144" s="2503">
        <f t="shared" si="299"/>
        <v>0</v>
      </c>
      <c r="M144" s="2501">
        <f t="shared" si="299"/>
        <v>0</v>
      </c>
      <c r="N144" s="2497">
        <f t="shared" si="295"/>
        <v>0</v>
      </c>
      <c r="O144" s="2504">
        <f t="shared" ref="O144" si="301">O99</f>
        <v>0</v>
      </c>
      <c r="P144" s="2502">
        <f t="shared" ref="P144:AL144" si="302">P99</f>
        <v>0</v>
      </c>
      <c r="Q144" s="2501">
        <f t="shared" si="302"/>
        <v>0</v>
      </c>
      <c r="R144" s="2502">
        <f t="shared" si="302"/>
        <v>0</v>
      </c>
      <c r="S144" s="2503">
        <f t="shared" si="302"/>
        <v>0</v>
      </c>
      <c r="T144" s="2503">
        <f t="shared" si="302"/>
        <v>0</v>
      </c>
      <c r="U144" s="2503">
        <f t="shared" si="302"/>
        <v>0</v>
      </c>
      <c r="V144" s="2501">
        <f t="shared" si="302"/>
        <v>0</v>
      </c>
      <c r="W144" s="2504">
        <f t="shared" ref="W144" si="303">W99</f>
        <v>0</v>
      </c>
      <c r="X144" s="2502">
        <f t="shared" si="302"/>
        <v>0</v>
      </c>
      <c r="Y144" s="2501">
        <f t="shared" si="302"/>
        <v>0</v>
      </c>
      <c r="Z144" s="2502">
        <f t="shared" si="302"/>
        <v>0</v>
      </c>
      <c r="AA144" s="2503">
        <f t="shared" si="302"/>
        <v>0</v>
      </c>
      <c r="AB144" s="2503">
        <f t="shared" si="302"/>
        <v>0</v>
      </c>
      <c r="AC144" s="2503">
        <f t="shared" si="302"/>
        <v>0</v>
      </c>
      <c r="AD144" s="2501">
        <f t="shared" si="302"/>
        <v>0</v>
      </c>
      <c r="AE144" s="2504">
        <f>AE99</f>
        <v>0</v>
      </c>
      <c r="AF144" s="2502">
        <f>AF99</f>
        <v>0</v>
      </c>
      <c r="AG144" s="2501">
        <f t="shared" si="302"/>
        <v>0</v>
      </c>
      <c r="AH144" s="2502">
        <f t="shared" si="302"/>
        <v>0</v>
      </c>
      <c r="AI144" s="2503">
        <f t="shared" si="302"/>
        <v>0</v>
      </c>
      <c r="AJ144" s="2503">
        <f t="shared" si="302"/>
        <v>0</v>
      </c>
      <c r="AK144" s="2503">
        <f t="shared" si="302"/>
        <v>0</v>
      </c>
      <c r="AL144" s="2501">
        <f t="shared" si="302"/>
        <v>0</v>
      </c>
      <c r="AP144" s="5317" t="s">
        <v>1479</v>
      </c>
      <c r="AQ144" s="5317"/>
      <c r="AR144" s="5317"/>
      <c r="AS144" s="5317"/>
      <c r="AT144" s="5317"/>
      <c r="AU144" s="5317"/>
      <c r="AV144" s="5317"/>
      <c r="AW144" s="5317"/>
      <c r="AX144" s="5317"/>
      <c r="AY144" s="4775"/>
      <c r="AZ144" s="4794">
        <f t="shared" si="248"/>
        <v>0</v>
      </c>
      <c r="BA144" s="4794">
        <f t="shared" si="249"/>
        <v>0</v>
      </c>
      <c r="BB144" s="4794">
        <f t="shared" si="250"/>
        <v>0</v>
      </c>
      <c r="BC144" s="4794">
        <f t="shared" si="251"/>
        <v>0</v>
      </c>
      <c r="BD144" s="4794">
        <f t="shared" si="252"/>
        <v>0</v>
      </c>
      <c r="BE144" s="4794">
        <f t="shared" si="253"/>
        <v>0</v>
      </c>
      <c r="BF144" s="4794">
        <f t="shared" si="254"/>
        <v>0</v>
      </c>
      <c r="BG144" s="4794">
        <f t="shared" si="255"/>
        <v>0</v>
      </c>
      <c r="BH144" s="4794">
        <f t="shared" si="256"/>
        <v>0</v>
      </c>
      <c r="BI144" s="4794">
        <f t="shared" si="257"/>
        <v>0</v>
      </c>
      <c r="BJ144" s="4794">
        <f t="shared" si="258"/>
        <v>0</v>
      </c>
      <c r="BK144" s="4794">
        <f t="shared" si="259"/>
        <v>0</v>
      </c>
      <c r="BL144" s="4794">
        <f t="shared" si="260"/>
        <v>0</v>
      </c>
      <c r="BM144" s="4794">
        <f t="shared" si="261"/>
        <v>0</v>
      </c>
      <c r="BN144" s="4794">
        <f t="shared" si="262"/>
        <v>0</v>
      </c>
      <c r="BO144" s="4794">
        <f t="shared" si="263"/>
        <v>0</v>
      </c>
      <c r="BP144" s="4794">
        <f t="shared" si="264"/>
        <v>0</v>
      </c>
      <c r="BQ144" s="4794">
        <f t="shared" si="265"/>
        <v>0</v>
      </c>
      <c r="BR144" s="4794">
        <f t="shared" si="266"/>
        <v>0</v>
      </c>
      <c r="BS144" s="4794">
        <f t="shared" si="267"/>
        <v>0</v>
      </c>
      <c r="BT144" s="4794">
        <f t="shared" si="268"/>
        <v>0</v>
      </c>
      <c r="BU144" s="4794">
        <f t="shared" si="269"/>
        <v>0</v>
      </c>
      <c r="BV144" s="4794">
        <f t="shared" si="270"/>
        <v>0</v>
      </c>
      <c r="BW144" s="4794">
        <f t="shared" si="271"/>
        <v>0</v>
      </c>
      <c r="BX144" s="4794">
        <f t="shared" si="272"/>
        <v>0</v>
      </c>
      <c r="BY144" s="4794">
        <f t="shared" si="273"/>
        <v>0</v>
      </c>
      <c r="BZ144" s="4794">
        <f t="shared" si="274"/>
        <v>0</v>
      </c>
      <c r="CA144" s="4794">
        <f t="shared" si="275"/>
        <v>0</v>
      </c>
      <c r="CB144" s="4794">
        <f t="shared" si="276"/>
        <v>0</v>
      </c>
      <c r="CC144" s="4794">
        <f t="shared" si="277"/>
        <v>0</v>
      </c>
      <c r="CD144" s="4794">
        <f t="shared" si="278"/>
        <v>0</v>
      </c>
      <c r="CE144" s="4794">
        <f t="shared" si="279"/>
        <v>0</v>
      </c>
      <c r="CF144" s="4794">
        <f t="shared" si="280"/>
        <v>0</v>
      </c>
    </row>
    <row r="145" spans="1:84" ht="30" customHeight="1" thickBot="1">
      <c r="A145" s="2375"/>
      <c r="B145" s="2376"/>
      <c r="C145" s="2376"/>
      <c r="D145" s="2376"/>
      <c r="E145" s="2174"/>
      <c r="F145" s="2377"/>
      <c r="G145" s="2377"/>
      <c r="H145" s="2377"/>
      <c r="I145" s="2378"/>
      <c r="J145" s="2378"/>
      <c r="K145" s="2378"/>
      <c r="L145" s="2378"/>
      <c r="M145" s="2378"/>
      <c r="N145" s="2505"/>
      <c r="O145" s="2506"/>
      <c r="P145" s="2506"/>
      <c r="Q145" s="2506"/>
      <c r="R145" s="2505"/>
      <c r="S145" s="2505"/>
      <c r="T145" s="2505"/>
      <c r="U145" s="2505"/>
      <c r="V145" s="2505"/>
      <c r="W145" s="2506"/>
      <c r="X145" s="2506"/>
      <c r="Y145" s="2506"/>
      <c r="Z145" s="2505"/>
      <c r="AA145" s="2505"/>
      <c r="AB145" s="2505"/>
      <c r="AC145" s="2505"/>
      <c r="AD145" s="2505"/>
      <c r="AE145" s="2507"/>
      <c r="AF145" s="2507"/>
      <c r="AG145" s="2507"/>
      <c r="AH145" s="2507"/>
      <c r="AI145" s="2507"/>
      <c r="AJ145" s="2507"/>
      <c r="AK145" s="2507"/>
      <c r="AL145" s="2507"/>
      <c r="AP145" s="5312" t="s">
        <v>1861</v>
      </c>
      <c r="AQ145" s="5312"/>
      <c r="AR145" s="5312"/>
      <c r="AS145" s="5312"/>
      <c r="AT145" s="5312"/>
      <c r="AU145" s="5312"/>
      <c r="AV145" s="5312"/>
      <c r="AW145" s="5312"/>
      <c r="AX145" s="5312"/>
      <c r="AY145" s="4775"/>
    </row>
    <row r="146" spans="1:84">
      <c r="A146" s="2375"/>
      <c r="B146" s="2376"/>
      <c r="C146" s="2376"/>
      <c r="D146" s="2376"/>
      <c r="E146" s="2508" t="s">
        <v>940</v>
      </c>
      <c r="F146" s="2480">
        <f>SUM(F147:F151)</f>
        <v>1380</v>
      </c>
      <c r="G146" s="2477">
        <f>SUM(G147:G151)</f>
        <v>3784.0000000000005</v>
      </c>
      <c r="H146" s="2478">
        <f t="shared" ref="H146:M146" si="304">SUM(H147:H151)</f>
        <v>399.99999999999994</v>
      </c>
      <c r="I146" s="2477">
        <f t="shared" si="304"/>
        <v>355</v>
      </c>
      <c r="J146" s="2479">
        <f t="shared" si="304"/>
        <v>230</v>
      </c>
      <c r="K146" s="2479">
        <f t="shared" si="304"/>
        <v>505</v>
      </c>
      <c r="L146" s="2479">
        <f t="shared" si="304"/>
        <v>600</v>
      </c>
      <c r="M146" s="2478">
        <f t="shared" si="304"/>
        <v>230</v>
      </c>
      <c r="N146" s="2444">
        <f>SUM(I146:M146)</f>
        <v>1920</v>
      </c>
      <c r="O146" s="4397">
        <f t="shared" ref="O146" si="305">SUM(O147:O149)</f>
        <v>1380</v>
      </c>
      <c r="P146" s="2477">
        <f t="shared" ref="P146:AL146" si="306">SUM(P147:P149)</f>
        <v>3784.0000000000005</v>
      </c>
      <c r="Q146" s="2478">
        <f t="shared" si="306"/>
        <v>399.99999999999994</v>
      </c>
      <c r="R146" s="2477">
        <f t="shared" si="306"/>
        <v>355</v>
      </c>
      <c r="S146" s="2479">
        <f t="shared" si="306"/>
        <v>230</v>
      </c>
      <c r="T146" s="2479">
        <f t="shared" si="306"/>
        <v>505</v>
      </c>
      <c r="U146" s="2479">
        <f t="shared" si="306"/>
        <v>600</v>
      </c>
      <c r="V146" s="2509">
        <f t="shared" si="306"/>
        <v>230</v>
      </c>
      <c r="W146" s="2480">
        <f t="shared" ref="W146" si="307">SUM(W147:W149)</f>
        <v>0</v>
      </c>
      <c r="X146" s="2477">
        <f t="shared" si="306"/>
        <v>0</v>
      </c>
      <c r="Y146" s="2478">
        <f t="shared" si="306"/>
        <v>0</v>
      </c>
      <c r="Z146" s="2477">
        <f t="shared" si="306"/>
        <v>0</v>
      </c>
      <c r="AA146" s="2479">
        <f t="shared" si="306"/>
        <v>0</v>
      </c>
      <c r="AB146" s="2479">
        <f t="shared" si="306"/>
        <v>0</v>
      </c>
      <c r="AC146" s="2479">
        <f t="shared" si="306"/>
        <v>0</v>
      </c>
      <c r="AD146" s="2478">
        <f t="shared" si="306"/>
        <v>0</v>
      </c>
      <c r="AE146" s="2480">
        <f t="shared" ref="AE146" si="308">SUM(AE147:AE149)</f>
        <v>0</v>
      </c>
      <c r="AF146" s="2477">
        <f t="shared" si="306"/>
        <v>0</v>
      </c>
      <c r="AG146" s="2478">
        <f t="shared" si="306"/>
        <v>0</v>
      </c>
      <c r="AH146" s="2477">
        <f t="shared" si="306"/>
        <v>0</v>
      </c>
      <c r="AI146" s="2479">
        <f t="shared" si="306"/>
        <v>0</v>
      </c>
      <c r="AJ146" s="2479">
        <f t="shared" si="306"/>
        <v>0</v>
      </c>
      <c r="AK146" s="2479">
        <f t="shared" si="306"/>
        <v>0</v>
      </c>
      <c r="AL146" s="2478">
        <f t="shared" si="306"/>
        <v>0</v>
      </c>
      <c r="AP146" s="2515"/>
      <c r="AQ146" s="2515"/>
      <c r="AR146" s="2172"/>
      <c r="AS146" s="2172"/>
      <c r="AT146" s="2172"/>
      <c r="AU146" s="2172"/>
      <c r="AV146" s="2172"/>
      <c r="AW146" s="2173"/>
      <c r="AX146" s="2182"/>
      <c r="AY146" s="4775"/>
      <c r="AZ146" s="4794">
        <f t="shared" ref="AZ146:AZ157" si="309">IFERROR(F146/$E$1,0)</f>
        <v>705.58279605078155</v>
      </c>
      <c r="BA146" s="4794">
        <f t="shared" ref="BA146:BA157" si="310">IFERROR(G146/$E$1,0)</f>
        <v>1934.728478446491</v>
      </c>
      <c r="BB146" s="4794">
        <f t="shared" ref="BB146:BB157" si="311">IFERROR(H146/$E$1,0)</f>
        <v>204.51675247848738</v>
      </c>
      <c r="BC146" s="4794">
        <f t="shared" ref="BC146:BC157" si="312">IFERROR(I146/$E$1,0)</f>
        <v>181.50861782465756</v>
      </c>
      <c r="BD146" s="4794">
        <f t="shared" ref="BD146:BD157" si="313">IFERROR(J146/$E$1,0)</f>
        <v>117.59713267513025</v>
      </c>
      <c r="BE146" s="4794">
        <f t="shared" ref="BE146:BE157" si="314">IFERROR(K146/$E$1,0)</f>
        <v>258.20240000409035</v>
      </c>
      <c r="BF146" s="4794">
        <f t="shared" ref="BF146:BF157" si="315">IFERROR(L146/$E$1,0)</f>
        <v>306.77512871773109</v>
      </c>
      <c r="BG146" s="4794">
        <f t="shared" ref="BG146:BG157" si="316">IFERROR(M146/$E$1,0)</f>
        <v>117.59713267513025</v>
      </c>
      <c r="BH146" s="4794">
        <f t="shared" ref="BH146:BH157" si="317">IFERROR(N146/$E$1,0)</f>
        <v>981.68041189673954</v>
      </c>
      <c r="BI146" s="4794">
        <f t="shared" ref="BI146:BI157" si="318">IFERROR(O146/$E$1,0)</f>
        <v>705.58279605078155</v>
      </c>
      <c r="BJ146" s="4794">
        <f t="shared" ref="BJ146:BJ157" si="319">IFERROR(P146/$E$1,0)</f>
        <v>1934.728478446491</v>
      </c>
      <c r="BK146" s="4794">
        <f t="shared" ref="BK146:BK157" si="320">IFERROR(Q146/$E$1,0)</f>
        <v>204.51675247848738</v>
      </c>
      <c r="BL146" s="4794">
        <f t="shared" ref="BL146:BL157" si="321">IFERROR(R146/$E$1,0)</f>
        <v>181.50861782465756</v>
      </c>
      <c r="BM146" s="4794">
        <f t="shared" ref="BM146:BM157" si="322">IFERROR(S146/$E$1,0)</f>
        <v>117.59713267513025</v>
      </c>
      <c r="BN146" s="4794">
        <f t="shared" ref="BN146:BN157" si="323">IFERROR(T146/$E$1,0)</f>
        <v>258.20240000409035</v>
      </c>
      <c r="BO146" s="4794">
        <f t="shared" ref="BO146:BO157" si="324">IFERROR(U146/$E$1,0)</f>
        <v>306.77512871773109</v>
      </c>
      <c r="BP146" s="4794">
        <f t="shared" ref="BP146:BP157" si="325">IFERROR(V146/$E$1,0)</f>
        <v>117.59713267513025</v>
      </c>
      <c r="BQ146" s="4794">
        <f t="shared" ref="BQ146:BQ157" si="326">IFERROR(W146/$E$1,0)</f>
        <v>0</v>
      </c>
      <c r="BR146" s="4794">
        <f t="shared" ref="BR146:BR157" si="327">IFERROR(X146/$E$1,0)</f>
        <v>0</v>
      </c>
      <c r="BS146" s="4794">
        <f t="shared" ref="BS146:BS157" si="328">IFERROR(Y146/$E$1,0)</f>
        <v>0</v>
      </c>
      <c r="BT146" s="4794">
        <f t="shared" ref="BT146:BT157" si="329">IFERROR(Z146/$E$1,0)</f>
        <v>0</v>
      </c>
      <c r="BU146" s="4794">
        <f t="shared" ref="BU146:BU157" si="330">IFERROR(AA146/$E$1,0)</f>
        <v>0</v>
      </c>
      <c r="BV146" s="4794">
        <f t="shared" ref="BV146:BV157" si="331">IFERROR(AB146/$E$1,0)</f>
        <v>0</v>
      </c>
      <c r="BW146" s="4794">
        <f t="shared" ref="BW146:BW157" si="332">IFERROR(AC146/$E$1,0)</f>
        <v>0</v>
      </c>
      <c r="BX146" s="4794">
        <f t="shared" ref="BX146:BX157" si="333">IFERROR(AD146/$E$1,0)</f>
        <v>0</v>
      </c>
      <c r="BY146" s="4794">
        <f t="shared" ref="BY146:BY157" si="334">IFERROR(AE146/$E$1,0)</f>
        <v>0</v>
      </c>
      <c r="BZ146" s="4794">
        <f t="shared" ref="BZ146:BZ157" si="335">IFERROR(AF146/$E$1,0)</f>
        <v>0</v>
      </c>
      <c r="CA146" s="4794">
        <f t="shared" ref="CA146:CA157" si="336">IFERROR(AG146/$E$1,0)</f>
        <v>0</v>
      </c>
      <c r="CB146" s="4794">
        <f t="shared" ref="CB146:CB157" si="337">IFERROR(AH146/$E$1,0)</f>
        <v>0</v>
      </c>
      <c r="CC146" s="4794">
        <f t="shared" ref="CC146:CC157" si="338">IFERROR(AI146/$E$1,0)</f>
        <v>0</v>
      </c>
      <c r="CD146" s="4794">
        <f t="shared" ref="CD146:CD157" si="339">IFERROR(AJ146/$E$1,0)</f>
        <v>0</v>
      </c>
      <c r="CE146" s="4794">
        <f t="shared" ref="CE146:CE157" si="340">IFERROR(AK146/$E$1,0)</f>
        <v>0</v>
      </c>
      <c r="CF146" s="4794">
        <f t="shared" ref="CF146:CF157" si="341">IFERROR(AL146/$E$1,0)</f>
        <v>0</v>
      </c>
    </row>
    <row r="147" spans="1:84" ht="24">
      <c r="A147" s="2375"/>
      <c r="B147" s="2376"/>
      <c r="C147" s="2376"/>
      <c r="D147" s="2376"/>
      <c r="E147" s="2410" t="str">
        <f>E140</f>
        <v>Доставяне на вода на потребителите</v>
      </c>
      <c r="F147" s="2510">
        <f>SUM(F30:F35)+(F60-F69-F70)*F130</f>
        <v>1096</v>
      </c>
      <c r="G147" s="2512">
        <f>SUM(G30:G35)+(G60-G69-G70)*G130</f>
        <v>2562.3333333333335</v>
      </c>
      <c r="H147" s="2511">
        <f t="shared" ref="H147:AL147" si="342">SUM(H30:H35)+(H60-H69-H70)*H130</f>
        <v>223.33333333333331</v>
      </c>
      <c r="I147" s="2512">
        <f t="shared" si="342"/>
        <v>156.66666666666666</v>
      </c>
      <c r="J147" s="2513">
        <f t="shared" si="342"/>
        <v>90</v>
      </c>
      <c r="K147" s="2513">
        <f t="shared" si="342"/>
        <v>251.66666666666666</v>
      </c>
      <c r="L147" s="2513">
        <f>SUM(L30:L35)+(L60-L69-L70)*L130</f>
        <v>473.33333333333331</v>
      </c>
      <c r="M147" s="2511">
        <f t="shared" si="342"/>
        <v>93.333333333333329</v>
      </c>
      <c r="N147" s="2278">
        <f t="shared" si="200"/>
        <v>1065</v>
      </c>
      <c r="O147" s="4398">
        <f t="shared" ref="O147" si="343">SUM(O30:O35)+(O60-O69-O70)*O130</f>
        <v>1096</v>
      </c>
      <c r="P147" s="2297">
        <f t="shared" si="342"/>
        <v>2562.3333333333335</v>
      </c>
      <c r="Q147" s="2511">
        <f t="shared" si="342"/>
        <v>223.33333333333331</v>
      </c>
      <c r="R147" s="2512">
        <f t="shared" si="342"/>
        <v>156.66666666666666</v>
      </c>
      <c r="S147" s="2513">
        <f t="shared" si="342"/>
        <v>90</v>
      </c>
      <c r="T147" s="2513">
        <f t="shared" si="342"/>
        <v>251.66666666666666</v>
      </c>
      <c r="U147" s="2513">
        <f t="shared" si="342"/>
        <v>473.33333333333331</v>
      </c>
      <c r="V147" s="2514">
        <f t="shared" si="342"/>
        <v>93.333333333333329</v>
      </c>
      <c r="W147" s="2510">
        <f>SUM(W30:W35)+(W60-W69-W70)*W130</f>
        <v>0</v>
      </c>
      <c r="X147" s="2512">
        <f>SUM(X30:X35)+(X60-X69-X70)*X130</f>
        <v>0</v>
      </c>
      <c r="Y147" s="2511">
        <f t="shared" si="342"/>
        <v>0</v>
      </c>
      <c r="Z147" s="2512">
        <f t="shared" si="342"/>
        <v>0</v>
      </c>
      <c r="AA147" s="2513">
        <f t="shared" si="342"/>
        <v>0</v>
      </c>
      <c r="AB147" s="2513">
        <f t="shared" si="342"/>
        <v>0</v>
      </c>
      <c r="AC147" s="2513">
        <f t="shared" si="342"/>
        <v>0</v>
      </c>
      <c r="AD147" s="2511">
        <f t="shared" si="342"/>
        <v>0</v>
      </c>
      <c r="AE147" s="2510">
        <f t="shared" ref="AE147" si="344">SUM(AE30:AE35)+(AE60-AE69-AE70)*AE130</f>
        <v>0</v>
      </c>
      <c r="AF147" s="2512">
        <f t="shared" si="342"/>
        <v>0</v>
      </c>
      <c r="AG147" s="2511">
        <f t="shared" si="342"/>
        <v>0</v>
      </c>
      <c r="AH147" s="2512">
        <f t="shared" si="342"/>
        <v>0</v>
      </c>
      <c r="AI147" s="2513">
        <f t="shared" si="342"/>
        <v>0</v>
      </c>
      <c r="AJ147" s="2513">
        <f t="shared" si="342"/>
        <v>0</v>
      </c>
      <c r="AK147" s="2513">
        <f t="shared" si="342"/>
        <v>0</v>
      </c>
      <c r="AL147" s="2511">
        <f t="shared" si="342"/>
        <v>0</v>
      </c>
      <c r="AO147" s="1289"/>
      <c r="AP147" s="1289"/>
      <c r="AQ147" s="1289"/>
      <c r="AV147" s="2176"/>
      <c r="AW147" s="2384"/>
      <c r="AX147" s="2182"/>
      <c r="AY147" s="4775"/>
      <c r="AZ147" s="4794">
        <f t="shared" si="309"/>
        <v>560.37590179105553</v>
      </c>
      <c r="BA147" s="4794">
        <f t="shared" si="310"/>
        <v>1310.1002302517772</v>
      </c>
      <c r="BB147" s="4794">
        <f t="shared" si="311"/>
        <v>114.18852013382212</v>
      </c>
      <c r="BC147" s="4794">
        <f t="shared" si="312"/>
        <v>80.10239472074089</v>
      </c>
      <c r="BD147" s="4794">
        <f t="shared" si="313"/>
        <v>46.016269307659663</v>
      </c>
      <c r="BE147" s="4794">
        <f t="shared" si="314"/>
        <v>128.67512343438165</v>
      </c>
      <c r="BF147" s="4794">
        <f t="shared" si="315"/>
        <v>242.01149043287674</v>
      </c>
      <c r="BG147" s="4794">
        <f t="shared" si="316"/>
        <v>47.720575578313721</v>
      </c>
      <c r="BH147" s="4794">
        <f t="shared" si="317"/>
        <v>544.52585347397269</v>
      </c>
      <c r="BI147" s="4794">
        <f t="shared" si="318"/>
        <v>560.37590179105553</v>
      </c>
      <c r="BJ147" s="4794">
        <f t="shared" si="319"/>
        <v>1310.1002302517772</v>
      </c>
      <c r="BK147" s="4794">
        <f t="shared" si="320"/>
        <v>114.18852013382212</v>
      </c>
      <c r="BL147" s="4794">
        <f t="shared" si="321"/>
        <v>80.10239472074089</v>
      </c>
      <c r="BM147" s="4794">
        <f t="shared" si="322"/>
        <v>46.016269307659663</v>
      </c>
      <c r="BN147" s="4794">
        <f t="shared" si="323"/>
        <v>128.67512343438165</v>
      </c>
      <c r="BO147" s="4794">
        <f t="shared" si="324"/>
        <v>242.01149043287674</v>
      </c>
      <c r="BP147" s="4794">
        <f t="shared" si="325"/>
        <v>47.720575578313721</v>
      </c>
      <c r="BQ147" s="4794">
        <f t="shared" si="326"/>
        <v>0</v>
      </c>
      <c r="BR147" s="4794">
        <f t="shared" si="327"/>
        <v>0</v>
      </c>
      <c r="BS147" s="4794">
        <f t="shared" si="328"/>
        <v>0</v>
      </c>
      <c r="BT147" s="4794">
        <f t="shared" si="329"/>
        <v>0</v>
      </c>
      <c r="BU147" s="4794">
        <f t="shared" si="330"/>
        <v>0</v>
      </c>
      <c r="BV147" s="4794">
        <f t="shared" si="331"/>
        <v>0</v>
      </c>
      <c r="BW147" s="4794">
        <f t="shared" si="332"/>
        <v>0</v>
      </c>
      <c r="BX147" s="4794">
        <f t="shared" si="333"/>
        <v>0</v>
      </c>
      <c r="BY147" s="4794">
        <f t="shared" si="334"/>
        <v>0</v>
      </c>
      <c r="BZ147" s="4794">
        <f t="shared" si="335"/>
        <v>0</v>
      </c>
      <c r="CA147" s="4794">
        <f t="shared" si="336"/>
        <v>0</v>
      </c>
      <c r="CB147" s="4794">
        <f t="shared" si="337"/>
        <v>0</v>
      </c>
      <c r="CC147" s="4794">
        <f t="shared" si="338"/>
        <v>0</v>
      </c>
      <c r="CD147" s="4794">
        <f t="shared" si="339"/>
        <v>0</v>
      </c>
      <c r="CE147" s="4794">
        <f t="shared" si="340"/>
        <v>0</v>
      </c>
      <c r="CF147" s="4794">
        <f t="shared" si="341"/>
        <v>0</v>
      </c>
    </row>
    <row r="148" spans="1:84">
      <c r="A148" s="2172"/>
      <c r="B148" s="2172"/>
      <c r="C148" s="2172"/>
      <c r="D148" s="2173"/>
      <c r="E148" s="2410" t="str">
        <f t="shared" ref="E148:E149" si="345">E141</f>
        <v>Отвеждане на отпадъчните води</v>
      </c>
      <c r="F148" s="2510">
        <f>SUM(F43:F47)+(F60-F69-F70)*F131</f>
        <v>120</v>
      </c>
      <c r="G148" s="2512">
        <f>SUM(G43:G47)+(G60-G69-G70)*G131</f>
        <v>795.33333333333326</v>
      </c>
      <c r="H148" s="2511">
        <f t="shared" ref="H148:M148" si="346">SUM(H43:H47)+(H60-H69-H70)*H131</f>
        <v>83.333333333333329</v>
      </c>
      <c r="I148" s="2512">
        <f t="shared" si="346"/>
        <v>71.666666666666657</v>
      </c>
      <c r="J148" s="2513">
        <f t="shared" si="346"/>
        <v>50</v>
      </c>
      <c r="K148" s="2513">
        <f t="shared" si="346"/>
        <v>111.66666666666666</v>
      </c>
      <c r="L148" s="2513">
        <f t="shared" si="346"/>
        <v>33.333333333333329</v>
      </c>
      <c r="M148" s="2511">
        <f t="shared" si="346"/>
        <v>53.333333333333329</v>
      </c>
      <c r="N148" s="2278">
        <f t="shared" si="200"/>
        <v>319.99999999999994</v>
      </c>
      <c r="O148" s="4398">
        <f t="shared" ref="O148" si="347">SUM(O43:O47)+(O60-O69-O70)*O131</f>
        <v>120</v>
      </c>
      <c r="P148" s="2297">
        <f t="shared" ref="P148:AL148" si="348">SUM(P43:P47)+(P60-P69-P70)*P131</f>
        <v>795.33333333333326</v>
      </c>
      <c r="Q148" s="2511">
        <f t="shared" si="348"/>
        <v>83.333333333333329</v>
      </c>
      <c r="R148" s="2512">
        <f t="shared" si="348"/>
        <v>71.666666666666657</v>
      </c>
      <c r="S148" s="2513">
        <f t="shared" si="348"/>
        <v>50</v>
      </c>
      <c r="T148" s="2513">
        <f t="shared" si="348"/>
        <v>111.66666666666666</v>
      </c>
      <c r="U148" s="2513">
        <f t="shared" si="348"/>
        <v>33.333333333333329</v>
      </c>
      <c r="V148" s="2514">
        <f t="shared" si="348"/>
        <v>53.333333333333329</v>
      </c>
      <c r="W148" s="2510">
        <f t="shared" ref="W148" si="349">SUM(W43:W47)+(W60-W69-W70)*W131</f>
        <v>0</v>
      </c>
      <c r="X148" s="2512">
        <f t="shared" si="348"/>
        <v>0</v>
      </c>
      <c r="Y148" s="2511">
        <f t="shared" si="348"/>
        <v>0</v>
      </c>
      <c r="Z148" s="2512">
        <f t="shared" si="348"/>
        <v>0</v>
      </c>
      <c r="AA148" s="2513">
        <f t="shared" si="348"/>
        <v>0</v>
      </c>
      <c r="AB148" s="2513">
        <f t="shared" si="348"/>
        <v>0</v>
      </c>
      <c r="AC148" s="2513">
        <f t="shared" si="348"/>
        <v>0</v>
      </c>
      <c r="AD148" s="2511">
        <f t="shared" si="348"/>
        <v>0</v>
      </c>
      <c r="AE148" s="2510">
        <f>SUM(AE43:AE47)+(AE60-AE69-AE70)*AE131</f>
        <v>0</v>
      </c>
      <c r="AF148" s="2512">
        <f>SUM(AF43:AF47)+(AF60-AF69-AF70)*AF131</f>
        <v>0</v>
      </c>
      <c r="AG148" s="2511">
        <f t="shared" si="348"/>
        <v>0</v>
      </c>
      <c r="AH148" s="2512">
        <f t="shared" si="348"/>
        <v>0</v>
      </c>
      <c r="AI148" s="2513">
        <f t="shared" si="348"/>
        <v>0</v>
      </c>
      <c r="AJ148" s="2513">
        <f t="shared" si="348"/>
        <v>0</v>
      </c>
      <c r="AK148" s="2513">
        <f t="shared" si="348"/>
        <v>0</v>
      </c>
      <c r="AL148" s="2511">
        <f t="shared" si="348"/>
        <v>0</v>
      </c>
      <c r="AM148" s="2515"/>
      <c r="AN148" s="2516"/>
      <c r="AO148" s="2388"/>
      <c r="AP148" s="2515"/>
      <c r="AQ148" s="2515"/>
      <c r="AR148" s="2172"/>
      <c r="AS148" s="2172"/>
      <c r="AT148" s="2172"/>
      <c r="AU148" s="2172"/>
      <c r="AV148" s="2172"/>
      <c r="AW148" s="2173"/>
      <c r="AX148" s="2182"/>
      <c r="AY148" s="4775"/>
      <c r="AZ148" s="4794">
        <f t="shared" si="309"/>
        <v>61.355025743546221</v>
      </c>
      <c r="BA148" s="4794">
        <f t="shared" si="310"/>
        <v>406.64747617805909</v>
      </c>
      <c r="BB148" s="4794">
        <f t="shared" si="311"/>
        <v>42.607656766351539</v>
      </c>
      <c r="BC148" s="4794">
        <f t="shared" si="312"/>
        <v>36.642584819062321</v>
      </c>
      <c r="BD148" s="4794">
        <f t="shared" si="313"/>
        <v>25.564594059810926</v>
      </c>
      <c r="BE148" s="4794">
        <f t="shared" si="314"/>
        <v>57.094260066911062</v>
      </c>
      <c r="BF148" s="4794">
        <f t="shared" si="315"/>
        <v>17.043062706540614</v>
      </c>
      <c r="BG148" s="4794">
        <f t="shared" si="316"/>
        <v>27.268900330464984</v>
      </c>
      <c r="BH148" s="4794">
        <f t="shared" si="317"/>
        <v>163.6134019827899</v>
      </c>
      <c r="BI148" s="4794">
        <f t="shared" si="318"/>
        <v>61.355025743546221</v>
      </c>
      <c r="BJ148" s="4794">
        <f t="shared" si="319"/>
        <v>406.64747617805909</v>
      </c>
      <c r="BK148" s="4794">
        <f t="shared" si="320"/>
        <v>42.607656766351539</v>
      </c>
      <c r="BL148" s="4794">
        <f t="shared" si="321"/>
        <v>36.642584819062321</v>
      </c>
      <c r="BM148" s="4794">
        <f t="shared" si="322"/>
        <v>25.564594059810926</v>
      </c>
      <c r="BN148" s="4794">
        <f t="shared" si="323"/>
        <v>57.094260066911062</v>
      </c>
      <c r="BO148" s="4794">
        <f t="shared" si="324"/>
        <v>17.043062706540614</v>
      </c>
      <c r="BP148" s="4794">
        <f t="shared" si="325"/>
        <v>27.268900330464984</v>
      </c>
      <c r="BQ148" s="4794">
        <f t="shared" si="326"/>
        <v>0</v>
      </c>
      <c r="BR148" s="4794">
        <f t="shared" si="327"/>
        <v>0</v>
      </c>
      <c r="BS148" s="4794">
        <f t="shared" si="328"/>
        <v>0</v>
      </c>
      <c r="BT148" s="4794">
        <f t="shared" si="329"/>
        <v>0</v>
      </c>
      <c r="BU148" s="4794">
        <f t="shared" si="330"/>
        <v>0</v>
      </c>
      <c r="BV148" s="4794">
        <f t="shared" si="331"/>
        <v>0</v>
      </c>
      <c r="BW148" s="4794">
        <f t="shared" si="332"/>
        <v>0</v>
      </c>
      <c r="BX148" s="4794">
        <f t="shared" si="333"/>
        <v>0</v>
      </c>
      <c r="BY148" s="4794">
        <f t="shared" si="334"/>
        <v>0</v>
      </c>
      <c r="BZ148" s="4794">
        <f t="shared" si="335"/>
        <v>0</v>
      </c>
      <c r="CA148" s="4794">
        <f t="shared" si="336"/>
        <v>0</v>
      </c>
      <c r="CB148" s="4794">
        <f t="shared" si="337"/>
        <v>0</v>
      </c>
      <c r="CC148" s="4794">
        <f t="shared" si="338"/>
        <v>0</v>
      </c>
      <c r="CD148" s="4794">
        <f t="shared" si="339"/>
        <v>0</v>
      </c>
      <c r="CE148" s="4794">
        <f t="shared" si="340"/>
        <v>0</v>
      </c>
      <c r="CF148" s="4794">
        <f t="shared" si="341"/>
        <v>0</v>
      </c>
    </row>
    <row r="149" spans="1:84">
      <c r="A149" s="2172"/>
      <c r="B149" s="2172"/>
      <c r="C149" s="2172"/>
      <c r="D149" s="2173"/>
      <c r="E149" s="2410" t="str">
        <f t="shared" si="345"/>
        <v>Пречистване на отпадъчните води</v>
      </c>
      <c r="F149" s="2510">
        <f>SUM(F52:F56)+F50+(F60-F69-F70)*F132</f>
        <v>164</v>
      </c>
      <c r="G149" s="2512">
        <f>SUM(G52:G56)+G50+(G60-G69-G70)*G132</f>
        <v>426.33333333333331</v>
      </c>
      <c r="H149" s="2511">
        <f t="shared" ref="H149:M149" si="350">SUM(H52:H56)+H50+(H60-H69-H70)*H132</f>
        <v>93.333333333333329</v>
      </c>
      <c r="I149" s="2512">
        <f t="shared" si="350"/>
        <v>126.66666666666666</v>
      </c>
      <c r="J149" s="2513">
        <f t="shared" si="350"/>
        <v>90</v>
      </c>
      <c r="K149" s="2513">
        <f t="shared" si="350"/>
        <v>141.66666666666666</v>
      </c>
      <c r="L149" s="2513">
        <f t="shared" si="350"/>
        <v>93.333333333333329</v>
      </c>
      <c r="M149" s="2511">
        <f t="shared" si="350"/>
        <v>83.333333333333329</v>
      </c>
      <c r="N149" s="2278">
        <f>SUM(I149:M149)</f>
        <v>535</v>
      </c>
      <c r="O149" s="4398">
        <f t="shared" ref="O149" si="351">SUM(O52:O56)+O50+(O60-O69-O70)*O132</f>
        <v>164</v>
      </c>
      <c r="P149" s="2297">
        <f t="shared" ref="P149:AL149" si="352">SUM(P52:P56)+P50+(P60-P69-P70)*P132</f>
        <v>426.33333333333331</v>
      </c>
      <c r="Q149" s="2511">
        <f t="shared" si="352"/>
        <v>93.333333333333329</v>
      </c>
      <c r="R149" s="2512">
        <f t="shared" si="352"/>
        <v>126.66666666666666</v>
      </c>
      <c r="S149" s="2513">
        <f t="shared" si="352"/>
        <v>90</v>
      </c>
      <c r="T149" s="2513">
        <f>SUM(T52:T56)+T50+(T60-T69-T70)*T132</f>
        <v>141.66666666666666</v>
      </c>
      <c r="U149" s="2513">
        <f t="shared" si="352"/>
        <v>93.333333333333329</v>
      </c>
      <c r="V149" s="2514">
        <f t="shared" si="352"/>
        <v>83.333333333333329</v>
      </c>
      <c r="W149" s="2510">
        <f>SUM(W52:W56)+W50+(W60-W69-W70)*W132</f>
        <v>0</v>
      </c>
      <c r="X149" s="2512">
        <f>SUM(X52:X56)+X50+(X60-X69-X70)*X132</f>
        <v>0</v>
      </c>
      <c r="Y149" s="2511">
        <f t="shared" si="352"/>
        <v>0</v>
      </c>
      <c r="Z149" s="2512">
        <f t="shared" si="352"/>
        <v>0</v>
      </c>
      <c r="AA149" s="2513">
        <f t="shared" si="352"/>
        <v>0</v>
      </c>
      <c r="AB149" s="2513">
        <f t="shared" si="352"/>
        <v>0</v>
      </c>
      <c r="AC149" s="2513">
        <f t="shared" si="352"/>
        <v>0</v>
      </c>
      <c r="AD149" s="2511">
        <f t="shared" si="352"/>
        <v>0</v>
      </c>
      <c r="AE149" s="2510">
        <f t="shared" ref="AE149" si="353">SUM(AE52:AE56)+AE50+(AE60-AE69-AE70)*AE132</f>
        <v>0</v>
      </c>
      <c r="AF149" s="2512">
        <f t="shared" si="352"/>
        <v>0</v>
      </c>
      <c r="AG149" s="2511">
        <f t="shared" si="352"/>
        <v>0</v>
      </c>
      <c r="AH149" s="2512">
        <f t="shared" si="352"/>
        <v>0</v>
      </c>
      <c r="AI149" s="2513">
        <f t="shared" si="352"/>
        <v>0</v>
      </c>
      <c r="AJ149" s="2513">
        <f t="shared" si="352"/>
        <v>0</v>
      </c>
      <c r="AK149" s="2513">
        <f t="shared" si="352"/>
        <v>0</v>
      </c>
      <c r="AL149" s="2511">
        <f t="shared" si="352"/>
        <v>0</v>
      </c>
      <c r="AM149" s="2515"/>
      <c r="AN149" s="2516"/>
      <c r="AO149" s="2515"/>
      <c r="AP149" s="2515"/>
      <c r="AQ149" s="2515"/>
      <c r="AR149" s="2172"/>
      <c r="AS149" s="2172"/>
      <c r="AT149" s="2172"/>
      <c r="AU149" s="2172"/>
      <c r="AV149" s="2172"/>
      <c r="AW149" s="2173"/>
      <c r="AX149" s="2182"/>
      <c r="AY149" s="4775"/>
      <c r="AZ149" s="4794">
        <f t="shared" si="309"/>
        <v>83.851868516179835</v>
      </c>
      <c r="BA149" s="4794">
        <f t="shared" si="310"/>
        <v>217.98077201665447</v>
      </c>
      <c r="BB149" s="4794">
        <f t="shared" si="311"/>
        <v>47.720575578313721</v>
      </c>
      <c r="BC149" s="4794">
        <f t="shared" si="312"/>
        <v>64.763638284854338</v>
      </c>
      <c r="BD149" s="4794">
        <f t="shared" si="313"/>
        <v>46.016269307659663</v>
      </c>
      <c r="BE149" s="4794">
        <f t="shared" si="314"/>
        <v>72.433016502797614</v>
      </c>
      <c r="BF149" s="4794">
        <f t="shared" si="315"/>
        <v>47.720575578313721</v>
      </c>
      <c r="BG149" s="4794">
        <f t="shared" si="316"/>
        <v>42.607656766351539</v>
      </c>
      <c r="BH149" s="4794">
        <f t="shared" si="317"/>
        <v>273.54115643997687</v>
      </c>
      <c r="BI149" s="4794">
        <f t="shared" si="318"/>
        <v>83.851868516179835</v>
      </c>
      <c r="BJ149" s="4794">
        <f t="shared" si="319"/>
        <v>217.98077201665447</v>
      </c>
      <c r="BK149" s="4794">
        <f t="shared" si="320"/>
        <v>47.720575578313721</v>
      </c>
      <c r="BL149" s="4794">
        <f t="shared" si="321"/>
        <v>64.763638284854338</v>
      </c>
      <c r="BM149" s="4794">
        <f t="shared" si="322"/>
        <v>46.016269307659663</v>
      </c>
      <c r="BN149" s="4794">
        <f t="shared" si="323"/>
        <v>72.433016502797614</v>
      </c>
      <c r="BO149" s="4794">
        <f t="shared" si="324"/>
        <v>47.720575578313721</v>
      </c>
      <c r="BP149" s="4794">
        <f t="shared" si="325"/>
        <v>42.607656766351539</v>
      </c>
      <c r="BQ149" s="4794">
        <f t="shared" si="326"/>
        <v>0</v>
      </c>
      <c r="BR149" s="4794">
        <f t="shared" si="327"/>
        <v>0</v>
      </c>
      <c r="BS149" s="4794">
        <f t="shared" si="328"/>
        <v>0</v>
      </c>
      <c r="BT149" s="4794">
        <f t="shared" si="329"/>
        <v>0</v>
      </c>
      <c r="BU149" s="4794">
        <f t="shared" si="330"/>
        <v>0</v>
      </c>
      <c r="BV149" s="4794">
        <f t="shared" si="331"/>
        <v>0</v>
      </c>
      <c r="BW149" s="4794">
        <f t="shared" si="332"/>
        <v>0</v>
      </c>
      <c r="BX149" s="4794">
        <f t="shared" si="333"/>
        <v>0</v>
      </c>
      <c r="BY149" s="4794">
        <f t="shared" si="334"/>
        <v>0</v>
      </c>
      <c r="BZ149" s="4794">
        <f t="shared" si="335"/>
        <v>0</v>
      </c>
      <c r="CA149" s="4794">
        <f t="shared" si="336"/>
        <v>0</v>
      </c>
      <c r="CB149" s="4794">
        <f t="shared" si="337"/>
        <v>0</v>
      </c>
      <c r="CC149" s="4794">
        <f t="shared" si="338"/>
        <v>0</v>
      </c>
      <c r="CD149" s="4794">
        <f t="shared" si="339"/>
        <v>0</v>
      </c>
      <c r="CE149" s="4794">
        <f t="shared" si="340"/>
        <v>0</v>
      </c>
      <c r="CF149" s="4794">
        <f t="shared" si="341"/>
        <v>0</v>
      </c>
    </row>
    <row r="150" spans="1:84" ht="24">
      <c r="A150" s="2172"/>
      <c r="B150" s="2172"/>
      <c r="C150" s="2172"/>
      <c r="D150" s="2173"/>
      <c r="E150" s="2493" t="s">
        <v>1029</v>
      </c>
      <c r="F150" s="2498">
        <f>SUM(F92:F97)</f>
        <v>0</v>
      </c>
      <c r="G150" s="2494">
        <f>SUM(G92:G97)</f>
        <v>0</v>
      </c>
      <c r="H150" s="2495">
        <f t="shared" ref="H150:M150" si="354">SUM(H92:H97)</f>
        <v>0</v>
      </c>
      <c r="I150" s="2494">
        <f t="shared" si="354"/>
        <v>0</v>
      </c>
      <c r="J150" s="2496">
        <f t="shared" si="354"/>
        <v>0</v>
      </c>
      <c r="K150" s="2496">
        <f t="shared" si="354"/>
        <v>0</v>
      </c>
      <c r="L150" s="2496">
        <f t="shared" si="354"/>
        <v>0</v>
      </c>
      <c r="M150" s="2495">
        <f t="shared" si="354"/>
        <v>0</v>
      </c>
      <c r="N150" s="2497">
        <f t="shared" ref="N150:N151" si="355">SUM(I150:M150)</f>
        <v>0</v>
      </c>
      <c r="O150" s="4399">
        <f t="shared" ref="O150" si="356">SUM(O92:O97)</f>
        <v>0</v>
      </c>
      <c r="P150" s="2494">
        <f t="shared" ref="P150:AL150" si="357">SUM(P92:P97)</f>
        <v>0</v>
      </c>
      <c r="Q150" s="2495">
        <f t="shared" si="357"/>
        <v>0</v>
      </c>
      <c r="R150" s="2494">
        <f t="shared" si="357"/>
        <v>0</v>
      </c>
      <c r="S150" s="2496">
        <f t="shared" si="357"/>
        <v>0</v>
      </c>
      <c r="T150" s="2496">
        <f t="shared" si="357"/>
        <v>0</v>
      </c>
      <c r="U150" s="2496">
        <f t="shared" si="357"/>
        <v>0</v>
      </c>
      <c r="V150" s="2495">
        <f t="shared" si="357"/>
        <v>0</v>
      </c>
      <c r="W150" s="2498">
        <f t="shared" ref="W150" si="358">SUM(W92:W97)</f>
        <v>0</v>
      </c>
      <c r="X150" s="2494">
        <f t="shared" si="357"/>
        <v>0</v>
      </c>
      <c r="Y150" s="2495">
        <f t="shared" si="357"/>
        <v>0</v>
      </c>
      <c r="Z150" s="2494">
        <f t="shared" si="357"/>
        <v>0</v>
      </c>
      <c r="AA150" s="2496">
        <f t="shared" si="357"/>
        <v>0</v>
      </c>
      <c r="AB150" s="2496">
        <f t="shared" si="357"/>
        <v>0</v>
      </c>
      <c r="AC150" s="2496">
        <f t="shared" si="357"/>
        <v>0</v>
      </c>
      <c r="AD150" s="2495">
        <f t="shared" si="357"/>
        <v>0</v>
      </c>
      <c r="AE150" s="2498">
        <f t="shared" ref="AE150" si="359">SUM(AE92:AE97)</f>
        <v>0</v>
      </c>
      <c r="AF150" s="2494">
        <f t="shared" si="357"/>
        <v>0</v>
      </c>
      <c r="AG150" s="2495">
        <f t="shared" si="357"/>
        <v>0</v>
      </c>
      <c r="AH150" s="2494">
        <f t="shared" si="357"/>
        <v>0</v>
      </c>
      <c r="AI150" s="2496">
        <f t="shared" si="357"/>
        <v>0</v>
      </c>
      <c r="AJ150" s="2496">
        <f t="shared" si="357"/>
        <v>0</v>
      </c>
      <c r="AK150" s="2496">
        <f t="shared" si="357"/>
        <v>0</v>
      </c>
      <c r="AL150" s="2495">
        <f t="shared" si="357"/>
        <v>0</v>
      </c>
      <c r="AM150" s="2515"/>
      <c r="AN150" s="2516"/>
      <c r="AO150" s="2515"/>
      <c r="AP150" s="2541"/>
      <c r="AQ150" s="2529"/>
      <c r="AR150" s="2376"/>
      <c r="AS150" s="2376"/>
      <c r="AT150" s="2544"/>
      <c r="AU150" s="2545"/>
      <c r="AV150" s="2376"/>
      <c r="AW150" s="2375"/>
      <c r="AX150" s="2531"/>
      <c r="AY150" s="4775"/>
      <c r="AZ150" s="4794">
        <f t="shared" si="309"/>
        <v>0</v>
      </c>
      <c r="BA150" s="4794">
        <f t="shared" si="310"/>
        <v>0</v>
      </c>
      <c r="BB150" s="4794">
        <f t="shared" si="311"/>
        <v>0</v>
      </c>
      <c r="BC150" s="4794">
        <f t="shared" si="312"/>
        <v>0</v>
      </c>
      <c r="BD150" s="4794">
        <f t="shared" si="313"/>
        <v>0</v>
      </c>
      <c r="BE150" s="4794">
        <f t="shared" si="314"/>
        <v>0</v>
      </c>
      <c r="BF150" s="4794">
        <f t="shared" si="315"/>
        <v>0</v>
      </c>
      <c r="BG150" s="4794">
        <f t="shared" si="316"/>
        <v>0</v>
      </c>
      <c r="BH150" s="4794">
        <f t="shared" si="317"/>
        <v>0</v>
      </c>
      <c r="BI150" s="4794">
        <f t="shared" si="318"/>
        <v>0</v>
      </c>
      <c r="BJ150" s="4794">
        <f t="shared" si="319"/>
        <v>0</v>
      </c>
      <c r="BK150" s="4794">
        <f t="shared" si="320"/>
        <v>0</v>
      </c>
      <c r="BL150" s="4794">
        <f t="shared" si="321"/>
        <v>0</v>
      </c>
      <c r="BM150" s="4794">
        <f t="shared" si="322"/>
        <v>0</v>
      </c>
      <c r="BN150" s="4794">
        <f t="shared" si="323"/>
        <v>0</v>
      </c>
      <c r="BO150" s="4794">
        <f t="shared" si="324"/>
        <v>0</v>
      </c>
      <c r="BP150" s="4794">
        <f t="shared" si="325"/>
        <v>0</v>
      </c>
      <c r="BQ150" s="4794">
        <f t="shared" si="326"/>
        <v>0</v>
      </c>
      <c r="BR150" s="4794">
        <f t="shared" si="327"/>
        <v>0</v>
      </c>
      <c r="BS150" s="4794">
        <f t="shared" si="328"/>
        <v>0</v>
      </c>
      <c r="BT150" s="4794">
        <f t="shared" si="329"/>
        <v>0</v>
      </c>
      <c r="BU150" s="4794">
        <f t="shared" si="330"/>
        <v>0</v>
      </c>
      <c r="BV150" s="4794">
        <f t="shared" si="331"/>
        <v>0</v>
      </c>
      <c r="BW150" s="4794">
        <f t="shared" si="332"/>
        <v>0</v>
      </c>
      <c r="BX150" s="4794">
        <f t="shared" si="333"/>
        <v>0</v>
      </c>
      <c r="BY150" s="4794">
        <f t="shared" si="334"/>
        <v>0</v>
      </c>
      <c r="BZ150" s="4794">
        <f t="shared" si="335"/>
        <v>0</v>
      </c>
      <c r="CA150" s="4794">
        <f t="shared" si="336"/>
        <v>0</v>
      </c>
      <c r="CB150" s="4794">
        <f t="shared" si="337"/>
        <v>0</v>
      </c>
      <c r="CC150" s="4794">
        <f t="shared" si="338"/>
        <v>0</v>
      </c>
      <c r="CD150" s="4794">
        <f t="shared" si="339"/>
        <v>0</v>
      </c>
      <c r="CE150" s="4794">
        <f t="shared" si="340"/>
        <v>0</v>
      </c>
      <c r="CF150" s="4794">
        <f t="shared" si="341"/>
        <v>0</v>
      </c>
    </row>
    <row r="151" spans="1:84" ht="24" customHeight="1" thickBot="1">
      <c r="A151" s="2172"/>
      <c r="B151" s="2172"/>
      <c r="C151" s="2172"/>
      <c r="D151" s="2173"/>
      <c r="E151" s="2499" t="s">
        <v>1092</v>
      </c>
      <c r="F151" s="4389">
        <f>SUM(F118:F123)</f>
        <v>0</v>
      </c>
      <c r="G151" s="2500">
        <f>SUM(G118:G123)</f>
        <v>0</v>
      </c>
      <c r="H151" s="2501">
        <f t="shared" ref="H151:M151" si="360">SUM(H118:H123)</f>
        <v>0</v>
      </c>
      <c r="I151" s="2502">
        <f t="shared" si="360"/>
        <v>0</v>
      </c>
      <c r="J151" s="2503">
        <f t="shared" si="360"/>
        <v>0</v>
      </c>
      <c r="K151" s="2503">
        <f t="shared" si="360"/>
        <v>0</v>
      </c>
      <c r="L151" s="2503">
        <f t="shared" si="360"/>
        <v>0</v>
      </c>
      <c r="M151" s="2501">
        <f t="shared" si="360"/>
        <v>0</v>
      </c>
      <c r="N151" s="2497">
        <f t="shared" si="355"/>
        <v>0</v>
      </c>
      <c r="O151" s="4400">
        <f t="shared" ref="O151" si="361">SUM(O118:O123)</f>
        <v>0</v>
      </c>
      <c r="P151" s="2502">
        <f t="shared" ref="P151:AL151" si="362">SUM(P118:P123)</f>
        <v>0</v>
      </c>
      <c r="Q151" s="2501">
        <f t="shared" si="362"/>
        <v>0</v>
      </c>
      <c r="R151" s="2502">
        <f t="shared" si="362"/>
        <v>0</v>
      </c>
      <c r="S151" s="2503">
        <f t="shared" si="362"/>
        <v>0</v>
      </c>
      <c r="T151" s="2503">
        <f t="shared" si="362"/>
        <v>0</v>
      </c>
      <c r="U151" s="2503">
        <f t="shared" si="362"/>
        <v>0</v>
      </c>
      <c r="V151" s="2501">
        <f t="shared" si="362"/>
        <v>0</v>
      </c>
      <c r="W151" s="2504">
        <f t="shared" ref="W151" si="363">SUM(W118:W123)</f>
        <v>0</v>
      </c>
      <c r="X151" s="2502">
        <f t="shared" si="362"/>
        <v>0</v>
      </c>
      <c r="Y151" s="2501">
        <f t="shared" si="362"/>
        <v>0</v>
      </c>
      <c r="Z151" s="2502">
        <f t="shared" si="362"/>
        <v>0</v>
      </c>
      <c r="AA151" s="2503">
        <f t="shared" si="362"/>
        <v>0</v>
      </c>
      <c r="AB151" s="2503">
        <f t="shared" si="362"/>
        <v>0</v>
      </c>
      <c r="AC151" s="2503">
        <f t="shared" si="362"/>
        <v>0</v>
      </c>
      <c r="AD151" s="2501">
        <f t="shared" si="362"/>
        <v>0</v>
      </c>
      <c r="AE151" s="2504">
        <f t="shared" ref="AE151" si="364">SUM(AE118:AE123)</f>
        <v>0</v>
      </c>
      <c r="AF151" s="2502">
        <f t="shared" si="362"/>
        <v>0</v>
      </c>
      <c r="AG151" s="2501">
        <f t="shared" si="362"/>
        <v>0</v>
      </c>
      <c r="AH151" s="2502">
        <f t="shared" si="362"/>
        <v>0</v>
      </c>
      <c r="AI151" s="2503">
        <f t="shared" si="362"/>
        <v>0</v>
      </c>
      <c r="AJ151" s="2503">
        <f t="shared" si="362"/>
        <v>0</v>
      </c>
      <c r="AK151" s="2503">
        <f t="shared" si="362"/>
        <v>0</v>
      </c>
      <c r="AL151" s="2501">
        <f t="shared" si="362"/>
        <v>0</v>
      </c>
      <c r="AM151" s="2515"/>
      <c r="AN151" s="2516"/>
      <c r="AO151" s="2515"/>
      <c r="AP151" s="5317"/>
      <c r="AQ151" s="5317"/>
      <c r="AR151" s="5317"/>
      <c r="AS151" s="5317"/>
      <c r="AT151" s="5317"/>
      <c r="AU151" s="5317"/>
      <c r="AV151" s="5317"/>
      <c r="AW151" s="5317"/>
      <c r="AX151" s="5317"/>
      <c r="AY151" s="4775"/>
      <c r="AZ151" s="4794">
        <f t="shared" si="309"/>
        <v>0</v>
      </c>
      <c r="BA151" s="4794">
        <f t="shared" si="310"/>
        <v>0</v>
      </c>
      <c r="BB151" s="4794">
        <f t="shared" si="311"/>
        <v>0</v>
      </c>
      <c r="BC151" s="4794">
        <f t="shared" si="312"/>
        <v>0</v>
      </c>
      <c r="BD151" s="4794">
        <f t="shared" si="313"/>
        <v>0</v>
      </c>
      <c r="BE151" s="4794">
        <f t="shared" si="314"/>
        <v>0</v>
      </c>
      <c r="BF151" s="4794">
        <f t="shared" si="315"/>
        <v>0</v>
      </c>
      <c r="BG151" s="4794">
        <f t="shared" si="316"/>
        <v>0</v>
      </c>
      <c r="BH151" s="4794">
        <f t="shared" si="317"/>
        <v>0</v>
      </c>
      <c r="BI151" s="4794">
        <f t="shared" si="318"/>
        <v>0</v>
      </c>
      <c r="BJ151" s="4794">
        <f t="shared" si="319"/>
        <v>0</v>
      </c>
      <c r="BK151" s="4794">
        <f t="shared" si="320"/>
        <v>0</v>
      </c>
      <c r="BL151" s="4794">
        <f t="shared" si="321"/>
        <v>0</v>
      </c>
      <c r="BM151" s="4794">
        <f t="shared" si="322"/>
        <v>0</v>
      </c>
      <c r="BN151" s="4794">
        <f t="shared" si="323"/>
        <v>0</v>
      </c>
      <c r="BO151" s="4794">
        <f t="shared" si="324"/>
        <v>0</v>
      </c>
      <c r="BP151" s="4794">
        <f t="shared" si="325"/>
        <v>0</v>
      </c>
      <c r="BQ151" s="4794">
        <f t="shared" si="326"/>
        <v>0</v>
      </c>
      <c r="BR151" s="4794">
        <f t="shared" si="327"/>
        <v>0</v>
      </c>
      <c r="BS151" s="4794">
        <f t="shared" si="328"/>
        <v>0</v>
      </c>
      <c r="BT151" s="4794">
        <f t="shared" si="329"/>
        <v>0</v>
      </c>
      <c r="BU151" s="4794">
        <f t="shared" si="330"/>
        <v>0</v>
      </c>
      <c r="BV151" s="4794">
        <f t="shared" si="331"/>
        <v>0</v>
      </c>
      <c r="BW151" s="4794">
        <f t="shared" si="332"/>
        <v>0</v>
      </c>
      <c r="BX151" s="4794">
        <f t="shared" si="333"/>
        <v>0</v>
      </c>
      <c r="BY151" s="4794">
        <f t="shared" si="334"/>
        <v>0</v>
      </c>
      <c r="BZ151" s="4794">
        <f t="shared" si="335"/>
        <v>0</v>
      </c>
      <c r="CA151" s="4794">
        <f t="shared" si="336"/>
        <v>0</v>
      </c>
      <c r="CB151" s="4794">
        <f t="shared" si="337"/>
        <v>0</v>
      </c>
      <c r="CC151" s="4794">
        <f t="shared" si="338"/>
        <v>0</v>
      </c>
      <c r="CD151" s="4794">
        <f t="shared" si="339"/>
        <v>0</v>
      </c>
      <c r="CE151" s="4794">
        <f t="shared" si="340"/>
        <v>0</v>
      </c>
      <c r="CF151" s="4794">
        <f t="shared" si="341"/>
        <v>0</v>
      </c>
    </row>
    <row r="152" spans="1:84">
      <c r="A152" s="2172"/>
      <c r="B152" s="2172"/>
      <c r="C152" s="2172"/>
      <c r="D152" s="2173"/>
      <c r="E152" s="2508" t="s">
        <v>941</v>
      </c>
      <c r="F152" s="2480">
        <f>SUM(F153:F157)</f>
        <v>6619.9999999999991</v>
      </c>
      <c r="G152" s="2477">
        <f>SUM(G153:G157)</f>
        <v>6950</v>
      </c>
      <c r="H152" s="2478">
        <f t="shared" ref="H152:M152" si="365">SUM(H153:H157)</f>
        <v>4907</v>
      </c>
      <c r="I152" s="2477">
        <f t="shared" si="365"/>
        <v>3892</v>
      </c>
      <c r="J152" s="2479">
        <f t="shared" si="365"/>
        <v>3319.9999999999995</v>
      </c>
      <c r="K152" s="2479">
        <f t="shared" si="365"/>
        <v>3255</v>
      </c>
      <c r="L152" s="2479">
        <f t="shared" si="365"/>
        <v>3169.9999999999995</v>
      </c>
      <c r="M152" s="2478">
        <f t="shared" si="365"/>
        <v>3304.9999999999995</v>
      </c>
      <c r="N152" s="2444">
        <f t="shared" si="200"/>
        <v>16942</v>
      </c>
      <c r="O152" s="4397">
        <f t="shared" ref="O152" si="366">SUM(O153:O155)</f>
        <v>5366.9999999999991</v>
      </c>
      <c r="P152" s="2477">
        <f t="shared" ref="P152:AL152" si="367">SUM(P153:P155)</f>
        <v>6517</v>
      </c>
      <c r="Q152" s="2478">
        <f t="shared" si="367"/>
        <v>4907</v>
      </c>
      <c r="R152" s="2477">
        <f t="shared" si="367"/>
        <v>3892</v>
      </c>
      <c r="S152" s="2479">
        <f t="shared" si="367"/>
        <v>3319.9999999999995</v>
      </c>
      <c r="T152" s="2479">
        <f t="shared" si="367"/>
        <v>3255</v>
      </c>
      <c r="U152" s="2479">
        <f t="shared" si="367"/>
        <v>3169.9999999999995</v>
      </c>
      <c r="V152" s="2509">
        <f t="shared" si="367"/>
        <v>3304.9999999999995</v>
      </c>
      <c r="W152" s="2480">
        <f t="shared" ref="W152" si="368">SUM(W153:W155)</f>
        <v>1253</v>
      </c>
      <c r="X152" s="2477">
        <f t="shared" si="367"/>
        <v>433</v>
      </c>
      <c r="Y152" s="2478">
        <f t="shared" si="367"/>
        <v>0</v>
      </c>
      <c r="Z152" s="2477">
        <f t="shared" si="367"/>
        <v>0</v>
      </c>
      <c r="AA152" s="2479">
        <f t="shared" si="367"/>
        <v>0</v>
      </c>
      <c r="AB152" s="2479">
        <f t="shared" si="367"/>
        <v>0</v>
      </c>
      <c r="AC152" s="2479">
        <f t="shared" si="367"/>
        <v>0</v>
      </c>
      <c r="AD152" s="2478">
        <f t="shared" si="367"/>
        <v>0</v>
      </c>
      <c r="AE152" s="2480">
        <f t="shared" ref="AE152" si="369">SUM(AE153:AE155)</f>
        <v>0</v>
      </c>
      <c r="AF152" s="2477">
        <f t="shared" si="367"/>
        <v>0</v>
      </c>
      <c r="AG152" s="2478">
        <f t="shared" si="367"/>
        <v>0</v>
      </c>
      <c r="AH152" s="2477">
        <f t="shared" si="367"/>
        <v>0</v>
      </c>
      <c r="AI152" s="2479">
        <f t="shared" si="367"/>
        <v>0</v>
      </c>
      <c r="AJ152" s="2479">
        <f t="shared" si="367"/>
        <v>0</v>
      </c>
      <c r="AK152" s="2479">
        <f t="shared" si="367"/>
        <v>0</v>
      </c>
      <c r="AL152" s="2478">
        <f t="shared" si="367"/>
        <v>0</v>
      </c>
      <c r="AM152" s="2515"/>
      <c r="AN152" s="2516"/>
      <c r="AO152" s="2515"/>
      <c r="AP152" s="5088"/>
      <c r="AQ152" s="5088"/>
      <c r="AR152" s="5088"/>
      <c r="AS152" s="5088"/>
      <c r="AT152" s="5088"/>
      <c r="AU152" s="5088"/>
      <c r="AV152" s="5088"/>
      <c r="AW152" s="5088"/>
      <c r="AX152" s="5088"/>
      <c r="AY152" s="4775"/>
      <c r="AZ152" s="4794">
        <f t="shared" si="309"/>
        <v>3384.752253518966</v>
      </c>
      <c r="BA152" s="4794">
        <f t="shared" si="310"/>
        <v>3553.4785743137186</v>
      </c>
      <c r="BB152" s="4794">
        <f t="shared" si="311"/>
        <v>2508.9092610298439</v>
      </c>
      <c r="BC152" s="4794">
        <f t="shared" si="312"/>
        <v>1989.9480016156824</v>
      </c>
      <c r="BD152" s="4794">
        <f t="shared" si="313"/>
        <v>1697.4890455714451</v>
      </c>
      <c r="BE152" s="4794">
        <f t="shared" si="314"/>
        <v>1664.2550732936911</v>
      </c>
      <c r="BF152" s="4794">
        <f t="shared" si="315"/>
        <v>1620.7952633920124</v>
      </c>
      <c r="BG152" s="4794">
        <f t="shared" si="316"/>
        <v>1689.8196673535019</v>
      </c>
      <c r="BH152" s="4794">
        <f t="shared" si="317"/>
        <v>8662.307051226333</v>
      </c>
      <c r="BI152" s="4794">
        <f t="shared" si="318"/>
        <v>2744.1035263801041</v>
      </c>
      <c r="BJ152" s="4794">
        <f t="shared" si="319"/>
        <v>3332.0891897557558</v>
      </c>
      <c r="BK152" s="4794">
        <f t="shared" si="320"/>
        <v>2508.9092610298439</v>
      </c>
      <c r="BL152" s="4794">
        <f t="shared" si="321"/>
        <v>1989.9480016156824</v>
      </c>
      <c r="BM152" s="4794">
        <f t="shared" si="322"/>
        <v>1697.4890455714451</v>
      </c>
      <c r="BN152" s="4794">
        <f t="shared" si="323"/>
        <v>1664.2550732936911</v>
      </c>
      <c r="BO152" s="4794">
        <f t="shared" si="324"/>
        <v>1620.7952633920124</v>
      </c>
      <c r="BP152" s="4794">
        <f t="shared" si="325"/>
        <v>1689.8196673535019</v>
      </c>
      <c r="BQ152" s="4794">
        <f t="shared" si="326"/>
        <v>640.64872713886177</v>
      </c>
      <c r="BR152" s="4794">
        <f t="shared" si="327"/>
        <v>221.38938455796261</v>
      </c>
      <c r="BS152" s="4794">
        <f t="shared" si="328"/>
        <v>0</v>
      </c>
      <c r="BT152" s="4794">
        <f t="shared" si="329"/>
        <v>0</v>
      </c>
      <c r="BU152" s="4794">
        <f t="shared" si="330"/>
        <v>0</v>
      </c>
      <c r="BV152" s="4794">
        <f t="shared" si="331"/>
        <v>0</v>
      </c>
      <c r="BW152" s="4794">
        <f t="shared" si="332"/>
        <v>0</v>
      </c>
      <c r="BX152" s="4794">
        <f t="shared" si="333"/>
        <v>0</v>
      </c>
      <c r="BY152" s="4794">
        <f t="shared" si="334"/>
        <v>0</v>
      </c>
      <c r="BZ152" s="4794">
        <f t="shared" si="335"/>
        <v>0</v>
      </c>
      <c r="CA152" s="4794">
        <f t="shared" si="336"/>
        <v>0</v>
      </c>
      <c r="CB152" s="4794">
        <f t="shared" si="337"/>
        <v>0</v>
      </c>
      <c r="CC152" s="4794">
        <f t="shared" si="338"/>
        <v>0</v>
      </c>
      <c r="CD152" s="4794">
        <f t="shared" si="339"/>
        <v>0</v>
      </c>
      <c r="CE152" s="4794">
        <f t="shared" si="340"/>
        <v>0</v>
      </c>
      <c r="CF152" s="4794">
        <f t="shared" si="341"/>
        <v>0</v>
      </c>
    </row>
    <row r="153" spans="1:84" ht="24">
      <c r="A153" s="2375"/>
      <c r="B153" s="2376"/>
      <c r="C153" s="2376"/>
      <c r="D153" s="2376"/>
      <c r="E153" s="2410" t="str">
        <f>E140</f>
        <v>Доставяне на вода на потребителите</v>
      </c>
      <c r="F153" s="2510">
        <f t="shared" ref="F153:G155" si="370">F140-F147</f>
        <v>5970.333333333333</v>
      </c>
      <c r="G153" s="2512">
        <f t="shared" si="370"/>
        <v>6702</v>
      </c>
      <c r="H153" s="2511">
        <f t="shared" ref="H153:M155" si="371">H140-H147</f>
        <v>4620.3333333333339</v>
      </c>
      <c r="I153" s="2512">
        <f t="shared" si="371"/>
        <v>3578.666666666667</v>
      </c>
      <c r="J153" s="2513">
        <f t="shared" si="371"/>
        <v>3006.6666666666665</v>
      </c>
      <c r="K153" s="2513">
        <f t="shared" si="371"/>
        <v>2941.666666666667</v>
      </c>
      <c r="L153" s="2513">
        <f t="shared" si="371"/>
        <v>2866.6666666666665</v>
      </c>
      <c r="M153" s="2511">
        <f t="shared" si="371"/>
        <v>3001.6666666666665</v>
      </c>
      <c r="N153" s="2278">
        <f t="shared" si="200"/>
        <v>15395.333333333332</v>
      </c>
      <c r="O153" s="4401">
        <f>O140-O147</f>
        <v>4717.333333333333</v>
      </c>
      <c r="P153" s="2512">
        <f>P140-P147</f>
        <v>6269</v>
      </c>
      <c r="Q153" s="2511">
        <f t="shared" ref="Q153:AD153" si="372">Q140-Q147</f>
        <v>4620.3333333333339</v>
      </c>
      <c r="R153" s="2512">
        <f t="shared" si="372"/>
        <v>3578.666666666667</v>
      </c>
      <c r="S153" s="2513">
        <f t="shared" si="372"/>
        <v>3006.6666666666665</v>
      </c>
      <c r="T153" s="2513">
        <f t="shared" si="372"/>
        <v>2941.666666666667</v>
      </c>
      <c r="U153" s="2513">
        <f t="shared" si="372"/>
        <v>2866.6666666666665</v>
      </c>
      <c r="V153" s="2514">
        <f t="shared" si="372"/>
        <v>3001.6666666666665</v>
      </c>
      <c r="W153" s="2510">
        <f t="shared" ref="W153" si="373">W140-W147</f>
        <v>1253</v>
      </c>
      <c r="X153" s="2512">
        <f t="shared" si="372"/>
        <v>433</v>
      </c>
      <c r="Y153" s="2511">
        <f t="shared" si="372"/>
        <v>0</v>
      </c>
      <c r="Z153" s="2512">
        <f t="shared" si="372"/>
        <v>0</v>
      </c>
      <c r="AA153" s="2513">
        <f t="shared" si="372"/>
        <v>0</v>
      </c>
      <c r="AB153" s="2513">
        <f t="shared" si="372"/>
        <v>0</v>
      </c>
      <c r="AC153" s="2513">
        <f t="shared" si="372"/>
        <v>0</v>
      </c>
      <c r="AD153" s="2511">
        <f t="shared" si="372"/>
        <v>0</v>
      </c>
      <c r="AE153" s="2510">
        <f>AE140-AE147</f>
        <v>0</v>
      </c>
      <c r="AF153" s="2512">
        <f>AF140-AF147</f>
        <v>0</v>
      </c>
      <c r="AG153" s="2511">
        <f t="shared" ref="AG153:AL153" si="374">AG140-AG147</f>
        <v>0</v>
      </c>
      <c r="AH153" s="2512">
        <f t="shared" si="374"/>
        <v>0</v>
      </c>
      <c r="AI153" s="2513">
        <f t="shared" si="374"/>
        <v>0</v>
      </c>
      <c r="AJ153" s="2513">
        <f t="shared" si="374"/>
        <v>0</v>
      </c>
      <c r="AK153" s="2513">
        <f t="shared" si="374"/>
        <v>0</v>
      </c>
      <c r="AL153" s="2511">
        <f t="shared" si="374"/>
        <v>0</v>
      </c>
      <c r="AM153" s="2382"/>
      <c r="AN153" s="2383"/>
      <c r="AO153" s="2382"/>
      <c r="AP153" s="5317"/>
      <c r="AQ153" s="5317"/>
      <c r="AR153" s="5317"/>
      <c r="AS153" s="5317"/>
      <c r="AT153" s="5317"/>
      <c r="AU153" s="5317"/>
      <c r="AV153" s="5317"/>
      <c r="AW153" s="5317"/>
      <c r="AX153" s="5317"/>
      <c r="AY153" s="4775"/>
      <c r="AZ153" s="4794">
        <f t="shared" si="309"/>
        <v>3052.5829613684896</v>
      </c>
      <c r="BA153" s="4794">
        <f t="shared" si="310"/>
        <v>3426.6781877770563</v>
      </c>
      <c r="BB153" s="4794">
        <f t="shared" si="311"/>
        <v>2362.3389217535951</v>
      </c>
      <c r="BC153" s="4794">
        <f t="shared" si="312"/>
        <v>1829.7432121742008</v>
      </c>
      <c r="BD153" s="4794">
        <f t="shared" si="313"/>
        <v>1537.2842561299635</v>
      </c>
      <c r="BE153" s="4794">
        <f t="shared" si="314"/>
        <v>1504.0502838522095</v>
      </c>
      <c r="BF153" s="4794">
        <f t="shared" si="315"/>
        <v>1465.703392762493</v>
      </c>
      <c r="BG153" s="4794">
        <f t="shared" si="316"/>
        <v>1534.7277967239825</v>
      </c>
      <c r="BH153" s="4794">
        <f t="shared" si="317"/>
        <v>7871.5089416428482</v>
      </c>
      <c r="BI153" s="4794">
        <f t="shared" si="318"/>
        <v>2411.9342342296277</v>
      </c>
      <c r="BJ153" s="4794">
        <f t="shared" si="319"/>
        <v>3205.2888032190936</v>
      </c>
      <c r="BK153" s="4794">
        <f t="shared" si="320"/>
        <v>2362.3389217535951</v>
      </c>
      <c r="BL153" s="4794">
        <f t="shared" si="321"/>
        <v>1829.7432121742008</v>
      </c>
      <c r="BM153" s="4794">
        <f t="shared" si="322"/>
        <v>1537.2842561299635</v>
      </c>
      <c r="BN153" s="4794">
        <f t="shared" si="323"/>
        <v>1504.0502838522095</v>
      </c>
      <c r="BO153" s="4794">
        <f t="shared" si="324"/>
        <v>1465.703392762493</v>
      </c>
      <c r="BP153" s="4794">
        <f t="shared" si="325"/>
        <v>1534.7277967239825</v>
      </c>
      <c r="BQ153" s="4794">
        <f t="shared" si="326"/>
        <v>640.64872713886177</v>
      </c>
      <c r="BR153" s="4794">
        <f t="shared" si="327"/>
        <v>221.38938455796261</v>
      </c>
      <c r="BS153" s="4794">
        <f t="shared" si="328"/>
        <v>0</v>
      </c>
      <c r="BT153" s="4794">
        <f t="shared" si="329"/>
        <v>0</v>
      </c>
      <c r="BU153" s="4794">
        <f t="shared" si="330"/>
        <v>0</v>
      </c>
      <c r="BV153" s="4794">
        <f t="shared" si="331"/>
        <v>0</v>
      </c>
      <c r="BW153" s="4794">
        <f t="shared" si="332"/>
        <v>0</v>
      </c>
      <c r="BX153" s="4794">
        <f t="shared" si="333"/>
        <v>0</v>
      </c>
      <c r="BY153" s="4794">
        <f t="shared" si="334"/>
        <v>0</v>
      </c>
      <c r="BZ153" s="4794">
        <f t="shared" si="335"/>
        <v>0</v>
      </c>
      <c r="CA153" s="4794">
        <f t="shared" si="336"/>
        <v>0</v>
      </c>
      <c r="CB153" s="4794">
        <f t="shared" si="337"/>
        <v>0</v>
      </c>
      <c r="CC153" s="4794">
        <f t="shared" si="338"/>
        <v>0</v>
      </c>
      <c r="CD153" s="4794">
        <f t="shared" si="339"/>
        <v>0</v>
      </c>
      <c r="CE153" s="4794">
        <f t="shared" si="340"/>
        <v>0</v>
      </c>
      <c r="CF153" s="4794">
        <f t="shared" si="341"/>
        <v>0</v>
      </c>
    </row>
    <row r="154" spans="1:84">
      <c r="A154" s="2375"/>
      <c r="B154" s="2376"/>
      <c r="C154" s="2376"/>
      <c r="D154" s="2376"/>
      <c r="E154" s="2410" t="str">
        <f t="shared" ref="E154:E155" si="375">E141</f>
        <v>Отвеждане на отпадъчните води</v>
      </c>
      <c r="F154" s="2510">
        <f t="shared" si="370"/>
        <v>485.33333333333326</v>
      </c>
      <c r="G154" s="2512">
        <f t="shared" si="370"/>
        <v>124</v>
      </c>
      <c r="H154" s="2511">
        <f t="shared" si="371"/>
        <v>153.33333333333331</v>
      </c>
      <c r="I154" s="2512">
        <f t="shared" si="371"/>
        <v>186.66666666666666</v>
      </c>
      <c r="J154" s="2513">
        <f t="shared" si="371"/>
        <v>186.66666666666666</v>
      </c>
      <c r="K154" s="2513">
        <f t="shared" si="371"/>
        <v>186.66666666666666</v>
      </c>
      <c r="L154" s="2513">
        <f t="shared" si="371"/>
        <v>176.66666666666669</v>
      </c>
      <c r="M154" s="2511">
        <f t="shared" si="371"/>
        <v>176.66666666666669</v>
      </c>
      <c r="N154" s="2278">
        <f t="shared" si="200"/>
        <v>913.33333333333348</v>
      </c>
      <c r="O154" s="4401">
        <f t="shared" ref="O154" si="376">O141-O148</f>
        <v>485.33333333333326</v>
      </c>
      <c r="P154" s="2512">
        <f t="shared" ref="P154:AL157" si="377">P141-P148</f>
        <v>124</v>
      </c>
      <c r="Q154" s="2511">
        <f t="shared" si="377"/>
        <v>153.33333333333331</v>
      </c>
      <c r="R154" s="2512">
        <f t="shared" si="377"/>
        <v>186.66666666666666</v>
      </c>
      <c r="S154" s="2513">
        <f t="shared" si="377"/>
        <v>186.66666666666666</v>
      </c>
      <c r="T154" s="2513">
        <f t="shared" si="377"/>
        <v>186.66666666666666</v>
      </c>
      <c r="U154" s="2513">
        <f t="shared" si="377"/>
        <v>176.66666666666669</v>
      </c>
      <c r="V154" s="2514">
        <f t="shared" si="377"/>
        <v>176.66666666666669</v>
      </c>
      <c r="W154" s="2510">
        <f t="shared" ref="W154" si="378">W141-W148</f>
        <v>0</v>
      </c>
      <c r="X154" s="2512">
        <f t="shared" si="377"/>
        <v>0</v>
      </c>
      <c r="Y154" s="2511">
        <f t="shared" si="377"/>
        <v>0</v>
      </c>
      <c r="Z154" s="2512">
        <f t="shared" si="377"/>
        <v>0</v>
      </c>
      <c r="AA154" s="2513">
        <f t="shared" si="377"/>
        <v>0</v>
      </c>
      <c r="AB154" s="2513">
        <f t="shared" si="377"/>
        <v>0</v>
      </c>
      <c r="AC154" s="2513">
        <f t="shared" si="377"/>
        <v>0</v>
      </c>
      <c r="AD154" s="2511">
        <f t="shared" si="377"/>
        <v>0</v>
      </c>
      <c r="AE154" s="2510">
        <f>AE141-AE148</f>
        <v>0</v>
      </c>
      <c r="AF154" s="2512">
        <f>AF141-AF148</f>
        <v>0</v>
      </c>
      <c r="AG154" s="2511">
        <f t="shared" si="377"/>
        <v>0</v>
      </c>
      <c r="AH154" s="2512">
        <f t="shared" si="377"/>
        <v>0</v>
      </c>
      <c r="AI154" s="2513">
        <f t="shared" si="377"/>
        <v>0</v>
      </c>
      <c r="AJ154" s="2513">
        <f t="shared" si="377"/>
        <v>0</v>
      </c>
      <c r="AK154" s="2513">
        <f t="shared" si="377"/>
        <v>0</v>
      </c>
      <c r="AL154" s="2511">
        <f t="shared" si="377"/>
        <v>0</v>
      </c>
      <c r="AM154" s="2382"/>
      <c r="AN154" s="2383"/>
      <c r="AO154" s="2382"/>
      <c r="AP154" s="5312"/>
      <c r="AQ154" s="5312"/>
      <c r="AR154" s="5312"/>
      <c r="AS154" s="5312"/>
      <c r="AT154" s="5312"/>
      <c r="AU154" s="5312"/>
      <c r="AV154" s="5312"/>
      <c r="AW154" s="5312"/>
      <c r="AX154" s="5312"/>
      <c r="AY154" s="4775"/>
      <c r="AZ154" s="4794">
        <f t="shared" si="309"/>
        <v>248.14699300723134</v>
      </c>
      <c r="BA154" s="4794">
        <f t="shared" si="310"/>
        <v>63.400193268331094</v>
      </c>
      <c r="BB154" s="4794">
        <f t="shared" si="311"/>
        <v>78.398088450086831</v>
      </c>
      <c r="BC154" s="4794">
        <f t="shared" si="312"/>
        <v>95.441151156627441</v>
      </c>
      <c r="BD154" s="4794">
        <f t="shared" si="313"/>
        <v>95.441151156627441</v>
      </c>
      <c r="BE154" s="4794">
        <f t="shared" si="314"/>
        <v>95.441151156627441</v>
      </c>
      <c r="BF154" s="4794">
        <f t="shared" si="315"/>
        <v>90.328232344665281</v>
      </c>
      <c r="BG154" s="4794">
        <f t="shared" si="316"/>
        <v>90.328232344665281</v>
      </c>
      <c r="BH154" s="4794">
        <f t="shared" si="317"/>
        <v>466.97991815921296</v>
      </c>
      <c r="BI154" s="4794">
        <f t="shared" si="318"/>
        <v>248.14699300723134</v>
      </c>
      <c r="BJ154" s="4794">
        <f t="shared" si="319"/>
        <v>63.400193268331094</v>
      </c>
      <c r="BK154" s="4794">
        <f t="shared" si="320"/>
        <v>78.398088450086831</v>
      </c>
      <c r="BL154" s="4794">
        <f t="shared" si="321"/>
        <v>95.441151156627441</v>
      </c>
      <c r="BM154" s="4794">
        <f t="shared" si="322"/>
        <v>95.441151156627441</v>
      </c>
      <c r="BN154" s="4794">
        <f t="shared" si="323"/>
        <v>95.441151156627441</v>
      </c>
      <c r="BO154" s="4794">
        <f t="shared" si="324"/>
        <v>90.328232344665281</v>
      </c>
      <c r="BP154" s="4794">
        <f t="shared" si="325"/>
        <v>90.328232344665281</v>
      </c>
      <c r="BQ154" s="4794">
        <f t="shared" si="326"/>
        <v>0</v>
      </c>
      <c r="BR154" s="4794">
        <f t="shared" si="327"/>
        <v>0</v>
      </c>
      <c r="BS154" s="4794">
        <f t="shared" si="328"/>
        <v>0</v>
      </c>
      <c r="BT154" s="4794">
        <f t="shared" si="329"/>
        <v>0</v>
      </c>
      <c r="BU154" s="4794">
        <f t="shared" si="330"/>
        <v>0</v>
      </c>
      <c r="BV154" s="4794">
        <f t="shared" si="331"/>
        <v>0</v>
      </c>
      <c r="BW154" s="4794">
        <f t="shared" si="332"/>
        <v>0</v>
      </c>
      <c r="BX154" s="4794">
        <f t="shared" si="333"/>
        <v>0</v>
      </c>
      <c r="BY154" s="4794">
        <f t="shared" si="334"/>
        <v>0</v>
      </c>
      <c r="BZ154" s="4794">
        <f t="shared" si="335"/>
        <v>0</v>
      </c>
      <c r="CA154" s="4794">
        <f t="shared" si="336"/>
        <v>0</v>
      </c>
      <c r="CB154" s="4794">
        <f t="shared" si="337"/>
        <v>0</v>
      </c>
      <c r="CC154" s="4794">
        <f t="shared" si="338"/>
        <v>0</v>
      </c>
      <c r="CD154" s="4794">
        <f t="shared" si="339"/>
        <v>0</v>
      </c>
      <c r="CE154" s="4794">
        <f t="shared" si="340"/>
        <v>0</v>
      </c>
      <c r="CF154" s="4794">
        <f t="shared" si="341"/>
        <v>0</v>
      </c>
    </row>
    <row r="155" spans="1:84">
      <c r="A155" s="2172"/>
      <c r="B155" s="2172"/>
      <c r="C155" s="2172"/>
      <c r="D155" s="2173"/>
      <c r="E155" s="2410" t="str">
        <f t="shared" si="375"/>
        <v>Пречистване на отпадъчните води</v>
      </c>
      <c r="F155" s="2510">
        <f t="shared" si="370"/>
        <v>164.33333333333331</v>
      </c>
      <c r="G155" s="2512">
        <f t="shared" si="370"/>
        <v>123.99999999999994</v>
      </c>
      <c r="H155" s="2511">
        <f t="shared" si="371"/>
        <v>133.33333333333331</v>
      </c>
      <c r="I155" s="2512">
        <f t="shared" si="371"/>
        <v>126.66666666666666</v>
      </c>
      <c r="J155" s="2513">
        <f t="shared" si="371"/>
        <v>126.66666666666666</v>
      </c>
      <c r="K155" s="2513">
        <f t="shared" si="371"/>
        <v>126.66666666666666</v>
      </c>
      <c r="L155" s="2513">
        <f t="shared" si="371"/>
        <v>126.66666666666667</v>
      </c>
      <c r="M155" s="2511">
        <f t="shared" si="371"/>
        <v>126.66666666666667</v>
      </c>
      <c r="N155" s="2278">
        <f t="shared" si="200"/>
        <v>633.33333333333337</v>
      </c>
      <c r="O155" s="4401">
        <f t="shared" ref="O155" si="379">O142-O149</f>
        <v>164.33333333333331</v>
      </c>
      <c r="P155" s="2512">
        <f t="shared" si="377"/>
        <v>123.99999999999994</v>
      </c>
      <c r="Q155" s="2511">
        <f t="shared" si="377"/>
        <v>133.33333333333331</v>
      </c>
      <c r="R155" s="2512">
        <f t="shared" si="377"/>
        <v>126.66666666666666</v>
      </c>
      <c r="S155" s="2513">
        <f t="shared" si="377"/>
        <v>126.66666666666666</v>
      </c>
      <c r="T155" s="2513">
        <f t="shared" si="377"/>
        <v>126.66666666666666</v>
      </c>
      <c r="U155" s="2513">
        <f t="shared" si="377"/>
        <v>126.66666666666667</v>
      </c>
      <c r="V155" s="2514">
        <f t="shared" si="377"/>
        <v>126.66666666666667</v>
      </c>
      <c r="W155" s="2510">
        <f t="shared" ref="W155" si="380">W142-W149</f>
        <v>0</v>
      </c>
      <c r="X155" s="2512">
        <f t="shared" si="377"/>
        <v>0</v>
      </c>
      <c r="Y155" s="2511">
        <f t="shared" si="377"/>
        <v>0</v>
      </c>
      <c r="Z155" s="2512">
        <f t="shared" si="377"/>
        <v>0</v>
      </c>
      <c r="AA155" s="2513">
        <f t="shared" si="377"/>
        <v>0</v>
      </c>
      <c r="AB155" s="2513">
        <f t="shared" si="377"/>
        <v>0</v>
      </c>
      <c r="AC155" s="2513">
        <f t="shared" si="377"/>
        <v>0</v>
      </c>
      <c r="AD155" s="2511">
        <f t="shared" si="377"/>
        <v>0</v>
      </c>
      <c r="AE155" s="2510">
        <f t="shared" ref="AE155" si="381">AE142-AE149</f>
        <v>0</v>
      </c>
      <c r="AF155" s="2512">
        <f t="shared" si="377"/>
        <v>0</v>
      </c>
      <c r="AG155" s="2511">
        <f t="shared" si="377"/>
        <v>0</v>
      </c>
      <c r="AH155" s="2512">
        <f t="shared" si="377"/>
        <v>0</v>
      </c>
      <c r="AI155" s="2513">
        <f t="shared" si="377"/>
        <v>0</v>
      </c>
      <c r="AJ155" s="2513">
        <f t="shared" si="377"/>
        <v>0</v>
      </c>
      <c r="AK155" s="2513">
        <f t="shared" si="377"/>
        <v>0</v>
      </c>
      <c r="AL155" s="2511">
        <f t="shared" si="377"/>
        <v>0</v>
      </c>
      <c r="AM155" s="2515"/>
      <c r="AN155" s="2516"/>
      <c r="AO155" s="2515"/>
      <c r="AP155" s="2515"/>
      <c r="AQ155" s="2515"/>
      <c r="AR155" s="2172"/>
      <c r="AS155" s="2172"/>
      <c r="AT155" s="2172"/>
      <c r="AU155" s="2172"/>
      <c r="AV155" s="2172"/>
      <c r="AW155" s="2173"/>
      <c r="AX155" s="2182"/>
      <c r="AY155" s="4775"/>
      <c r="AZ155" s="4794">
        <f t="shared" si="309"/>
        <v>84.022299143245235</v>
      </c>
      <c r="BA155" s="4794">
        <f t="shared" si="310"/>
        <v>63.400193268331066</v>
      </c>
      <c r="BB155" s="4794">
        <f t="shared" si="311"/>
        <v>68.172250826162454</v>
      </c>
      <c r="BC155" s="4794">
        <f t="shared" si="312"/>
        <v>64.763638284854338</v>
      </c>
      <c r="BD155" s="4794">
        <f t="shared" si="313"/>
        <v>64.763638284854338</v>
      </c>
      <c r="BE155" s="4794">
        <f t="shared" si="314"/>
        <v>64.763638284854338</v>
      </c>
      <c r="BF155" s="4794">
        <f t="shared" si="315"/>
        <v>64.763638284854352</v>
      </c>
      <c r="BG155" s="4794">
        <f t="shared" si="316"/>
        <v>64.763638284854352</v>
      </c>
      <c r="BH155" s="4794">
        <f t="shared" si="317"/>
        <v>323.81819142427173</v>
      </c>
      <c r="BI155" s="4794">
        <f t="shared" si="318"/>
        <v>84.022299143245235</v>
      </c>
      <c r="BJ155" s="4794">
        <f t="shared" si="319"/>
        <v>63.400193268331066</v>
      </c>
      <c r="BK155" s="4794">
        <f t="shared" si="320"/>
        <v>68.172250826162454</v>
      </c>
      <c r="BL155" s="4794">
        <f t="shared" si="321"/>
        <v>64.763638284854338</v>
      </c>
      <c r="BM155" s="4794">
        <f t="shared" si="322"/>
        <v>64.763638284854338</v>
      </c>
      <c r="BN155" s="4794">
        <f t="shared" si="323"/>
        <v>64.763638284854338</v>
      </c>
      <c r="BO155" s="4794">
        <f t="shared" si="324"/>
        <v>64.763638284854352</v>
      </c>
      <c r="BP155" s="4794">
        <f t="shared" si="325"/>
        <v>64.763638284854352</v>
      </c>
      <c r="BQ155" s="4794">
        <f t="shared" si="326"/>
        <v>0</v>
      </c>
      <c r="BR155" s="4794">
        <f t="shared" si="327"/>
        <v>0</v>
      </c>
      <c r="BS155" s="4794">
        <f t="shared" si="328"/>
        <v>0</v>
      </c>
      <c r="BT155" s="4794">
        <f t="shared" si="329"/>
        <v>0</v>
      </c>
      <c r="BU155" s="4794">
        <f t="shared" si="330"/>
        <v>0</v>
      </c>
      <c r="BV155" s="4794">
        <f t="shared" si="331"/>
        <v>0</v>
      </c>
      <c r="BW155" s="4794">
        <f t="shared" si="332"/>
        <v>0</v>
      </c>
      <c r="BX155" s="4794">
        <f t="shared" si="333"/>
        <v>0</v>
      </c>
      <c r="BY155" s="4794">
        <f t="shared" si="334"/>
        <v>0</v>
      </c>
      <c r="BZ155" s="4794">
        <f t="shared" si="335"/>
        <v>0</v>
      </c>
      <c r="CA155" s="4794">
        <f t="shared" si="336"/>
        <v>0</v>
      </c>
      <c r="CB155" s="4794">
        <f t="shared" si="337"/>
        <v>0</v>
      </c>
      <c r="CC155" s="4794">
        <f t="shared" si="338"/>
        <v>0</v>
      </c>
      <c r="CD155" s="4794">
        <f t="shared" si="339"/>
        <v>0</v>
      </c>
      <c r="CE155" s="4794">
        <f t="shared" si="340"/>
        <v>0</v>
      </c>
      <c r="CF155" s="4794">
        <f t="shared" si="341"/>
        <v>0</v>
      </c>
    </row>
    <row r="156" spans="1:84" ht="11.25" customHeight="1">
      <c r="A156" s="2172"/>
      <c r="B156" s="2172"/>
      <c r="C156" s="2172"/>
      <c r="D156" s="2173"/>
      <c r="E156" s="2517" t="s">
        <v>1029</v>
      </c>
      <c r="F156" s="2510">
        <f t="shared" ref="F156" si="382">F143-F150</f>
        <v>0</v>
      </c>
      <c r="G156" s="2512">
        <f t="shared" ref="G156:M157" si="383">G143-G150</f>
        <v>0</v>
      </c>
      <c r="H156" s="2511">
        <f t="shared" si="383"/>
        <v>0</v>
      </c>
      <c r="I156" s="2512">
        <f>I143-I150</f>
        <v>0</v>
      </c>
      <c r="J156" s="2513">
        <f t="shared" si="383"/>
        <v>0</v>
      </c>
      <c r="K156" s="2513">
        <f t="shared" si="383"/>
        <v>0</v>
      </c>
      <c r="L156" s="2513">
        <f t="shared" si="383"/>
        <v>0</v>
      </c>
      <c r="M156" s="2511">
        <f t="shared" si="383"/>
        <v>0</v>
      </c>
      <c r="N156" s="2278">
        <f t="shared" si="200"/>
        <v>0</v>
      </c>
      <c r="O156" s="4402">
        <f t="shared" ref="O156" si="384">O143-O150</f>
        <v>0</v>
      </c>
      <c r="P156" s="2447">
        <f t="shared" si="377"/>
        <v>0</v>
      </c>
      <c r="Q156" s="2519">
        <f t="shared" si="377"/>
        <v>0</v>
      </c>
      <c r="R156" s="2447">
        <f t="shared" si="377"/>
        <v>0</v>
      </c>
      <c r="S156" s="2448">
        <f t="shared" si="377"/>
        <v>0</v>
      </c>
      <c r="T156" s="2448">
        <f t="shared" si="377"/>
        <v>0</v>
      </c>
      <c r="U156" s="2448">
        <f t="shared" si="377"/>
        <v>0</v>
      </c>
      <c r="V156" s="2519">
        <f t="shared" si="377"/>
        <v>0</v>
      </c>
      <c r="W156" s="2518">
        <f t="shared" ref="W156" si="385">W143-W150</f>
        <v>0</v>
      </c>
      <c r="X156" s="2447">
        <f t="shared" si="377"/>
        <v>0</v>
      </c>
      <c r="Y156" s="2519">
        <f t="shared" si="377"/>
        <v>0</v>
      </c>
      <c r="Z156" s="2447">
        <f t="shared" si="377"/>
        <v>0</v>
      </c>
      <c r="AA156" s="2448">
        <f t="shared" si="377"/>
        <v>0</v>
      </c>
      <c r="AB156" s="2448">
        <f t="shared" si="377"/>
        <v>0</v>
      </c>
      <c r="AC156" s="2448">
        <f t="shared" si="377"/>
        <v>0</v>
      </c>
      <c r="AD156" s="2519">
        <f t="shared" si="377"/>
        <v>0</v>
      </c>
      <c r="AE156" s="2518">
        <f t="shared" ref="AE156" si="386">AE143-AE150</f>
        <v>0</v>
      </c>
      <c r="AF156" s="2447">
        <f t="shared" si="377"/>
        <v>0</v>
      </c>
      <c r="AG156" s="2519">
        <f t="shared" si="377"/>
        <v>0</v>
      </c>
      <c r="AH156" s="2447">
        <f t="shared" si="377"/>
        <v>0</v>
      </c>
      <c r="AI156" s="2448">
        <f t="shared" si="377"/>
        <v>0</v>
      </c>
      <c r="AJ156" s="2448">
        <f t="shared" si="377"/>
        <v>0</v>
      </c>
      <c r="AK156" s="2448">
        <f t="shared" si="377"/>
        <v>0</v>
      </c>
      <c r="AL156" s="2519">
        <f t="shared" si="377"/>
        <v>0</v>
      </c>
      <c r="AM156" s="2515"/>
      <c r="AN156" s="2516"/>
      <c r="AO156" s="2515"/>
      <c r="AP156" s="2515"/>
      <c r="AQ156" s="2515"/>
      <c r="AR156" s="2172"/>
      <c r="AS156" s="2172"/>
      <c r="AT156" s="2172"/>
      <c r="AU156" s="2172"/>
      <c r="AV156" s="2172"/>
      <c r="AW156" s="2173"/>
      <c r="AX156" s="2182"/>
      <c r="AY156" s="4775"/>
      <c r="AZ156" s="4794">
        <f t="shared" si="309"/>
        <v>0</v>
      </c>
      <c r="BA156" s="4794">
        <f t="shared" si="310"/>
        <v>0</v>
      </c>
      <c r="BB156" s="4794">
        <f t="shared" si="311"/>
        <v>0</v>
      </c>
      <c r="BC156" s="4794">
        <f t="shared" si="312"/>
        <v>0</v>
      </c>
      <c r="BD156" s="4794">
        <f t="shared" si="313"/>
        <v>0</v>
      </c>
      <c r="BE156" s="4794">
        <f t="shared" si="314"/>
        <v>0</v>
      </c>
      <c r="BF156" s="4794">
        <f t="shared" si="315"/>
        <v>0</v>
      </c>
      <c r="BG156" s="4794">
        <f t="shared" si="316"/>
        <v>0</v>
      </c>
      <c r="BH156" s="4794">
        <f t="shared" si="317"/>
        <v>0</v>
      </c>
      <c r="BI156" s="4794">
        <f t="shared" si="318"/>
        <v>0</v>
      </c>
      <c r="BJ156" s="4794">
        <f t="shared" si="319"/>
        <v>0</v>
      </c>
      <c r="BK156" s="4794">
        <f t="shared" si="320"/>
        <v>0</v>
      </c>
      <c r="BL156" s="4794">
        <f t="shared" si="321"/>
        <v>0</v>
      </c>
      <c r="BM156" s="4794">
        <f t="shared" si="322"/>
        <v>0</v>
      </c>
      <c r="BN156" s="4794">
        <f t="shared" si="323"/>
        <v>0</v>
      </c>
      <c r="BO156" s="4794">
        <f t="shared" si="324"/>
        <v>0</v>
      </c>
      <c r="BP156" s="4794">
        <f t="shared" si="325"/>
        <v>0</v>
      </c>
      <c r="BQ156" s="4794">
        <f t="shared" si="326"/>
        <v>0</v>
      </c>
      <c r="BR156" s="4794">
        <f t="shared" si="327"/>
        <v>0</v>
      </c>
      <c r="BS156" s="4794">
        <f t="shared" si="328"/>
        <v>0</v>
      </c>
      <c r="BT156" s="4794">
        <f t="shared" si="329"/>
        <v>0</v>
      </c>
      <c r="BU156" s="4794">
        <f t="shared" si="330"/>
        <v>0</v>
      </c>
      <c r="BV156" s="4794">
        <f t="shared" si="331"/>
        <v>0</v>
      </c>
      <c r="BW156" s="4794">
        <f t="shared" si="332"/>
        <v>0</v>
      </c>
      <c r="BX156" s="4794">
        <f t="shared" si="333"/>
        <v>0</v>
      </c>
      <c r="BY156" s="4794">
        <f t="shared" si="334"/>
        <v>0</v>
      </c>
      <c r="BZ156" s="4794">
        <f t="shared" si="335"/>
        <v>0</v>
      </c>
      <c r="CA156" s="4794">
        <f t="shared" si="336"/>
        <v>0</v>
      </c>
      <c r="CB156" s="4794">
        <f t="shared" si="337"/>
        <v>0</v>
      </c>
      <c r="CC156" s="4794">
        <f t="shared" si="338"/>
        <v>0</v>
      </c>
      <c r="CD156" s="4794">
        <f t="shared" si="339"/>
        <v>0</v>
      </c>
      <c r="CE156" s="4794">
        <f t="shared" si="340"/>
        <v>0</v>
      </c>
      <c r="CF156" s="4794">
        <f t="shared" si="341"/>
        <v>0</v>
      </c>
    </row>
    <row r="157" spans="1:84" ht="24.75" thickBot="1">
      <c r="A157" s="2172"/>
      <c r="B157" s="2172"/>
      <c r="C157" s="2172"/>
      <c r="D157" s="2173"/>
      <c r="E157" s="2520" t="s">
        <v>1092</v>
      </c>
      <c r="F157" s="2521">
        <f>F144-F151</f>
        <v>0</v>
      </c>
      <c r="G157" s="2523">
        <f>G144-G151</f>
        <v>0</v>
      </c>
      <c r="H157" s="2522">
        <f t="shared" si="383"/>
        <v>0</v>
      </c>
      <c r="I157" s="2523">
        <f t="shared" si="383"/>
        <v>0</v>
      </c>
      <c r="J157" s="2524">
        <f t="shared" si="383"/>
        <v>0</v>
      </c>
      <c r="K157" s="2524">
        <f t="shared" si="383"/>
        <v>0</v>
      </c>
      <c r="L157" s="2524">
        <f t="shared" si="383"/>
        <v>0</v>
      </c>
      <c r="M157" s="2522">
        <f t="shared" si="383"/>
        <v>0</v>
      </c>
      <c r="N157" s="2464">
        <f t="shared" si="200"/>
        <v>0</v>
      </c>
      <c r="O157" s="4403">
        <f t="shared" ref="O157" si="387">O144-O151</f>
        <v>0</v>
      </c>
      <c r="P157" s="2527">
        <f t="shared" si="377"/>
        <v>0</v>
      </c>
      <c r="Q157" s="2526">
        <f t="shared" si="377"/>
        <v>0</v>
      </c>
      <c r="R157" s="2527">
        <f t="shared" si="377"/>
        <v>0</v>
      </c>
      <c r="S157" s="2528">
        <f t="shared" si="377"/>
        <v>0</v>
      </c>
      <c r="T157" s="2528">
        <f t="shared" si="377"/>
        <v>0</v>
      </c>
      <c r="U157" s="2528">
        <f t="shared" si="377"/>
        <v>0</v>
      </c>
      <c r="V157" s="2526">
        <f t="shared" si="377"/>
        <v>0</v>
      </c>
      <c r="W157" s="2525">
        <f t="shared" ref="W157" si="388">W144-W151</f>
        <v>0</v>
      </c>
      <c r="X157" s="2527">
        <f t="shared" si="377"/>
        <v>0</v>
      </c>
      <c r="Y157" s="2526">
        <f t="shared" si="377"/>
        <v>0</v>
      </c>
      <c r="Z157" s="2527">
        <f t="shared" si="377"/>
        <v>0</v>
      </c>
      <c r="AA157" s="2528">
        <f t="shared" si="377"/>
        <v>0</v>
      </c>
      <c r="AB157" s="2528">
        <f t="shared" si="377"/>
        <v>0</v>
      </c>
      <c r="AC157" s="2528">
        <f t="shared" si="377"/>
        <v>0</v>
      </c>
      <c r="AD157" s="2526">
        <f t="shared" si="377"/>
        <v>0</v>
      </c>
      <c r="AE157" s="2525">
        <f t="shared" ref="AE157" si="389">AE144-AE151</f>
        <v>0</v>
      </c>
      <c r="AF157" s="2527">
        <f t="shared" si="377"/>
        <v>0</v>
      </c>
      <c r="AG157" s="2526">
        <f t="shared" si="377"/>
        <v>0</v>
      </c>
      <c r="AH157" s="2527">
        <f t="shared" si="377"/>
        <v>0</v>
      </c>
      <c r="AI157" s="2528">
        <f t="shared" si="377"/>
        <v>0</v>
      </c>
      <c r="AJ157" s="2528">
        <f t="shared" si="377"/>
        <v>0</v>
      </c>
      <c r="AK157" s="2528">
        <f t="shared" si="377"/>
        <v>0</v>
      </c>
      <c r="AL157" s="2526">
        <f t="shared" si="377"/>
        <v>0</v>
      </c>
      <c r="AM157" s="2515"/>
      <c r="AN157" s="2516"/>
      <c r="AO157" s="2515"/>
      <c r="AP157" s="2515"/>
      <c r="AQ157" s="2515"/>
      <c r="AR157" s="2172"/>
      <c r="AS157" s="2172"/>
      <c r="AT157" s="2172"/>
      <c r="AU157" s="2172"/>
      <c r="AV157" s="2172"/>
      <c r="AW157" s="2173"/>
      <c r="AX157" s="2182"/>
      <c r="AY157" s="4775"/>
      <c r="AZ157" s="4794">
        <f t="shared" si="309"/>
        <v>0</v>
      </c>
      <c r="BA157" s="4794">
        <f t="shared" si="310"/>
        <v>0</v>
      </c>
      <c r="BB157" s="4794">
        <f t="shared" si="311"/>
        <v>0</v>
      </c>
      <c r="BC157" s="4794">
        <f t="shared" si="312"/>
        <v>0</v>
      </c>
      <c r="BD157" s="4794">
        <f t="shared" si="313"/>
        <v>0</v>
      </c>
      <c r="BE157" s="4794">
        <f t="shared" si="314"/>
        <v>0</v>
      </c>
      <c r="BF157" s="4794">
        <f t="shared" si="315"/>
        <v>0</v>
      </c>
      <c r="BG157" s="4794">
        <f t="shared" si="316"/>
        <v>0</v>
      </c>
      <c r="BH157" s="4794">
        <f t="shared" si="317"/>
        <v>0</v>
      </c>
      <c r="BI157" s="4794">
        <f t="shared" si="318"/>
        <v>0</v>
      </c>
      <c r="BJ157" s="4794">
        <f t="shared" si="319"/>
        <v>0</v>
      </c>
      <c r="BK157" s="4794">
        <f t="shared" si="320"/>
        <v>0</v>
      </c>
      <c r="BL157" s="4794">
        <f t="shared" si="321"/>
        <v>0</v>
      </c>
      <c r="BM157" s="4794">
        <f t="shared" si="322"/>
        <v>0</v>
      </c>
      <c r="BN157" s="4794">
        <f t="shared" si="323"/>
        <v>0</v>
      </c>
      <c r="BO157" s="4794">
        <f t="shared" si="324"/>
        <v>0</v>
      </c>
      <c r="BP157" s="4794">
        <f t="shared" si="325"/>
        <v>0</v>
      </c>
      <c r="BQ157" s="4794">
        <f t="shared" si="326"/>
        <v>0</v>
      </c>
      <c r="BR157" s="4794">
        <f t="shared" si="327"/>
        <v>0</v>
      </c>
      <c r="BS157" s="4794">
        <f t="shared" si="328"/>
        <v>0</v>
      </c>
      <c r="BT157" s="4794">
        <f t="shared" si="329"/>
        <v>0</v>
      </c>
      <c r="BU157" s="4794">
        <f t="shared" si="330"/>
        <v>0</v>
      </c>
      <c r="BV157" s="4794">
        <f t="shared" si="331"/>
        <v>0</v>
      </c>
      <c r="BW157" s="4794">
        <f t="shared" si="332"/>
        <v>0</v>
      </c>
      <c r="BX157" s="4794">
        <f t="shared" si="333"/>
        <v>0</v>
      </c>
      <c r="BY157" s="4794">
        <f t="shared" si="334"/>
        <v>0</v>
      </c>
      <c r="BZ157" s="4794">
        <f t="shared" si="335"/>
        <v>0</v>
      </c>
      <c r="CA157" s="4794">
        <f t="shared" si="336"/>
        <v>0</v>
      </c>
      <c r="CB157" s="4794">
        <f t="shared" si="337"/>
        <v>0</v>
      </c>
      <c r="CC157" s="4794">
        <f t="shared" si="338"/>
        <v>0</v>
      </c>
      <c r="CD157" s="4794">
        <f t="shared" si="339"/>
        <v>0</v>
      </c>
      <c r="CE157" s="4794">
        <f t="shared" si="340"/>
        <v>0</v>
      </c>
      <c r="CF157" s="4794">
        <f t="shared" si="341"/>
        <v>0</v>
      </c>
    </row>
    <row r="158" spans="1:84">
      <c r="A158" s="2172"/>
      <c r="B158" s="2172"/>
      <c r="C158" s="2172"/>
      <c r="D158" s="2173"/>
      <c r="E158" s="2531"/>
      <c r="F158" s="2531"/>
      <c r="G158" s="2531"/>
      <c r="H158" s="2531"/>
      <c r="I158" s="2531"/>
      <c r="J158" s="2531"/>
      <c r="K158" s="2531"/>
      <c r="L158" s="2531"/>
      <c r="M158" s="2531"/>
      <c r="N158" s="2531"/>
      <c r="O158" s="2531"/>
      <c r="P158" s="2531"/>
      <c r="Q158" s="2380"/>
      <c r="R158" s="2379"/>
      <c r="S158" s="2379"/>
      <c r="T158" s="2379"/>
      <c r="U158" s="2379"/>
      <c r="V158" s="2379"/>
      <c r="W158" s="2380"/>
      <c r="X158" s="2380"/>
      <c r="Y158" s="2380"/>
      <c r="Z158" s="2379"/>
      <c r="AA158" s="2379"/>
      <c r="AB158" s="2379"/>
      <c r="AC158" s="2379"/>
      <c r="AD158" s="2379"/>
      <c r="AE158" s="2516"/>
      <c r="AF158" s="2516"/>
      <c r="AG158" s="2516"/>
      <c r="AH158" s="2516"/>
      <c r="AI158" s="2516"/>
      <c r="AJ158" s="2516"/>
      <c r="AK158" s="2516"/>
      <c r="AL158" s="2516"/>
      <c r="AM158" s="2515"/>
      <c r="AN158" s="2516"/>
      <c r="AO158" s="2515"/>
      <c r="AP158" s="2515"/>
      <c r="AQ158" s="2515"/>
      <c r="AR158" s="2172"/>
      <c r="AS158" s="2172"/>
      <c r="AT158" s="2172"/>
      <c r="AU158" s="2172"/>
      <c r="AV158" s="2172"/>
      <c r="AW158" s="2173"/>
      <c r="AX158" s="2182"/>
    </row>
    <row r="159" spans="1:84">
      <c r="A159" s="2172"/>
      <c r="B159" s="2172"/>
      <c r="C159" s="2172"/>
      <c r="D159" s="2173"/>
      <c r="E159" s="2531"/>
      <c r="F159" s="2531"/>
      <c r="AM159" s="2515"/>
      <c r="AN159" s="2174"/>
      <c r="AO159" s="2178"/>
      <c r="AP159" s="2178"/>
      <c r="AQ159" s="2178"/>
      <c r="AR159" s="2172"/>
      <c r="AS159" s="2172"/>
      <c r="AT159" s="2172"/>
      <c r="AU159" s="2172"/>
      <c r="AV159" s="2172"/>
      <c r="AW159" s="2173"/>
      <c r="AX159" s="2182"/>
    </row>
    <row r="160" spans="1:84">
      <c r="A160" s="2172"/>
      <c r="B160" s="2172"/>
      <c r="C160" s="2172"/>
      <c r="D160" s="2173"/>
      <c r="E160" s="2531"/>
      <c r="F160" s="2531"/>
      <c r="AM160" s="2532"/>
      <c r="AN160" s="2532"/>
      <c r="AO160" s="2375"/>
      <c r="AP160" s="2533"/>
      <c r="AQ160" s="2533"/>
      <c r="AR160" s="2376"/>
      <c r="AS160" s="2376"/>
      <c r="AT160" s="2376"/>
      <c r="AU160" s="2376"/>
      <c r="AV160" s="2376"/>
      <c r="AW160" s="2173"/>
      <c r="AX160" s="2182"/>
    </row>
    <row r="161" spans="1:50" s="1330" customFormat="1" ht="29.25" customHeight="1">
      <c r="A161" s="2534"/>
      <c r="B161" s="2535"/>
      <c r="C161" s="2535"/>
      <c r="D161" s="2536"/>
      <c r="E161" s="2531"/>
      <c r="F161" s="2531"/>
      <c r="AM161" s="2537"/>
      <c r="AN161" s="2375"/>
      <c r="AO161" s="2375"/>
      <c r="AP161" s="2533"/>
      <c r="AQ161" s="2533"/>
      <c r="AR161" s="2538"/>
      <c r="AS161" s="2376"/>
      <c r="AT161" s="2376"/>
      <c r="AU161" s="2376"/>
      <c r="AV161" s="2376"/>
      <c r="AW161" s="2376"/>
      <c r="AX161" s="2182"/>
    </row>
    <row r="162" spans="1:50" s="1330" customFormat="1" ht="12.75" customHeight="1">
      <c r="A162" s="2534"/>
      <c r="B162" s="2530"/>
      <c r="C162" s="2530"/>
      <c r="D162" s="2376"/>
      <c r="E162" s="2539"/>
      <c r="F162" s="2529"/>
      <c r="AM162" s="2375"/>
      <c r="AN162" s="2375"/>
      <c r="AO162" s="2375"/>
      <c r="AP162" s="2533"/>
      <c r="AQ162" s="2533"/>
      <c r="AR162" s="2376"/>
      <c r="AS162" s="2376"/>
      <c r="AT162" s="2376"/>
      <c r="AU162" s="2376"/>
      <c r="AV162" s="2376"/>
      <c r="AW162" s="2376"/>
      <c r="AX162" s="2182"/>
    </row>
    <row r="163" spans="1:50" s="1330" customFormat="1" ht="12.75" customHeight="1">
      <c r="A163" s="2534"/>
      <c r="B163" s="2536"/>
      <c r="C163" s="2536"/>
      <c r="D163" s="2376"/>
      <c r="E163" s="2540"/>
      <c r="F163" s="2529"/>
      <c r="AM163" s="2375"/>
      <c r="AN163" s="2375"/>
      <c r="AO163" s="2375"/>
      <c r="AP163" s="2533"/>
      <c r="AQ163" s="2533"/>
      <c r="AR163" s="2376"/>
      <c r="AS163" s="2376"/>
      <c r="AT163" s="2376"/>
      <c r="AU163" s="2376"/>
      <c r="AV163" s="2376"/>
      <c r="AW163" s="2376"/>
      <c r="AX163" s="2182"/>
    </row>
    <row r="164" spans="1:50" s="1330" customFormat="1">
      <c r="B164" s="2542"/>
      <c r="C164" s="2542"/>
      <c r="D164" s="2376"/>
      <c r="E164" s="2543"/>
      <c r="F164" s="2541"/>
      <c r="AM164" s="2375"/>
      <c r="AN164" s="2375"/>
      <c r="AO164" s="2375"/>
      <c r="AP164" s="2533"/>
      <c r="AQ164" s="2533"/>
      <c r="AR164" s="2376"/>
      <c r="AS164" s="2376"/>
      <c r="AT164" s="2376"/>
      <c r="AU164" s="2376"/>
      <c r="AV164" s="2376"/>
      <c r="AW164" s="2376"/>
      <c r="AX164" s="2182"/>
    </row>
    <row r="165" spans="1:50" s="1330" customFormat="1">
      <c r="B165" s="2542"/>
      <c r="C165" s="2542"/>
      <c r="D165" s="2542"/>
      <c r="E165" s="3935"/>
      <c r="F165" s="4333"/>
      <c r="AM165" s="2546"/>
      <c r="AN165" s="2546"/>
      <c r="AO165" s="2546"/>
      <c r="AP165" s="2376"/>
      <c r="AQ165" s="2376"/>
      <c r="AR165" s="2538"/>
      <c r="AS165" s="2376"/>
      <c r="AT165" s="2376"/>
      <c r="AU165" s="2376"/>
      <c r="AV165" s="2376"/>
      <c r="AW165" s="2376"/>
      <c r="AX165" s="2547"/>
    </row>
    <row r="166" spans="1:50" s="1330" customFormat="1">
      <c r="B166" s="2548"/>
      <c r="C166" s="2548"/>
      <c r="D166" s="2548"/>
      <c r="E166" s="2548"/>
      <c r="F166" s="4334"/>
      <c r="AM166" s="2375"/>
      <c r="AN166" s="2376"/>
      <c r="AO166" s="2376"/>
      <c r="AP166" s="2376"/>
      <c r="AQ166" s="2376"/>
      <c r="AR166" s="2376"/>
      <c r="AS166" s="2375"/>
      <c r="AT166" s="2375"/>
      <c r="AU166" s="2375"/>
      <c r="AV166" s="2375"/>
      <c r="AW166" s="2376"/>
      <c r="AX166" s="2549"/>
    </row>
    <row r="167" spans="1:50" s="1330" customFormat="1">
      <c r="B167" s="2548"/>
      <c r="C167" s="2548"/>
      <c r="D167" s="2548"/>
      <c r="E167" s="2548"/>
      <c r="F167" s="4334"/>
      <c r="AM167" s="2375"/>
      <c r="AN167" s="2376"/>
      <c r="AO167" s="2375"/>
      <c r="AP167" s="2375"/>
      <c r="AQ167" s="2375"/>
      <c r="AR167" s="2375"/>
      <c r="AS167" s="2375"/>
      <c r="AT167" s="2375"/>
      <c r="AU167" s="2375"/>
      <c r="AV167" s="2375"/>
      <c r="AW167" s="2376"/>
      <c r="AX167" s="2550"/>
    </row>
    <row r="168" spans="1:50" s="1330" customFormat="1">
      <c r="B168" s="2548"/>
      <c r="C168" s="2548"/>
      <c r="D168" s="2548"/>
      <c r="E168" s="2548"/>
      <c r="F168" s="4334"/>
      <c r="AM168" s="2375"/>
      <c r="AN168" s="2376"/>
      <c r="AO168" s="2375"/>
      <c r="AP168" s="2375"/>
      <c r="AQ168" s="2375"/>
      <c r="AR168" s="2375"/>
      <c r="AS168" s="2375"/>
      <c r="AT168" s="2375"/>
      <c r="AU168" s="2375"/>
      <c r="AV168" s="2375"/>
      <c r="AW168" s="2376"/>
      <c r="AX168" s="2551"/>
    </row>
    <row r="169" spans="1:50" s="1336" customFormat="1">
      <c r="A169" s="5312"/>
      <c r="B169" s="5312"/>
      <c r="C169" s="5312"/>
      <c r="D169" s="5312"/>
      <c r="E169" s="5312"/>
      <c r="F169" s="5312"/>
      <c r="G169" s="5312"/>
      <c r="H169" s="5312"/>
      <c r="I169" s="5312"/>
      <c r="J169" s="5312"/>
      <c r="K169" s="5312"/>
      <c r="L169" s="5312"/>
      <c r="M169" s="5312"/>
      <c r="N169" s="5312"/>
      <c r="O169" s="5312"/>
      <c r="P169" s="5312"/>
      <c r="Q169" s="5312"/>
      <c r="R169" s="5312"/>
      <c r="S169" s="5312"/>
      <c r="T169" s="5312"/>
      <c r="U169" s="5312"/>
      <c r="V169" s="5312"/>
      <c r="W169" s="1292"/>
      <c r="X169" s="1292"/>
      <c r="Y169" s="1292"/>
      <c r="Z169" s="1289"/>
      <c r="AA169" s="1289"/>
      <c r="AB169" s="1289"/>
      <c r="AC169" s="1289"/>
      <c r="AD169" s="1289"/>
      <c r="AE169" s="1337"/>
      <c r="AF169" s="1337"/>
      <c r="AG169" s="1337"/>
      <c r="AH169" s="1338"/>
      <c r="AI169" s="1338"/>
      <c r="AJ169" s="1338"/>
      <c r="AK169" s="1338"/>
      <c r="AL169" s="1338"/>
      <c r="AM169" s="1338"/>
      <c r="AO169" s="1338"/>
      <c r="AP169" s="1338"/>
      <c r="AQ169" s="1338"/>
      <c r="AR169" s="1338"/>
      <c r="AS169" s="1338"/>
      <c r="AT169" s="1338"/>
      <c r="AU169" s="1338"/>
      <c r="AV169" s="1338"/>
      <c r="AX169" s="1342"/>
    </row>
    <row r="170" spans="1:50" s="1339" customFormat="1">
      <c r="A170" s="1289"/>
      <c r="B170" s="1289"/>
      <c r="C170" s="1289"/>
      <c r="D170" s="1290"/>
      <c r="E170" s="1291"/>
      <c r="F170" s="1331"/>
      <c r="G170" s="1331"/>
      <c r="H170" s="1331"/>
      <c r="I170" s="1332"/>
      <c r="J170" s="1332"/>
      <c r="K170" s="1332"/>
      <c r="L170" s="1332"/>
      <c r="M170" s="1332"/>
      <c r="N170" s="1289"/>
      <c r="O170" s="1292"/>
      <c r="P170" s="1292"/>
      <c r="Q170" s="1292"/>
      <c r="R170" s="1289"/>
      <c r="S170" s="1289"/>
      <c r="T170" s="1289"/>
      <c r="U170" s="1289"/>
      <c r="V170" s="1289"/>
      <c r="W170" s="1292"/>
      <c r="X170" s="1292"/>
      <c r="Y170" s="1292"/>
      <c r="Z170" s="1289"/>
      <c r="AA170" s="1289"/>
      <c r="AB170" s="1289"/>
      <c r="AC170" s="1289"/>
      <c r="AD170" s="1289"/>
      <c r="AE170" s="1340"/>
      <c r="AF170" s="1340"/>
      <c r="AG170" s="1340"/>
      <c r="AH170" s="1341"/>
      <c r="AI170" s="1341"/>
      <c r="AJ170" s="1341"/>
      <c r="AK170" s="1341"/>
      <c r="AL170" s="1341"/>
      <c r="AM170" s="1341"/>
      <c r="AO170" s="1341"/>
      <c r="AP170" s="1341"/>
      <c r="AQ170" s="1341"/>
      <c r="AR170" s="1341"/>
      <c r="AS170" s="1341"/>
      <c r="AT170" s="1341"/>
      <c r="AU170" s="1341"/>
      <c r="AV170" s="1341"/>
      <c r="AX170" s="1342"/>
    </row>
  </sheetData>
  <sheetProtection algorithmName="SHA-512" hashValue="VC8GWw9KBjx8oE+fSyRdr5qdWvwxgAzRWUXrIwdTxY+84FEuLJxLYuIFlMkv4derN1WlQixQX8ckfd4Cqc0cHg==" saltValue="h/Gz7RjnjvyEwIaQysoDVQ==" spinCount="100000" sheet="1" formatCells="0" formatColumns="0" formatRows="0"/>
  <mergeCells count="37">
    <mergeCell ref="BI8:BP8"/>
    <mergeCell ref="BQ8:BX8"/>
    <mergeCell ref="BY8:CF8"/>
    <mergeCell ref="A1:D1"/>
    <mergeCell ref="AZ8:BG8"/>
    <mergeCell ref="BH8:BH9"/>
    <mergeCell ref="AP145:AX145"/>
    <mergeCell ref="A2:AL2"/>
    <mergeCell ref="A72:AX72"/>
    <mergeCell ref="A98:AX98"/>
    <mergeCell ref="A10:AX10"/>
    <mergeCell ref="AX8:AX9"/>
    <mergeCell ref="A8:A9"/>
    <mergeCell ref="B8:B9"/>
    <mergeCell ref="D8:D9"/>
    <mergeCell ref="E8:E9"/>
    <mergeCell ref="AO8:AW8"/>
    <mergeCell ref="AM6:AN6"/>
    <mergeCell ref="A4:AL4"/>
    <mergeCell ref="A3:AL3"/>
    <mergeCell ref="A5:AL5"/>
    <mergeCell ref="A169:V169"/>
    <mergeCell ref="AN8:AN9"/>
    <mergeCell ref="N8:N9"/>
    <mergeCell ref="C8:C9"/>
    <mergeCell ref="AP153:AX153"/>
    <mergeCell ref="AP154:AX154"/>
    <mergeCell ref="AP151:AX151"/>
    <mergeCell ref="AP152:AX152"/>
    <mergeCell ref="AM8:AM9"/>
    <mergeCell ref="AE8:AL8"/>
    <mergeCell ref="F8:M8"/>
    <mergeCell ref="O8:V8"/>
    <mergeCell ref="W8:AD8"/>
    <mergeCell ref="AP142:AX142"/>
    <mergeCell ref="AP143:AX143"/>
    <mergeCell ref="AP144:AX144"/>
  </mergeCells>
  <printOptions horizontalCentered="1"/>
  <pageMargins left="0" right="0" top="0.51181102362204722" bottom="0.19685039370078741" header="0.31496062992125984" footer="0.11811023622047245"/>
  <pageSetup paperSize="9" scale="69" orientation="landscape" r:id="rId1"/>
  <headerFooter alignWithMargins="0">
    <oddFooter>&amp;C&amp;A&amp;RСтр. &amp;P от &amp;N</oddFooter>
  </headerFooter>
  <rowBreaks count="3" manualBreakCount="3">
    <brk id="41" max="49" man="1"/>
    <brk id="117" max="49" man="1"/>
    <brk id="157"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CU92"/>
  <sheetViews>
    <sheetView showGridLines="0" zoomScaleNormal="100" zoomScaleSheetLayoutView="100" workbookViewId="0">
      <pane xSplit="2" ySplit="8" topLeftCell="C9" activePane="bottomRight" state="frozen"/>
      <selection pane="topRight" activeCell="C1" sqref="C1"/>
      <selection pane="bottomLeft" activeCell="A9" sqref="A9"/>
      <selection pane="bottomRight" activeCell="L39" sqref="L39"/>
    </sheetView>
  </sheetViews>
  <sheetFormatPr defaultColWidth="11.85546875" defaultRowHeight="12.75"/>
  <cols>
    <col min="1" max="1" width="4.7109375" style="661" customWidth="1"/>
    <col min="2" max="2" width="50.140625" style="659" customWidth="1"/>
    <col min="3" max="4" width="7.140625" style="659" customWidth="1"/>
    <col min="5" max="5" width="7" style="659" customWidth="1"/>
    <col min="6" max="10" width="8" style="659" bestFit="1" customWidth="1"/>
    <col min="11" max="12" width="6" style="659" customWidth="1"/>
    <col min="13" max="13" width="6.42578125" style="659" customWidth="1"/>
    <col min="14" max="14" width="6.5703125" style="659" customWidth="1"/>
    <col min="15" max="18" width="6.7109375" style="659" bestFit="1" customWidth="1"/>
    <col min="19" max="20" width="6" style="659" customWidth="1"/>
    <col min="21" max="21" width="8" style="659" customWidth="1"/>
    <col min="22" max="23" width="6" style="659" customWidth="1"/>
    <col min="24" max="24" width="6.7109375" style="659" customWidth="1"/>
    <col min="25" max="28" width="6" style="659" customWidth="1"/>
    <col min="29" max="29" width="7" style="659" customWidth="1"/>
    <col min="30" max="42" width="6" style="659" customWidth="1"/>
    <col min="43" max="44" width="8" style="659" customWidth="1"/>
    <col min="45" max="50" width="7.5703125" style="659" customWidth="1"/>
    <col min="51" max="51" width="2.28515625" style="659" customWidth="1"/>
    <col min="52" max="16160" width="12.5703125" style="659" customWidth="1"/>
    <col min="16161" max="16384" width="11.85546875" style="659"/>
  </cols>
  <sheetData>
    <row r="1" spans="1:99" ht="16.5" thickBot="1">
      <c r="A1" s="5004" t="str">
        <f>+'1. Обща информация'!B40</f>
        <v>Фиксиран курс на лева към 1 евро</v>
      </c>
      <c r="B1" s="5004"/>
      <c r="C1" s="5005">
        <f>+'1. Обща информация'!$C$40</f>
        <v>1.95583</v>
      </c>
      <c r="D1" s="5005"/>
      <c r="E1" s="4437"/>
      <c r="F1" s="4437"/>
      <c r="G1" s="4437"/>
      <c r="H1" s="4437"/>
      <c r="I1" s="4437"/>
      <c r="J1" s="4437"/>
      <c r="K1" s="4437"/>
      <c r="L1" s="4437"/>
      <c r="M1" s="4437"/>
      <c r="N1" s="4437"/>
      <c r="O1" s="4437"/>
      <c r="P1" s="4437"/>
      <c r="Q1" s="4437"/>
      <c r="R1" s="4437"/>
      <c r="S1" s="4437"/>
      <c r="T1" s="4437"/>
      <c r="U1" s="4437"/>
      <c r="V1" s="4437"/>
      <c r="W1" s="4437"/>
      <c r="X1" s="4437"/>
      <c r="Y1" s="4437"/>
      <c r="Z1" s="4335" t="s">
        <v>189</v>
      </c>
      <c r="AA1" s="4335"/>
      <c r="AB1" s="3943"/>
      <c r="AC1" s="3943"/>
      <c r="AD1" s="3943"/>
      <c r="AE1" s="3943"/>
      <c r="AF1" s="3943"/>
      <c r="AG1" s="3943"/>
      <c r="AH1" s="3943"/>
      <c r="AI1" s="4335"/>
      <c r="AJ1" s="3943"/>
      <c r="AK1" s="3943"/>
      <c r="AL1" s="3943"/>
      <c r="AM1" s="3943"/>
      <c r="AN1" s="3943"/>
      <c r="AO1" s="3943"/>
      <c r="AP1" s="3943"/>
      <c r="AQ1" s="4335"/>
      <c r="AR1" s="3943"/>
      <c r="AS1" s="3943"/>
      <c r="AT1" s="3943"/>
      <c r="AU1" s="3943"/>
      <c r="AV1" s="3943"/>
      <c r="AW1" s="3943"/>
      <c r="AX1" s="3943"/>
    </row>
    <row r="2" spans="1:99" ht="18.75" customHeight="1">
      <c r="B2" s="4438"/>
      <c r="C2" s="5364" t="s">
        <v>1408</v>
      </c>
      <c r="D2" s="5364"/>
      <c r="E2" s="5364"/>
      <c r="F2" s="5364"/>
      <c r="G2" s="5364"/>
      <c r="H2" s="5364"/>
      <c r="I2" s="5364"/>
      <c r="J2" s="5364"/>
      <c r="K2" s="5364"/>
      <c r="L2" s="5364"/>
      <c r="M2" s="5364"/>
      <c r="N2" s="5364"/>
      <c r="O2" s="5364"/>
      <c r="P2" s="5364"/>
      <c r="Q2" s="5364"/>
      <c r="R2" s="5364"/>
      <c r="S2" s="4438"/>
      <c r="T2" s="4438"/>
      <c r="U2" s="4438"/>
      <c r="V2" s="4438"/>
      <c r="W2" s="4438"/>
      <c r="X2" s="4438"/>
      <c r="Y2" s="4438"/>
      <c r="Z2" s="4438"/>
      <c r="AA2" s="4336"/>
      <c r="AB2" s="3944"/>
      <c r="AC2" s="3944"/>
      <c r="AD2" s="3944"/>
      <c r="AE2" s="3944"/>
      <c r="AF2" s="3944"/>
      <c r="AG2" s="3944"/>
      <c r="AH2" s="3944"/>
      <c r="AI2" s="4336"/>
      <c r="AJ2" s="3944"/>
      <c r="AK2" s="3944"/>
      <c r="AL2" s="3944"/>
      <c r="AM2" s="3944"/>
      <c r="AN2" s="3944"/>
      <c r="AO2" s="3944"/>
      <c r="AP2" s="3944"/>
      <c r="AQ2" s="4336"/>
      <c r="AR2" s="3944"/>
      <c r="AS2" s="3944"/>
      <c r="AT2" s="3944"/>
      <c r="AU2" s="3944"/>
      <c r="AV2" s="3944"/>
      <c r="AW2" s="3944"/>
      <c r="AX2" s="3944"/>
    </row>
    <row r="3" spans="1:99" ht="18.75" customHeight="1">
      <c r="B3" s="4438"/>
      <c r="C3" s="5364" t="s">
        <v>1407</v>
      </c>
      <c r="D3" s="5364"/>
      <c r="E3" s="5364"/>
      <c r="F3" s="5364"/>
      <c r="G3" s="5364"/>
      <c r="H3" s="5364"/>
      <c r="I3" s="5364"/>
      <c r="J3" s="5364"/>
      <c r="K3" s="5364"/>
      <c r="L3" s="5364"/>
      <c r="M3" s="5364"/>
      <c r="N3" s="5364"/>
      <c r="O3" s="5364"/>
      <c r="P3" s="5364"/>
      <c r="Q3" s="5364"/>
      <c r="R3" s="5364"/>
      <c r="S3" s="4438"/>
      <c r="T3" s="4438"/>
      <c r="U3" s="4438"/>
      <c r="V3" s="4438"/>
      <c r="W3" s="4438"/>
      <c r="X3" s="4438"/>
      <c r="Y3" s="4438"/>
      <c r="Z3" s="4438"/>
      <c r="AA3" s="4336"/>
      <c r="AB3" s="3944"/>
      <c r="AC3" s="3944"/>
      <c r="AD3" s="3944"/>
      <c r="AE3" s="3944"/>
      <c r="AF3" s="3944"/>
      <c r="AG3" s="3944"/>
      <c r="AH3" s="3944"/>
      <c r="AI3" s="4336"/>
      <c r="AJ3" s="3944"/>
      <c r="AK3" s="3944"/>
      <c r="AL3" s="3944"/>
      <c r="AM3" s="3944"/>
      <c r="AN3" s="3944"/>
      <c r="AO3" s="3944"/>
      <c r="AP3" s="3944"/>
      <c r="AQ3" s="4336"/>
      <c r="AR3" s="3944"/>
      <c r="AS3" s="3944"/>
      <c r="AT3" s="3944"/>
      <c r="AU3" s="3944"/>
      <c r="AV3" s="3944"/>
      <c r="AW3" s="3944"/>
      <c r="AX3" s="3944"/>
    </row>
    <row r="4" spans="1:99" s="660" customFormat="1" ht="18.75">
      <c r="B4" s="4439"/>
      <c r="C4" s="5365" t="str">
        <f>'1. Обща информация'!A4</f>
        <v>на "ВОДОСНАБДЯВАНЕ И КАНАЛИЗАЦИЯ" ЕООД, гр. БЛАГОЕВГРАД</v>
      </c>
      <c r="D4" s="5365"/>
      <c r="E4" s="5365"/>
      <c r="F4" s="5365"/>
      <c r="G4" s="5365"/>
      <c r="H4" s="5365"/>
      <c r="I4" s="5365"/>
      <c r="J4" s="5365"/>
      <c r="K4" s="5365"/>
      <c r="L4" s="5365"/>
      <c r="M4" s="5365"/>
      <c r="N4" s="5365"/>
      <c r="O4" s="5365"/>
      <c r="P4" s="5365"/>
      <c r="Q4" s="5365"/>
      <c r="R4" s="5365"/>
      <c r="S4" s="4439"/>
      <c r="T4" s="4439"/>
      <c r="U4" s="4439"/>
      <c r="V4" s="4439"/>
      <c r="W4" s="4439"/>
      <c r="X4" s="4439"/>
      <c r="Y4" s="4439"/>
      <c r="Z4" s="4439"/>
      <c r="AA4" s="4337"/>
      <c r="AB4" s="3945"/>
      <c r="AC4" s="3945"/>
      <c r="AD4" s="3945"/>
      <c r="AE4" s="3945"/>
      <c r="AF4" s="3945"/>
      <c r="AG4" s="3945"/>
      <c r="AH4" s="3945"/>
      <c r="AI4" s="4337"/>
      <c r="AJ4" s="3945"/>
      <c r="AK4" s="3945"/>
      <c r="AL4" s="3945"/>
      <c r="AM4" s="3945"/>
      <c r="AN4" s="3945"/>
      <c r="AO4" s="3945"/>
      <c r="AP4" s="3945"/>
      <c r="AQ4" s="4337"/>
      <c r="AR4" s="3945"/>
      <c r="AS4" s="3945"/>
      <c r="AT4" s="3945"/>
      <c r="AU4" s="3945"/>
      <c r="AV4" s="3945"/>
      <c r="AW4" s="3945"/>
      <c r="AX4" s="3945"/>
    </row>
    <row r="5" spans="1:99" s="660" customFormat="1" ht="18.75">
      <c r="B5" s="4439"/>
      <c r="C5" s="5366" t="str">
        <f>'1. Обща информация'!A5</f>
        <v>ЕИК по БУЛСТАТ: 811047831</v>
      </c>
      <c r="D5" s="5366"/>
      <c r="E5" s="5366"/>
      <c r="F5" s="5366"/>
      <c r="G5" s="5366"/>
      <c r="H5" s="5366"/>
      <c r="I5" s="5366"/>
      <c r="J5" s="5366"/>
      <c r="K5" s="5366"/>
      <c r="L5" s="5366"/>
      <c r="M5" s="5366"/>
      <c r="N5" s="5366"/>
      <c r="O5" s="5366"/>
      <c r="P5" s="5366"/>
      <c r="Q5" s="5366"/>
      <c r="R5" s="5366"/>
      <c r="S5" s="4439"/>
      <c r="T5" s="4439"/>
      <c r="U5" s="4439"/>
      <c r="V5" s="4439"/>
      <c r="W5" s="4439"/>
      <c r="X5" s="4439"/>
      <c r="Y5" s="4439"/>
      <c r="Z5" s="4439"/>
      <c r="AA5" s="4337"/>
      <c r="AB5" s="3945"/>
      <c r="AC5" s="3945"/>
      <c r="AD5" s="3945"/>
      <c r="AE5" s="3945"/>
      <c r="AF5" s="3945"/>
      <c r="AG5" s="3945"/>
      <c r="AH5" s="3945"/>
      <c r="AI5" s="4337"/>
      <c r="AJ5" s="3945"/>
      <c r="AK5" s="3945"/>
      <c r="AL5" s="3945"/>
      <c r="AM5" s="3945"/>
      <c r="AN5" s="3945"/>
      <c r="AO5" s="3945"/>
      <c r="AP5" s="3945"/>
      <c r="AQ5" s="4337"/>
      <c r="AR5" s="3945"/>
      <c r="AS5" s="3945"/>
      <c r="AT5" s="3945"/>
      <c r="AU5" s="3945"/>
      <c r="AV5" s="3945"/>
      <c r="AW5" s="3945"/>
      <c r="AX5" s="3945"/>
    </row>
    <row r="6" spans="1:99" ht="16.5" thickBot="1">
      <c r="A6" s="2552"/>
      <c r="B6" s="2553"/>
      <c r="C6" s="2554"/>
      <c r="D6" s="2554"/>
      <c r="E6" s="2555"/>
      <c r="F6" s="2556"/>
      <c r="G6" s="2556"/>
      <c r="H6" s="2556"/>
      <c r="I6" s="2557"/>
      <c r="J6" s="2557"/>
      <c r="K6" s="2557"/>
      <c r="L6" s="2557"/>
      <c r="M6" s="662"/>
      <c r="N6" s="1510"/>
      <c r="O6" s="1510"/>
      <c r="P6" s="2557"/>
      <c r="Q6" s="2557"/>
      <c r="R6" s="2557"/>
      <c r="S6" s="2557"/>
      <c r="T6" s="2557"/>
      <c r="U6" s="2557"/>
      <c r="V6" s="2557"/>
      <c r="W6" s="2557"/>
      <c r="X6" s="2557"/>
      <c r="Y6" s="2557"/>
      <c r="Z6" s="2558"/>
      <c r="AA6" s="2557"/>
      <c r="AB6" s="2557"/>
      <c r="AC6" s="2557"/>
      <c r="AD6" s="2557"/>
      <c r="AE6" s="2557"/>
      <c r="AF6" s="2557"/>
      <c r="AG6" s="2557"/>
      <c r="AH6" s="2558"/>
      <c r="AI6" s="2557"/>
      <c r="AJ6" s="2557"/>
      <c r="AK6" s="2557"/>
      <c r="AL6" s="2557"/>
      <c r="AM6" s="2557"/>
      <c r="AN6" s="2557"/>
      <c r="AO6" s="2557"/>
      <c r="AP6" s="2558"/>
      <c r="AQ6" s="2557"/>
      <c r="AR6" s="2557"/>
      <c r="AS6" s="2557"/>
      <c r="AT6" s="2557"/>
      <c r="AU6" s="2557"/>
      <c r="AV6" s="2557"/>
      <c r="AW6" s="2557"/>
      <c r="AX6" s="2558" t="s">
        <v>190</v>
      </c>
      <c r="CU6" s="2558" t="s">
        <v>1891</v>
      </c>
    </row>
    <row r="7" spans="1:99" ht="13.5" customHeight="1" thickBot="1">
      <c r="A7" s="5359" t="s">
        <v>1</v>
      </c>
      <c r="B7" s="5361" t="s">
        <v>191</v>
      </c>
      <c r="C7" s="5342" t="s">
        <v>210</v>
      </c>
      <c r="D7" s="5343"/>
      <c r="E7" s="5343"/>
      <c r="F7" s="5343"/>
      <c r="G7" s="5343"/>
      <c r="H7" s="5343"/>
      <c r="I7" s="5343"/>
      <c r="J7" s="5344"/>
      <c r="K7" s="5342" t="s">
        <v>174</v>
      </c>
      <c r="L7" s="5343"/>
      <c r="M7" s="5343"/>
      <c r="N7" s="5343"/>
      <c r="O7" s="5343"/>
      <c r="P7" s="5343"/>
      <c r="Q7" s="5343"/>
      <c r="R7" s="5344"/>
      <c r="S7" s="5345" t="s">
        <v>184</v>
      </c>
      <c r="T7" s="5346"/>
      <c r="U7" s="5346"/>
      <c r="V7" s="5346"/>
      <c r="W7" s="5346"/>
      <c r="X7" s="5346"/>
      <c r="Y7" s="5346"/>
      <c r="Z7" s="5347"/>
      <c r="AA7" s="5356" t="s">
        <v>1029</v>
      </c>
      <c r="AB7" s="5357"/>
      <c r="AC7" s="5357"/>
      <c r="AD7" s="5357"/>
      <c r="AE7" s="5357"/>
      <c r="AF7" s="5357"/>
      <c r="AG7" s="5357"/>
      <c r="AH7" s="5358"/>
      <c r="AI7" s="5356" t="s">
        <v>1092</v>
      </c>
      <c r="AJ7" s="5357"/>
      <c r="AK7" s="5357"/>
      <c r="AL7" s="5357"/>
      <c r="AM7" s="5357"/>
      <c r="AN7" s="5357"/>
      <c r="AO7" s="5357"/>
      <c r="AP7" s="5358"/>
      <c r="AQ7" s="5356" t="s">
        <v>1250</v>
      </c>
      <c r="AR7" s="5357"/>
      <c r="AS7" s="5357"/>
      <c r="AT7" s="5357"/>
      <c r="AU7" s="5357"/>
      <c r="AV7" s="5357"/>
      <c r="AW7" s="5357"/>
      <c r="AX7" s="5358"/>
      <c r="AY7" s="4775"/>
      <c r="AZ7" s="5337" t="s">
        <v>210</v>
      </c>
      <c r="BA7" s="5337"/>
      <c r="BB7" s="5337"/>
      <c r="BC7" s="5337"/>
      <c r="BD7" s="5337"/>
      <c r="BE7" s="5337"/>
      <c r="BF7" s="5337"/>
      <c r="BG7" s="5337"/>
      <c r="BH7" s="5337" t="s">
        <v>174</v>
      </c>
      <c r="BI7" s="5337"/>
      <c r="BJ7" s="5337"/>
      <c r="BK7" s="5337"/>
      <c r="BL7" s="5337"/>
      <c r="BM7" s="5337"/>
      <c r="BN7" s="5337"/>
      <c r="BO7" s="5337"/>
      <c r="BP7" s="5337" t="s">
        <v>184</v>
      </c>
      <c r="BQ7" s="5337"/>
      <c r="BR7" s="5337"/>
      <c r="BS7" s="5337"/>
      <c r="BT7" s="5337"/>
      <c r="BU7" s="5337"/>
      <c r="BV7" s="5337"/>
      <c r="BW7" s="5337"/>
      <c r="BX7" s="5337" t="s">
        <v>1029</v>
      </c>
      <c r="BY7" s="5337"/>
      <c r="BZ7" s="5337"/>
      <c r="CA7" s="5337"/>
      <c r="CB7" s="5337"/>
      <c r="CC7" s="5337"/>
      <c r="CD7" s="5337"/>
      <c r="CE7" s="5337"/>
      <c r="CF7" s="5337" t="s">
        <v>1092</v>
      </c>
      <c r="CG7" s="5337"/>
      <c r="CH7" s="5337"/>
      <c r="CI7" s="5337"/>
      <c r="CJ7" s="5337"/>
      <c r="CK7" s="5337"/>
      <c r="CL7" s="5337"/>
      <c r="CM7" s="5337"/>
      <c r="CN7" s="5337" t="s">
        <v>1250</v>
      </c>
      <c r="CO7" s="5337"/>
      <c r="CP7" s="5337"/>
      <c r="CQ7" s="5337"/>
      <c r="CR7" s="5337"/>
      <c r="CS7" s="5337"/>
      <c r="CT7" s="5337"/>
      <c r="CU7" s="5337"/>
    </row>
    <row r="8" spans="1:99" s="3" customFormat="1" ht="13.5" thickBot="1">
      <c r="A8" s="5360"/>
      <c r="B8" s="5362"/>
      <c r="C8" s="4413" t="str">
        <f>+'9.Инвестиционна програма'!F9</f>
        <v>2024 г.</v>
      </c>
      <c r="D8" s="4414" t="str">
        <f>+'9.Инвестиционна програма'!G9</f>
        <v>2025 г.</v>
      </c>
      <c r="E8" s="4415" t="str">
        <f>+'9.Инвестиционна програма'!H9</f>
        <v>2026 г.</v>
      </c>
      <c r="F8" s="4415" t="str">
        <f>+'9.Инвестиционна програма'!I9</f>
        <v>2027 г.</v>
      </c>
      <c r="G8" s="4415" t="str">
        <f>+'9.Инвестиционна програма'!J9</f>
        <v>2028 г.</v>
      </c>
      <c r="H8" s="4415" t="str">
        <f>+'9.Инвестиционна програма'!K9</f>
        <v>2029 г.</v>
      </c>
      <c r="I8" s="4415" t="str">
        <f>+'9.Инвестиционна програма'!L9</f>
        <v>2030 г.</v>
      </c>
      <c r="J8" s="4416" t="str">
        <f>+'9.Инвестиционна програма'!M9</f>
        <v>2031 г.</v>
      </c>
      <c r="K8" s="4426" t="str">
        <f t="shared" ref="K8:AX8" si="0">C8</f>
        <v>2024 г.</v>
      </c>
      <c r="L8" s="4426" t="str">
        <f t="shared" si="0"/>
        <v>2025 г.</v>
      </c>
      <c r="M8" s="4415" t="str">
        <f t="shared" si="0"/>
        <v>2026 г.</v>
      </c>
      <c r="N8" s="4415" t="str">
        <f t="shared" si="0"/>
        <v>2027 г.</v>
      </c>
      <c r="O8" s="4415" t="str">
        <f t="shared" si="0"/>
        <v>2028 г.</v>
      </c>
      <c r="P8" s="4415" t="str">
        <f t="shared" si="0"/>
        <v>2029 г.</v>
      </c>
      <c r="Q8" s="4415" t="str">
        <f t="shared" si="0"/>
        <v>2030 г.</v>
      </c>
      <c r="R8" s="4427" t="str">
        <f t="shared" si="0"/>
        <v>2031 г.</v>
      </c>
      <c r="S8" s="2559" t="str">
        <f t="shared" si="0"/>
        <v>2024 г.</v>
      </c>
      <c r="T8" s="2562" t="str">
        <f t="shared" si="0"/>
        <v>2025 г.</v>
      </c>
      <c r="U8" s="2560" t="str">
        <f t="shared" si="0"/>
        <v>2026 г.</v>
      </c>
      <c r="V8" s="2560" t="str">
        <f t="shared" si="0"/>
        <v>2027 г.</v>
      </c>
      <c r="W8" s="2560" t="str">
        <f t="shared" si="0"/>
        <v>2028 г.</v>
      </c>
      <c r="X8" s="2560" t="str">
        <f t="shared" si="0"/>
        <v>2029 г.</v>
      </c>
      <c r="Y8" s="2560" t="str">
        <f t="shared" si="0"/>
        <v>2030 г.</v>
      </c>
      <c r="Z8" s="2561" t="str">
        <f t="shared" si="0"/>
        <v>2031 г.</v>
      </c>
      <c r="AA8" s="2559" t="str">
        <f t="shared" si="0"/>
        <v>2024 г.</v>
      </c>
      <c r="AB8" s="2559" t="str">
        <f t="shared" si="0"/>
        <v>2025 г.</v>
      </c>
      <c r="AC8" s="2560" t="str">
        <f t="shared" si="0"/>
        <v>2026 г.</v>
      </c>
      <c r="AD8" s="2560" t="str">
        <f t="shared" si="0"/>
        <v>2027 г.</v>
      </c>
      <c r="AE8" s="2560" t="str">
        <f t="shared" si="0"/>
        <v>2028 г.</v>
      </c>
      <c r="AF8" s="2560" t="str">
        <f t="shared" si="0"/>
        <v>2029 г.</v>
      </c>
      <c r="AG8" s="2560" t="str">
        <f t="shared" si="0"/>
        <v>2030 г.</v>
      </c>
      <c r="AH8" s="2561" t="str">
        <f t="shared" si="0"/>
        <v>2031 г.</v>
      </c>
      <c r="AI8" s="2559" t="str">
        <f t="shared" si="0"/>
        <v>2024 г.</v>
      </c>
      <c r="AJ8" s="2562" t="str">
        <f t="shared" si="0"/>
        <v>2025 г.</v>
      </c>
      <c r="AK8" s="2560" t="str">
        <f t="shared" si="0"/>
        <v>2026 г.</v>
      </c>
      <c r="AL8" s="2560" t="str">
        <f t="shared" si="0"/>
        <v>2027 г.</v>
      </c>
      <c r="AM8" s="2560" t="str">
        <f t="shared" si="0"/>
        <v>2028 г.</v>
      </c>
      <c r="AN8" s="2560" t="str">
        <f t="shared" si="0"/>
        <v>2029 г.</v>
      </c>
      <c r="AO8" s="2560" t="str">
        <f t="shared" si="0"/>
        <v>2030 г.</v>
      </c>
      <c r="AP8" s="2561" t="str">
        <f t="shared" si="0"/>
        <v>2031 г.</v>
      </c>
      <c r="AQ8" s="2559" t="str">
        <f t="shared" si="0"/>
        <v>2024 г.</v>
      </c>
      <c r="AR8" s="2562" t="str">
        <f t="shared" si="0"/>
        <v>2025 г.</v>
      </c>
      <c r="AS8" s="2560" t="str">
        <f t="shared" si="0"/>
        <v>2026 г.</v>
      </c>
      <c r="AT8" s="2560" t="str">
        <f t="shared" si="0"/>
        <v>2027 г.</v>
      </c>
      <c r="AU8" s="2560" t="str">
        <f t="shared" si="0"/>
        <v>2028 г.</v>
      </c>
      <c r="AV8" s="2560" t="str">
        <f t="shared" si="0"/>
        <v>2029 г.</v>
      </c>
      <c r="AW8" s="2560" t="str">
        <f t="shared" si="0"/>
        <v>2030 г.</v>
      </c>
      <c r="AX8" s="2561" t="str">
        <f t="shared" si="0"/>
        <v>2031 г.</v>
      </c>
      <c r="AY8" s="4775"/>
      <c r="AZ8" s="4797" t="str">
        <f>+C8</f>
        <v>2024 г.</v>
      </c>
      <c r="BA8" s="4797" t="str">
        <f t="shared" ref="BA8:BG8" si="1">+D8</f>
        <v>2025 г.</v>
      </c>
      <c r="BB8" s="4797" t="str">
        <f t="shared" si="1"/>
        <v>2026 г.</v>
      </c>
      <c r="BC8" s="4797" t="str">
        <f t="shared" si="1"/>
        <v>2027 г.</v>
      </c>
      <c r="BD8" s="4797" t="str">
        <f t="shared" si="1"/>
        <v>2028 г.</v>
      </c>
      <c r="BE8" s="4797" t="str">
        <f t="shared" si="1"/>
        <v>2029 г.</v>
      </c>
      <c r="BF8" s="4797" t="str">
        <f t="shared" si="1"/>
        <v>2030 г.</v>
      </c>
      <c r="BG8" s="4797" t="str">
        <f t="shared" si="1"/>
        <v>2031 г.</v>
      </c>
      <c r="BH8" s="4797" t="str">
        <f t="shared" ref="BH8" si="2">AZ8</f>
        <v>2024 г.</v>
      </c>
      <c r="BI8" s="4797" t="str">
        <f t="shared" ref="BI8" si="3">BA8</f>
        <v>2025 г.</v>
      </c>
      <c r="BJ8" s="4797" t="str">
        <f t="shared" ref="BJ8" si="4">BB8</f>
        <v>2026 г.</v>
      </c>
      <c r="BK8" s="4797" t="str">
        <f t="shared" ref="BK8" si="5">BC8</f>
        <v>2027 г.</v>
      </c>
      <c r="BL8" s="4797" t="str">
        <f t="shared" ref="BL8" si="6">BD8</f>
        <v>2028 г.</v>
      </c>
      <c r="BM8" s="4797" t="str">
        <f t="shared" ref="BM8" si="7">BE8</f>
        <v>2029 г.</v>
      </c>
      <c r="BN8" s="4797" t="str">
        <f t="shared" ref="BN8" si="8">BF8</f>
        <v>2030 г.</v>
      </c>
      <c r="BO8" s="4797" t="str">
        <f t="shared" ref="BO8" si="9">BG8</f>
        <v>2031 г.</v>
      </c>
      <c r="BP8" s="4797" t="str">
        <f t="shared" ref="BP8" si="10">BH8</f>
        <v>2024 г.</v>
      </c>
      <c r="BQ8" s="4797" t="str">
        <f t="shared" ref="BQ8" si="11">BI8</f>
        <v>2025 г.</v>
      </c>
      <c r="BR8" s="4797" t="str">
        <f t="shared" ref="BR8" si="12">BJ8</f>
        <v>2026 г.</v>
      </c>
      <c r="BS8" s="4797" t="str">
        <f t="shared" ref="BS8" si="13">BK8</f>
        <v>2027 г.</v>
      </c>
      <c r="BT8" s="4797" t="str">
        <f t="shared" ref="BT8" si="14">BL8</f>
        <v>2028 г.</v>
      </c>
      <c r="BU8" s="4797" t="str">
        <f t="shared" ref="BU8" si="15">BM8</f>
        <v>2029 г.</v>
      </c>
      <c r="BV8" s="4797" t="str">
        <f t="shared" ref="BV8" si="16">BN8</f>
        <v>2030 г.</v>
      </c>
      <c r="BW8" s="4797" t="str">
        <f t="shared" ref="BW8" si="17">BO8</f>
        <v>2031 г.</v>
      </c>
      <c r="BX8" s="4797" t="str">
        <f t="shared" ref="BX8" si="18">BP8</f>
        <v>2024 г.</v>
      </c>
      <c r="BY8" s="4797" t="str">
        <f t="shared" ref="BY8" si="19">BQ8</f>
        <v>2025 г.</v>
      </c>
      <c r="BZ8" s="4797" t="str">
        <f t="shared" ref="BZ8" si="20">BR8</f>
        <v>2026 г.</v>
      </c>
      <c r="CA8" s="4797" t="str">
        <f t="shared" ref="CA8" si="21">BS8</f>
        <v>2027 г.</v>
      </c>
      <c r="CB8" s="4797" t="str">
        <f t="shared" ref="CB8" si="22">BT8</f>
        <v>2028 г.</v>
      </c>
      <c r="CC8" s="4797" t="str">
        <f t="shared" ref="CC8" si="23">BU8</f>
        <v>2029 г.</v>
      </c>
      <c r="CD8" s="4797" t="str">
        <f t="shared" ref="CD8" si="24">BV8</f>
        <v>2030 г.</v>
      </c>
      <c r="CE8" s="4797" t="str">
        <f t="shared" ref="CE8" si="25">BW8</f>
        <v>2031 г.</v>
      </c>
      <c r="CF8" s="4797" t="str">
        <f t="shared" ref="CF8" si="26">BX8</f>
        <v>2024 г.</v>
      </c>
      <c r="CG8" s="4797" t="str">
        <f t="shared" ref="CG8" si="27">BY8</f>
        <v>2025 г.</v>
      </c>
      <c r="CH8" s="4797" t="str">
        <f t="shared" ref="CH8" si="28">BZ8</f>
        <v>2026 г.</v>
      </c>
      <c r="CI8" s="4797" t="str">
        <f t="shared" ref="CI8" si="29">CA8</f>
        <v>2027 г.</v>
      </c>
      <c r="CJ8" s="4797" t="str">
        <f t="shared" ref="CJ8" si="30">CB8</f>
        <v>2028 г.</v>
      </c>
      <c r="CK8" s="4797" t="str">
        <f t="shared" ref="CK8" si="31">CC8</f>
        <v>2029 г.</v>
      </c>
      <c r="CL8" s="4797" t="str">
        <f t="shared" ref="CL8" si="32">CD8</f>
        <v>2030 г.</v>
      </c>
      <c r="CM8" s="4797" t="str">
        <f t="shared" ref="CM8" si="33">CE8</f>
        <v>2031 г.</v>
      </c>
      <c r="CN8" s="4797" t="str">
        <f t="shared" ref="CN8" si="34">CF8</f>
        <v>2024 г.</v>
      </c>
      <c r="CO8" s="4797" t="str">
        <f t="shared" ref="CO8" si="35">CG8</f>
        <v>2025 г.</v>
      </c>
      <c r="CP8" s="4797" t="str">
        <f t="shared" ref="CP8" si="36">CH8</f>
        <v>2026 г.</v>
      </c>
      <c r="CQ8" s="4797" t="str">
        <f t="shared" ref="CQ8" si="37">CI8</f>
        <v>2027 г.</v>
      </c>
      <c r="CR8" s="4797" t="str">
        <f t="shared" ref="CR8" si="38">CJ8</f>
        <v>2028 г.</v>
      </c>
      <c r="CS8" s="4797" t="str">
        <f t="shared" ref="CS8" si="39">CK8</f>
        <v>2029 г.</v>
      </c>
      <c r="CT8" s="4797" t="str">
        <f t="shared" ref="CT8" si="40">CL8</f>
        <v>2030 г.</v>
      </c>
      <c r="CU8" s="4797" t="str">
        <f t="shared" ref="CU8" si="41">CM8</f>
        <v>2031 г.</v>
      </c>
    </row>
    <row r="9" spans="1:99" s="3" customFormat="1">
      <c r="A9" s="2563">
        <v>1</v>
      </c>
      <c r="B9" s="2564" t="s">
        <v>332</v>
      </c>
      <c r="C9" s="398"/>
      <c r="D9" s="398"/>
      <c r="E9" s="398"/>
      <c r="F9" s="3554">
        <f>'9.Инвестиционна програма'!I140</f>
        <v>3735.3333333333335</v>
      </c>
      <c r="G9" s="3554">
        <f>'9.Инвестиционна програма'!J140</f>
        <v>3096.6666666666665</v>
      </c>
      <c r="H9" s="3554">
        <f>'9.Инвестиционна програма'!K140</f>
        <v>3193.3333333333335</v>
      </c>
      <c r="I9" s="3554">
        <f>'9.Инвестиционна програма'!L140</f>
        <v>3340</v>
      </c>
      <c r="J9" s="3555">
        <f>'9.Инвестиционна програма'!M140</f>
        <v>3095</v>
      </c>
      <c r="K9" s="398"/>
      <c r="L9" s="398"/>
      <c r="M9" s="398"/>
      <c r="N9" s="3554">
        <f>'9.Инвестиционна програма'!I141</f>
        <v>258.33333333333331</v>
      </c>
      <c r="O9" s="3554">
        <f>'9.Инвестиционна програма'!J141</f>
        <v>236.66666666666666</v>
      </c>
      <c r="P9" s="3554">
        <f>'9.Инвестиционна програма'!K141</f>
        <v>298.33333333333331</v>
      </c>
      <c r="Q9" s="3554">
        <f>'9.Инвестиционна програма'!L141</f>
        <v>210</v>
      </c>
      <c r="R9" s="3556">
        <f>'9.Инвестиционна програма'!M141</f>
        <v>230</v>
      </c>
      <c r="S9" s="398"/>
      <c r="T9" s="398"/>
      <c r="U9" s="398"/>
      <c r="V9" s="3554">
        <f>'9.Инвестиционна програма'!I142</f>
        <v>253.33333333333331</v>
      </c>
      <c r="W9" s="3554">
        <f>'9.Инвестиционна програма'!J142</f>
        <v>216.66666666666666</v>
      </c>
      <c r="X9" s="3554">
        <f>'9.Инвестиционна програма'!K142</f>
        <v>268.33333333333331</v>
      </c>
      <c r="Y9" s="3554">
        <f>'9.Инвестиционна програма'!L142</f>
        <v>220</v>
      </c>
      <c r="Z9" s="3555">
        <f>'9.Инвестиционна програма'!M142</f>
        <v>210</v>
      </c>
      <c r="AA9" s="398"/>
      <c r="AB9" s="398"/>
      <c r="AC9" s="398"/>
      <c r="AD9" s="3554">
        <f>'9.Инвестиционна програма'!I143</f>
        <v>0</v>
      </c>
      <c r="AE9" s="3554">
        <f>'9.Инвестиционна програма'!J143</f>
        <v>0</v>
      </c>
      <c r="AF9" s="3554">
        <f>'9.Инвестиционна програма'!K143</f>
        <v>0</v>
      </c>
      <c r="AG9" s="3554">
        <f>'9.Инвестиционна програма'!L143</f>
        <v>0</v>
      </c>
      <c r="AH9" s="3555">
        <f>'9.Инвестиционна програма'!M143</f>
        <v>0</v>
      </c>
      <c r="AI9" s="398"/>
      <c r="AJ9" s="398"/>
      <c r="AK9" s="398"/>
      <c r="AL9" s="3554">
        <f>'9.Инвестиционна програма'!I144</f>
        <v>0</v>
      </c>
      <c r="AM9" s="3554">
        <f>'9.Инвестиционна програма'!J144</f>
        <v>0</v>
      </c>
      <c r="AN9" s="3554">
        <f>'9.Инвестиционна програма'!K144</f>
        <v>0</v>
      </c>
      <c r="AO9" s="3554">
        <f>'9.Инвестиционна програма'!L144</f>
        <v>0</v>
      </c>
      <c r="AP9" s="3555">
        <f>'9.Инвестиционна програма'!M144</f>
        <v>0</v>
      </c>
      <c r="AQ9" s="398"/>
      <c r="AR9" s="398"/>
      <c r="AS9" s="398"/>
      <c r="AT9" s="3554">
        <f t="shared" ref="AT9:AX10" si="42">F9+N9+V9+AD9+AL9</f>
        <v>4247</v>
      </c>
      <c r="AU9" s="3554">
        <f t="shared" si="42"/>
        <v>3549.9999999999995</v>
      </c>
      <c r="AV9" s="3554">
        <f t="shared" si="42"/>
        <v>3760.0000000000005</v>
      </c>
      <c r="AW9" s="3554">
        <f t="shared" si="42"/>
        <v>3770</v>
      </c>
      <c r="AX9" s="3555">
        <f t="shared" si="42"/>
        <v>3535</v>
      </c>
      <c r="AY9" s="4775"/>
      <c r="BC9" s="4794">
        <f>IFERROR(F9/$C$1,0)</f>
        <v>1909.8456068949415</v>
      </c>
      <c r="BD9" s="4794">
        <f t="shared" ref="BD9:BG9" si="43">IFERROR(G9/$C$1,0)</f>
        <v>1583.3005254376233</v>
      </c>
      <c r="BE9" s="4794">
        <f t="shared" si="43"/>
        <v>1632.7254072865912</v>
      </c>
      <c r="BF9" s="4794">
        <f t="shared" si="43"/>
        <v>1707.7148831953698</v>
      </c>
      <c r="BG9" s="4794">
        <f t="shared" si="43"/>
        <v>1582.4483723022963</v>
      </c>
      <c r="BK9" s="4794">
        <f>IFERROR(N9/$C$1,0)</f>
        <v>132.08373597568976</v>
      </c>
      <c r="BL9" s="4794">
        <f t="shared" ref="BL9" si="44">IFERROR(O9/$C$1,0)</f>
        <v>121.00574521643837</v>
      </c>
      <c r="BM9" s="4794">
        <f t="shared" ref="BM9" si="45">IFERROR(P9/$C$1,0)</f>
        <v>152.53541122353852</v>
      </c>
      <c r="BN9" s="4794">
        <f t="shared" ref="BN9" si="46">IFERROR(Q9/$C$1,0)</f>
        <v>107.37129505120589</v>
      </c>
      <c r="BO9" s="4794">
        <f t="shared" ref="BO9" si="47">IFERROR(R9/$C$1,0)</f>
        <v>117.59713267513025</v>
      </c>
      <c r="BS9" s="4794">
        <f>IFERROR(V9/$C$1,0)</f>
        <v>129.52727656970868</v>
      </c>
      <c r="BT9" s="4794">
        <f t="shared" ref="BT9" si="48">IFERROR(W9/$C$1,0)</f>
        <v>110.77990759251401</v>
      </c>
      <c r="BU9" s="4794">
        <f t="shared" ref="BU9" si="49">IFERROR(X9/$C$1,0)</f>
        <v>137.19665478765197</v>
      </c>
      <c r="BV9" s="4794">
        <f t="shared" ref="BV9" si="50">IFERROR(Y9/$C$1,0)</f>
        <v>112.48421386316807</v>
      </c>
      <c r="BW9" s="4794">
        <f t="shared" ref="BW9" si="51">IFERROR(Z9/$C$1,0)</f>
        <v>107.37129505120589</v>
      </c>
      <c r="CA9" s="4794">
        <f>IFERROR(AD9/$C$1,0)</f>
        <v>0</v>
      </c>
      <c r="CB9" s="4794">
        <f t="shared" ref="CB9" si="52">IFERROR(AE9/$C$1,0)</f>
        <v>0</v>
      </c>
      <c r="CC9" s="4794">
        <f t="shared" ref="CC9" si="53">IFERROR(AF9/$C$1,0)</f>
        <v>0</v>
      </c>
      <c r="CD9" s="4794">
        <f t="shared" ref="CD9" si="54">IFERROR(AG9/$C$1,0)</f>
        <v>0</v>
      </c>
      <c r="CE9" s="4794">
        <f t="shared" ref="CE9" si="55">IFERROR(AH9/$C$1,0)</f>
        <v>0</v>
      </c>
      <c r="CI9" s="4794">
        <f>IFERROR(AL9/$C$1,0)</f>
        <v>0</v>
      </c>
      <c r="CJ9" s="4794">
        <f t="shared" ref="CJ9" si="56">IFERROR(AM9/$C$1,0)</f>
        <v>0</v>
      </c>
      <c r="CK9" s="4794">
        <f t="shared" ref="CK9" si="57">IFERROR(AN9/$C$1,0)</f>
        <v>0</v>
      </c>
      <c r="CL9" s="4794">
        <f t="shared" ref="CL9" si="58">IFERROR(AO9/$C$1,0)</f>
        <v>0</v>
      </c>
      <c r="CM9" s="4794">
        <f t="shared" ref="CM9" si="59">IFERROR(AP9/$C$1,0)</f>
        <v>0</v>
      </c>
      <c r="CQ9" s="4794">
        <f>IFERROR(AT9/$C$1,0)</f>
        <v>2171.4566194403401</v>
      </c>
      <c r="CR9" s="4794">
        <f t="shared" ref="CR9" si="60">IFERROR(AU9/$C$1,0)</f>
        <v>1815.0861782465754</v>
      </c>
      <c r="CS9" s="4794">
        <f t="shared" ref="CS9" si="61">IFERROR(AV9/$C$1,0)</f>
        <v>1922.4574732977817</v>
      </c>
      <c r="CT9" s="4794">
        <f t="shared" ref="CT9" si="62">IFERROR(AW9/$C$1,0)</f>
        <v>1927.5703921097438</v>
      </c>
      <c r="CU9" s="4794">
        <f t="shared" ref="CU9" si="63">IFERROR(AX9/$C$1,0)</f>
        <v>1807.4168000286325</v>
      </c>
    </row>
    <row r="10" spans="1:99" s="665" customFormat="1">
      <c r="A10" s="2565" t="s">
        <v>463</v>
      </c>
      <c r="B10" s="2566" t="s">
        <v>939</v>
      </c>
      <c r="C10" s="397"/>
      <c r="D10" s="397"/>
      <c r="E10" s="397"/>
      <c r="F10" s="3557">
        <f>'9.Инвестиционна програма'!I147</f>
        <v>156.66666666666666</v>
      </c>
      <c r="G10" s="3557">
        <f>'9.Инвестиционна програма'!J147</f>
        <v>90</v>
      </c>
      <c r="H10" s="3557">
        <f>'9.Инвестиционна програма'!K147</f>
        <v>251.66666666666666</v>
      </c>
      <c r="I10" s="3557">
        <f>'9.Инвестиционна програма'!L147</f>
        <v>473.33333333333331</v>
      </c>
      <c r="J10" s="3558">
        <f>'9.Инвестиционна програма'!M147</f>
        <v>93.333333333333329</v>
      </c>
      <c r="K10" s="397"/>
      <c r="L10" s="397"/>
      <c r="M10" s="397"/>
      <c r="N10" s="3557">
        <f>'9.Инвестиционна програма'!I148</f>
        <v>71.666666666666657</v>
      </c>
      <c r="O10" s="3557">
        <f>'9.Инвестиционна програма'!J148</f>
        <v>50</v>
      </c>
      <c r="P10" s="3557">
        <f>'9.Инвестиционна програма'!K148</f>
        <v>111.66666666666666</v>
      </c>
      <c r="Q10" s="3557">
        <f>'9.Инвестиционна програма'!L148</f>
        <v>33.333333333333329</v>
      </c>
      <c r="R10" s="3559">
        <f>'9.Инвестиционна програма'!M148</f>
        <v>53.333333333333329</v>
      </c>
      <c r="S10" s="397"/>
      <c r="T10" s="397"/>
      <c r="U10" s="397"/>
      <c r="V10" s="3549">
        <f>'9.Инвестиционна програма'!I149</f>
        <v>126.66666666666666</v>
      </c>
      <c r="W10" s="3549">
        <f>'9.Инвестиционна програма'!J149</f>
        <v>90</v>
      </c>
      <c r="X10" s="3549">
        <f>'9.Инвестиционна програма'!K149</f>
        <v>141.66666666666666</v>
      </c>
      <c r="Y10" s="3549">
        <f>'9.Инвестиционна програма'!L149</f>
        <v>93.333333333333329</v>
      </c>
      <c r="Z10" s="3550">
        <f>'9.Инвестиционна програма'!M149</f>
        <v>83.333333333333329</v>
      </c>
      <c r="AA10" s="397"/>
      <c r="AB10" s="397"/>
      <c r="AC10" s="397"/>
      <c r="AD10" s="3549">
        <f>'9.Инвестиционна програма'!I150</f>
        <v>0</v>
      </c>
      <c r="AE10" s="3549">
        <f>'9.Инвестиционна програма'!J150</f>
        <v>0</v>
      </c>
      <c r="AF10" s="3549">
        <f>'9.Инвестиционна програма'!K150</f>
        <v>0</v>
      </c>
      <c r="AG10" s="3549">
        <f>'9.Инвестиционна програма'!L150</f>
        <v>0</v>
      </c>
      <c r="AH10" s="3550">
        <f>'9.Инвестиционна програма'!M150</f>
        <v>0</v>
      </c>
      <c r="AI10" s="397"/>
      <c r="AJ10" s="397"/>
      <c r="AK10" s="397"/>
      <c r="AL10" s="3549">
        <f>'9.Инвестиционна програма'!I151</f>
        <v>0</v>
      </c>
      <c r="AM10" s="3549">
        <f>'9.Инвестиционна програма'!J151</f>
        <v>0</v>
      </c>
      <c r="AN10" s="3549">
        <f>'9.Инвестиционна програма'!K151</f>
        <v>0</v>
      </c>
      <c r="AO10" s="3549">
        <f>'9.Инвестиционна програма'!L151</f>
        <v>0</v>
      </c>
      <c r="AP10" s="3550">
        <f>'9.Инвестиционна програма'!M151</f>
        <v>0</v>
      </c>
      <c r="AQ10" s="397"/>
      <c r="AR10" s="397"/>
      <c r="AS10" s="397"/>
      <c r="AT10" s="3549">
        <f t="shared" si="42"/>
        <v>355</v>
      </c>
      <c r="AU10" s="3549">
        <f t="shared" si="42"/>
        <v>230</v>
      </c>
      <c r="AV10" s="3549">
        <f t="shared" si="42"/>
        <v>505</v>
      </c>
      <c r="AW10" s="3549">
        <f t="shared" si="42"/>
        <v>600</v>
      </c>
      <c r="AX10" s="3550">
        <f t="shared" si="42"/>
        <v>230</v>
      </c>
      <c r="AY10" s="4775"/>
      <c r="AZ10" s="3"/>
      <c r="BA10" s="3"/>
      <c r="BB10" s="3"/>
      <c r="BC10" s="4794">
        <f t="shared" ref="BC10:BC11" si="64">IFERROR(F10/$C$1,0)</f>
        <v>80.10239472074089</v>
      </c>
      <c r="BD10" s="4794">
        <f t="shared" ref="BD10:BD11" si="65">IFERROR(G10/$C$1,0)</f>
        <v>46.016269307659663</v>
      </c>
      <c r="BE10" s="4794">
        <f t="shared" ref="BE10:BE11" si="66">IFERROR(H10/$C$1,0)</f>
        <v>128.67512343438165</v>
      </c>
      <c r="BF10" s="4794">
        <f t="shared" ref="BF10:BF11" si="67">IFERROR(I10/$C$1,0)</f>
        <v>242.01149043287674</v>
      </c>
      <c r="BG10" s="4794">
        <f t="shared" ref="BG10:BG11" si="68">IFERROR(J10/$C$1,0)</f>
        <v>47.720575578313721</v>
      </c>
      <c r="BH10" s="3"/>
      <c r="BI10" s="3"/>
      <c r="BJ10" s="3"/>
      <c r="BK10" s="4794">
        <f t="shared" ref="BK10:BK11" si="69">IFERROR(N10/$C$1,0)</f>
        <v>36.642584819062321</v>
      </c>
      <c r="BL10" s="4794">
        <f t="shared" ref="BL10:BL11" si="70">IFERROR(O10/$C$1,0)</f>
        <v>25.564594059810926</v>
      </c>
      <c r="BM10" s="4794">
        <f t="shared" ref="BM10:BM11" si="71">IFERROR(P10/$C$1,0)</f>
        <v>57.094260066911062</v>
      </c>
      <c r="BN10" s="4794">
        <f t="shared" ref="BN10:BN11" si="72">IFERROR(Q10/$C$1,0)</f>
        <v>17.043062706540614</v>
      </c>
      <c r="BO10" s="4794">
        <f t="shared" ref="BO10:BO11" si="73">IFERROR(R10/$C$1,0)</f>
        <v>27.268900330464984</v>
      </c>
      <c r="BP10" s="3"/>
      <c r="BQ10" s="3"/>
      <c r="BR10" s="3"/>
      <c r="BS10" s="4794">
        <f t="shared" ref="BS10:BS11" si="74">IFERROR(V10/$C$1,0)</f>
        <v>64.763638284854338</v>
      </c>
      <c r="BT10" s="4794">
        <f t="shared" ref="BT10:BT11" si="75">IFERROR(W10/$C$1,0)</f>
        <v>46.016269307659663</v>
      </c>
      <c r="BU10" s="4794">
        <f t="shared" ref="BU10:BU11" si="76">IFERROR(X10/$C$1,0)</f>
        <v>72.433016502797614</v>
      </c>
      <c r="BV10" s="4794">
        <f t="shared" ref="BV10:BV11" si="77">IFERROR(Y10/$C$1,0)</f>
        <v>47.720575578313721</v>
      </c>
      <c r="BW10" s="4794">
        <f t="shared" ref="BW10:BW11" si="78">IFERROR(Z10/$C$1,0)</f>
        <v>42.607656766351539</v>
      </c>
      <c r="BX10" s="3"/>
      <c r="BY10" s="3"/>
      <c r="BZ10" s="3"/>
      <c r="CA10" s="4794">
        <f t="shared" ref="CA10:CA11" si="79">IFERROR(AD10/$C$1,0)</f>
        <v>0</v>
      </c>
      <c r="CB10" s="4794">
        <f t="shared" ref="CB10:CB11" si="80">IFERROR(AE10/$C$1,0)</f>
        <v>0</v>
      </c>
      <c r="CC10" s="4794">
        <f t="shared" ref="CC10:CC11" si="81">IFERROR(AF10/$C$1,0)</f>
        <v>0</v>
      </c>
      <c r="CD10" s="4794">
        <f t="shared" ref="CD10:CD11" si="82">IFERROR(AG10/$C$1,0)</f>
        <v>0</v>
      </c>
      <c r="CE10" s="4794">
        <f t="shared" ref="CE10:CE11" si="83">IFERROR(AH10/$C$1,0)</f>
        <v>0</v>
      </c>
      <c r="CF10" s="3"/>
      <c r="CG10" s="3"/>
      <c r="CH10" s="3"/>
      <c r="CI10" s="4794">
        <f t="shared" ref="CI10:CI11" si="84">IFERROR(AL10/$C$1,0)</f>
        <v>0</v>
      </c>
      <c r="CJ10" s="4794">
        <f t="shared" ref="CJ10:CJ11" si="85">IFERROR(AM10/$C$1,0)</f>
        <v>0</v>
      </c>
      <c r="CK10" s="4794">
        <f t="shared" ref="CK10:CK11" si="86">IFERROR(AN10/$C$1,0)</f>
        <v>0</v>
      </c>
      <c r="CL10" s="4794">
        <f t="shared" ref="CL10:CL11" si="87">IFERROR(AO10/$C$1,0)</f>
        <v>0</v>
      </c>
      <c r="CM10" s="4794">
        <f t="shared" ref="CM10:CM11" si="88">IFERROR(AP10/$C$1,0)</f>
        <v>0</v>
      </c>
      <c r="CN10" s="3"/>
      <c r="CO10" s="3"/>
      <c r="CP10" s="3"/>
      <c r="CQ10" s="4794">
        <f t="shared" ref="CQ10:CQ11" si="89">IFERROR(AT10/$C$1,0)</f>
        <v>181.50861782465756</v>
      </c>
      <c r="CR10" s="4794">
        <f t="shared" ref="CR10:CR11" si="90">IFERROR(AU10/$C$1,0)</f>
        <v>117.59713267513025</v>
      </c>
      <c r="CS10" s="4794">
        <f t="shared" ref="CS10:CS11" si="91">IFERROR(AV10/$C$1,0)</f>
        <v>258.20240000409035</v>
      </c>
      <c r="CT10" s="4794">
        <f t="shared" ref="CT10:CT11" si="92">IFERROR(AW10/$C$1,0)</f>
        <v>306.77512871773109</v>
      </c>
      <c r="CU10" s="4794">
        <f t="shared" ref="CU10:CU11" si="93">IFERROR(AX10/$C$1,0)</f>
        <v>117.59713267513025</v>
      </c>
    </row>
    <row r="11" spans="1:99" s="665" customFormat="1" ht="13.5" thickBot="1">
      <c r="A11" s="2567" t="s">
        <v>465</v>
      </c>
      <c r="B11" s="2568" t="s">
        <v>938</v>
      </c>
      <c r="C11" s="4236"/>
      <c r="D11" s="4236"/>
      <c r="E11" s="4236"/>
      <c r="F11" s="3560">
        <f>'9.Инвестиционна програма'!I153</f>
        <v>3578.666666666667</v>
      </c>
      <c r="G11" s="3560">
        <f>'9.Инвестиционна програма'!J153</f>
        <v>3006.6666666666665</v>
      </c>
      <c r="H11" s="3560">
        <f>'9.Инвестиционна програма'!K153</f>
        <v>2941.666666666667</v>
      </c>
      <c r="I11" s="3560">
        <f>'9.Инвестиционна програма'!L153</f>
        <v>2866.6666666666665</v>
      </c>
      <c r="J11" s="3561">
        <f>'9.Инвестиционна програма'!M153</f>
        <v>3001.6666666666665</v>
      </c>
      <c r="K11" s="4236"/>
      <c r="L11" s="4236"/>
      <c r="M11" s="4236"/>
      <c r="N11" s="3551">
        <f>'9.Инвестиционна програма'!I154</f>
        <v>186.66666666666666</v>
      </c>
      <c r="O11" s="3551">
        <f>'9.Инвестиционна програма'!J154</f>
        <v>186.66666666666666</v>
      </c>
      <c r="P11" s="3551">
        <f>'9.Инвестиционна програма'!K154</f>
        <v>186.66666666666666</v>
      </c>
      <c r="Q11" s="3551">
        <f>'9.Инвестиционна програма'!L154</f>
        <v>176.66666666666669</v>
      </c>
      <c r="R11" s="3552">
        <f>'9.Инвестиционна програма'!M154</f>
        <v>176.66666666666669</v>
      </c>
      <c r="S11" s="4236"/>
      <c r="T11" s="4236"/>
      <c r="U11" s="4236"/>
      <c r="V11" s="3551">
        <f>'9.Инвестиционна програма'!I155</f>
        <v>126.66666666666666</v>
      </c>
      <c r="W11" s="3551">
        <f>'9.Инвестиционна програма'!J155</f>
        <v>126.66666666666666</v>
      </c>
      <c r="X11" s="3551">
        <f>'9.Инвестиционна програма'!K155</f>
        <v>126.66666666666666</v>
      </c>
      <c r="Y11" s="3551">
        <f>'9.Инвестиционна програма'!L155</f>
        <v>126.66666666666667</v>
      </c>
      <c r="Z11" s="3553">
        <f>'9.Инвестиционна програма'!M155</f>
        <v>126.66666666666667</v>
      </c>
      <c r="AA11" s="4236"/>
      <c r="AB11" s="4236"/>
      <c r="AC11" s="4236"/>
      <c r="AD11" s="3551">
        <f>'9.Инвестиционна програма'!I156</f>
        <v>0</v>
      </c>
      <c r="AE11" s="3551">
        <f>'9.Инвестиционна програма'!J156</f>
        <v>0</v>
      </c>
      <c r="AF11" s="3551">
        <f>'9.Инвестиционна програма'!K156</f>
        <v>0</v>
      </c>
      <c r="AG11" s="3551">
        <f>'9.Инвестиционна програма'!L156</f>
        <v>0</v>
      </c>
      <c r="AH11" s="3553">
        <f>'9.Инвестиционна програма'!M156</f>
        <v>0</v>
      </c>
      <c r="AI11" s="4236"/>
      <c r="AJ11" s="4236"/>
      <c r="AK11" s="4236"/>
      <c r="AL11" s="3551">
        <f>'9.Инвестиционна програма'!I157</f>
        <v>0</v>
      </c>
      <c r="AM11" s="3551">
        <f>'9.Инвестиционна програма'!J157</f>
        <v>0</v>
      </c>
      <c r="AN11" s="3551">
        <f>'9.Инвестиционна програма'!K157</f>
        <v>0</v>
      </c>
      <c r="AO11" s="3551">
        <f>'9.Инвестиционна програма'!L157</f>
        <v>0</v>
      </c>
      <c r="AP11" s="3553">
        <f>'9.Инвестиционна програма'!M157</f>
        <v>0</v>
      </c>
      <c r="AQ11" s="4236"/>
      <c r="AR11" s="4236"/>
      <c r="AS11" s="4236"/>
      <c r="AT11" s="3551">
        <f t="shared" ref="AT11:AX11" si="94">F11+N11+V11+AD11+AL11</f>
        <v>3892</v>
      </c>
      <c r="AU11" s="3551">
        <f t="shared" si="94"/>
        <v>3319.9999999999995</v>
      </c>
      <c r="AV11" s="3551">
        <f t="shared" si="94"/>
        <v>3255</v>
      </c>
      <c r="AW11" s="3551">
        <f t="shared" si="94"/>
        <v>3169.9999999999995</v>
      </c>
      <c r="AX11" s="3553">
        <f t="shared" si="94"/>
        <v>3304.9999999999995</v>
      </c>
      <c r="AY11" s="4775"/>
      <c r="AZ11" s="3"/>
      <c r="BA11" s="3"/>
      <c r="BB11" s="3"/>
      <c r="BC11" s="4794">
        <f t="shared" si="64"/>
        <v>1829.7432121742008</v>
      </c>
      <c r="BD11" s="4794">
        <f t="shared" si="65"/>
        <v>1537.2842561299635</v>
      </c>
      <c r="BE11" s="4794">
        <f t="shared" si="66"/>
        <v>1504.0502838522095</v>
      </c>
      <c r="BF11" s="4794">
        <f t="shared" si="67"/>
        <v>1465.703392762493</v>
      </c>
      <c r="BG11" s="4794">
        <f t="shared" si="68"/>
        <v>1534.7277967239825</v>
      </c>
      <c r="BH11" s="3"/>
      <c r="BI11" s="3"/>
      <c r="BJ11" s="3"/>
      <c r="BK11" s="4794">
        <f t="shared" si="69"/>
        <v>95.441151156627441</v>
      </c>
      <c r="BL11" s="4794">
        <f t="shared" si="70"/>
        <v>95.441151156627441</v>
      </c>
      <c r="BM11" s="4794">
        <f t="shared" si="71"/>
        <v>95.441151156627441</v>
      </c>
      <c r="BN11" s="4794">
        <f t="shared" si="72"/>
        <v>90.328232344665281</v>
      </c>
      <c r="BO11" s="4794">
        <f t="shared" si="73"/>
        <v>90.328232344665281</v>
      </c>
      <c r="BP11" s="3"/>
      <c r="BQ11" s="3"/>
      <c r="BR11" s="3"/>
      <c r="BS11" s="4794">
        <f t="shared" si="74"/>
        <v>64.763638284854338</v>
      </c>
      <c r="BT11" s="4794">
        <f t="shared" si="75"/>
        <v>64.763638284854338</v>
      </c>
      <c r="BU11" s="4794">
        <f t="shared" si="76"/>
        <v>64.763638284854338</v>
      </c>
      <c r="BV11" s="4794">
        <f t="shared" si="77"/>
        <v>64.763638284854352</v>
      </c>
      <c r="BW11" s="4794">
        <f t="shared" si="78"/>
        <v>64.763638284854352</v>
      </c>
      <c r="BX11" s="3"/>
      <c r="BY11" s="3"/>
      <c r="BZ11" s="3"/>
      <c r="CA11" s="4794">
        <f t="shared" si="79"/>
        <v>0</v>
      </c>
      <c r="CB11" s="4794">
        <f t="shared" si="80"/>
        <v>0</v>
      </c>
      <c r="CC11" s="4794">
        <f t="shared" si="81"/>
        <v>0</v>
      </c>
      <c r="CD11" s="4794">
        <f t="shared" si="82"/>
        <v>0</v>
      </c>
      <c r="CE11" s="4794">
        <f t="shared" si="83"/>
        <v>0</v>
      </c>
      <c r="CF11" s="3"/>
      <c r="CG11" s="3"/>
      <c r="CH11" s="3"/>
      <c r="CI11" s="4794">
        <f t="shared" si="84"/>
        <v>0</v>
      </c>
      <c r="CJ11" s="4794">
        <f t="shared" si="85"/>
        <v>0</v>
      </c>
      <c r="CK11" s="4794">
        <f t="shared" si="86"/>
        <v>0</v>
      </c>
      <c r="CL11" s="4794">
        <f t="shared" si="87"/>
        <v>0</v>
      </c>
      <c r="CM11" s="4794">
        <f t="shared" si="88"/>
        <v>0</v>
      </c>
      <c r="CN11" s="3"/>
      <c r="CO11" s="3"/>
      <c r="CP11" s="3"/>
      <c r="CQ11" s="4794">
        <f t="shared" si="89"/>
        <v>1989.9480016156824</v>
      </c>
      <c r="CR11" s="4794">
        <f t="shared" si="90"/>
        <v>1697.4890455714451</v>
      </c>
      <c r="CS11" s="4794">
        <f t="shared" si="91"/>
        <v>1664.2550732936911</v>
      </c>
      <c r="CT11" s="4794">
        <f t="shared" si="92"/>
        <v>1620.7952633920124</v>
      </c>
      <c r="CU11" s="4794">
        <f t="shared" si="93"/>
        <v>1689.8196673535019</v>
      </c>
    </row>
    <row r="12" spans="1:99" s="666" customFormat="1" ht="13.5" thickBot="1">
      <c r="A12" s="2569"/>
      <c r="B12" s="2570"/>
      <c r="C12" s="3562"/>
      <c r="D12" s="3562"/>
      <c r="E12" s="2571"/>
      <c r="F12" s="2571"/>
      <c r="G12" s="2571"/>
      <c r="H12" s="2571"/>
      <c r="I12" s="2571"/>
      <c r="J12" s="2571"/>
      <c r="K12" s="3562"/>
      <c r="L12" s="3562"/>
      <c r="M12" s="2571"/>
      <c r="N12" s="3564"/>
      <c r="O12" s="3564"/>
      <c r="P12" s="3563"/>
      <c r="Q12" s="3563"/>
      <c r="R12" s="3563"/>
      <c r="S12" s="3562"/>
      <c r="T12" s="3562"/>
      <c r="U12" s="2571"/>
      <c r="V12" s="3563"/>
      <c r="W12" s="3563"/>
      <c r="X12" s="3563"/>
      <c r="Y12" s="3563"/>
      <c r="Z12" s="3563"/>
      <c r="AA12" s="3562"/>
      <c r="AB12" s="3562"/>
      <c r="AC12" s="2571"/>
      <c r="AD12" s="3563"/>
      <c r="AE12" s="3563"/>
      <c r="AF12" s="3563"/>
      <c r="AG12" s="3563"/>
      <c r="AH12" s="3563"/>
      <c r="AI12" s="3562"/>
      <c r="AJ12" s="3562"/>
      <c r="AK12" s="2571"/>
      <c r="AL12" s="3563"/>
      <c r="AM12" s="3563"/>
      <c r="AN12" s="3563"/>
      <c r="AO12" s="3563"/>
      <c r="AP12" s="3563"/>
      <c r="AQ12" s="3562"/>
      <c r="AR12" s="3562"/>
      <c r="AS12" s="2571"/>
      <c r="AT12" s="3563"/>
      <c r="AU12" s="3563"/>
      <c r="AV12" s="3563"/>
      <c r="AW12" s="3563"/>
      <c r="AX12" s="3563"/>
      <c r="AY12" s="4775"/>
    </row>
    <row r="13" spans="1:99" s="667" customFormat="1">
      <c r="A13" s="3946">
        <v>2</v>
      </c>
      <c r="B13" s="2564" t="s">
        <v>331</v>
      </c>
      <c r="C13" s="398"/>
      <c r="D13" s="398"/>
      <c r="E13" s="398"/>
      <c r="F13" s="2572">
        <f t="shared" ref="F13:AX13" si="95">F14+F17</f>
        <v>3735.3333333333335</v>
      </c>
      <c r="G13" s="2572">
        <f t="shared" si="95"/>
        <v>3096.6666666666665</v>
      </c>
      <c r="H13" s="2572">
        <f t="shared" si="95"/>
        <v>3193.3333333333335</v>
      </c>
      <c r="I13" s="2572">
        <f t="shared" si="95"/>
        <v>3340</v>
      </c>
      <c r="J13" s="2573">
        <f t="shared" si="95"/>
        <v>3095</v>
      </c>
      <c r="K13" s="398"/>
      <c r="L13" s="398"/>
      <c r="M13" s="398"/>
      <c r="N13" s="2572">
        <f t="shared" si="95"/>
        <v>258.33333333333331</v>
      </c>
      <c r="O13" s="2572">
        <f t="shared" si="95"/>
        <v>236.66666666666666</v>
      </c>
      <c r="P13" s="2572">
        <f t="shared" si="95"/>
        <v>298.33333333333331</v>
      </c>
      <c r="Q13" s="2572">
        <f t="shared" si="95"/>
        <v>210</v>
      </c>
      <c r="R13" s="2574">
        <f t="shared" si="95"/>
        <v>230</v>
      </c>
      <c r="S13" s="398"/>
      <c r="T13" s="398"/>
      <c r="U13" s="398"/>
      <c r="V13" s="2572">
        <f t="shared" si="95"/>
        <v>253.33333333333331</v>
      </c>
      <c r="W13" s="2572">
        <f t="shared" si="95"/>
        <v>216.66666666666666</v>
      </c>
      <c r="X13" s="2572">
        <f t="shared" si="95"/>
        <v>268.33333333333331</v>
      </c>
      <c r="Y13" s="2572">
        <f t="shared" si="95"/>
        <v>220</v>
      </c>
      <c r="Z13" s="2573">
        <f t="shared" si="95"/>
        <v>210</v>
      </c>
      <c r="AA13" s="398"/>
      <c r="AB13" s="398"/>
      <c r="AC13" s="398"/>
      <c r="AD13" s="2572">
        <f t="shared" si="95"/>
        <v>0</v>
      </c>
      <c r="AE13" s="2572">
        <f t="shared" si="95"/>
        <v>0</v>
      </c>
      <c r="AF13" s="2572">
        <f t="shared" si="95"/>
        <v>0</v>
      </c>
      <c r="AG13" s="2572">
        <f t="shared" si="95"/>
        <v>0</v>
      </c>
      <c r="AH13" s="2573">
        <f t="shared" si="95"/>
        <v>0</v>
      </c>
      <c r="AI13" s="398"/>
      <c r="AJ13" s="398"/>
      <c r="AK13" s="398"/>
      <c r="AL13" s="2572">
        <f t="shared" si="95"/>
        <v>0</v>
      </c>
      <c r="AM13" s="2572">
        <f t="shared" si="95"/>
        <v>0</v>
      </c>
      <c r="AN13" s="2572">
        <f t="shared" si="95"/>
        <v>0</v>
      </c>
      <c r="AO13" s="2572">
        <f t="shared" si="95"/>
        <v>0</v>
      </c>
      <c r="AP13" s="2573">
        <f t="shared" si="95"/>
        <v>0</v>
      </c>
      <c r="AQ13" s="398"/>
      <c r="AR13" s="398"/>
      <c r="AS13" s="398"/>
      <c r="AT13" s="2572">
        <f t="shared" si="95"/>
        <v>4247</v>
      </c>
      <c r="AU13" s="2572">
        <f t="shared" si="95"/>
        <v>3549.9999999999995</v>
      </c>
      <c r="AV13" s="2572">
        <f t="shared" si="95"/>
        <v>3760</v>
      </c>
      <c r="AW13" s="2572">
        <f t="shared" si="95"/>
        <v>3769.9999999999995</v>
      </c>
      <c r="AX13" s="2573">
        <f t="shared" si="95"/>
        <v>3534.9999999999995</v>
      </c>
      <c r="AY13" s="4775"/>
      <c r="AZ13" s="3"/>
      <c r="BA13" s="3"/>
      <c r="BB13" s="3"/>
      <c r="BC13" s="4794">
        <f t="shared" ref="BC13:BC19" si="96">IFERROR(F13/$C$1,0)</f>
        <v>1909.8456068949415</v>
      </c>
      <c r="BD13" s="4794">
        <f t="shared" ref="BD13:BD19" si="97">IFERROR(G13/$C$1,0)</f>
        <v>1583.3005254376233</v>
      </c>
      <c r="BE13" s="4794">
        <f t="shared" ref="BE13:BE19" si="98">IFERROR(H13/$C$1,0)</f>
        <v>1632.7254072865912</v>
      </c>
      <c r="BF13" s="4794">
        <f t="shared" ref="BF13:BF19" si="99">IFERROR(I13/$C$1,0)</f>
        <v>1707.7148831953698</v>
      </c>
      <c r="BG13" s="4794">
        <f t="shared" ref="BG13:BG19" si="100">IFERROR(J13/$C$1,0)</f>
        <v>1582.4483723022963</v>
      </c>
      <c r="BH13" s="3"/>
      <c r="BI13" s="3"/>
      <c r="BJ13" s="3"/>
      <c r="BK13" s="4794">
        <f t="shared" ref="BK13:BK19" si="101">IFERROR(N13/$C$1,0)</f>
        <v>132.08373597568976</v>
      </c>
      <c r="BL13" s="4794">
        <f t="shared" ref="BL13:BL19" si="102">IFERROR(O13/$C$1,0)</f>
        <v>121.00574521643837</v>
      </c>
      <c r="BM13" s="4794">
        <f t="shared" ref="BM13:BM19" si="103">IFERROR(P13/$C$1,0)</f>
        <v>152.53541122353852</v>
      </c>
      <c r="BN13" s="4794">
        <f t="shared" ref="BN13:BN19" si="104">IFERROR(Q13/$C$1,0)</f>
        <v>107.37129505120589</v>
      </c>
      <c r="BO13" s="4794">
        <f t="shared" ref="BO13:BO19" si="105">IFERROR(R13/$C$1,0)</f>
        <v>117.59713267513025</v>
      </c>
      <c r="BP13" s="3"/>
      <c r="BQ13" s="3"/>
      <c r="BR13" s="3"/>
      <c r="BS13" s="4794">
        <f t="shared" ref="BS13:BS19" si="106">IFERROR(V13/$C$1,0)</f>
        <v>129.52727656970868</v>
      </c>
      <c r="BT13" s="4794">
        <f t="shared" ref="BT13:BT19" si="107">IFERROR(W13/$C$1,0)</f>
        <v>110.77990759251401</v>
      </c>
      <c r="BU13" s="4794">
        <f t="shared" ref="BU13:BU19" si="108">IFERROR(X13/$C$1,0)</f>
        <v>137.19665478765197</v>
      </c>
      <c r="BV13" s="4794">
        <f t="shared" ref="BV13:BV19" si="109">IFERROR(Y13/$C$1,0)</f>
        <v>112.48421386316807</v>
      </c>
      <c r="BW13" s="4794">
        <f t="shared" ref="BW13:BW19" si="110">IFERROR(Z13/$C$1,0)</f>
        <v>107.37129505120589</v>
      </c>
      <c r="BX13" s="3"/>
      <c r="BY13" s="3"/>
      <c r="BZ13" s="3"/>
      <c r="CA13" s="4794">
        <f t="shared" ref="CA13:CA19" si="111">IFERROR(AD13/$C$1,0)</f>
        <v>0</v>
      </c>
      <c r="CB13" s="4794">
        <f t="shared" ref="CB13:CB19" si="112">IFERROR(AE13/$C$1,0)</f>
        <v>0</v>
      </c>
      <c r="CC13" s="4794">
        <f t="shared" ref="CC13:CC19" si="113">IFERROR(AF13/$C$1,0)</f>
        <v>0</v>
      </c>
      <c r="CD13" s="4794">
        <f t="shared" ref="CD13:CD19" si="114">IFERROR(AG13/$C$1,0)</f>
        <v>0</v>
      </c>
      <c r="CE13" s="4794">
        <f t="shared" ref="CE13:CE19" si="115">IFERROR(AH13/$C$1,0)</f>
        <v>0</v>
      </c>
      <c r="CF13" s="3"/>
      <c r="CG13" s="3"/>
      <c r="CH13" s="3"/>
      <c r="CI13" s="4794">
        <f t="shared" ref="CI13:CI19" si="116">IFERROR(AL13/$C$1,0)</f>
        <v>0</v>
      </c>
      <c r="CJ13" s="4794">
        <f t="shared" ref="CJ13:CJ19" si="117">IFERROR(AM13/$C$1,0)</f>
        <v>0</v>
      </c>
      <c r="CK13" s="4794">
        <f t="shared" ref="CK13:CK19" si="118">IFERROR(AN13/$C$1,0)</f>
        <v>0</v>
      </c>
      <c r="CL13" s="4794">
        <f t="shared" ref="CL13:CL19" si="119">IFERROR(AO13/$C$1,0)</f>
        <v>0</v>
      </c>
      <c r="CM13" s="4794">
        <f t="shared" ref="CM13:CM19" si="120">IFERROR(AP13/$C$1,0)</f>
        <v>0</v>
      </c>
      <c r="CN13" s="3"/>
      <c r="CO13" s="3"/>
      <c r="CP13" s="3"/>
      <c r="CQ13" s="4794">
        <f t="shared" ref="CQ13:CQ19" si="121">IFERROR(AT13/$C$1,0)</f>
        <v>2171.4566194403401</v>
      </c>
      <c r="CR13" s="4794">
        <f t="shared" ref="CR13:CR19" si="122">IFERROR(AU13/$C$1,0)</f>
        <v>1815.0861782465754</v>
      </c>
      <c r="CS13" s="4794">
        <f t="shared" ref="CS13:CS19" si="123">IFERROR(AV13/$C$1,0)</f>
        <v>1922.4574732977815</v>
      </c>
      <c r="CT13" s="4794">
        <f t="shared" ref="CT13:CT19" si="124">IFERROR(AW13/$C$1,0)</f>
        <v>1927.5703921097436</v>
      </c>
      <c r="CU13" s="4794">
        <f t="shared" ref="CU13:CU19" si="125">IFERROR(AX13/$C$1,0)</f>
        <v>1807.4168000286322</v>
      </c>
    </row>
    <row r="14" spans="1:99" s="668" customFormat="1">
      <c r="A14" s="2575" t="s">
        <v>477</v>
      </c>
      <c r="B14" s="2576" t="s">
        <v>948</v>
      </c>
      <c r="C14" s="397"/>
      <c r="D14" s="397"/>
      <c r="E14" s="397"/>
      <c r="F14" s="3565">
        <f t="shared" ref="F14:AP14" si="126">F15+F16</f>
        <v>156.66666666666666</v>
      </c>
      <c r="G14" s="3565">
        <f t="shared" si="126"/>
        <v>90</v>
      </c>
      <c r="H14" s="3565">
        <f t="shared" si="126"/>
        <v>251.66666666666666</v>
      </c>
      <c r="I14" s="3565">
        <f t="shared" si="126"/>
        <v>473.33333333333331</v>
      </c>
      <c r="J14" s="3566">
        <f t="shared" si="126"/>
        <v>93.333333333333329</v>
      </c>
      <c r="K14" s="397"/>
      <c r="L14" s="397"/>
      <c r="M14" s="397"/>
      <c r="N14" s="3565">
        <f t="shared" si="126"/>
        <v>71.666666666666657</v>
      </c>
      <c r="O14" s="3565">
        <f t="shared" si="126"/>
        <v>50</v>
      </c>
      <c r="P14" s="3565">
        <f t="shared" si="126"/>
        <v>111.66666666666666</v>
      </c>
      <c r="Q14" s="3565">
        <f t="shared" si="126"/>
        <v>33.333333333333329</v>
      </c>
      <c r="R14" s="3567">
        <f t="shared" si="126"/>
        <v>53.333333333333329</v>
      </c>
      <c r="S14" s="397"/>
      <c r="T14" s="397"/>
      <c r="U14" s="397"/>
      <c r="V14" s="3565">
        <f t="shared" si="126"/>
        <v>126.66666666666666</v>
      </c>
      <c r="W14" s="3565">
        <f t="shared" si="126"/>
        <v>90</v>
      </c>
      <c r="X14" s="3565">
        <f t="shared" si="126"/>
        <v>141.66666666666666</v>
      </c>
      <c r="Y14" s="3565">
        <f t="shared" si="126"/>
        <v>93.333333333333329</v>
      </c>
      <c r="Z14" s="3566">
        <f t="shared" si="126"/>
        <v>83.333333333333329</v>
      </c>
      <c r="AA14" s="397"/>
      <c r="AB14" s="397"/>
      <c r="AC14" s="397"/>
      <c r="AD14" s="3565">
        <f t="shared" si="126"/>
        <v>0</v>
      </c>
      <c r="AE14" s="3565">
        <f t="shared" si="126"/>
        <v>0</v>
      </c>
      <c r="AF14" s="3565">
        <f t="shared" si="126"/>
        <v>0</v>
      </c>
      <c r="AG14" s="3565">
        <f t="shared" si="126"/>
        <v>0</v>
      </c>
      <c r="AH14" s="3566">
        <f t="shared" si="126"/>
        <v>0</v>
      </c>
      <c r="AI14" s="397"/>
      <c r="AJ14" s="397"/>
      <c r="AK14" s="397"/>
      <c r="AL14" s="3565">
        <f t="shared" si="126"/>
        <v>0</v>
      </c>
      <c r="AM14" s="3565">
        <f t="shared" si="126"/>
        <v>0</v>
      </c>
      <c r="AN14" s="3565">
        <f t="shared" si="126"/>
        <v>0</v>
      </c>
      <c r="AO14" s="3565">
        <f t="shared" si="126"/>
        <v>0</v>
      </c>
      <c r="AP14" s="3566">
        <f t="shared" si="126"/>
        <v>0</v>
      </c>
      <c r="AQ14" s="397"/>
      <c r="AR14" s="397"/>
      <c r="AS14" s="397"/>
      <c r="AT14" s="3565">
        <f t="shared" ref="AT14:AX14" si="127">AT15+AT16</f>
        <v>355</v>
      </c>
      <c r="AU14" s="3565">
        <f t="shared" si="127"/>
        <v>230</v>
      </c>
      <c r="AV14" s="3565">
        <f t="shared" si="127"/>
        <v>505</v>
      </c>
      <c r="AW14" s="3565">
        <f t="shared" si="127"/>
        <v>600</v>
      </c>
      <c r="AX14" s="3566">
        <f t="shared" si="127"/>
        <v>230</v>
      </c>
      <c r="AY14" s="4775"/>
      <c r="AZ14" s="3"/>
      <c r="BA14" s="3"/>
      <c r="BB14" s="3"/>
      <c r="BC14" s="4794">
        <f t="shared" si="96"/>
        <v>80.10239472074089</v>
      </c>
      <c r="BD14" s="4794">
        <f t="shared" si="97"/>
        <v>46.016269307659663</v>
      </c>
      <c r="BE14" s="4794">
        <f t="shared" si="98"/>
        <v>128.67512343438165</v>
      </c>
      <c r="BF14" s="4794">
        <f t="shared" si="99"/>
        <v>242.01149043287674</v>
      </c>
      <c r="BG14" s="4794">
        <f t="shared" si="100"/>
        <v>47.720575578313721</v>
      </c>
      <c r="BH14" s="3"/>
      <c r="BI14" s="3"/>
      <c r="BJ14" s="3"/>
      <c r="BK14" s="4794">
        <f t="shared" si="101"/>
        <v>36.642584819062321</v>
      </c>
      <c r="BL14" s="4794">
        <f t="shared" si="102"/>
        <v>25.564594059810926</v>
      </c>
      <c r="BM14" s="4794">
        <f t="shared" si="103"/>
        <v>57.094260066911062</v>
      </c>
      <c r="BN14" s="4794">
        <f t="shared" si="104"/>
        <v>17.043062706540614</v>
      </c>
      <c r="BO14" s="4794">
        <f t="shared" si="105"/>
        <v>27.268900330464984</v>
      </c>
      <c r="BP14" s="3"/>
      <c r="BQ14" s="3"/>
      <c r="BR14" s="3"/>
      <c r="BS14" s="4794">
        <f t="shared" si="106"/>
        <v>64.763638284854338</v>
      </c>
      <c r="BT14" s="4794">
        <f t="shared" si="107"/>
        <v>46.016269307659663</v>
      </c>
      <c r="BU14" s="4794">
        <f t="shared" si="108"/>
        <v>72.433016502797614</v>
      </c>
      <c r="BV14" s="4794">
        <f t="shared" si="109"/>
        <v>47.720575578313721</v>
      </c>
      <c r="BW14" s="4794">
        <f t="shared" si="110"/>
        <v>42.607656766351539</v>
      </c>
      <c r="BX14" s="3"/>
      <c r="BY14" s="3"/>
      <c r="BZ14" s="3"/>
      <c r="CA14" s="4794">
        <f t="shared" si="111"/>
        <v>0</v>
      </c>
      <c r="CB14" s="4794">
        <f t="shared" si="112"/>
        <v>0</v>
      </c>
      <c r="CC14" s="4794">
        <f t="shared" si="113"/>
        <v>0</v>
      </c>
      <c r="CD14" s="4794">
        <f t="shared" si="114"/>
        <v>0</v>
      </c>
      <c r="CE14" s="4794">
        <f t="shared" si="115"/>
        <v>0</v>
      </c>
      <c r="CF14" s="3"/>
      <c r="CG14" s="3"/>
      <c r="CH14" s="3"/>
      <c r="CI14" s="4794">
        <f t="shared" si="116"/>
        <v>0</v>
      </c>
      <c r="CJ14" s="4794">
        <f t="shared" si="117"/>
        <v>0</v>
      </c>
      <c r="CK14" s="4794">
        <f t="shared" si="118"/>
        <v>0</v>
      </c>
      <c r="CL14" s="4794">
        <f t="shared" si="119"/>
        <v>0</v>
      </c>
      <c r="CM14" s="4794">
        <f t="shared" si="120"/>
        <v>0</v>
      </c>
      <c r="CN14" s="3"/>
      <c r="CO14" s="3"/>
      <c r="CP14" s="3"/>
      <c r="CQ14" s="4794">
        <f t="shared" si="121"/>
        <v>181.50861782465756</v>
      </c>
      <c r="CR14" s="4794">
        <f t="shared" si="122"/>
        <v>117.59713267513025</v>
      </c>
      <c r="CS14" s="4794">
        <f t="shared" si="123"/>
        <v>258.20240000409035</v>
      </c>
      <c r="CT14" s="4794">
        <f t="shared" si="124"/>
        <v>306.77512871773109</v>
      </c>
      <c r="CU14" s="4794">
        <f t="shared" si="125"/>
        <v>117.59713267513025</v>
      </c>
    </row>
    <row r="15" spans="1:99" s="664" customFormat="1">
      <c r="A15" s="2577" t="s">
        <v>953</v>
      </c>
      <c r="B15" s="2566" t="s">
        <v>949</v>
      </c>
      <c r="C15" s="397"/>
      <c r="D15" s="397"/>
      <c r="E15" s="397"/>
      <c r="F15" s="3557">
        <f>'9.Инвестиционна програма'!R147</f>
        <v>156.66666666666666</v>
      </c>
      <c r="G15" s="3557">
        <f>'9.Инвестиционна програма'!S147</f>
        <v>90</v>
      </c>
      <c r="H15" s="3557">
        <f>'9.Инвестиционна програма'!T147</f>
        <v>251.66666666666666</v>
      </c>
      <c r="I15" s="3557">
        <f>'9.Инвестиционна програма'!U147</f>
        <v>473.33333333333331</v>
      </c>
      <c r="J15" s="3558">
        <f>'9.Инвестиционна програма'!V147</f>
        <v>93.333333333333329</v>
      </c>
      <c r="K15" s="397"/>
      <c r="L15" s="397"/>
      <c r="M15" s="397"/>
      <c r="N15" s="3557">
        <f>'9.Инвестиционна програма'!R148</f>
        <v>71.666666666666657</v>
      </c>
      <c r="O15" s="3557">
        <f>'9.Инвестиционна програма'!S148</f>
        <v>50</v>
      </c>
      <c r="P15" s="3557">
        <f>'9.Инвестиционна програма'!T148</f>
        <v>111.66666666666666</v>
      </c>
      <c r="Q15" s="3557">
        <f>'9.Инвестиционна програма'!U148</f>
        <v>33.333333333333329</v>
      </c>
      <c r="R15" s="3559">
        <f>'9.Инвестиционна програма'!V148</f>
        <v>53.333333333333329</v>
      </c>
      <c r="S15" s="397"/>
      <c r="T15" s="397"/>
      <c r="U15" s="397"/>
      <c r="V15" s="3557">
        <f>'9.Инвестиционна програма'!R149</f>
        <v>126.66666666666666</v>
      </c>
      <c r="W15" s="3557">
        <f>'9.Инвестиционна програма'!S149</f>
        <v>90</v>
      </c>
      <c r="X15" s="3557">
        <f>'9.Инвестиционна програма'!T149</f>
        <v>141.66666666666666</v>
      </c>
      <c r="Y15" s="3557">
        <f>'9.Инвестиционна програма'!U149</f>
        <v>93.333333333333329</v>
      </c>
      <c r="Z15" s="3558">
        <f>'9.Инвестиционна програма'!V149</f>
        <v>83.333333333333329</v>
      </c>
      <c r="AA15" s="397"/>
      <c r="AB15" s="397"/>
      <c r="AC15" s="397"/>
      <c r="AD15" s="3557">
        <f>'9.Инвестиционна програма'!R150</f>
        <v>0</v>
      </c>
      <c r="AE15" s="3557">
        <f>'9.Инвестиционна програма'!S150</f>
        <v>0</v>
      </c>
      <c r="AF15" s="3557">
        <f>'9.Инвестиционна програма'!T150</f>
        <v>0</v>
      </c>
      <c r="AG15" s="3557">
        <f>'9.Инвестиционна програма'!U150</f>
        <v>0</v>
      </c>
      <c r="AH15" s="3558">
        <f>'9.Инвестиционна програма'!V150</f>
        <v>0</v>
      </c>
      <c r="AI15" s="397"/>
      <c r="AJ15" s="397"/>
      <c r="AK15" s="397"/>
      <c r="AL15" s="3557">
        <f>'9.Инвестиционна програма'!R151</f>
        <v>0</v>
      </c>
      <c r="AM15" s="3557">
        <f>'9.Инвестиционна програма'!S151</f>
        <v>0</v>
      </c>
      <c r="AN15" s="3557">
        <f>'9.Инвестиционна програма'!T151</f>
        <v>0</v>
      </c>
      <c r="AO15" s="3557">
        <f>'9.Инвестиционна програма'!U151</f>
        <v>0</v>
      </c>
      <c r="AP15" s="3558">
        <f>'9.Инвестиционна програма'!V151</f>
        <v>0</v>
      </c>
      <c r="AQ15" s="397"/>
      <c r="AR15" s="397"/>
      <c r="AS15" s="397"/>
      <c r="AT15" s="3557">
        <f t="shared" ref="AT15:AX15" si="128">F15+N15+V15+AD15+AL15</f>
        <v>355</v>
      </c>
      <c r="AU15" s="3557">
        <f t="shared" si="128"/>
        <v>230</v>
      </c>
      <c r="AV15" s="3557">
        <f t="shared" si="128"/>
        <v>505</v>
      </c>
      <c r="AW15" s="3557">
        <f t="shared" si="128"/>
        <v>600</v>
      </c>
      <c r="AX15" s="3558">
        <f t="shared" si="128"/>
        <v>230</v>
      </c>
      <c r="AY15" s="4775"/>
      <c r="AZ15" s="3"/>
      <c r="BA15" s="3"/>
      <c r="BB15" s="3"/>
      <c r="BC15" s="4794">
        <f t="shared" si="96"/>
        <v>80.10239472074089</v>
      </c>
      <c r="BD15" s="4794">
        <f t="shared" si="97"/>
        <v>46.016269307659663</v>
      </c>
      <c r="BE15" s="4794">
        <f t="shared" si="98"/>
        <v>128.67512343438165</v>
      </c>
      <c r="BF15" s="4794">
        <f t="shared" si="99"/>
        <v>242.01149043287674</v>
      </c>
      <c r="BG15" s="4794">
        <f t="shared" si="100"/>
        <v>47.720575578313721</v>
      </c>
      <c r="BH15" s="3"/>
      <c r="BI15" s="3"/>
      <c r="BJ15" s="3"/>
      <c r="BK15" s="4794">
        <f t="shared" si="101"/>
        <v>36.642584819062321</v>
      </c>
      <c r="BL15" s="4794">
        <f t="shared" si="102"/>
        <v>25.564594059810926</v>
      </c>
      <c r="BM15" s="4794">
        <f t="shared" si="103"/>
        <v>57.094260066911062</v>
      </c>
      <c r="BN15" s="4794">
        <f t="shared" si="104"/>
        <v>17.043062706540614</v>
      </c>
      <c r="BO15" s="4794">
        <f t="shared" si="105"/>
        <v>27.268900330464984</v>
      </c>
      <c r="BP15" s="3"/>
      <c r="BQ15" s="3"/>
      <c r="BR15" s="3"/>
      <c r="BS15" s="4794">
        <f t="shared" si="106"/>
        <v>64.763638284854338</v>
      </c>
      <c r="BT15" s="4794">
        <f t="shared" si="107"/>
        <v>46.016269307659663</v>
      </c>
      <c r="BU15" s="4794">
        <f t="shared" si="108"/>
        <v>72.433016502797614</v>
      </c>
      <c r="BV15" s="4794">
        <f t="shared" si="109"/>
        <v>47.720575578313721</v>
      </c>
      <c r="BW15" s="4794">
        <f t="shared" si="110"/>
        <v>42.607656766351539</v>
      </c>
      <c r="BX15" s="3"/>
      <c r="BY15" s="3"/>
      <c r="BZ15" s="3"/>
      <c r="CA15" s="4794">
        <f t="shared" si="111"/>
        <v>0</v>
      </c>
      <c r="CB15" s="4794">
        <f t="shared" si="112"/>
        <v>0</v>
      </c>
      <c r="CC15" s="4794">
        <f t="shared" si="113"/>
        <v>0</v>
      </c>
      <c r="CD15" s="4794">
        <f t="shared" si="114"/>
        <v>0</v>
      </c>
      <c r="CE15" s="4794">
        <f t="shared" si="115"/>
        <v>0</v>
      </c>
      <c r="CF15" s="3"/>
      <c r="CG15" s="3"/>
      <c r="CH15" s="3"/>
      <c r="CI15" s="4794">
        <f t="shared" si="116"/>
        <v>0</v>
      </c>
      <c r="CJ15" s="4794">
        <f t="shared" si="117"/>
        <v>0</v>
      </c>
      <c r="CK15" s="4794">
        <f t="shared" si="118"/>
        <v>0</v>
      </c>
      <c r="CL15" s="4794">
        <f t="shared" si="119"/>
        <v>0</v>
      </c>
      <c r="CM15" s="4794">
        <f t="shared" si="120"/>
        <v>0</v>
      </c>
      <c r="CN15" s="3"/>
      <c r="CO15" s="3"/>
      <c r="CP15" s="3"/>
      <c r="CQ15" s="4794">
        <f t="shared" si="121"/>
        <v>181.50861782465756</v>
      </c>
      <c r="CR15" s="4794">
        <f t="shared" si="122"/>
        <v>117.59713267513025</v>
      </c>
      <c r="CS15" s="4794">
        <f t="shared" si="123"/>
        <v>258.20240000409035</v>
      </c>
      <c r="CT15" s="4794">
        <f t="shared" si="124"/>
        <v>306.77512871773109</v>
      </c>
      <c r="CU15" s="4794">
        <f t="shared" si="125"/>
        <v>117.59713267513025</v>
      </c>
    </row>
    <row r="16" spans="1:99" s="664" customFormat="1">
      <c r="A16" s="2578" t="s">
        <v>954</v>
      </c>
      <c r="B16" s="2579" t="s">
        <v>950</v>
      </c>
      <c r="C16" s="397"/>
      <c r="D16" s="397"/>
      <c r="E16" s="397"/>
      <c r="F16" s="3568">
        <f>'9.Инвестиционна програма'!Z147+'9.Инвестиционна програма'!AH147</f>
        <v>0</v>
      </c>
      <c r="G16" s="3568">
        <f>'9.Инвестиционна програма'!AA147+'9.Инвестиционна програма'!AI147</f>
        <v>0</v>
      </c>
      <c r="H16" s="3568">
        <f>'9.Инвестиционна програма'!AB147+'9.Инвестиционна програма'!AJ147</f>
        <v>0</v>
      </c>
      <c r="I16" s="3568">
        <f>'9.Инвестиционна програма'!AC147+'9.Инвестиционна програма'!AK147</f>
        <v>0</v>
      </c>
      <c r="J16" s="3569">
        <f>'9.Инвестиционна програма'!AD147+'9.Инвестиционна програма'!AL147</f>
        <v>0</v>
      </c>
      <c r="K16" s="397"/>
      <c r="L16" s="397"/>
      <c r="M16" s="397"/>
      <c r="N16" s="3568">
        <f>'9.Инвестиционна програма'!Z148+'9.Инвестиционна програма'!AH148</f>
        <v>0</v>
      </c>
      <c r="O16" s="3568">
        <f>'9.Инвестиционна програма'!AA148+'9.Инвестиционна програма'!AI148</f>
        <v>0</v>
      </c>
      <c r="P16" s="3568">
        <f>'9.Инвестиционна програма'!AB148+'9.Инвестиционна програма'!AJ148</f>
        <v>0</v>
      </c>
      <c r="Q16" s="3568">
        <f>'9.Инвестиционна програма'!AC148+'9.Инвестиционна програма'!AK148</f>
        <v>0</v>
      </c>
      <c r="R16" s="3570">
        <f>'9.Инвестиционна програма'!AD148+'9.Инвестиционна програма'!AL148</f>
        <v>0</v>
      </c>
      <c r="S16" s="397"/>
      <c r="T16" s="397"/>
      <c r="U16" s="397"/>
      <c r="V16" s="3568">
        <f>'9.Инвестиционна програма'!Z149+'9.Инвестиционна програма'!AH149</f>
        <v>0</v>
      </c>
      <c r="W16" s="3568">
        <f>'9.Инвестиционна програма'!AA149+'9.Инвестиционна програма'!AI149</f>
        <v>0</v>
      </c>
      <c r="X16" s="3568">
        <f>'9.Инвестиционна програма'!AB149+'9.Инвестиционна програма'!AJ149</f>
        <v>0</v>
      </c>
      <c r="Y16" s="3568">
        <f>'9.Инвестиционна програма'!AC149+'9.Инвестиционна програма'!AK149</f>
        <v>0</v>
      </c>
      <c r="Z16" s="3569">
        <f>'9.Инвестиционна програма'!AD149+'9.Инвестиционна програма'!AL149</f>
        <v>0</v>
      </c>
      <c r="AA16" s="397"/>
      <c r="AB16" s="397"/>
      <c r="AC16" s="397"/>
      <c r="AD16" s="3568">
        <f>'9.Инвестиционна програма'!Z150+'9.Инвестиционна програма'!AH150</f>
        <v>0</v>
      </c>
      <c r="AE16" s="3568">
        <f>'9.Инвестиционна програма'!AA150+'9.Инвестиционна програма'!AI150</f>
        <v>0</v>
      </c>
      <c r="AF16" s="3568">
        <f>'9.Инвестиционна програма'!AB150+'9.Инвестиционна програма'!AJ150</f>
        <v>0</v>
      </c>
      <c r="AG16" s="3568">
        <f>'9.Инвестиционна програма'!AC150+'9.Инвестиционна програма'!AK150</f>
        <v>0</v>
      </c>
      <c r="AH16" s="3569">
        <f>'9.Инвестиционна програма'!AD150+'9.Инвестиционна програма'!AL150</f>
        <v>0</v>
      </c>
      <c r="AI16" s="397"/>
      <c r="AJ16" s="397"/>
      <c r="AK16" s="397"/>
      <c r="AL16" s="3568">
        <f>'9.Инвестиционна програма'!Z151+'9.Инвестиционна програма'!AH151</f>
        <v>0</v>
      </c>
      <c r="AM16" s="3568">
        <f>'9.Инвестиционна програма'!AA151+'9.Инвестиционна програма'!AI151</f>
        <v>0</v>
      </c>
      <c r="AN16" s="3568">
        <f>'9.Инвестиционна програма'!AB151+'9.Инвестиционна програма'!AJ151</f>
        <v>0</v>
      </c>
      <c r="AO16" s="3568">
        <f>'9.Инвестиционна програма'!AC151+'9.Инвестиционна програма'!AK151</f>
        <v>0</v>
      </c>
      <c r="AP16" s="3569">
        <f>'9.Инвестиционна програма'!AD151+'9.Инвестиционна програма'!AL151</f>
        <v>0</v>
      </c>
      <c r="AQ16" s="397"/>
      <c r="AR16" s="397"/>
      <c r="AS16" s="397"/>
      <c r="AT16" s="3568">
        <f t="shared" ref="AT16:AX16" si="129">F16+N16+V16+AD16+AL16</f>
        <v>0</v>
      </c>
      <c r="AU16" s="3568">
        <f t="shared" si="129"/>
        <v>0</v>
      </c>
      <c r="AV16" s="3568">
        <f t="shared" si="129"/>
        <v>0</v>
      </c>
      <c r="AW16" s="3568">
        <f t="shared" si="129"/>
        <v>0</v>
      </c>
      <c r="AX16" s="3569">
        <f t="shared" si="129"/>
        <v>0</v>
      </c>
      <c r="AY16" s="4775"/>
      <c r="AZ16" s="3"/>
      <c r="BA16" s="3"/>
      <c r="BB16" s="3"/>
      <c r="BC16" s="4794">
        <f t="shared" si="96"/>
        <v>0</v>
      </c>
      <c r="BD16" s="4794">
        <f t="shared" si="97"/>
        <v>0</v>
      </c>
      <c r="BE16" s="4794">
        <f t="shared" si="98"/>
        <v>0</v>
      </c>
      <c r="BF16" s="4794">
        <f t="shared" si="99"/>
        <v>0</v>
      </c>
      <c r="BG16" s="4794">
        <f t="shared" si="100"/>
        <v>0</v>
      </c>
      <c r="BH16" s="3"/>
      <c r="BI16" s="3"/>
      <c r="BJ16" s="3"/>
      <c r="BK16" s="4794">
        <f t="shared" si="101"/>
        <v>0</v>
      </c>
      <c r="BL16" s="4794">
        <f t="shared" si="102"/>
        <v>0</v>
      </c>
      <c r="BM16" s="4794">
        <f t="shared" si="103"/>
        <v>0</v>
      </c>
      <c r="BN16" s="4794">
        <f t="shared" si="104"/>
        <v>0</v>
      </c>
      <c r="BO16" s="4794">
        <f t="shared" si="105"/>
        <v>0</v>
      </c>
      <c r="BP16" s="3"/>
      <c r="BQ16" s="3"/>
      <c r="BR16" s="3"/>
      <c r="BS16" s="4794">
        <f t="shared" si="106"/>
        <v>0</v>
      </c>
      <c r="BT16" s="4794">
        <f t="shared" si="107"/>
        <v>0</v>
      </c>
      <c r="BU16" s="4794">
        <f t="shared" si="108"/>
        <v>0</v>
      </c>
      <c r="BV16" s="4794">
        <f t="shared" si="109"/>
        <v>0</v>
      </c>
      <c r="BW16" s="4794">
        <f t="shared" si="110"/>
        <v>0</v>
      </c>
      <c r="BX16" s="3"/>
      <c r="BY16" s="3"/>
      <c r="BZ16" s="3"/>
      <c r="CA16" s="4794">
        <f t="shared" si="111"/>
        <v>0</v>
      </c>
      <c r="CB16" s="4794">
        <f t="shared" si="112"/>
        <v>0</v>
      </c>
      <c r="CC16" s="4794">
        <f t="shared" si="113"/>
        <v>0</v>
      </c>
      <c r="CD16" s="4794">
        <f t="shared" si="114"/>
        <v>0</v>
      </c>
      <c r="CE16" s="4794">
        <f t="shared" si="115"/>
        <v>0</v>
      </c>
      <c r="CF16" s="3"/>
      <c r="CG16" s="3"/>
      <c r="CH16" s="3"/>
      <c r="CI16" s="4794">
        <f t="shared" si="116"/>
        <v>0</v>
      </c>
      <c r="CJ16" s="4794">
        <f t="shared" si="117"/>
        <v>0</v>
      </c>
      <c r="CK16" s="4794">
        <f t="shared" si="118"/>
        <v>0</v>
      </c>
      <c r="CL16" s="4794">
        <f t="shared" si="119"/>
        <v>0</v>
      </c>
      <c r="CM16" s="4794">
        <f t="shared" si="120"/>
        <v>0</v>
      </c>
      <c r="CN16" s="3"/>
      <c r="CO16" s="3"/>
      <c r="CP16" s="3"/>
      <c r="CQ16" s="4794">
        <f t="shared" si="121"/>
        <v>0</v>
      </c>
      <c r="CR16" s="4794">
        <f t="shared" si="122"/>
        <v>0</v>
      </c>
      <c r="CS16" s="4794">
        <f t="shared" si="123"/>
        <v>0</v>
      </c>
      <c r="CT16" s="4794">
        <f t="shared" si="124"/>
        <v>0</v>
      </c>
      <c r="CU16" s="4794">
        <f t="shared" si="125"/>
        <v>0</v>
      </c>
    </row>
    <row r="17" spans="1:99" s="668" customFormat="1">
      <c r="A17" s="2575" t="s">
        <v>479</v>
      </c>
      <c r="B17" s="2576" t="s">
        <v>951</v>
      </c>
      <c r="C17" s="397"/>
      <c r="D17" s="397"/>
      <c r="E17" s="397"/>
      <c r="F17" s="3565">
        <f t="shared" ref="F17:AP17" si="130">F18+F19</f>
        <v>3578.666666666667</v>
      </c>
      <c r="G17" s="3565">
        <f t="shared" si="130"/>
        <v>3006.6666666666665</v>
      </c>
      <c r="H17" s="3565">
        <f t="shared" si="130"/>
        <v>2941.666666666667</v>
      </c>
      <c r="I17" s="3565">
        <f t="shared" si="130"/>
        <v>2866.6666666666665</v>
      </c>
      <c r="J17" s="3566">
        <f t="shared" si="130"/>
        <v>3001.6666666666665</v>
      </c>
      <c r="K17" s="397"/>
      <c r="L17" s="397"/>
      <c r="M17" s="397"/>
      <c r="N17" s="3565">
        <f t="shared" si="130"/>
        <v>186.66666666666666</v>
      </c>
      <c r="O17" s="3565">
        <f t="shared" si="130"/>
        <v>186.66666666666666</v>
      </c>
      <c r="P17" s="3565">
        <f t="shared" si="130"/>
        <v>186.66666666666666</v>
      </c>
      <c r="Q17" s="3565">
        <f t="shared" si="130"/>
        <v>176.66666666666669</v>
      </c>
      <c r="R17" s="3567">
        <f t="shared" si="130"/>
        <v>176.66666666666669</v>
      </c>
      <c r="S17" s="397"/>
      <c r="T17" s="397"/>
      <c r="U17" s="397"/>
      <c r="V17" s="3565">
        <f t="shared" si="130"/>
        <v>126.66666666666666</v>
      </c>
      <c r="W17" s="3565">
        <f t="shared" si="130"/>
        <v>126.66666666666666</v>
      </c>
      <c r="X17" s="3565">
        <f t="shared" si="130"/>
        <v>126.66666666666666</v>
      </c>
      <c r="Y17" s="3565">
        <f t="shared" si="130"/>
        <v>126.66666666666667</v>
      </c>
      <c r="Z17" s="3566">
        <f t="shared" si="130"/>
        <v>126.66666666666667</v>
      </c>
      <c r="AA17" s="397"/>
      <c r="AB17" s="397"/>
      <c r="AC17" s="397"/>
      <c r="AD17" s="3565">
        <f t="shared" si="130"/>
        <v>0</v>
      </c>
      <c r="AE17" s="3565">
        <f t="shared" si="130"/>
        <v>0</v>
      </c>
      <c r="AF17" s="3565">
        <f t="shared" si="130"/>
        <v>0</v>
      </c>
      <c r="AG17" s="3565">
        <f t="shared" si="130"/>
        <v>0</v>
      </c>
      <c r="AH17" s="3566">
        <f t="shared" si="130"/>
        <v>0</v>
      </c>
      <c r="AI17" s="397"/>
      <c r="AJ17" s="397"/>
      <c r="AK17" s="397"/>
      <c r="AL17" s="3565">
        <f t="shared" si="130"/>
        <v>0</v>
      </c>
      <c r="AM17" s="3565">
        <f t="shared" si="130"/>
        <v>0</v>
      </c>
      <c r="AN17" s="3565">
        <f t="shared" si="130"/>
        <v>0</v>
      </c>
      <c r="AO17" s="3565">
        <f t="shared" si="130"/>
        <v>0</v>
      </c>
      <c r="AP17" s="3566">
        <f t="shared" si="130"/>
        <v>0</v>
      </c>
      <c r="AQ17" s="397"/>
      <c r="AR17" s="397"/>
      <c r="AS17" s="397"/>
      <c r="AT17" s="3565">
        <f t="shared" ref="AT17:AX17" si="131">AT18+AT19</f>
        <v>3892</v>
      </c>
      <c r="AU17" s="3565">
        <f t="shared" si="131"/>
        <v>3319.9999999999995</v>
      </c>
      <c r="AV17" s="3565">
        <f t="shared" si="131"/>
        <v>3255</v>
      </c>
      <c r="AW17" s="3565">
        <f t="shared" si="131"/>
        <v>3169.9999999999995</v>
      </c>
      <c r="AX17" s="3566">
        <f t="shared" si="131"/>
        <v>3304.9999999999995</v>
      </c>
      <c r="AY17" s="4775"/>
      <c r="AZ17" s="3"/>
      <c r="BA17" s="3"/>
      <c r="BB17" s="3"/>
      <c r="BC17" s="4794">
        <f t="shared" si="96"/>
        <v>1829.7432121742008</v>
      </c>
      <c r="BD17" s="4794">
        <f t="shared" si="97"/>
        <v>1537.2842561299635</v>
      </c>
      <c r="BE17" s="4794">
        <f t="shared" si="98"/>
        <v>1504.0502838522095</v>
      </c>
      <c r="BF17" s="4794">
        <f t="shared" si="99"/>
        <v>1465.703392762493</v>
      </c>
      <c r="BG17" s="4794">
        <f t="shared" si="100"/>
        <v>1534.7277967239825</v>
      </c>
      <c r="BH17" s="3"/>
      <c r="BI17" s="3"/>
      <c r="BJ17" s="3"/>
      <c r="BK17" s="4794">
        <f t="shared" si="101"/>
        <v>95.441151156627441</v>
      </c>
      <c r="BL17" s="4794">
        <f t="shared" si="102"/>
        <v>95.441151156627441</v>
      </c>
      <c r="BM17" s="4794">
        <f t="shared" si="103"/>
        <v>95.441151156627441</v>
      </c>
      <c r="BN17" s="4794">
        <f t="shared" si="104"/>
        <v>90.328232344665281</v>
      </c>
      <c r="BO17" s="4794">
        <f t="shared" si="105"/>
        <v>90.328232344665281</v>
      </c>
      <c r="BP17" s="3"/>
      <c r="BQ17" s="3"/>
      <c r="BR17" s="3"/>
      <c r="BS17" s="4794">
        <f t="shared" si="106"/>
        <v>64.763638284854338</v>
      </c>
      <c r="BT17" s="4794">
        <f t="shared" si="107"/>
        <v>64.763638284854338</v>
      </c>
      <c r="BU17" s="4794">
        <f t="shared" si="108"/>
        <v>64.763638284854338</v>
      </c>
      <c r="BV17" s="4794">
        <f t="shared" si="109"/>
        <v>64.763638284854352</v>
      </c>
      <c r="BW17" s="4794">
        <f t="shared" si="110"/>
        <v>64.763638284854352</v>
      </c>
      <c r="BX17" s="3"/>
      <c r="BY17" s="3"/>
      <c r="BZ17" s="3"/>
      <c r="CA17" s="4794">
        <f t="shared" si="111"/>
        <v>0</v>
      </c>
      <c r="CB17" s="4794">
        <f t="shared" si="112"/>
        <v>0</v>
      </c>
      <c r="CC17" s="4794">
        <f t="shared" si="113"/>
        <v>0</v>
      </c>
      <c r="CD17" s="4794">
        <f t="shared" si="114"/>
        <v>0</v>
      </c>
      <c r="CE17" s="4794">
        <f t="shared" si="115"/>
        <v>0</v>
      </c>
      <c r="CF17" s="3"/>
      <c r="CG17" s="3"/>
      <c r="CH17" s="3"/>
      <c r="CI17" s="4794">
        <f t="shared" si="116"/>
        <v>0</v>
      </c>
      <c r="CJ17" s="4794">
        <f t="shared" si="117"/>
        <v>0</v>
      </c>
      <c r="CK17" s="4794">
        <f t="shared" si="118"/>
        <v>0</v>
      </c>
      <c r="CL17" s="4794">
        <f t="shared" si="119"/>
        <v>0</v>
      </c>
      <c r="CM17" s="4794">
        <f t="shared" si="120"/>
        <v>0</v>
      </c>
      <c r="CN17" s="3"/>
      <c r="CO17" s="3"/>
      <c r="CP17" s="3"/>
      <c r="CQ17" s="4794">
        <f t="shared" si="121"/>
        <v>1989.9480016156824</v>
      </c>
      <c r="CR17" s="4794">
        <f t="shared" si="122"/>
        <v>1697.4890455714451</v>
      </c>
      <c r="CS17" s="4794">
        <f t="shared" si="123"/>
        <v>1664.2550732936911</v>
      </c>
      <c r="CT17" s="4794">
        <f t="shared" si="124"/>
        <v>1620.7952633920124</v>
      </c>
      <c r="CU17" s="4794">
        <f t="shared" si="125"/>
        <v>1689.8196673535019</v>
      </c>
    </row>
    <row r="18" spans="1:99" s="664" customFormat="1">
      <c r="A18" s="2577" t="s">
        <v>955</v>
      </c>
      <c r="B18" s="2566" t="s">
        <v>949</v>
      </c>
      <c r="C18" s="397"/>
      <c r="D18" s="397"/>
      <c r="E18" s="397"/>
      <c r="F18" s="3557">
        <f>'9.Инвестиционна програма'!R153</f>
        <v>3578.666666666667</v>
      </c>
      <c r="G18" s="3557">
        <f>'9.Инвестиционна програма'!S153</f>
        <v>3006.6666666666665</v>
      </c>
      <c r="H18" s="3557">
        <f>'9.Инвестиционна програма'!T153</f>
        <v>2941.666666666667</v>
      </c>
      <c r="I18" s="3557">
        <f>'9.Инвестиционна програма'!U153</f>
        <v>2866.6666666666665</v>
      </c>
      <c r="J18" s="3558">
        <f>'9.Инвестиционна програма'!V153</f>
        <v>3001.6666666666665</v>
      </c>
      <c r="K18" s="397"/>
      <c r="L18" s="397"/>
      <c r="M18" s="397"/>
      <c r="N18" s="3557">
        <f>'9.Инвестиционна програма'!R154</f>
        <v>186.66666666666666</v>
      </c>
      <c r="O18" s="3557">
        <f>'9.Инвестиционна програма'!S154</f>
        <v>186.66666666666666</v>
      </c>
      <c r="P18" s="3557">
        <f>'9.Инвестиционна програма'!T154</f>
        <v>186.66666666666666</v>
      </c>
      <c r="Q18" s="3557">
        <f>'9.Инвестиционна програма'!U154</f>
        <v>176.66666666666669</v>
      </c>
      <c r="R18" s="3559">
        <f>'9.Инвестиционна програма'!V154</f>
        <v>176.66666666666669</v>
      </c>
      <c r="S18" s="397"/>
      <c r="T18" s="397"/>
      <c r="U18" s="397"/>
      <c r="V18" s="3557">
        <f>'9.Инвестиционна програма'!R155</f>
        <v>126.66666666666666</v>
      </c>
      <c r="W18" s="3557">
        <f>'9.Инвестиционна програма'!S155</f>
        <v>126.66666666666666</v>
      </c>
      <c r="X18" s="3557">
        <f>'9.Инвестиционна програма'!T155</f>
        <v>126.66666666666666</v>
      </c>
      <c r="Y18" s="3557">
        <f>'9.Инвестиционна програма'!U155</f>
        <v>126.66666666666667</v>
      </c>
      <c r="Z18" s="3558">
        <f>'9.Инвестиционна програма'!V155</f>
        <v>126.66666666666667</v>
      </c>
      <c r="AA18" s="397"/>
      <c r="AB18" s="397"/>
      <c r="AC18" s="397"/>
      <c r="AD18" s="3557">
        <f>'9.Инвестиционна програма'!R156</f>
        <v>0</v>
      </c>
      <c r="AE18" s="3557">
        <f>'9.Инвестиционна програма'!S156</f>
        <v>0</v>
      </c>
      <c r="AF18" s="3557">
        <f>'9.Инвестиционна програма'!T156</f>
        <v>0</v>
      </c>
      <c r="AG18" s="3557">
        <f>'9.Инвестиционна програма'!U156</f>
        <v>0</v>
      </c>
      <c r="AH18" s="3558">
        <f>'9.Инвестиционна програма'!V156</f>
        <v>0</v>
      </c>
      <c r="AI18" s="397"/>
      <c r="AJ18" s="397"/>
      <c r="AK18" s="397"/>
      <c r="AL18" s="3557">
        <f>'9.Инвестиционна програма'!R157</f>
        <v>0</v>
      </c>
      <c r="AM18" s="3557">
        <f>'9.Инвестиционна програма'!S157</f>
        <v>0</v>
      </c>
      <c r="AN18" s="3557">
        <f>'9.Инвестиционна програма'!T157</f>
        <v>0</v>
      </c>
      <c r="AO18" s="3557">
        <f>'9.Инвестиционна програма'!U157</f>
        <v>0</v>
      </c>
      <c r="AP18" s="3558">
        <f>'9.Инвестиционна програма'!V157</f>
        <v>0</v>
      </c>
      <c r="AQ18" s="397"/>
      <c r="AR18" s="397"/>
      <c r="AS18" s="397"/>
      <c r="AT18" s="3557">
        <f t="shared" ref="AT18:AX19" si="132">F18+N18+V18+AD18+AL18</f>
        <v>3892</v>
      </c>
      <c r="AU18" s="3557">
        <f t="shared" si="132"/>
        <v>3319.9999999999995</v>
      </c>
      <c r="AV18" s="3557">
        <f t="shared" si="132"/>
        <v>3255</v>
      </c>
      <c r="AW18" s="3557">
        <f t="shared" si="132"/>
        <v>3169.9999999999995</v>
      </c>
      <c r="AX18" s="3558">
        <f t="shared" si="132"/>
        <v>3304.9999999999995</v>
      </c>
      <c r="AY18" s="4775"/>
      <c r="AZ18" s="3"/>
      <c r="BA18" s="3"/>
      <c r="BB18" s="3"/>
      <c r="BC18" s="4794">
        <f t="shared" si="96"/>
        <v>1829.7432121742008</v>
      </c>
      <c r="BD18" s="4794">
        <f t="shared" si="97"/>
        <v>1537.2842561299635</v>
      </c>
      <c r="BE18" s="4794">
        <f t="shared" si="98"/>
        <v>1504.0502838522095</v>
      </c>
      <c r="BF18" s="4794">
        <f t="shared" si="99"/>
        <v>1465.703392762493</v>
      </c>
      <c r="BG18" s="4794">
        <f t="shared" si="100"/>
        <v>1534.7277967239825</v>
      </c>
      <c r="BH18" s="3"/>
      <c r="BI18" s="3"/>
      <c r="BJ18" s="3"/>
      <c r="BK18" s="4794">
        <f t="shared" si="101"/>
        <v>95.441151156627441</v>
      </c>
      <c r="BL18" s="4794">
        <f t="shared" si="102"/>
        <v>95.441151156627441</v>
      </c>
      <c r="BM18" s="4794">
        <f t="shared" si="103"/>
        <v>95.441151156627441</v>
      </c>
      <c r="BN18" s="4794">
        <f t="shared" si="104"/>
        <v>90.328232344665281</v>
      </c>
      <c r="BO18" s="4794">
        <f t="shared" si="105"/>
        <v>90.328232344665281</v>
      </c>
      <c r="BP18" s="3"/>
      <c r="BQ18" s="3"/>
      <c r="BR18" s="3"/>
      <c r="BS18" s="4794">
        <f t="shared" si="106"/>
        <v>64.763638284854338</v>
      </c>
      <c r="BT18" s="4794">
        <f t="shared" si="107"/>
        <v>64.763638284854338</v>
      </c>
      <c r="BU18" s="4794">
        <f t="shared" si="108"/>
        <v>64.763638284854338</v>
      </c>
      <c r="BV18" s="4794">
        <f t="shared" si="109"/>
        <v>64.763638284854352</v>
      </c>
      <c r="BW18" s="4794">
        <f t="shared" si="110"/>
        <v>64.763638284854352</v>
      </c>
      <c r="BX18" s="3"/>
      <c r="BY18" s="3"/>
      <c r="BZ18" s="3"/>
      <c r="CA18" s="4794">
        <f t="shared" si="111"/>
        <v>0</v>
      </c>
      <c r="CB18" s="4794">
        <f t="shared" si="112"/>
        <v>0</v>
      </c>
      <c r="CC18" s="4794">
        <f t="shared" si="113"/>
        <v>0</v>
      </c>
      <c r="CD18" s="4794">
        <f t="shared" si="114"/>
        <v>0</v>
      </c>
      <c r="CE18" s="4794">
        <f t="shared" si="115"/>
        <v>0</v>
      </c>
      <c r="CF18" s="3"/>
      <c r="CG18" s="3"/>
      <c r="CH18" s="3"/>
      <c r="CI18" s="4794">
        <f t="shared" si="116"/>
        <v>0</v>
      </c>
      <c r="CJ18" s="4794">
        <f t="shared" si="117"/>
        <v>0</v>
      </c>
      <c r="CK18" s="4794">
        <f t="shared" si="118"/>
        <v>0</v>
      </c>
      <c r="CL18" s="4794">
        <f t="shared" si="119"/>
        <v>0</v>
      </c>
      <c r="CM18" s="4794">
        <f t="shared" si="120"/>
        <v>0</v>
      </c>
      <c r="CN18" s="3"/>
      <c r="CO18" s="3"/>
      <c r="CP18" s="3"/>
      <c r="CQ18" s="4794">
        <f t="shared" si="121"/>
        <v>1989.9480016156824</v>
      </c>
      <c r="CR18" s="4794">
        <f t="shared" si="122"/>
        <v>1697.4890455714451</v>
      </c>
      <c r="CS18" s="4794">
        <f t="shared" si="123"/>
        <v>1664.2550732936911</v>
      </c>
      <c r="CT18" s="4794">
        <f t="shared" si="124"/>
        <v>1620.7952633920124</v>
      </c>
      <c r="CU18" s="4794">
        <f t="shared" si="125"/>
        <v>1689.8196673535019</v>
      </c>
    </row>
    <row r="19" spans="1:99" s="664" customFormat="1" ht="13.5" thickBot="1">
      <c r="A19" s="4441" t="s">
        <v>954</v>
      </c>
      <c r="B19" s="4442" t="s">
        <v>950</v>
      </c>
      <c r="C19" s="4236"/>
      <c r="D19" s="4236"/>
      <c r="E19" s="4236"/>
      <c r="F19" s="4093">
        <f>'9.Инвестиционна програма'!Z153+'9.Инвестиционна програма'!AH153</f>
        <v>0</v>
      </c>
      <c r="G19" s="4093">
        <f>'9.Инвестиционна програма'!AA153+'9.Инвестиционна програма'!AI153</f>
        <v>0</v>
      </c>
      <c r="H19" s="4093">
        <f>'9.Инвестиционна програма'!AB153+'9.Инвестиционна програма'!AJ153</f>
        <v>0</v>
      </c>
      <c r="I19" s="4093">
        <f>'9.Инвестиционна програма'!AC153+'9.Инвестиционна програма'!AK153</f>
        <v>0</v>
      </c>
      <c r="J19" s="4094">
        <f>'9.Инвестиционна програма'!AD153+'9.Инвестиционна програма'!AL153</f>
        <v>0</v>
      </c>
      <c r="K19" s="4236"/>
      <c r="L19" s="4236"/>
      <c r="M19" s="4236"/>
      <c r="N19" s="4093">
        <f>'9.Инвестиционна програма'!Z154+'9.Инвестиционна програма'!AH154</f>
        <v>0</v>
      </c>
      <c r="O19" s="4093">
        <f>'9.Инвестиционна програма'!AA154+'9.Инвестиционна програма'!AI154</f>
        <v>0</v>
      </c>
      <c r="P19" s="4093">
        <f>'9.Инвестиционна програма'!AB154+'9.Инвестиционна програма'!AJ154</f>
        <v>0</v>
      </c>
      <c r="Q19" s="4093">
        <f>'9.Инвестиционна програма'!AC154+'9.Инвестиционна програма'!AK154</f>
        <v>0</v>
      </c>
      <c r="R19" s="4443">
        <f>'9.Инвестиционна програма'!AD154+'9.Инвестиционна програма'!AL154</f>
        <v>0</v>
      </c>
      <c r="S19" s="4236"/>
      <c r="T19" s="4236"/>
      <c r="U19" s="4236"/>
      <c r="V19" s="4093">
        <f>'9.Инвестиционна програма'!Z155+'9.Инвестиционна програма'!AH155</f>
        <v>0</v>
      </c>
      <c r="W19" s="4093">
        <f>'9.Инвестиционна програма'!AA155+'9.Инвестиционна програма'!AI155</f>
        <v>0</v>
      </c>
      <c r="X19" s="4093">
        <f>'9.Инвестиционна програма'!AB155+'9.Инвестиционна програма'!AJ155</f>
        <v>0</v>
      </c>
      <c r="Y19" s="4093">
        <f>'9.Инвестиционна програма'!AC155+'9.Инвестиционна програма'!AK155</f>
        <v>0</v>
      </c>
      <c r="Z19" s="4094">
        <f>'9.Инвестиционна програма'!AD155+'9.Инвестиционна програма'!AL155</f>
        <v>0</v>
      </c>
      <c r="AA19" s="4236"/>
      <c r="AB19" s="4236"/>
      <c r="AC19" s="4236"/>
      <c r="AD19" s="4093">
        <f>'9.Инвестиционна програма'!Z156+'9.Инвестиционна програма'!AH156</f>
        <v>0</v>
      </c>
      <c r="AE19" s="4093">
        <f>'9.Инвестиционна програма'!AA156+'9.Инвестиционна програма'!AI156</f>
        <v>0</v>
      </c>
      <c r="AF19" s="4093">
        <f>'9.Инвестиционна програма'!AB156+'9.Инвестиционна програма'!AJ156</f>
        <v>0</v>
      </c>
      <c r="AG19" s="4093">
        <f>'9.Инвестиционна програма'!AC156+'9.Инвестиционна програма'!AK156</f>
        <v>0</v>
      </c>
      <c r="AH19" s="4094">
        <f>'9.Инвестиционна програма'!AD156+'9.Инвестиционна програма'!AL156</f>
        <v>0</v>
      </c>
      <c r="AI19" s="4236"/>
      <c r="AJ19" s="4236"/>
      <c r="AK19" s="4236"/>
      <c r="AL19" s="4093">
        <f>'9.Инвестиционна програма'!Z157+'9.Инвестиционна програма'!AH157</f>
        <v>0</v>
      </c>
      <c r="AM19" s="4093">
        <f>'9.Инвестиционна програма'!AA157+'9.Инвестиционна програма'!AI157</f>
        <v>0</v>
      </c>
      <c r="AN19" s="4093">
        <f>'9.Инвестиционна програма'!AB157+'9.Инвестиционна програма'!AJ157</f>
        <v>0</v>
      </c>
      <c r="AO19" s="4093">
        <f>'9.Инвестиционна програма'!AC157+'9.Инвестиционна програма'!AK157</f>
        <v>0</v>
      </c>
      <c r="AP19" s="4094">
        <f>'9.Инвестиционна програма'!AD157+'9.Инвестиционна програма'!AL157</f>
        <v>0</v>
      </c>
      <c r="AQ19" s="4236"/>
      <c r="AR19" s="4236"/>
      <c r="AS19" s="4236"/>
      <c r="AT19" s="4093">
        <f t="shared" si="132"/>
        <v>0</v>
      </c>
      <c r="AU19" s="4093">
        <f t="shared" si="132"/>
        <v>0</v>
      </c>
      <c r="AV19" s="4093">
        <f t="shared" si="132"/>
        <v>0</v>
      </c>
      <c r="AW19" s="4093">
        <f t="shared" si="132"/>
        <v>0</v>
      </c>
      <c r="AX19" s="4094">
        <f t="shared" si="132"/>
        <v>0</v>
      </c>
      <c r="AY19" s="4775"/>
      <c r="AZ19" s="3"/>
      <c r="BA19" s="3"/>
      <c r="BB19" s="3"/>
      <c r="BC19" s="4794">
        <f t="shared" si="96"/>
        <v>0</v>
      </c>
      <c r="BD19" s="4794">
        <f t="shared" si="97"/>
        <v>0</v>
      </c>
      <c r="BE19" s="4794">
        <f t="shared" si="98"/>
        <v>0</v>
      </c>
      <c r="BF19" s="4794">
        <f t="shared" si="99"/>
        <v>0</v>
      </c>
      <c r="BG19" s="4794">
        <f t="shared" si="100"/>
        <v>0</v>
      </c>
      <c r="BH19" s="3"/>
      <c r="BI19" s="3"/>
      <c r="BJ19" s="3"/>
      <c r="BK19" s="4794">
        <f t="shared" si="101"/>
        <v>0</v>
      </c>
      <c r="BL19" s="4794">
        <f t="shared" si="102"/>
        <v>0</v>
      </c>
      <c r="BM19" s="4794">
        <f t="shared" si="103"/>
        <v>0</v>
      </c>
      <c r="BN19" s="4794">
        <f t="shared" si="104"/>
        <v>0</v>
      </c>
      <c r="BO19" s="4794">
        <f t="shared" si="105"/>
        <v>0</v>
      </c>
      <c r="BP19" s="3"/>
      <c r="BQ19" s="3"/>
      <c r="BR19" s="3"/>
      <c r="BS19" s="4794">
        <f t="shared" si="106"/>
        <v>0</v>
      </c>
      <c r="BT19" s="4794">
        <f t="shared" si="107"/>
        <v>0</v>
      </c>
      <c r="BU19" s="4794">
        <f t="shared" si="108"/>
        <v>0</v>
      </c>
      <c r="BV19" s="4794">
        <f t="shared" si="109"/>
        <v>0</v>
      </c>
      <c r="BW19" s="4794">
        <f t="shared" si="110"/>
        <v>0</v>
      </c>
      <c r="BX19" s="3"/>
      <c r="BY19" s="3"/>
      <c r="BZ19" s="3"/>
      <c r="CA19" s="4794">
        <f t="shared" si="111"/>
        <v>0</v>
      </c>
      <c r="CB19" s="4794">
        <f t="shared" si="112"/>
        <v>0</v>
      </c>
      <c r="CC19" s="4794">
        <f t="shared" si="113"/>
        <v>0</v>
      </c>
      <c r="CD19" s="4794">
        <f t="shared" si="114"/>
        <v>0</v>
      </c>
      <c r="CE19" s="4794">
        <f t="shared" si="115"/>
        <v>0</v>
      </c>
      <c r="CF19" s="3"/>
      <c r="CG19" s="3"/>
      <c r="CH19" s="3"/>
      <c r="CI19" s="4794">
        <f t="shared" si="116"/>
        <v>0</v>
      </c>
      <c r="CJ19" s="4794">
        <f t="shared" si="117"/>
        <v>0</v>
      </c>
      <c r="CK19" s="4794">
        <f t="shared" si="118"/>
        <v>0</v>
      </c>
      <c r="CL19" s="4794">
        <f t="shared" si="119"/>
        <v>0</v>
      </c>
      <c r="CM19" s="4794">
        <f t="shared" si="120"/>
        <v>0</v>
      </c>
      <c r="CN19" s="3"/>
      <c r="CO19" s="3"/>
      <c r="CP19" s="3"/>
      <c r="CQ19" s="4794">
        <f t="shared" si="121"/>
        <v>0</v>
      </c>
      <c r="CR19" s="4794">
        <f t="shared" si="122"/>
        <v>0</v>
      </c>
      <c r="CS19" s="4794">
        <f t="shared" si="123"/>
        <v>0</v>
      </c>
      <c r="CT19" s="4794">
        <f t="shared" si="124"/>
        <v>0</v>
      </c>
      <c r="CU19" s="4794">
        <f t="shared" si="125"/>
        <v>0</v>
      </c>
    </row>
    <row r="20" spans="1:99" s="1" customFormat="1" ht="13.5" thickBot="1">
      <c r="A20" s="4444"/>
      <c r="B20" s="4445"/>
      <c r="C20" s="3571"/>
      <c r="D20" s="3571"/>
      <c r="E20" s="3571"/>
      <c r="F20" s="3571"/>
      <c r="G20" s="3571"/>
      <c r="H20" s="3571"/>
      <c r="I20" s="3571"/>
      <c r="J20" s="3571"/>
      <c r="K20" s="3571"/>
      <c r="L20" s="3571"/>
      <c r="M20" s="3571"/>
      <c r="N20" s="3572"/>
      <c r="O20" s="3573"/>
      <c r="P20" s="3573"/>
      <c r="Q20" s="3573"/>
      <c r="R20" s="3573"/>
      <c r="S20" s="3571"/>
      <c r="T20" s="3571"/>
      <c r="U20" s="3571"/>
      <c r="V20" s="3573"/>
      <c r="W20" s="3573"/>
      <c r="X20" s="3573"/>
      <c r="Y20" s="3573"/>
      <c r="Z20" s="3573"/>
      <c r="AA20" s="3571"/>
      <c r="AB20" s="3571"/>
      <c r="AC20" s="3571"/>
      <c r="AD20" s="3573"/>
      <c r="AE20" s="3573"/>
      <c r="AF20" s="3573"/>
      <c r="AG20" s="3573"/>
      <c r="AH20" s="3573"/>
      <c r="AI20" s="3571"/>
      <c r="AJ20" s="3571"/>
      <c r="AK20" s="3571"/>
      <c r="AL20" s="3573"/>
      <c r="AM20" s="3573"/>
      <c r="AN20" s="3573"/>
      <c r="AO20" s="3573"/>
      <c r="AP20" s="3573"/>
      <c r="AQ20" s="3571"/>
      <c r="AR20" s="3571"/>
      <c r="AS20" s="3571"/>
      <c r="AT20" s="3573"/>
      <c r="AU20" s="3573"/>
      <c r="AV20" s="3573"/>
      <c r="AW20" s="3573"/>
      <c r="AX20" s="3573"/>
      <c r="AY20" s="4775"/>
    </row>
    <row r="21" spans="1:99" s="1" customFormat="1" ht="13.5" thickBot="1">
      <c r="A21" s="2580" t="s">
        <v>263</v>
      </c>
      <c r="B21" s="2581" t="s">
        <v>937</v>
      </c>
      <c r="C21" s="4446"/>
      <c r="D21" s="4446"/>
      <c r="E21" s="4446"/>
      <c r="F21" s="3574">
        <f t="shared" ref="F21:AX21" si="133">F13-F9</f>
        <v>0</v>
      </c>
      <c r="G21" s="3574">
        <f t="shared" si="133"/>
        <v>0</v>
      </c>
      <c r="H21" s="3574">
        <f t="shared" si="133"/>
        <v>0</v>
      </c>
      <c r="I21" s="3574">
        <f t="shared" si="133"/>
        <v>0</v>
      </c>
      <c r="J21" s="3576">
        <f t="shared" si="133"/>
        <v>0</v>
      </c>
      <c r="K21" s="4446"/>
      <c r="L21" s="4446"/>
      <c r="M21" s="4446"/>
      <c r="N21" s="3574">
        <f t="shared" si="133"/>
        <v>0</v>
      </c>
      <c r="O21" s="3574">
        <f t="shared" si="133"/>
        <v>0</v>
      </c>
      <c r="P21" s="3574">
        <f t="shared" si="133"/>
        <v>0</v>
      </c>
      <c r="Q21" s="3574">
        <f t="shared" si="133"/>
        <v>0</v>
      </c>
      <c r="R21" s="3575">
        <f t="shared" si="133"/>
        <v>0</v>
      </c>
      <c r="S21" s="4446"/>
      <c r="T21" s="4446"/>
      <c r="U21" s="4446"/>
      <c r="V21" s="3574">
        <f t="shared" si="133"/>
        <v>0</v>
      </c>
      <c r="W21" s="3574">
        <f t="shared" si="133"/>
        <v>0</v>
      </c>
      <c r="X21" s="3574">
        <f t="shared" si="133"/>
        <v>0</v>
      </c>
      <c r="Y21" s="3574">
        <f t="shared" si="133"/>
        <v>0</v>
      </c>
      <c r="Z21" s="3576">
        <f t="shared" si="133"/>
        <v>0</v>
      </c>
      <c r="AA21" s="4446"/>
      <c r="AB21" s="4446"/>
      <c r="AC21" s="4446"/>
      <c r="AD21" s="3574">
        <f t="shared" si="133"/>
        <v>0</v>
      </c>
      <c r="AE21" s="3574">
        <f t="shared" si="133"/>
        <v>0</v>
      </c>
      <c r="AF21" s="3574">
        <f t="shared" si="133"/>
        <v>0</v>
      </c>
      <c r="AG21" s="3574">
        <f t="shared" si="133"/>
        <v>0</v>
      </c>
      <c r="AH21" s="3576">
        <f t="shared" si="133"/>
        <v>0</v>
      </c>
      <c r="AI21" s="4446"/>
      <c r="AJ21" s="4446"/>
      <c r="AK21" s="4446"/>
      <c r="AL21" s="3574">
        <f t="shared" si="133"/>
        <v>0</v>
      </c>
      <c r="AM21" s="3574">
        <f t="shared" si="133"/>
        <v>0</v>
      </c>
      <c r="AN21" s="3574">
        <f t="shared" si="133"/>
        <v>0</v>
      </c>
      <c r="AO21" s="3574">
        <f t="shared" si="133"/>
        <v>0</v>
      </c>
      <c r="AP21" s="3576">
        <f t="shared" si="133"/>
        <v>0</v>
      </c>
      <c r="AQ21" s="4446"/>
      <c r="AR21" s="4446"/>
      <c r="AS21" s="4446"/>
      <c r="AT21" s="3574">
        <f t="shared" si="133"/>
        <v>0</v>
      </c>
      <c r="AU21" s="3574">
        <f t="shared" si="133"/>
        <v>0</v>
      </c>
      <c r="AV21" s="3574">
        <f t="shared" si="133"/>
        <v>0</v>
      </c>
      <c r="AW21" s="3574">
        <f t="shared" si="133"/>
        <v>0</v>
      </c>
      <c r="AX21" s="3576">
        <f t="shared" si="133"/>
        <v>0</v>
      </c>
      <c r="AY21" s="4775"/>
      <c r="AZ21" s="3"/>
      <c r="BA21" s="3"/>
      <c r="BB21" s="3"/>
      <c r="BC21" s="4794">
        <f t="shared" ref="BC21:BC22" si="134">IFERROR(F21/$C$1,0)</f>
        <v>0</v>
      </c>
      <c r="BD21" s="4794">
        <f t="shared" ref="BD21:BD22" si="135">IFERROR(G21/$C$1,0)</f>
        <v>0</v>
      </c>
      <c r="BE21" s="4794">
        <f t="shared" ref="BE21:BE22" si="136">IFERROR(H21/$C$1,0)</f>
        <v>0</v>
      </c>
      <c r="BF21" s="4794">
        <f t="shared" ref="BF21:BF22" si="137">IFERROR(I21/$C$1,0)</f>
        <v>0</v>
      </c>
      <c r="BG21" s="4794">
        <f t="shared" ref="BG21:BG22" si="138">IFERROR(J21/$C$1,0)</f>
        <v>0</v>
      </c>
      <c r="BH21" s="3"/>
      <c r="BI21" s="3"/>
      <c r="BJ21" s="3"/>
      <c r="BK21" s="4794">
        <f t="shared" ref="BK21:BK22" si="139">IFERROR(N21/$C$1,0)</f>
        <v>0</v>
      </c>
      <c r="BL21" s="4794">
        <f t="shared" ref="BL21:BL22" si="140">IFERROR(O21/$C$1,0)</f>
        <v>0</v>
      </c>
      <c r="BM21" s="4794">
        <f t="shared" ref="BM21:BM22" si="141">IFERROR(P21/$C$1,0)</f>
        <v>0</v>
      </c>
      <c r="BN21" s="4794">
        <f t="shared" ref="BN21:BN22" si="142">IFERROR(Q21/$C$1,0)</f>
        <v>0</v>
      </c>
      <c r="BO21" s="4794">
        <f t="shared" ref="BO21:BO22" si="143">IFERROR(R21/$C$1,0)</f>
        <v>0</v>
      </c>
      <c r="BP21" s="3"/>
      <c r="BQ21" s="3"/>
      <c r="BR21" s="3"/>
      <c r="BS21" s="4794">
        <f t="shared" ref="BS21:BS22" si="144">IFERROR(V21/$C$1,0)</f>
        <v>0</v>
      </c>
      <c r="BT21" s="4794">
        <f t="shared" ref="BT21:BT22" si="145">IFERROR(W21/$C$1,0)</f>
        <v>0</v>
      </c>
      <c r="BU21" s="4794">
        <f t="shared" ref="BU21:BU22" si="146">IFERROR(X21/$C$1,0)</f>
        <v>0</v>
      </c>
      <c r="BV21" s="4794">
        <f t="shared" ref="BV21:BV22" si="147">IFERROR(Y21/$C$1,0)</f>
        <v>0</v>
      </c>
      <c r="BW21" s="4794">
        <f t="shared" ref="BW21:BW22" si="148">IFERROR(Z21/$C$1,0)</f>
        <v>0</v>
      </c>
      <c r="BX21" s="3"/>
      <c r="BY21" s="3"/>
      <c r="BZ21" s="3"/>
      <c r="CA21" s="4794">
        <f t="shared" ref="CA21:CA22" si="149">IFERROR(AD21/$C$1,0)</f>
        <v>0</v>
      </c>
      <c r="CB21" s="4794">
        <f t="shared" ref="CB21:CB22" si="150">IFERROR(AE21/$C$1,0)</f>
        <v>0</v>
      </c>
      <c r="CC21" s="4794">
        <f t="shared" ref="CC21:CC22" si="151">IFERROR(AF21/$C$1,0)</f>
        <v>0</v>
      </c>
      <c r="CD21" s="4794">
        <f t="shared" ref="CD21:CD22" si="152">IFERROR(AG21/$C$1,0)</f>
        <v>0</v>
      </c>
      <c r="CE21" s="4794">
        <f t="shared" ref="CE21:CE22" si="153">IFERROR(AH21/$C$1,0)</f>
        <v>0</v>
      </c>
      <c r="CF21" s="3"/>
      <c r="CG21" s="3"/>
      <c r="CH21" s="3"/>
      <c r="CI21" s="4794">
        <f t="shared" ref="CI21:CI22" si="154">IFERROR(AL21/$C$1,0)</f>
        <v>0</v>
      </c>
      <c r="CJ21" s="4794">
        <f t="shared" ref="CJ21:CJ22" si="155">IFERROR(AM21/$C$1,0)</f>
        <v>0</v>
      </c>
      <c r="CK21" s="4794">
        <f t="shared" ref="CK21:CK22" si="156">IFERROR(AN21/$C$1,0)</f>
        <v>0</v>
      </c>
      <c r="CL21" s="4794">
        <f t="shared" ref="CL21:CL22" si="157">IFERROR(AO21/$C$1,0)</f>
        <v>0</v>
      </c>
      <c r="CM21" s="4794">
        <f t="shared" ref="CM21:CM22" si="158">IFERROR(AP21/$C$1,0)</f>
        <v>0</v>
      </c>
      <c r="CN21" s="3"/>
      <c r="CO21" s="3"/>
      <c r="CP21" s="3"/>
      <c r="CQ21" s="4794">
        <f t="shared" ref="CQ21:CQ22" si="159">IFERROR(AT21/$C$1,0)</f>
        <v>0</v>
      </c>
      <c r="CR21" s="4794">
        <f t="shared" ref="CR21:CR22" si="160">IFERROR(AU21/$C$1,0)</f>
        <v>0</v>
      </c>
      <c r="CS21" s="4794">
        <f t="shared" ref="CS21:CS22" si="161">IFERROR(AV21/$C$1,0)</f>
        <v>0</v>
      </c>
      <c r="CT21" s="4794">
        <f t="shared" ref="CT21:CT22" si="162">IFERROR(AW21/$C$1,0)</f>
        <v>0</v>
      </c>
      <c r="CU21" s="4794">
        <f t="shared" ref="CU21:CU22" si="163">IFERROR(AX21/$C$1,0)</f>
        <v>0</v>
      </c>
    </row>
    <row r="22" spans="1:99" s="1" customFormat="1" ht="24.75" thickBot="1">
      <c r="A22" s="2580" t="s">
        <v>264</v>
      </c>
      <c r="B22" s="2581" t="s">
        <v>982</v>
      </c>
      <c r="C22" s="4446"/>
      <c r="D22" s="4446"/>
      <c r="E22" s="4446"/>
      <c r="F22" s="3574">
        <f t="shared" ref="F22" si="164">F16+F19-F60-F71</f>
        <v>0</v>
      </c>
      <c r="G22" s="3574">
        <f>G16+G19-G60-G71</f>
        <v>0</v>
      </c>
      <c r="H22" s="3574">
        <f>H16+H19-H60-H71</f>
        <v>0</v>
      </c>
      <c r="I22" s="3574">
        <f t="shared" ref="I22:J22" si="165">I16+I19-I60-I71</f>
        <v>0</v>
      </c>
      <c r="J22" s="3575">
        <f t="shared" si="165"/>
        <v>0</v>
      </c>
      <c r="K22" s="4446"/>
      <c r="L22" s="4446"/>
      <c r="M22" s="4446"/>
      <c r="N22" s="3574">
        <f t="shared" ref="N22" si="166">N16+N19-N60-N71</f>
        <v>0</v>
      </c>
      <c r="O22" s="3574">
        <f>O16+O19-O60-O71</f>
        <v>0</v>
      </c>
      <c r="P22" s="3574">
        <f>P16+P19-P60-P71</f>
        <v>0</v>
      </c>
      <c r="Q22" s="3574">
        <f t="shared" ref="Q22:R22" si="167">Q16+Q19-Q60-Q71</f>
        <v>0</v>
      </c>
      <c r="R22" s="3575">
        <f t="shared" si="167"/>
        <v>0</v>
      </c>
      <c r="S22" s="4446"/>
      <c r="T22" s="4446"/>
      <c r="U22" s="4446"/>
      <c r="V22" s="3574">
        <f t="shared" ref="V22" si="168">V16+V19-V60-V71</f>
        <v>0</v>
      </c>
      <c r="W22" s="3574">
        <f>W16+W19-W60-W71</f>
        <v>0</v>
      </c>
      <c r="X22" s="3574">
        <f>X16+X19-X60-X71</f>
        <v>0</v>
      </c>
      <c r="Y22" s="3574">
        <f t="shared" ref="Y22:Z22" si="169">Y16+Y19-Y60-Y71</f>
        <v>0</v>
      </c>
      <c r="Z22" s="3576">
        <f t="shared" si="169"/>
        <v>0</v>
      </c>
      <c r="AA22" s="4446"/>
      <c r="AB22" s="4446"/>
      <c r="AC22" s="4446"/>
      <c r="AD22" s="3574">
        <f t="shared" ref="AD22" si="170">AD16+AD19-AD60-AD71</f>
        <v>0</v>
      </c>
      <c r="AE22" s="3574">
        <f>AE16+AE19-AE60-AE71</f>
        <v>0</v>
      </c>
      <c r="AF22" s="3574">
        <f>AF16+AF19-AF60-AF71</f>
        <v>0</v>
      </c>
      <c r="AG22" s="3574">
        <f t="shared" ref="AG22:AH22" si="171">AG16+AG19-AG60-AG71</f>
        <v>0</v>
      </c>
      <c r="AH22" s="3575">
        <f t="shared" si="171"/>
        <v>0</v>
      </c>
      <c r="AI22" s="4446"/>
      <c r="AJ22" s="4446"/>
      <c r="AK22" s="4446"/>
      <c r="AL22" s="3574">
        <f t="shared" ref="AL22" si="172">AL16+AL19-AL60-AL71</f>
        <v>0</v>
      </c>
      <c r="AM22" s="3574">
        <f>AM16+AM19-AM60-AM71</f>
        <v>0</v>
      </c>
      <c r="AN22" s="3574">
        <f>AN16+AN19-AN60-AN71</f>
        <v>0</v>
      </c>
      <c r="AO22" s="3574">
        <f t="shared" ref="AO22:AP22" si="173">AO16+AO19-AO60-AO71</f>
        <v>0</v>
      </c>
      <c r="AP22" s="3576">
        <f t="shared" si="173"/>
        <v>0</v>
      </c>
      <c r="AQ22" s="4446"/>
      <c r="AR22" s="4446"/>
      <c r="AS22" s="4446"/>
      <c r="AT22" s="3574">
        <f>AT16+AT19-AT60-AT71</f>
        <v>0</v>
      </c>
      <c r="AU22" s="3574">
        <f>AU16+AU19-AU60-AU71</f>
        <v>0</v>
      </c>
      <c r="AV22" s="3574">
        <f>AV16+AV19-AV60-AV71</f>
        <v>0</v>
      </c>
      <c r="AW22" s="3574">
        <f t="shared" ref="AW22:AX22" si="174">AW16+AW19-AW60-AW71</f>
        <v>0</v>
      </c>
      <c r="AX22" s="3576">
        <f t="shared" si="174"/>
        <v>0</v>
      </c>
      <c r="AY22" s="4775"/>
      <c r="AZ22" s="3"/>
      <c r="BA22" s="3"/>
      <c r="BB22" s="3"/>
      <c r="BC22" s="4794">
        <f t="shared" si="134"/>
        <v>0</v>
      </c>
      <c r="BD22" s="4794">
        <f t="shared" si="135"/>
        <v>0</v>
      </c>
      <c r="BE22" s="4794">
        <f t="shared" si="136"/>
        <v>0</v>
      </c>
      <c r="BF22" s="4794">
        <f t="shared" si="137"/>
        <v>0</v>
      </c>
      <c r="BG22" s="4794">
        <f t="shared" si="138"/>
        <v>0</v>
      </c>
      <c r="BH22" s="3"/>
      <c r="BI22" s="3"/>
      <c r="BJ22" s="3"/>
      <c r="BK22" s="4794">
        <f t="shared" si="139"/>
        <v>0</v>
      </c>
      <c r="BL22" s="4794">
        <f t="shared" si="140"/>
        <v>0</v>
      </c>
      <c r="BM22" s="4794">
        <f t="shared" si="141"/>
        <v>0</v>
      </c>
      <c r="BN22" s="4794">
        <f t="shared" si="142"/>
        <v>0</v>
      </c>
      <c r="BO22" s="4794">
        <f t="shared" si="143"/>
        <v>0</v>
      </c>
      <c r="BP22" s="3"/>
      <c r="BQ22" s="3"/>
      <c r="BR22" s="3"/>
      <c r="BS22" s="4794">
        <f t="shared" si="144"/>
        <v>0</v>
      </c>
      <c r="BT22" s="4794">
        <f t="shared" si="145"/>
        <v>0</v>
      </c>
      <c r="BU22" s="4794">
        <f t="shared" si="146"/>
        <v>0</v>
      </c>
      <c r="BV22" s="4794">
        <f t="shared" si="147"/>
        <v>0</v>
      </c>
      <c r="BW22" s="4794">
        <f t="shared" si="148"/>
        <v>0</v>
      </c>
      <c r="BX22" s="3"/>
      <c r="BY22" s="3"/>
      <c r="BZ22" s="3"/>
      <c r="CA22" s="4794">
        <f t="shared" si="149"/>
        <v>0</v>
      </c>
      <c r="CB22" s="4794">
        <f t="shared" si="150"/>
        <v>0</v>
      </c>
      <c r="CC22" s="4794">
        <f t="shared" si="151"/>
        <v>0</v>
      </c>
      <c r="CD22" s="4794">
        <f t="shared" si="152"/>
        <v>0</v>
      </c>
      <c r="CE22" s="4794">
        <f t="shared" si="153"/>
        <v>0</v>
      </c>
      <c r="CF22" s="3"/>
      <c r="CG22" s="3"/>
      <c r="CH22" s="3"/>
      <c r="CI22" s="4794">
        <f t="shared" si="154"/>
        <v>0</v>
      </c>
      <c r="CJ22" s="4794">
        <f t="shared" si="155"/>
        <v>0</v>
      </c>
      <c r="CK22" s="4794">
        <f t="shared" si="156"/>
        <v>0</v>
      </c>
      <c r="CL22" s="4794">
        <f t="shared" si="157"/>
        <v>0</v>
      </c>
      <c r="CM22" s="4794">
        <f t="shared" si="158"/>
        <v>0</v>
      </c>
      <c r="CN22" s="3"/>
      <c r="CO22" s="3"/>
      <c r="CP22" s="3"/>
      <c r="CQ22" s="4794">
        <f t="shared" si="159"/>
        <v>0</v>
      </c>
      <c r="CR22" s="4794">
        <f t="shared" si="160"/>
        <v>0</v>
      </c>
      <c r="CS22" s="4794">
        <f t="shared" si="161"/>
        <v>0</v>
      </c>
      <c r="CT22" s="4794">
        <f t="shared" si="162"/>
        <v>0</v>
      </c>
      <c r="CU22" s="4794">
        <f t="shared" si="163"/>
        <v>0</v>
      </c>
    </row>
    <row r="23" spans="1:99" s="1" customFormat="1" ht="7.5" customHeight="1" thickBot="1">
      <c r="A23" s="1843"/>
      <c r="B23" s="2582"/>
      <c r="C23" s="3577"/>
      <c r="D23" s="3577"/>
      <c r="E23" s="3577"/>
      <c r="F23" s="3577"/>
      <c r="G23" s="3577"/>
      <c r="H23" s="3577"/>
      <c r="I23" s="3577"/>
      <c r="J23" s="3577"/>
      <c r="K23" s="3577"/>
      <c r="L23" s="3577"/>
      <c r="M23" s="3577"/>
      <c r="N23" s="3577"/>
      <c r="O23" s="3577"/>
      <c r="P23" s="3577"/>
      <c r="Q23" s="3577"/>
      <c r="R23" s="3577"/>
      <c r="S23" s="3577"/>
      <c r="T23" s="3577"/>
      <c r="U23" s="3577"/>
      <c r="V23" s="3577"/>
      <c r="W23" s="3577"/>
      <c r="X23" s="3577"/>
      <c r="Y23" s="3577"/>
      <c r="Z23" s="3577"/>
      <c r="AA23" s="3577"/>
      <c r="AB23" s="3577"/>
      <c r="AC23" s="3577"/>
      <c r="AD23" s="3577"/>
      <c r="AE23" s="3577"/>
      <c r="AF23" s="3577"/>
      <c r="AG23" s="3577"/>
      <c r="AH23" s="3577"/>
      <c r="AI23" s="3577"/>
      <c r="AJ23" s="3577"/>
      <c r="AK23" s="3577"/>
      <c r="AL23" s="3577"/>
      <c r="AM23" s="3577"/>
      <c r="AN23" s="3577"/>
      <c r="AO23" s="3577"/>
      <c r="AP23" s="3577"/>
      <c r="AQ23" s="3577"/>
      <c r="AR23" s="3577"/>
      <c r="AS23" s="3577"/>
      <c r="AT23" s="3577"/>
      <c r="AU23" s="3577"/>
      <c r="AV23" s="3577"/>
      <c r="AW23" s="3577"/>
      <c r="AX23" s="3577"/>
      <c r="AY23" s="4775"/>
    </row>
    <row r="24" spans="1:99" s="1" customFormat="1" ht="24.75" thickBot="1">
      <c r="A24" s="2583">
        <v>4</v>
      </c>
      <c r="B24" s="396" t="s">
        <v>952</v>
      </c>
      <c r="C24" s="4446"/>
      <c r="D24" s="4446"/>
      <c r="E24" s="4446"/>
      <c r="F24" s="2584">
        <f t="shared" ref="F24:J24" si="175">+F39*F45+F50*F56+F61*F67+F72*F78</f>
        <v>0</v>
      </c>
      <c r="G24" s="2584">
        <f>+G39*G45+G50*G56+G61*G67+G72*G78</f>
        <v>0</v>
      </c>
      <c r="H24" s="2584">
        <f t="shared" si="175"/>
        <v>0</v>
      </c>
      <c r="I24" s="2584">
        <f t="shared" si="175"/>
        <v>0</v>
      </c>
      <c r="J24" s="2585">
        <f t="shared" si="175"/>
        <v>0</v>
      </c>
      <c r="K24" s="4446"/>
      <c r="L24" s="4446"/>
      <c r="M24" s="4446"/>
      <c r="N24" s="2584">
        <f t="shared" ref="N24:Q24" si="176">+N39*N45+N50*N56+N61*N67+N72*N78</f>
        <v>0</v>
      </c>
      <c r="O24" s="2584">
        <f t="shared" si="176"/>
        <v>0</v>
      </c>
      <c r="P24" s="2584">
        <f t="shared" si="176"/>
        <v>0</v>
      </c>
      <c r="Q24" s="2584">
        <f t="shared" si="176"/>
        <v>0</v>
      </c>
      <c r="R24" s="2585">
        <f>+R39*R45+R50*R56+R61*R67+R72*R78</f>
        <v>0</v>
      </c>
      <c r="S24" s="4446"/>
      <c r="T24" s="4446"/>
      <c r="U24" s="4446"/>
      <c r="V24" s="2584">
        <f t="shared" ref="V24:Z24" si="177">+V39*V45+V50*V56+V61*V67+V72*V78</f>
        <v>0</v>
      </c>
      <c r="W24" s="2584">
        <f t="shared" si="177"/>
        <v>0</v>
      </c>
      <c r="X24" s="2584">
        <f t="shared" si="177"/>
        <v>0</v>
      </c>
      <c r="Y24" s="2584">
        <f t="shared" si="177"/>
        <v>0</v>
      </c>
      <c r="Z24" s="2586">
        <f t="shared" si="177"/>
        <v>0</v>
      </c>
      <c r="AA24" s="4446"/>
      <c r="AB24" s="4446"/>
      <c r="AC24" s="4446"/>
      <c r="AD24" s="2584">
        <f t="shared" ref="AD24:AH24" si="178">+AD39*AD45+AD50*AD56+AD61*AD67+AD72*AD78</f>
        <v>0</v>
      </c>
      <c r="AE24" s="2584">
        <f t="shared" si="178"/>
        <v>0</v>
      </c>
      <c r="AF24" s="2584">
        <f t="shared" si="178"/>
        <v>0</v>
      </c>
      <c r="AG24" s="2584">
        <f t="shared" si="178"/>
        <v>0</v>
      </c>
      <c r="AH24" s="2586">
        <f t="shared" si="178"/>
        <v>0</v>
      </c>
      <c r="AI24" s="4446"/>
      <c r="AJ24" s="4446"/>
      <c r="AK24" s="4446"/>
      <c r="AL24" s="2584">
        <f t="shared" ref="AL24:AP24" si="179">+AL39*AL45+AL50*AL56+AL61*AL67+AL72*AL78</f>
        <v>0</v>
      </c>
      <c r="AM24" s="2584">
        <f t="shared" si="179"/>
        <v>0</v>
      </c>
      <c r="AN24" s="2584">
        <f t="shared" si="179"/>
        <v>0</v>
      </c>
      <c r="AO24" s="2584">
        <f t="shared" si="179"/>
        <v>0</v>
      </c>
      <c r="AP24" s="2586">
        <f t="shared" si="179"/>
        <v>0</v>
      </c>
      <c r="AQ24" s="4446"/>
      <c r="AR24" s="4446"/>
      <c r="AS24" s="4446"/>
      <c r="AT24" s="2584">
        <f t="shared" ref="AT24" si="180">F24+N24+V24+AD24+AL24</f>
        <v>0</v>
      </c>
      <c r="AU24" s="2584">
        <f t="shared" ref="AU24" si="181">G24+O24+W24+AE24+AM24</f>
        <v>0</v>
      </c>
      <c r="AV24" s="2584">
        <f t="shared" ref="AV24" si="182">H24+P24+X24+AF24+AN24</f>
        <v>0</v>
      </c>
      <c r="AW24" s="2584">
        <f t="shared" ref="AW24" si="183">I24+Q24+Y24+AG24+AO24</f>
        <v>0</v>
      </c>
      <c r="AX24" s="2586">
        <f t="shared" ref="AX24" si="184">J24+R24+Z24+AH24+AP24</f>
        <v>0</v>
      </c>
      <c r="AY24" s="4775"/>
      <c r="AZ24" s="3"/>
      <c r="BA24" s="3"/>
      <c r="BB24" s="3"/>
      <c r="BC24" s="4794">
        <f>IFERROR(F24/$C$1,0)</f>
        <v>0</v>
      </c>
      <c r="BD24" s="4794">
        <f t="shared" ref="BD24" si="185">IFERROR(G24/$C$1,0)</f>
        <v>0</v>
      </c>
      <c r="BE24" s="4794">
        <f t="shared" ref="BE24" si="186">IFERROR(H24/$C$1,0)</f>
        <v>0</v>
      </c>
      <c r="BF24" s="4794">
        <f t="shared" ref="BF24" si="187">IFERROR(I24/$C$1,0)</f>
        <v>0</v>
      </c>
      <c r="BG24" s="4794">
        <f t="shared" ref="BG24" si="188">IFERROR(J24/$C$1,0)</f>
        <v>0</v>
      </c>
      <c r="BH24" s="3"/>
      <c r="BI24" s="3"/>
      <c r="BJ24" s="3"/>
      <c r="BK24" s="4794">
        <f>IFERROR(N24/$C$1,0)</f>
        <v>0</v>
      </c>
      <c r="BL24" s="4794">
        <f t="shared" ref="BL24" si="189">IFERROR(O24/$C$1,0)</f>
        <v>0</v>
      </c>
      <c r="BM24" s="4794">
        <f t="shared" ref="BM24" si="190">IFERROR(P24/$C$1,0)</f>
        <v>0</v>
      </c>
      <c r="BN24" s="4794">
        <f t="shared" ref="BN24" si="191">IFERROR(Q24/$C$1,0)</f>
        <v>0</v>
      </c>
      <c r="BO24" s="4794">
        <f t="shared" ref="BO24" si="192">IFERROR(R24/$C$1,0)</f>
        <v>0</v>
      </c>
      <c r="BP24" s="3"/>
      <c r="BQ24" s="3"/>
      <c r="BR24" s="3"/>
      <c r="BS24" s="4794">
        <f>IFERROR(V24/$C$1,0)</f>
        <v>0</v>
      </c>
      <c r="BT24" s="4794">
        <f t="shared" ref="BT24" si="193">IFERROR(W24/$C$1,0)</f>
        <v>0</v>
      </c>
      <c r="BU24" s="4794">
        <f t="shared" ref="BU24" si="194">IFERROR(X24/$C$1,0)</f>
        <v>0</v>
      </c>
      <c r="BV24" s="4794">
        <f t="shared" ref="BV24" si="195">IFERROR(Y24/$C$1,0)</f>
        <v>0</v>
      </c>
      <c r="BW24" s="4794">
        <f t="shared" ref="BW24" si="196">IFERROR(Z24/$C$1,0)</f>
        <v>0</v>
      </c>
      <c r="BX24" s="3"/>
      <c r="BY24" s="3"/>
      <c r="BZ24" s="3"/>
      <c r="CA24" s="4794">
        <f>IFERROR(AD24/$C$1,0)</f>
        <v>0</v>
      </c>
      <c r="CB24" s="4794">
        <f t="shared" ref="CB24" si="197">IFERROR(AE24/$C$1,0)</f>
        <v>0</v>
      </c>
      <c r="CC24" s="4794">
        <f t="shared" ref="CC24" si="198">IFERROR(AF24/$C$1,0)</f>
        <v>0</v>
      </c>
      <c r="CD24" s="4794">
        <f t="shared" ref="CD24" si="199">IFERROR(AG24/$C$1,0)</f>
        <v>0</v>
      </c>
      <c r="CE24" s="4794">
        <f t="shared" ref="CE24" si="200">IFERROR(AH24/$C$1,0)</f>
        <v>0</v>
      </c>
      <c r="CF24" s="3"/>
      <c r="CG24" s="3"/>
      <c r="CH24" s="3"/>
      <c r="CI24" s="4794">
        <f>IFERROR(AL24/$C$1,0)</f>
        <v>0</v>
      </c>
      <c r="CJ24" s="4794">
        <f t="shared" ref="CJ24" si="201">IFERROR(AM24/$C$1,0)</f>
        <v>0</v>
      </c>
      <c r="CK24" s="4794">
        <f t="shared" ref="CK24" si="202">IFERROR(AN24/$C$1,0)</f>
        <v>0</v>
      </c>
      <c r="CL24" s="4794">
        <f t="shared" ref="CL24" si="203">IFERROR(AO24/$C$1,0)</f>
        <v>0</v>
      </c>
      <c r="CM24" s="4794">
        <f t="shared" ref="CM24" si="204">IFERROR(AP24/$C$1,0)</f>
        <v>0</v>
      </c>
      <c r="CN24" s="3"/>
      <c r="CO24" s="3"/>
      <c r="CP24" s="3"/>
      <c r="CQ24" s="4794">
        <f>IFERROR(AT24/$C$1,0)</f>
        <v>0</v>
      </c>
      <c r="CR24" s="4794">
        <f t="shared" ref="CR24" si="205">IFERROR(AU24/$C$1,0)</f>
        <v>0</v>
      </c>
      <c r="CS24" s="4794">
        <f t="shared" ref="CS24" si="206">IFERROR(AV24/$C$1,0)</f>
        <v>0</v>
      </c>
      <c r="CT24" s="4794">
        <f t="shared" ref="CT24" si="207">IFERROR(AW24/$C$1,0)</f>
        <v>0</v>
      </c>
      <c r="CU24" s="4794">
        <f t="shared" ref="CU24" si="208">IFERROR(AX24/$C$1,0)</f>
        <v>0</v>
      </c>
    </row>
    <row r="25" spans="1:99" s="669" customFormat="1" ht="13.5" thickBot="1">
      <c r="A25" s="2587"/>
      <c r="B25" s="2588"/>
      <c r="C25" s="3578"/>
      <c r="D25" s="3578"/>
      <c r="E25" s="3578"/>
      <c r="F25" s="3578"/>
      <c r="G25" s="3578"/>
      <c r="H25" s="3578"/>
      <c r="I25" s="3578"/>
      <c r="J25" s="3578"/>
      <c r="K25" s="3578"/>
      <c r="L25" s="3578"/>
      <c r="M25" s="3578"/>
      <c r="N25" s="3580"/>
      <c r="O25" s="3579"/>
      <c r="P25" s="3579"/>
      <c r="Q25" s="3579"/>
      <c r="R25" s="3579"/>
      <c r="S25" s="3578"/>
      <c r="T25" s="3578"/>
      <c r="U25" s="3578"/>
      <c r="V25" s="3579"/>
      <c r="W25" s="3579"/>
      <c r="X25" s="3579"/>
      <c r="Y25" s="3579"/>
      <c r="Z25" s="3579"/>
      <c r="AA25" s="3578"/>
      <c r="AB25" s="3578"/>
      <c r="AC25" s="3578"/>
      <c r="AD25" s="3579"/>
      <c r="AE25" s="3579"/>
      <c r="AF25" s="3579"/>
      <c r="AG25" s="3579"/>
      <c r="AH25" s="3579"/>
      <c r="AI25" s="3578"/>
      <c r="AJ25" s="3578"/>
      <c r="AK25" s="3578"/>
      <c r="AL25" s="3579"/>
      <c r="AM25" s="3579"/>
      <c r="AN25" s="3579"/>
      <c r="AO25" s="3579"/>
      <c r="AP25" s="3579"/>
      <c r="AQ25" s="3578"/>
      <c r="AR25" s="3578"/>
      <c r="AS25" s="3578"/>
      <c r="AT25" s="3579"/>
      <c r="AU25" s="3579"/>
      <c r="AV25" s="3579"/>
      <c r="AW25" s="3579"/>
      <c r="AX25" s="3579"/>
      <c r="AY25" s="4775"/>
    </row>
    <row r="26" spans="1:99" s="669" customFormat="1">
      <c r="A26" s="2589" t="s">
        <v>568</v>
      </c>
      <c r="B26" s="4095" t="s">
        <v>943</v>
      </c>
      <c r="C26" s="398"/>
      <c r="D26" s="398"/>
      <c r="E26" s="398"/>
      <c r="F26" s="3581">
        <f>'11. Амортиз. план'!G35</f>
        <v>763.25164772727271</v>
      </c>
      <c r="G26" s="3581">
        <f>'11. Амортиз. план'!H35</f>
        <v>781.06350185610768</v>
      </c>
      <c r="H26" s="3581">
        <f>'11. Амортиз. план'!I35</f>
        <v>809.27877905423452</v>
      </c>
      <c r="I26" s="3581">
        <f>'11. Амортиз. план'!J35</f>
        <v>853.98049372471746</v>
      </c>
      <c r="J26" s="3582">
        <f>'11. Амортиз. план'!K35</f>
        <v>884.81187553427912</v>
      </c>
      <c r="K26" s="398"/>
      <c r="L26" s="398"/>
      <c r="M26" s="398"/>
      <c r="N26" s="3581">
        <f>'11. Амортиз. план'!N35</f>
        <v>206.8127840909091</v>
      </c>
      <c r="O26" s="3581">
        <f>'11. Амортиз. план'!O35</f>
        <v>208.66735902421775</v>
      </c>
      <c r="P26" s="3581">
        <f>'11. Амортиз. план'!P35</f>
        <v>210.58336895538346</v>
      </c>
      <c r="Q26" s="3581">
        <f>'11. Амортиз. план'!Q35</f>
        <v>212.35432527746084</v>
      </c>
      <c r="R26" s="3583">
        <f>'11. Амортиз. план'!R35</f>
        <v>213.75640280389814</v>
      </c>
      <c r="S26" s="398"/>
      <c r="T26" s="398"/>
      <c r="U26" s="398"/>
      <c r="V26" s="3581">
        <f>'11. Амортиз. план'!U35</f>
        <v>92.725568181818176</v>
      </c>
      <c r="W26" s="3581">
        <f>'11. Амортиз. план'!V35</f>
        <v>100.10913911967475</v>
      </c>
      <c r="X26" s="3581">
        <f>'11. Амортиз. план'!W35</f>
        <v>106.47785199038205</v>
      </c>
      <c r="Y26" s="3581">
        <f>'11. Амортиз. план'!X35</f>
        <v>113.7551809978218</v>
      </c>
      <c r="Z26" s="3582">
        <f>'11. Амортиз. план'!Y35</f>
        <v>120.27172166182253</v>
      </c>
      <c r="AA26" s="398"/>
      <c r="AB26" s="398"/>
      <c r="AC26" s="398"/>
      <c r="AD26" s="3581">
        <f>'11. Амортиз. план'!AB35</f>
        <v>0</v>
      </c>
      <c r="AE26" s="3581">
        <f>'11. Амортиз. план'!AC35</f>
        <v>0</v>
      </c>
      <c r="AF26" s="3581">
        <f>'11. Амортиз. план'!AD35</f>
        <v>0</v>
      </c>
      <c r="AG26" s="3581">
        <f>'11. Амортиз. план'!AE35</f>
        <v>0</v>
      </c>
      <c r="AH26" s="3582">
        <f>'11. Амортиз. план'!AF35</f>
        <v>0</v>
      </c>
      <c r="AI26" s="398"/>
      <c r="AJ26" s="398"/>
      <c r="AK26" s="398"/>
      <c r="AL26" s="3581">
        <f>'11. Амортиз. план'!AI35</f>
        <v>0</v>
      </c>
      <c r="AM26" s="3581">
        <f>'11. Амортиз. план'!AJ35</f>
        <v>0</v>
      </c>
      <c r="AN26" s="3581">
        <f>'11. Амортиз. план'!AK35</f>
        <v>0</v>
      </c>
      <c r="AO26" s="3581">
        <f>'11. Амортиз. план'!AL35</f>
        <v>0</v>
      </c>
      <c r="AP26" s="3582">
        <f>'11. Амортиз. план'!AM35</f>
        <v>0</v>
      </c>
      <c r="AQ26" s="398"/>
      <c r="AR26" s="398"/>
      <c r="AS26" s="398"/>
      <c r="AT26" s="3581">
        <f t="shared" ref="AT26:AX26" si="209">F26+N26+V26+AD26+AL26</f>
        <v>1062.79</v>
      </c>
      <c r="AU26" s="3581">
        <f t="shared" si="209"/>
        <v>1089.8400000000001</v>
      </c>
      <c r="AV26" s="3581">
        <f t="shared" si="209"/>
        <v>1126.3399999999999</v>
      </c>
      <c r="AW26" s="3581">
        <f t="shared" si="209"/>
        <v>1180.0900000000001</v>
      </c>
      <c r="AX26" s="3582">
        <f t="shared" si="209"/>
        <v>1218.8399999999997</v>
      </c>
      <c r="AY26" s="4775"/>
      <c r="AZ26" s="3"/>
      <c r="BA26" s="3"/>
      <c r="BB26" s="3"/>
      <c r="BC26" s="4794">
        <f t="shared" ref="BC26:BC31" si="210">IFERROR(F26/$C$1,0)</f>
        <v>390.24437079259076</v>
      </c>
      <c r="BD26" s="4794">
        <f t="shared" ref="BD26:BD31" si="211">IFERROR(G26/$C$1,0)</f>
        <v>399.3514271977154</v>
      </c>
      <c r="BE26" s="4794">
        <f t="shared" ref="BE26:BE31" si="212">IFERROR(H26/$C$1,0)</f>
        <v>413.77766935481844</v>
      </c>
      <c r="BF26" s="4794">
        <f t="shared" ref="BF26:BF31" si="213">IFERROR(I26/$C$1,0)</f>
        <v>436.63329314138628</v>
      </c>
      <c r="BG26" s="4794">
        <f t="shared" ref="BG26:BG31" si="214">IFERROR(J26/$C$1,0)</f>
        <v>452.39712834667591</v>
      </c>
      <c r="BH26" s="3"/>
      <c r="BI26" s="3"/>
      <c r="BJ26" s="3"/>
      <c r="BK26" s="4794">
        <f t="shared" ref="BK26:BK31" si="215">IFERROR(N26/$C$1,0)</f>
        <v>105.74169743326829</v>
      </c>
      <c r="BL26" s="4794">
        <f t="shared" ref="BL26:BL31" si="216">IFERROR(O26/$C$1,0)</f>
        <v>106.68992653973901</v>
      </c>
      <c r="BM26" s="4794">
        <f t="shared" ref="BM26:BM31" si="217">IFERROR(P26/$C$1,0)</f>
        <v>107.66956686183536</v>
      </c>
      <c r="BN26" s="4794">
        <f t="shared" ref="BN26:BN31" si="218">IFERROR(Q26/$C$1,0)</f>
        <v>108.57504245126665</v>
      </c>
      <c r="BO26" s="4794">
        <f t="shared" ref="BO26:BO31" si="219">IFERROR(R26/$C$1,0)</f>
        <v>109.29191330734172</v>
      </c>
      <c r="BP26" s="3"/>
      <c r="BQ26" s="3"/>
      <c r="BR26" s="3"/>
      <c r="BS26" s="4794">
        <f t="shared" ref="BS26:BS31" si="220">IFERROR(V26/$C$1,0)</f>
        <v>47.409830190670036</v>
      </c>
      <c r="BT26" s="4794">
        <f t="shared" ref="BT26:BT31" si="221">IFERROR(W26/$C$1,0)</f>
        <v>51.184990065432451</v>
      </c>
      <c r="BU26" s="4794">
        <f t="shared" ref="BU26:BU31" si="222">IFERROR(X26/$C$1,0)</f>
        <v>54.441261249894957</v>
      </c>
      <c r="BV26" s="4794">
        <f t="shared" ref="BV26:BV31" si="223">IFERROR(Y26/$C$1,0)</f>
        <v>58.162100488192635</v>
      </c>
      <c r="BW26" s="4794">
        <f t="shared" ref="BW26:BW31" si="224">IFERROR(Z26/$C$1,0)</f>
        <v>61.49395482318122</v>
      </c>
      <c r="BX26" s="3"/>
      <c r="BY26" s="3"/>
      <c r="BZ26" s="3"/>
      <c r="CA26" s="4794">
        <f t="shared" ref="CA26:CA31" si="225">IFERROR(AD26/$C$1,0)</f>
        <v>0</v>
      </c>
      <c r="CB26" s="4794">
        <f t="shared" ref="CB26:CB31" si="226">IFERROR(AE26/$C$1,0)</f>
        <v>0</v>
      </c>
      <c r="CC26" s="4794">
        <f t="shared" ref="CC26:CC31" si="227">IFERROR(AF26/$C$1,0)</f>
        <v>0</v>
      </c>
      <c r="CD26" s="4794">
        <f t="shared" ref="CD26:CD31" si="228">IFERROR(AG26/$C$1,0)</f>
        <v>0</v>
      </c>
      <c r="CE26" s="4794">
        <f t="shared" ref="CE26:CE31" si="229">IFERROR(AH26/$C$1,0)</f>
        <v>0</v>
      </c>
      <c r="CF26" s="3"/>
      <c r="CG26" s="3"/>
      <c r="CH26" s="3"/>
      <c r="CI26" s="4794">
        <f t="shared" ref="CI26:CI31" si="230">IFERROR(AL26/$C$1,0)</f>
        <v>0</v>
      </c>
      <c r="CJ26" s="4794">
        <f t="shared" ref="CJ26:CJ31" si="231">IFERROR(AM26/$C$1,0)</f>
        <v>0</v>
      </c>
      <c r="CK26" s="4794">
        <f t="shared" ref="CK26:CK31" si="232">IFERROR(AN26/$C$1,0)</f>
        <v>0</v>
      </c>
      <c r="CL26" s="4794">
        <f t="shared" ref="CL26:CL31" si="233">IFERROR(AO26/$C$1,0)</f>
        <v>0</v>
      </c>
      <c r="CM26" s="4794">
        <f t="shared" ref="CM26:CM31" si="234">IFERROR(AP26/$C$1,0)</f>
        <v>0</v>
      </c>
      <c r="CN26" s="3"/>
      <c r="CO26" s="3"/>
      <c r="CP26" s="3"/>
      <c r="CQ26" s="4794">
        <f t="shared" ref="CQ26:CQ31" si="235">IFERROR(AT26/$C$1,0)</f>
        <v>543.39589841652901</v>
      </c>
      <c r="CR26" s="4794">
        <f t="shared" ref="CR26:CR31" si="236">IFERROR(AU26/$C$1,0)</f>
        <v>557.22634380288684</v>
      </c>
      <c r="CS26" s="4794">
        <f t="shared" ref="CS26:CS31" si="237">IFERROR(AV26/$C$1,0)</f>
        <v>575.88849746654876</v>
      </c>
      <c r="CT26" s="4794">
        <f t="shared" ref="CT26:CT31" si="238">IFERROR(AW26/$C$1,0)</f>
        <v>603.37043608084559</v>
      </c>
      <c r="CU26" s="4794">
        <f t="shared" ref="CU26:CU31" si="239">IFERROR(AX26/$C$1,0)</f>
        <v>623.1829964771988</v>
      </c>
    </row>
    <row r="27" spans="1:99" s="669" customFormat="1" ht="24">
      <c r="A27" s="2590" t="s">
        <v>569</v>
      </c>
      <c r="B27" s="915" t="s">
        <v>942</v>
      </c>
      <c r="C27" s="397"/>
      <c r="D27" s="397"/>
      <c r="E27" s="397"/>
      <c r="F27" s="2591">
        <f t="shared" ref="F27:AP27" si="240">F26-F15</f>
        <v>606.58498106060608</v>
      </c>
      <c r="G27" s="2591">
        <f t="shared" si="240"/>
        <v>691.06350185610768</v>
      </c>
      <c r="H27" s="2591">
        <f t="shared" si="240"/>
        <v>557.61211238756789</v>
      </c>
      <c r="I27" s="2591">
        <f t="shared" si="240"/>
        <v>380.64716039138415</v>
      </c>
      <c r="J27" s="2592">
        <f t="shared" si="240"/>
        <v>791.47854220094575</v>
      </c>
      <c r="K27" s="397"/>
      <c r="L27" s="397"/>
      <c r="M27" s="397"/>
      <c r="N27" s="2591">
        <f t="shared" si="240"/>
        <v>135.14611742424245</v>
      </c>
      <c r="O27" s="2591">
        <f t="shared" si="240"/>
        <v>158.66735902421775</v>
      </c>
      <c r="P27" s="2591">
        <f t="shared" si="240"/>
        <v>98.916702288716806</v>
      </c>
      <c r="Q27" s="2591">
        <f t="shared" si="240"/>
        <v>179.0209919441275</v>
      </c>
      <c r="R27" s="2593">
        <f t="shared" si="240"/>
        <v>160.42306947056483</v>
      </c>
      <c r="S27" s="397"/>
      <c r="T27" s="397"/>
      <c r="U27" s="397"/>
      <c r="V27" s="2591">
        <f t="shared" si="240"/>
        <v>-33.941098484848482</v>
      </c>
      <c r="W27" s="2591">
        <f t="shared" si="240"/>
        <v>10.109139119674751</v>
      </c>
      <c r="X27" s="2591">
        <f t="shared" si="240"/>
        <v>-35.188814676284608</v>
      </c>
      <c r="Y27" s="2591">
        <f t="shared" si="240"/>
        <v>20.421847664488467</v>
      </c>
      <c r="Z27" s="2592">
        <f t="shared" si="240"/>
        <v>36.938388328489197</v>
      </c>
      <c r="AA27" s="397"/>
      <c r="AB27" s="397"/>
      <c r="AC27" s="397"/>
      <c r="AD27" s="2591">
        <f t="shared" si="240"/>
        <v>0</v>
      </c>
      <c r="AE27" s="2591">
        <f t="shared" si="240"/>
        <v>0</v>
      </c>
      <c r="AF27" s="2591">
        <f t="shared" si="240"/>
        <v>0</v>
      </c>
      <c r="AG27" s="2591">
        <f t="shared" si="240"/>
        <v>0</v>
      </c>
      <c r="AH27" s="2592">
        <f t="shared" si="240"/>
        <v>0</v>
      </c>
      <c r="AI27" s="397"/>
      <c r="AJ27" s="397"/>
      <c r="AK27" s="397"/>
      <c r="AL27" s="2591">
        <f t="shared" si="240"/>
        <v>0</v>
      </c>
      <c r="AM27" s="2591">
        <f t="shared" si="240"/>
        <v>0</v>
      </c>
      <c r="AN27" s="2591">
        <f t="shared" si="240"/>
        <v>0</v>
      </c>
      <c r="AO27" s="2591">
        <f t="shared" si="240"/>
        <v>0</v>
      </c>
      <c r="AP27" s="2592">
        <f t="shared" si="240"/>
        <v>0</v>
      </c>
      <c r="AQ27" s="397"/>
      <c r="AR27" s="397"/>
      <c r="AS27" s="397"/>
      <c r="AT27" s="2591">
        <f t="shared" ref="AT27:AX27" si="241">AT26-AT15</f>
        <v>707.79</v>
      </c>
      <c r="AU27" s="2591">
        <f t="shared" si="241"/>
        <v>859.84000000000015</v>
      </c>
      <c r="AV27" s="2591">
        <f t="shared" si="241"/>
        <v>621.33999999999992</v>
      </c>
      <c r="AW27" s="2591">
        <f t="shared" si="241"/>
        <v>580.09000000000015</v>
      </c>
      <c r="AX27" s="2592">
        <f t="shared" si="241"/>
        <v>988.83999999999969</v>
      </c>
      <c r="AY27" s="4775"/>
      <c r="AZ27" s="3"/>
      <c r="BA27" s="3"/>
      <c r="BB27" s="3"/>
      <c r="BC27" s="4794">
        <f t="shared" si="210"/>
        <v>310.14197607184985</v>
      </c>
      <c r="BD27" s="4794">
        <f t="shared" si="211"/>
        <v>353.33515789005571</v>
      </c>
      <c r="BE27" s="4794">
        <f t="shared" si="212"/>
        <v>285.1025459204368</v>
      </c>
      <c r="BF27" s="4794">
        <f t="shared" si="213"/>
        <v>194.62180270850951</v>
      </c>
      <c r="BG27" s="4794">
        <f t="shared" si="214"/>
        <v>404.67655276836217</v>
      </c>
      <c r="BH27" s="3"/>
      <c r="BI27" s="3"/>
      <c r="BJ27" s="3"/>
      <c r="BK27" s="4794">
        <f t="shared" si="215"/>
        <v>69.099112614205964</v>
      </c>
      <c r="BL27" s="4794">
        <f t="shared" si="216"/>
        <v>81.12533247992809</v>
      </c>
      <c r="BM27" s="4794">
        <f t="shared" si="217"/>
        <v>50.575306794924309</v>
      </c>
      <c r="BN27" s="4794">
        <f t="shared" si="218"/>
        <v>91.53197974472603</v>
      </c>
      <c r="BO27" s="4794">
        <f t="shared" si="219"/>
        <v>82.023012976876743</v>
      </c>
      <c r="BP27" s="3"/>
      <c r="BQ27" s="3"/>
      <c r="BR27" s="3"/>
      <c r="BS27" s="4794">
        <f t="shared" si="220"/>
        <v>-17.353808094184302</v>
      </c>
      <c r="BT27" s="4794">
        <f t="shared" si="221"/>
        <v>5.1687207577727872</v>
      </c>
      <c r="BU27" s="4794">
        <f t="shared" si="222"/>
        <v>-17.99175525290266</v>
      </c>
      <c r="BV27" s="4794">
        <f t="shared" si="223"/>
        <v>10.441524909878909</v>
      </c>
      <c r="BW27" s="4794">
        <f t="shared" si="224"/>
        <v>18.886298056829681</v>
      </c>
      <c r="BX27" s="3"/>
      <c r="BY27" s="3"/>
      <c r="BZ27" s="3"/>
      <c r="CA27" s="4794">
        <f t="shared" si="225"/>
        <v>0</v>
      </c>
      <c r="CB27" s="4794">
        <f t="shared" si="226"/>
        <v>0</v>
      </c>
      <c r="CC27" s="4794">
        <f t="shared" si="227"/>
        <v>0</v>
      </c>
      <c r="CD27" s="4794">
        <f t="shared" si="228"/>
        <v>0</v>
      </c>
      <c r="CE27" s="4794">
        <f t="shared" si="229"/>
        <v>0</v>
      </c>
      <c r="CF27" s="3"/>
      <c r="CG27" s="3"/>
      <c r="CH27" s="3"/>
      <c r="CI27" s="4794">
        <f t="shared" si="230"/>
        <v>0</v>
      </c>
      <c r="CJ27" s="4794">
        <f t="shared" si="231"/>
        <v>0</v>
      </c>
      <c r="CK27" s="4794">
        <f t="shared" si="232"/>
        <v>0</v>
      </c>
      <c r="CL27" s="4794">
        <f t="shared" si="233"/>
        <v>0</v>
      </c>
      <c r="CM27" s="4794">
        <f t="shared" si="234"/>
        <v>0</v>
      </c>
      <c r="CN27" s="3"/>
      <c r="CO27" s="3"/>
      <c r="CP27" s="3"/>
      <c r="CQ27" s="4794">
        <f t="shared" si="235"/>
        <v>361.88728059187144</v>
      </c>
      <c r="CR27" s="4794">
        <f t="shared" si="236"/>
        <v>439.62921112775661</v>
      </c>
      <c r="CS27" s="4794">
        <f t="shared" si="237"/>
        <v>317.68609746245835</v>
      </c>
      <c r="CT27" s="4794">
        <f t="shared" si="238"/>
        <v>296.59530736311444</v>
      </c>
      <c r="CU27" s="4794">
        <f t="shared" si="239"/>
        <v>505.58586380206856</v>
      </c>
    </row>
    <row r="28" spans="1:99" s="669" customFormat="1" ht="24">
      <c r="A28" s="2590" t="s">
        <v>956</v>
      </c>
      <c r="B28" s="4096" t="s">
        <v>944</v>
      </c>
      <c r="C28" s="397"/>
      <c r="D28" s="397"/>
      <c r="E28" s="397"/>
      <c r="F28" s="3584">
        <f>'11. Амортиз. план'!G131</f>
        <v>771.38318181818181</v>
      </c>
      <c r="G28" s="3584">
        <f>'11. Амортиз. план'!H131</f>
        <v>854.32438218136826</v>
      </c>
      <c r="H28" s="3584">
        <f>'11. Амортиз. план'!I131</f>
        <v>929.98135720010691</v>
      </c>
      <c r="I28" s="3584">
        <f>'11. Амортиз. план'!J131</f>
        <v>1004.1178601804791</v>
      </c>
      <c r="J28" s="3585">
        <f>'11. Амортиз. план'!K131</f>
        <v>1078.4168165498374</v>
      </c>
      <c r="K28" s="397"/>
      <c r="L28" s="397"/>
      <c r="M28" s="397"/>
      <c r="N28" s="3584">
        <f>'11. Амортиз. план'!N131</f>
        <v>33.37560606060606</v>
      </c>
      <c r="O28" s="3584">
        <f>'11. Амортиз. план'!O131</f>
        <v>36.933353367509284</v>
      </c>
      <c r="P28" s="3584">
        <f>'11. Амортиз. план'!P131</f>
        <v>40.494154421586956</v>
      </c>
      <c r="Q28" s="3584">
        <f>'11. Амортиз. план'!Q131</f>
        <v>43.898354942433357</v>
      </c>
      <c r="R28" s="3586">
        <f>'11. Амортиз. план'!R131</f>
        <v>47.209533253547612</v>
      </c>
      <c r="S28" s="397"/>
      <c r="T28" s="397"/>
      <c r="U28" s="397"/>
      <c r="V28" s="3584">
        <f>'11. Амортиз. план'!U131</f>
        <v>43.731212121212124</v>
      </c>
      <c r="W28" s="3584">
        <f>'11. Амортиз. план'!V131</f>
        <v>48.532264451122501</v>
      </c>
      <c r="X28" s="3584">
        <f>'11. Амортиз. план'!W131</f>
        <v>53.264488378306169</v>
      </c>
      <c r="Y28" s="3584">
        <f>'11. Амортиз. план'!X131</f>
        <v>57.973784877087439</v>
      </c>
      <c r="Z28" s="3585">
        <f>'11. Амортиз. план'!Y131</f>
        <v>62.713650196614807</v>
      </c>
      <c r="AA28" s="397"/>
      <c r="AB28" s="397"/>
      <c r="AC28" s="397"/>
      <c r="AD28" s="3584">
        <f>'11. Амортиз. план'!AB131</f>
        <v>0</v>
      </c>
      <c r="AE28" s="3584">
        <f>'11. Амортиз. план'!AC131</f>
        <v>0</v>
      </c>
      <c r="AF28" s="3584">
        <f>'11. Амортиз. план'!AD131</f>
        <v>0</v>
      </c>
      <c r="AG28" s="3584">
        <f>'11. Амортиз. план'!AE131</f>
        <v>0</v>
      </c>
      <c r="AH28" s="3585">
        <f>'11. Амортиз. план'!AF131</f>
        <v>0</v>
      </c>
      <c r="AI28" s="397"/>
      <c r="AJ28" s="397"/>
      <c r="AK28" s="397"/>
      <c r="AL28" s="3584">
        <f>'11. Амортиз. план'!AI131</f>
        <v>0</v>
      </c>
      <c r="AM28" s="3584">
        <f>'11. Амортиз. план'!AJ131</f>
        <v>0</v>
      </c>
      <c r="AN28" s="3584">
        <f>'11. Амортиз. план'!AK131</f>
        <v>0</v>
      </c>
      <c r="AO28" s="3584">
        <f>'11. Амортиз. план'!AL131</f>
        <v>0</v>
      </c>
      <c r="AP28" s="3585">
        <f>'11. Амортиз. план'!AM131</f>
        <v>0</v>
      </c>
      <c r="AQ28" s="397"/>
      <c r="AR28" s="397"/>
      <c r="AS28" s="397"/>
      <c r="AT28" s="3584">
        <f t="shared" ref="AT28:AX31" si="242">F28+N28+V28+AD28+AL28</f>
        <v>848.49</v>
      </c>
      <c r="AU28" s="3584">
        <f t="shared" si="242"/>
        <v>939.79000000000008</v>
      </c>
      <c r="AV28" s="3584">
        <f t="shared" si="242"/>
        <v>1023.74</v>
      </c>
      <c r="AW28" s="3584">
        <f t="shared" si="242"/>
        <v>1105.9899999999998</v>
      </c>
      <c r="AX28" s="3585">
        <f t="shared" si="242"/>
        <v>1188.3399999999997</v>
      </c>
      <c r="AY28" s="4775"/>
      <c r="AZ28" s="3"/>
      <c r="BA28" s="3"/>
      <c r="BB28" s="3"/>
      <c r="BC28" s="4794">
        <f t="shared" si="210"/>
        <v>394.4019581549428</v>
      </c>
      <c r="BD28" s="4794">
        <f t="shared" si="211"/>
        <v>436.80912051730888</v>
      </c>
      <c r="BE28" s="4794">
        <f t="shared" si="212"/>
        <v>475.49191760025508</v>
      </c>
      <c r="BF28" s="4794">
        <f t="shared" si="213"/>
        <v>513.39730967439868</v>
      </c>
      <c r="BG28" s="4794">
        <f t="shared" si="214"/>
        <v>551.38576284740361</v>
      </c>
      <c r="BH28" s="3"/>
      <c r="BI28" s="3"/>
      <c r="BJ28" s="3"/>
      <c r="BK28" s="4794">
        <f t="shared" si="215"/>
        <v>17.064676408791183</v>
      </c>
      <c r="BL28" s="4794">
        <f t="shared" si="216"/>
        <v>18.883723722158514</v>
      </c>
      <c r="BM28" s="4794">
        <f t="shared" si="217"/>
        <v>20.704332391663364</v>
      </c>
      <c r="BN28" s="4794">
        <f t="shared" si="218"/>
        <v>22.444872479936066</v>
      </c>
      <c r="BO28" s="4794">
        <f t="shared" si="219"/>
        <v>24.13785106760179</v>
      </c>
      <c r="BP28" s="3"/>
      <c r="BQ28" s="3"/>
      <c r="BR28" s="3"/>
      <c r="BS28" s="4794">
        <f t="shared" si="220"/>
        <v>22.35941371244542</v>
      </c>
      <c r="BT28" s="4794">
        <f t="shared" si="221"/>
        <v>24.814152789926784</v>
      </c>
      <c r="BU28" s="4794">
        <f t="shared" si="222"/>
        <v>27.233700463898277</v>
      </c>
      <c r="BV28" s="4794">
        <f t="shared" si="223"/>
        <v>29.641525529870918</v>
      </c>
      <c r="BW28" s="4794">
        <f t="shared" si="224"/>
        <v>32.064980185708784</v>
      </c>
      <c r="BX28" s="3"/>
      <c r="BY28" s="3"/>
      <c r="BZ28" s="3"/>
      <c r="CA28" s="4794">
        <f t="shared" si="225"/>
        <v>0</v>
      </c>
      <c r="CB28" s="4794">
        <f t="shared" si="226"/>
        <v>0</v>
      </c>
      <c r="CC28" s="4794">
        <f t="shared" si="227"/>
        <v>0</v>
      </c>
      <c r="CD28" s="4794">
        <f t="shared" si="228"/>
        <v>0</v>
      </c>
      <c r="CE28" s="4794">
        <f t="shared" si="229"/>
        <v>0</v>
      </c>
      <c r="CF28" s="3"/>
      <c r="CG28" s="3"/>
      <c r="CH28" s="3"/>
      <c r="CI28" s="4794">
        <f t="shared" si="230"/>
        <v>0</v>
      </c>
      <c r="CJ28" s="4794">
        <f t="shared" si="231"/>
        <v>0</v>
      </c>
      <c r="CK28" s="4794">
        <f t="shared" si="232"/>
        <v>0</v>
      </c>
      <c r="CL28" s="4794">
        <f t="shared" si="233"/>
        <v>0</v>
      </c>
      <c r="CM28" s="4794">
        <f t="shared" si="234"/>
        <v>0</v>
      </c>
      <c r="CN28" s="3"/>
      <c r="CO28" s="3"/>
      <c r="CP28" s="3"/>
      <c r="CQ28" s="4794">
        <f t="shared" si="235"/>
        <v>433.82604827617945</v>
      </c>
      <c r="CR28" s="4794">
        <f t="shared" si="236"/>
        <v>480.5069970293942</v>
      </c>
      <c r="CS28" s="4794">
        <f t="shared" si="237"/>
        <v>523.42995045581677</v>
      </c>
      <c r="CT28" s="4794">
        <f t="shared" si="238"/>
        <v>565.48370768420557</v>
      </c>
      <c r="CU28" s="4794">
        <f t="shared" si="239"/>
        <v>607.58859410071409</v>
      </c>
    </row>
    <row r="29" spans="1:99" s="669" customFormat="1" ht="36">
      <c r="A29" s="2590" t="s">
        <v>957</v>
      </c>
      <c r="B29" s="915" t="s">
        <v>945</v>
      </c>
      <c r="C29" s="397"/>
      <c r="D29" s="397"/>
      <c r="E29" s="397"/>
      <c r="F29" s="2591">
        <f t="shared" ref="F29:AP29" si="243">F28-F18-F24</f>
        <v>-2807.2834848484854</v>
      </c>
      <c r="G29" s="2591">
        <f>G28-G18-G24</f>
        <v>-2152.3422844852985</v>
      </c>
      <c r="H29" s="2591">
        <f t="shared" si="243"/>
        <v>-2011.6853094665601</v>
      </c>
      <c r="I29" s="2591">
        <f t="shared" si="243"/>
        <v>-1862.5488064861875</v>
      </c>
      <c r="J29" s="2592">
        <f t="shared" si="243"/>
        <v>-1923.2498501168291</v>
      </c>
      <c r="K29" s="397"/>
      <c r="L29" s="397"/>
      <c r="M29" s="397"/>
      <c r="N29" s="2591">
        <f t="shared" si="243"/>
        <v>-153.2910606060606</v>
      </c>
      <c r="O29" s="2591">
        <f t="shared" si="243"/>
        <v>-149.73331329915737</v>
      </c>
      <c r="P29" s="2591">
        <f t="shared" si="243"/>
        <v>-146.1725122450797</v>
      </c>
      <c r="Q29" s="2591">
        <f t="shared" si="243"/>
        <v>-132.76831172423334</v>
      </c>
      <c r="R29" s="2593">
        <f t="shared" si="243"/>
        <v>-129.45713341311907</v>
      </c>
      <c r="S29" s="397"/>
      <c r="T29" s="397"/>
      <c r="U29" s="397"/>
      <c r="V29" s="2591">
        <f t="shared" si="243"/>
        <v>-82.935454545454533</v>
      </c>
      <c r="W29" s="2591">
        <f t="shared" si="243"/>
        <v>-78.134402215544156</v>
      </c>
      <c r="X29" s="2591">
        <f t="shared" si="243"/>
        <v>-73.402178288360489</v>
      </c>
      <c r="Y29" s="2591">
        <f t="shared" si="243"/>
        <v>-68.692881789579232</v>
      </c>
      <c r="Z29" s="2592">
        <f t="shared" si="243"/>
        <v>-63.953016470051864</v>
      </c>
      <c r="AA29" s="397"/>
      <c r="AB29" s="397"/>
      <c r="AC29" s="397"/>
      <c r="AD29" s="2591">
        <f t="shared" si="243"/>
        <v>0</v>
      </c>
      <c r="AE29" s="2591">
        <f t="shared" si="243"/>
        <v>0</v>
      </c>
      <c r="AF29" s="2591">
        <f t="shared" si="243"/>
        <v>0</v>
      </c>
      <c r="AG29" s="2591">
        <f t="shared" si="243"/>
        <v>0</v>
      </c>
      <c r="AH29" s="2592">
        <f t="shared" si="243"/>
        <v>0</v>
      </c>
      <c r="AI29" s="397"/>
      <c r="AJ29" s="397"/>
      <c r="AK29" s="397"/>
      <c r="AL29" s="2591">
        <f t="shared" si="243"/>
        <v>0</v>
      </c>
      <c r="AM29" s="2591">
        <f t="shared" si="243"/>
        <v>0</v>
      </c>
      <c r="AN29" s="2591">
        <f t="shared" si="243"/>
        <v>0</v>
      </c>
      <c r="AO29" s="2591">
        <f t="shared" si="243"/>
        <v>0</v>
      </c>
      <c r="AP29" s="2592">
        <f t="shared" si="243"/>
        <v>0</v>
      </c>
      <c r="AQ29" s="397"/>
      <c r="AR29" s="397"/>
      <c r="AS29" s="397"/>
      <c r="AT29" s="2591">
        <f t="shared" si="242"/>
        <v>-3043.51</v>
      </c>
      <c r="AU29" s="2591">
        <f t="shared" si="242"/>
        <v>-2380.21</v>
      </c>
      <c r="AV29" s="2591">
        <f t="shared" si="242"/>
        <v>-2231.2600000000002</v>
      </c>
      <c r="AW29" s="2591">
        <f t="shared" si="242"/>
        <v>-2064.0100000000002</v>
      </c>
      <c r="AX29" s="2592">
        <f t="shared" si="242"/>
        <v>-2116.66</v>
      </c>
      <c r="AY29" s="4775"/>
      <c r="AZ29" s="3"/>
      <c r="BA29" s="3"/>
      <c r="BB29" s="3"/>
      <c r="BC29" s="4794">
        <f t="shared" si="210"/>
        <v>-1435.341254019258</v>
      </c>
      <c r="BD29" s="4794">
        <f t="shared" si="211"/>
        <v>-1100.4751356126546</v>
      </c>
      <c r="BE29" s="4794">
        <f t="shared" si="212"/>
        <v>-1028.5583662519546</v>
      </c>
      <c r="BF29" s="4794">
        <f t="shared" si="213"/>
        <v>-952.30608308809428</v>
      </c>
      <c r="BG29" s="4794">
        <f t="shared" si="214"/>
        <v>-983.34203387657885</v>
      </c>
      <c r="BH29" s="3"/>
      <c r="BI29" s="3"/>
      <c r="BJ29" s="3"/>
      <c r="BK29" s="4794">
        <f t="shared" si="215"/>
        <v>-78.376474747836269</v>
      </c>
      <c r="BL29" s="4794">
        <f t="shared" si="216"/>
        <v>-76.557427434468934</v>
      </c>
      <c r="BM29" s="4794">
        <f t="shared" si="217"/>
        <v>-74.736818764964084</v>
      </c>
      <c r="BN29" s="4794">
        <f t="shared" si="218"/>
        <v>-67.883359864729215</v>
      </c>
      <c r="BO29" s="4794">
        <f t="shared" si="219"/>
        <v>-66.19038127706348</v>
      </c>
      <c r="BP29" s="3"/>
      <c r="BQ29" s="3"/>
      <c r="BR29" s="3"/>
      <c r="BS29" s="4794">
        <f t="shared" si="220"/>
        <v>-42.404224572408921</v>
      </c>
      <c r="BT29" s="4794">
        <f t="shared" si="221"/>
        <v>-39.949485494927551</v>
      </c>
      <c r="BU29" s="4794">
        <f t="shared" si="222"/>
        <v>-37.529937820956057</v>
      </c>
      <c r="BV29" s="4794">
        <f t="shared" si="223"/>
        <v>-35.122112754983426</v>
      </c>
      <c r="BW29" s="4794">
        <f t="shared" si="224"/>
        <v>-32.698658099145561</v>
      </c>
      <c r="BX29" s="3"/>
      <c r="BY29" s="3"/>
      <c r="BZ29" s="3"/>
      <c r="CA29" s="4794">
        <f t="shared" si="225"/>
        <v>0</v>
      </c>
      <c r="CB29" s="4794">
        <f t="shared" si="226"/>
        <v>0</v>
      </c>
      <c r="CC29" s="4794">
        <f t="shared" si="227"/>
        <v>0</v>
      </c>
      <c r="CD29" s="4794">
        <f t="shared" si="228"/>
        <v>0</v>
      </c>
      <c r="CE29" s="4794">
        <f t="shared" si="229"/>
        <v>0</v>
      </c>
      <c r="CF29" s="3"/>
      <c r="CG29" s="3"/>
      <c r="CH29" s="3"/>
      <c r="CI29" s="4794">
        <f t="shared" si="230"/>
        <v>0</v>
      </c>
      <c r="CJ29" s="4794">
        <f t="shared" si="231"/>
        <v>0</v>
      </c>
      <c r="CK29" s="4794">
        <f t="shared" si="232"/>
        <v>0</v>
      </c>
      <c r="CL29" s="4794">
        <f t="shared" si="233"/>
        <v>0</v>
      </c>
      <c r="CM29" s="4794">
        <f t="shared" si="234"/>
        <v>0</v>
      </c>
      <c r="CN29" s="3"/>
      <c r="CO29" s="3"/>
      <c r="CP29" s="3"/>
      <c r="CQ29" s="4794">
        <f t="shared" si="235"/>
        <v>-1556.1219533395031</v>
      </c>
      <c r="CR29" s="4794">
        <f t="shared" si="236"/>
        <v>-1216.9820485420512</v>
      </c>
      <c r="CS29" s="4794">
        <f t="shared" si="237"/>
        <v>-1140.8251228378747</v>
      </c>
      <c r="CT29" s="4794">
        <f t="shared" si="238"/>
        <v>-1055.311555707807</v>
      </c>
      <c r="CU29" s="4794">
        <f t="shared" si="239"/>
        <v>-1082.2310732527878</v>
      </c>
    </row>
    <row r="30" spans="1:99" s="669" customFormat="1" ht="24.75" thickBot="1">
      <c r="A30" s="4449" t="s">
        <v>958</v>
      </c>
      <c r="B30" s="4450" t="s">
        <v>946</v>
      </c>
      <c r="C30" s="4236"/>
      <c r="D30" s="4236"/>
      <c r="E30" s="4236"/>
      <c r="F30" s="4451">
        <f>'11. Амортиз. план'!G214</f>
        <v>2056</v>
      </c>
      <c r="G30" s="4451">
        <f>'11. Амортиз. план'!H214</f>
        <v>2056</v>
      </c>
      <c r="H30" s="4451">
        <f>'11. Амортиз. план'!I214</f>
        <v>2056</v>
      </c>
      <c r="I30" s="4451">
        <f>'11. Амортиз. план'!J214</f>
        <v>2056</v>
      </c>
      <c r="J30" s="4452">
        <f>'11. Амортиз. план'!K214</f>
        <v>2056</v>
      </c>
      <c r="K30" s="4236"/>
      <c r="L30" s="4236"/>
      <c r="M30" s="4236"/>
      <c r="N30" s="4451">
        <f>'11. Амортиз. план'!N214</f>
        <v>1628</v>
      </c>
      <c r="O30" s="4451">
        <f>'11. Амортиз. план'!O214</f>
        <v>1628</v>
      </c>
      <c r="P30" s="4451">
        <f>'11. Амортиз. план'!P214</f>
        <v>1628</v>
      </c>
      <c r="Q30" s="4451">
        <f>'11. Амортиз. план'!Q214</f>
        <v>1628</v>
      </c>
      <c r="R30" s="4453">
        <f>'11. Амортиз. план'!R214</f>
        <v>1628</v>
      </c>
      <c r="S30" s="4236"/>
      <c r="T30" s="4236"/>
      <c r="U30" s="4236"/>
      <c r="V30" s="4451">
        <f>'11. Амортиз. план'!U214</f>
        <v>1440</v>
      </c>
      <c r="W30" s="4451">
        <f>'11. Амортиз. план'!V214</f>
        <v>1440</v>
      </c>
      <c r="X30" s="4451">
        <f>'11. Амортиз. план'!W214</f>
        <v>1440</v>
      </c>
      <c r="Y30" s="4451">
        <f>'11. Амортиз. план'!X214</f>
        <v>1440</v>
      </c>
      <c r="Z30" s="4452">
        <f>'11. Амортиз. план'!Y214</f>
        <v>1440</v>
      </c>
      <c r="AA30" s="4236"/>
      <c r="AB30" s="4236"/>
      <c r="AC30" s="4236"/>
      <c r="AD30" s="4451">
        <f>'11. Амортиз. план'!AB214</f>
        <v>0</v>
      </c>
      <c r="AE30" s="4451">
        <f>'11. Амортиз. план'!AC214</f>
        <v>0</v>
      </c>
      <c r="AF30" s="4451">
        <f>'11. Амортиз. план'!AD214</f>
        <v>0</v>
      </c>
      <c r="AG30" s="4451">
        <f>'11. Амортиз. план'!AE214</f>
        <v>0</v>
      </c>
      <c r="AH30" s="4452">
        <f>'11. Амортиз. план'!AF214</f>
        <v>0</v>
      </c>
      <c r="AI30" s="4236"/>
      <c r="AJ30" s="4236"/>
      <c r="AK30" s="4236"/>
      <c r="AL30" s="4451">
        <f>'11. Амортиз. план'!AI214</f>
        <v>0</v>
      </c>
      <c r="AM30" s="4451">
        <f>'11. Амортиз. план'!AJ214</f>
        <v>0</v>
      </c>
      <c r="AN30" s="4451">
        <f>'11. Амортиз. план'!AK214</f>
        <v>0</v>
      </c>
      <c r="AO30" s="4451">
        <f>'11. Амортиз. план'!AL214</f>
        <v>0</v>
      </c>
      <c r="AP30" s="4452">
        <f>'11. Амортиз. план'!AM214</f>
        <v>0</v>
      </c>
      <c r="AQ30" s="4236"/>
      <c r="AR30" s="4236"/>
      <c r="AS30" s="4236"/>
      <c r="AT30" s="4451">
        <f t="shared" si="242"/>
        <v>5124</v>
      </c>
      <c r="AU30" s="4451">
        <f t="shared" si="242"/>
        <v>5124</v>
      </c>
      <c r="AV30" s="4451">
        <f t="shared" si="242"/>
        <v>5124</v>
      </c>
      <c r="AW30" s="4451">
        <f t="shared" si="242"/>
        <v>5124</v>
      </c>
      <c r="AX30" s="4452">
        <f t="shared" si="242"/>
        <v>5124</v>
      </c>
      <c r="AY30" s="4775"/>
      <c r="AZ30" s="3"/>
      <c r="BA30" s="3"/>
      <c r="BB30" s="3"/>
      <c r="BC30" s="4794">
        <f t="shared" si="210"/>
        <v>1051.2161077394253</v>
      </c>
      <c r="BD30" s="4794">
        <f t="shared" si="211"/>
        <v>1051.2161077394253</v>
      </c>
      <c r="BE30" s="4794">
        <f t="shared" si="212"/>
        <v>1051.2161077394253</v>
      </c>
      <c r="BF30" s="4794">
        <f t="shared" si="213"/>
        <v>1051.2161077394253</v>
      </c>
      <c r="BG30" s="4794">
        <f t="shared" si="214"/>
        <v>1051.2161077394253</v>
      </c>
      <c r="BH30" s="3"/>
      <c r="BI30" s="3"/>
      <c r="BJ30" s="3"/>
      <c r="BK30" s="4794">
        <f t="shared" si="215"/>
        <v>832.38318258744368</v>
      </c>
      <c r="BL30" s="4794">
        <f t="shared" si="216"/>
        <v>832.38318258744368</v>
      </c>
      <c r="BM30" s="4794">
        <f t="shared" si="217"/>
        <v>832.38318258744368</v>
      </c>
      <c r="BN30" s="4794">
        <f t="shared" si="218"/>
        <v>832.38318258744368</v>
      </c>
      <c r="BO30" s="4794">
        <f t="shared" si="219"/>
        <v>832.38318258744368</v>
      </c>
      <c r="BP30" s="3"/>
      <c r="BQ30" s="3"/>
      <c r="BR30" s="3"/>
      <c r="BS30" s="4794">
        <f t="shared" si="220"/>
        <v>736.2603089225546</v>
      </c>
      <c r="BT30" s="4794">
        <f t="shared" si="221"/>
        <v>736.2603089225546</v>
      </c>
      <c r="BU30" s="4794">
        <f t="shared" si="222"/>
        <v>736.2603089225546</v>
      </c>
      <c r="BV30" s="4794">
        <f t="shared" si="223"/>
        <v>736.2603089225546</v>
      </c>
      <c r="BW30" s="4794">
        <f t="shared" si="224"/>
        <v>736.2603089225546</v>
      </c>
      <c r="BX30" s="3"/>
      <c r="BY30" s="3"/>
      <c r="BZ30" s="3"/>
      <c r="CA30" s="4794">
        <f t="shared" si="225"/>
        <v>0</v>
      </c>
      <c r="CB30" s="4794">
        <f t="shared" si="226"/>
        <v>0</v>
      </c>
      <c r="CC30" s="4794">
        <f t="shared" si="227"/>
        <v>0</v>
      </c>
      <c r="CD30" s="4794">
        <f t="shared" si="228"/>
        <v>0</v>
      </c>
      <c r="CE30" s="4794">
        <f t="shared" si="229"/>
        <v>0</v>
      </c>
      <c r="CF30" s="3"/>
      <c r="CG30" s="3"/>
      <c r="CH30" s="3"/>
      <c r="CI30" s="4794">
        <f t="shared" si="230"/>
        <v>0</v>
      </c>
      <c r="CJ30" s="4794">
        <f t="shared" si="231"/>
        <v>0</v>
      </c>
      <c r="CK30" s="4794">
        <f t="shared" si="232"/>
        <v>0</v>
      </c>
      <c r="CL30" s="4794">
        <f t="shared" si="233"/>
        <v>0</v>
      </c>
      <c r="CM30" s="4794">
        <f t="shared" si="234"/>
        <v>0</v>
      </c>
      <c r="CN30" s="3"/>
      <c r="CO30" s="3"/>
      <c r="CP30" s="3"/>
      <c r="CQ30" s="4794">
        <f t="shared" si="235"/>
        <v>2619.8595992494234</v>
      </c>
      <c r="CR30" s="4794">
        <f t="shared" si="236"/>
        <v>2619.8595992494234</v>
      </c>
      <c r="CS30" s="4794">
        <f t="shared" si="237"/>
        <v>2619.8595992494234</v>
      </c>
      <c r="CT30" s="4794">
        <f t="shared" si="238"/>
        <v>2619.8595992494234</v>
      </c>
      <c r="CU30" s="4794">
        <f t="shared" si="239"/>
        <v>2619.8595992494234</v>
      </c>
    </row>
    <row r="31" spans="1:99" s="669" customFormat="1" ht="48.75" thickBot="1">
      <c r="A31" s="2595" t="s">
        <v>959</v>
      </c>
      <c r="B31" s="4169" t="s">
        <v>1047</v>
      </c>
      <c r="C31" s="4454"/>
      <c r="D31" s="4454"/>
      <c r="E31" s="4454"/>
      <c r="F31" s="4455">
        <v>2807.28</v>
      </c>
      <c r="G31" s="4455">
        <v>2152.34</v>
      </c>
      <c r="H31" s="4455">
        <v>2011.6849999999999</v>
      </c>
      <c r="I31" s="4455">
        <v>1862.5450000000001</v>
      </c>
      <c r="J31" s="4456">
        <v>1923.248</v>
      </c>
      <c r="K31" s="4454"/>
      <c r="L31" s="4454"/>
      <c r="M31" s="4454"/>
      <c r="N31" s="4455">
        <v>153.28800000000001</v>
      </c>
      <c r="O31" s="4455">
        <v>149.72999999999999</v>
      </c>
      <c r="P31" s="4455">
        <v>146.16999999999999</v>
      </c>
      <c r="Q31" s="4455">
        <v>132.76499999999999</v>
      </c>
      <c r="R31" s="4456">
        <v>129.45599999999999</v>
      </c>
      <c r="S31" s="4454"/>
      <c r="T31" s="4454"/>
      <c r="U31" s="4454"/>
      <c r="V31" s="4455">
        <v>82.935000000000002</v>
      </c>
      <c r="W31" s="4455">
        <v>78.13</v>
      </c>
      <c r="X31" s="4455">
        <v>73.400000000000006</v>
      </c>
      <c r="Y31" s="4455">
        <v>68.69</v>
      </c>
      <c r="Z31" s="4457">
        <v>63.95</v>
      </c>
      <c r="AA31" s="4454"/>
      <c r="AB31" s="4454"/>
      <c r="AC31" s="4454"/>
      <c r="AD31" s="4455"/>
      <c r="AE31" s="4455"/>
      <c r="AF31" s="4455"/>
      <c r="AG31" s="4455"/>
      <c r="AH31" s="4456"/>
      <c r="AI31" s="4454"/>
      <c r="AJ31" s="4454"/>
      <c r="AK31" s="4454"/>
      <c r="AL31" s="4455"/>
      <c r="AM31" s="4455"/>
      <c r="AN31" s="4455"/>
      <c r="AO31" s="4455"/>
      <c r="AP31" s="4456"/>
      <c r="AQ31" s="4454"/>
      <c r="AR31" s="4454"/>
      <c r="AS31" s="4454"/>
      <c r="AT31" s="4458">
        <f t="shared" si="242"/>
        <v>3043.5030000000002</v>
      </c>
      <c r="AU31" s="4458">
        <f t="shared" si="242"/>
        <v>2380.2000000000003</v>
      </c>
      <c r="AV31" s="4458">
        <f t="shared" si="242"/>
        <v>2231.2550000000001</v>
      </c>
      <c r="AW31" s="4458">
        <f t="shared" si="242"/>
        <v>2064</v>
      </c>
      <c r="AX31" s="4459">
        <f t="shared" si="242"/>
        <v>2116.654</v>
      </c>
      <c r="AY31" s="4775"/>
      <c r="AZ31" s="3"/>
      <c r="BA31" s="3"/>
      <c r="BB31" s="3"/>
      <c r="BC31" s="4794">
        <f t="shared" si="210"/>
        <v>1435.3394722445203</v>
      </c>
      <c r="BD31" s="4794">
        <f t="shared" si="211"/>
        <v>1100.473967573869</v>
      </c>
      <c r="BE31" s="4794">
        <f t="shared" si="212"/>
        <v>1028.5582080242148</v>
      </c>
      <c r="BF31" s="4794">
        <f t="shared" si="213"/>
        <v>952.30413686261079</v>
      </c>
      <c r="BG31" s="4794">
        <f t="shared" si="214"/>
        <v>983.34108792686482</v>
      </c>
      <c r="BH31" s="3"/>
      <c r="BI31" s="3"/>
      <c r="BJ31" s="3"/>
      <c r="BK31" s="4794">
        <f t="shared" si="215"/>
        <v>78.374909884805945</v>
      </c>
      <c r="BL31" s="4794">
        <f t="shared" si="216"/>
        <v>76.555733371509788</v>
      </c>
      <c r="BM31" s="4794">
        <f t="shared" si="217"/>
        <v>74.735534274451254</v>
      </c>
      <c r="BN31" s="4794">
        <f t="shared" si="218"/>
        <v>67.881666607015944</v>
      </c>
      <c r="BO31" s="4794">
        <f t="shared" si="219"/>
        <v>66.189801772137656</v>
      </c>
      <c r="BP31" s="3"/>
      <c r="BQ31" s="3"/>
      <c r="BR31" s="3"/>
      <c r="BS31" s="4794">
        <f t="shared" si="220"/>
        <v>42.403992167008383</v>
      </c>
      <c r="BT31" s="4794">
        <f t="shared" si="221"/>
        <v>39.94723467786055</v>
      </c>
      <c r="BU31" s="4794">
        <f t="shared" si="222"/>
        <v>37.52882407980244</v>
      </c>
      <c r="BV31" s="4794">
        <f t="shared" si="223"/>
        <v>35.120639319368244</v>
      </c>
      <c r="BW31" s="4794">
        <f t="shared" si="224"/>
        <v>32.697115802498175</v>
      </c>
      <c r="BX31" s="3"/>
      <c r="BY31" s="3"/>
      <c r="BZ31" s="3"/>
      <c r="CA31" s="4794">
        <f t="shared" si="225"/>
        <v>0</v>
      </c>
      <c r="CB31" s="4794">
        <f t="shared" si="226"/>
        <v>0</v>
      </c>
      <c r="CC31" s="4794">
        <f t="shared" si="227"/>
        <v>0</v>
      </c>
      <c r="CD31" s="4794">
        <f t="shared" si="228"/>
        <v>0</v>
      </c>
      <c r="CE31" s="4794">
        <f t="shared" si="229"/>
        <v>0</v>
      </c>
      <c r="CF31" s="3"/>
      <c r="CG31" s="3"/>
      <c r="CH31" s="3"/>
      <c r="CI31" s="4794">
        <f t="shared" si="230"/>
        <v>0</v>
      </c>
      <c r="CJ31" s="4794">
        <f t="shared" si="231"/>
        <v>0</v>
      </c>
      <c r="CK31" s="4794">
        <f t="shared" si="232"/>
        <v>0</v>
      </c>
      <c r="CL31" s="4794">
        <f t="shared" si="233"/>
        <v>0</v>
      </c>
      <c r="CM31" s="4794">
        <f t="shared" si="234"/>
        <v>0</v>
      </c>
      <c r="CN31" s="3"/>
      <c r="CO31" s="3"/>
      <c r="CP31" s="3"/>
      <c r="CQ31" s="4794">
        <f t="shared" si="235"/>
        <v>1556.1183742963347</v>
      </c>
      <c r="CR31" s="4794">
        <f t="shared" si="236"/>
        <v>1216.9769356232393</v>
      </c>
      <c r="CS31" s="4794">
        <f t="shared" si="237"/>
        <v>1140.8225663784685</v>
      </c>
      <c r="CT31" s="4794">
        <f t="shared" si="238"/>
        <v>1055.3064427889949</v>
      </c>
      <c r="CU31" s="4794">
        <f t="shared" si="239"/>
        <v>1082.2280055015008</v>
      </c>
    </row>
    <row r="32" spans="1:99" s="669" customFormat="1" ht="24.75" thickBot="1">
      <c r="A32" s="2594" t="s">
        <v>960</v>
      </c>
      <c r="B32" s="395" t="s">
        <v>947</v>
      </c>
      <c r="C32" s="4446"/>
      <c r="D32" s="4446"/>
      <c r="E32" s="4446"/>
      <c r="F32" s="4462">
        <f t="shared" ref="F32:AX32" si="244">IF(F31=0,0,F31/F30)</f>
        <v>1.3654085603112842</v>
      </c>
      <c r="G32" s="4462">
        <f t="shared" si="244"/>
        <v>1.0468579766536965</v>
      </c>
      <c r="H32" s="4462">
        <f t="shared" si="244"/>
        <v>0.97844601167315171</v>
      </c>
      <c r="I32" s="4462">
        <f t="shared" si="244"/>
        <v>0.90590710116731521</v>
      </c>
      <c r="J32" s="4463">
        <f t="shared" si="244"/>
        <v>0.93543190661478604</v>
      </c>
      <c r="K32" s="4446"/>
      <c r="L32" s="4446"/>
      <c r="M32" s="4446"/>
      <c r="N32" s="4462">
        <f t="shared" si="244"/>
        <v>9.4157248157248158E-2</v>
      </c>
      <c r="O32" s="4462">
        <f t="shared" si="244"/>
        <v>9.1971744471744471E-2</v>
      </c>
      <c r="P32" s="4462">
        <f t="shared" si="244"/>
        <v>8.9785012285012275E-2</v>
      </c>
      <c r="Q32" s="4462">
        <f t="shared" si="244"/>
        <v>8.1550982800982788E-2</v>
      </c>
      <c r="R32" s="4464">
        <f t="shared" si="244"/>
        <v>7.9518427518427512E-2</v>
      </c>
      <c r="S32" s="4446"/>
      <c r="T32" s="4446"/>
      <c r="U32" s="4446"/>
      <c r="V32" s="4462">
        <f t="shared" si="244"/>
        <v>5.7593749999999999E-2</v>
      </c>
      <c r="W32" s="4462">
        <f t="shared" si="244"/>
        <v>5.4256944444444441E-2</v>
      </c>
      <c r="X32" s="4462">
        <f t="shared" si="244"/>
        <v>5.0972222222222224E-2</v>
      </c>
      <c r="Y32" s="4462">
        <f t="shared" si="244"/>
        <v>4.770138888888889E-2</v>
      </c>
      <c r="Z32" s="4464">
        <f t="shared" si="244"/>
        <v>4.4409722222222225E-2</v>
      </c>
      <c r="AA32" s="4446"/>
      <c r="AB32" s="4446"/>
      <c r="AC32" s="4446"/>
      <c r="AD32" s="4462">
        <f t="shared" si="244"/>
        <v>0</v>
      </c>
      <c r="AE32" s="4462">
        <f t="shared" si="244"/>
        <v>0</v>
      </c>
      <c r="AF32" s="4462">
        <f t="shared" si="244"/>
        <v>0</v>
      </c>
      <c r="AG32" s="4462">
        <f t="shared" si="244"/>
        <v>0</v>
      </c>
      <c r="AH32" s="4462">
        <f t="shared" si="244"/>
        <v>0</v>
      </c>
      <c r="AI32" s="4446"/>
      <c r="AJ32" s="4446"/>
      <c r="AK32" s="4446"/>
      <c r="AL32" s="4462">
        <f t="shared" si="244"/>
        <v>0</v>
      </c>
      <c r="AM32" s="4462">
        <f t="shared" si="244"/>
        <v>0</v>
      </c>
      <c r="AN32" s="4462">
        <f t="shared" si="244"/>
        <v>0</v>
      </c>
      <c r="AO32" s="4462">
        <f t="shared" si="244"/>
        <v>0</v>
      </c>
      <c r="AP32" s="4462">
        <f t="shared" si="244"/>
        <v>0</v>
      </c>
      <c r="AQ32" s="4446"/>
      <c r="AR32" s="4446"/>
      <c r="AS32" s="4446"/>
      <c r="AT32" s="4462">
        <f t="shared" si="244"/>
        <v>0.59397014051522257</v>
      </c>
      <c r="AU32" s="4462">
        <f t="shared" si="244"/>
        <v>0.46451990632318507</v>
      </c>
      <c r="AV32" s="4462">
        <f t="shared" si="244"/>
        <v>0.4354517954722873</v>
      </c>
      <c r="AW32" s="4462">
        <f t="shared" si="244"/>
        <v>0.40281030444964872</v>
      </c>
      <c r="AX32" s="4464">
        <f t="shared" si="244"/>
        <v>0.41308626073380172</v>
      </c>
      <c r="AY32" s="4775"/>
    </row>
    <row r="33" spans="1:99" s="669" customFormat="1" ht="24.75" thickBot="1">
      <c r="A33" s="4447">
        <v>8</v>
      </c>
      <c r="B33" s="4448" t="s">
        <v>1058</v>
      </c>
      <c r="C33" s="4234"/>
      <c r="D33" s="4234"/>
      <c r="E33" s="4234"/>
      <c r="F33" s="4460">
        <f t="shared" ref="F33:I33" si="245">F29+F31</f>
        <v>-3.4848484851863759E-3</v>
      </c>
      <c r="G33" s="4460">
        <f t="shared" si="245"/>
        <v>-2.2844852983325836E-3</v>
      </c>
      <c r="H33" s="4460">
        <f t="shared" si="245"/>
        <v>-3.0946656011110463E-4</v>
      </c>
      <c r="I33" s="4460">
        <f t="shared" si="245"/>
        <v>-3.8064861873863265E-3</v>
      </c>
      <c r="J33" s="4461">
        <f>J29+J31</f>
        <v>-1.8501168290185888E-3</v>
      </c>
      <c r="K33" s="4234"/>
      <c r="L33" s="4234"/>
      <c r="M33" s="4234"/>
      <c r="N33" s="4460">
        <f t="shared" ref="N33:AX33" si="246">N29+N31</f>
        <v>-3.060606060586224E-3</v>
      </c>
      <c r="O33" s="4460">
        <f t="shared" si="246"/>
        <v>-3.3132991573836534E-3</v>
      </c>
      <c r="P33" s="4460">
        <f t="shared" si="246"/>
        <v>-2.5122450797141482E-3</v>
      </c>
      <c r="Q33" s="4460">
        <f t="shared" si="246"/>
        <v>-3.3117242333560171E-3</v>
      </c>
      <c r="R33" s="4461">
        <f t="shared" si="246"/>
        <v>-1.1334131190778862E-3</v>
      </c>
      <c r="S33" s="4234"/>
      <c r="T33" s="4234"/>
      <c r="U33" s="4234"/>
      <c r="V33" s="4460">
        <f t="shared" si="246"/>
        <v>-4.5454545453083028E-4</v>
      </c>
      <c r="W33" s="4460">
        <f t="shared" si="246"/>
        <v>-4.4022155441609812E-3</v>
      </c>
      <c r="X33" s="4460">
        <f t="shared" si="246"/>
        <v>-2.1782883604828385E-3</v>
      </c>
      <c r="Y33" s="4460">
        <f t="shared" si="246"/>
        <v>-2.8817895792343506E-3</v>
      </c>
      <c r="Z33" s="4461">
        <f t="shared" si="246"/>
        <v>-3.0164700518611198E-3</v>
      </c>
      <c r="AA33" s="4234"/>
      <c r="AB33" s="4234"/>
      <c r="AC33" s="4234"/>
      <c r="AD33" s="4460">
        <f t="shared" si="246"/>
        <v>0</v>
      </c>
      <c r="AE33" s="4460">
        <f t="shared" si="246"/>
        <v>0</v>
      </c>
      <c r="AF33" s="4460">
        <f t="shared" si="246"/>
        <v>0</v>
      </c>
      <c r="AG33" s="4460">
        <f t="shared" si="246"/>
        <v>0</v>
      </c>
      <c r="AH33" s="4460">
        <f t="shared" si="246"/>
        <v>0</v>
      </c>
      <c r="AI33" s="4234"/>
      <c r="AJ33" s="4234"/>
      <c r="AK33" s="4234"/>
      <c r="AL33" s="4460">
        <f t="shared" si="246"/>
        <v>0</v>
      </c>
      <c r="AM33" s="4460">
        <f t="shared" si="246"/>
        <v>0</v>
      </c>
      <c r="AN33" s="4460">
        <f t="shared" si="246"/>
        <v>0</v>
      </c>
      <c r="AO33" s="4460">
        <f t="shared" si="246"/>
        <v>0</v>
      </c>
      <c r="AP33" s="4460">
        <f t="shared" si="246"/>
        <v>0</v>
      </c>
      <c r="AQ33" s="4234"/>
      <c r="AR33" s="4234"/>
      <c r="AS33" s="4234"/>
      <c r="AT33" s="4460">
        <f t="shared" si="246"/>
        <v>-7.0000000000618456E-3</v>
      </c>
      <c r="AU33" s="4460">
        <f t="shared" si="246"/>
        <v>-9.9999999997635314E-3</v>
      </c>
      <c r="AV33" s="4460">
        <f t="shared" si="246"/>
        <v>-5.0000000001091394E-3</v>
      </c>
      <c r="AW33" s="4460">
        <f t="shared" si="246"/>
        <v>-1.0000000000218279E-2</v>
      </c>
      <c r="AX33" s="4460">
        <f t="shared" si="246"/>
        <v>-5.9999999998581188E-3</v>
      </c>
      <c r="AY33" s="4775"/>
      <c r="AZ33" s="3"/>
      <c r="BA33" s="3"/>
      <c r="BB33" s="3"/>
      <c r="BC33" s="4794">
        <f>IFERROR(F33/$C$1,0)</f>
        <v>-1.7817747376747345E-3</v>
      </c>
      <c r="BD33" s="4794">
        <f t="shared" ref="BD33" si="247">IFERROR(G33/$C$1,0)</f>
        <v>-1.168038785749571E-3</v>
      </c>
      <c r="BE33" s="4794">
        <f t="shared" ref="BE33" si="248">IFERROR(H33/$C$1,0)</f>
        <v>-1.5822773968652933E-4</v>
      </c>
      <c r="BF33" s="4794">
        <f t="shared" ref="BF33" si="249">IFERROR(I33/$C$1,0)</f>
        <v>-1.9462254834961763E-3</v>
      </c>
      <c r="BG33" s="4794">
        <f t="shared" ref="BG33" si="250">IFERROR(J33/$C$1,0)</f>
        <v>-9.4594971394169674E-4</v>
      </c>
      <c r="BH33" s="3"/>
      <c r="BI33" s="3"/>
      <c r="BJ33" s="3"/>
      <c r="BK33" s="4794">
        <f>IFERROR(N33/$C$1,0)</f>
        <v>-1.5648630303176779E-3</v>
      </c>
      <c r="BL33" s="4794">
        <f t="shared" ref="BL33" si="251">IFERROR(O33/$C$1,0)</f>
        <v>-1.6940629591445338E-3</v>
      </c>
      <c r="BM33" s="4794">
        <f t="shared" ref="BM33" si="252">IFERROR(P33/$C$1,0)</f>
        <v>-1.2844905128329908E-3</v>
      </c>
      <c r="BN33" s="4794">
        <f t="shared" ref="BN33" si="253">IFERROR(Q33/$C$1,0)</f>
        <v>-1.6932577132757025E-3</v>
      </c>
      <c r="BO33" s="4794">
        <f t="shared" ref="BO33" si="254">IFERROR(R33/$C$1,0)</f>
        <v>-5.795049258258061E-4</v>
      </c>
      <c r="BP33" s="3"/>
      <c r="BQ33" s="3"/>
      <c r="BR33" s="3"/>
      <c r="BS33" s="4794">
        <f>IFERROR(V33/$C$1,0)</f>
        <v>-2.3240540053625841E-4</v>
      </c>
      <c r="BT33" s="4794">
        <f t="shared" ref="BT33" si="255">IFERROR(W33/$C$1,0)</f>
        <v>-2.2508170670053028E-3</v>
      </c>
      <c r="BU33" s="4794">
        <f t="shared" ref="BU33" si="256">IFERROR(X33/$C$1,0)</f>
        <v>-1.113741153619097E-3</v>
      </c>
      <c r="BV33" s="4794">
        <f t="shared" ref="BV33" si="257">IFERROR(Y33/$C$1,0)</f>
        <v>-1.4734356151783902E-3</v>
      </c>
      <c r="BW33" s="4794">
        <f t="shared" ref="BW33" si="258">IFERROR(Z33/$C$1,0)</f>
        <v>-1.5422966473881267E-3</v>
      </c>
      <c r="BX33" s="3"/>
      <c r="BY33" s="3"/>
      <c r="BZ33" s="3"/>
      <c r="CA33" s="4794">
        <f>IFERROR(AD33/$C$1,0)</f>
        <v>0</v>
      </c>
      <c r="CB33" s="4794">
        <f t="shared" ref="CB33" si="259">IFERROR(AE33/$C$1,0)</f>
        <v>0</v>
      </c>
      <c r="CC33" s="4794">
        <f t="shared" ref="CC33" si="260">IFERROR(AF33/$C$1,0)</f>
        <v>0</v>
      </c>
      <c r="CD33" s="4794">
        <f t="shared" ref="CD33" si="261">IFERROR(AG33/$C$1,0)</f>
        <v>0</v>
      </c>
      <c r="CE33" s="4794">
        <f t="shared" ref="CE33" si="262">IFERROR(AH33/$C$1,0)</f>
        <v>0</v>
      </c>
      <c r="CF33" s="3"/>
      <c r="CG33" s="3"/>
      <c r="CH33" s="3"/>
      <c r="CI33" s="4794">
        <f>IFERROR(AL33/$C$1,0)</f>
        <v>0</v>
      </c>
      <c r="CJ33" s="4794">
        <f t="shared" ref="CJ33" si="263">IFERROR(AM33/$C$1,0)</f>
        <v>0</v>
      </c>
      <c r="CK33" s="4794">
        <f t="shared" ref="CK33" si="264">IFERROR(AN33/$C$1,0)</f>
        <v>0</v>
      </c>
      <c r="CL33" s="4794">
        <f t="shared" ref="CL33" si="265">IFERROR(AO33/$C$1,0)</f>
        <v>0</v>
      </c>
      <c r="CM33" s="4794">
        <f t="shared" ref="CM33" si="266">IFERROR(AP33/$C$1,0)</f>
        <v>0</v>
      </c>
      <c r="CN33" s="3"/>
      <c r="CO33" s="3"/>
      <c r="CP33" s="3"/>
      <c r="CQ33" s="4794">
        <f>IFERROR(AT33/$C$1,0)</f>
        <v>-3.5790431684051506E-3</v>
      </c>
      <c r="CR33" s="4794">
        <f t="shared" ref="CR33" si="267">IFERROR(AU33/$C$1,0)</f>
        <v>-5.1129188118412801E-3</v>
      </c>
      <c r="CS33" s="4794">
        <f t="shared" ref="CS33" si="268">IFERROR(AV33/$C$1,0)</f>
        <v>-2.5564594060368947E-3</v>
      </c>
      <c r="CT33" s="4794">
        <f t="shared" ref="CT33" si="269">IFERROR(AW33/$C$1,0)</f>
        <v>-5.1129188120737894E-3</v>
      </c>
      <c r="CU33" s="4794">
        <f t="shared" ref="CU33" si="270">IFERROR(AX33/$C$1,0)</f>
        <v>-3.0677512871047684E-3</v>
      </c>
    </row>
    <row r="34" spans="1:99" s="669" customFormat="1" ht="13.5" hidden="1" thickBot="1">
      <c r="A34" s="2596"/>
      <c r="B34" s="971"/>
      <c r="C34" s="971"/>
      <c r="D34" s="971"/>
      <c r="E34" s="971"/>
      <c r="F34" s="971"/>
      <c r="G34" s="971"/>
      <c r="H34" s="971"/>
      <c r="I34" s="971"/>
      <c r="J34" s="971"/>
      <c r="K34" s="971"/>
      <c r="L34" s="971"/>
      <c r="M34" s="971"/>
      <c r="N34" s="971"/>
      <c r="O34" s="971"/>
      <c r="P34" s="971"/>
      <c r="Q34" s="971"/>
      <c r="R34" s="971"/>
      <c r="S34" s="4432"/>
      <c r="T34" s="971"/>
      <c r="U34" s="971"/>
      <c r="V34" s="971"/>
      <c r="W34" s="971"/>
      <c r="X34" s="971"/>
      <c r="Y34" s="971"/>
      <c r="Z34" s="972"/>
      <c r="AA34" s="4433"/>
      <c r="AB34" s="971"/>
      <c r="AC34" s="971"/>
      <c r="AD34" s="971"/>
      <c r="AE34" s="971"/>
      <c r="AF34" s="971"/>
      <c r="AG34" s="971"/>
      <c r="AH34" s="972"/>
      <c r="AI34" s="4432"/>
      <c r="AJ34" s="971"/>
      <c r="AK34" s="971"/>
      <c r="AL34" s="971"/>
      <c r="AM34" s="971"/>
      <c r="AN34" s="971"/>
      <c r="AO34" s="971"/>
      <c r="AP34" s="972"/>
      <c r="AQ34" s="4432"/>
      <c r="AR34" s="971"/>
      <c r="AS34" s="971"/>
      <c r="AT34" s="971"/>
      <c r="AU34" s="971"/>
      <c r="AV34" s="971"/>
      <c r="AW34" s="971"/>
      <c r="AX34" s="972"/>
      <c r="AY34" s="4775"/>
    </row>
    <row r="35" spans="1:99" s="666" customFormat="1" ht="12.75" customHeight="1" thickBot="1">
      <c r="A35" s="5348">
        <v>9</v>
      </c>
      <c r="B35" s="5363" t="s">
        <v>1862</v>
      </c>
      <c r="C35" s="5342" t="s">
        <v>210</v>
      </c>
      <c r="D35" s="5343"/>
      <c r="E35" s="5343"/>
      <c r="F35" s="5343"/>
      <c r="G35" s="5343"/>
      <c r="H35" s="5343"/>
      <c r="I35" s="5343"/>
      <c r="J35" s="5344"/>
      <c r="K35" s="5342" t="s">
        <v>174</v>
      </c>
      <c r="L35" s="5343"/>
      <c r="M35" s="5343"/>
      <c r="N35" s="5343"/>
      <c r="O35" s="5343"/>
      <c r="P35" s="5343"/>
      <c r="Q35" s="5343"/>
      <c r="R35" s="5344"/>
      <c r="S35" s="5345" t="s">
        <v>184</v>
      </c>
      <c r="T35" s="5346"/>
      <c r="U35" s="5346"/>
      <c r="V35" s="5346"/>
      <c r="W35" s="5346"/>
      <c r="X35" s="5346"/>
      <c r="Y35" s="5346"/>
      <c r="Z35" s="5347"/>
      <c r="AA35" s="5356" t="s">
        <v>1029</v>
      </c>
      <c r="AB35" s="5357"/>
      <c r="AC35" s="5357"/>
      <c r="AD35" s="5357"/>
      <c r="AE35" s="5357"/>
      <c r="AF35" s="5357"/>
      <c r="AG35" s="5357"/>
      <c r="AH35" s="5358"/>
      <c r="AI35" s="5356" t="s">
        <v>1092</v>
      </c>
      <c r="AJ35" s="5357"/>
      <c r="AK35" s="5357"/>
      <c r="AL35" s="5357"/>
      <c r="AM35" s="5357"/>
      <c r="AN35" s="5357"/>
      <c r="AO35" s="5357"/>
      <c r="AP35" s="5358"/>
      <c r="AQ35" s="5356" t="s">
        <v>1250</v>
      </c>
      <c r="AR35" s="5357"/>
      <c r="AS35" s="5357"/>
      <c r="AT35" s="5357"/>
      <c r="AU35" s="5357"/>
      <c r="AV35" s="5357"/>
      <c r="AW35" s="5357"/>
      <c r="AX35" s="5358"/>
      <c r="AY35" s="4775"/>
    </row>
    <row r="36" spans="1:99" s="1" customFormat="1" ht="13.5" thickBot="1">
      <c r="A36" s="5352"/>
      <c r="B36" s="5351"/>
      <c r="C36" s="4419" t="str">
        <f t="shared" ref="C36" si="271">C8</f>
        <v>2024 г.</v>
      </c>
      <c r="D36" s="2600" t="str">
        <f t="shared" ref="D36:AX36" si="272">D8</f>
        <v>2025 г.</v>
      </c>
      <c r="E36" s="2598" t="str">
        <f t="shared" si="272"/>
        <v>2026 г.</v>
      </c>
      <c r="F36" s="2598" t="str">
        <f t="shared" si="272"/>
        <v>2027 г.</v>
      </c>
      <c r="G36" s="2598" t="str">
        <f t="shared" si="272"/>
        <v>2028 г.</v>
      </c>
      <c r="H36" s="2598" t="str">
        <f t="shared" si="272"/>
        <v>2029 г.</v>
      </c>
      <c r="I36" s="2598" t="str">
        <f t="shared" si="272"/>
        <v>2030 г.</v>
      </c>
      <c r="J36" s="2599" t="str">
        <f t="shared" si="272"/>
        <v>2031 г.</v>
      </c>
      <c r="K36" s="4419" t="str">
        <f t="shared" ref="K36" si="273">K8</f>
        <v>2024 г.</v>
      </c>
      <c r="L36" s="2600" t="str">
        <f t="shared" si="272"/>
        <v>2025 г.</v>
      </c>
      <c r="M36" s="2598" t="str">
        <f t="shared" si="272"/>
        <v>2026 г.</v>
      </c>
      <c r="N36" s="2598" t="str">
        <f t="shared" si="272"/>
        <v>2027 г.</v>
      </c>
      <c r="O36" s="2598" t="str">
        <f t="shared" si="272"/>
        <v>2028 г.</v>
      </c>
      <c r="P36" s="2598" t="str">
        <f t="shared" si="272"/>
        <v>2029 г.</v>
      </c>
      <c r="Q36" s="2598" t="str">
        <f t="shared" si="272"/>
        <v>2030 г.</v>
      </c>
      <c r="R36" s="2599" t="str">
        <f t="shared" si="272"/>
        <v>2031 г.</v>
      </c>
      <c r="S36" s="2600" t="str">
        <f t="shared" ref="S36" si="274">S8</f>
        <v>2024 г.</v>
      </c>
      <c r="T36" s="2600" t="str">
        <f t="shared" si="272"/>
        <v>2025 г.</v>
      </c>
      <c r="U36" s="2598" t="str">
        <f t="shared" si="272"/>
        <v>2026 г.</v>
      </c>
      <c r="V36" s="2598" t="str">
        <f t="shared" si="272"/>
        <v>2027 г.</v>
      </c>
      <c r="W36" s="2598" t="str">
        <f t="shared" si="272"/>
        <v>2028 г.</v>
      </c>
      <c r="X36" s="2598" t="str">
        <f t="shared" si="272"/>
        <v>2029 г.</v>
      </c>
      <c r="Y36" s="2598" t="str">
        <f t="shared" si="272"/>
        <v>2030 г.</v>
      </c>
      <c r="Z36" s="2599" t="str">
        <f t="shared" si="272"/>
        <v>2031 г.</v>
      </c>
      <c r="AA36" s="2597" t="str">
        <f t="shared" ref="AA36" si="275">AA8</f>
        <v>2024 г.</v>
      </c>
      <c r="AB36" s="2600" t="str">
        <f t="shared" si="272"/>
        <v>2025 г.</v>
      </c>
      <c r="AC36" s="2598" t="str">
        <f t="shared" si="272"/>
        <v>2026 г.</v>
      </c>
      <c r="AD36" s="2598" t="str">
        <f t="shared" si="272"/>
        <v>2027 г.</v>
      </c>
      <c r="AE36" s="2598" t="str">
        <f t="shared" si="272"/>
        <v>2028 г.</v>
      </c>
      <c r="AF36" s="2598" t="str">
        <f t="shared" si="272"/>
        <v>2029 г.</v>
      </c>
      <c r="AG36" s="2598" t="str">
        <f t="shared" si="272"/>
        <v>2030 г.</v>
      </c>
      <c r="AH36" s="2599" t="str">
        <f t="shared" si="272"/>
        <v>2031 г.</v>
      </c>
      <c r="AI36" s="2600" t="str">
        <f t="shared" ref="AI36" si="276">AI8</f>
        <v>2024 г.</v>
      </c>
      <c r="AJ36" s="2600" t="str">
        <f t="shared" si="272"/>
        <v>2025 г.</v>
      </c>
      <c r="AK36" s="2598" t="str">
        <f t="shared" si="272"/>
        <v>2026 г.</v>
      </c>
      <c r="AL36" s="2598" t="str">
        <f t="shared" si="272"/>
        <v>2027 г.</v>
      </c>
      <c r="AM36" s="2598" t="str">
        <f t="shared" si="272"/>
        <v>2028 г.</v>
      </c>
      <c r="AN36" s="2598" t="str">
        <f t="shared" si="272"/>
        <v>2029 г.</v>
      </c>
      <c r="AO36" s="2598" t="str">
        <f t="shared" si="272"/>
        <v>2030 г.</v>
      </c>
      <c r="AP36" s="2599" t="str">
        <f t="shared" si="272"/>
        <v>2031 г.</v>
      </c>
      <c r="AQ36" s="2600" t="str">
        <f t="shared" ref="AQ36" si="277">AQ8</f>
        <v>2024 г.</v>
      </c>
      <c r="AR36" s="2600" t="str">
        <f t="shared" si="272"/>
        <v>2025 г.</v>
      </c>
      <c r="AS36" s="2598" t="str">
        <f t="shared" si="272"/>
        <v>2026 г.</v>
      </c>
      <c r="AT36" s="2598" t="str">
        <f t="shared" si="272"/>
        <v>2027 г.</v>
      </c>
      <c r="AU36" s="2598" t="str">
        <f t="shared" si="272"/>
        <v>2028 г.</v>
      </c>
      <c r="AV36" s="2598" t="str">
        <f t="shared" si="272"/>
        <v>2029 г.</v>
      </c>
      <c r="AW36" s="2598" t="str">
        <f t="shared" si="272"/>
        <v>2030 г.</v>
      </c>
      <c r="AX36" s="2599" t="str">
        <f t="shared" si="272"/>
        <v>2031 г.</v>
      </c>
      <c r="AY36" s="4775"/>
    </row>
    <row r="37" spans="1:99" s="1" customFormat="1">
      <c r="A37" s="4107" t="s">
        <v>961</v>
      </c>
      <c r="B37" s="2601" t="s">
        <v>195</v>
      </c>
      <c r="C37" s="107"/>
      <c r="D37" s="4098">
        <f>C43</f>
        <v>1253</v>
      </c>
      <c r="E37" s="4098">
        <f t="shared" ref="E37:J37" si="278">D43</f>
        <v>1671</v>
      </c>
      <c r="F37" s="4099">
        <f t="shared" si="278"/>
        <v>2430</v>
      </c>
      <c r="G37" s="4099">
        <f t="shared" si="278"/>
        <v>2072</v>
      </c>
      <c r="H37" s="4099">
        <f t="shared" si="278"/>
        <v>1714</v>
      </c>
      <c r="I37" s="4099">
        <f t="shared" si="278"/>
        <v>1356</v>
      </c>
      <c r="J37" s="4100">
        <f t="shared" si="278"/>
        <v>998</v>
      </c>
      <c r="K37" s="4097"/>
      <c r="L37" s="4428">
        <f t="shared" ref="L37:R37" si="279">K43</f>
        <v>0</v>
      </c>
      <c r="M37" s="4101">
        <f t="shared" si="279"/>
        <v>0</v>
      </c>
      <c r="N37" s="4099">
        <f t="shared" si="279"/>
        <v>0</v>
      </c>
      <c r="O37" s="4099">
        <f t="shared" si="279"/>
        <v>0</v>
      </c>
      <c r="P37" s="4099">
        <f t="shared" si="279"/>
        <v>0</v>
      </c>
      <c r="Q37" s="4099">
        <f t="shared" si="279"/>
        <v>0</v>
      </c>
      <c r="R37" s="4100">
        <f t="shared" si="279"/>
        <v>0</v>
      </c>
      <c r="S37" s="4097"/>
      <c r="T37" s="4101">
        <f t="shared" ref="T37:Z37" si="280">S43</f>
        <v>0</v>
      </c>
      <c r="U37" s="4101">
        <f t="shared" si="280"/>
        <v>0</v>
      </c>
      <c r="V37" s="4099">
        <f t="shared" si="280"/>
        <v>0</v>
      </c>
      <c r="W37" s="4099">
        <f t="shared" si="280"/>
        <v>0</v>
      </c>
      <c r="X37" s="4099">
        <f t="shared" si="280"/>
        <v>0</v>
      </c>
      <c r="Y37" s="4099">
        <f t="shared" si="280"/>
        <v>0</v>
      </c>
      <c r="Z37" s="4100">
        <f t="shared" si="280"/>
        <v>0</v>
      </c>
      <c r="AA37" s="4097"/>
      <c r="AB37" s="4101">
        <f>AA43</f>
        <v>0</v>
      </c>
      <c r="AC37" s="4101">
        <f t="shared" ref="AC37:AH37" si="281">AB43</f>
        <v>0</v>
      </c>
      <c r="AD37" s="4099">
        <f t="shared" si="281"/>
        <v>0</v>
      </c>
      <c r="AE37" s="4099">
        <f t="shared" si="281"/>
        <v>0</v>
      </c>
      <c r="AF37" s="4099">
        <f t="shared" si="281"/>
        <v>0</v>
      </c>
      <c r="AG37" s="4099">
        <f t="shared" si="281"/>
        <v>0</v>
      </c>
      <c r="AH37" s="4100">
        <f t="shared" si="281"/>
        <v>0</v>
      </c>
      <c r="AI37" s="4097"/>
      <c r="AJ37" s="4101">
        <f t="shared" ref="AJ37:AP37" si="282">AI43</f>
        <v>0</v>
      </c>
      <c r="AK37" s="4101">
        <f t="shared" si="282"/>
        <v>0</v>
      </c>
      <c r="AL37" s="4099">
        <f t="shared" si="282"/>
        <v>0</v>
      </c>
      <c r="AM37" s="4099">
        <f t="shared" si="282"/>
        <v>0</v>
      </c>
      <c r="AN37" s="4099">
        <f t="shared" si="282"/>
        <v>0</v>
      </c>
      <c r="AO37" s="4099">
        <f t="shared" si="282"/>
        <v>0</v>
      </c>
      <c r="AP37" s="4100">
        <f t="shared" si="282"/>
        <v>0</v>
      </c>
      <c r="AQ37" s="4102">
        <f t="shared" ref="AQ37:AR40" si="283">C37+K37+S37+AA37+AI37</f>
        <v>0</v>
      </c>
      <c r="AR37" s="4435">
        <f t="shared" si="283"/>
        <v>1253</v>
      </c>
      <c r="AS37" s="4103">
        <f t="shared" ref="AS37" si="284">AR43</f>
        <v>1671</v>
      </c>
      <c r="AT37" s="4104">
        <f>AS43</f>
        <v>2430</v>
      </c>
      <c r="AU37" s="4104">
        <f t="shared" ref="AU37:AX37" si="285">AT43</f>
        <v>2072</v>
      </c>
      <c r="AV37" s="4104">
        <f t="shared" si="285"/>
        <v>1714</v>
      </c>
      <c r="AW37" s="4104">
        <f t="shared" si="285"/>
        <v>1356</v>
      </c>
      <c r="AX37" s="4105">
        <f t="shared" si="285"/>
        <v>998</v>
      </c>
      <c r="AY37" s="4775"/>
      <c r="AZ37" s="4794">
        <f>IFERROR(C37/$C$1,0)</f>
        <v>0</v>
      </c>
      <c r="BA37" s="4794">
        <f t="shared" ref="BA37:BA40" si="286">IFERROR(D37/$C$1,0)</f>
        <v>640.64872713886177</v>
      </c>
      <c r="BB37" s="4794">
        <f t="shared" ref="BB37:BB40" si="287">IFERROR(E37/$C$1,0)</f>
        <v>854.36873347888115</v>
      </c>
      <c r="BC37" s="4794">
        <f t="shared" ref="BC37:BC40" si="288">IFERROR(F37/$C$1,0)</f>
        <v>1242.439271306811</v>
      </c>
      <c r="BD37" s="4794">
        <f t="shared" ref="BD37:BD40" si="289">IFERROR(G37/$C$1,0)</f>
        <v>1059.3967778385647</v>
      </c>
      <c r="BE37" s="4794">
        <f t="shared" ref="BE37:BE40" si="290">IFERROR(H37/$C$1,0)</f>
        <v>876.35428437031851</v>
      </c>
      <c r="BF37" s="4794">
        <f t="shared" ref="BF37:BF40" si="291">IFERROR(I37/$C$1,0)</f>
        <v>693.31179090207229</v>
      </c>
      <c r="BG37" s="4794">
        <f t="shared" ref="BG37:BG40" si="292">IFERROR(J37/$C$1,0)</f>
        <v>510.26929743382607</v>
      </c>
      <c r="BH37" s="4794">
        <f t="shared" ref="BH37:BH40" si="293">IFERROR(K37/$C$1,0)</f>
        <v>0</v>
      </c>
      <c r="BI37" s="4794">
        <f t="shared" ref="BI37:BI40" si="294">IFERROR(L37/$C$1,0)</f>
        <v>0</v>
      </c>
      <c r="BJ37" s="4794">
        <f t="shared" ref="BJ37:BJ40" si="295">IFERROR(M37/$C$1,0)</f>
        <v>0</v>
      </c>
      <c r="BK37" s="4794">
        <f t="shared" ref="BK37:BK40" si="296">IFERROR(N37/$C$1,0)</f>
        <v>0</v>
      </c>
      <c r="BL37" s="4794">
        <f t="shared" ref="BL37:BL40" si="297">IFERROR(O37/$C$1,0)</f>
        <v>0</v>
      </c>
      <c r="BM37" s="4794">
        <f t="shared" ref="BM37:BM40" si="298">IFERROR(P37/$C$1,0)</f>
        <v>0</v>
      </c>
      <c r="BN37" s="4794">
        <f t="shared" ref="BN37:BN40" si="299">IFERROR(Q37/$C$1,0)</f>
        <v>0</v>
      </c>
      <c r="BO37" s="4794">
        <f t="shared" ref="BO37:BO40" si="300">IFERROR(R37/$C$1,0)</f>
        <v>0</v>
      </c>
      <c r="BP37" s="4794">
        <f t="shared" ref="BP37:BP40" si="301">IFERROR(S37/$C$1,0)</f>
        <v>0</v>
      </c>
      <c r="BQ37" s="4794">
        <f t="shared" ref="BQ37:BQ40" si="302">IFERROR(T37/$C$1,0)</f>
        <v>0</v>
      </c>
      <c r="BR37" s="4794">
        <f t="shared" ref="BR37:BR40" si="303">IFERROR(U37/$C$1,0)</f>
        <v>0</v>
      </c>
      <c r="BS37" s="4794">
        <f t="shared" ref="BS37:BS40" si="304">IFERROR(V37/$C$1,0)</f>
        <v>0</v>
      </c>
      <c r="BT37" s="4794">
        <f t="shared" ref="BT37:BT40" si="305">IFERROR(W37/$C$1,0)</f>
        <v>0</v>
      </c>
      <c r="BU37" s="4794">
        <f t="shared" ref="BU37:BU40" si="306">IFERROR(X37/$C$1,0)</f>
        <v>0</v>
      </c>
      <c r="BV37" s="4794">
        <f t="shared" ref="BV37:BV40" si="307">IFERROR(Y37/$C$1,0)</f>
        <v>0</v>
      </c>
      <c r="BW37" s="4794">
        <f t="shared" ref="BW37:BW40" si="308">IFERROR(Z37/$C$1,0)</f>
        <v>0</v>
      </c>
      <c r="BX37" s="4794">
        <f t="shared" ref="BX37:BX40" si="309">IFERROR(AA37/$C$1,0)</f>
        <v>0</v>
      </c>
      <c r="BY37" s="4794">
        <f t="shared" ref="BY37:BY40" si="310">IFERROR(AB37/$C$1,0)</f>
        <v>0</v>
      </c>
      <c r="BZ37" s="4794">
        <f t="shared" ref="BZ37:BZ40" si="311">IFERROR(AC37/$C$1,0)</f>
        <v>0</v>
      </c>
      <c r="CA37" s="4794">
        <f t="shared" ref="CA37:CA40" si="312">IFERROR(AD37/$C$1,0)</f>
        <v>0</v>
      </c>
      <c r="CB37" s="4794">
        <f t="shared" ref="CB37:CB40" si="313">IFERROR(AE37/$C$1,0)</f>
        <v>0</v>
      </c>
      <c r="CC37" s="4794">
        <f t="shared" ref="CC37:CC40" si="314">IFERROR(AF37/$C$1,0)</f>
        <v>0</v>
      </c>
      <c r="CD37" s="4794">
        <f t="shared" ref="CD37:CD40" si="315">IFERROR(AG37/$C$1,0)</f>
        <v>0</v>
      </c>
      <c r="CE37" s="4794">
        <f t="shared" ref="CE37:CE40" si="316">IFERROR(AH37/$C$1,0)</f>
        <v>0</v>
      </c>
      <c r="CF37" s="4794">
        <f t="shared" ref="CF37:CF40" si="317">IFERROR(AI37/$C$1,0)</f>
        <v>0</v>
      </c>
      <c r="CG37" s="4794">
        <f t="shared" ref="CG37:CG40" si="318">IFERROR(AJ37/$C$1,0)</f>
        <v>0</v>
      </c>
      <c r="CH37" s="4794">
        <f t="shared" ref="CH37:CH40" si="319">IFERROR(AK37/$C$1,0)</f>
        <v>0</v>
      </c>
      <c r="CI37" s="4794">
        <f t="shared" ref="CI37:CI40" si="320">IFERROR(AL37/$C$1,0)</f>
        <v>0</v>
      </c>
      <c r="CJ37" s="4794">
        <f t="shared" ref="CJ37:CJ40" si="321">IFERROR(AM37/$C$1,0)</f>
        <v>0</v>
      </c>
      <c r="CK37" s="4794">
        <f t="shared" ref="CK37:CK40" si="322">IFERROR(AN37/$C$1,0)</f>
        <v>0</v>
      </c>
      <c r="CL37" s="4794">
        <f t="shared" ref="CL37:CL40" si="323">IFERROR(AO37/$C$1,0)</f>
        <v>0</v>
      </c>
      <c r="CM37" s="4794">
        <f t="shared" ref="CM37:CM40" si="324">IFERROR(AP37/$C$1,0)</f>
        <v>0</v>
      </c>
      <c r="CN37" s="4794">
        <f t="shared" ref="CN37:CN40" si="325">IFERROR(AQ37/$C$1,0)</f>
        <v>0</v>
      </c>
      <c r="CO37" s="4794">
        <f t="shared" ref="CO37:CO40" si="326">IFERROR(AR37/$C$1,0)</f>
        <v>640.64872713886177</v>
      </c>
      <c r="CP37" s="4794">
        <f t="shared" ref="CP37:CP40" si="327">IFERROR(AS37/$C$1,0)</f>
        <v>854.36873347888115</v>
      </c>
      <c r="CQ37" s="4794">
        <f t="shared" ref="CQ37:CQ40" si="328">IFERROR(AT37/$C$1,0)</f>
        <v>1242.439271306811</v>
      </c>
      <c r="CR37" s="4794">
        <f t="shared" ref="CR37:CR40" si="329">IFERROR(AU37/$C$1,0)</f>
        <v>1059.3967778385647</v>
      </c>
      <c r="CS37" s="4794">
        <f t="shared" ref="CS37:CS40" si="330">IFERROR(AV37/$C$1,0)</f>
        <v>876.35428437031851</v>
      </c>
      <c r="CT37" s="4794">
        <f t="shared" ref="CT37:CT40" si="331">IFERROR(AW37/$C$1,0)</f>
        <v>693.31179090207229</v>
      </c>
      <c r="CU37" s="4794">
        <f t="shared" ref="CU37:CU40" si="332">IFERROR(AX37/$C$1,0)</f>
        <v>510.26929743382607</v>
      </c>
    </row>
    <row r="38" spans="1:99" s="1" customFormat="1">
      <c r="A38" s="4106" t="s">
        <v>962</v>
      </c>
      <c r="B38" s="2603" t="s">
        <v>196</v>
      </c>
      <c r="C38" s="403">
        <v>1253</v>
      </c>
      <c r="D38" s="418">
        <v>433</v>
      </c>
      <c r="E38" s="416">
        <v>968</v>
      </c>
      <c r="F38" s="416"/>
      <c r="G38" s="416"/>
      <c r="H38" s="416"/>
      <c r="I38" s="416"/>
      <c r="J38" s="417"/>
      <c r="K38" s="403"/>
      <c r="L38" s="418"/>
      <c r="M38" s="416"/>
      <c r="N38" s="416"/>
      <c r="O38" s="416"/>
      <c r="P38" s="416"/>
      <c r="Q38" s="416"/>
      <c r="R38" s="417"/>
      <c r="S38" s="403"/>
      <c r="T38" s="418"/>
      <c r="U38" s="416"/>
      <c r="V38" s="416"/>
      <c r="W38" s="416"/>
      <c r="X38" s="416"/>
      <c r="Y38" s="416"/>
      <c r="Z38" s="417"/>
      <c r="AA38" s="403"/>
      <c r="AB38" s="418"/>
      <c r="AC38" s="416"/>
      <c r="AD38" s="416"/>
      <c r="AE38" s="416"/>
      <c r="AF38" s="416"/>
      <c r="AG38" s="416"/>
      <c r="AH38" s="417"/>
      <c r="AI38" s="403"/>
      <c r="AJ38" s="418"/>
      <c r="AK38" s="416"/>
      <c r="AL38" s="416"/>
      <c r="AM38" s="416"/>
      <c r="AN38" s="416"/>
      <c r="AO38" s="416"/>
      <c r="AP38" s="417"/>
      <c r="AQ38" s="2602">
        <f t="shared" si="283"/>
        <v>1253</v>
      </c>
      <c r="AR38" s="4412">
        <f t="shared" si="283"/>
        <v>433</v>
      </c>
      <c r="AS38" s="2604">
        <f t="shared" ref="AS38:AX40" si="333">E38+M38+U38+AC38+AK38</f>
        <v>968</v>
      </c>
      <c r="AT38" s="2604">
        <f t="shared" si="333"/>
        <v>0</v>
      </c>
      <c r="AU38" s="2604">
        <f t="shared" si="333"/>
        <v>0</v>
      </c>
      <c r="AV38" s="2604">
        <f t="shared" si="333"/>
        <v>0</v>
      </c>
      <c r="AW38" s="2604">
        <f t="shared" si="333"/>
        <v>0</v>
      </c>
      <c r="AX38" s="2605">
        <f t="shared" si="333"/>
        <v>0</v>
      </c>
      <c r="AY38" s="4775"/>
      <c r="AZ38" s="4794">
        <f t="shared" ref="AZ38:AZ40" si="334">IFERROR(C38/$C$1,0)</f>
        <v>640.64872713886177</v>
      </c>
      <c r="BA38" s="4794">
        <f t="shared" si="286"/>
        <v>221.38938455796261</v>
      </c>
      <c r="BB38" s="4794">
        <f t="shared" si="287"/>
        <v>494.93054099793949</v>
      </c>
      <c r="BC38" s="4794">
        <f t="shared" si="288"/>
        <v>0</v>
      </c>
      <c r="BD38" s="4794">
        <f t="shared" si="289"/>
        <v>0</v>
      </c>
      <c r="BE38" s="4794">
        <f t="shared" si="290"/>
        <v>0</v>
      </c>
      <c r="BF38" s="4794">
        <f t="shared" si="291"/>
        <v>0</v>
      </c>
      <c r="BG38" s="4794">
        <f t="shared" si="292"/>
        <v>0</v>
      </c>
      <c r="BH38" s="4794">
        <f t="shared" si="293"/>
        <v>0</v>
      </c>
      <c r="BI38" s="4794">
        <f t="shared" si="294"/>
        <v>0</v>
      </c>
      <c r="BJ38" s="4794">
        <f t="shared" si="295"/>
        <v>0</v>
      </c>
      <c r="BK38" s="4794">
        <f t="shared" si="296"/>
        <v>0</v>
      </c>
      <c r="BL38" s="4794">
        <f t="shared" si="297"/>
        <v>0</v>
      </c>
      <c r="BM38" s="4794">
        <f t="shared" si="298"/>
        <v>0</v>
      </c>
      <c r="BN38" s="4794">
        <f t="shared" si="299"/>
        <v>0</v>
      </c>
      <c r="BO38" s="4794">
        <f t="shared" si="300"/>
        <v>0</v>
      </c>
      <c r="BP38" s="4794">
        <f t="shared" si="301"/>
        <v>0</v>
      </c>
      <c r="BQ38" s="4794">
        <f t="shared" si="302"/>
        <v>0</v>
      </c>
      <c r="BR38" s="4794">
        <f t="shared" si="303"/>
        <v>0</v>
      </c>
      <c r="BS38" s="4794">
        <f t="shared" si="304"/>
        <v>0</v>
      </c>
      <c r="BT38" s="4794">
        <f t="shared" si="305"/>
        <v>0</v>
      </c>
      <c r="BU38" s="4794">
        <f t="shared" si="306"/>
        <v>0</v>
      </c>
      <c r="BV38" s="4794">
        <f t="shared" si="307"/>
        <v>0</v>
      </c>
      <c r="BW38" s="4794">
        <f t="shared" si="308"/>
        <v>0</v>
      </c>
      <c r="BX38" s="4794">
        <f t="shared" si="309"/>
        <v>0</v>
      </c>
      <c r="BY38" s="4794">
        <f t="shared" si="310"/>
        <v>0</v>
      </c>
      <c r="BZ38" s="4794">
        <f t="shared" si="311"/>
        <v>0</v>
      </c>
      <c r="CA38" s="4794">
        <f t="shared" si="312"/>
        <v>0</v>
      </c>
      <c r="CB38" s="4794">
        <f t="shared" si="313"/>
        <v>0</v>
      </c>
      <c r="CC38" s="4794">
        <f t="shared" si="314"/>
        <v>0</v>
      </c>
      <c r="CD38" s="4794">
        <f t="shared" si="315"/>
        <v>0</v>
      </c>
      <c r="CE38" s="4794">
        <f t="shared" si="316"/>
        <v>0</v>
      </c>
      <c r="CF38" s="4794">
        <f t="shared" si="317"/>
        <v>0</v>
      </c>
      <c r="CG38" s="4794">
        <f t="shared" si="318"/>
        <v>0</v>
      </c>
      <c r="CH38" s="4794">
        <f t="shared" si="319"/>
        <v>0</v>
      </c>
      <c r="CI38" s="4794">
        <f t="shared" si="320"/>
        <v>0</v>
      </c>
      <c r="CJ38" s="4794">
        <f t="shared" si="321"/>
        <v>0</v>
      </c>
      <c r="CK38" s="4794">
        <f t="shared" si="322"/>
        <v>0</v>
      </c>
      <c r="CL38" s="4794">
        <f t="shared" si="323"/>
        <v>0</v>
      </c>
      <c r="CM38" s="4794">
        <f t="shared" si="324"/>
        <v>0</v>
      </c>
      <c r="CN38" s="4794">
        <f t="shared" si="325"/>
        <v>640.64872713886177</v>
      </c>
      <c r="CO38" s="4794">
        <f t="shared" si="326"/>
        <v>221.38938455796261</v>
      </c>
      <c r="CP38" s="4794">
        <f t="shared" si="327"/>
        <v>494.93054099793949</v>
      </c>
      <c r="CQ38" s="4794">
        <f t="shared" si="328"/>
        <v>0</v>
      </c>
      <c r="CR38" s="4794">
        <f t="shared" si="329"/>
        <v>0</v>
      </c>
      <c r="CS38" s="4794">
        <f t="shared" si="330"/>
        <v>0</v>
      </c>
      <c r="CT38" s="4794">
        <f t="shared" si="331"/>
        <v>0</v>
      </c>
      <c r="CU38" s="4794">
        <f t="shared" si="332"/>
        <v>0</v>
      </c>
    </row>
    <row r="39" spans="1:99" s="1" customFormat="1">
      <c r="A39" s="4106" t="s">
        <v>963</v>
      </c>
      <c r="B39" s="2603" t="s">
        <v>197</v>
      </c>
      <c r="C39" s="403"/>
      <c r="D39" s="418">
        <v>15</v>
      </c>
      <c r="E39" s="416">
        <v>209</v>
      </c>
      <c r="F39" s="416">
        <v>358</v>
      </c>
      <c r="G39" s="416">
        <v>358</v>
      </c>
      <c r="H39" s="416">
        <v>358</v>
      </c>
      <c r="I39" s="416">
        <v>358</v>
      </c>
      <c r="J39" s="417">
        <v>358</v>
      </c>
      <c r="K39" s="403"/>
      <c r="L39" s="418"/>
      <c r="M39" s="416"/>
      <c r="N39" s="416"/>
      <c r="O39" s="416"/>
      <c r="P39" s="416"/>
      <c r="Q39" s="416"/>
      <c r="R39" s="417"/>
      <c r="S39" s="403"/>
      <c r="T39" s="418"/>
      <c r="U39" s="416"/>
      <c r="V39" s="416"/>
      <c r="W39" s="416"/>
      <c r="X39" s="416"/>
      <c r="Y39" s="416"/>
      <c r="Z39" s="417"/>
      <c r="AA39" s="403"/>
      <c r="AB39" s="418"/>
      <c r="AC39" s="416"/>
      <c r="AD39" s="416"/>
      <c r="AE39" s="416"/>
      <c r="AF39" s="416"/>
      <c r="AG39" s="416"/>
      <c r="AH39" s="417"/>
      <c r="AI39" s="403"/>
      <c r="AJ39" s="418"/>
      <c r="AK39" s="416"/>
      <c r="AL39" s="416"/>
      <c r="AM39" s="416"/>
      <c r="AN39" s="416"/>
      <c r="AO39" s="416"/>
      <c r="AP39" s="417"/>
      <c r="AQ39" s="2602">
        <f t="shared" si="283"/>
        <v>0</v>
      </c>
      <c r="AR39" s="4412">
        <f t="shared" si="283"/>
        <v>15</v>
      </c>
      <c r="AS39" s="2604">
        <f t="shared" si="333"/>
        <v>209</v>
      </c>
      <c r="AT39" s="2604">
        <f t="shared" si="333"/>
        <v>358</v>
      </c>
      <c r="AU39" s="2604">
        <f t="shared" si="333"/>
        <v>358</v>
      </c>
      <c r="AV39" s="2604">
        <f t="shared" si="333"/>
        <v>358</v>
      </c>
      <c r="AW39" s="2604">
        <f t="shared" si="333"/>
        <v>358</v>
      </c>
      <c r="AX39" s="2605">
        <f t="shared" si="333"/>
        <v>358</v>
      </c>
      <c r="AY39" s="4775"/>
      <c r="AZ39" s="4794">
        <f t="shared" si="334"/>
        <v>0</v>
      </c>
      <c r="BA39" s="4794">
        <f t="shared" si="286"/>
        <v>7.6693782179432777</v>
      </c>
      <c r="BB39" s="4794">
        <f t="shared" si="287"/>
        <v>106.86000317000966</v>
      </c>
      <c r="BC39" s="4794">
        <f t="shared" si="288"/>
        <v>183.04249346824622</v>
      </c>
      <c r="BD39" s="4794">
        <f t="shared" si="289"/>
        <v>183.04249346824622</v>
      </c>
      <c r="BE39" s="4794">
        <f t="shared" si="290"/>
        <v>183.04249346824622</v>
      </c>
      <c r="BF39" s="4794">
        <f t="shared" si="291"/>
        <v>183.04249346824622</v>
      </c>
      <c r="BG39" s="4794">
        <f t="shared" si="292"/>
        <v>183.04249346824622</v>
      </c>
      <c r="BH39" s="4794">
        <f t="shared" si="293"/>
        <v>0</v>
      </c>
      <c r="BI39" s="4794">
        <f t="shared" si="294"/>
        <v>0</v>
      </c>
      <c r="BJ39" s="4794">
        <f t="shared" si="295"/>
        <v>0</v>
      </c>
      <c r="BK39" s="4794">
        <f t="shared" si="296"/>
        <v>0</v>
      </c>
      <c r="BL39" s="4794">
        <f t="shared" si="297"/>
        <v>0</v>
      </c>
      <c r="BM39" s="4794">
        <f t="shared" si="298"/>
        <v>0</v>
      </c>
      <c r="BN39" s="4794">
        <f t="shared" si="299"/>
        <v>0</v>
      </c>
      <c r="BO39" s="4794">
        <f t="shared" si="300"/>
        <v>0</v>
      </c>
      <c r="BP39" s="4794">
        <f t="shared" si="301"/>
        <v>0</v>
      </c>
      <c r="BQ39" s="4794">
        <f t="shared" si="302"/>
        <v>0</v>
      </c>
      <c r="BR39" s="4794">
        <f t="shared" si="303"/>
        <v>0</v>
      </c>
      <c r="BS39" s="4794">
        <f t="shared" si="304"/>
        <v>0</v>
      </c>
      <c r="BT39" s="4794">
        <f t="shared" si="305"/>
        <v>0</v>
      </c>
      <c r="BU39" s="4794">
        <f t="shared" si="306"/>
        <v>0</v>
      </c>
      <c r="BV39" s="4794">
        <f t="shared" si="307"/>
        <v>0</v>
      </c>
      <c r="BW39" s="4794">
        <f t="shared" si="308"/>
        <v>0</v>
      </c>
      <c r="BX39" s="4794">
        <f t="shared" si="309"/>
        <v>0</v>
      </c>
      <c r="BY39" s="4794">
        <f t="shared" si="310"/>
        <v>0</v>
      </c>
      <c r="BZ39" s="4794">
        <f t="shared" si="311"/>
        <v>0</v>
      </c>
      <c r="CA39" s="4794">
        <f t="shared" si="312"/>
        <v>0</v>
      </c>
      <c r="CB39" s="4794">
        <f t="shared" si="313"/>
        <v>0</v>
      </c>
      <c r="CC39" s="4794">
        <f t="shared" si="314"/>
        <v>0</v>
      </c>
      <c r="CD39" s="4794">
        <f t="shared" si="315"/>
        <v>0</v>
      </c>
      <c r="CE39" s="4794">
        <f t="shared" si="316"/>
        <v>0</v>
      </c>
      <c r="CF39" s="4794">
        <f t="shared" si="317"/>
        <v>0</v>
      </c>
      <c r="CG39" s="4794">
        <f t="shared" si="318"/>
        <v>0</v>
      </c>
      <c r="CH39" s="4794">
        <f t="shared" si="319"/>
        <v>0</v>
      </c>
      <c r="CI39" s="4794">
        <f t="shared" si="320"/>
        <v>0</v>
      </c>
      <c r="CJ39" s="4794">
        <f t="shared" si="321"/>
        <v>0</v>
      </c>
      <c r="CK39" s="4794">
        <f t="shared" si="322"/>
        <v>0</v>
      </c>
      <c r="CL39" s="4794">
        <f t="shared" si="323"/>
        <v>0</v>
      </c>
      <c r="CM39" s="4794">
        <f t="shared" si="324"/>
        <v>0</v>
      </c>
      <c r="CN39" s="4794">
        <f t="shared" si="325"/>
        <v>0</v>
      </c>
      <c r="CO39" s="4794">
        <f t="shared" si="326"/>
        <v>7.6693782179432777</v>
      </c>
      <c r="CP39" s="4794">
        <f t="shared" si="327"/>
        <v>106.86000317000966</v>
      </c>
      <c r="CQ39" s="4794">
        <f t="shared" si="328"/>
        <v>183.04249346824622</v>
      </c>
      <c r="CR39" s="4794">
        <f t="shared" si="329"/>
        <v>183.04249346824622</v>
      </c>
      <c r="CS39" s="4794">
        <f t="shared" si="330"/>
        <v>183.04249346824622</v>
      </c>
      <c r="CT39" s="4794">
        <f t="shared" si="331"/>
        <v>183.04249346824622</v>
      </c>
      <c r="CU39" s="4794">
        <f t="shared" si="332"/>
        <v>183.04249346824622</v>
      </c>
    </row>
    <row r="40" spans="1:99" s="1" customFormat="1">
      <c r="A40" s="4106" t="s">
        <v>964</v>
      </c>
      <c r="B40" s="2603" t="s">
        <v>198</v>
      </c>
      <c r="C40" s="403">
        <v>7</v>
      </c>
      <c r="D40" s="418">
        <v>90</v>
      </c>
      <c r="E40" s="416">
        <v>130</v>
      </c>
      <c r="F40" s="416">
        <v>115</v>
      </c>
      <c r="G40" s="416">
        <v>95</v>
      </c>
      <c r="H40" s="416">
        <v>75</v>
      </c>
      <c r="I40" s="416">
        <v>55</v>
      </c>
      <c r="J40" s="417">
        <v>36</v>
      </c>
      <c r="K40" s="403"/>
      <c r="L40" s="418"/>
      <c r="M40" s="416"/>
      <c r="N40" s="416"/>
      <c r="O40" s="416"/>
      <c r="P40" s="416"/>
      <c r="Q40" s="416"/>
      <c r="R40" s="417"/>
      <c r="S40" s="403"/>
      <c r="T40" s="418"/>
      <c r="U40" s="416"/>
      <c r="V40" s="416"/>
      <c r="W40" s="416"/>
      <c r="X40" s="416"/>
      <c r="Y40" s="416"/>
      <c r="Z40" s="417"/>
      <c r="AA40" s="403"/>
      <c r="AB40" s="418"/>
      <c r="AC40" s="416"/>
      <c r="AD40" s="416"/>
      <c r="AE40" s="416"/>
      <c r="AF40" s="416"/>
      <c r="AG40" s="416"/>
      <c r="AH40" s="417"/>
      <c r="AI40" s="403"/>
      <c r="AJ40" s="418"/>
      <c r="AK40" s="416"/>
      <c r="AL40" s="416"/>
      <c r="AM40" s="416"/>
      <c r="AN40" s="416"/>
      <c r="AO40" s="416"/>
      <c r="AP40" s="417"/>
      <c r="AQ40" s="2602">
        <f t="shared" si="283"/>
        <v>7</v>
      </c>
      <c r="AR40" s="4412">
        <f t="shared" si="283"/>
        <v>90</v>
      </c>
      <c r="AS40" s="2604">
        <f t="shared" si="333"/>
        <v>130</v>
      </c>
      <c r="AT40" s="2604">
        <f t="shared" si="333"/>
        <v>115</v>
      </c>
      <c r="AU40" s="2604">
        <f t="shared" si="333"/>
        <v>95</v>
      </c>
      <c r="AV40" s="2604">
        <f t="shared" si="333"/>
        <v>75</v>
      </c>
      <c r="AW40" s="2604">
        <f t="shared" si="333"/>
        <v>55</v>
      </c>
      <c r="AX40" s="2605">
        <f t="shared" si="333"/>
        <v>36</v>
      </c>
      <c r="AY40" s="4775"/>
      <c r="AZ40" s="4794">
        <f t="shared" si="334"/>
        <v>3.5790431683735293</v>
      </c>
      <c r="BA40" s="4794">
        <f t="shared" si="286"/>
        <v>46.016269307659663</v>
      </c>
      <c r="BB40" s="4794">
        <f t="shared" si="287"/>
        <v>66.46794455550841</v>
      </c>
      <c r="BC40" s="4794">
        <f t="shared" si="288"/>
        <v>58.798566337565127</v>
      </c>
      <c r="BD40" s="4794">
        <f t="shared" si="289"/>
        <v>48.572728713640757</v>
      </c>
      <c r="BE40" s="4794">
        <f t="shared" si="290"/>
        <v>38.346891089716387</v>
      </c>
      <c r="BF40" s="4794">
        <f t="shared" si="291"/>
        <v>28.121053465792016</v>
      </c>
      <c r="BG40" s="4794">
        <f t="shared" si="292"/>
        <v>18.406507723063864</v>
      </c>
      <c r="BH40" s="4794">
        <f t="shared" si="293"/>
        <v>0</v>
      </c>
      <c r="BI40" s="4794">
        <f t="shared" si="294"/>
        <v>0</v>
      </c>
      <c r="BJ40" s="4794">
        <f t="shared" si="295"/>
        <v>0</v>
      </c>
      <c r="BK40" s="4794">
        <f t="shared" si="296"/>
        <v>0</v>
      </c>
      <c r="BL40" s="4794">
        <f t="shared" si="297"/>
        <v>0</v>
      </c>
      <c r="BM40" s="4794">
        <f t="shared" si="298"/>
        <v>0</v>
      </c>
      <c r="BN40" s="4794">
        <f t="shared" si="299"/>
        <v>0</v>
      </c>
      <c r="BO40" s="4794">
        <f t="shared" si="300"/>
        <v>0</v>
      </c>
      <c r="BP40" s="4794">
        <f t="shared" si="301"/>
        <v>0</v>
      </c>
      <c r="BQ40" s="4794">
        <f t="shared" si="302"/>
        <v>0</v>
      </c>
      <c r="BR40" s="4794">
        <f t="shared" si="303"/>
        <v>0</v>
      </c>
      <c r="BS40" s="4794">
        <f t="shared" si="304"/>
        <v>0</v>
      </c>
      <c r="BT40" s="4794">
        <f t="shared" si="305"/>
        <v>0</v>
      </c>
      <c r="BU40" s="4794">
        <f t="shared" si="306"/>
        <v>0</v>
      </c>
      <c r="BV40" s="4794">
        <f t="shared" si="307"/>
        <v>0</v>
      </c>
      <c r="BW40" s="4794">
        <f t="shared" si="308"/>
        <v>0</v>
      </c>
      <c r="BX40" s="4794">
        <f t="shared" si="309"/>
        <v>0</v>
      </c>
      <c r="BY40" s="4794">
        <f t="shared" si="310"/>
        <v>0</v>
      </c>
      <c r="BZ40" s="4794">
        <f t="shared" si="311"/>
        <v>0</v>
      </c>
      <c r="CA40" s="4794">
        <f t="shared" si="312"/>
        <v>0</v>
      </c>
      <c r="CB40" s="4794">
        <f t="shared" si="313"/>
        <v>0</v>
      </c>
      <c r="CC40" s="4794">
        <f t="shared" si="314"/>
        <v>0</v>
      </c>
      <c r="CD40" s="4794">
        <f t="shared" si="315"/>
        <v>0</v>
      </c>
      <c r="CE40" s="4794">
        <f t="shared" si="316"/>
        <v>0</v>
      </c>
      <c r="CF40" s="4794">
        <f t="shared" si="317"/>
        <v>0</v>
      </c>
      <c r="CG40" s="4794">
        <f t="shared" si="318"/>
        <v>0</v>
      </c>
      <c r="CH40" s="4794">
        <f t="shared" si="319"/>
        <v>0</v>
      </c>
      <c r="CI40" s="4794">
        <f t="shared" si="320"/>
        <v>0</v>
      </c>
      <c r="CJ40" s="4794">
        <f t="shared" si="321"/>
        <v>0</v>
      </c>
      <c r="CK40" s="4794">
        <f t="shared" si="322"/>
        <v>0</v>
      </c>
      <c r="CL40" s="4794">
        <f t="shared" si="323"/>
        <v>0</v>
      </c>
      <c r="CM40" s="4794">
        <f t="shared" si="324"/>
        <v>0</v>
      </c>
      <c r="CN40" s="4794">
        <f t="shared" si="325"/>
        <v>3.5790431683735293</v>
      </c>
      <c r="CO40" s="4794">
        <f t="shared" si="326"/>
        <v>46.016269307659663</v>
      </c>
      <c r="CP40" s="4794">
        <f t="shared" si="327"/>
        <v>66.46794455550841</v>
      </c>
      <c r="CQ40" s="4794">
        <f t="shared" si="328"/>
        <v>58.798566337565127</v>
      </c>
      <c r="CR40" s="4794">
        <f t="shared" si="329"/>
        <v>48.572728713640757</v>
      </c>
      <c r="CS40" s="4794">
        <f t="shared" si="330"/>
        <v>38.346891089716387</v>
      </c>
      <c r="CT40" s="4794">
        <f t="shared" si="331"/>
        <v>28.121053465792016</v>
      </c>
      <c r="CU40" s="4794">
        <f t="shared" si="332"/>
        <v>18.406507723063864</v>
      </c>
    </row>
    <row r="41" spans="1:99" s="1" customFormat="1">
      <c r="A41" s="4106" t="s">
        <v>965</v>
      </c>
      <c r="B41" s="2603" t="s">
        <v>199</v>
      </c>
      <c r="C41" s="4418">
        <f t="shared" ref="C41" si="335">IF(C37=0,0,C40/((C37+C43)/2))</f>
        <v>0</v>
      </c>
      <c r="D41" s="4411">
        <f t="shared" ref="D41:J41" si="336">IF(D37=0,0,D40/((D37+D43)/2))</f>
        <v>6.1559507523939808E-2</v>
      </c>
      <c r="E41" s="1426">
        <f t="shared" si="336"/>
        <v>6.3399170933918558E-2</v>
      </c>
      <c r="F41" s="1426">
        <f t="shared" si="336"/>
        <v>5.1088405153265216E-2</v>
      </c>
      <c r="G41" s="1426">
        <f t="shared" si="336"/>
        <v>5.0184891706286316E-2</v>
      </c>
      <c r="H41" s="1426">
        <f t="shared" si="336"/>
        <v>4.8859934853420196E-2</v>
      </c>
      <c r="I41" s="1426">
        <f t="shared" si="336"/>
        <v>4.6728971962616821E-2</v>
      </c>
      <c r="J41" s="2606">
        <f t="shared" si="336"/>
        <v>4.3956043956043959E-2</v>
      </c>
      <c r="K41" s="2607">
        <f>IF(K37=0,0,K40/((K37+K43)/2))</f>
        <v>0</v>
      </c>
      <c r="L41" s="2616">
        <f>IF(L37=0,0,L40/((L37+L43)/2))</f>
        <v>0</v>
      </c>
      <c r="M41" s="2608">
        <f>IF(M37=0,0,M40/((M37+M43)/2))</f>
        <v>0</v>
      </c>
      <c r="N41" s="2608">
        <f t="shared" ref="N41:R41" si="337">IF(N37=0,0,N40/((N37+N43)/2))</f>
        <v>0</v>
      </c>
      <c r="O41" s="2608">
        <f t="shared" si="337"/>
        <v>0</v>
      </c>
      <c r="P41" s="2608">
        <f t="shared" si="337"/>
        <v>0</v>
      </c>
      <c r="Q41" s="2608">
        <f t="shared" si="337"/>
        <v>0</v>
      </c>
      <c r="R41" s="2609">
        <f t="shared" si="337"/>
        <v>0</v>
      </c>
      <c r="S41" s="2607">
        <f>IF(S37=0,0,S40/((S37+S43)/2))</f>
        <v>0</v>
      </c>
      <c r="T41" s="2616">
        <f>IF(T37=0,0,T40/((T37+T43)/2))</f>
        <v>0</v>
      </c>
      <c r="U41" s="2608">
        <f>IF(U37=0,0,U40/((U37+U43)/2))</f>
        <v>0</v>
      </c>
      <c r="V41" s="2608">
        <f t="shared" ref="V41:Z41" si="338">IF(V37=0,0,V40/((V37+V43)/2))</f>
        <v>0</v>
      </c>
      <c r="W41" s="2608">
        <f t="shared" si="338"/>
        <v>0</v>
      </c>
      <c r="X41" s="2608">
        <f t="shared" si="338"/>
        <v>0</v>
      </c>
      <c r="Y41" s="2608">
        <f t="shared" si="338"/>
        <v>0</v>
      </c>
      <c r="Z41" s="2609">
        <f t="shared" si="338"/>
        <v>0</v>
      </c>
      <c r="AA41" s="2607">
        <f>IF(AA37=0,0,AA40/((AA37+AA43)/2))</f>
        <v>0</v>
      </c>
      <c r="AB41" s="2616">
        <f>IF(AB37=0,0,AB40/((AB37+AB43)/2))</f>
        <v>0</v>
      </c>
      <c r="AC41" s="2608">
        <f>IF(AC37=0,0,AC40/((AC37+AC43)/2))</f>
        <v>0</v>
      </c>
      <c r="AD41" s="2608">
        <f t="shared" ref="AD41:AH41" si="339">IF(AD37=0,0,AD40/((AD37+AD43)/2))</f>
        <v>0</v>
      </c>
      <c r="AE41" s="2608">
        <f t="shared" si="339"/>
        <v>0</v>
      </c>
      <c r="AF41" s="2608">
        <f t="shared" si="339"/>
        <v>0</v>
      </c>
      <c r="AG41" s="2608">
        <f t="shared" si="339"/>
        <v>0</v>
      </c>
      <c r="AH41" s="2609">
        <f t="shared" si="339"/>
        <v>0</v>
      </c>
      <c r="AI41" s="2607">
        <f>IF(AI37=0,0,AI40/((AI37+AI43)/2))</f>
        <v>0</v>
      </c>
      <c r="AJ41" s="2616">
        <f>IF(AJ37=0,0,AJ40/((AJ37+AJ43)/2))</f>
        <v>0</v>
      </c>
      <c r="AK41" s="2608">
        <f>IF(AK37=0,0,AK40/((AK37+AK43)/2))</f>
        <v>0</v>
      </c>
      <c r="AL41" s="2608">
        <f t="shared" ref="AL41:AP41" si="340">IF(AL37=0,0,AL40/((AL37+AL43)/2))</f>
        <v>0</v>
      </c>
      <c r="AM41" s="2608">
        <f t="shared" si="340"/>
        <v>0</v>
      </c>
      <c r="AN41" s="2608">
        <f t="shared" si="340"/>
        <v>0</v>
      </c>
      <c r="AO41" s="2608">
        <f t="shared" si="340"/>
        <v>0</v>
      </c>
      <c r="AP41" s="2609">
        <f t="shared" si="340"/>
        <v>0</v>
      </c>
      <c r="AQ41" s="2607">
        <f>IF(AQ37=0,0,AQ40/((AQ37+AQ43)/2))</f>
        <v>0</v>
      </c>
      <c r="AR41" s="2616">
        <f>IF(AR37=0,0,AR40/((AR37+AR43)/2))</f>
        <v>6.1559507523939808E-2</v>
      </c>
      <c r="AS41" s="2608">
        <f>IF(AS37=0,0,AS40/((AS37+AS43)/2))</f>
        <v>6.3399170933918558E-2</v>
      </c>
      <c r="AT41" s="2608">
        <f t="shared" ref="AT41:AX41" si="341">IF(AT37=0,0,AT40/((AT37+AT43)/2))</f>
        <v>5.1088405153265216E-2</v>
      </c>
      <c r="AU41" s="2608">
        <f t="shared" si="341"/>
        <v>5.0184891706286316E-2</v>
      </c>
      <c r="AV41" s="2608">
        <f t="shared" si="341"/>
        <v>4.8859934853420196E-2</v>
      </c>
      <c r="AW41" s="2608">
        <f t="shared" si="341"/>
        <v>4.6728971962616821E-2</v>
      </c>
      <c r="AX41" s="2609">
        <f t="shared" si="341"/>
        <v>4.3956043956043959E-2</v>
      </c>
      <c r="AY41" s="4775"/>
    </row>
    <row r="42" spans="1:99" s="1" customFormat="1">
      <c r="A42" s="4106" t="s">
        <v>966</v>
      </c>
      <c r="B42" s="2603" t="s">
        <v>200</v>
      </c>
      <c r="C42" s="2610">
        <f>C39+C40</f>
        <v>7</v>
      </c>
      <c r="D42" s="2617">
        <f>D39+D40</f>
        <v>105</v>
      </c>
      <c r="E42" s="2611">
        <f t="shared" ref="E42:J42" si="342">E39+E40</f>
        <v>339</v>
      </c>
      <c r="F42" s="2611">
        <f t="shared" si="342"/>
        <v>473</v>
      </c>
      <c r="G42" s="2611">
        <f t="shared" si="342"/>
        <v>453</v>
      </c>
      <c r="H42" s="2611">
        <f t="shared" si="342"/>
        <v>433</v>
      </c>
      <c r="I42" s="2611">
        <f t="shared" si="342"/>
        <v>413</v>
      </c>
      <c r="J42" s="2612">
        <f t="shared" si="342"/>
        <v>394</v>
      </c>
      <c r="K42" s="2610">
        <f>K39+K40</f>
        <v>0</v>
      </c>
      <c r="L42" s="2617">
        <f>L39+L40</f>
        <v>0</v>
      </c>
      <c r="M42" s="2611">
        <f t="shared" ref="M42:R42" si="343">M39+M40</f>
        <v>0</v>
      </c>
      <c r="N42" s="2611">
        <f t="shared" si="343"/>
        <v>0</v>
      </c>
      <c r="O42" s="2611">
        <f t="shared" si="343"/>
        <v>0</v>
      </c>
      <c r="P42" s="2611">
        <f t="shared" si="343"/>
        <v>0</v>
      </c>
      <c r="Q42" s="2611">
        <f t="shared" si="343"/>
        <v>0</v>
      </c>
      <c r="R42" s="2612">
        <f t="shared" si="343"/>
        <v>0</v>
      </c>
      <c r="S42" s="2610">
        <f>S39+S40</f>
        <v>0</v>
      </c>
      <c r="T42" s="2617">
        <f>T39+T40</f>
        <v>0</v>
      </c>
      <c r="U42" s="2611">
        <f t="shared" ref="U42:Z42" si="344">U39+U40</f>
        <v>0</v>
      </c>
      <c r="V42" s="2611">
        <f t="shared" si="344"/>
        <v>0</v>
      </c>
      <c r="W42" s="2611">
        <f t="shared" si="344"/>
        <v>0</v>
      </c>
      <c r="X42" s="2611">
        <f t="shared" si="344"/>
        <v>0</v>
      </c>
      <c r="Y42" s="2611">
        <f t="shared" si="344"/>
        <v>0</v>
      </c>
      <c r="Z42" s="2612">
        <f t="shared" si="344"/>
        <v>0</v>
      </c>
      <c r="AA42" s="2610">
        <f>AA39+AA40</f>
        <v>0</v>
      </c>
      <c r="AB42" s="2617">
        <f>AB39+AB40</f>
        <v>0</v>
      </c>
      <c r="AC42" s="2611">
        <f t="shared" ref="AC42:AH42" si="345">AC39+AC40</f>
        <v>0</v>
      </c>
      <c r="AD42" s="2611">
        <f t="shared" si="345"/>
        <v>0</v>
      </c>
      <c r="AE42" s="2611">
        <f t="shared" si="345"/>
        <v>0</v>
      </c>
      <c r="AF42" s="2611">
        <f t="shared" si="345"/>
        <v>0</v>
      </c>
      <c r="AG42" s="2611">
        <f t="shared" si="345"/>
        <v>0</v>
      </c>
      <c r="AH42" s="2612">
        <f t="shared" si="345"/>
        <v>0</v>
      </c>
      <c r="AI42" s="2610">
        <f>AI39+AI40</f>
        <v>0</v>
      </c>
      <c r="AJ42" s="2617">
        <f>AJ39+AJ40</f>
        <v>0</v>
      </c>
      <c r="AK42" s="2611">
        <f t="shared" ref="AK42:AP42" si="346">AK39+AK40</f>
        <v>0</v>
      </c>
      <c r="AL42" s="2611">
        <f t="shared" si="346"/>
        <v>0</v>
      </c>
      <c r="AM42" s="2611">
        <f t="shared" si="346"/>
        <v>0</v>
      </c>
      <c r="AN42" s="2611">
        <f t="shared" si="346"/>
        <v>0</v>
      </c>
      <c r="AO42" s="2611">
        <f t="shared" si="346"/>
        <v>0</v>
      </c>
      <c r="AP42" s="2612">
        <f t="shared" si="346"/>
        <v>0</v>
      </c>
      <c r="AQ42" s="2610">
        <f>AQ39+AQ40</f>
        <v>7</v>
      </c>
      <c r="AR42" s="2617">
        <f>AR39+AR40</f>
        <v>105</v>
      </c>
      <c r="AS42" s="2611">
        <f t="shared" ref="AS42:AX42" si="347">AS39+AS40</f>
        <v>339</v>
      </c>
      <c r="AT42" s="2611">
        <f t="shared" si="347"/>
        <v>473</v>
      </c>
      <c r="AU42" s="2611">
        <f t="shared" si="347"/>
        <v>453</v>
      </c>
      <c r="AV42" s="2611">
        <f t="shared" si="347"/>
        <v>433</v>
      </c>
      <c r="AW42" s="2611">
        <f t="shared" si="347"/>
        <v>413</v>
      </c>
      <c r="AX42" s="2612">
        <f t="shared" si="347"/>
        <v>394</v>
      </c>
      <c r="AY42" s="4775"/>
      <c r="AZ42" s="4794">
        <f t="shared" ref="AZ42:AZ43" si="348">IFERROR(C42/$C$1,0)</f>
        <v>3.5790431683735293</v>
      </c>
      <c r="BA42" s="4794">
        <f t="shared" ref="BA42:BA43" si="349">IFERROR(D42/$C$1,0)</f>
        <v>53.685647525602946</v>
      </c>
      <c r="BB42" s="4794">
        <f t="shared" ref="BB42:BB43" si="350">IFERROR(E42/$C$1,0)</f>
        <v>173.32794772551807</v>
      </c>
      <c r="BC42" s="4794">
        <f t="shared" ref="BC42:BC43" si="351">IFERROR(F42/$C$1,0)</f>
        <v>241.84105980581134</v>
      </c>
      <c r="BD42" s="4794">
        <f t="shared" ref="BD42:BD43" si="352">IFERROR(G42/$C$1,0)</f>
        <v>231.61522218188699</v>
      </c>
      <c r="BE42" s="4794">
        <f t="shared" ref="BE42:BE43" si="353">IFERROR(H42/$C$1,0)</f>
        <v>221.38938455796261</v>
      </c>
      <c r="BF42" s="4794">
        <f t="shared" ref="BF42:BF43" si="354">IFERROR(I42/$C$1,0)</f>
        <v>211.16354693403824</v>
      </c>
      <c r="BG42" s="4794">
        <f t="shared" ref="BG42:BG43" si="355">IFERROR(J42/$C$1,0)</f>
        <v>201.44900119131009</v>
      </c>
      <c r="BH42" s="4794">
        <f t="shared" ref="BH42:BH43" si="356">IFERROR(K42/$C$1,0)</f>
        <v>0</v>
      </c>
      <c r="BI42" s="4794">
        <f t="shared" ref="BI42:BI43" si="357">IFERROR(L42/$C$1,0)</f>
        <v>0</v>
      </c>
      <c r="BJ42" s="4794">
        <f t="shared" ref="BJ42:BJ43" si="358">IFERROR(M42/$C$1,0)</f>
        <v>0</v>
      </c>
      <c r="BK42" s="4794">
        <f t="shared" ref="BK42:BK43" si="359">IFERROR(N42/$C$1,0)</f>
        <v>0</v>
      </c>
      <c r="BL42" s="4794">
        <f t="shared" ref="BL42:BL43" si="360">IFERROR(O42/$C$1,0)</f>
        <v>0</v>
      </c>
      <c r="BM42" s="4794">
        <f t="shared" ref="BM42:BM43" si="361">IFERROR(P42/$C$1,0)</f>
        <v>0</v>
      </c>
      <c r="BN42" s="4794">
        <f t="shared" ref="BN42:BN43" si="362">IFERROR(Q42/$C$1,0)</f>
        <v>0</v>
      </c>
      <c r="BO42" s="4794">
        <f t="shared" ref="BO42:BO43" si="363">IFERROR(R42/$C$1,0)</f>
        <v>0</v>
      </c>
      <c r="BP42" s="4794">
        <f t="shared" ref="BP42:BP43" si="364">IFERROR(S42/$C$1,0)</f>
        <v>0</v>
      </c>
      <c r="BQ42" s="4794">
        <f t="shared" ref="BQ42:BQ43" si="365">IFERROR(T42/$C$1,0)</f>
        <v>0</v>
      </c>
      <c r="BR42" s="4794">
        <f t="shared" ref="BR42:BR43" si="366">IFERROR(U42/$C$1,0)</f>
        <v>0</v>
      </c>
      <c r="BS42" s="4794">
        <f t="shared" ref="BS42:BS43" si="367">IFERROR(V42/$C$1,0)</f>
        <v>0</v>
      </c>
      <c r="BT42" s="4794">
        <f t="shared" ref="BT42:BT43" si="368">IFERROR(W42/$C$1,0)</f>
        <v>0</v>
      </c>
      <c r="BU42" s="4794">
        <f t="shared" ref="BU42:BU43" si="369">IFERROR(X42/$C$1,0)</f>
        <v>0</v>
      </c>
      <c r="BV42" s="4794">
        <f t="shared" ref="BV42:BV43" si="370">IFERROR(Y42/$C$1,0)</f>
        <v>0</v>
      </c>
      <c r="BW42" s="4794">
        <f t="shared" ref="BW42:BW43" si="371">IFERROR(Z42/$C$1,0)</f>
        <v>0</v>
      </c>
      <c r="BX42" s="4794">
        <f t="shared" ref="BX42:BX43" si="372">IFERROR(AA42/$C$1,0)</f>
        <v>0</v>
      </c>
      <c r="BY42" s="4794">
        <f t="shared" ref="BY42:BY43" si="373">IFERROR(AB42/$C$1,0)</f>
        <v>0</v>
      </c>
      <c r="BZ42" s="4794">
        <f t="shared" ref="BZ42:BZ43" si="374">IFERROR(AC42/$C$1,0)</f>
        <v>0</v>
      </c>
      <c r="CA42" s="4794">
        <f t="shared" ref="CA42:CA43" si="375">IFERROR(AD42/$C$1,0)</f>
        <v>0</v>
      </c>
      <c r="CB42" s="4794">
        <f t="shared" ref="CB42:CB43" si="376">IFERROR(AE42/$C$1,0)</f>
        <v>0</v>
      </c>
      <c r="CC42" s="4794">
        <f t="shared" ref="CC42:CC43" si="377">IFERROR(AF42/$C$1,0)</f>
        <v>0</v>
      </c>
      <c r="CD42" s="4794">
        <f t="shared" ref="CD42:CD43" si="378">IFERROR(AG42/$C$1,0)</f>
        <v>0</v>
      </c>
      <c r="CE42" s="4794">
        <f t="shared" ref="CE42:CE43" si="379">IFERROR(AH42/$C$1,0)</f>
        <v>0</v>
      </c>
      <c r="CF42" s="4794">
        <f t="shared" ref="CF42:CF43" si="380">IFERROR(AI42/$C$1,0)</f>
        <v>0</v>
      </c>
      <c r="CG42" s="4794">
        <f t="shared" ref="CG42:CG43" si="381">IFERROR(AJ42/$C$1,0)</f>
        <v>0</v>
      </c>
      <c r="CH42" s="4794">
        <f t="shared" ref="CH42:CH43" si="382">IFERROR(AK42/$C$1,0)</f>
        <v>0</v>
      </c>
      <c r="CI42" s="4794">
        <f t="shared" ref="CI42:CI43" si="383">IFERROR(AL42/$C$1,0)</f>
        <v>0</v>
      </c>
      <c r="CJ42" s="4794">
        <f t="shared" ref="CJ42:CJ43" si="384">IFERROR(AM42/$C$1,0)</f>
        <v>0</v>
      </c>
      <c r="CK42" s="4794">
        <f t="shared" ref="CK42:CK43" si="385">IFERROR(AN42/$C$1,0)</f>
        <v>0</v>
      </c>
      <c r="CL42" s="4794">
        <f t="shared" ref="CL42:CL43" si="386">IFERROR(AO42/$C$1,0)</f>
        <v>0</v>
      </c>
      <c r="CM42" s="4794">
        <f t="shared" ref="CM42:CM43" si="387">IFERROR(AP42/$C$1,0)</f>
        <v>0</v>
      </c>
      <c r="CN42" s="4794">
        <f t="shared" ref="CN42:CN43" si="388">IFERROR(AQ42/$C$1,0)</f>
        <v>3.5790431683735293</v>
      </c>
      <c r="CO42" s="4794">
        <f t="shared" ref="CO42:CO43" si="389">IFERROR(AR42/$C$1,0)</f>
        <v>53.685647525602946</v>
      </c>
      <c r="CP42" s="4794">
        <f t="shared" ref="CP42:CP43" si="390">IFERROR(AS42/$C$1,0)</f>
        <v>173.32794772551807</v>
      </c>
      <c r="CQ42" s="4794">
        <f t="shared" ref="CQ42:CQ43" si="391">IFERROR(AT42/$C$1,0)</f>
        <v>241.84105980581134</v>
      </c>
      <c r="CR42" s="4794">
        <f t="shared" ref="CR42:CR43" si="392">IFERROR(AU42/$C$1,0)</f>
        <v>231.61522218188699</v>
      </c>
      <c r="CS42" s="4794">
        <f t="shared" ref="CS42:CS43" si="393">IFERROR(AV42/$C$1,0)</f>
        <v>221.38938455796261</v>
      </c>
      <c r="CT42" s="4794">
        <f t="shared" ref="CT42:CT43" si="394">IFERROR(AW42/$C$1,0)</f>
        <v>211.16354693403824</v>
      </c>
      <c r="CU42" s="4794">
        <f t="shared" ref="CU42:CU43" si="395">IFERROR(AX42/$C$1,0)</f>
        <v>201.44900119131009</v>
      </c>
    </row>
    <row r="43" spans="1:99" s="1" customFormat="1">
      <c r="A43" s="4106" t="s">
        <v>967</v>
      </c>
      <c r="B43" s="2603" t="s">
        <v>201</v>
      </c>
      <c r="C43" s="2610">
        <f>C37+C38-C39</f>
        <v>1253</v>
      </c>
      <c r="D43" s="2617">
        <f>D37+D38-D39</f>
        <v>1671</v>
      </c>
      <c r="E43" s="2611">
        <f t="shared" ref="E43:J43" si="396">E37+E38-E39</f>
        <v>2430</v>
      </c>
      <c r="F43" s="2611">
        <f t="shared" si="396"/>
        <v>2072</v>
      </c>
      <c r="G43" s="2611">
        <f t="shared" si="396"/>
        <v>1714</v>
      </c>
      <c r="H43" s="2611">
        <f t="shared" si="396"/>
        <v>1356</v>
      </c>
      <c r="I43" s="2611">
        <f t="shared" si="396"/>
        <v>998</v>
      </c>
      <c r="J43" s="2612">
        <f t="shared" si="396"/>
        <v>640</v>
      </c>
      <c r="K43" s="2610">
        <f>K37+K38-K39</f>
        <v>0</v>
      </c>
      <c r="L43" s="2617">
        <f>L37+L38-L39</f>
        <v>0</v>
      </c>
      <c r="M43" s="2611">
        <f t="shared" ref="M43:R43" si="397">M37+M38-M39</f>
        <v>0</v>
      </c>
      <c r="N43" s="2611">
        <f t="shared" si="397"/>
        <v>0</v>
      </c>
      <c r="O43" s="2611">
        <f t="shared" si="397"/>
        <v>0</v>
      </c>
      <c r="P43" s="2611">
        <f t="shared" si="397"/>
        <v>0</v>
      </c>
      <c r="Q43" s="2611">
        <f t="shared" si="397"/>
        <v>0</v>
      </c>
      <c r="R43" s="2612">
        <f t="shared" si="397"/>
        <v>0</v>
      </c>
      <c r="S43" s="2610">
        <f>S37+S38-S39</f>
        <v>0</v>
      </c>
      <c r="T43" s="2617">
        <f>T37+T38-T39</f>
        <v>0</v>
      </c>
      <c r="U43" s="2611">
        <f t="shared" ref="U43:Z43" si="398">U37+U38-U39</f>
        <v>0</v>
      </c>
      <c r="V43" s="2611">
        <f t="shared" si="398"/>
        <v>0</v>
      </c>
      <c r="W43" s="2611">
        <f t="shared" si="398"/>
        <v>0</v>
      </c>
      <c r="X43" s="2611">
        <f t="shared" si="398"/>
        <v>0</v>
      </c>
      <c r="Y43" s="2611">
        <f t="shared" si="398"/>
        <v>0</v>
      </c>
      <c r="Z43" s="2612">
        <f t="shared" si="398"/>
        <v>0</v>
      </c>
      <c r="AA43" s="2610">
        <f>AA37+AA38-AA39</f>
        <v>0</v>
      </c>
      <c r="AB43" s="2617">
        <f>AB37+AB38-AB39</f>
        <v>0</v>
      </c>
      <c r="AC43" s="2611">
        <f t="shared" ref="AC43:AH43" si="399">AC37+AC38-AC39</f>
        <v>0</v>
      </c>
      <c r="AD43" s="2611">
        <f t="shared" si="399"/>
        <v>0</v>
      </c>
      <c r="AE43" s="2611">
        <f t="shared" si="399"/>
        <v>0</v>
      </c>
      <c r="AF43" s="2611">
        <f t="shared" si="399"/>
        <v>0</v>
      </c>
      <c r="AG43" s="2611">
        <f t="shared" si="399"/>
        <v>0</v>
      </c>
      <c r="AH43" s="2612">
        <f t="shared" si="399"/>
        <v>0</v>
      </c>
      <c r="AI43" s="2610">
        <f>AI37+AI38-AI39</f>
        <v>0</v>
      </c>
      <c r="AJ43" s="2617">
        <f>AJ37+AJ38-AJ39</f>
        <v>0</v>
      </c>
      <c r="AK43" s="2611">
        <f t="shared" ref="AK43:AP43" si="400">AK37+AK38-AK39</f>
        <v>0</v>
      </c>
      <c r="AL43" s="2611">
        <f t="shared" si="400"/>
        <v>0</v>
      </c>
      <c r="AM43" s="2611">
        <f t="shared" si="400"/>
        <v>0</v>
      </c>
      <c r="AN43" s="2611">
        <f t="shared" si="400"/>
        <v>0</v>
      </c>
      <c r="AO43" s="2611">
        <f t="shared" si="400"/>
        <v>0</v>
      </c>
      <c r="AP43" s="2612">
        <f t="shared" si="400"/>
        <v>0</v>
      </c>
      <c r="AQ43" s="2610">
        <f>AQ37+AQ38-AQ39</f>
        <v>1253</v>
      </c>
      <c r="AR43" s="2617">
        <f>AR37+AR38-AR39</f>
        <v>1671</v>
      </c>
      <c r="AS43" s="2611">
        <f t="shared" ref="AS43:AX43" si="401">AS37+AS38-AS39</f>
        <v>2430</v>
      </c>
      <c r="AT43" s="2611">
        <f t="shared" si="401"/>
        <v>2072</v>
      </c>
      <c r="AU43" s="2611">
        <f t="shared" si="401"/>
        <v>1714</v>
      </c>
      <c r="AV43" s="2611">
        <f t="shared" si="401"/>
        <v>1356</v>
      </c>
      <c r="AW43" s="2611">
        <f t="shared" si="401"/>
        <v>998</v>
      </c>
      <c r="AX43" s="2612">
        <f t="shared" si="401"/>
        <v>640</v>
      </c>
      <c r="AY43" s="4775"/>
      <c r="AZ43" s="4794">
        <f t="shared" si="348"/>
        <v>640.64872713886177</v>
      </c>
      <c r="BA43" s="4794">
        <f t="shared" si="349"/>
        <v>854.36873347888115</v>
      </c>
      <c r="BB43" s="4794">
        <f t="shared" si="350"/>
        <v>1242.439271306811</v>
      </c>
      <c r="BC43" s="4794">
        <f t="shared" si="351"/>
        <v>1059.3967778385647</v>
      </c>
      <c r="BD43" s="4794">
        <f t="shared" si="352"/>
        <v>876.35428437031851</v>
      </c>
      <c r="BE43" s="4794">
        <f t="shared" si="353"/>
        <v>693.31179090207229</v>
      </c>
      <c r="BF43" s="4794">
        <f t="shared" si="354"/>
        <v>510.26929743382607</v>
      </c>
      <c r="BG43" s="4794">
        <f t="shared" si="355"/>
        <v>327.22680396557985</v>
      </c>
      <c r="BH43" s="4794">
        <f t="shared" si="356"/>
        <v>0</v>
      </c>
      <c r="BI43" s="4794">
        <f t="shared" si="357"/>
        <v>0</v>
      </c>
      <c r="BJ43" s="4794">
        <f t="shared" si="358"/>
        <v>0</v>
      </c>
      <c r="BK43" s="4794">
        <f t="shared" si="359"/>
        <v>0</v>
      </c>
      <c r="BL43" s="4794">
        <f t="shared" si="360"/>
        <v>0</v>
      </c>
      <c r="BM43" s="4794">
        <f t="shared" si="361"/>
        <v>0</v>
      </c>
      <c r="BN43" s="4794">
        <f t="shared" si="362"/>
        <v>0</v>
      </c>
      <c r="BO43" s="4794">
        <f t="shared" si="363"/>
        <v>0</v>
      </c>
      <c r="BP43" s="4794">
        <f t="shared" si="364"/>
        <v>0</v>
      </c>
      <c r="BQ43" s="4794">
        <f t="shared" si="365"/>
        <v>0</v>
      </c>
      <c r="BR43" s="4794">
        <f t="shared" si="366"/>
        <v>0</v>
      </c>
      <c r="BS43" s="4794">
        <f t="shared" si="367"/>
        <v>0</v>
      </c>
      <c r="BT43" s="4794">
        <f t="shared" si="368"/>
        <v>0</v>
      </c>
      <c r="BU43" s="4794">
        <f t="shared" si="369"/>
        <v>0</v>
      </c>
      <c r="BV43" s="4794">
        <f t="shared" si="370"/>
        <v>0</v>
      </c>
      <c r="BW43" s="4794">
        <f t="shared" si="371"/>
        <v>0</v>
      </c>
      <c r="BX43" s="4794">
        <f t="shared" si="372"/>
        <v>0</v>
      </c>
      <c r="BY43" s="4794">
        <f t="shared" si="373"/>
        <v>0</v>
      </c>
      <c r="BZ43" s="4794">
        <f t="shared" si="374"/>
        <v>0</v>
      </c>
      <c r="CA43" s="4794">
        <f t="shared" si="375"/>
        <v>0</v>
      </c>
      <c r="CB43" s="4794">
        <f t="shared" si="376"/>
        <v>0</v>
      </c>
      <c r="CC43" s="4794">
        <f t="shared" si="377"/>
        <v>0</v>
      </c>
      <c r="CD43" s="4794">
        <f t="shared" si="378"/>
        <v>0</v>
      </c>
      <c r="CE43" s="4794">
        <f t="shared" si="379"/>
        <v>0</v>
      </c>
      <c r="CF43" s="4794">
        <f t="shared" si="380"/>
        <v>0</v>
      </c>
      <c r="CG43" s="4794">
        <f t="shared" si="381"/>
        <v>0</v>
      </c>
      <c r="CH43" s="4794">
        <f t="shared" si="382"/>
        <v>0</v>
      </c>
      <c r="CI43" s="4794">
        <f t="shared" si="383"/>
        <v>0</v>
      </c>
      <c r="CJ43" s="4794">
        <f t="shared" si="384"/>
        <v>0</v>
      </c>
      <c r="CK43" s="4794">
        <f t="shared" si="385"/>
        <v>0</v>
      </c>
      <c r="CL43" s="4794">
        <f t="shared" si="386"/>
        <v>0</v>
      </c>
      <c r="CM43" s="4794">
        <f t="shared" si="387"/>
        <v>0</v>
      </c>
      <c r="CN43" s="4794">
        <f t="shared" si="388"/>
        <v>640.64872713886177</v>
      </c>
      <c r="CO43" s="4794">
        <f t="shared" si="389"/>
        <v>854.36873347888115</v>
      </c>
      <c r="CP43" s="4794">
        <f t="shared" si="390"/>
        <v>1242.439271306811</v>
      </c>
      <c r="CQ43" s="4794">
        <f t="shared" si="391"/>
        <v>1059.3967778385647</v>
      </c>
      <c r="CR43" s="4794">
        <f t="shared" si="392"/>
        <v>876.35428437031851</v>
      </c>
      <c r="CS43" s="4794">
        <f t="shared" si="393"/>
        <v>693.31179090207229</v>
      </c>
      <c r="CT43" s="4794">
        <f t="shared" si="394"/>
        <v>510.26929743382607</v>
      </c>
      <c r="CU43" s="4794">
        <f t="shared" si="395"/>
        <v>327.22680396557985</v>
      </c>
    </row>
    <row r="44" spans="1:99" s="1" customFormat="1">
      <c r="A44" s="4106" t="s">
        <v>1381</v>
      </c>
      <c r="B44" s="2603" t="s">
        <v>1382</v>
      </c>
      <c r="C44" s="1397"/>
      <c r="D44" s="4417"/>
      <c r="E44" s="1398"/>
      <c r="F44" s="1398"/>
      <c r="G44" s="1398"/>
      <c r="H44" s="1398"/>
      <c r="I44" s="1398"/>
      <c r="J44" s="1399"/>
      <c r="K44" s="1397"/>
      <c r="L44" s="4417"/>
      <c r="M44" s="1398"/>
      <c r="N44" s="1398"/>
      <c r="O44" s="1398"/>
      <c r="P44" s="1398"/>
      <c r="Q44" s="1398"/>
      <c r="R44" s="1399"/>
      <c r="S44" s="1397"/>
      <c r="T44" s="4417"/>
      <c r="U44" s="1398"/>
      <c r="V44" s="1398"/>
      <c r="W44" s="1398"/>
      <c r="X44" s="1398"/>
      <c r="Y44" s="1398"/>
      <c r="Z44" s="1399"/>
      <c r="AA44" s="1397"/>
      <c r="AB44" s="4417"/>
      <c r="AC44" s="1398"/>
      <c r="AD44" s="1398"/>
      <c r="AE44" s="1398"/>
      <c r="AF44" s="1398"/>
      <c r="AG44" s="1398"/>
      <c r="AH44" s="1399"/>
      <c r="AI44" s="1397"/>
      <c r="AJ44" s="4417"/>
      <c r="AK44" s="1398"/>
      <c r="AL44" s="1398"/>
      <c r="AM44" s="1398"/>
      <c r="AN44" s="1398"/>
      <c r="AO44" s="1398"/>
      <c r="AP44" s="1399"/>
      <c r="AQ44" s="2610"/>
      <c r="AR44" s="2617"/>
      <c r="AS44" s="2611"/>
      <c r="AT44" s="2611"/>
      <c r="AU44" s="2611"/>
      <c r="AV44" s="2611"/>
      <c r="AW44" s="2611"/>
      <c r="AX44" s="2612"/>
      <c r="AY44" s="4775"/>
    </row>
    <row r="45" spans="1:99" s="1" customFormat="1" ht="13.5" thickBot="1">
      <c r="A45" s="4108" t="s">
        <v>1383</v>
      </c>
      <c r="B45" s="2622" t="s">
        <v>1384</v>
      </c>
      <c r="C45" s="1400">
        <v>1</v>
      </c>
      <c r="D45" s="4420">
        <v>1</v>
      </c>
      <c r="E45" s="1401">
        <v>1</v>
      </c>
      <c r="F45" s="1401"/>
      <c r="G45" s="1401"/>
      <c r="H45" s="1401"/>
      <c r="I45" s="1401"/>
      <c r="J45" s="1402"/>
      <c r="K45" s="1400"/>
      <c r="L45" s="4420"/>
      <c r="M45" s="1401"/>
      <c r="N45" s="1401"/>
      <c r="O45" s="1401"/>
      <c r="P45" s="1401"/>
      <c r="Q45" s="1401"/>
      <c r="R45" s="1402"/>
      <c r="S45" s="1400"/>
      <c r="T45" s="4420"/>
      <c r="U45" s="1401"/>
      <c r="V45" s="1401"/>
      <c r="W45" s="1401"/>
      <c r="X45" s="1401"/>
      <c r="Y45" s="1401"/>
      <c r="Z45" s="1402"/>
      <c r="AA45" s="1400"/>
      <c r="AB45" s="4420"/>
      <c r="AC45" s="1401"/>
      <c r="AD45" s="1401"/>
      <c r="AE45" s="1401"/>
      <c r="AF45" s="1401"/>
      <c r="AG45" s="1401"/>
      <c r="AH45" s="1402"/>
      <c r="AI45" s="1400"/>
      <c r="AJ45" s="4420"/>
      <c r="AK45" s="1401"/>
      <c r="AL45" s="1401"/>
      <c r="AM45" s="1401"/>
      <c r="AN45" s="1401"/>
      <c r="AO45" s="1401"/>
      <c r="AP45" s="1402"/>
      <c r="AQ45" s="2623"/>
      <c r="AR45" s="4436"/>
      <c r="AS45" s="2624"/>
      <c r="AT45" s="2624"/>
      <c r="AU45" s="2624"/>
      <c r="AV45" s="2624"/>
      <c r="AW45" s="2624"/>
      <c r="AX45" s="2625"/>
      <c r="AY45" s="4775"/>
    </row>
    <row r="46" spans="1:99" s="1" customFormat="1" ht="12.75" hidden="1" customHeight="1" thickBot="1">
      <c r="A46" s="5348">
        <v>10</v>
      </c>
      <c r="B46" s="5353" t="s">
        <v>1638</v>
      </c>
      <c r="C46" s="5342" t="s">
        <v>210</v>
      </c>
      <c r="D46" s="5343"/>
      <c r="E46" s="5343"/>
      <c r="F46" s="5343"/>
      <c r="G46" s="5343"/>
      <c r="H46" s="5343"/>
      <c r="I46" s="5343"/>
      <c r="J46" s="5344"/>
      <c r="K46" s="5342" t="s">
        <v>174</v>
      </c>
      <c r="L46" s="5343"/>
      <c r="M46" s="5343"/>
      <c r="N46" s="5343"/>
      <c r="O46" s="5343"/>
      <c r="P46" s="5343"/>
      <c r="Q46" s="5343"/>
      <c r="R46" s="5344"/>
      <c r="S46" s="5345" t="s">
        <v>184</v>
      </c>
      <c r="T46" s="5346"/>
      <c r="U46" s="5346"/>
      <c r="V46" s="5346"/>
      <c r="W46" s="5346"/>
      <c r="X46" s="5346"/>
      <c r="Y46" s="5346"/>
      <c r="Z46" s="5347"/>
      <c r="AA46" s="5356" t="s">
        <v>1029</v>
      </c>
      <c r="AB46" s="5357"/>
      <c r="AC46" s="5357"/>
      <c r="AD46" s="5357"/>
      <c r="AE46" s="5357"/>
      <c r="AF46" s="5357"/>
      <c r="AG46" s="5357"/>
      <c r="AH46" s="5358"/>
      <c r="AI46" s="5356" t="s">
        <v>1092</v>
      </c>
      <c r="AJ46" s="5357"/>
      <c r="AK46" s="5357"/>
      <c r="AL46" s="5357"/>
      <c r="AM46" s="5357"/>
      <c r="AN46" s="5357"/>
      <c r="AO46" s="5357"/>
      <c r="AP46" s="5358"/>
      <c r="AQ46" s="5356" t="s">
        <v>1250</v>
      </c>
      <c r="AR46" s="5357"/>
      <c r="AS46" s="5357"/>
      <c r="AT46" s="5357"/>
      <c r="AU46" s="5357"/>
      <c r="AV46" s="5357"/>
      <c r="AW46" s="5357"/>
      <c r="AX46" s="5358"/>
      <c r="AY46" s="4775"/>
    </row>
    <row r="47" spans="1:99" s="1" customFormat="1" ht="13.5" hidden="1" thickBot="1">
      <c r="A47" s="5352"/>
      <c r="B47" s="5354"/>
      <c r="C47" s="4419" t="str">
        <f t="shared" ref="C47" si="402">C36</f>
        <v>2024 г.</v>
      </c>
      <c r="D47" s="2600" t="str">
        <f t="shared" ref="D47:AX47" si="403">D36</f>
        <v>2025 г.</v>
      </c>
      <c r="E47" s="2598" t="str">
        <f t="shared" si="403"/>
        <v>2026 г.</v>
      </c>
      <c r="F47" s="2598" t="str">
        <f t="shared" si="403"/>
        <v>2027 г.</v>
      </c>
      <c r="G47" s="2598" t="str">
        <f t="shared" si="403"/>
        <v>2028 г.</v>
      </c>
      <c r="H47" s="2598" t="str">
        <f t="shared" si="403"/>
        <v>2029 г.</v>
      </c>
      <c r="I47" s="2598" t="str">
        <f t="shared" si="403"/>
        <v>2030 г.</v>
      </c>
      <c r="J47" s="2599" t="str">
        <f t="shared" si="403"/>
        <v>2031 г.</v>
      </c>
      <c r="K47" s="2613" t="str">
        <f t="shared" ref="K47" si="404">K36</f>
        <v>2024 г.</v>
      </c>
      <c r="L47" s="2613" t="str">
        <f t="shared" si="403"/>
        <v>2025 г.</v>
      </c>
      <c r="M47" s="2614" t="str">
        <f t="shared" si="403"/>
        <v>2026 г.</v>
      </c>
      <c r="N47" s="2614" t="str">
        <f t="shared" si="403"/>
        <v>2027 г.</v>
      </c>
      <c r="O47" s="2614" t="str">
        <f t="shared" si="403"/>
        <v>2028 г.</v>
      </c>
      <c r="P47" s="2614" t="str">
        <f t="shared" si="403"/>
        <v>2029 г.</v>
      </c>
      <c r="Q47" s="2614" t="str">
        <f t="shared" si="403"/>
        <v>2030 г.</v>
      </c>
      <c r="R47" s="2615" t="str">
        <f t="shared" si="403"/>
        <v>2031 г.</v>
      </c>
      <c r="S47" s="2613" t="str">
        <f t="shared" ref="S47" si="405">S36</f>
        <v>2024 г.</v>
      </c>
      <c r="T47" s="2613" t="str">
        <f t="shared" si="403"/>
        <v>2025 г.</v>
      </c>
      <c r="U47" s="2614" t="str">
        <f t="shared" si="403"/>
        <v>2026 г.</v>
      </c>
      <c r="V47" s="2614" t="str">
        <f t="shared" si="403"/>
        <v>2027 г.</v>
      </c>
      <c r="W47" s="2614" t="str">
        <f t="shared" si="403"/>
        <v>2028 г.</v>
      </c>
      <c r="X47" s="2614" t="str">
        <f t="shared" si="403"/>
        <v>2029 г.</v>
      </c>
      <c r="Y47" s="2614" t="str">
        <f t="shared" si="403"/>
        <v>2030 г.</v>
      </c>
      <c r="Z47" s="2615" t="str">
        <f t="shared" si="403"/>
        <v>2031 г.</v>
      </c>
      <c r="AA47" s="4434" t="str">
        <f t="shared" ref="AA47" si="406">AA36</f>
        <v>2024 г.</v>
      </c>
      <c r="AB47" s="2613" t="str">
        <f t="shared" si="403"/>
        <v>2025 г.</v>
      </c>
      <c r="AC47" s="2614" t="str">
        <f t="shared" si="403"/>
        <v>2026 г.</v>
      </c>
      <c r="AD47" s="2614" t="str">
        <f t="shared" si="403"/>
        <v>2027 г.</v>
      </c>
      <c r="AE47" s="2614" t="str">
        <f t="shared" si="403"/>
        <v>2028 г.</v>
      </c>
      <c r="AF47" s="2614" t="str">
        <f t="shared" si="403"/>
        <v>2029 г.</v>
      </c>
      <c r="AG47" s="2614" t="str">
        <f t="shared" si="403"/>
        <v>2030 г.</v>
      </c>
      <c r="AH47" s="2615" t="str">
        <f t="shared" si="403"/>
        <v>2031 г.</v>
      </c>
      <c r="AI47" s="2613" t="str">
        <f t="shared" ref="AI47" si="407">AI36</f>
        <v>2024 г.</v>
      </c>
      <c r="AJ47" s="2613" t="str">
        <f t="shared" si="403"/>
        <v>2025 г.</v>
      </c>
      <c r="AK47" s="2614" t="str">
        <f t="shared" si="403"/>
        <v>2026 г.</v>
      </c>
      <c r="AL47" s="2614" t="str">
        <f t="shared" si="403"/>
        <v>2027 г.</v>
      </c>
      <c r="AM47" s="2614" t="str">
        <f t="shared" si="403"/>
        <v>2028 г.</v>
      </c>
      <c r="AN47" s="2614" t="str">
        <f t="shared" si="403"/>
        <v>2029 г.</v>
      </c>
      <c r="AO47" s="2614" t="str">
        <f t="shared" si="403"/>
        <v>2030 г.</v>
      </c>
      <c r="AP47" s="2615" t="str">
        <f t="shared" si="403"/>
        <v>2031 г.</v>
      </c>
      <c r="AQ47" s="2613" t="str">
        <f t="shared" ref="AQ47" si="408">AQ36</f>
        <v>2024 г.</v>
      </c>
      <c r="AR47" s="2613" t="str">
        <f t="shared" si="403"/>
        <v>2025 г.</v>
      </c>
      <c r="AS47" s="2614" t="str">
        <f t="shared" si="403"/>
        <v>2026 г.</v>
      </c>
      <c r="AT47" s="2614" t="str">
        <f t="shared" si="403"/>
        <v>2027 г.</v>
      </c>
      <c r="AU47" s="2614" t="str">
        <f t="shared" si="403"/>
        <v>2028 г.</v>
      </c>
      <c r="AV47" s="2614" t="str">
        <f t="shared" si="403"/>
        <v>2029 г.</v>
      </c>
      <c r="AW47" s="2614" t="str">
        <f t="shared" si="403"/>
        <v>2030 г.</v>
      </c>
      <c r="AX47" s="2615" t="str">
        <f t="shared" si="403"/>
        <v>2031 г.</v>
      </c>
      <c r="AY47" s="4775"/>
    </row>
    <row r="48" spans="1:99" s="1" customFormat="1" hidden="1">
      <c r="A48" s="4107" t="s">
        <v>968</v>
      </c>
      <c r="B48" s="4111" t="s">
        <v>195</v>
      </c>
      <c r="C48" s="107"/>
      <c r="D48" s="672">
        <f t="shared" ref="D48:J48" si="409">C54</f>
        <v>0</v>
      </c>
      <c r="E48" s="672">
        <f t="shared" si="409"/>
        <v>0</v>
      </c>
      <c r="F48" s="670">
        <f t="shared" si="409"/>
        <v>0</v>
      </c>
      <c r="G48" s="670">
        <f t="shared" si="409"/>
        <v>0</v>
      </c>
      <c r="H48" s="670">
        <f t="shared" si="409"/>
        <v>0</v>
      </c>
      <c r="I48" s="670">
        <f t="shared" si="409"/>
        <v>0</v>
      </c>
      <c r="J48" s="671">
        <f t="shared" si="409"/>
        <v>0</v>
      </c>
      <c r="K48" s="107"/>
      <c r="L48" s="672">
        <f t="shared" ref="L48:R48" si="410">K54</f>
        <v>0</v>
      </c>
      <c r="M48" s="672">
        <f t="shared" si="410"/>
        <v>0</v>
      </c>
      <c r="N48" s="670">
        <f t="shared" si="410"/>
        <v>0</v>
      </c>
      <c r="O48" s="670">
        <f t="shared" si="410"/>
        <v>0</v>
      </c>
      <c r="P48" s="670">
        <f t="shared" si="410"/>
        <v>0</v>
      </c>
      <c r="Q48" s="670">
        <f t="shared" si="410"/>
        <v>0</v>
      </c>
      <c r="R48" s="671">
        <f t="shared" si="410"/>
        <v>0</v>
      </c>
      <c r="S48" s="107"/>
      <c r="T48" s="672">
        <f t="shared" ref="T48:Z48" si="411">S54</f>
        <v>0</v>
      </c>
      <c r="U48" s="672">
        <f t="shared" si="411"/>
        <v>0</v>
      </c>
      <c r="V48" s="670">
        <f t="shared" si="411"/>
        <v>0</v>
      </c>
      <c r="W48" s="670">
        <f t="shared" si="411"/>
        <v>0</v>
      </c>
      <c r="X48" s="670">
        <f t="shared" si="411"/>
        <v>0</v>
      </c>
      <c r="Y48" s="670">
        <f t="shared" si="411"/>
        <v>0</v>
      </c>
      <c r="Z48" s="671">
        <f t="shared" si="411"/>
        <v>0</v>
      </c>
      <c r="AA48" s="107"/>
      <c r="AB48" s="3793"/>
      <c r="AC48" s="672">
        <f t="shared" ref="AC48:AH48" si="412">AB54</f>
        <v>0</v>
      </c>
      <c r="AD48" s="670">
        <f t="shared" si="412"/>
        <v>0</v>
      </c>
      <c r="AE48" s="670">
        <f t="shared" si="412"/>
        <v>0</v>
      </c>
      <c r="AF48" s="670">
        <f t="shared" si="412"/>
        <v>0</v>
      </c>
      <c r="AG48" s="670">
        <f t="shared" si="412"/>
        <v>0</v>
      </c>
      <c r="AH48" s="671">
        <f t="shared" si="412"/>
        <v>0</v>
      </c>
      <c r="AI48" s="107"/>
      <c r="AJ48" s="3793"/>
      <c r="AK48" s="672">
        <f t="shared" ref="AK48:AP48" si="413">AJ54</f>
        <v>0</v>
      </c>
      <c r="AL48" s="670">
        <f t="shared" si="413"/>
        <v>0</v>
      </c>
      <c r="AM48" s="670">
        <f t="shared" si="413"/>
        <v>0</v>
      </c>
      <c r="AN48" s="670">
        <f t="shared" si="413"/>
        <v>0</v>
      </c>
      <c r="AO48" s="670">
        <f t="shared" si="413"/>
        <v>0</v>
      </c>
      <c r="AP48" s="671">
        <f t="shared" si="413"/>
        <v>0</v>
      </c>
      <c r="AQ48" s="2602">
        <f t="shared" ref="AQ48:AR51" si="414">C48+K48+S48+AA48+AI48</f>
        <v>0</v>
      </c>
      <c r="AR48" s="4412">
        <f t="shared" si="414"/>
        <v>0</v>
      </c>
      <c r="AS48" s="1403">
        <f t="shared" ref="AS48:AX48" si="415">AR54</f>
        <v>0</v>
      </c>
      <c r="AT48" s="1404">
        <f t="shared" si="415"/>
        <v>0</v>
      </c>
      <c r="AU48" s="1404">
        <f t="shared" si="415"/>
        <v>0</v>
      </c>
      <c r="AV48" s="1404">
        <f t="shared" si="415"/>
        <v>0</v>
      </c>
      <c r="AW48" s="1404">
        <f t="shared" si="415"/>
        <v>0</v>
      </c>
      <c r="AX48" s="1405">
        <f t="shared" si="415"/>
        <v>0</v>
      </c>
      <c r="AY48" s="4775"/>
    </row>
    <row r="49" spans="1:99" s="1" customFormat="1" hidden="1">
      <c r="A49" s="4106" t="s">
        <v>969</v>
      </c>
      <c r="B49" s="4112" t="s">
        <v>196</v>
      </c>
      <c r="C49" s="403"/>
      <c r="D49" s="418"/>
      <c r="E49" s="416"/>
      <c r="F49" s="416"/>
      <c r="G49" s="416"/>
      <c r="H49" s="416"/>
      <c r="I49" s="416"/>
      <c r="J49" s="417"/>
      <c r="K49" s="403"/>
      <c r="L49" s="418"/>
      <c r="M49" s="416"/>
      <c r="N49" s="416"/>
      <c r="O49" s="416"/>
      <c r="P49" s="416"/>
      <c r="Q49" s="416"/>
      <c r="R49" s="417"/>
      <c r="S49" s="403"/>
      <c r="T49" s="418"/>
      <c r="U49" s="416"/>
      <c r="V49" s="416"/>
      <c r="W49" s="416"/>
      <c r="X49" s="416"/>
      <c r="Y49" s="416"/>
      <c r="Z49" s="417"/>
      <c r="AA49" s="403"/>
      <c r="AB49" s="418"/>
      <c r="AC49" s="416"/>
      <c r="AD49" s="416"/>
      <c r="AE49" s="416"/>
      <c r="AF49" s="416"/>
      <c r="AG49" s="416"/>
      <c r="AH49" s="417"/>
      <c r="AI49" s="403"/>
      <c r="AJ49" s="418"/>
      <c r="AK49" s="416"/>
      <c r="AL49" s="416"/>
      <c r="AM49" s="416"/>
      <c r="AN49" s="416"/>
      <c r="AO49" s="416"/>
      <c r="AP49" s="417"/>
      <c r="AQ49" s="2602">
        <f t="shared" si="414"/>
        <v>0</v>
      </c>
      <c r="AR49" s="4412">
        <f t="shared" si="414"/>
        <v>0</v>
      </c>
      <c r="AS49" s="2604">
        <f t="shared" ref="AS49:AX51" si="416">E49+M49+U49+AC49+AK49</f>
        <v>0</v>
      </c>
      <c r="AT49" s="2604">
        <f t="shared" si="416"/>
        <v>0</v>
      </c>
      <c r="AU49" s="2604">
        <f t="shared" si="416"/>
        <v>0</v>
      </c>
      <c r="AV49" s="2604">
        <f t="shared" si="416"/>
        <v>0</v>
      </c>
      <c r="AW49" s="2604">
        <f t="shared" si="416"/>
        <v>0</v>
      </c>
      <c r="AX49" s="2605">
        <f t="shared" si="416"/>
        <v>0</v>
      </c>
      <c r="AY49" s="4775"/>
    </row>
    <row r="50" spans="1:99" s="1" customFormat="1" hidden="1">
      <c r="A50" s="4106" t="s">
        <v>970</v>
      </c>
      <c r="B50" s="4112" t="s">
        <v>197</v>
      </c>
      <c r="C50" s="403"/>
      <c r="D50" s="418"/>
      <c r="E50" s="416"/>
      <c r="F50" s="416"/>
      <c r="G50" s="416"/>
      <c r="H50" s="416"/>
      <c r="I50" s="416"/>
      <c r="J50" s="417"/>
      <c r="K50" s="403"/>
      <c r="L50" s="418"/>
      <c r="M50" s="416"/>
      <c r="N50" s="416"/>
      <c r="O50" s="416"/>
      <c r="P50" s="416"/>
      <c r="Q50" s="416"/>
      <c r="R50" s="417"/>
      <c r="S50" s="403"/>
      <c r="T50" s="418"/>
      <c r="U50" s="416"/>
      <c r="V50" s="416"/>
      <c r="W50" s="416"/>
      <c r="X50" s="416"/>
      <c r="Y50" s="416"/>
      <c r="Z50" s="417"/>
      <c r="AA50" s="403"/>
      <c r="AB50" s="418"/>
      <c r="AC50" s="416"/>
      <c r="AD50" s="416"/>
      <c r="AE50" s="416"/>
      <c r="AF50" s="416"/>
      <c r="AG50" s="416"/>
      <c r="AH50" s="417"/>
      <c r="AI50" s="403"/>
      <c r="AJ50" s="418"/>
      <c r="AK50" s="416"/>
      <c r="AL50" s="416"/>
      <c r="AM50" s="416"/>
      <c r="AN50" s="416"/>
      <c r="AO50" s="416"/>
      <c r="AP50" s="417"/>
      <c r="AQ50" s="2602">
        <f t="shared" si="414"/>
        <v>0</v>
      </c>
      <c r="AR50" s="4412">
        <f t="shared" si="414"/>
        <v>0</v>
      </c>
      <c r="AS50" s="2604">
        <f t="shared" si="416"/>
        <v>0</v>
      </c>
      <c r="AT50" s="2604">
        <f t="shared" si="416"/>
        <v>0</v>
      </c>
      <c r="AU50" s="2604">
        <f t="shared" si="416"/>
        <v>0</v>
      </c>
      <c r="AV50" s="2604">
        <f t="shared" si="416"/>
        <v>0</v>
      </c>
      <c r="AW50" s="2604">
        <f t="shared" si="416"/>
        <v>0</v>
      </c>
      <c r="AX50" s="2605">
        <f t="shared" si="416"/>
        <v>0</v>
      </c>
      <c r="AY50" s="4775"/>
    </row>
    <row r="51" spans="1:99" s="1" customFormat="1" hidden="1">
      <c r="A51" s="4106" t="s">
        <v>971</v>
      </c>
      <c r="B51" s="4112" t="s">
        <v>198</v>
      </c>
      <c r="C51" s="403"/>
      <c r="D51" s="418"/>
      <c r="E51" s="416"/>
      <c r="F51" s="416"/>
      <c r="G51" s="416"/>
      <c r="H51" s="416"/>
      <c r="I51" s="416"/>
      <c r="J51" s="417"/>
      <c r="K51" s="403"/>
      <c r="L51" s="418"/>
      <c r="M51" s="416"/>
      <c r="N51" s="416"/>
      <c r="O51" s="416"/>
      <c r="P51" s="416"/>
      <c r="Q51" s="416"/>
      <c r="R51" s="417"/>
      <c r="S51" s="403"/>
      <c r="T51" s="418"/>
      <c r="U51" s="416"/>
      <c r="V51" s="416"/>
      <c r="W51" s="416"/>
      <c r="X51" s="416"/>
      <c r="Y51" s="416"/>
      <c r="Z51" s="417"/>
      <c r="AA51" s="403"/>
      <c r="AB51" s="418"/>
      <c r="AC51" s="416"/>
      <c r="AD51" s="416"/>
      <c r="AE51" s="416"/>
      <c r="AF51" s="416"/>
      <c r="AG51" s="416"/>
      <c r="AH51" s="417"/>
      <c r="AI51" s="403"/>
      <c r="AJ51" s="418"/>
      <c r="AK51" s="416"/>
      <c r="AL51" s="416"/>
      <c r="AM51" s="416"/>
      <c r="AN51" s="416"/>
      <c r="AO51" s="416"/>
      <c r="AP51" s="417"/>
      <c r="AQ51" s="2602">
        <f t="shared" si="414"/>
        <v>0</v>
      </c>
      <c r="AR51" s="4412">
        <f t="shared" si="414"/>
        <v>0</v>
      </c>
      <c r="AS51" s="2604">
        <f t="shared" si="416"/>
        <v>0</v>
      </c>
      <c r="AT51" s="2604">
        <f t="shared" si="416"/>
        <v>0</v>
      </c>
      <c r="AU51" s="2604">
        <f t="shared" si="416"/>
        <v>0</v>
      </c>
      <c r="AV51" s="2604">
        <f t="shared" si="416"/>
        <v>0</v>
      </c>
      <c r="AW51" s="2604">
        <f t="shared" si="416"/>
        <v>0</v>
      </c>
      <c r="AX51" s="2605">
        <f t="shared" si="416"/>
        <v>0</v>
      </c>
      <c r="AY51" s="4775"/>
    </row>
    <row r="52" spans="1:99" s="1" customFormat="1" hidden="1">
      <c r="A52" s="4106" t="s">
        <v>972</v>
      </c>
      <c r="B52" s="4112" t="s">
        <v>199</v>
      </c>
      <c r="C52" s="2607">
        <f>IF(C48=0,0,C51/((C48+C54)/2))</f>
        <v>0</v>
      </c>
      <c r="D52" s="2616">
        <f>IF(D48=0,0,D51/((D48+D54)/2))</f>
        <v>0</v>
      </c>
      <c r="E52" s="2608">
        <f>IF(E48=0,0,E51/((E48+E54)/2))</f>
        <v>0</v>
      </c>
      <c r="F52" s="2608">
        <f t="shared" ref="F52:J52" si="417">IF(F48=0,0,F51/((F48+F54)/2))</f>
        <v>0</v>
      </c>
      <c r="G52" s="2608">
        <f t="shared" si="417"/>
        <v>0</v>
      </c>
      <c r="H52" s="2608">
        <f t="shared" si="417"/>
        <v>0</v>
      </c>
      <c r="I52" s="2608">
        <f t="shared" si="417"/>
        <v>0</v>
      </c>
      <c r="J52" s="2609">
        <f t="shared" si="417"/>
        <v>0</v>
      </c>
      <c r="K52" s="2616">
        <f>IF(K48=0,0,K51/((K48+K54)/2))</f>
        <v>0</v>
      </c>
      <c r="L52" s="2616">
        <f>IF(L48=0,0,L51/((L48+L54)/2))</f>
        <v>0</v>
      </c>
      <c r="M52" s="2608">
        <f>IF(M48=0,0,M51/((M48+M54)/2))</f>
        <v>0</v>
      </c>
      <c r="N52" s="2608">
        <f t="shared" ref="N52:R52" si="418">IF(N48=0,0,N51/((N48+N54)/2))</f>
        <v>0</v>
      </c>
      <c r="O52" s="2608">
        <f t="shared" si="418"/>
        <v>0</v>
      </c>
      <c r="P52" s="2608">
        <f t="shared" si="418"/>
        <v>0</v>
      </c>
      <c r="Q52" s="2608">
        <f t="shared" si="418"/>
        <v>0</v>
      </c>
      <c r="R52" s="2609">
        <f t="shared" si="418"/>
        <v>0</v>
      </c>
      <c r="S52" s="2616">
        <f>IF(S48=0,0,S51/((S48+S54)/2))</f>
        <v>0</v>
      </c>
      <c r="T52" s="2616">
        <f>IF(T48=0,0,T51/((T48+T54)/2))</f>
        <v>0</v>
      </c>
      <c r="U52" s="2608">
        <f>IF(U48=0,0,U51/((U48+U54)/2))</f>
        <v>0</v>
      </c>
      <c r="V52" s="2608">
        <f t="shared" ref="V52:Z52" si="419">IF(V48=0,0,V51/((V48+V54)/2))</f>
        <v>0</v>
      </c>
      <c r="W52" s="2608">
        <f t="shared" si="419"/>
        <v>0</v>
      </c>
      <c r="X52" s="2608">
        <f t="shared" si="419"/>
        <v>0</v>
      </c>
      <c r="Y52" s="2608">
        <f t="shared" si="419"/>
        <v>0</v>
      </c>
      <c r="Z52" s="2609">
        <f t="shared" si="419"/>
        <v>0</v>
      </c>
      <c r="AA52" s="2607">
        <f>IF(AA48=0,0,AA51/((AA48+AA54)/2))</f>
        <v>0</v>
      </c>
      <c r="AB52" s="2616">
        <f>IF(AB48=0,0,AB51/((AB48+AB54)/2))</f>
        <v>0</v>
      </c>
      <c r="AC52" s="2608">
        <f>IF(AC48=0,0,AC51/((AC48+AC54)/2))</f>
        <v>0</v>
      </c>
      <c r="AD52" s="2608">
        <f t="shared" ref="AD52:AH52" si="420">IF(AD48=0,0,AD51/((AD48+AD54)/2))</f>
        <v>0</v>
      </c>
      <c r="AE52" s="2608">
        <f t="shared" si="420"/>
        <v>0</v>
      </c>
      <c r="AF52" s="2608">
        <f t="shared" si="420"/>
        <v>0</v>
      </c>
      <c r="AG52" s="2608">
        <f t="shared" si="420"/>
        <v>0</v>
      </c>
      <c r="AH52" s="2609">
        <f t="shared" si="420"/>
        <v>0</v>
      </c>
      <c r="AI52" s="2616">
        <f>IF(AI48=0,0,AI51/((AI48+AI54)/2))</f>
        <v>0</v>
      </c>
      <c r="AJ52" s="2616">
        <f>IF(AJ48=0,0,AJ51/((AJ48+AJ54)/2))</f>
        <v>0</v>
      </c>
      <c r="AK52" s="2608">
        <f>IF(AK48=0,0,AK51/((AK48+AK54)/2))</f>
        <v>0</v>
      </c>
      <c r="AL52" s="2608">
        <f t="shared" ref="AL52:AP52" si="421">IF(AL48=0,0,AL51/((AL48+AL54)/2))</f>
        <v>0</v>
      </c>
      <c r="AM52" s="2608">
        <f t="shared" si="421"/>
        <v>0</v>
      </c>
      <c r="AN52" s="2608">
        <f t="shared" si="421"/>
        <v>0</v>
      </c>
      <c r="AO52" s="2608">
        <f t="shared" si="421"/>
        <v>0</v>
      </c>
      <c r="AP52" s="2609">
        <f t="shared" si="421"/>
        <v>0</v>
      </c>
      <c r="AQ52" s="2616">
        <f>IF(AQ48=0,0,AQ51/((AQ48+AQ54)/2))</f>
        <v>0</v>
      </c>
      <c r="AR52" s="2616">
        <f>IF(AR48=0,0,AR51/((AR48+AR54)/2))</f>
        <v>0</v>
      </c>
      <c r="AS52" s="2608">
        <f>IF(AS48=0,0,AS51/((AS48+AS54)/2))</f>
        <v>0</v>
      </c>
      <c r="AT52" s="2608">
        <f t="shared" ref="AT52:AX52" si="422">IF(AT48=0,0,AT51/((AT48+AT54)/2))</f>
        <v>0</v>
      </c>
      <c r="AU52" s="2608">
        <f t="shared" si="422"/>
        <v>0</v>
      </c>
      <c r="AV52" s="2608">
        <f t="shared" si="422"/>
        <v>0</v>
      </c>
      <c r="AW52" s="2608">
        <f t="shared" si="422"/>
        <v>0</v>
      </c>
      <c r="AX52" s="2609">
        <f t="shared" si="422"/>
        <v>0</v>
      </c>
      <c r="AY52" s="4775"/>
    </row>
    <row r="53" spans="1:99" s="1" customFormat="1" hidden="1">
      <c r="A53" s="4106" t="s">
        <v>973</v>
      </c>
      <c r="B53" s="4112" t="s">
        <v>200</v>
      </c>
      <c r="C53" s="2610">
        <f>C50+C51</f>
        <v>0</v>
      </c>
      <c r="D53" s="2617">
        <f>D50+D51</f>
        <v>0</v>
      </c>
      <c r="E53" s="2611">
        <f t="shared" ref="E53:J53" si="423">E50+E51</f>
        <v>0</v>
      </c>
      <c r="F53" s="2611">
        <f t="shared" si="423"/>
        <v>0</v>
      </c>
      <c r="G53" s="2611">
        <f t="shared" si="423"/>
        <v>0</v>
      </c>
      <c r="H53" s="2611">
        <f t="shared" si="423"/>
        <v>0</v>
      </c>
      <c r="I53" s="2611">
        <f t="shared" si="423"/>
        <v>0</v>
      </c>
      <c r="J53" s="2612">
        <f t="shared" si="423"/>
        <v>0</v>
      </c>
      <c r="K53" s="2617">
        <f>K50+K51</f>
        <v>0</v>
      </c>
      <c r="L53" s="2617">
        <f>L50+L51</f>
        <v>0</v>
      </c>
      <c r="M53" s="2611">
        <f t="shared" ref="M53:R53" si="424">M50+M51</f>
        <v>0</v>
      </c>
      <c r="N53" s="2611">
        <f t="shared" si="424"/>
        <v>0</v>
      </c>
      <c r="O53" s="2611">
        <f t="shared" si="424"/>
        <v>0</v>
      </c>
      <c r="P53" s="2611">
        <f t="shared" si="424"/>
        <v>0</v>
      </c>
      <c r="Q53" s="2611">
        <f t="shared" si="424"/>
        <v>0</v>
      </c>
      <c r="R53" s="2612">
        <f t="shared" si="424"/>
        <v>0</v>
      </c>
      <c r="S53" s="2617">
        <f>S50+S51</f>
        <v>0</v>
      </c>
      <c r="T53" s="2617">
        <f>T50+T51</f>
        <v>0</v>
      </c>
      <c r="U53" s="2611">
        <f t="shared" ref="U53:Z53" si="425">U50+U51</f>
        <v>0</v>
      </c>
      <c r="V53" s="2611">
        <f t="shared" si="425"/>
        <v>0</v>
      </c>
      <c r="W53" s="2611">
        <f t="shared" si="425"/>
        <v>0</v>
      </c>
      <c r="X53" s="2611">
        <f t="shared" si="425"/>
        <v>0</v>
      </c>
      <c r="Y53" s="2611">
        <f t="shared" si="425"/>
        <v>0</v>
      </c>
      <c r="Z53" s="2612">
        <f t="shared" si="425"/>
        <v>0</v>
      </c>
      <c r="AA53" s="2610">
        <f>AA50+AA51</f>
        <v>0</v>
      </c>
      <c r="AB53" s="2617">
        <f>AB50+AB51</f>
        <v>0</v>
      </c>
      <c r="AC53" s="2611">
        <f t="shared" ref="AC53:AH53" si="426">AC50+AC51</f>
        <v>0</v>
      </c>
      <c r="AD53" s="2611">
        <f t="shared" si="426"/>
        <v>0</v>
      </c>
      <c r="AE53" s="2611">
        <f t="shared" si="426"/>
        <v>0</v>
      </c>
      <c r="AF53" s="2611">
        <f t="shared" si="426"/>
        <v>0</v>
      </c>
      <c r="AG53" s="2611">
        <f t="shared" si="426"/>
        <v>0</v>
      </c>
      <c r="AH53" s="2612">
        <f t="shared" si="426"/>
        <v>0</v>
      </c>
      <c r="AI53" s="2617">
        <f>AI50+AI51</f>
        <v>0</v>
      </c>
      <c r="AJ53" s="2617">
        <f>AJ50+AJ51</f>
        <v>0</v>
      </c>
      <c r="AK53" s="2611">
        <f t="shared" ref="AK53:AP53" si="427">AK50+AK51</f>
        <v>0</v>
      </c>
      <c r="AL53" s="2611">
        <f t="shared" si="427"/>
        <v>0</v>
      </c>
      <c r="AM53" s="2611">
        <f t="shared" si="427"/>
        <v>0</v>
      </c>
      <c r="AN53" s="2611">
        <f t="shared" si="427"/>
        <v>0</v>
      </c>
      <c r="AO53" s="2611">
        <f t="shared" si="427"/>
        <v>0</v>
      </c>
      <c r="AP53" s="2612">
        <f t="shared" si="427"/>
        <v>0</v>
      </c>
      <c r="AQ53" s="2617">
        <f>AQ50+AQ51</f>
        <v>0</v>
      </c>
      <c r="AR53" s="2617">
        <f>AR50+AR51</f>
        <v>0</v>
      </c>
      <c r="AS53" s="2611">
        <f t="shared" ref="AS53:AX53" si="428">AS50+AS51</f>
        <v>0</v>
      </c>
      <c r="AT53" s="2611">
        <f t="shared" si="428"/>
        <v>0</v>
      </c>
      <c r="AU53" s="2611">
        <f t="shared" si="428"/>
        <v>0</v>
      </c>
      <c r="AV53" s="2611">
        <f t="shared" si="428"/>
        <v>0</v>
      </c>
      <c r="AW53" s="2611">
        <f t="shared" si="428"/>
        <v>0</v>
      </c>
      <c r="AX53" s="2612">
        <f t="shared" si="428"/>
        <v>0</v>
      </c>
      <c r="AY53" s="4775"/>
    </row>
    <row r="54" spans="1:99" s="1" customFormat="1" hidden="1">
      <c r="A54" s="4110" t="s">
        <v>974</v>
      </c>
      <c r="B54" s="4113" t="s">
        <v>201</v>
      </c>
      <c r="C54" s="2618">
        <f>C48+C49-C50</f>
        <v>0</v>
      </c>
      <c r="D54" s="2621">
        <f>D48+D49-D50</f>
        <v>0</v>
      </c>
      <c r="E54" s="2619">
        <f t="shared" ref="E54:J54" si="429">E48+E49-E50</f>
        <v>0</v>
      </c>
      <c r="F54" s="2619">
        <f t="shared" si="429"/>
        <v>0</v>
      </c>
      <c r="G54" s="2619">
        <f t="shared" si="429"/>
        <v>0</v>
      </c>
      <c r="H54" s="2619">
        <f t="shared" si="429"/>
        <v>0</v>
      </c>
      <c r="I54" s="2619">
        <f t="shared" si="429"/>
        <v>0</v>
      </c>
      <c r="J54" s="2620">
        <f t="shared" si="429"/>
        <v>0</v>
      </c>
      <c r="K54" s="2621">
        <f>K48+K49-K50</f>
        <v>0</v>
      </c>
      <c r="L54" s="2621">
        <f>L48+L49-L50</f>
        <v>0</v>
      </c>
      <c r="M54" s="2619">
        <f t="shared" ref="M54:R54" si="430">M48+M49-M50</f>
        <v>0</v>
      </c>
      <c r="N54" s="2619">
        <f t="shared" si="430"/>
        <v>0</v>
      </c>
      <c r="O54" s="2619">
        <f t="shared" si="430"/>
        <v>0</v>
      </c>
      <c r="P54" s="2619">
        <f t="shared" si="430"/>
        <v>0</v>
      </c>
      <c r="Q54" s="2619">
        <f t="shared" si="430"/>
        <v>0</v>
      </c>
      <c r="R54" s="2620">
        <f t="shared" si="430"/>
        <v>0</v>
      </c>
      <c r="S54" s="2621">
        <f>S48+S49-S50</f>
        <v>0</v>
      </c>
      <c r="T54" s="2621">
        <f>T48+T49-T50</f>
        <v>0</v>
      </c>
      <c r="U54" s="2619">
        <f t="shared" ref="U54:Z54" si="431">U48+U49-U50</f>
        <v>0</v>
      </c>
      <c r="V54" s="2619">
        <f t="shared" si="431"/>
        <v>0</v>
      </c>
      <c r="W54" s="2619">
        <f t="shared" si="431"/>
        <v>0</v>
      </c>
      <c r="X54" s="2619">
        <f t="shared" si="431"/>
        <v>0</v>
      </c>
      <c r="Y54" s="2619">
        <f t="shared" si="431"/>
        <v>0</v>
      </c>
      <c r="Z54" s="2620">
        <f t="shared" si="431"/>
        <v>0</v>
      </c>
      <c r="AA54" s="2618">
        <f>AA48+AA49-AA50</f>
        <v>0</v>
      </c>
      <c r="AB54" s="2621">
        <f>AB48+AB49-AB50</f>
        <v>0</v>
      </c>
      <c r="AC54" s="2619">
        <f t="shared" ref="AC54:AH54" si="432">AC48+AC49-AC50</f>
        <v>0</v>
      </c>
      <c r="AD54" s="2619">
        <f t="shared" si="432"/>
        <v>0</v>
      </c>
      <c r="AE54" s="2619">
        <f t="shared" si="432"/>
        <v>0</v>
      </c>
      <c r="AF54" s="2619">
        <f t="shared" si="432"/>
        <v>0</v>
      </c>
      <c r="AG54" s="2619">
        <f t="shared" si="432"/>
        <v>0</v>
      </c>
      <c r="AH54" s="2620">
        <f t="shared" si="432"/>
        <v>0</v>
      </c>
      <c r="AI54" s="2621">
        <f>AI48+AI49-AI50</f>
        <v>0</v>
      </c>
      <c r="AJ54" s="2621">
        <f>AJ48+AJ49-AJ50</f>
        <v>0</v>
      </c>
      <c r="AK54" s="2619">
        <f t="shared" ref="AK54:AP54" si="433">AK48+AK49-AK50</f>
        <v>0</v>
      </c>
      <c r="AL54" s="2619">
        <f t="shared" si="433"/>
        <v>0</v>
      </c>
      <c r="AM54" s="2619">
        <f t="shared" si="433"/>
        <v>0</v>
      </c>
      <c r="AN54" s="2619">
        <f t="shared" si="433"/>
        <v>0</v>
      </c>
      <c r="AO54" s="2619">
        <f t="shared" si="433"/>
        <v>0</v>
      </c>
      <c r="AP54" s="2620">
        <f t="shared" si="433"/>
        <v>0</v>
      </c>
      <c r="AQ54" s="2621">
        <f>AQ48+AQ49-AQ50</f>
        <v>0</v>
      </c>
      <c r="AR54" s="2621">
        <f>AR48+AR49-AR50</f>
        <v>0</v>
      </c>
      <c r="AS54" s="2619">
        <f t="shared" ref="AS54:AX54" si="434">AS48+AS49-AS50</f>
        <v>0</v>
      </c>
      <c r="AT54" s="2619">
        <f t="shared" si="434"/>
        <v>0</v>
      </c>
      <c r="AU54" s="2619">
        <f t="shared" si="434"/>
        <v>0</v>
      </c>
      <c r="AV54" s="2619">
        <f t="shared" si="434"/>
        <v>0</v>
      </c>
      <c r="AW54" s="2619">
        <f t="shared" si="434"/>
        <v>0</v>
      </c>
      <c r="AX54" s="2620">
        <f t="shared" si="434"/>
        <v>0</v>
      </c>
      <c r="AY54" s="4775"/>
    </row>
    <row r="55" spans="1:99" s="1" customFormat="1" hidden="1">
      <c r="A55" s="4106" t="s">
        <v>1385</v>
      </c>
      <c r="B55" s="2603" t="s">
        <v>1382</v>
      </c>
      <c r="C55" s="1397"/>
      <c r="D55" s="4417"/>
      <c r="E55" s="1398"/>
      <c r="F55" s="1398"/>
      <c r="G55" s="1398"/>
      <c r="H55" s="1398"/>
      <c r="I55" s="1398"/>
      <c r="J55" s="1399"/>
      <c r="K55" s="1397"/>
      <c r="L55" s="4417"/>
      <c r="M55" s="1398"/>
      <c r="N55" s="1398"/>
      <c r="O55" s="1398"/>
      <c r="P55" s="1398"/>
      <c r="Q55" s="1398"/>
      <c r="R55" s="1399"/>
      <c r="S55" s="1397"/>
      <c r="T55" s="4417"/>
      <c r="U55" s="1398"/>
      <c r="V55" s="1398"/>
      <c r="W55" s="1398"/>
      <c r="X55" s="1398"/>
      <c r="Y55" s="1398"/>
      <c r="Z55" s="1399"/>
      <c r="AA55" s="1397"/>
      <c r="AB55" s="4417"/>
      <c r="AC55" s="1398"/>
      <c r="AD55" s="1398"/>
      <c r="AE55" s="1398"/>
      <c r="AF55" s="1398"/>
      <c r="AG55" s="1398"/>
      <c r="AH55" s="1399"/>
      <c r="AI55" s="1397"/>
      <c r="AJ55" s="4417"/>
      <c r="AK55" s="1398"/>
      <c r="AL55" s="1398"/>
      <c r="AM55" s="1398"/>
      <c r="AN55" s="1398"/>
      <c r="AO55" s="1398"/>
      <c r="AP55" s="1399"/>
      <c r="AQ55" s="2610"/>
      <c r="AR55" s="2617"/>
      <c r="AS55" s="2611"/>
      <c r="AT55" s="2611"/>
      <c r="AU55" s="2611"/>
      <c r="AV55" s="2611"/>
      <c r="AW55" s="2611"/>
      <c r="AX55" s="2612"/>
      <c r="AY55" s="4775"/>
    </row>
    <row r="56" spans="1:99" s="1" customFormat="1" ht="13.5" hidden="1" thickBot="1">
      <c r="A56" s="4108" t="s">
        <v>1386</v>
      </c>
      <c r="B56" s="2622" t="s">
        <v>1384</v>
      </c>
      <c r="C56" s="1400"/>
      <c r="D56" s="4420"/>
      <c r="E56" s="1401"/>
      <c r="F56" s="1401"/>
      <c r="G56" s="1401"/>
      <c r="H56" s="1401"/>
      <c r="I56" s="1401"/>
      <c r="J56" s="1402"/>
      <c r="K56" s="1400"/>
      <c r="L56" s="4420"/>
      <c r="M56" s="1401"/>
      <c r="N56" s="1401"/>
      <c r="O56" s="1401"/>
      <c r="P56" s="1401"/>
      <c r="Q56" s="1401"/>
      <c r="R56" s="1402"/>
      <c r="S56" s="1400"/>
      <c r="T56" s="4420"/>
      <c r="U56" s="1401"/>
      <c r="V56" s="1401"/>
      <c r="W56" s="1401"/>
      <c r="X56" s="1401"/>
      <c r="Y56" s="1401"/>
      <c r="Z56" s="1402"/>
      <c r="AA56" s="1400"/>
      <c r="AB56" s="4420"/>
      <c r="AC56" s="1401"/>
      <c r="AD56" s="1401"/>
      <c r="AE56" s="1401"/>
      <c r="AF56" s="1401"/>
      <c r="AG56" s="1401"/>
      <c r="AH56" s="1402"/>
      <c r="AI56" s="1400"/>
      <c r="AJ56" s="4420"/>
      <c r="AK56" s="1401"/>
      <c r="AL56" s="1401"/>
      <c r="AM56" s="1401"/>
      <c r="AN56" s="1401"/>
      <c r="AO56" s="1401"/>
      <c r="AP56" s="1402"/>
      <c r="AQ56" s="2623"/>
      <c r="AR56" s="4436"/>
      <c r="AS56" s="2624"/>
      <c r="AT56" s="2624"/>
      <c r="AU56" s="2624"/>
      <c r="AV56" s="2624"/>
      <c r="AW56" s="2624"/>
      <c r="AX56" s="2625"/>
      <c r="AY56" s="4775"/>
    </row>
    <row r="57" spans="1:99" s="1" customFormat="1" ht="13.5" customHeight="1" thickBot="1">
      <c r="A57" s="5348" t="s">
        <v>1855</v>
      </c>
      <c r="B57" s="5350" t="s">
        <v>1863</v>
      </c>
      <c r="C57" s="5342" t="s">
        <v>210</v>
      </c>
      <c r="D57" s="5343"/>
      <c r="E57" s="5343"/>
      <c r="F57" s="5343"/>
      <c r="G57" s="5343"/>
      <c r="H57" s="5343"/>
      <c r="I57" s="5343"/>
      <c r="J57" s="5344"/>
      <c r="K57" s="5342" t="s">
        <v>174</v>
      </c>
      <c r="L57" s="5343"/>
      <c r="M57" s="5343"/>
      <c r="N57" s="5343"/>
      <c r="O57" s="5343"/>
      <c r="P57" s="5343"/>
      <c r="Q57" s="5343"/>
      <c r="R57" s="5344"/>
      <c r="S57" s="5345" t="s">
        <v>184</v>
      </c>
      <c r="T57" s="5346"/>
      <c r="U57" s="5346"/>
      <c r="V57" s="5346"/>
      <c r="W57" s="5346"/>
      <c r="X57" s="5346"/>
      <c r="Y57" s="5346"/>
      <c r="Z57" s="5347"/>
      <c r="AA57" s="5356" t="s">
        <v>1029</v>
      </c>
      <c r="AB57" s="5357"/>
      <c r="AC57" s="5357"/>
      <c r="AD57" s="5357"/>
      <c r="AE57" s="5357"/>
      <c r="AF57" s="5357"/>
      <c r="AG57" s="5357"/>
      <c r="AH57" s="5358"/>
      <c r="AI57" s="5356" t="s">
        <v>1092</v>
      </c>
      <c r="AJ57" s="5357"/>
      <c r="AK57" s="5357"/>
      <c r="AL57" s="5357"/>
      <c r="AM57" s="5357"/>
      <c r="AN57" s="5357"/>
      <c r="AO57" s="5357"/>
      <c r="AP57" s="5358"/>
      <c r="AQ57" s="5356" t="s">
        <v>1250</v>
      </c>
      <c r="AR57" s="5357"/>
      <c r="AS57" s="5357"/>
      <c r="AT57" s="5357"/>
      <c r="AU57" s="5357"/>
      <c r="AV57" s="5357"/>
      <c r="AW57" s="5357"/>
      <c r="AX57" s="5358"/>
      <c r="AY57" s="4775"/>
    </row>
    <row r="58" spans="1:99" s="1" customFormat="1" ht="13.5" thickBot="1">
      <c r="A58" s="5349"/>
      <c r="B58" s="5351"/>
      <c r="C58" s="2626" t="str">
        <f t="shared" ref="C58" si="435">C8</f>
        <v>2024 г.</v>
      </c>
      <c r="D58" s="4421" t="str">
        <f t="shared" ref="D58:AX58" si="436">D8</f>
        <v>2025 г.</v>
      </c>
      <c r="E58" s="2627" t="str">
        <f t="shared" si="436"/>
        <v>2026 г.</v>
      </c>
      <c r="F58" s="2627" t="str">
        <f t="shared" si="436"/>
        <v>2027 г.</v>
      </c>
      <c r="G58" s="2627" t="str">
        <f t="shared" si="436"/>
        <v>2028 г.</v>
      </c>
      <c r="H58" s="2627" t="str">
        <f t="shared" si="436"/>
        <v>2029 г.</v>
      </c>
      <c r="I58" s="2627" t="str">
        <f t="shared" si="436"/>
        <v>2030 г.</v>
      </c>
      <c r="J58" s="2628" t="str">
        <f t="shared" si="436"/>
        <v>2031 г.</v>
      </c>
      <c r="K58" s="2626" t="str">
        <f t="shared" ref="K58" si="437">K8</f>
        <v>2024 г.</v>
      </c>
      <c r="L58" s="4421" t="str">
        <f t="shared" si="436"/>
        <v>2025 г.</v>
      </c>
      <c r="M58" s="2627" t="str">
        <f t="shared" si="436"/>
        <v>2026 г.</v>
      </c>
      <c r="N58" s="2627" t="str">
        <f t="shared" si="436"/>
        <v>2027 г.</v>
      </c>
      <c r="O58" s="2627" t="str">
        <f t="shared" si="436"/>
        <v>2028 г.</v>
      </c>
      <c r="P58" s="2627" t="str">
        <f t="shared" si="436"/>
        <v>2029 г.</v>
      </c>
      <c r="Q58" s="2627" t="str">
        <f t="shared" si="436"/>
        <v>2030 г.</v>
      </c>
      <c r="R58" s="2628" t="str">
        <f t="shared" si="436"/>
        <v>2031 г.</v>
      </c>
      <c r="S58" s="2626" t="str">
        <f t="shared" ref="S58" si="438">S8</f>
        <v>2024 г.</v>
      </c>
      <c r="T58" s="4421" t="str">
        <f t="shared" si="436"/>
        <v>2025 г.</v>
      </c>
      <c r="U58" s="2627" t="str">
        <f t="shared" si="436"/>
        <v>2026 г.</v>
      </c>
      <c r="V58" s="2627" t="str">
        <f t="shared" si="436"/>
        <v>2027 г.</v>
      </c>
      <c r="W58" s="2627" t="str">
        <f t="shared" si="436"/>
        <v>2028 г.</v>
      </c>
      <c r="X58" s="2627" t="str">
        <f t="shared" si="436"/>
        <v>2029 г.</v>
      </c>
      <c r="Y58" s="2627" t="str">
        <f t="shared" si="436"/>
        <v>2030 г.</v>
      </c>
      <c r="Z58" s="2628" t="str">
        <f t="shared" si="436"/>
        <v>2031 г.</v>
      </c>
      <c r="AA58" s="2626" t="str">
        <f t="shared" ref="AA58" si="439">AA8</f>
        <v>2024 г.</v>
      </c>
      <c r="AB58" s="4421" t="str">
        <f t="shared" si="436"/>
        <v>2025 г.</v>
      </c>
      <c r="AC58" s="2627" t="str">
        <f t="shared" si="436"/>
        <v>2026 г.</v>
      </c>
      <c r="AD58" s="2627" t="str">
        <f t="shared" si="436"/>
        <v>2027 г.</v>
      </c>
      <c r="AE58" s="2627" t="str">
        <f t="shared" si="436"/>
        <v>2028 г.</v>
      </c>
      <c r="AF58" s="2627" t="str">
        <f t="shared" si="436"/>
        <v>2029 г.</v>
      </c>
      <c r="AG58" s="2627" t="str">
        <f t="shared" si="436"/>
        <v>2030 г.</v>
      </c>
      <c r="AH58" s="2628" t="str">
        <f t="shared" si="436"/>
        <v>2031 г.</v>
      </c>
      <c r="AI58" s="2597" t="str">
        <f t="shared" ref="AI58" si="440">AI8</f>
        <v>2024 г.</v>
      </c>
      <c r="AJ58" s="2600" t="str">
        <f t="shared" si="436"/>
        <v>2025 г.</v>
      </c>
      <c r="AK58" s="2598" t="str">
        <f t="shared" si="436"/>
        <v>2026 г.</v>
      </c>
      <c r="AL58" s="2598" t="str">
        <f t="shared" si="436"/>
        <v>2027 г.</v>
      </c>
      <c r="AM58" s="2598" t="str">
        <f t="shared" si="436"/>
        <v>2028 г.</v>
      </c>
      <c r="AN58" s="2598" t="str">
        <f t="shared" si="436"/>
        <v>2029 г.</v>
      </c>
      <c r="AO58" s="2598" t="str">
        <f t="shared" si="436"/>
        <v>2030 г.</v>
      </c>
      <c r="AP58" s="2599" t="str">
        <f t="shared" si="436"/>
        <v>2031 г.</v>
      </c>
      <c r="AQ58" s="2597" t="str">
        <f t="shared" ref="AQ58" si="441">AQ8</f>
        <v>2024 г.</v>
      </c>
      <c r="AR58" s="2600" t="str">
        <f t="shared" si="436"/>
        <v>2025 г.</v>
      </c>
      <c r="AS58" s="2598" t="str">
        <f t="shared" si="436"/>
        <v>2026 г.</v>
      </c>
      <c r="AT58" s="2598" t="str">
        <f t="shared" si="436"/>
        <v>2027 г.</v>
      </c>
      <c r="AU58" s="2598" t="str">
        <f t="shared" si="436"/>
        <v>2028 г.</v>
      </c>
      <c r="AV58" s="2598" t="str">
        <f t="shared" si="436"/>
        <v>2029 г.</v>
      </c>
      <c r="AW58" s="2598" t="str">
        <f t="shared" si="436"/>
        <v>2030 г.</v>
      </c>
      <c r="AX58" s="2599" t="str">
        <f t="shared" si="436"/>
        <v>2031 г.</v>
      </c>
      <c r="AY58" s="4775"/>
    </row>
    <row r="59" spans="1:99" s="1" customFormat="1">
      <c r="A59" s="4106" t="s">
        <v>968</v>
      </c>
      <c r="B59" s="2601" t="s">
        <v>195</v>
      </c>
      <c r="C59" s="398"/>
      <c r="D59" s="4422"/>
      <c r="E59" s="1423">
        <f t="shared" ref="E59:J59" si="442">D65</f>
        <v>0</v>
      </c>
      <c r="F59" s="1424">
        <f t="shared" si="442"/>
        <v>0</v>
      </c>
      <c r="G59" s="1424">
        <f t="shared" si="442"/>
        <v>0</v>
      </c>
      <c r="H59" s="1424">
        <f t="shared" si="442"/>
        <v>0</v>
      </c>
      <c r="I59" s="1424">
        <f t="shared" si="442"/>
        <v>0</v>
      </c>
      <c r="J59" s="1425">
        <f t="shared" si="442"/>
        <v>0</v>
      </c>
      <c r="K59" s="398"/>
      <c r="L59" s="4422"/>
      <c r="M59" s="1423">
        <f t="shared" ref="M59:R59" si="443">L65</f>
        <v>0</v>
      </c>
      <c r="N59" s="1424">
        <f t="shared" si="443"/>
        <v>0</v>
      </c>
      <c r="O59" s="1424">
        <f t="shared" si="443"/>
        <v>0</v>
      </c>
      <c r="P59" s="1424">
        <f t="shared" si="443"/>
        <v>0</v>
      </c>
      <c r="Q59" s="1424">
        <f t="shared" si="443"/>
        <v>0</v>
      </c>
      <c r="R59" s="1425">
        <f t="shared" si="443"/>
        <v>0</v>
      </c>
      <c r="S59" s="398"/>
      <c r="T59" s="4422"/>
      <c r="U59" s="1423">
        <f t="shared" ref="U59:Z59" si="444">T65</f>
        <v>0</v>
      </c>
      <c r="V59" s="1424">
        <f t="shared" si="444"/>
        <v>0</v>
      </c>
      <c r="W59" s="1424">
        <f t="shared" si="444"/>
        <v>0</v>
      </c>
      <c r="X59" s="1424">
        <f t="shared" si="444"/>
        <v>0</v>
      </c>
      <c r="Y59" s="1424">
        <f t="shared" si="444"/>
        <v>0</v>
      </c>
      <c r="Z59" s="1425">
        <f t="shared" si="444"/>
        <v>0</v>
      </c>
      <c r="AA59" s="398"/>
      <c r="AB59" s="4422"/>
      <c r="AC59" s="1423">
        <f t="shared" ref="AC59:AH59" si="445">AB65</f>
        <v>0</v>
      </c>
      <c r="AD59" s="1424">
        <f t="shared" si="445"/>
        <v>0</v>
      </c>
      <c r="AE59" s="1424">
        <f t="shared" si="445"/>
        <v>0</v>
      </c>
      <c r="AF59" s="1424">
        <f t="shared" si="445"/>
        <v>0</v>
      </c>
      <c r="AG59" s="1424">
        <f t="shared" si="445"/>
        <v>0</v>
      </c>
      <c r="AH59" s="1425">
        <f t="shared" si="445"/>
        <v>0</v>
      </c>
      <c r="AI59" s="398"/>
      <c r="AJ59" s="4422"/>
      <c r="AK59" s="1423">
        <f t="shared" ref="AK59:AP59" si="446">AJ65</f>
        <v>0</v>
      </c>
      <c r="AL59" s="1424">
        <f t="shared" si="446"/>
        <v>0</v>
      </c>
      <c r="AM59" s="1424">
        <f t="shared" si="446"/>
        <v>0</v>
      </c>
      <c r="AN59" s="1424">
        <f t="shared" si="446"/>
        <v>0</v>
      </c>
      <c r="AO59" s="1424">
        <f t="shared" si="446"/>
        <v>0</v>
      </c>
      <c r="AP59" s="1425">
        <f t="shared" si="446"/>
        <v>0</v>
      </c>
      <c r="AQ59" s="398"/>
      <c r="AR59" s="4422"/>
      <c r="AS59" s="1423">
        <f>AR65</f>
        <v>0</v>
      </c>
      <c r="AT59" s="1424">
        <f t="shared" ref="AT59:AX59" si="447">AS65</f>
        <v>0</v>
      </c>
      <c r="AU59" s="1424">
        <f t="shared" si="447"/>
        <v>0</v>
      </c>
      <c r="AV59" s="1424">
        <f t="shared" si="447"/>
        <v>0</v>
      </c>
      <c r="AW59" s="1424">
        <f t="shared" si="447"/>
        <v>0</v>
      </c>
      <c r="AX59" s="1425">
        <f t="shared" si="447"/>
        <v>0</v>
      </c>
      <c r="AY59" s="4775"/>
      <c r="AZ59" s="3"/>
      <c r="BA59" s="3"/>
      <c r="BB59" s="4794">
        <f t="shared" ref="BB59:BC62" si="448">IFERROR(E59/$C$1,0)</f>
        <v>0</v>
      </c>
      <c r="BC59" s="4794">
        <f t="shared" si="448"/>
        <v>0</v>
      </c>
      <c r="BD59" s="4794">
        <f t="shared" ref="BD59:BD62" si="449">IFERROR(G59/$C$1,0)</f>
        <v>0</v>
      </c>
      <c r="BE59" s="4794">
        <f t="shared" ref="BE59:BE62" si="450">IFERROR(H59/$C$1,0)</f>
        <v>0</v>
      </c>
      <c r="BF59" s="4794">
        <f t="shared" ref="BF59:BF62" si="451">IFERROR(I59/$C$1,0)</f>
        <v>0</v>
      </c>
      <c r="BG59" s="4794">
        <f t="shared" ref="BG59:BG62" si="452">IFERROR(J59/$C$1,0)</f>
        <v>0</v>
      </c>
      <c r="BH59" s="3"/>
      <c r="BI59" s="3"/>
      <c r="BJ59" s="4794">
        <f t="shared" ref="BJ59:BJ62" si="453">IFERROR(M59/$C$1,0)</f>
        <v>0</v>
      </c>
      <c r="BK59" s="4794">
        <f t="shared" ref="BK59:BK62" si="454">IFERROR(N59/$C$1,0)</f>
        <v>0</v>
      </c>
      <c r="BL59" s="4794">
        <f t="shared" ref="BL59:BL62" si="455">IFERROR(O59/$C$1,0)</f>
        <v>0</v>
      </c>
      <c r="BM59" s="4794">
        <f t="shared" ref="BM59:BM62" si="456">IFERROR(P59/$C$1,0)</f>
        <v>0</v>
      </c>
      <c r="BN59" s="4794">
        <f t="shared" ref="BN59:BN62" si="457">IFERROR(Q59/$C$1,0)</f>
        <v>0</v>
      </c>
      <c r="BO59" s="4794">
        <f t="shared" ref="BO59:BO62" si="458">IFERROR(R59/$C$1,0)</f>
        <v>0</v>
      </c>
      <c r="BP59" s="3"/>
      <c r="BQ59" s="3"/>
      <c r="BR59" s="4794">
        <f t="shared" ref="BR59:BR62" si="459">IFERROR(U59/$C$1,0)</f>
        <v>0</v>
      </c>
      <c r="BS59" s="4794">
        <f t="shared" ref="BS59:BS62" si="460">IFERROR(V59/$C$1,0)</f>
        <v>0</v>
      </c>
      <c r="BT59" s="4794">
        <f t="shared" ref="BT59:BT62" si="461">IFERROR(W59/$C$1,0)</f>
        <v>0</v>
      </c>
      <c r="BU59" s="4794">
        <f t="shared" ref="BU59:BU62" si="462">IFERROR(X59/$C$1,0)</f>
        <v>0</v>
      </c>
      <c r="BV59" s="4794">
        <f t="shared" ref="BV59:BV62" si="463">IFERROR(Y59/$C$1,0)</f>
        <v>0</v>
      </c>
      <c r="BW59" s="4794">
        <f t="shared" ref="BW59:BW62" si="464">IFERROR(Z59/$C$1,0)</f>
        <v>0</v>
      </c>
      <c r="BX59" s="3"/>
      <c r="BY59" s="3"/>
      <c r="BZ59" s="4794">
        <f t="shared" ref="BZ59:BZ62" si="465">IFERROR(AC59/$C$1,0)</f>
        <v>0</v>
      </c>
      <c r="CA59" s="4794">
        <f t="shared" ref="CA59:CA62" si="466">IFERROR(AD59/$C$1,0)</f>
        <v>0</v>
      </c>
      <c r="CB59" s="4794">
        <f t="shared" ref="CB59:CB62" si="467">IFERROR(AE59/$C$1,0)</f>
        <v>0</v>
      </c>
      <c r="CC59" s="4794">
        <f t="shared" ref="CC59:CC62" si="468">IFERROR(AF59/$C$1,0)</f>
        <v>0</v>
      </c>
      <c r="CD59" s="4794">
        <f t="shared" ref="CD59:CD62" si="469">IFERROR(AG59/$C$1,0)</f>
        <v>0</v>
      </c>
      <c r="CE59" s="4794">
        <f t="shared" ref="CE59:CE62" si="470">IFERROR(AH59/$C$1,0)</f>
        <v>0</v>
      </c>
      <c r="CF59" s="3"/>
      <c r="CG59" s="3"/>
      <c r="CH59" s="4794">
        <f t="shared" ref="CH59:CH62" si="471">IFERROR(AK59/$C$1,0)</f>
        <v>0</v>
      </c>
      <c r="CI59" s="4794">
        <f t="shared" ref="CI59:CI62" si="472">IFERROR(AL59/$C$1,0)</f>
        <v>0</v>
      </c>
      <c r="CJ59" s="4794">
        <f t="shared" ref="CJ59:CJ62" si="473">IFERROR(AM59/$C$1,0)</f>
        <v>0</v>
      </c>
      <c r="CK59" s="4794">
        <f t="shared" ref="CK59:CK62" si="474">IFERROR(AN59/$C$1,0)</f>
        <v>0</v>
      </c>
      <c r="CL59" s="4794">
        <f t="shared" ref="CL59:CL62" si="475">IFERROR(AO59/$C$1,0)</f>
        <v>0</v>
      </c>
      <c r="CM59" s="4794">
        <f t="shared" ref="CM59:CM62" si="476">IFERROR(AP59/$C$1,0)</f>
        <v>0</v>
      </c>
      <c r="CN59" s="3"/>
      <c r="CO59" s="3"/>
      <c r="CP59" s="4794">
        <f t="shared" ref="CP59:CP62" si="477">IFERROR(AS59/$C$1,0)</f>
        <v>0</v>
      </c>
      <c r="CQ59" s="4794">
        <f t="shared" ref="CQ59:CQ62" si="478">IFERROR(AT59/$C$1,0)</f>
        <v>0</v>
      </c>
      <c r="CR59" s="4794">
        <f t="shared" ref="CR59:CR62" si="479">IFERROR(AU59/$C$1,0)</f>
        <v>0</v>
      </c>
      <c r="CS59" s="4794">
        <f t="shared" ref="CS59:CS62" si="480">IFERROR(AV59/$C$1,0)</f>
        <v>0</v>
      </c>
      <c r="CT59" s="4794">
        <f t="shared" ref="CT59:CT62" si="481">IFERROR(AW59/$C$1,0)</f>
        <v>0</v>
      </c>
      <c r="CU59" s="4794">
        <f t="shared" ref="CU59:CU62" si="482">IFERROR(AX59/$C$1,0)</f>
        <v>0</v>
      </c>
    </row>
    <row r="60" spans="1:99" s="1" customFormat="1">
      <c r="A60" s="4106" t="s">
        <v>969</v>
      </c>
      <c r="B60" s="2603" t="s">
        <v>196</v>
      </c>
      <c r="C60" s="397"/>
      <c r="D60" s="4423"/>
      <c r="E60" s="2604">
        <f>+'9.Инвестиционна програма'!Y140</f>
        <v>0</v>
      </c>
      <c r="F60" s="2604">
        <f>+'9.Инвестиционна програма'!Z140</f>
        <v>0</v>
      </c>
      <c r="G60" s="2604">
        <f>+'9.Инвестиционна програма'!AA140</f>
        <v>0</v>
      </c>
      <c r="H60" s="2604">
        <f>+'9.Инвестиционна програма'!AB140</f>
        <v>0</v>
      </c>
      <c r="I60" s="2604">
        <f>+'9.Инвестиционна програма'!AC140</f>
        <v>0</v>
      </c>
      <c r="J60" s="2605">
        <f>+'9.Инвестиционна програма'!AD140</f>
        <v>0</v>
      </c>
      <c r="K60" s="397"/>
      <c r="L60" s="4423"/>
      <c r="M60" s="2604">
        <f>+'9.Инвестиционна програма'!Y141</f>
        <v>0</v>
      </c>
      <c r="N60" s="2604">
        <f>+'9.Инвестиционна програма'!Z141</f>
        <v>0</v>
      </c>
      <c r="O60" s="2604">
        <f>+'9.Инвестиционна програма'!AA141</f>
        <v>0</v>
      </c>
      <c r="P60" s="2604">
        <f>+'9.Инвестиционна програма'!AB141</f>
        <v>0</v>
      </c>
      <c r="Q60" s="2604">
        <f>+'9.Инвестиционна програма'!AC141</f>
        <v>0</v>
      </c>
      <c r="R60" s="2604">
        <f>+'9.Инвестиционна програма'!AD141</f>
        <v>0</v>
      </c>
      <c r="S60" s="397"/>
      <c r="T60" s="4423"/>
      <c r="U60" s="2604">
        <f>+'9.Инвестиционна програма'!Y142</f>
        <v>0</v>
      </c>
      <c r="V60" s="2604">
        <f>+'9.Инвестиционна програма'!Z142</f>
        <v>0</v>
      </c>
      <c r="W60" s="2604">
        <f>+'9.Инвестиционна програма'!AA142</f>
        <v>0</v>
      </c>
      <c r="X60" s="2604">
        <f>+'9.Инвестиционна програма'!AB142</f>
        <v>0</v>
      </c>
      <c r="Y60" s="2604">
        <f>+'9.Инвестиционна програма'!AC142</f>
        <v>0</v>
      </c>
      <c r="Z60" s="2604">
        <f>+'9.Инвестиционна програма'!AD142</f>
        <v>0</v>
      </c>
      <c r="AA60" s="397"/>
      <c r="AB60" s="4423"/>
      <c r="AC60" s="2604">
        <f>+'9.Инвестиционна програма'!Y143</f>
        <v>0</v>
      </c>
      <c r="AD60" s="2604">
        <f>+'9.Инвестиционна програма'!Z143</f>
        <v>0</v>
      </c>
      <c r="AE60" s="2604">
        <f>+'9.Инвестиционна програма'!AA143</f>
        <v>0</v>
      </c>
      <c r="AF60" s="2604">
        <f>+'9.Инвестиционна програма'!AB143</f>
        <v>0</v>
      </c>
      <c r="AG60" s="2604">
        <f>+'9.Инвестиционна програма'!AC143</f>
        <v>0</v>
      </c>
      <c r="AH60" s="2604">
        <f>+'9.Инвестиционна програма'!AD143</f>
        <v>0</v>
      </c>
      <c r="AI60" s="397"/>
      <c r="AJ60" s="4423"/>
      <c r="AK60" s="2604">
        <f>+'9.Инвестиционна програма'!Y144</f>
        <v>0</v>
      </c>
      <c r="AL60" s="2604">
        <f>+'9.Инвестиционна програма'!Z144</f>
        <v>0</v>
      </c>
      <c r="AM60" s="2604">
        <f>+'9.Инвестиционна програма'!AA144</f>
        <v>0</v>
      </c>
      <c r="AN60" s="2604">
        <f>+'9.Инвестиционна програма'!AB144</f>
        <v>0</v>
      </c>
      <c r="AO60" s="2604">
        <f>+'9.Инвестиционна програма'!AC144</f>
        <v>0</v>
      </c>
      <c r="AP60" s="2604">
        <f>+'9.Инвестиционна програма'!AD144</f>
        <v>0</v>
      </c>
      <c r="AQ60" s="397"/>
      <c r="AR60" s="4423"/>
      <c r="AS60" s="2604">
        <f t="shared" ref="AS60:AX60" si="483">E60+M60+U60+AC60+AK60</f>
        <v>0</v>
      </c>
      <c r="AT60" s="2604">
        <f t="shared" si="483"/>
        <v>0</v>
      </c>
      <c r="AU60" s="2604">
        <f t="shared" si="483"/>
        <v>0</v>
      </c>
      <c r="AV60" s="2604">
        <f t="shared" si="483"/>
        <v>0</v>
      </c>
      <c r="AW60" s="2604">
        <f t="shared" si="483"/>
        <v>0</v>
      </c>
      <c r="AX60" s="2605">
        <f t="shared" si="483"/>
        <v>0</v>
      </c>
      <c r="AY60" s="4775"/>
      <c r="AZ60" s="3"/>
      <c r="BA60" s="3"/>
      <c r="BB60" s="4794">
        <f t="shared" si="448"/>
        <v>0</v>
      </c>
      <c r="BC60" s="4794">
        <f t="shared" si="448"/>
        <v>0</v>
      </c>
      <c r="BD60" s="4794">
        <f t="shared" si="449"/>
        <v>0</v>
      </c>
      <c r="BE60" s="4794">
        <f t="shared" si="450"/>
        <v>0</v>
      </c>
      <c r="BF60" s="4794">
        <f t="shared" si="451"/>
        <v>0</v>
      </c>
      <c r="BG60" s="4794">
        <f t="shared" si="452"/>
        <v>0</v>
      </c>
      <c r="BH60" s="3"/>
      <c r="BI60" s="3"/>
      <c r="BJ60" s="4794">
        <f t="shared" si="453"/>
        <v>0</v>
      </c>
      <c r="BK60" s="4794">
        <f t="shared" si="454"/>
        <v>0</v>
      </c>
      <c r="BL60" s="4794">
        <f t="shared" si="455"/>
        <v>0</v>
      </c>
      <c r="BM60" s="4794">
        <f t="shared" si="456"/>
        <v>0</v>
      </c>
      <c r="BN60" s="4794">
        <f t="shared" si="457"/>
        <v>0</v>
      </c>
      <c r="BO60" s="4794">
        <f t="shared" si="458"/>
        <v>0</v>
      </c>
      <c r="BP60" s="3"/>
      <c r="BQ60" s="3"/>
      <c r="BR60" s="4794">
        <f t="shared" si="459"/>
        <v>0</v>
      </c>
      <c r="BS60" s="4794">
        <f t="shared" si="460"/>
        <v>0</v>
      </c>
      <c r="BT60" s="4794">
        <f t="shared" si="461"/>
        <v>0</v>
      </c>
      <c r="BU60" s="4794">
        <f t="shared" si="462"/>
        <v>0</v>
      </c>
      <c r="BV60" s="4794">
        <f t="shared" si="463"/>
        <v>0</v>
      </c>
      <c r="BW60" s="4794">
        <f t="shared" si="464"/>
        <v>0</v>
      </c>
      <c r="BX60" s="3"/>
      <c r="BY60" s="3"/>
      <c r="BZ60" s="4794">
        <f t="shared" si="465"/>
        <v>0</v>
      </c>
      <c r="CA60" s="4794">
        <f t="shared" si="466"/>
        <v>0</v>
      </c>
      <c r="CB60" s="4794">
        <f t="shared" si="467"/>
        <v>0</v>
      </c>
      <c r="CC60" s="4794">
        <f t="shared" si="468"/>
        <v>0</v>
      </c>
      <c r="CD60" s="4794">
        <f t="shared" si="469"/>
        <v>0</v>
      </c>
      <c r="CE60" s="4794">
        <f t="shared" si="470"/>
        <v>0</v>
      </c>
      <c r="CF60" s="3"/>
      <c r="CG60" s="3"/>
      <c r="CH60" s="4794">
        <f t="shared" si="471"/>
        <v>0</v>
      </c>
      <c r="CI60" s="4794">
        <f t="shared" si="472"/>
        <v>0</v>
      </c>
      <c r="CJ60" s="4794">
        <f t="shared" si="473"/>
        <v>0</v>
      </c>
      <c r="CK60" s="4794">
        <f t="shared" si="474"/>
        <v>0</v>
      </c>
      <c r="CL60" s="4794">
        <f t="shared" si="475"/>
        <v>0</v>
      </c>
      <c r="CM60" s="4794">
        <f t="shared" si="476"/>
        <v>0</v>
      </c>
      <c r="CN60" s="3"/>
      <c r="CO60" s="3"/>
      <c r="CP60" s="4794">
        <f t="shared" si="477"/>
        <v>0</v>
      </c>
      <c r="CQ60" s="4794">
        <f t="shared" si="478"/>
        <v>0</v>
      </c>
      <c r="CR60" s="4794">
        <f t="shared" si="479"/>
        <v>0</v>
      </c>
      <c r="CS60" s="4794">
        <f t="shared" si="480"/>
        <v>0</v>
      </c>
      <c r="CT60" s="4794">
        <f t="shared" si="481"/>
        <v>0</v>
      </c>
      <c r="CU60" s="4794">
        <f t="shared" si="482"/>
        <v>0</v>
      </c>
    </row>
    <row r="61" spans="1:99" s="1" customFormat="1">
      <c r="A61" s="4106" t="s">
        <v>970</v>
      </c>
      <c r="B61" s="2603" t="s">
        <v>197</v>
      </c>
      <c r="C61" s="397"/>
      <c r="D61" s="4423"/>
      <c r="E61" s="2604">
        <f>IFERROR(E60/$AS60*$AS61,0)</f>
        <v>0</v>
      </c>
      <c r="F61" s="2604">
        <f>IFERROR(SUM($E60:F60)/SUM($AS60:AT60)*AT61,0)</f>
        <v>0</v>
      </c>
      <c r="G61" s="2604">
        <f>IFERROR(SUM($E60:G60)/SUM($AS60:AU60)*AU61,0)</f>
        <v>0</v>
      </c>
      <c r="H61" s="2604">
        <f>IFERROR(SUM($E60:H60)/SUM($AS60:AV60)*AV61,0)</f>
        <v>0</v>
      </c>
      <c r="I61" s="2604">
        <f>IFERROR(SUM($E60:I60)/SUM($AS60:AW60)*AW61,0)</f>
        <v>0</v>
      </c>
      <c r="J61" s="2604">
        <f>IFERROR(SUM($E60:J60)/SUM($AS60:AX60)*AX61,0)</f>
        <v>0</v>
      </c>
      <c r="K61" s="397"/>
      <c r="L61" s="4423"/>
      <c r="M61" s="2604">
        <f>IFERROR(M60/$AS60*$AS61,0)</f>
        <v>0</v>
      </c>
      <c r="N61" s="2604">
        <f>IFERROR(SUM($M60:N60)/SUM($AS60:AT60)*AT61,0)</f>
        <v>0</v>
      </c>
      <c r="O61" s="2604">
        <f>IFERROR(SUM($M60:O60)/SUM($AS60:AU60)*AU61,0)</f>
        <v>0</v>
      </c>
      <c r="P61" s="2604">
        <f>IFERROR(SUM($M60:P60)/SUM($AS60:AV60)*AV61,0)</f>
        <v>0</v>
      </c>
      <c r="Q61" s="2604">
        <f>IFERROR(SUM($M60:Q60)/SUM($AS60:AW60)*AW61,0)</f>
        <v>0</v>
      </c>
      <c r="R61" s="2604">
        <f>IFERROR(SUM($M60:R60)/SUM($AS60:AX60)*AX61,0)</f>
        <v>0</v>
      </c>
      <c r="S61" s="397"/>
      <c r="T61" s="4423"/>
      <c r="U61" s="2604">
        <f>IFERROR(U60/$AS60*$AS61,0)</f>
        <v>0</v>
      </c>
      <c r="V61" s="2604">
        <f>IFERROR(SUM($U60:V60)/SUM($AS60:AT60)*AT61,0)</f>
        <v>0</v>
      </c>
      <c r="W61" s="2604">
        <f>IFERROR(SUM($U60:W60)/SUM($AS60:AU60)*AU61,0)</f>
        <v>0</v>
      </c>
      <c r="X61" s="2604">
        <f>IFERROR(SUM($U60:X60)/SUM($AS60:AV60)*AV61,0)</f>
        <v>0</v>
      </c>
      <c r="Y61" s="2604">
        <f>IFERROR(SUM($U60:Y60)/SUM($AS60:AW60)*AW61,0)</f>
        <v>0</v>
      </c>
      <c r="Z61" s="2604">
        <f>IFERROR(SUM($U60:Z60)/SUM($AS60:AX60)*AX61,0)</f>
        <v>0</v>
      </c>
      <c r="AA61" s="397"/>
      <c r="AB61" s="4423"/>
      <c r="AC61" s="2604">
        <f>IFERROR(AC60/$AS60*$AS61,0)</f>
        <v>0</v>
      </c>
      <c r="AD61" s="2604">
        <f>IFERROR(SUM($AC60:AD60)/SUM($AS60:AT60)*AT61,0)</f>
        <v>0</v>
      </c>
      <c r="AE61" s="2604">
        <f>IFERROR(SUM($AC60:AE60)/SUM($AS60:AU60)*AU61,0)</f>
        <v>0</v>
      </c>
      <c r="AF61" s="2604">
        <f>IFERROR(SUM($AC60:AF60)/SUM($AS60:AV60)*AV61,0)</f>
        <v>0</v>
      </c>
      <c r="AG61" s="2604">
        <f>IFERROR(SUM($AC60:AG60)/SUM($AS60:AW60)*AW61,0)</f>
        <v>0</v>
      </c>
      <c r="AH61" s="2604">
        <f>IFERROR(SUM($AC60:AH60)/SUM($AS60:AX60)*AX61,0)</f>
        <v>0</v>
      </c>
      <c r="AI61" s="397"/>
      <c r="AJ61" s="4423"/>
      <c r="AK61" s="2604">
        <f>IFERROR(AK60/$AS60*$AS61,0)</f>
        <v>0</v>
      </c>
      <c r="AL61" s="2604">
        <f>IFERROR(SUM($AK60:AL60)/SUM($AS60:AT60)*AT61,0)</f>
        <v>0</v>
      </c>
      <c r="AM61" s="2604">
        <f>IFERROR(SUM($AK60:AM60)/SUM($AS60:AU60)*AU61,0)</f>
        <v>0</v>
      </c>
      <c r="AN61" s="2604">
        <f>IFERROR(SUM($AK60:AN60)/SUM($AS60:AV60)*AV61,0)</f>
        <v>0</v>
      </c>
      <c r="AO61" s="2604">
        <f>IFERROR(SUM($AK60:AO60)/SUM($AS60:AW60)*AW61,0)</f>
        <v>0</v>
      </c>
      <c r="AP61" s="2604">
        <f>IFERROR(SUM($AK60:AP60)/SUM($AS60:AX60)*AX61,0)</f>
        <v>0</v>
      </c>
      <c r="AQ61" s="397"/>
      <c r="AR61" s="4423"/>
      <c r="AS61" s="416"/>
      <c r="AT61" s="416"/>
      <c r="AU61" s="416"/>
      <c r="AV61" s="416"/>
      <c r="AW61" s="416"/>
      <c r="AX61" s="417"/>
      <c r="AY61" s="4775"/>
      <c r="AZ61" s="3"/>
      <c r="BA61" s="3"/>
      <c r="BB61" s="4794">
        <f t="shared" si="448"/>
        <v>0</v>
      </c>
      <c r="BC61" s="4794">
        <f t="shared" si="448"/>
        <v>0</v>
      </c>
      <c r="BD61" s="4794">
        <f t="shared" si="449"/>
        <v>0</v>
      </c>
      <c r="BE61" s="4794">
        <f t="shared" si="450"/>
        <v>0</v>
      </c>
      <c r="BF61" s="4794">
        <f t="shared" si="451"/>
        <v>0</v>
      </c>
      <c r="BG61" s="4794">
        <f t="shared" si="452"/>
        <v>0</v>
      </c>
      <c r="BH61" s="3"/>
      <c r="BI61" s="3"/>
      <c r="BJ61" s="4794">
        <f t="shared" si="453"/>
        <v>0</v>
      </c>
      <c r="BK61" s="4794">
        <f t="shared" si="454"/>
        <v>0</v>
      </c>
      <c r="BL61" s="4794">
        <f t="shared" si="455"/>
        <v>0</v>
      </c>
      <c r="BM61" s="4794">
        <f t="shared" si="456"/>
        <v>0</v>
      </c>
      <c r="BN61" s="4794">
        <f t="shared" si="457"/>
        <v>0</v>
      </c>
      <c r="BO61" s="4794">
        <f t="shared" si="458"/>
        <v>0</v>
      </c>
      <c r="BP61" s="3"/>
      <c r="BQ61" s="3"/>
      <c r="BR61" s="4794">
        <f t="shared" si="459"/>
        <v>0</v>
      </c>
      <c r="BS61" s="4794">
        <f t="shared" si="460"/>
        <v>0</v>
      </c>
      <c r="BT61" s="4794">
        <f t="shared" si="461"/>
        <v>0</v>
      </c>
      <c r="BU61" s="4794">
        <f t="shared" si="462"/>
        <v>0</v>
      </c>
      <c r="BV61" s="4794">
        <f t="shared" si="463"/>
        <v>0</v>
      </c>
      <c r="BW61" s="4794">
        <f t="shared" si="464"/>
        <v>0</v>
      </c>
      <c r="BX61" s="3"/>
      <c r="BY61" s="3"/>
      <c r="BZ61" s="4794">
        <f t="shared" si="465"/>
        <v>0</v>
      </c>
      <c r="CA61" s="4794">
        <f t="shared" si="466"/>
        <v>0</v>
      </c>
      <c r="CB61" s="4794">
        <f t="shared" si="467"/>
        <v>0</v>
      </c>
      <c r="CC61" s="4794">
        <f t="shared" si="468"/>
        <v>0</v>
      </c>
      <c r="CD61" s="4794">
        <f t="shared" si="469"/>
        <v>0</v>
      </c>
      <c r="CE61" s="4794">
        <f t="shared" si="470"/>
        <v>0</v>
      </c>
      <c r="CF61" s="3"/>
      <c r="CG61" s="3"/>
      <c r="CH61" s="4794">
        <f t="shared" si="471"/>
        <v>0</v>
      </c>
      <c r="CI61" s="4794">
        <f t="shared" si="472"/>
        <v>0</v>
      </c>
      <c r="CJ61" s="4794">
        <f t="shared" si="473"/>
        <v>0</v>
      </c>
      <c r="CK61" s="4794">
        <f t="shared" si="474"/>
        <v>0</v>
      </c>
      <c r="CL61" s="4794">
        <f t="shared" si="475"/>
        <v>0</v>
      </c>
      <c r="CM61" s="4794">
        <f t="shared" si="476"/>
        <v>0</v>
      </c>
      <c r="CN61" s="3"/>
      <c r="CO61" s="3"/>
      <c r="CP61" s="4794">
        <f t="shared" si="477"/>
        <v>0</v>
      </c>
      <c r="CQ61" s="4794">
        <f t="shared" si="478"/>
        <v>0</v>
      </c>
      <c r="CR61" s="4794">
        <f t="shared" si="479"/>
        <v>0</v>
      </c>
      <c r="CS61" s="4794">
        <f t="shared" si="480"/>
        <v>0</v>
      </c>
      <c r="CT61" s="4794">
        <f t="shared" si="481"/>
        <v>0</v>
      </c>
      <c r="CU61" s="4794">
        <f t="shared" si="482"/>
        <v>0</v>
      </c>
    </row>
    <row r="62" spans="1:99" s="1" customFormat="1">
      <c r="A62" s="4106" t="s">
        <v>971</v>
      </c>
      <c r="B62" s="2603" t="s">
        <v>198</v>
      </c>
      <c r="C62" s="397"/>
      <c r="D62" s="4423"/>
      <c r="E62" s="2604">
        <f>+(E65+E59+E60)/2*E63</f>
        <v>0</v>
      </c>
      <c r="F62" s="2604">
        <f t="shared" ref="F62:J62" si="484">+(F65+F59+F60)/2*F63</f>
        <v>0</v>
      </c>
      <c r="G62" s="2604">
        <f t="shared" si="484"/>
        <v>0</v>
      </c>
      <c r="H62" s="2604">
        <f t="shared" si="484"/>
        <v>0</v>
      </c>
      <c r="I62" s="2604">
        <f>+(I65+I59+I60)/2*I63</f>
        <v>0</v>
      </c>
      <c r="J62" s="2604">
        <f t="shared" si="484"/>
        <v>0</v>
      </c>
      <c r="K62" s="397"/>
      <c r="L62" s="4423"/>
      <c r="M62" s="2604">
        <f>+(M65+M59+M60)/2*M63</f>
        <v>0</v>
      </c>
      <c r="N62" s="2604">
        <f t="shared" ref="N62:R62" si="485">+(N65+N59+N60)/2*N63</f>
        <v>0</v>
      </c>
      <c r="O62" s="2604">
        <f t="shared" si="485"/>
        <v>0</v>
      </c>
      <c r="P62" s="2604">
        <f t="shared" si="485"/>
        <v>0</v>
      </c>
      <c r="Q62" s="2604">
        <f t="shared" si="485"/>
        <v>0</v>
      </c>
      <c r="R62" s="2604">
        <f t="shared" si="485"/>
        <v>0</v>
      </c>
      <c r="S62" s="397"/>
      <c r="T62" s="4423"/>
      <c r="U62" s="2604">
        <f t="shared" ref="U62:Z62" si="486">+(U65+U59+U60)/2*U63</f>
        <v>0</v>
      </c>
      <c r="V62" s="2604">
        <f t="shared" si="486"/>
        <v>0</v>
      </c>
      <c r="W62" s="2604">
        <f t="shared" si="486"/>
        <v>0</v>
      </c>
      <c r="X62" s="2604">
        <f t="shared" si="486"/>
        <v>0</v>
      </c>
      <c r="Y62" s="2604">
        <f t="shared" si="486"/>
        <v>0</v>
      </c>
      <c r="Z62" s="2604">
        <f t="shared" si="486"/>
        <v>0</v>
      </c>
      <c r="AA62" s="397"/>
      <c r="AB62" s="4423"/>
      <c r="AC62" s="2604">
        <f t="shared" ref="AC62:AH62" si="487">+(AC65+AC59+AC60)/2*AC63</f>
        <v>0</v>
      </c>
      <c r="AD62" s="2604">
        <f t="shared" si="487"/>
        <v>0</v>
      </c>
      <c r="AE62" s="2604">
        <f t="shared" si="487"/>
        <v>0</v>
      </c>
      <c r="AF62" s="2604">
        <f t="shared" si="487"/>
        <v>0</v>
      </c>
      <c r="AG62" s="2604">
        <f t="shared" si="487"/>
        <v>0</v>
      </c>
      <c r="AH62" s="2604">
        <f t="shared" si="487"/>
        <v>0</v>
      </c>
      <c r="AI62" s="397"/>
      <c r="AJ62" s="4423"/>
      <c r="AK62" s="2604">
        <f t="shared" ref="AK62:AP62" si="488">+(AK65+AK59+AK60)/2*AK63</f>
        <v>0</v>
      </c>
      <c r="AL62" s="2604">
        <f t="shared" si="488"/>
        <v>0</v>
      </c>
      <c r="AM62" s="2604">
        <f t="shared" si="488"/>
        <v>0</v>
      </c>
      <c r="AN62" s="2604">
        <f t="shared" si="488"/>
        <v>0</v>
      </c>
      <c r="AO62" s="2604">
        <f t="shared" si="488"/>
        <v>0</v>
      </c>
      <c r="AP62" s="2604">
        <f t="shared" si="488"/>
        <v>0</v>
      </c>
      <c r="AQ62" s="397"/>
      <c r="AR62" s="4423"/>
      <c r="AS62" s="416"/>
      <c r="AT62" s="416"/>
      <c r="AU62" s="416"/>
      <c r="AV62" s="416"/>
      <c r="AW62" s="416"/>
      <c r="AX62" s="417"/>
      <c r="AY62" s="4775"/>
      <c r="AZ62" s="3"/>
      <c r="BA62" s="3"/>
      <c r="BB62" s="4794">
        <f t="shared" si="448"/>
        <v>0</v>
      </c>
      <c r="BC62" s="4794">
        <f t="shared" si="448"/>
        <v>0</v>
      </c>
      <c r="BD62" s="4794">
        <f t="shared" si="449"/>
        <v>0</v>
      </c>
      <c r="BE62" s="4794">
        <f t="shared" si="450"/>
        <v>0</v>
      </c>
      <c r="BF62" s="4794">
        <f t="shared" si="451"/>
        <v>0</v>
      </c>
      <c r="BG62" s="4794">
        <f t="shared" si="452"/>
        <v>0</v>
      </c>
      <c r="BH62" s="3"/>
      <c r="BI62" s="3"/>
      <c r="BJ62" s="4794">
        <f t="shared" si="453"/>
        <v>0</v>
      </c>
      <c r="BK62" s="4794">
        <f t="shared" si="454"/>
        <v>0</v>
      </c>
      <c r="BL62" s="4794">
        <f t="shared" si="455"/>
        <v>0</v>
      </c>
      <c r="BM62" s="4794">
        <f t="shared" si="456"/>
        <v>0</v>
      </c>
      <c r="BN62" s="4794">
        <f t="shared" si="457"/>
        <v>0</v>
      </c>
      <c r="BO62" s="4794">
        <f t="shared" si="458"/>
        <v>0</v>
      </c>
      <c r="BP62" s="3"/>
      <c r="BQ62" s="3"/>
      <c r="BR62" s="4794">
        <f t="shared" si="459"/>
        <v>0</v>
      </c>
      <c r="BS62" s="4794">
        <f t="shared" si="460"/>
        <v>0</v>
      </c>
      <c r="BT62" s="4794">
        <f t="shared" si="461"/>
        <v>0</v>
      </c>
      <c r="BU62" s="4794">
        <f t="shared" si="462"/>
        <v>0</v>
      </c>
      <c r="BV62" s="4794">
        <f t="shared" si="463"/>
        <v>0</v>
      </c>
      <c r="BW62" s="4794">
        <f t="shared" si="464"/>
        <v>0</v>
      </c>
      <c r="BX62" s="3"/>
      <c r="BY62" s="3"/>
      <c r="BZ62" s="4794">
        <f t="shared" si="465"/>
        <v>0</v>
      </c>
      <c r="CA62" s="4794">
        <f t="shared" si="466"/>
        <v>0</v>
      </c>
      <c r="CB62" s="4794">
        <f t="shared" si="467"/>
        <v>0</v>
      </c>
      <c r="CC62" s="4794">
        <f t="shared" si="468"/>
        <v>0</v>
      </c>
      <c r="CD62" s="4794">
        <f t="shared" si="469"/>
        <v>0</v>
      </c>
      <c r="CE62" s="4794">
        <f t="shared" si="470"/>
        <v>0</v>
      </c>
      <c r="CF62" s="3"/>
      <c r="CG62" s="3"/>
      <c r="CH62" s="4794">
        <f t="shared" si="471"/>
        <v>0</v>
      </c>
      <c r="CI62" s="4794">
        <f t="shared" si="472"/>
        <v>0</v>
      </c>
      <c r="CJ62" s="4794">
        <f t="shared" si="473"/>
        <v>0</v>
      </c>
      <c r="CK62" s="4794">
        <f t="shared" si="474"/>
        <v>0</v>
      </c>
      <c r="CL62" s="4794">
        <f t="shared" si="475"/>
        <v>0</v>
      </c>
      <c r="CM62" s="4794">
        <f t="shared" si="476"/>
        <v>0</v>
      </c>
      <c r="CN62" s="3"/>
      <c r="CO62" s="3"/>
      <c r="CP62" s="4794">
        <f t="shared" si="477"/>
        <v>0</v>
      </c>
      <c r="CQ62" s="4794">
        <f t="shared" si="478"/>
        <v>0</v>
      </c>
      <c r="CR62" s="4794">
        <f t="shared" si="479"/>
        <v>0</v>
      </c>
      <c r="CS62" s="4794">
        <f t="shared" si="480"/>
        <v>0</v>
      </c>
      <c r="CT62" s="4794">
        <f t="shared" si="481"/>
        <v>0</v>
      </c>
      <c r="CU62" s="4794">
        <f t="shared" si="482"/>
        <v>0</v>
      </c>
    </row>
    <row r="63" spans="1:99" s="1" customFormat="1">
      <c r="A63" s="4106" t="s">
        <v>972</v>
      </c>
      <c r="B63" s="2603" t="s">
        <v>199</v>
      </c>
      <c r="C63" s="397"/>
      <c r="D63" s="4423"/>
      <c r="E63" s="1426">
        <f>+AS63</f>
        <v>0</v>
      </c>
      <c r="F63" s="1426">
        <f t="shared" ref="F63:J63" si="489">+AT63</f>
        <v>0</v>
      </c>
      <c r="G63" s="1426">
        <f t="shared" si="489"/>
        <v>0</v>
      </c>
      <c r="H63" s="1426">
        <f t="shared" si="489"/>
        <v>0</v>
      </c>
      <c r="I63" s="1426">
        <f t="shared" si="489"/>
        <v>0</v>
      </c>
      <c r="J63" s="1426">
        <f t="shared" si="489"/>
        <v>0</v>
      </c>
      <c r="K63" s="397"/>
      <c r="L63" s="4423"/>
      <c r="M63" s="1426">
        <f>+AS63</f>
        <v>0</v>
      </c>
      <c r="N63" s="1426">
        <f t="shared" ref="N63:R63" si="490">+AT63</f>
        <v>0</v>
      </c>
      <c r="O63" s="1426">
        <f t="shared" si="490"/>
        <v>0</v>
      </c>
      <c r="P63" s="1426">
        <f t="shared" si="490"/>
        <v>0</v>
      </c>
      <c r="Q63" s="1426">
        <f t="shared" si="490"/>
        <v>0</v>
      </c>
      <c r="R63" s="1426">
        <f t="shared" si="490"/>
        <v>0</v>
      </c>
      <c r="S63" s="397"/>
      <c r="T63" s="4423"/>
      <c r="U63" s="1426">
        <f>+AS63</f>
        <v>0</v>
      </c>
      <c r="V63" s="1426">
        <f t="shared" ref="V63:Z63" si="491">+AT63</f>
        <v>0</v>
      </c>
      <c r="W63" s="1426">
        <f t="shared" si="491"/>
        <v>0</v>
      </c>
      <c r="X63" s="1426">
        <f t="shared" si="491"/>
        <v>0</v>
      </c>
      <c r="Y63" s="1426">
        <f t="shared" si="491"/>
        <v>0</v>
      </c>
      <c r="Z63" s="1426">
        <f t="shared" si="491"/>
        <v>0</v>
      </c>
      <c r="AA63" s="397"/>
      <c r="AB63" s="4423"/>
      <c r="AC63" s="1426">
        <f>+AS63</f>
        <v>0</v>
      </c>
      <c r="AD63" s="1426">
        <f t="shared" ref="AD63:AH63" si="492">+AT63</f>
        <v>0</v>
      </c>
      <c r="AE63" s="1426">
        <f t="shared" si="492"/>
        <v>0</v>
      </c>
      <c r="AF63" s="1426">
        <f t="shared" si="492"/>
        <v>0</v>
      </c>
      <c r="AG63" s="1426">
        <f t="shared" si="492"/>
        <v>0</v>
      </c>
      <c r="AH63" s="1426">
        <f t="shared" si="492"/>
        <v>0</v>
      </c>
      <c r="AI63" s="397"/>
      <c r="AJ63" s="4423"/>
      <c r="AK63" s="1426">
        <f>+AS63</f>
        <v>0</v>
      </c>
      <c r="AL63" s="1426">
        <f t="shared" ref="AL63:AP63" si="493">+AT63</f>
        <v>0</v>
      </c>
      <c r="AM63" s="1426">
        <f t="shared" si="493"/>
        <v>0</v>
      </c>
      <c r="AN63" s="1426">
        <f t="shared" si="493"/>
        <v>0</v>
      </c>
      <c r="AO63" s="1426">
        <f t="shared" si="493"/>
        <v>0</v>
      </c>
      <c r="AP63" s="1426">
        <f t="shared" si="493"/>
        <v>0</v>
      </c>
      <c r="AQ63" s="397"/>
      <c r="AR63" s="4423"/>
      <c r="AS63" s="1426">
        <f t="shared" ref="AS63:AX63" si="494">IF(AND(AS59=0,AS60=0),0,AS62/((AS59+AS60+AS65)/2))</f>
        <v>0</v>
      </c>
      <c r="AT63" s="1426">
        <f t="shared" si="494"/>
        <v>0</v>
      </c>
      <c r="AU63" s="1426">
        <f t="shared" si="494"/>
        <v>0</v>
      </c>
      <c r="AV63" s="1426">
        <f t="shared" si="494"/>
        <v>0</v>
      </c>
      <c r="AW63" s="1426">
        <f t="shared" si="494"/>
        <v>0</v>
      </c>
      <c r="AX63" s="1427">
        <f t="shared" si="494"/>
        <v>0</v>
      </c>
      <c r="AY63" s="4775"/>
    </row>
    <row r="64" spans="1:99" s="1" customFormat="1">
      <c r="A64" s="4106" t="s">
        <v>973</v>
      </c>
      <c r="B64" s="2603" t="s">
        <v>200</v>
      </c>
      <c r="C64" s="397"/>
      <c r="D64" s="4423"/>
      <c r="E64" s="2611">
        <f t="shared" ref="E64:J64" si="495">E61+E62</f>
        <v>0</v>
      </c>
      <c r="F64" s="2611">
        <f t="shared" si="495"/>
        <v>0</v>
      </c>
      <c r="G64" s="2611">
        <f t="shared" si="495"/>
        <v>0</v>
      </c>
      <c r="H64" s="2611">
        <f t="shared" si="495"/>
        <v>0</v>
      </c>
      <c r="I64" s="2611">
        <f t="shared" si="495"/>
        <v>0</v>
      </c>
      <c r="J64" s="2612">
        <f t="shared" si="495"/>
        <v>0</v>
      </c>
      <c r="K64" s="397"/>
      <c r="L64" s="4423"/>
      <c r="M64" s="2611">
        <f t="shared" ref="M64:R64" si="496">M61+M62</f>
        <v>0</v>
      </c>
      <c r="N64" s="2611">
        <f t="shared" si="496"/>
        <v>0</v>
      </c>
      <c r="O64" s="2611">
        <f t="shared" si="496"/>
        <v>0</v>
      </c>
      <c r="P64" s="2611">
        <f t="shared" si="496"/>
        <v>0</v>
      </c>
      <c r="Q64" s="2611">
        <f t="shared" si="496"/>
        <v>0</v>
      </c>
      <c r="R64" s="2612">
        <f t="shared" si="496"/>
        <v>0</v>
      </c>
      <c r="S64" s="397"/>
      <c r="T64" s="4423"/>
      <c r="U64" s="2611">
        <f t="shared" ref="U64:Z64" si="497">U61+U62</f>
        <v>0</v>
      </c>
      <c r="V64" s="2611">
        <f t="shared" si="497"/>
        <v>0</v>
      </c>
      <c r="W64" s="2611">
        <f t="shared" si="497"/>
        <v>0</v>
      </c>
      <c r="X64" s="2611">
        <f t="shared" si="497"/>
        <v>0</v>
      </c>
      <c r="Y64" s="2611">
        <f t="shared" si="497"/>
        <v>0</v>
      </c>
      <c r="Z64" s="2612">
        <f t="shared" si="497"/>
        <v>0</v>
      </c>
      <c r="AA64" s="397"/>
      <c r="AB64" s="4423"/>
      <c r="AC64" s="2611">
        <f t="shared" ref="AC64:AH64" si="498">AC61+AC62</f>
        <v>0</v>
      </c>
      <c r="AD64" s="2611">
        <f t="shared" si="498"/>
        <v>0</v>
      </c>
      <c r="AE64" s="2611">
        <f t="shared" si="498"/>
        <v>0</v>
      </c>
      <c r="AF64" s="2611">
        <f t="shared" si="498"/>
        <v>0</v>
      </c>
      <c r="AG64" s="2611">
        <f t="shared" si="498"/>
        <v>0</v>
      </c>
      <c r="AH64" s="2612">
        <f t="shared" si="498"/>
        <v>0</v>
      </c>
      <c r="AI64" s="397"/>
      <c r="AJ64" s="4423"/>
      <c r="AK64" s="2611">
        <f t="shared" ref="AK64:AP64" si="499">AK61+AK62</f>
        <v>0</v>
      </c>
      <c r="AL64" s="2611">
        <f t="shared" si="499"/>
        <v>0</v>
      </c>
      <c r="AM64" s="2611">
        <f t="shared" si="499"/>
        <v>0</v>
      </c>
      <c r="AN64" s="2611">
        <f t="shared" si="499"/>
        <v>0</v>
      </c>
      <c r="AO64" s="2611">
        <f t="shared" si="499"/>
        <v>0</v>
      </c>
      <c r="AP64" s="2612">
        <f t="shared" si="499"/>
        <v>0</v>
      </c>
      <c r="AQ64" s="397"/>
      <c r="AR64" s="4423"/>
      <c r="AS64" s="2611">
        <f t="shared" ref="AS64:AX64" si="500">AS61+AS62</f>
        <v>0</v>
      </c>
      <c r="AT64" s="2611">
        <f t="shared" si="500"/>
        <v>0</v>
      </c>
      <c r="AU64" s="2611">
        <f t="shared" si="500"/>
        <v>0</v>
      </c>
      <c r="AV64" s="2611">
        <f t="shared" si="500"/>
        <v>0</v>
      </c>
      <c r="AW64" s="2611">
        <f t="shared" si="500"/>
        <v>0</v>
      </c>
      <c r="AX64" s="2612">
        <f t="shared" si="500"/>
        <v>0</v>
      </c>
      <c r="AY64" s="4775"/>
      <c r="AZ64" s="3"/>
      <c r="BA64" s="3"/>
      <c r="BB64" s="4794">
        <f t="shared" ref="BB64:BC65" si="501">IFERROR(E64/$C$1,0)</f>
        <v>0</v>
      </c>
      <c r="BC64" s="4794">
        <f t="shared" si="501"/>
        <v>0</v>
      </c>
      <c r="BD64" s="4794">
        <f t="shared" ref="BD64:BD65" si="502">IFERROR(G64/$C$1,0)</f>
        <v>0</v>
      </c>
      <c r="BE64" s="4794">
        <f t="shared" ref="BE64:BE65" si="503">IFERROR(H64/$C$1,0)</f>
        <v>0</v>
      </c>
      <c r="BF64" s="4794">
        <f t="shared" ref="BF64:BF65" si="504">IFERROR(I64/$C$1,0)</f>
        <v>0</v>
      </c>
      <c r="BG64" s="4794">
        <f t="shared" ref="BG64:BG65" si="505">IFERROR(J64/$C$1,0)</f>
        <v>0</v>
      </c>
      <c r="BH64" s="3"/>
      <c r="BI64" s="3"/>
      <c r="BJ64" s="4794">
        <f t="shared" ref="BJ64:BJ65" si="506">IFERROR(M64/$C$1,0)</f>
        <v>0</v>
      </c>
      <c r="BK64" s="4794">
        <f t="shared" ref="BK64:BK65" si="507">IFERROR(N64/$C$1,0)</f>
        <v>0</v>
      </c>
      <c r="BL64" s="4794">
        <f t="shared" ref="BL64:BL65" si="508">IFERROR(O64/$C$1,0)</f>
        <v>0</v>
      </c>
      <c r="BM64" s="4794">
        <f t="shared" ref="BM64:BM65" si="509">IFERROR(P64/$C$1,0)</f>
        <v>0</v>
      </c>
      <c r="BN64" s="4794">
        <f t="shared" ref="BN64:BN65" si="510">IFERROR(Q64/$C$1,0)</f>
        <v>0</v>
      </c>
      <c r="BO64" s="4794">
        <f t="shared" ref="BO64:BO65" si="511">IFERROR(R64/$C$1,0)</f>
        <v>0</v>
      </c>
      <c r="BP64" s="3"/>
      <c r="BQ64" s="3"/>
      <c r="BR64" s="4794">
        <f t="shared" ref="BR64:BR65" si="512">IFERROR(U64/$C$1,0)</f>
        <v>0</v>
      </c>
      <c r="BS64" s="4794">
        <f t="shared" ref="BS64:BS65" si="513">IFERROR(V64/$C$1,0)</f>
        <v>0</v>
      </c>
      <c r="BT64" s="4794">
        <f t="shared" ref="BT64:BT65" si="514">IFERROR(W64/$C$1,0)</f>
        <v>0</v>
      </c>
      <c r="BU64" s="4794">
        <f t="shared" ref="BU64:BU65" si="515">IFERROR(X64/$C$1,0)</f>
        <v>0</v>
      </c>
      <c r="BV64" s="4794">
        <f t="shared" ref="BV64:BV65" si="516">IFERROR(Y64/$C$1,0)</f>
        <v>0</v>
      </c>
      <c r="BW64" s="4794">
        <f t="shared" ref="BW64:BW65" si="517">IFERROR(Z64/$C$1,0)</f>
        <v>0</v>
      </c>
      <c r="BX64" s="3"/>
      <c r="BY64" s="3"/>
      <c r="BZ64" s="4794">
        <f t="shared" ref="BZ64:BZ65" si="518">IFERROR(AC64/$C$1,0)</f>
        <v>0</v>
      </c>
      <c r="CA64" s="4794">
        <f t="shared" ref="CA64:CA65" si="519">IFERROR(AD64/$C$1,0)</f>
        <v>0</v>
      </c>
      <c r="CB64" s="4794">
        <f t="shared" ref="CB64:CB65" si="520">IFERROR(AE64/$C$1,0)</f>
        <v>0</v>
      </c>
      <c r="CC64" s="4794">
        <f t="shared" ref="CC64:CC65" si="521">IFERROR(AF64/$C$1,0)</f>
        <v>0</v>
      </c>
      <c r="CD64" s="4794">
        <f t="shared" ref="CD64:CD65" si="522">IFERROR(AG64/$C$1,0)</f>
        <v>0</v>
      </c>
      <c r="CE64" s="4794">
        <f t="shared" ref="CE64:CE65" si="523">IFERROR(AH64/$C$1,0)</f>
        <v>0</v>
      </c>
      <c r="CF64" s="3"/>
      <c r="CG64" s="3"/>
      <c r="CH64" s="4794">
        <f t="shared" ref="CH64:CH65" si="524">IFERROR(AK64/$C$1,0)</f>
        <v>0</v>
      </c>
      <c r="CI64" s="4794">
        <f t="shared" ref="CI64:CI65" si="525">IFERROR(AL64/$C$1,0)</f>
        <v>0</v>
      </c>
      <c r="CJ64" s="4794">
        <f t="shared" ref="CJ64:CJ65" si="526">IFERROR(AM64/$C$1,0)</f>
        <v>0</v>
      </c>
      <c r="CK64" s="4794">
        <f t="shared" ref="CK64:CK65" si="527">IFERROR(AN64/$C$1,0)</f>
        <v>0</v>
      </c>
      <c r="CL64" s="4794">
        <f t="shared" ref="CL64:CL65" si="528">IFERROR(AO64/$C$1,0)</f>
        <v>0</v>
      </c>
      <c r="CM64" s="4794">
        <f t="shared" ref="CM64:CM65" si="529">IFERROR(AP64/$C$1,0)</f>
        <v>0</v>
      </c>
      <c r="CN64" s="3"/>
      <c r="CO64" s="3"/>
      <c r="CP64" s="4794">
        <f t="shared" ref="CP64:CP65" si="530">IFERROR(AS64/$C$1,0)</f>
        <v>0</v>
      </c>
      <c r="CQ64" s="4794">
        <f t="shared" ref="CQ64:CQ65" si="531">IFERROR(AT64/$C$1,0)</f>
        <v>0</v>
      </c>
      <c r="CR64" s="4794">
        <f t="shared" ref="CR64:CR65" si="532">IFERROR(AU64/$C$1,0)</f>
        <v>0</v>
      </c>
      <c r="CS64" s="4794">
        <f t="shared" ref="CS64:CS65" si="533">IFERROR(AV64/$C$1,0)</f>
        <v>0</v>
      </c>
      <c r="CT64" s="4794">
        <f t="shared" ref="CT64:CT65" si="534">IFERROR(AW64/$C$1,0)</f>
        <v>0</v>
      </c>
      <c r="CU64" s="4794">
        <f t="shared" ref="CU64:CU65" si="535">IFERROR(AX64/$C$1,0)</f>
        <v>0</v>
      </c>
    </row>
    <row r="65" spans="1:99" s="1" customFormat="1">
      <c r="A65" s="4110" t="s">
        <v>974</v>
      </c>
      <c r="B65" s="4109" t="s">
        <v>201</v>
      </c>
      <c r="C65" s="397"/>
      <c r="D65" s="4423"/>
      <c r="E65" s="2619">
        <f t="shared" ref="E65:J65" si="536">E59+E60-E61</f>
        <v>0</v>
      </c>
      <c r="F65" s="2619">
        <f t="shared" si="536"/>
        <v>0</v>
      </c>
      <c r="G65" s="2619">
        <f t="shared" si="536"/>
        <v>0</v>
      </c>
      <c r="H65" s="2619">
        <f t="shared" si="536"/>
        <v>0</v>
      </c>
      <c r="I65" s="2619">
        <f t="shared" si="536"/>
        <v>0</v>
      </c>
      <c r="J65" s="2620">
        <f t="shared" si="536"/>
        <v>0</v>
      </c>
      <c r="K65" s="397"/>
      <c r="L65" s="4423"/>
      <c r="M65" s="2619">
        <f t="shared" ref="M65:R65" si="537">M59+M60-M61</f>
        <v>0</v>
      </c>
      <c r="N65" s="2619">
        <f t="shared" si="537"/>
        <v>0</v>
      </c>
      <c r="O65" s="2619">
        <f t="shared" si="537"/>
        <v>0</v>
      </c>
      <c r="P65" s="2619">
        <f t="shared" si="537"/>
        <v>0</v>
      </c>
      <c r="Q65" s="2619">
        <f t="shared" si="537"/>
        <v>0</v>
      </c>
      <c r="R65" s="2620">
        <f t="shared" si="537"/>
        <v>0</v>
      </c>
      <c r="S65" s="397"/>
      <c r="T65" s="4423"/>
      <c r="U65" s="2619">
        <f t="shared" ref="U65:Z65" si="538">U59+U60-U61</f>
        <v>0</v>
      </c>
      <c r="V65" s="2619">
        <f t="shared" si="538"/>
        <v>0</v>
      </c>
      <c r="W65" s="2619">
        <f t="shared" si="538"/>
        <v>0</v>
      </c>
      <c r="X65" s="2619">
        <f t="shared" si="538"/>
        <v>0</v>
      </c>
      <c r="Y65" s="2619">
        <f t="shared" si="538"/>
        <v>0</v>
      </c>
      <c r="Z65" s="2620">
        <f t="shared" si="538"/>
        <v>0</v>
      </c>
      <c r="AA65" s="397"/>
      <c r="AB65" s="4423"/>
      <c r="AC65" s="2619">
        <f>AC59+AC60-AC61</f>
        <v>0</v>
      </c>
      <c r="AD65" s="2619">
        <f t="shared" ref="AD65:AH65" si="539">AD59+AD60-AD61</f>
        <v>0</v>
      </c>
      <c r="AE65" s="2619">
        <f t="shared" si="539"/>
        <v>0</v>
      </c>
      <c r="AF65" s="2619">
        <f t="shared" si="539"/>
        <v>0</v>
      </c>
      <c r="AG65" s="2619">
        <f t="shared" si="539"/>
        <v>0</v>
      </c>
      <c r="AH65" s="2620">
        <f t="shared" si="539"/>
        <v>0</v>
      </c>
      <c r="AI65" s="397"/>
      <c r="AJ65" s="4423"/>
      <c r="AK65" s="2619">
        <f t="shared" ref="AK65:AP65" si="540">AK59+AK60-AK61</f>
        <v>0</v>
      </c>
      <c r="AL65" s="2619">
        <f t="shared" si="540"/>
        <v>0</v>
      </c>
      <c r="AM65" s="2619">
        <f t="shared" si="540"/>
        <v>0</v>
      </c>
      <c r="AN65" s="2619">
        <f t="shared" si="540"/>
        <v>0</v>
      </c>
      <c r="AO65" s="2619">
        <f t="shared" si="540"/>
        <v>0</v>
      </c>
      <c r="AP65" s="2620">
        <f t="shared" si="540"/>
        <v>0</v>
      </c>
      <c r="AQ65" s="397"/>
      <c r="AR65" s="4423"/>
      <c r="AS65" s="2619">
        <f t="shared" ref="AS65:AX65" si="541">AS59+AS60-AS61</f>
        <v>0</v>
      </c>
      <c r="AT65" s="2619">
        <f t="shared" si="541"/>
        <v>0</v>
      </c>
      <c r="AU65" s="2619">
        <f t="shared" si="541"/>
        <v>0</v>
      </c>
      <c r="AV65" s="2619">
        <f t="shared" si="541"/>
        <v>0</v>
      </c>
      <c r="AW65" s="2619">
        <f t="shared" si="541"/>
        <v>0</v>
      </c>
      <c r="AX65" s="2620">
        <f t="shared" si="541"/>
        <v>0</v>
      </c>
      <c r="AY65" s="4775"/>
      <c r="AZ65" s="3"/>
      <c r="BA65" s="3"/>
      <c r="BB65" s="4794">
        <f t="shared" si="501"/>
        <v>0</v>
      </c>
      <c r="BC65" s="4794">
        <f t="shared" si="501"/>
        <v>0</v>
      </c>
      <c r="BD65" s="4794">
        <f t="shared" si="502"/>
        <v>0</v>
      </c>
      <c r="BE65" s="4794">
        <f t="shared" si="503"/>
        <v>0</v>
      </c>
      <c r="BF65" s="4794">
        <f t="shared" si="504"/>
        <v>0</v>
      </c>
      <c r="BG65" s="4794">
        <f t="shared" si="505"/>
        <v>0</v>
      </c>
      <c r="BH65" s="3"/>
      <c r="BI65" s="3"/>
      <c r="BJ65" s="4794">
        <f t="shared" si="506"/>
        <v>0</v>
      </c>
      <c r="BK65" s="4794">
        <f t="shared" si="507"/>
        <v>0</v>
      </c>
      <c r="BL65" s="4794">
        <f t="shared" si="508"/>
        <v>0</v>
      </c>
      <c r="BM65" s="4794">
        <f t="shared" si="509"/>
        <v>0</v>
      </c>
      <c r="BN65" s="4794">
        <f t="shared" si="510"/>
        <v>0</v>
      </c>
      <c r="BO65" s="4794">
        <f t="shared" si="511"/>
        <v>0</v>
      </c>
      <c r="BP65" s="3"/>
      <c r="BQ65" s="3"/>
      <c r="BR65" s="4794">
        <f t="shared" si="512"/>
        <v>0</v>
      </c>
      <c r="BS65" s="4794">
        <f t="shared" si="513"/>
        <v>0</v>
      </c>
      <c r="BT65" s="4794">
        <f t="shared" si="514"/>
        <v>0</v>
      </c>
      <c r="BU65" s="4794">
        <f t="shared" si="515"/>
        <v>0</v>
      </c>
      <c r="BV65" s="4794">
        <f t="shared" si="516"/>
        <v>0</v>
      </c>
      <c r="BW65" s="4794">
        <f t="shared" si="517"/>
        <v>0</v>
      </c>
      <c r="BX65" s="3"/>
      <c r="BY65" s="3"/>
      <c r="BZ65" s="4794">
        <f t="shared" si="518"/>
        <v>0</v>
      </c>
      <c r="CA65" s="4794">
        <f t="shared" si="519"/>
        <v>0</v>
      </c>
      <c r="CB65" s="4794">
        <f t="shared" si="520"/>
        <v>0</v>
      </c>
      <c r="CC65" s="4794">
        <f t="shared" si="521"/>
        <v>0</v>
      </c>
      <c r="CD65" s="4794">
        <f t="shared" si="522"/>
        <v>0</v>
      </c>
      <c r="CE65" s="4794">
        <f t="shared" si="523"/>
        <v>0</v>
      </c>
      <c r="CF65" s="3"/>
      <c r="CG65" s="3"/>
      <c r="CH65" s="4794">
        <f t="shared" si="524"/>
        <v>0</v>
      </c>
      <c r="CI65" s="4794">
        <f t="shared" si="525"/>
        <v>0</v>
      </c>
      <c r="CJ65" s="4794">
        <f t="shared" si="526"/>
        <v>0</v>
      </c>
      <c r="CK65" s="4794">
        <f t="shared" si="527"/>
        <v>0</v>
      </c>
      <c r="CL65" s="4794">
        <f t="shared" si="528"/>
        <v>0</v>
      </c>
      <c r="CM65" s="4794">
        <f t="shared" si="529"/>
        <v>0</v>
      </c>
      <c r="CN65" s="3"/>
      <c r="CO65" s="3"/>
      <c r="CP65" s="4794">
        <f t="shared" si="530"/>
        <v>0</v>
      </c>
      <c r="CQ65" s="4794">
        <f t="shared" si="531"/>
        <v>0</v>
      </c>
      <c r="CR65" s="4794">
        <f t="shared" si="532"/>
        <v>0</v>
      </c>
      <c r="CS65" s="4794">
        <f t="shared" si="533"/>
        <v>0</v>
      </c>
      <c r="CT65" s="4794">
        <f t="shared" si="534"/>
        <v>0</v>
      </c>
      <c r="CU65" s="4794">
        <f t="shared" si="535"/>
        <v>0</v>
      </c>
    </row>
    <row r="66" spans="1:99" s="1" customFormat="1">
      <c r="A66" s="4106" t="s">
        <v>1385</v>
      </c>
      <c r="B66" s="2603" t="s">
        <v>1382</v>
      </c>
      <c r="C66" s="397"/>
      <c r="D66" s="4423"/>
      <c r="E66" s="2629">
        <f>IFERROR('9.Инвестиционна програма'!Y147/E60,0)</f>
        <v>0</v>
      </c>
      <c r="F66" s="2629">
        <f>IFERROR(SUM('9.Инвестиционна програма'!$Y147:Z147)/SUM($E60:F60),0)</f>
        <v>0</v>
      </c>
      <c r="G66" s="2629">
        <f>IFERROR(SUM('9.Инвестиционна програма'!$Y147:AA147)/SUM($E60:G60),0)</f>
        <v>0</v>
      </c>
      <c r="H66" s="2629">
        <f>IFERROR(SUM('9.Инвестиционна програма'!$Y147:AB147)/SUM($E60:H60),0)</f>
        <v>0</v>
      </c>
      <c r="I66" s="2629">
        <f>IFERROR(SUM('9.Инвестиционна програма'!$Y147:AC147)/SUM($E60:I60),0)</f>
        <v>0</v>
      </c>
      <c r="J66" s="2630">
        <f>IFERROR(SUM('9.Инвестиционна програма'!$Y147:AD147)/SUM($E60:J60),0)</f>
        <v>0</v>
      </c>
      <c r="K66" s="1428"/>
      <c r="L66" s="4429"/>
      <c r="M66" s="2629">
        <f>IFERROR('9.Инвестиционна програма'!Y148/M60,0)</f>
        <v>0</v>
      </c>
      <c r="N66" s="2629">
        <f>IFERROR(SUM('9.Инвестиционна програма'!$Y148:Z148)/SUM($M60:N60),0)</f>
        <v>0</v>
      </c>
      <c r="O66" s="2629">
        <f>IFERROR(SUM('9.Инвестиционна програма'!$Y148:AA148)/SUM($M60:O60),0)</f>
        <v>0</v>
      </c>
      <c r="P66" s="2629">
        <f>IFERROR(SUM('9.Инвестиционна програма'!$Y148:AB148)/SUM($M60:P60),0)</f>
        <v>0</v>
      </c>
      <c r="Q66" s="2629">
        <f>IFERROR(SUM('9.Инвестиционна програма'!$Y148:AC148)/SUM($M60:Q60),0)</f>
        <v>0</v>
      </c>
      <c r="R66" s="2630">
        <f>IFERROR(SUM('9.Инвестиционна програма'!$Y148:AD148)/SUM($M60:R60),0)</f>
        <v>0</v>
      </c>
      <c r="S66" s="1428"/>
      <c r="T66" s="4429"/>
      <c r="U66" s="2629">
        <f>IFERROR('9.Инвестиционна програма'!Y149/U60,0)</f>
        <v>0</v>
      </c>
      <c r="V66" s="2629">
        <f>IFERROR(SUM('9.Инвестиционна програма'!$Y149:Z149)/SUM($U60:V60),0)</f>
        <v>0</v>
      </c>
      <c r="W66" s="2629">
        <f>IFERROR(SUM('9.Инвестиционна програма'!$Y149:AA149)/SUM($U60:W60),0)</f>
        <v>0</v>
      </c>
      <c r="X66" s="2629">
        <f>IFERROR(SUM('9.Инвестиционна програма'!$Y149:AB149)/SUM($U60:X60),0)</f>
        <v>0</v>
      </c>
      <c r="Y66" s="2629">
        <f>IFERROR(SUM('9.Инвестиционна програма'!$Y149:AC149)/SUM($U60:Y60),0)</f>
        <v>0</v>
      </c>
      <c r="Z66" s="2630">
        <f>IFERROR(SUM('9.Инвестиционна програма'!$Y149:AD149)/SUM($U60:Z60),0)</f>
        <v>0</v>
      </c>
      <c r="AA66" s="1428"/>
      <c r="AB66" s="4429"/>
      <c r="AC66" s="2629">
        <f>IFERROR('9.Инвестиционна програма'!Y150/AC60,0)</f>
        <v>0</v>
      </c>
      <c r="AD66" s="2629">
        <f>IFERROR(SUM('9.Инвестиционна програма'!$Y150:Z150)/SUM($AC60:AD60),0)</f>
        <v>0</v>
      </c>
      <c r="AE66" s="2629">
        <f>IFERROR(SUM('9.Инвестиционна програма'!$Y150:AA150)/SUM($AC60:AE60),0)</f>
        <v>0</v>
      </c>
      <c r="AF66" s="2629">
        <f>IFERROR(SUM('9.Инвестиционна програма'!$Y150:AB150)/SUM($AC60:AF60),0)</f>
        <v>0</v>
      </c>
      <c r="AG66" s="2629">
        <f>IFERROR(SUM('9.Инвестиционна програма'!$Y150:AC150)/SUM($AC60:AG60),0)</f>
        <v>0</v>
      </c>
      <c r="AH66" s="2630">
        <f>IFERROR(SUM('9.Инвестиционна програма'!$Y150:AD150)/SUM($AC60:AH60),0)</f>
        <v>0</v>
      </c>
      <c r="AI66" s="1428"/>
      <c r="AJ66" s="4429"/>
      <c r="AK66" s="2629">
        <f>IFERROR('9.Инвестиционна програма'!Y151/AK60,0)</f>
        <v>0</v>
      </c>
      <c r="AL66" s="2629">
        <f>IFERROR(SUM('9.Инвестиционна програма'!$Y151:Z151)/SUM($AK60:AL60),0)</f>
        <v>0</v>
      </c>
      <c r="AM66" s="2629">
        <f>IFERROR(SUM('9.Инвестиционна програма'!$Y151:AA151)/SUM($AK60:AM60),0)</f>
        <v>0</v>
      </c>
      <c r="AN66" s="2629">
        <f>IFERROR(SUM('9.Инвестиционна програма'!$Y151:AB151)/SUM($AK60:AN60),0)</f>
        <v>0</v>
      </c>
      <c r="AO66" s="2629">
        <f>IFERROR(SUM('9.Инвестиционна програма'!$Y151:AC151)/SUM($AK60:AO60),0)</f>
        <v>0</v>
      </c>
      <c r="AP66" s="2630">
        <f>IFERROR(SUM('9.Инвестиционна програма'!$Y151:AD151)/SUM($AK60:AP60),0)</f>
        <v>0</v>
      </c>
      <c r="AQ66" s="1428"/>
      <c r="AR66" s="4429"/>
      <c r="AS66" s="2629">
        <f>IFERROR((SUM(E60*E66,M60*M66,U60*U66,AC60*AC66,AK60*AK66)/AS60),0)</f>
        <v>0</v>
      </c>
      <c r="AT66" s="2629">
        <f>IFERROR(((SUM($E60:F60)*F66+SUM($M60:N60)*N66+SUM($U60:V60)*V66+SUM($AC60:AD60)*AD66+SUM($AK60:AL60)*AL66)/SUM($AS60:AT60)),0)</f>
        <v>0</v>
      </c>
      <c r="AU66" s="2629">
        <f>IFERROR(((SUM($E60:G60)*G66+SUM($M60:O60)*O66+SUM($U60:W60)*W66+SUM($AC60:AE60)*AE66+SUM($AK60:AM60)*AM66)/SUM($AS60:AU60)),0)</f>
        <v>0</v>
      </c>
      <c r="AV66" s="2629">
        <f>IFERROR(((SUM($E60:H60)*H66+SUM($M60:P60)*P66+SUM($U60:X60)*X66+SUM($AC60:AF60)*AF66+SUM($AK60:AN60)*AN66)/SUM($AS60:AV60)),0)</f>
        <v>0</v>
      </c>
      <c r="AW66" s="2629">
        <f>IFERROR(((SUM($E60:I60)*I66+SUM($M60:Q60)*Q66+SUM($U60:Y60)*Y66+SUM($AC60:AG60)*AG66+SUM($AK60:AO60)*AO66)/SUM($AS60:AW60)),0)</f>
        <v>0</v>
      </c>
      <c r="AX66" s="2630">
        <f>IFERROR(((SUM($E60:J60)*J66+SUM($M60:R60)*R66+SUM($U60:Z60)*Z66+SUM($AC60:AH60)*AH66+SUM($AK60:AP60)*AP66)/SUM($AS60:AX60)),0)</f>
        <v>0</v>
      </c>
      <c r="AY66" s="4775"/>
    </row>
    <row r="67" spans="1:99" s="1" customFormat="1" ht="13.5" thickBot="1">
      <c r="A67" s="4108" t="s">
        <v>1386</v>
      </c>
      <c r="B67" s="2622" t="s">
        <v>1384</v>
      </c>
      <c r="C67" s="397"/>
      <c r="D67" s="4423"/>
      <c r="E67" s="2631">
        <f>IF(E60&gt;0,1-E66,0)</f>
        <v>0</v>
      </c>
      <c r="F67" s="2631">
        <f>IF(SUM($E60:F60)&gt;0,1-F66,0)</f>
        <v>0</v>
      </c>
      <c r="G67" s="2631">
        <f>IF(SUM($E60:G60)&gt;0,1-G66,0)</f>
        <v>0</v>
      </c>
      <c r="H67" s="2631">
        <f>IF(SUM($E60:H60)&gt;0,1-H66,0)</f>
        <v>0</v>
      </c>
      <c r="I67" s="2631">
        <f>IF(SUM($E60:I60)&gt;0,1-I66,0)</f>
        <v>0</v>
      </c>
      <c r="J67" s="2632">
        <f>IF(SUM($E60:J60)&gt;0,1-J66,0)</f>
        <v>0</v>
      </c>
      <c r="K67" s="1428"/>
      <c r="L67" s="4429"/>
      <c r="M67" s="2631">
        <f>IF(M60&gt;0,1-M66,0)</f>
        <v>0</v>
      </c>
      <c r="N67" s="2631">
        <f>IF(SUM($M60:N60)&gt;0,1-N66,0)</f>
        <v>0</v>
      </c>
      <c r="O67" s="2631">
        <f>IF(SUM($M60:O60)&gt;0,1-O66,0)</f>
        <v>0</v>
      </c>
      <c r="P67" s="2631">
        <f>IF(SUM($M60:P60)&gt;0,1-P66,0)</f>
        <v>0</v>
      </c>
      <c r="Q67" s="2631">
        <f>IF(SUM($M60:Q60)&gt;0,1-Q66,0)</f>
        <v>0</v>
      </c>
      <c r="R67" s="2632">
        <f>IF(SUM($M60:R60)&gt;0,1-R66,0)</f>
        <v>0</v>
      </c>
      <c r="S67" s="1428"/>
      <c r="T67" s="4429"/>
      <c r="U67" s="2631">
        <f>IF(U60&gt;0,1-U66,0)</f>
        <v>0</v>
      </c>
      <c r="V67" s="2631">
        <f>IF(SUM($U60:V60)&gt;0,1-V66,0)</f>
        <v>0</v>
      </c>
      <c r="W67" s="2631">
        <f>IF(SUM($U60:W60)&gt;0,1-W66,0)</f>
        <v>0</v>
      </c>
      <c r="X67" s="2631">
        <f>IF(SUM($U60:X60)&gt;0,1-X66,0)</f>
        <v>0</v>
      </c>
      <c r="Y67" s="2631">
        <f>IF(SUM($U60:Y60)&gt;0,1-Y66,0)</f>
        <v>0</v>
      </c>
      <c r="Z67" s="2632">
        <f>IF(SUM($U60:Z60)&gt;0,1-Z66,0)</f>
        <v>0</v>
      </c>
      <c r="AA67" s="1428"/>
      <c r="AB67" s="4429"/>
      <c r="AC67" s="2631">
        <f>IF(AC60&gt;0,1-AC66,0)</f>
        <v>0</v>
      </c>
      <c r="AD67" s="2631">
        <f>IF(SUM($AC60:AD60)&gt;0,1-AD66,0)</f>
        <v>0</v>
      </c>
      <c r="AE67" s="2631">
        <f>IF(SUM($AC60:AE60)&gt;0,1-AE66,0)</f>
        <v>0</v>
      </c>
      <c r="AF67" s="2631">
        <f>IF(SUM($AC60:AF60)&gt;0,1-AF66,0)</f>
        <v>0</v>
      </c>
      <c r="AG67" s="2631">
        <f>IF(SUM($AC60:AG60)&gt;0,1-AG66,0)</f>
        <v>0</v>
      </c>
      <c r="AH67" s="2632">
        <f>IF(SUM($AC60:AH60)&gt;0,1-AH66,0)</f>
        <v>0</v>
      </c>
      <c r="AI67" s="1428"/>
      <c r="AJ67" s="4429"/>
      <c r="AK67" s="2631">
        <f>IF(AK60&gt;0,1-AK66,0)</f>
        <v>0</v>
      </c>
      <c r="AL67" s="2631">
        <f>IF(SUM($AK60:AL60)&gt;0,1-AL66,0)</f>
        <v>0</v>
      </c>
      <c r="AM67" s="2631">
        <f>IF(SUM($AK60:AM60)&gt;0,1-AM66,0)</f>
        <v>0</v>
      </c>
      <c r="AN67" s="2631">
        <f>IF(SUM($AK60:AN60)&gt;0,1-AN66,0)</f>
        <v>0</v>
      </c>
      <c r="AO67" s="2631">
        <f>IF(SUM($AK60:AO60)&gt;0,1-AO66,0)</f>
        <v>0</v>
      </c>
      <c r="AP67" s="2632">
        <f>IF(SUM($AK60:AP60)&gt;0,1-AP66,0)</f>
        <v>0</v>
      </c>
      <c r="AQ67" s="4237"/>
      <c r="AR67" s="4431"/>
      <c r="AS67" s="2631">
        <f>IF(AS60&gt;0,1-AS66,0)</f>
        <v>0</v>
      </c>
      <c r="AT67" s="2631">
        <f>IF(SUM($AS60:AT60)&gt;0,1-AT66,0)</f>
        <v>0</v>
      </c>
      <c r="AU67" s="2631">
        <f>IF(SUM($AS60:AU60)&gt;0,1-AU66,0)</f>
        <v>0</v>
      </c>
      <c r="AV67" s="2631">
        <f>IF(SUM($AS60:AV60)&gt;0,1-AV66,0)</f>
        <v>0</v>
      </c>
      <c r="AW67" s="2631">
        <f>IF(SUM($AS60:AW60)&gt;0,1-AW66,0)</f>
        <v>0</v>
      </c>
      <c r="AX67" s="2632">
        <f>IF(SUM($AS60:AX60)&gt;0,1-AX66,0)</f>
        <v>0</v>
      </c>
      <c r="AY67" s="4775"/>
    </row>
    <row r="68" spans="1:99" s="1" customFormat="1" ht="13.5" customHeight="1" thickBot="1">
      <c r="A68" s="5348" t="s">
        <v>1856</v>
      </c>
      <c r="B68" s="5355" t="s">
        <v>1857</v>
      </c>
      <c r="C68" s="5342" t="s">
        <v>210</v>
      </c>
      <c r="D68" s="5343"/>
      <c r="E68" s="5343"/>
      <c r="F68" s="5343"/>
      <c r="G68" s="5343"/>
      <c r="H68" s="5343"/>
      <c r="I68" s="5343"/>
      <c r="J68" s="5344"/>
      <c r="K68" s="5342" t="s">
        <v>174</v>
      </c>
      <c r="L68" s="5343"/>
      <c r="M68" s="5343"/>
      <c r="N68" s="5343"/>
      <c r="O68" s="5343"/>
      <c r="P68" s="5343"/>
      <c r="Q68" s="5343"/>
      <c r="R68" s="5344"/>
      <c r="S68" s="5345" t="s">
        <v>184</v>
      </c>
      <c r="T68" s="5346"/>
      <c r="U68" s="5346"/>
      <c r="V68" s="5346"/>
      <c r="W68" s="5346"/>
      <c r="X68" s="5346"/>
      <c r="Y68" s="5346"/>
      <c r="Z68" s="5347"/>
      <c r="AA68" s="5356" t="s">
        <v>1029</v>
      </c>
      <c r="AB68" s="5357"/>
      <c r="AC68" s="5357"/>
      <c r="AD68" s="5357"/>
      <c r="AE68" s="5357"/>
      <c r="AF68" s="5357"/>
      <c r="AG68" s="5357"/>
      <c r="AH68" s="5358"/>
      <c r="AI68" s="5356" t="s">
        <v>1092</v>
      </c>
      <c r="AJ68" s="5357"/>
      <c r="AK68" s="5357"/>
      <c r="AL68" s="5357"/>
      <c r="AM68" s="5357"/>
      <c r="AN68" s="5357"/>
      <c r="AO68" s="5357"/>
      <c r="AP68" s="5358"/>
      <c r="AQ68" s="5356" t="s">
        <v>1250</v>
      </c>
      <c r="AR68" s="5357"/>
      <c r="AS68" s="5357"/>
      <c r="AT68" s="5357"/>
      <c r="AU68" s="5357"/>
      <c r="AV68" s="5357"/>
      <c r="AW68" s="5357"/>
      <c r="AX68" s="5358"/>
      <c r="AY68" s="4775"/>
    </row>
    <row r="69" spans="1:99" s="1" customFormat="1" ht="13.5" thickBot="1">
      <c r="A69" s="5349"/>
      <c r="B69" s="5351"/>
      <c r="C69" s="2626" t="str">
        <f>C36</f>
        <v>2024 г.</v>
      </c>
      <c r="D69" s="4421" t="str">
        <f>D36</f>
        <v>2025 г.</v>
      </c>
      <c r="E69" s="2627" t="str">
        <f t="shared" ref="E69:AX69" si="542">E36</f>
        <v>2026 г.</v>
      </c>
      <c r="F69" s="2627" t="str">
        <f t="shared" si="542"/>
        <v>2027 г.</v>
      </c>
      <c r="G69" s="2627" t="str">
        <f t="shared" si="542"/>
        <v>2028 г.</v>
      </c>
      <c r="H69" s="2627" t="str">
        <f t="shared" si="542"/>
        <v>2029 г.</v>
      </c>
      <c r="I69" s="2627" t="str">
        <f t="shared" si="542"/>
        <v>2030 г.</v>
      </c>
      <c r="J69" s="2628" t="str">
        <f t="shared" si="542"/>
        <v>2031 г.</v>
      </c>
      <c r="K69" s="2626" t="str">
        <f>K36</f>
        <v>2024 г.</v>
      </c>
      <c r="L69" s="4421" t="str">
        <f>L36</f>
        <v>2025 г.</v>
      </c>
      <c r="M69" s="2627" t="str">
        <f t="shared" si="542"/>
        <v>2026 г.</v>
      </c>
      <c r="N69" s="2627" t="str">
        <f t="shared" si="542"/>
        <v>2027 г.</v>
      </c>
      <c r="O69" s="2627" t="str">
        <f t="shared" si="542"/>
        <v>2028 г.</v>
      </c>
      <c r="P69" s="2627" t="str">
        <f t="shared" si="542"/>
        <v>2029 г.</v>
      </c>
      <c r="Q69" s="2627" t="str">
        <f t="shared" si="542"/>
        <v>2030 г.</v>
      </c>
      <c r="R69" s="2628" t="str">
        <f t="shared" si="542"/>
        <v>2031 г.</v>
      </c>
      <c r="S69" s="2626" t="str">
        <f>S36</f>
        <v>2024 г.</v>
      </c>
      <c r="T69" s="4421" t="str">
        <f>T36</f>
        <v>2025 г.</v>
      </c>
      <c r="U69" s="2627" t="str">
        <f t="shared" si="542"/>
        <v>2026 г.</v>
      </c>
      <c r="V69" s="2627" t="str">
        <f t="shared" si="542"/>
        <v>2027 г.</v>
      </c>
      <c r="W69" s="2627" t="str">
        <f t="shared" si="542"/>
        <v>2028 г.</v>
      </c>
      <c r="X69" s="2627" t="str">
        <f t="shared" si="542"/>
        <v>2029 г.</v>
      </c>
      <c r="Y69" s="2627" t="str">
        <f t="shared" si="542"/>
        <v>2030 г.</v>
      </c>
      <c r="Z69" s="2628" t="str">
        <f t="shared" si="542"/>
        <v>2031 г.</v>
      </c>
      <c r="AA69" s="2626" t="str">
        <f>AA36</f>
        <v>2024 г.</v>
      </c>
      <c r="AB69" s="4421" t="str">
        <f>AB36</f>
        <v>2025 г.</v>
      </c>
      <c r="AC69" s="2627" t="str">
        <f t="shared" si="542"/>
        <v>2026 г.</v>
      </c>
      <c r="AD69" s="2627" t="str">
        <f t="shared" si="542"/>
        <v>2027 г.</v>
      </c>
      <c r="AE69" s="2627" t="str">
        <f t="shared" si="542"/>
        <v>2028 г.</v>
      </c>
      <c r="AF69" s="2627" t="str">
        <f t="shared" si="542"/>
        <v>2029 г.</v>
      </c>
      <c r="AG69" s="2627" t="str">
        <f t="shared" si="542"/>
        <v>2030 г.</v>
      </c>
      <c r="AH69" s="2628" t="str">
        <f t="shared" si="542"/>
        <v>2031 г.</v>
      </c>
      <c r="AI69" s="2597" t="str">
        <f>AI36</f>
        <v>2024 г.</v>
      </c>
      <c r="AJ69" s="2600" t="str">
        <f>AJ36</f>
        <v>2025 г.</v>
      </c>
      <c r="AK69" s="2598" t="str">
        <f t="shared" si="542"/>
        <v>2026 г.</v>
      </c>
      <c r="AL69" s="2598" t="str">
        <f t="shared" si="542"/>
        <v>2027 г.</v>
      </c>
      <c r="AM69" s="2598" t="str">
        <f t="shared" si="542"/>
        <v>2028 г.</v>
      </c>
      <c r="AN69" s="2598" t="str">
        <f t="shared" si="542"/>
        <v>2029 г.</v>
      </c>
      <c r="AO69" s="2598" t="str">
        <f t="shared" si="542"/>
        <v>2030 г.</v>
      </c>
      <c r="AP69" s="2599" t="str">
        <f t="shared" si="542"/>
        <v>2031 г.</v>
      </c>
      <c r="AQ69" s="2597" t="str">
        <f>AQ36</f>
        <v>2024 г.</v>
      </c>
      <c r="AR69" s="2600" t="str">
        <f>AR36</f>
        <v>2025 г.</v>
      </c>
      <c r="AS69" s="2598" t="str">
        <f t="shared" si="542"/>
        <v>2026 г.</v>
      </c>
      <c r="AT69" s="2598" t="str">
        <f t="shared" si="542"/>
        <v>2027 г.</v>
      </c>
      <c r="AU69" s="2598" t="str">
        <f t="shared" si="542"/>
        <v>2028 г.</v>
      </c>
      <c r="AV69" s="2598" t="str">
        <f t="shared" si="542"/>
        <v>2029 г.</v>
      </c>
      <c r="AW69" s="2598" t="str">
        <f t="shared" si="542"/>
        <v>2030 г.</v>
      </c>
      <c r="AX69" s="2599" t="str">
        <f t="shared" si="542"/>
        <v>2031 г.</v>
      </c>
      <c r="AY69" s="4775"/>
    </row>
    <row r="70" spans="1:99" s="1" customFormat="1">
      <c r="A70" s="4106" t="s">
        <v>975</v>
      </c>
      <c r="B70" s="2601" t="s">
        <v>195</v>
      </c>
      <c r="C70" s="398"/>
      <c r="D70" s="4422"/>
      <c r="E70" s="1423">
        <f t="shared" ref="E70:J70" si="543">D76</f>
        <v>0</v>
      </c>
      <c r="F70" s="1424">
        <f t="shared" si="543"/>
        <v>0</v>
      </c>
      <c r="G70" s="1424">
        <f t="shared" si="543"/>
        <v>0</v>
      </c>
      <c r="H70" s="1424">
        <f t="shared" si="543"/>
        <v>0</v>
      </c>
      <c r="I70" s="1424">
        <f t="shared" si="543"/>
        <v>0</v>
      </c>
      <c r="J70" s="1425">
        <f t="shared" si="543"/>
        <v>0</v>
      </c>
      <c r="K70" s="398"/>
      <c r="L70" s="4422"/>
      <c r="M70" s="1423">
        <f t="shared" ref="M70:R70" si="544">L76</f>
        <v>0</v>
      </c>
      <c r="N70" s="1424">
        <f t="shared" si="544"/>
        <v>0</v>
      </c>
      <c r="O70" s="1424">
        <f t="shared" si="544"/>
        <v>0</v>
      </c>
      <c r="P70" s="1424">
        <f t="shared" si="544"/>
        <v>0</v>
      </c>
      <c r="Q70" s="1424">
        <f t="shared" si="544"/>
        <v>0</v>
      </c>
      <c r="R70" s="1425">
        <f t="shared" si="544"/>
        <v>0</v>
      </c>
      <c r="S70" s="398"/>
      <c r="T70" s="4422"/>
      <c r="U70" s="1423">
        <f t="shared" ref="U70:Z70" si="545">T76</f>
        <v>0</v>
      </c>
      <c r="V70" s="1424">
        <f t="shared" si="545"/>
        <v>0</v>
      </c>
      <c r="W70" s="1424">
        <f t="shared" si="545"/>
        <v>0</v>
      </c>
      <c r="X70" s="1424">
        <f t="shared" si="545"/>
        <v>0</v>
      </c>
      <c r="Y70" s="1424">
        <f t="shared" si="545"/>
        <v>0</v>
      </c>
      <c r="Z70" s="1425">
        <f t="shared" si="545"/>
        <v>0</v>
      </c>
      <c r="AA70" s="398"/>
      <c r="AB70" s="4422"/>
      <c r="AC70" s="1423">
        <f t="shared" ref="AC70:AH70" si="546">AB76</f>
        <v>0</v>
      </c>
      <c r="AD70" s="1424">
        <f t="shared" si="546"/>
        <v>0</v>
      </c>
      <c r="AE70" s="1424">
        <f t="shared" si="546"/>
        <v>0</v>
      </c>
      <c r="AF70" s="1424">
        <f t="shared" si="546"/>
        <v>0</v>
      </c>
      <c r="AG70" s="1424">
        <f t="shared" si="546"/>
        <v>0</v>
      </c>
      <c r="AH70" s="1425">
        <f t="shared" si="546"/>
        <v>0</v>
      </c>
      <c r="AI70" s="398"/>
      <c r="AJ70" s="4422"/>
      <c r="AK70" s="1423">
        <f t="shared" ref="AK70:AP70" si="547">AJ76</f>
        <v>0</v>
      </c>
      <c r="AL70" s="1424">
        <f t="shared" si="547"/>
        <v>0</v>
      </c>
      <c r="AM70" s="1424">
        <f t="shared" si="547"/>
        <v>0</v>
      </c>
      <c r="AN70" s="1424">
        <f t="shared" si="547"/>
        <v>0</v>
      </c>
      <c r="AO70" s="1424">
        <f t="shared" si="547"/>
        <v>0</v>
      </c>
      <c r="AP70" s="1425">
        <f t="shared" si="547"/>
        <v>0</v>
      </c>
      <c r="AQ70" s="398"/>
      <c r="AR70" s="4422"/>
      <c r="AS70" s="1423">
        <f t="shared" ref="AS70:AX70" si="548">AR76</f>
        <v>0</v>
      </c>
      <c r="AT70" s="1424">
        <f t="shared" si="548"/>
        <v>0</v>
      </c>
      <c r="AU70" s="1424">
        <f t="shared" si="548"/>
        <v>0</v>
      </c>
      <c r="AV70" s="1424">
        <f t="shared" si="548"/>
        <v>0</v>
      </c>
      <c r="AW70" s="1424">
        <f t="shared" si="548"/>
        <v>0</v>
      </c>
      <c r="AX70" s="1425">
        <f t="shared" si="548"/>
        <v>0</v>
      </c>
      <c r="AY70" s="4775"/>
      <c r="AZ70" s="3"/>
      <c r="BA70" s="3"/>
      <c r="BB70" s="4794">
        <f t="shared" ref="BB70:BC73" si="549">IFERROR(E70/$C$1,0)</f>
        <v>0</v>
      </c>
      <c r="BC70" s="4794">
        <f t="shared" si="549"/>
        <v>0</v>
      </c>
      <c r="BD70" s="4794">
        <f t="shared" ref="BD70:BD73" si="550">IFERROR(G70/$C$1,0)</f>
        <v>0</v>
      </c>
      <c r="BE70" s="4794">
        <f t="shared" ref="BE70:BE73" si="551">IFERROR(H70/$C$1,0)</f>
        <v>0</v>
      </c>
      <c r="BF70" s="4794">
        <f t="shared" ref="BF70:BF73" si="552">IFERROR(I70/$C$1,0)</f>
        <v>0</v>
      </c>
      <c r="BG70" s="4794">
        <f t="shared" ref="BG70:BG73" si="553">IFERROR(J70/$C$1,0)</f>
        <v>0</v>
      </c>
      <c r="BH70" s="3"/>
      <c r="BI70" s="3"/>
      <c r="BJ70" s="4794">
        <f t="shared" ref="BJ70:BJ73" si="554">IFERROR(M70/$C$1,0)</f>
        <v>0</v>
      </c>
      <c r="BK70" s="4794">
        <f t="shared" ref="BK70:BK73" si="555">IFERROR(N70/$C$1,0)</f>
        <v>0</v>
      </c>
      <c r="BL70" s="4794">
        <f t="shared" ref="BL70:BL73" si="556">IFERROR(O70/$C$1,0)</f>
        <v>0</v>
      </c>
      <c r="BM70" s="4794">
        <f t="shared" ref="BM70:BM73" si="557">IFERROR(P70/$C$1,0)</f>
        <v>0</v>
      </c>
      <c r="BN70" s="4794">
        <f t="shared" ref="BN70:BN73" si="558">IFERROR(Q70/$C$1,0)</f>
        <v>0</v>
      </c>
      <c r="BO70" s="4794">
        <f t="shared" ref="BO70:BO73" si="559">IFERROR(R70/$C$1,0)</f>
        <v>0</v>
      </c>
      <c r="BP70" s="3"/>
      <c r="BQ70" s="3"/>
      <c r="BR70" s="4794">
        <f t="shared" ref="BR70:BR73" si="560">IFERROR(U70/$C$1,0)</f>
        <v>0</v>
      </c>
      <c r="BS70" s="4794">
        <f t="shared" ref="BS70:BS73" si="561">IFERROR(V70/$C$1,0)</f>
        <v>0</v>
      </c>
      <c r="BT70" s="4794">
        <f t="shared" ref="BT70:BT73" si="562">IFERROR(W70/$C$1,0)</f>
        <v>0</v>
      </c>
      <c r="BU70" s="4794">
        <f t="shared" ref="BU70:BU73" si="563">IFERROR(X70/$C$1,0)</f>
        <v>0</v>
      </c>
      <c r="BV70" s="4794">
        <f t="shared" ref="BV70:BV73" si="564">IFERROR(Y70/$C$1,0)</f>
        <v>0</v>
      </c>
      <c r="BW70" s="4794">
        <f t="shared" ref="BW70:BW73" si="565">IFERROR(Z70/$C$1,0)</f>
        <v>0</v>
      </c>
      <c r="BX70" s="3"/>
      <c r="BY70" s="3"/>
      <c r="BZ70" s="4794">
        <f t="shared" ref="BZ70:BZ73" si="566">IFERROR(AC70/$C$1,0)</f>
        <v>0</v>
      </c>
      <c r="CA70" s="4794">
        <f t="shared" ref="CA70:CA73" si="567">IFERROR(AD70/$C$1,0)</f>
        <v>0</v>
      </c>
      <c r="CB70" s="4794">
        <f t="shared" ref="CB70:CB73" si="568">IFERROR(AE70/$C$1,0)</f>
        <v>0</v>
      </c>
      <c r="CC70" s="4794">
        <f t="shared" ref="CC70:CC73" si="569">IFERROR(AF70/$C$1,0)</f>
        <v>0</v>
      </c>
      <c r="CD70" s="4794">
        <f t="shared" ref="CD70:CD73" si="570">IFERROR(AG70/$C$1,0)</f>
        <v>0</v>
      </c>
      <c r="CE70" s="4794">
        <f t="shared" ref="CE70:CE73" si="571">IFERROR(AH70/$C$1,0)</f>
        <v>0</v>
      </c>
      <c r="CF70" s="3"/>
      <c r="CG70" s="3"/>
      <c r="CH70" s="4794">
        <f t="shared" ref="CH70:CH73" si="572">IFERROR(AK70/$C$1,0)</f>
        <v>0</v>
      </c>
      <c r="CI70" s="4794">
        <f t="shared" ref="CI70:CI73" si="573">IFERROR(AL70/$C$1,0)</f>
        <v>0</v>
      </c>
      <c r="CJ70" s="4794">
        <f t="shared" ref="CJ70:CJ73" si="574">IFERROR(AM70/$C$1,0)</f>
        <v>0</v>
      </c>
      <c r="CK70" s="4794">
        <f t="shared" ref="CK70:CK73" si="575">IFERROR(AN70/$C$1,0)</f>
        <v>0</v>
      </c>
      <c r="CL70" s="4794">
        <f t="shared" ref="CL70:CL73" si="576">IFERROR(AO70/$C$1,0)</f>
        <v>0</v>
      </c>
      <c r="CM70" s="4794">
        <f t="shared" ref="CM70:CM73" si="577">IFERROR(AP70/$C$1,0)</f>
        <v>0</v>
      </c>
      <c r="CN70" s="3"/>
      <c r="CO70" s="3"/>
      <c r="CP70" s="4794">
        <f t="shared" ref="CP70:CP73" si="578">IFERROR(AS70/$C$1,0)</f>
        <v>0</v>
      </c>
      <c r="CQ70" s="4794">
        <f t="shared" ref="CQ70:CQ73" si="579">IFERROR(AT70/$C$1,0)</f>
        <v>0</v>
      </c>
      <c r="CR70" s="4794">
        <f t="shared" ref="CR70:CR73" si="580">IFERROR(AU70/$C$1,0)</f>
        <v>0</v>
      </c>
      <c r="CS70" s="4794">
        <f t="shared" ref="CS70:CS73" si="581">IFERROR(AV70/$C$1,0)</f>
        <v>0</v>
      </c>
      <c r="CT70" s="4794">
        <f t="shared" ref="CT70:CT73" si="582">IFERROR(AW70/$C$1,0)</f>
        <v>0</v>
      </c>
      <c r="CU70" s="4794">
        <f t="shared" ref="CU70:CU73" si="583">IFERROR(AX70/$C$1,0)</f>
        <v>0</v>
      </c>
    </row>
    <row r="71" spans="1:99" s="1" customFormat="1">
      <c r="A71" s="4106" t="s">
        <v>976</v>
      </c>
      <c r="B71" s="2603" t="s">
        <v>196</v>
      </c>
      <c r="C71" s="397"/>
      <c r="D71" s="4423"/>
      <c r="E71" s="2604">
        <f>+'9.Инвестиционна програма'!AG140</f>
        <v>0</v>
      </c>
      <c r="F71" s="2604">
        <f>+'9.Инвестиционна програма'!AH140</f>
        <v>0</v>
      </c>
      <c r="G71" s="2604">
        <f>+'9.Инвестиционна програма'!AI140</f>
        <v>0</v>
      </c>
      <c r="H71" s="2604">
        <f>+'9.Инвестиционна програма'!AJ140</f>
        <v>0</v>
      </c>
      <c r="I71" s="2604">
        <f>+'9.Инвестиционна програма'!AK140</f>
        <v>0</v>
      </c>
      <c r="J71" s="2605">
        <f>+'9.Инвестиционна програма'!AL140</f>
        <v>0</v>
      </c>
      <c r="K71" s="397"/>
      <c r="L71" s="4423"/>
      <c r="M71" s="2604">
        <f>+'9.Инвестиционна програма'!AG141</f>
        <v>0</v>
      </c>
      <c r="N71" s="2604">
        <f>+'9.Инвестиционна програма'!AH141</f>
        <v>0</v>
      </c>
      <c r="O71" s="2604">
        <f>+'9.Инвестиционна програма'!AI141</f>
        <v>0</v>
      </c>
      <c r="P71" s="2604">
        <f>+'9.Инвестиционна програма'!AJ141</f>
        <v>0</v>
      </c>
      <c r="Q71" s="2604">
        <f>+'9.Инвестиционна програма'!AK141</f>
        <v>0</v>
      </c>
      <c r="R71" s="2604">
        <f>+'9.Инвестиционна програма'!AL141</f>
        <v>0</v>
      </c>
      <c r="S71" s="397"/>
      <c r="T71" s="4423"/>
      <c r="U71" s="2604">
        <f>+'9.Инвестиционна програма'!AG142</f>
        <v>0</v>
      </c>
      <c r="V71" s="2604">
        <f>+'9.Инвестиционна програма'!AH142</f>
        <v>0</v>
      </c>
      <c r="W71" s="2604">
        <f>+'9.Инвестиционна програма'!AI142</f>
        <v>0</v>
      </c>
      <c r="X71" s="2604">
        <f>+'9.Инвестиционна програма'!AJ142</f>
        <v>0</v>
      </c>
      <c r="Y71" s="2604">
        <f>+'9.Инвестиционна програма'!AK142</f>
        <v>0</v>
      </c>
      <c r="Z71" s="2604">
        <f>+'9.Инвестиционна програма'!AL142</f>
        <v>0</v>
      </c>
      <c r="AA71" s="397"/>
      <c r="AB71" s="4423"/>
      <c r="AC71" s="2604">
        <f>+'9.Инвестиционна програма'!AG143</f>
        <v>0</v>
      </c>
      <c r="AD71" s="2604">
        <f>+'9.Инвестиционна програма'!AH143</f>
        <v>0</v>
      </c>
      <c r="AE71" s="2604">
        <f>+'9.Инвестиционна програма'!AI143</f>
        <v>0</v>
      </c>
      <c r="AF71" s="2604">
        <f>+'9.Инвестиционна програма'!AJ143</f>
        <v>0</v>
      </c>
      <c r="AG71" s="2604">
        <f>+'9.Инвестиционна програма'!AK143</f>
        <v>0</v>
      </c>
      <c r="AH71" s="2604">
        <f>+'9.Инвестиционна програма'!AL143</f>
        <v>0</v>
      </c>
      <c r="AI71" s="397"/>
      <c r="AJ71" s="4423"/>
      <c r="AK71" s="2604">
        <f>+'9.Инвестиционна програма'!AG144</f>
        <v>0</v>
      </c>
      <c r="AL71" s="2604">
        <f>+'9.Инвестиционна програма'!AH144</f>
        <v>0</v>
      </c>
      <c r="AM71" s="2604">
        <f>+'9.Инвестиционна програма'!AI144</f>
        <v>0</v>
      </c>
      <c r="AN71" s="2604">
        <f>+'9.Инвестиционна програма'!AJ144</f>
        <v>0</v>
      </c>
      <c r="AO71" s="2604">
        <f>+'9.Инвестиционна програма'!AK144</f>
        <v>0</v>
      </c>
      <c r="AP71" s="2604">
        <f>+'9.Инвестиционна програма'!AL144</f>
        <v>0</v>
      </c>
      <c r="AQ71" s="397"/>
      <c r="AR71" s="4423"/>
      <c r="AS71" s="2604">
        <f t="shared" ref="AS71:AX71" si="584">E71+M71+U71+AC71+AK71</f>
        <v>0</v>
      </c>
      <c r="AT71" s="2604">
        <f t="shared" si="584"/>
        <v>0</v>
      </c>
      <c r="AU71" s="2604">
        <f t="shared" si="584"/>
        <v>0</v>
      </c>
      <c r="AV71" s="2604">
        <f t="shared" si="584"/>
        <v>0</v>
      </c>
      <c r="AW71" s="2604">
        <f t="shared" si="584"/>
        <v>0</v>
      </c>
      <c r="AX71" s="2605">
        <f t="shared" si="584"/>
        <v>0</v>
      </c>
      <c r="AY71" s="4775"/>
      <c r="AZ71" s="3"/>
      <c r="BA71" s="3"/>
      <c r="BB71" s="4794">
        <f t="shared" si="549"/>
        <v>0</v>
      </c>
      <c r="BC71" s="4794">
        <f t="shared" si="549"/>
        <v>0</v>
      </c>
      <c r="BD71" s="4794">
        <f t="shared" si="550"/>
        <v>0</v>
      </c>
      <c r="BE71" s="4794">
        <f t="shared" si="551"/>
        <v>0</v>
      </c>
      <c r="BF71" s="4794">
        <f t="shared" si="552"/>
        <v>0</v>
      </c>
      <c r="BG71" s="4794">
        <f t="shared" si="553"/>
        <v>0</v>
      </c>
      <c r="BH71" s="3"/>
      <c r="BI71" s="3"/>
      <c r="BJ71" s="4794">
        <f t="shared" si="554"/>
        <v>0</v>
      </c>
      <c r="BK71" s="4794">
        <f t="shared" si="555"/>
        <v>0</v>
      </c>
      <c r="BL71" s="4794">
        <f t="shared" si="556"/>
        <v>0</v>
      </c>
      <c r="BM71" s="4794">
        <f t="shared" si="557"/>
        <v>0</v>
      </c>
      <c r="BN71" s="4794">
        <f t="shared" si="558"/>
        <v>0</v>
      </c>
      <c r="BO71" s="4794">
        <f t="shared" si="559"/>
        <v>0</v>
      </c>
      <c r="BP71" s="3"/>
      <c r="BQ71" s="3"/>
      <c r="BR71" s="4794">
        <f t="shared" si="560"/>
        <v>0</v>
      </c>
      <c r="BS71" s="4794">
        <f t="shared" si="561"/>
        <v>0</v>
      </c>
      <c r="BT71" s="4794">
        <f t="shared" si="562"/>
        <v>0</v>
      </c>
      <c r="BU71" s="4794">
        <f t="shared" si="563"/>
        <v>0</v>
      </c>
      <c r="BV71" s="4794">
        <f t="shared" si="564"/>
        <v>0</v>
      </c>
      <c r="BW71" s="4794">
        <f t="shared" si="565"/>
        <v>0</v>
      </c>
      <c r="BX71" s="3"/>
      <c r="BY71" s="3"/>
      <c r="BZ71" s="4794">
        <f t="shared" si="566"/>
        <v>0</v>
      </c>
      <c r="CA71" s="4794">
        <f t="shared" si="567"/>
        <v>0</v>
      </c>
      <c r="CB71" s="4794">
        <f t="shared" si="568"/>
        <v>0</v>
      </c>
      <c r="CC71" s="4794">
        <f t="shared" si="569"/>
        <v>0</v>
      </c>
      <c r="CD71" s="4794">
        <f t="shared" si="570"/>
        <v>0</v>
      </c>
      <c r="CE71" s="4794">
        <f t="shared" si="571"/>
        <v>0</v>
      </c>
      <c r="CF71" s="3"/>
      <c r="CG71" s="3"/>
      <c r="CH71" s="4794">
        <f t="shared" si="572"/>
        <v>0</v>
      </c>
      <c r="CI71" s="4794">
        <f t="shared" si="573"/>
        <v>0</v>
      </c>
      <c r="CJ71" s="4794">
        <f t="shared" si="574"/>
        <v>0</v>
      </c>
      <c r="CK71" s="4794">
        <f t="shared" si="575"/>
        <v>0</v>
      </c>
      <c r="CL71" s="4794">
        <f t="shared" si="576"/>
        <v>0</v>
      </c>
      <c r="CM71" s="4794">
        <f t="shared" si="577"/>
        <v>0</v>
      </c>
      <c r="CN71" s="3"/>
      <c r="CO71" s="3"/>
      <c r="CP71" s="4794">
        <f t="shared" si="578"/>
        <v>0</v>
      </c>
      <c r="CQ71" s="4794">
        <f t="shared" si="579"/>
        <v>0</v>
      </c>
      <c r="CR71" s="4794">
        <f t="shared" si="580"/>
        <v>0</v>
      </c>
      <c r="CS71" s="4794">
        <f t="shared" si="581"/>
        <v>0</v>
      </c>
      <c r="CT71" s="4794">
        <f t="shared" si="582"/>
        <v>0</v>
      </c>
      <c r="CU71" s="4794">
        <f t="shared" si="583"/>
        <v>0</v>
      </c>
    </row>
    <row r="72" spans="1:99" s="1" customFormat="1">
      <c r="A72" s="4106" t="s">
        <v>977</v>
      </c>
      <c r="B72" s="2603" t="s">
        <v>197</v>
      </c>
      <c r="C72" s="397"/>
      <c r="D72" s="4423"/>
      <c r="E72" s="2604">
        <f>IFERROR(E71/$AS71*$AS72,0)</f>
        <v>0</v>
      </c>
      <c r="F72" s="2604">
        <f>IFERROR(SUM($E71:F71)/SUM($AS71:AT71)*AT72,0)</f>
        <v>0</v>
      </c>
      <c r="G72" s="2604">
        <f>IFERROR(SUM($E71:G71)/SUM($AS71:AU71)*AU72,0)</f>
        <v>0</v>
      </c>
      <c r="H72" s="2604">
        <f>IFERROR(SUM($E71:H71)/SUM($AS71:AV71)*AV72,0)</f>
        <v>0</v>
      </c>
      <c r="I72" s="2604">
        <f>IFERROR(SUM($E71:I71)/SUM($AS71:AW71)*AW72,0)</f>
        <v>0</v>
      </c>
      <c r="J72" s="2604">
        <f>IFERROR(SUM($E71:J71)/SUM($AS71:AX71)*AX72,0)</f>
        <v>0</v>
      </c>
      <c r="K72" s="397"/>
      <c r="L72" s="4423"/>
      <c r="M72" s="2604">
        <f>IFERROR(M71/$AS71*$AS72,0)</f>
        <v>0</v>
      </c>
      <c r="N72" s="2604">
        <f>IFERROR(SUM($M71:N71)/SUM($AS71:AT71)*AT72,0)</f>
        <v>0</v>
      </c>
      <c r="O72" s="2604">
        <f>IFERROR(SUM($M71:O71)/SUM($AS71:AU71)*AU72,0)</f>
        <v>0</v>
      </c>
      <c r="P72" s="2604">
        <f>IFERROR(SUM($M71:P71)/SUM($AS71:AV71)*AV72,0)</f>
        <v>0</v>
      </c>
      <c r="Q72" s="2604">
        <f>IFERROR(SUM($M71:Q71)/SUM($AS71:AW71)*AW72,0)</f>
        <v>0</v>
      </c>
      <c r="R72" s="2604">
        <f>IFERROR(SUM($M71:R71)/SUM($AS71:AX71)*AX72,0)</f>
        <v>0</v>
      </c>
      <c r="S72" s="397"/>
      <c r="T72" s="4423"/>
      <c r="U72" s="2604">
        <f>IFERROR(U71/$AS71*$AS72,0)</f>
        <v>0</v>
      </c>
      <c r="V72" s="2604">
        <f>IFERROR(SUM($U71:V71)/SUM($AS71:AT71)*AT72,0)</f>
        <v>0</v>
      </c>
      <c r="W72" s="2604">
        <f>IFERROR(SUM($U71:W71)/SUM($AS71:AU71)*AU72,0)</f>
        <v>0</v>
      </c>
      <c r="X72" s="2604">
        <f>IFERROR(SUM($U71:X71)/SUM($AS71:AV71)*AV72,0)</f>
        <v>0</v>
      </c>
      <c r="Y72" s="2604">
        <f>IFERROR(SUM($U71:Y71)/SUM($AS71:AW71)*AW72,0)</f>
        <v>0</v>
      </c>
      <c r="Z72" s="2604">
        <f>IFERROR(SUM($U71:Z71)/SUM($AS71:AX71)*AX72,0)</f>
        <v>0</v>
      </c>
      <c r="AA72" s="397"/>
      <c r="AB72" s="4423"/>
      <c r="AC72" s="2604">
        <f>IFERROR(AC71/$AS71*$AS72,0)</f>
        <v>0</v>
      </c>
      <c r="AD72" s="2604">
        <f>IFERROR(SUM($AC71:AD71)/SUM($AS71:AT71)*AT72,0)</f>
        <v>0</v>
      </c>
      <c r="AE72" s="2604">
        <f>IFERROR(SUM($AC71:AE71)/SUM($AS71:AU71)*AU72,0)</f>
        <v>0</v>
      </c>
      <c r="AF72" s="2604">
        <f>IFERROR(SUM($AC71:AF71)/SUM($AS71:AV71)*AV72,0)</f>
        <v>0</v>
      </c>
      <c r="AG72" s="2604">
        <f>IFERROR(SUM($AC71:AG71)/SUM($AS71:AW71)*AW72,0)</f>
        <v>0</v>
      </c>
      <c r="AH72" s="2604">
        <f>IFERROR(SUM($AC71:AH71)/SUM($AS71:AX71)*AX72,0)</f>
        <v>0</v>
      </c>
      <c r="AI72" s="397"/>
      <c r="AJ72" s="4423"/>
      <c r="AK72" s="2604">
        <f>IFERROR(AK71/$AS71*$AS72,0)</f>
        <v>0</v>
      </c>
      <c r="AL72" s="2604">
        <f>IFERROR(SUM($AK71:AL71)/SUM($AS71:AT71)*AT72,0)</f>
        <v>0</v>
      </c>
      <c r="AM72" s="2604">
        <f>IFERROR(SUM($AK71:AM71)/SUM($AS71:AU71)*AU72,0)</f>
        <v>0</v>
      </c>
      <c r="AN72" s="2604">
        <f>IFERROR(SUM($AK71:AN71)/SUM($AS71:AV71)*AV72,0)</f>
        <v>0</v>
      </c>
      <c r="AO72" s="2604">
        <f>IFERROR(SUM($AK71:AO71)/SUM($AS71:AW71)*AW72,0)</f>
        <v>0</v>
      </c>
      <c r="AP72" s="2604">
        <f>IFERROR(SUM($AK71:AP71)/SUM($AS71:AX71)*AX72,0)</f>
        <v>0</v>
      </c>
      <c r="AQ72" s="397"/>
      <c r="AR72" s="4423"/>
      <c r="AS72" s="416"/>
      <c r="AT72" s="416"/>
      <c r="AU72" s="416"/>
      <c r="AV72" s="416"/>
      <c r="AW72" s="416"/>
      <c r="AX72" s="417"/>
      <c r="AY72" s="4775"/>
      <c r="AZ72" s="3"/>
      <c r="BA72" s="3"/>
      <c r="BB72" s="4794">
        <f t="shared" si="549"/>
        <v>0</v>
      </c>
      <c r="BC72" s="4794">
        <f t="shared" si="549"/>
        <v>0</v>
      </c>
      <c r="BD72" s="4794">
        <f t="shared" si="550"/>
        <v>0</v>
      </c>
      <c r="BE72" s="4794">
        <f t="shared" si="551"/>
        <v>0</v>
      </c>
      <c r="BF72" s="4794">
        <f t="shared" si="552"/>
        <v>0</v>
      </c>
      <c r="BG72" s="4794">
        <f t="shared" si="553"/>
        <v>0</v>
      </c>
      <c r="BH72" s="3"/>
      <c r="BI72" s="3"/>
      <c r="BJ72" s="4794">
        <f t="shared" si="554"/>
        <v>0</v>
      </c>
      <c r="BK72" s="4794">
        <f t="shared" si="555"/>
        <v>0</v>
      </c>
      <c r="BL72" s="4794">
        <f t="shared" si="556"/>
        <v>0</v>
      </c>
      <c r="BM72" s="4794">
        <f t="shared" si="557"/>
        <v>0</v>
      </c>
      <c r="BN72" s="4794">
        <f t="shared" si="558"/>
        <v>0</v>
      </c>
      <c r="BO72" s="4794">
        <f t="shared" si="559"/>
        <v>0</v>
      </c>
      <c r="BP72" s="3"/>
      <c r="BQ72" s="3"/>
      <c r="BR72" s="4794">
        <f t="shared" si="560"/>
        <v>0</v>
      </c>
      <c r="BS72" s="4794">
        <f t="shared" si="561"/>
        <v>0</v>
      </c>
      <c r="BT72" s="4794">
        <f t="shared" si="562"/>
        <v>0</v>
      </c>
      <c r="BU72" s="4794">
        <f t="shared" si="563"/>
        <v>0</v>
      </c>
      <c r="BV72" s="4794">
        <f t="shared" si="564"/>
        <v>0</v>
      </c>
      <c r="BW72" s="4794">
        <f t="shared" si="565"/>
        <v>0</v>
      </c>
      <c r="BX72" s="3"/>
      <c r="BY72" s="3"/>
      <c r="BZ72" s="4794">
        <f t="shared" si="566"/>
        <v>0</v>
      </c>
      <c r="CA72" s="4794">
        <f t="shared" si="567"/>
        <v>0</v>
      </c>
      <c r="CB72" s="4794">
        <f t="shared" si="568"/>
        <v>0</v>
      </c>
      <c r="CC72" s="4794">
        <f t="shared" si="569"/>
        <v>0</v>
      </c>
      <c r="CD72" s="4794">
        <f t="shared" si="570"/>
        <v>0</v>
      </c>
      <c r="CE72" s="4794">
        <f t="shared" si="571"/>
        <v>0</v>
      </c>
      <c r="CF72" s="3"/>
      <c r="CG72" s="3"/>
      <c r="CH72" s="4794">
        <f t="shared" si="572"/>
        <v>0</v>
      </c>
      <c r="CI72" s="4794">
        <f t="shared" si="573"/>
        <v>0</v>
      </c>
      <c r="CJ72" s="4794">
        <f t="shared" si="574"/>
        <v>0</v>
      </c>
      <c r="CK72" s="4794">
        <f t="shared" si="575"/>
        <v>0</v>
      </c>
      <c r="CL72" s="4794">
        <f t="shared" si="576"/>
        <v>0</v>
      </c>
      <c r="CM72" s="4794">
        <f t="shared" si="577"/>
        <v>0</v>
      </c>
      <c r="CN72" s="3"/>
      <c r="CO72" s="3"/>
      <c r="CP72" s="4794">
        <f t="shared" si="578"/>
        <v>0</v>
      </c>
      <c r="CQ72" s="4794">
        <f t="shared" si="579"/>
        <v>0</v>
      </c>
      <c r="CR72" s="4794">
        <f t="shared" si="580"/>
        <v>0</v>
      </c>
      <c r="CS72" s="4794">
        <f t="shared" si="581"/>
        <v>0</v>
      </c>
      <c r="CT72" s="4794">
        <f t="shared" si="582"/>
        <v>0</v>
      </c>
      <c r="CU72" s="4794">
        <f t="shared" si="583"/>
        <v>0</v>
      </c>
    </row>
    <row r="73" spans="1:99" s="1" customFormat="1">
      <c r="A73" s="4106" t="s">
        <v>978</v>
      </c>
      <c r="B73" s="2603" t="s">
        <v>198</v>
      </c>
      <c r="C73" s="397"/>
      <c r="D73" s="4423"/>
      <c r="E73" s="2604">
        <f>+(E76+E70+E71)/2*E74</f>
        <v>0</v>
      </c>
      <c r="F73" s="2604">
        <f t="shared" ref="F73:H73" si="585">+(F76+F70+F71)/2*F74</f>
        <v>0</v>
      </c>
      <c r="G73" s="2604">
        <f t="shared" si="585"/>
        <v>0</v>
      </c>
      <c r="H73" s="2604">
        <f t="shared" si="585"/>
        <v>0</v>
      </c>
      <c r="I73" s="2604">
        <f>+(I76+I70+I71)/2*I74</f>
        <v>0</v>
      </c>
      <c r="J73" s="2604">
        <f t="shared" ref="J73" si="586">+(J76+J70+J71)/2*J74</f>
        <v>0</v>
      </c>
      <c r="K73" s="397"/>
      <c r="L73" s="4423"/>
      <c r="M73" s="2604">
        <f>+(M76+M70+M71)/2*M74</f>
        <v>0</v>
      </c>
      <c r="N73" s="2604">
        <f t="shared" ref="N73:R73" si="587">+(N76+N70+N71)/2*N74</f>
        <v>0</v>
      </c>
      <c r="O73" s="2604">
        <f t="shared" si="587"/>
        <v>0</v>
      </c>
      <c r="P73" s="2604">
        <f t="shared" si="587"/>
        <v>0</v>
      </c>
      <c r="Q73" s="2604">
        <f t="shared" si="587"/>
        <v>0</v>
      </c>
      <c r="R73" s="2604">
        <f t="shared" si="587"/>
        <v>0</v>
      </c>
      <c r="S73" s="397"/>
      <c r="T73" s="4423"/>
      <c r="U73" s="2604">
        <f t="shared" ref="U73:Z73" si="588">+(U76+U70+U71)/2*U74</f>
        <v>0</v>
      </c>
      <c r="V73" s="2604">
        <f t="shared" si="588"/>
        <v>0</v>
      </c>
      <c r="W73" s="2604">
        <f t="shared" si="588"/>
        <v>0</v>
      </c>
      <c r="X73" s="2604">
        <f t="shared" si="588"/>
        <v>0</v>
      </c>
      <c r="Y73" s="2604">
        <f t="shared" si="588"/>
        <v>0</v>
      </c>
      <c r="Z73" s="2604">
        <f t="shared" si="588"/>
        <v>0</v>
      </c>
      <c r="AA73" s="397"/>
      <c r="AB73" s="4423"/>
      <c r="AC73" s="2604">
        <f t="shared" ref="AC73:AH73" si="589">+(AC76+AC70+AC71)/2*AC74</f>
        <v>0</v>
      </c>
      <c r="AD73" s="2604">
        <f t="shared" si="589"/>
        <v>0</v>
      </c>
      <c r="AE73" s="2604">
        <f t="shared" si="589"/>
        <v>0</v>
      </c>
      <c r="AF73" s="2604">
        <f t="shared" si="589"/>
        <v>0</v>
      </c>
      <c r="AG73" s="2604">
        <f t="shared" si="589"/>
        <v>0</v>
      </c>
      <c r="AH73" s="2604">
        <f t="shared" si="589"/>
        <v>0</v>
      </c>
      <c r="AI73" s="397"/>
      <c r="AJ73" s="4423"/>
      <c r="AK73" s="2604">
        <f t="shared" ref="AK73:AP73" si="590">+(AK76+AK70+AK71)/2*AK74</f>
        <v>0</v>
      </c>
      <c r="AL73" s="2604">
        <f t="shared" si="590"/>
        <v>0</v>
      </c>
      <c r="AM73" s="2604">
        <f t="shared" si="590"/>
        <v>0</v>
      </c>
      <c r="AN73" s="2604">
        <f t="shared" si="590"/>
        <v>0</v>
      </c>
      <c r="AO73" s="2604">
        <f t="shared" si="590"/>
        <v>0</v>
      </c>
      <c r="AP73" s="2604">
        <f t="shared" si="590"/>
        <v>0</v>
      </c>
      <c r="AQ73" s="397"/>
      <c r="AR73" s="4423"/>
      <c r="AS73" s="416"/>
      <c r="AT73" s="416"/>
      <c r="AU73" s="416"/>
      <c r="AV73" s="416"/>
      <c r="AW73" s="416"/>
      <c r="AX73" s="417"/>
      <c r="AY73" s="4775"/>
      <c r="AZ73" s="3"/>
      <c r="BA73" s="3"/>
      <c r="BB73" s="4794">
        <f t="shared" si="549"/>
        <v>0</v>
      </c>
      <c r="BC73" s="4794">
        <f t="shared" si="549"/>
        <v>0</v>
      </c>
      <c r="BD73" s="4794">
        <f t="shared" si="550"/>
        <v>0</v>
      </c>
      <c r="BE73" s="4794">
        <f t="shared" si="551"/>
        <v>0</v>
      </c>
      <c r="BF73" s="4794">
        <f t="shared" si="552"/>
        <v>0</v>
      </c>
      <c r="BG73" s="4794">
        <f t="shared" si="553"/>
        <v>0</v>
      </c>
      <c r="BH73" s="3"/>
      <c r="BI73" s="3"/>
      <c r="BJ73" s="4794">
        <f t="shared" si="554"/>
        <v>0</v>
      </c>
      <c r="BK73" s="4794">
        <f t="shared" si="555"/>
        <v>0</v>
      </c>
      <c r="BL73" s="4794">
        <f t="shared" si="556"/>
        <v>0</v>
      </c>
      <c r="BM73" s="4794">
        <f t="shared" si="557"/>
        <v>0</v>
      </c>
      <c r="BN73" s="4794">
        <f t="shared" si="558"/>
        <v>0</v>
      </c>
      <c r="BO73" s="4794">
        <f t="shared" si="559"/>
        <v>0</v>
      </c>
      <c r="BP73" s="3"/>
      <c r="BQ73" s="3"/>
      <c r="BR73" s="4794">
        <f t="shared" si="560"/>
        <v>0</v>
      </c>
      <c r="BS73" s="4794">
        <f t="shared" si="561"/>
        <v>0</v>
      </c>
      <c r="BT73" s="4794">
        <f t="shared" si="562"/>
        <v>0</v>
      </c>
      <c r="BU73" s="4794">
        <f t="shared" si="563"/>
        <v>0</v>
      </c>
      <c r="BV73" s="4794">
        <f t="shared" si="564"/>
        <v>0</v>
      </c>
      <c r="BW73" s="4794">
        <f t="shared" si="565"/>
        <v>0</v>
      </c>
      <c r="BX73" s="3"/>
      <c r="BY73" s="3"/>
      <c r="BZ73" s="4794">
        <f t="shared" si="566"/>
        <v>0</v>
      </c>
      <c r="CA73" s="4794">
        <f t="shared" si="567"/>
        <v>0</v>
      </c>
      <c r="CB73" s="4794">
        <f t="shared" si="568"/>
        <v>0</v>
      </c>
      <c r="CC73" s="4794">
        <f t="shared" si="569"/>
        <v>0</v>
      </c>
      <c r="CD73" s="4794">
        <f t="shared" si="570"/>
        <v>0</v>
      </c>
      <c r="CE73" s="4794">
        <f t="shared" si="571"/>
        <v>0</v>
      </c>
      <c r="CF73" s="3"/>
      <c r="CG73" s="3"/>
      <c r="CH73" s="4794">
        <f t="shared" si="572"/>
        <v>0</v>
      </c>
      <c r="CI73" s="4794">
        <f t="shared" si="573"/>
        <v>0</v>
      </c>
      <c r="CJ73" s="4794">
        <f t="shared" si="574"/>
        <v>0</v>
      </c>
      <c r="CK73" s="4794">
        <f t="shared" si="575"/>
        <v>0</v>
      </c>
      <c r="CL73" s="4794">
        <f t="shared" si="576"/>
        <v>0</v>
      </c>
      <c r="CM73" s="4794">
        <f t="shared" si="577"/>
        <v>0</v>
      </c>
      <c r="CN73" s="3"/>
      <c r="CO73" s="3"/>
      <c r="CP73" s="4794">
        <f t="shared" si="578"/>
        <v>0</v>
      </c>
      <c r="CQ73" s="4794">
        <f t="shared" si="579"/>
        <v>0</v>
      </c>
      <c r="CR73" s="4794">
        <f t="shared" si="580"/>
        <v>0</v>
      </c>
      <c r="CS73" s="4794">
        <f t="shared" si="581"/>
        <v>0</v>
      </c>
      <c r="CT73" s="4794">
        <f t="shared" si="582"/>
        <v>0</v>
      </c>
      <c r="CU73" s="4794">
        <f t="shared" si="583"/>
        <v>0</v>
      </c>
    </row>
    <row r="74" spans="1:99" s="1" customFormat="1">
      <c r="A74" s="4106" t="s">
        <v>979</v>
      </c>
      <c r="B74" s="2603" t="s">
        <v>199</v>
      </c>
      <c r="C74" s="397"/>
      <c r="D74" s="4423"/>
      <c r="E74" s="1426">
        <f>+AS74</f>
        <v>0</v>
      </c>
      <c r="F74" s="1426">
        <f t="shared" ref="F74:J74" si="591">+AT74</f>
        <v>0</v>
      </c>
      <c r="G74" s="1426">
        <f t="shared" si="591"/>
        <v>0</v>
      </c>
      <c r="H74" s="1426">
        <f t="shared" si="591"/>
        <v>0</v>
      </c>
      <c r="I74" s="1426">
        <f t="shared" si="591"/>
        <v>0</v>
      </c>
      <c r="J74" s="1426">
        <f t="shared" si="591"/>
        <v>0</v>
      </c>
      <c r="K74" s="397"/>
      <c r="L74" s="4423"/>
      <c r="M74" s="1426">
        <f>+AS74</f>
        <v>0</v>
      </c>
      <c r="N74" s="1426">
        <f t="shared" ref="N74:R74" si="592">+AT74</f>
        <v>0</v>
      </c>
      <c r="O74" s="1426">
        <f t="shared" si="592"/>
        <v>0</v>
      </c>
      <c r="P74" s="1426">
        <f t="shared" si="592"/>
        <v>0</v>
      </c>
      <c r="Q74" s="1426">
        <f t="shared" si="592"/>
        <v>0</v>
      </c>
      <c r="R74" s="1426">
        <f t="shared" si="592"/>
        <v>0</v>
      </c>
      <c r="S74" s="397"/>
      <c r="T74" s="4423"/>
      <c r="U74" s="1426">
        <f>+AS74</f>
        <v>0</v>
      </c>
      <c r="V74" s="1426">
        <f t="shared" ref="V74:Z74" si="593">+AT74</f>
        <v>0</v>
      </c>
      <c r="W74" s="1426">
        <f t="shared" si="593"/>
        <v>0</v>
      </c>
      <c r="X74" s="1426">
        <f t="shared" si="593"/>
        <v>0</v>
      </c>
      <c r="Y74" s="1426">
        <f t="shared" si="593"/>
        <v>0</v>
      </c>
      <c r="Z74" s="1426">
        <f t="shared" si="593"/>
        <v>0</v>
      </c>
      <c r="AA74" s="397"/>
      <c r="AB74" s="4423"/>
      <c r="AC74" s="1426">
        <f>+AS74</f>
        <v>0</v>
      </c>
      <c r="AD74" s="1426">
        <f t="shared" ref="AD74:AH74" si="594">+AT74</f>
        <v>0</v>
      </c>
      <c r="AE74" s="1426">
        <f t="shared" si="594"/>
        <v>0</v>
      </c>
      <c r="AF74" s="1426">
        <f t="shared" si="594"/>
        <v>0</v>
      </c>
      <c r="AG74" s="1426">
        <f t="shared" si="594"/>
        <v>0</v>
      </c>
      <c r="AH74" s="1426">
        <f t="shared" si="594"/>
        <v>0</v>
      </c>
      <c r="AI74" s="397"/>
      <c r="AJ74" s="4423"/>
      <c r="AK74" s="1426">
        <f>+AS74</f>
        <v>0</v>
      </c>
      <c r="AL74" s="1426">
        <f t="shared" ref="AL74:AP74" si="595">+AT74</f>
        <v>0</v>
      </c>
      <c r="AM74" s="1426">
        <f t="shared" si="595"/>
        <v>0</v>
      </c>
      <c r="AN74" s="1426">
        <f t="shared" si="595"/>
        <v>0</v>
      </c>
      <c r="AO74" s="1426">
        <f t="shared" si="595"/>
        <v>0</v>
      </c>
      <c r="AP74" s="1426">
        <f t="shared" si="595"/>
        <v>0</v>
      </c>
      <c r="AQ74" s="397"/>
      <c r="AR74" s="4423"/>
      <c r="AS74" s="1426">
        <f t="shared" ref="AS74:AX74" si="596">IF(AND(AS70=0,AS71=0),0,AS73/((AS70+AS71+AS76)/2))</f>
        <v>0</v>
      </c>
      <c r="AT74" s="1426">
        <f t="shared" si="596"/>
        <v>0</v>
      </c>
      <c r="AU74" s="1426">
        <f t="shared" si="596"/>
        <v>0</v>
      </c>
      <c r="AV74" s="1426">
        <f t="shared" si="596"/>
        <v>0</v>
      </c>
      <c r="AW74" s="1426">
        <f t="shared" si="596"/>
        <v>0</v>
      </c>
      <c r="AX74" s="1427">
        <f t="shared" si="596"/>
        <v>0</v>
      </c>
      <c r="AY74" s="4775"/>
    </row>
    <row r="75" spans="1:99" s="1" customFormat="1">
      <c r="A75" s="4106" t="s">
        <v>980</v>
      </c>
      <c r="B75" s="2603" t="s">
        <v>200</v>
      </c>
      <c r="C75" s="397"/>
      <c r="D75" s="4423"/>
      <c r="E75" s="2611">
        <f t="shared" ref="E75:J75" si="597">E72+E73</f>
        <v>0</v>
      </c>
      <c r="F75" s="2611">
        <f t="shared" si="597"/>
        <v>0</v>
      </c>
      <c r="G75" s="2611">
        <f t="shared" si="597"/>
        <v>0</v>
      </c>
      <c r="H75" s="2611">
        <f t="shared" si="597"/>
        <v>0</v>
      </c>
      <c r="I75" s="2611">
        <f t="shared" si="597"/>
        <v>0</v>
      </c>
      <c r="J75" s="2612">
        <f t="shared" si="597"/>
        <v>0</v>
      </c>
      <c r="K75" s="397"/>
      <c r="L75" s="4423"/>
      <c r="M75" s="2611">
        <f t="shared" ref="M75:R75" si="598">M72+M73</f>
        <v>0</v>
      </c>
      <c r="N75" s="2611">
        <f t="shared" si="598"/>
        <v>0</v>
      </c>
      <c r="O75" s="2611">
        <f t="shared" si="598"/>
        <v>0</v>
      </c>
      <c r="P75" s="2611">
        <f t="shared" si="598"/>
        <v>0</v>
      </c>
      <c r="Q75" s="2611">
        <f t="shared" si="598"/>
        <v>0</v>
      </c>
      <c r="R75" s="2612">
        <f t="shared" si="598"/>
        <v>0</v>
      </c>
      <c r="S75" s="397"/>
      <c r="T75" s="4423"/>
      <c r="U75" s="2611">
        <f t="shared" ref="U75:Z75" si="599">U72+U73</f>
        <v>0</v>
      </c>
      <c r="V75" s="2611">
        <f t="shared" si="599"/>
        <v>0</v>
      </c>
      <c r="W75" s="2611">
        <f t="shared" si="599"/>
        <v>0</v>
      </c>
      <c r="X75" s="2611">
        <f t="shared" si="599"/>
        <v>0</v>
      </c>
      <c r="Y75" s="2611">
        <f t="shared" si="599"/>
        <v>0</v>
      </c>
      <c r="Z75" s="2612">
        <f t="shared" si="599"/>
        <v>0</v>
      </c>
      <c r="AA75" s="397"/>
      <c r="AB75" s="4423"/>
      <c r="AC75" s="2611">
        <f t="shared" ref="AC75:AH75" si="600">AC72+AC73</f>
        <v>0</v>
      </c>
      <c r="AD75" s="2611">
        <f t="shared" si="600"/>
        <v>0</v>
      </c>
      <c r="AE75" s="2611">
        <f t="shared" si="600"/>
        <v>0</v>
      </c>
      <c r="AF75" s="2611">
        <f t="shared" si="600"/>
        <v>0</v>
      </c>
      <c r="AG75" s="2611">
        <f t="shared" si="600"/>
        <v>0</v>
      </c>
      <c r="AH75" s="2612">
        <f t="shared" si="600"/>
        <v>0</v>
      </c>
      <c r="AI75" s="397"/>
      <c r="AJ75" s="4423"/>
      <c r="AK75" s="2611">
        <f t="shared" ref="AK75:AP75" si="601">AK72+AK73</f>
        <v>0</v>
      </c>
      <c r="AL75" s="2611">
        <f t="shared" si="601"/>
        <v>0</v>
      </c>
      <c r="AM75" s="2611">
        <f t="shared" si="601"/>
        <v>0</v>
      </c>
      <c r="AN75" s="2611">
        <f t="shared" si="601"/>
        <v>0</v>
      </c>
      <c r="AO75" s="2611">
        <f t="shared" si="601"/>
        <v>0</v>
      </c>
      <c r="AP75" s="2612">
        <f t="shared" si="601"/>
        <v>0</v>
      </c>
      <c r="AQ75" s="397"/>
      <c r="AR75" s="4423"/>
      <c r="AS75" s="2611">
        <f t="shared" ref="AS75:AX75" si="602">AS72+AS73</f>
        <v>0</v>
      </c>
      <c r="AT75" s="2611">
        <f t="shared" si="602"/>
        <v>0</v>
      </c>
      <c r="AU75" s="2611">
        <f t="shared" si="602"/>
        <v>0</v>
      </c>
      <c r="AV75" s="2611">
        <f t="shared" si="602"/>
        <v>0</v>
      </c>
      <c r="AW75" s="2611">
        <f t="shared" si="602"/>
        <v>0</v>
      </c>
      <c r="AX75" s="2612">
        <f t="shared" si="602"/>
        <v>0</v>
      </c>
      <c r="AY75" s="4775"/>
      <c r="AZ75" s="3"/>
      <c r="BA75" s="3"/>
      <c r="BB75" s="4794">
        <f t="shared" ref="BB75:BC76" si="603">IFERROR(E75/$C$1,0)</f>
        <v>0</v>
      </c>
      <c r="BC75" s="4794">
        <f t="shared" si="603"/>
        <v>0</v>
      </c>
      <c r="BD75" s="4794">
        <f t="shared" ref="BD75:BD76" si="604">IFERROR(G75/$C$1,0)</f>
        <v>0</v>
      </c>
      <c r="BE75" s="4794">
        <f t="shared" ref="BE75:BE76" si="605">IFERROR(H75/$C$1,0)</f>
        <v>0</v>
      </c>
      <c r="BF75" s="4794">
        <f t="shared" ref="BF75:BF76" si="606">IFERROR(I75/$C$1,0)</f>
        <v>0</v>
      </c>
      <c r="BG75" s="4794">
        <f t="shared" ref="BG75:BG76" si="607">IFERROR(J75/$C$1,0)</f>
        <v>0</v>
      </c>
      <c r="BH75" s="3"/>
      <c r="BI75" s="3"/>
      <c r="BJ75" s="4794">
        <f t="shared" ref="BJ75:BJ76" si="608">IFERROR(M75/$C$1,0)</f>
        <v>0</v>
      </c>
      <c r="BK75" s="4794">
        <f t="shared" ref="BK75:BK76" si="609">IFERROR(N75/$C$1,0)</f>
        <v>0</v>
      </c>
      <c r="BL75" s="4794">
        <f t="shared" ref="BL75:BL76" si="610">IFERROR(O75/$C$1,0)</f>
        <v>0</v>
      </c>
      <c r="BM75" s="4794">
        <f t="shared" ref="BM75:BM76" si="611">IFERROR(P75/$C$1,0)</f>
        <v>0</v>
      </c>
      <c r="BN75" s="4794">
        <f t="shared" ref="BN75:BN76" si="612">IFERROR(Q75/$C$1,0)</f>
        <v>0</v>
      </c>
      <c r="BO75" s="4794">
        <f t="shared" ref="BO75:BO76" si="613">IFERROR(R75/$C$1,0)</f>
        <v>0</v>
      </c>
      <c r="BP75" s="3"/>
      <c r="BQ75" s="3"/>
      <c r="BR75" s="4794">
        <f t="shared" ref="BR75:BR76" si="614">IFERROR(U75/$C$1,0)</f>
        <v>0</v>
      </c>
      <c r="BS75" s="4794">
        <f t="shared" ref="BS75:BS76" si="615">IFERROR(V75/$C$1,0)</f>
        <v>0</v>
      </c>
      <c r="BT75" s="4794">
        <f t="shared" ref="BT75:BT76" si="616">IFERROR(W75/$C$1,0)</f>
        <v>0</v>
      </c>
      <c r="BU75" s="4794">
        <f t="shared" ref="BU75:BU76" si="617">IFERROR(X75/$C$1,0)</f>
        <v>0</v>
      </c>
      <c r="BV75" s="4794">
        <f t="shared" ref="BV75:BV76" si="618">IFERROR(Y75/$C$1,0)</f>
        <v>0</v>
      </c>
      <c r="BW75" s="4794">
        <f t="shared" ref="BW75:BW76" si="619">IFERROR(Z75/$C$1,0)</f>
        <v>0</v>
      </c>
      <c r="BX75" s="3"/>
      <c r="BY75" s="3"/>
      <c r="BZ75" s="4794">
        <f t="shared" ref="BZ75:BZ76" si="620">IFERROR(AC75/$C$1,0)</f>
        <v>0</v>
      </c>
      <c r="CA75" s="4794">
        <f t="shared" ref="CA75:CA76" si="621">IFERROR(AD75/$C$1,0)</f>
        <v>0</v>
      </c>
      <c r="CB75" s="4794">
        <f t="shared" ref="CB75:CB76" si="622">IFERROR(AE75/$C$1,0)</f>
        <v>0</v>
      </c>
      <c r="CC75" s="4794">
        <f t="shared" ref="CC75:CC76" si="623">IFERROR(AF75/$C$1,0)</f>
        <v>0</v>
      </c>
      <c r="CD75" s="4794">
        <f t="shared" ref="CD75:CD76" si="624">IFERROR(AG75/$C$1,0)</f>
        <v>0</v>
      </c>
      <c r="CE75" s="4794">
        <f t="shared" ref="CE75:CE76" si="625">IFERROR(AH75/$C$1,0)</f>
        <v>0</v>
      </c>
      <c r="CF75" s="3"/>
      <c r="CG75" s="3"/>
      <c r="CH75" s="4794">
        <f t="shared" ref="CH75:CH76" si="626">IFERROR(AK75/$C$1,0)</f>
        <v>0</v>
      </c>
      <c r="CI75" s="4794">
        <f t="shared" ref="CI75:CI76" si="627">IFERROR(AL75/$C$1,0)</f>
        <v>0</v>
      </c>
      <c r="CJ75" s="4794">
        <f t="shared" ref="CJ75:CJ76" si="628">IFERROR(AM75/$C$1,0)</f>
        <v>0</v>
      </c>
      <c r="CK75" s="4794">
        <f t="shared" ref="CK75:CK76" si="629">IFERROR(AN75/$C$1,0)</f>
        <v>0</v>
      </c>
      <c r="CL75" s="4794">
        <f t="shared" ref="CL75:CL76" si="630">IFERROR(AO75/$C$1,0)</f>
        <v>0</v>
      </c>
      <c r="CM75" s="4794">
        <f t="shared" ref="CM75:CM76" si="631">IFERROR(AP75/$C$1,0)</f>
        <v>0</v>
      </c>
      <c r="CN75" s="3"/>
      <c r="CO75" s="3"/>
      <c r="CP75" s="4794">
        <f t="shared" ref="CP75:CP76" si="632">IFERROR(AS75/$C$1,0)</f>
        <v>0</v>
      </c>
      <c r="CQ75" s="4794">
        <f t="shared" ref="CQ75:CQ76" si="633">IFERROR(AT75/$C$1,0)</f>
        <v>0</v>
      </c>
      <c r="CR75" s="4794">
        <f t="shared" ref="CR75:CR76" si="634">IFERROR(AU75/$C$1,0)</f>
        <v>0</v>
      </c>
      <c r="CS75" s="4794">
        <f t="shared" ref="CS75:CS76" si="635">IFERROR(AV75/$C$1,0)</f>
        <v>0</v>
      </c>
      <c r="CT75" s="4794">
        <f t="shared" ref="CT75:CT76" si="636">IFERROR(AW75/$C$1,0)</f>
        <v>0</v>
      </c>
      <c r="CU75" s="4794">
        <f t="shared" ref="CU75:CU76" si="637">IFERROR(AX75/$C$1,0)</f>
        <v>0</v>
      </c>
    </row>
    <row r="76" spans="1:99" s="1" customFormat="1">
      <c r="A76" s="4106" t="s">
        <v>981</v>
      </c>
      <c r="B76" s="2603" t="s">
        <v>201</v>
      </c>
      <c r="C76" s="397"/>
      <c r="D76" s="4423"/>
      <c r="E76" s="2611">
        <f t="shared" ref="E76:J76" si="638">E70+E71-E72</f>
        <v>0</v>
      </c>
      <c r="F76" s="2611">
        <f t="shared" si="638"/>
        <v>0</v>
      </c>
      <c r="G76" s="2611">
        <f t="shared" si="638"/>
        <v>0</v>
      </c>
      <c r="H76" s="2611">
        <f t="shared" si="638"/>
        <v>0</v>
      </c>
      <c r="I76" s="2611">
        <f t="shared" si="638"/>
        <v>0</v>
      </c>
      <c r="J76" s="2612">
        <f t="shared" si="638"/>
        <v>0</v>
      </c>
      <c r="K76" s="397"/>
      <c r="L76" s="4423"/>
      <c r="M76" s="2611">
        <f t="shared" ref="M76:R76" si="639">M70+M71-M72</f>
        <v>0</v>
      </c>
      <c r="N76" s="2611">
        <f t="shared" si="639"/>
        <v>0</v>
      </c>
      <c r="O76" s="2611">
        <f t="shared" si="639"/>
        <v>0</v>
      </c>
      <c r="P76" s="2611">
        <f t="shared" si="639"/>
        <v>0</v>
      </c>
      <c r="Q76" s="2611">
        <f t="shared" si="639"/>
        <v>0</v>
      </c>
      <c r="R76" s="2612">
        <f t="shared" si="639"/>
        <v>0</v>
      </c>
      <c r="S76" s="397"/>
      <c r="T76" s="4423"/>
      <c r="U76" s="2611">
        <f t="shared" ref="U76:Z76" si="640">U70+U71-U72</f>
        <v>0</v>
      </c>
      <c r="V76" s="2611">
        <f t="shared" si="640"/>
        <v>0</v>
      </c>
      <c r="W76" s="2611">
        <f t="shared" si="640"/>
        <v>0</v>
      </c>
      <c r="X76" s="2611">
        <f t="shared" si="640"/>
        <v>0</v>
      </c>
      <c r="Y76" s="2611">
        <f t="shared" si="640"/>
        <v>0</v>
      </c>
      <c r="Z76" s="2612">
        <f t="shared" si="640"/>
        <v>0</v>
      </c>
      <c r="AA76" s="397"/>
      <c r="AB76" s="4423"/>
      <c r="AC76" s="2611">
        <f t="shared" ref="AC76:AH76" si="641">AC70+AC71-AC72</f>
        <v>0</v>
      </c>
      <c r="AD76" s="2611">
        <f t="shared" si="641"/>
        <v>0</v>
      </c>
      <c r="AE76" s="2611">
        <f t="shared" si="641"/>
        <v>0</v>
      </c>
      <c r="AF76" s="2611">
        <f t="shared" si="641"/>
        <v>0</v>
      </c>
      <c r="AG76" s="2611">
        <f t="shared" si="641"/>
        <v>0</v>
      </c>
      <c r="AH76" s="2612">
        <f t="shared" si="641"/>
        <v>0</v>
      </c>
      <c r="AI76" s="397"/>
      <c r="AJ76" s="4423"/>
      <c r="AK76" s="2611">
        <f t="shared" ref="AK76:AP76" si="642">AK70+AK71-AK72</f>
        <v>0</v>
      </c>
      <c r="AL76" s="2611">
        <f t="shared" si="642"/>
        <v>0</v>
      </c>
      <c r="AM76" s="2611">
        <f t="shared" si="642"/>
        <v>0</v>
      </c>
      <c r="AN76" s="2611">
        <f t="shared" si="642"/>
        <v>0</v>
      </c>
      <c r="AO76" s="2611">
        <f t="shared" si="642"/>
        <v>0</v>
      </c>
      <c r="AP76" s="2612">
        <f t="shared" si="642"/>
        <v>0</v>
      </c>
      <c r="AQ76" s="397"/>
      <c r="AR76" s="4423"/>
      <c r="AS76" s="2611">
        <f t="shared" ref="AS76:AX76" si="643">AS70+AS71-AS72</f>
        <v>0</v>
      </c>
      <c r="AT76" s="2611">
        <f t="shared" si="643"/>
        <v>0</v>
      </c>
      <c r="AU76" s="2611">
        <f t="shared" si="643"/>
        <v>0</v>
      </c>
      <c r="AV76" s="2611">
        <f t="shared" si="643"/>
        <v>0</v>
      </c>
      <c r="AW76" s="2611">
        <f t="shared" si="643"/>
        <v>0</v>
      </c>
      <c r="AX76" s="2612">
        <f t="shared" si="643"/>
        <v>0</v>
      </c>
      <c r="AY76" s="4775"/>
      <c r="AZ76" s="3"/>
      <c r="BA76" s="3"/>
      <c r="BB76" s="4794">
        <f t="shared" si="603"/>
        <v>0</v>
      </c>
      <c r="BC76" s="4794">
        <f t="shared" si="603"/>
        <v>0</v>
      </c>
      <c r="BD76" s="4794">
        <f t="shared" si="604"/>
        <v>0</v>
      </c>
      <c r="BE76" s="4794">
        <f t="shared" si="605"/>
        <v>0</v>
      </c>
      <c r="BF76" s="4794">
        <f t="shared" si="606"/>
        <v>0</v>
      </c>
      <c r="BG76" s="4794">
        <f t="shared" si="607"/>
        <v>0</v>
      </c>
      <c r="BH76" s="3"/>
      <c r="BI76" s="3"/>
      <c r="BJ76" s="4794">
        <f t="shared" si="608"/>
        <v>0</v>
      </c>
      <c r="BK76" s="4794">
        <f t="shared" si="609"/>
        <v>0</v>
      </c>
      <c r="BL76" s="4794">
        <f t="shared" si="610"/>
        <v>0</v>
      </c>
      <c r="BM76" s="4794">
        <f t="shared" si="611"/>
        <v>0</v>
      </c>
      <c r="BN76" s="4794">
        <f t="shared" si="612"/>
        <v>0</v>
      </c>
      <c r="BO76" s="4794">
        <f t="shared" si="613"/>
        <v>0</v>
      </c>
      <c r="BP76" s="3"/>
      <c r="BQ76" s="3"/>
      <c r="BR76" s="4794">
        <f t="shared" si="614"/>
        <v>0</v>
      </c>
      <c r="BS76" s="4794">
        <f t="shared" si="615"/>
        <v>0</v>
      </c>
      <c r="BT76" s="4794">
        <f t="shared" si="616"/>
        <v>0</v>
      </c>
      <c r="BU76" s="4794">
        <f t="shared" si="617"/>
        <v>0</v>
      </c>
      <c r="BV76" s="4794">
        <f t="shared" si="618"/>
        <v>0</v>
      </c>
      <c r="BW76" s="4794">
        <f t="shared" si="619"/>
        <v>0</v>
      </c>
      <c r="BX76" s="3"/>
      <c r="BY76" s="3"/>
      <c r="BZ76" s="4794">
        <f t="shared" si="620"/>
        <v>0</v>
      </c>
      <c r="CA76" s="4794">
        <f t="shared" si="621"/>
        <v>0</v>
      </c>
      <c r="CB76" s="4794">
        <f t="shared" si="622"/>
        <v>0</v>
      </c>
      <c r="CC76" s="4794">
        <f t="shared" si="623"/>
        <v>0</v>
      </c>
      <c r="CD76" s="4794">
        <f t="shared" si="624"/>
        <v>0</v>
      </c>
      <c r="CE76" s="4794">
        <f t="shared" si="625"/>
        <v>0</v>
      </c>
      <c r="CF76" s="3"/>
      <c r="CG76" s="3"/>
      <c r="CH76" s="4794">
        <f t="shared" si="626"/>
        <v>0</v>
      </c>
      <c r="CI76" s="4794">
        <f t="shared" si="627"/>
        <v>0</v>
      </c>
      <c r="CJ76" s="4794">
        <f t="shared" si="628"/>
        <v>0</v>
      </c>
      <c r="CK76" s="4794">
        <f t="shared" si="629"/>
        <v>0</v>
      </c>
      <c r="CL76" s="4794">
        <f t="shared" si="630"/>
        <v>0</v>
      </c>
      <c r="CM76" s="4794">
        <f t="shared" si="631"/>
        <v>0</v>
      </c>
      <c r="CN76" s="3"/>
      <c r="CO76" s="3"/>
      <c r="CP76" s="4794">
        <f t="shared" si="632"/>
        <v>0</v>
      </c>
      <c r="CQ76" s="4794">
        <f t="shared" si="633"/>
        <v>0</v>
      </c>
      <c r="CR76" s="4794">
        <f t="shared" si="634"/>
        <v>0</v>
      </c>
      <c r="CS76" s="4794">
        <f t="shared" si="635"/>
        <v>0</v>
      </c>
      <c r="CT76" s="4794">
        <f t="shared" si="636"/>
        <v>0</v>
      </c>
      <c r="CU76" s="4794">
        <f t="shared" si="637"/>
        <v>0</v>
      </c>
    </row>
    <row r="77" spans="1:99" s="1" customFormat="1">
      <c r="A77" s="4107" t="s">
        <v>1387</v>
      </c>
      <c r="B77" s="2601" t="s">
        <v>1382</v>
      </c>
      <c r="C77" s="4234"/>
      <c r="D77" s="4424"/>
      <c r="E77" s="2633">
        <f>IFERROR('9.Инвестиционна програма'!AG147/E71,0)</f>
        <v>0</v>
      </c>
      <c r="F77" s="2633">
        <f>IFERROR(SUM('9.Инвестиционна програма'!$AG147:AH147)/SUM($E71:F71),0)</f>
        <v>0</v>
      </c>
      <c r="G77" s="2633">
        <f>IFERROR(SUM('9.Инвестиционна програма'!$AG147:AI147)/SUM($E71:G71),0)</f>
        <v>0</v>
      </c>
      <c r="H77" s="2633">
        <f>IFERROR(SUM('9.Инвестиционна програма'!$AG147:AJ147)/SUM($E71:H71),0)</f>
        <v>0</v>
      </c>
      <c r="I77" s="2633">
        <f>IFERROR(SUM('9.Инвестиционна програма'!$AG147:AK147)/SUM($E71:I71),0)</f>
        <v>0</v>
      </c>
      <c r="J77" s="2634">
        <f>IFERROR(SUM('9.Инвестиционна програма'!$AG147:AL147)/SUM($E71:J71),0)</f>
        <v>0</v>
      </c>
      <c r="K77" s="4235"/>
      <c r="L77" s="4430"/>
      <c r="M77" s="2633">
        <f>IFERROR('9.Инвестиционна програма'!AG148/M71,0)</f>
        <v>0</v>
      </c>
      <c r="N77" s="2633">
        <f>IFERROR(SUM('9.Инвестиционна програма'!$AG148:AH148)/SUM($M71:N71),0)</f>
        <v>0</v>
      </c>
      <c r="O77" s="2633">
        <f>IFERROR(SUM('9.Инвестиционна програма'!$AG148:AI148)/SUM($M71:O71),0)</f>
        <v>0</v>
      </c>
      <c r="P77" s="2633">
        <f>IFERROR(SUM('9.Инвестиционна програма'!$AG148:AJ148)/SUM($M71:P71),0)</f>
        <v>0</v>
      </c>
      <c r="Q77" s="2633">
        <f>IFERROR(SUM('9.Инвестиционна програма'!$AG148:AK148)/SUM($M71:Q71),0)</f>
        <v>0</v>
      </c>
      <c r="R77" s="2634">
        <f>IFERROR(SUM('9.Инвестиционна програма'!$AG148:AL148)/SUM($M71:R71),0)</f>
        <v>0</v>
      </c>
      <c r="S77" s="4235"/>
      <c r="T77" s="4430"/>
      <c r="U77" s="2633">
        <f>IFERROR('9.Инвестиционна програма'!AG149/U71,0)</f>
        <v>0</v>
      </c>
      <c r="V77" s="2633">
        <f>IFERROR(SUM('9.Инвестиционна програма'!$AG149:AH149)/SUM($U71:V71),0)</f>
        <v>0</v>
      </c>
      <c r="W77" s="2633">
        <f>IFERROR(SUM('9.Инвестиционна програма'!$AG149:AI149)/SUM($U71:W71),0)</f>
        <v>0</v>
      </c>
      <c r="X77" s="2633">
        <f>IFERROR(SUM('9.Инвестиционна програма'!$AG149:AJ149)/SUM($U71:X71),0)</f>
        <v>0</v>
      </c>
      <c r="Y77" s="2633">
        <f>IFERROR(SUM('9.Инвестиционна програма'!$AG149:AK149)/SUM($U71:Y71),0)</f>
        <v>0</v>
      </c>
      <c r="Z77" s="2634">
        <f>IFERROR(SUM('9.Инвестиционна програма'!$AG149:AL149)/SUM($U71:Z71),0)</f>
        <v>0</v>
      </c>
      <c r="AA77" s="4235"/>
      <c r="AB77" s="4430"/>
      <c r="AC77" s="2633">
        <f>IFERROR('9.Инвестиционна програма'!AG150/AC71,0)</f>
        <v>0</v>
      </c>
      <c r="AD77" s="2633">
        <f>IFERROR(SUM('9.Инвестиционна програма'!$AG150:AH150)/SUM($AC71:AD71),0)</f>
        <v>0</v>
      </c>
      <c r="AE77" s="2633">
        <f>IFERROR(SUM('9.Инвестиционна програма'!$AG150:AI150)/SUM($AC71:AE71),0)</f>
        <v>0</v>
      </c>
      <c r="AF77" s="2633">
        <f>IFERROR(SUM('9.Инвестиционна програма'!$AG150:AJ150)/SUM($AC71:AF71),0)</f>
        <v>0</v>
      </c>
      <c r="AG77" s="2633">
        <f>IFERROR(SUM('9.Инвестиционна програма'!$AG150:AK150)/SUM($AC71:AG71),0)</f>
        <v>0</v>
      </c>
      <c r="AH77" s="2634">
        <f>IFERROR(SUM('9.Инвестиционна програма'!$AG150:AL150)/SUM($AC71:AH71),0)</f>
        <v>0</v>
      </c>
      <c r="AI77" s="4235"/>
      <c r="AJ77" s="4430"/>
      <c r="AK77" s="2633">
        <f>IFERROR('9.Инвестиционна програма'!AG151/AK71,0)</f>
        <v>0</v>
      </c>
      <c r="AL77" s="2633">
        <f>IFERROR(SUM('9.Инвестиционна програма'!$AG151:AH151)/SUM($AK71:AL71),0)</f>
        <v>0</v>
      </c>
      <c r="AM77" s="2633">
        <f>IFERROR(SUM('9.Инвестиционна програма'!$AG151:AI151)/SUM($AK71:AM71),0)</f>
        <v>0</v>
      </c>
      <c r="AN77" s="2633">
        <f>IFERROR(SUM('9.Инвестиционна програма'!$AG151:AJ151)/SUM($AK71:AN71),0)</f>
        <v>0</v>
      </c>
      <c r="AO77" s="2633">
        <f>IFERROR(SUM('9.Инвестиционна програма'!$AG151:AK151)/SUM($AK71:AO71),0)</f>
        <v>0</v>
      </c>
      <c r="AP77" s="2634">
        <f>IFERROR(SUM('9.Инвестиционна програма'!$AG151:AL151)/SUM($AK71:AP71),0)</f>
        <v>0</v>
      </c>
      <c r="AQ77" s="4235"/>
      <c r="AR77" s="4430"/>
      <c r="AS77" s="2629">
        <f>IFERROR((SUM(E71*E77,M71*M77,U71*U77,AC71*AC77,AK71*AK77)/AS71),0)</f>
        <v>0</v>
      </c>
      <c r="AT77" s="2629">
        <f>IFERROR(((SUM($E71:F71)*F77+SUM($M71:N71)*N77+SUM($U71:V71)*V77+SUM($AC71:AD71)*AD77+SUM($AK71:AL71)*AL77)/SUM($AS71:AT71)),0)</f>
        <v>0</v>
      </c>
      <c r="AU77" s="2629">
        <f>IFERROR(((SUM($E71:G71)*G77+SUM($M71:O71)*O77+SUM($U71:W71)*W77+SUM($AC71:AE71)*AE77+SUM($AK71:AM71)*AM77)/SUM($AS71:AU71)),0)</f>
        <v>0</v>
      </c>
      <c r="AV77" s="2629">
        <f>IFERROR(((SUM($E71:H71)*H77+SUM($M71:P71)*P77+SUM($U71:X71)*X77+SUM($AC71:AF71)*AF77+SUM($AK71:AN71)*AN77)/SUM($AS71:AV71)),0)</f>
        <v>0</v>
      </c>
      <c r="AW77" s="2629">
        <f>IFERROR(((SUM($E71:I71)*I77+SUM($M71:Q71)*Q77+SUM($U71:Y71)*Y77+SUM($AC71:AG71)*AG77+SUM($AK71:AO71)*AO77)/SUM($AS71:AW71)),0)</f>
        <v>0</v>
      </c>
      <c r="AX77" s="2630">
        <f>IFERROR(((SUM($E71:J71)*J77+SUM($M71:R71)*R77+SUM($U71:Z71)*Z77+SUM($AC71:AH71)*AH77+SUM($AK71:AP71)*AP77)/SUM($AS71:AX71)),0)</f>
        <v>0</v>
      </c>
      <c r="AY77" s="4775"/>
    </row>
    <row r="78" spans="1:99" s="1" customFormat="1" ht="13.5" thickBot="1">
      <c r="A78" s="4108" t="s">
        <v>1388</v>
      </c>
      <c r="B78" s="2622" t="s">
        <v>1384</v>
      </c>
      <c r="C78" s="4236"/>
      <c r="D78" s="4425"/>
      <c r="E78" s="2631">
        <f>IF(E71&gt;0,1-E77,0)</f>
        <v>0</v>
      </c>
      <c r="F78" s="2631">
        <f>IF(SUM($E71:F71)&gt;0,1-F77,0)</f>
        <v>0</v>
      </c>
      <c r="G78" s="2631">
        <f>IF(SUM($E71:G71)&gt;0,1-G77,0)</f>
        <v>0</v>
      </c>
      <c r="H78" s="2631">
        <f>IF(SUM($E71:H71)&gt;0,1-H77,0)</f>
        <v>0</v>
      </c>
      <c r="I78" s="2631">
        <f>IF(SUM($E71:I71)&gt;0,1-I77,0)</f>
        <v>0</v>
      </c>
      <c r="J78" s="2632">
        <f>IF(SUM($E71:J71)&gt;0,1-J77,0)</f>
        <v>0</v>
      </c>
      <c r="K78" s="4237"/>
      <c r="L78" s="4431"/>
      <c r="M78" s="2631">
        <f>IF(M71&gt;0,1-M77,0)</f>
        <v>0</v>
      </c>
      <c r="N78" s="2631">
        <f>IF(SUM($M71:N71)&gt;0,1-N77,0)</f>
        <v>0</v>
      </c>
      <c r="O78" s="2631">
        <f>IF(SUM($M71:O71)&gt;0,1-O77,0)</f>
        <v>0</v>
      </c>
      <c r="P78" s="2631">
        <f>IF(SUM($M71:P71)&gt;0,1-P77,0)</f>
        <v>0</v>
      </c>
      <c r="Q78" s="2631">
        <f>IF(SUM($M71:Q71)&gt;0,1-Q77,0)</f>
        <v>0</v>
      </c>
      <c r="R78" s="2632">
        <f>IF(SUM($M71:R71)&gt;0,1-R77,0)</f>
        <v>0</v>
      </c>
      <c r="S78" s="4237"/>
      <c r="T78" s="4431"/>
      <c r="U78" s="2631">
        <f>IF(U71&gt;0,1-U77,0)</f>
        <v>0</v>
      </c>
      <c r="V78" s="2631">
        <f>IF(SUM($U71:V71)&gt;0,1-V77,0)</f>
        <v>0</v>
      </c>
      <c r="W78" s="2631">
        <f>IF(SUM($U71:W71)&gt;0,1-W77,0)</f>
        <v>0</v>
      </c>
      <c r="X78" s="2631">
        <f>IF(SUM($U71:X71)&gt;0,1-X77,0)</f>
        <v>0</v>
      </c>
      <c r="Y78" s="2631">
        <f>IF(SUM($U71:Y71)&gt;0,1-Y77,0)</f>
        <v>0</v>
      </c>
      <c r="Z78" s="2632">
        <f>IF(SUM($U71:Z71)&gt;0,1-Z77,0)</f>
        <v>0</v>
      </c>
      <c r="AA78" s="4237"/>
      <c r="AB78" s="4431"/>
      <c r="AC78" s="2631">
        <f>IF(AC71&gt;0,1-AC77,0)</f>
        <v>0</v>
      </c>
      <c r="AD78" s="2631">
        <f>IF(SUM($AC71:AD71)&gt;0,1-AD77,0)</f>
        <v>0</v>
      </c>
      <c r="AE78" s="2631">
        <f>IF(SUM($AC71:AE71)&gt;0,1-AE77,0)</f>
        <v>0</v>
      </c>
      <c r="AF78" s="2631">
        <f>IF(SUM($AC71:AF71)&gt;0,1-AF77,0)</f>
        <v>0</v>
      </c>
      <c r="AG78" s="2631">
        <f>IF(SUM($AC71:AG71)&gt;0,1-AG77,0)</f>
        <v>0</v>
      </c>
      <c r="AH78" s="2632">
        <f>IF(SUM($AC71:AH71)&gt;0,1-AH77,0)</f>
        <v>0</v>
      </c>
      <c r="AI78" s="4237"/>
      <c r="AJ78" s="4431"/>
      <c r="AK78" s="2631">
        <f>IF(AK71&gt;0,1-AK77,0)</f>
        <v>0</v>
      </c>
      <c r="AL78" s="2631">
        <f>IF(SUM($AK71:AL71)&gt;0,1-AL77,0)</f>
        <v>0</v>
      </c>
      <c r="AM78" s="2631">
        <f>IF(SUM($AK71:AM71)&gt;0,1-AM77,0)</f>
        <v>0</v>
      </c>
      <c r="AN78" s="2631">
        <f>IF(SUM($AK71:AN71)&gt;0,1-AN77,0)</f>
        <v>0</v>
      </c>
      <c r="AO78" s="2631">
        <f>IF(SUM($AK71:AO71)&gt;0,1-AO77,0)</f>
        <v>0</v>
      </c>
      <c r="AP78" s="2632">
        <f>IF(SUM($AK71:AP71)&gt;0,1-AP77,0)</f>
        <v>0</v>
      </c>
      <c r="AQ78" s="4237"/>
      <c r="AR78" s="4431"/>
      <c r="AS78" s="2631">
        <f>IF(AS71&gt;0,1-AS77,0)</f>
        <v>0</v>
      </c>
      <c r="AT78" s="2631">
        <f>IF(SUM($AS71:AT71)&gt;0,1-AT77,0)</f>
        <v>0</v>
      </c>
      <c r="AU78" s="2631">
        <f>IF(SUM($AS71:AU71)&gt;0,1-AU77,0)</f>
        <v>0</v>
      </c>
      <c r="AV78" s="2631">
        <f>IF(SUM($AS71:AV71)&gt;0,1-AV77,0)</f>
        <v>0</v>
      </c>
      <c r="AW78" s="2631">
        <f>IF(SUM($AS71:AW71)&gt;0,1-AW77,0)</f>
        <v>0</v>
      </c>
      <c r="AX78" s="2632">
        <f>IF(SUM($AS71:AX71)&gt;0,1-AX77,0)</f>
        <v>0</v>
      </c>
      <c r="AY78" s="4775"/>
    </row>
    <row r="79" spans="1:99">
      <c r="A79" s="2552"/>
      <c r="B79" s="2635"/>
      <c r="C79" s="2557"/>
      <c r="D79" s="2557"/>
      <c r="E79" s="4239"/>
      <c r="F79" s="4239"/>
      <c r="G79" s="4239"/>
      <c r="H79" s="4239"/>
      <c r="I79" s="4239"/>
      <c r="J79" s="4239"/>
      <c r="K79" s="4240"/>
      <c r="L79" s="4240"/>
      <c r="M79" s="4239"/>
      <c r="N79" s="4239"/>
      <c r="O79" s="4239"/>
      <c r="P79" s="4239"/>
      <c r="Q79" s="4239"/>
      <c r="R79" s="4239"/>
      <c r="S79" s="4240"/>
      <c r="T79" s="4240"/>
      <c r="U79" s="4239"/>
      <c r="V79" s="4239"/>
      <c r="W79" s="4239"/>
      <c r="X79" s="4239"/>
      <c r="Y79" s="4239"/>
      <c r="Z79" s="4239"/>
      <c r="AA79" s="2557"/>
      <c r="AB79" s="2557"/>
      <c r="AC79" s="4238"/>
      <c r="AD79" s="4238"/>
      <c r="AE79" s="4238"/>
      <c r="AF79" s="4238"/>
      <c r="AG79" s="4238"/>
      <c r="AH79" s="4238"/>
      <c r="AI79" s="2557"/>
      <c r="AJ79" s="2557"/>
      <c r="AK79" s="4238"/>
      <c r="AL79" s="4238"/>
      <c r="AM79" s="4238"/>
      <c r="AN79" s="4238"/>
      <c r="AO79" s="4238"/>
      <c r="AP79" s="4238"/>
      <c r="AQ79" s="2557"/>
      <c r="AR79" s="2557"/>
      <c r="AS79" s="4238"/>
      <c r="AT79" s="4238"/>
      <c r="AU79" s="4238"/>
      <c r="AV79" s="4238"/>
      <c r="AW79" s="4238"/>
      <c r="AX79" s="4238"/>
    </row>
    <row r="80" spans="1:99">
      <c r="A80" s="2552"/>
      <c r="B80" s="1775"/>
      <c r="C80" s="2636" t="str">
        <f>'Приложение '!B82</f>
        <v>Дата: 15.04.2026 г.</v>
      </c>
      <c r="D80" s="2557"/>
      <c r="E80" s="4239"/>
      <c r="F80" s="4239"/>
      <c r="G80" s="4239"/>
      <c r="H80" s="4239"/>
      <c r="I80" s="4239"/>
      <c r="J80" s="4239"/>
      <c r="K80" s="4240"/>
      <c r="L80" s="4240"/>
      <c r="M80" s="4239"/>
      <c r="N80" s="4239"/>
      <c r="O80" s="4239"/>
      <c r="P80" s="4239"/>
      <c r="Q80" s="4239"/>
      <c r="R80" s="4239"/>
      <c r="S80" s="4240"/>
      <c r="T80" s="4240"/>
      <c r="U80" s="4239"/>
      <c r="V80" s="4239"/>
      <c r="W80" s="4239"/>
      <c r="X80" s="4239"/>
      <c r="Y80" s="4239"/>
      <c r="Z80" s="4239"/>
      <c r="AA80" s="2557"/>
      <c r="AB80" s="2557"/>
      <c r="AC80" s="4238"/>
      <c r="AD80" s="4238"/>
      <c r="AE80" s="4238"/>
      <c r="AF80" s="4238"/>
      <c r="AG80" s="4238"/>
      <c r="AH80" s="4238"/>
      <c r="AI80" s="2557"/>
      <c r="AJ80" s="2557"/>
      <c r="AK80" s="4238"/>
      <c r="AL80" s="4238"/>
      <c r="AM80" s="4238"/>
      <c r="AN80" s="4238"/>
      <c r="AO80" s="4238"/>
      <c r="AP80" s="4238"/>
      <c r="AQ80" s="2557"/>
      <c r="AR80" s="2557"/>
      <c r="AS80" s="3755"/>
      <c r="AT80" s="3755"/>
      <c r="AU80" s="3755"/>
      <c r="AV80" s="3755"/>
      <c r="AW80" s="3755"/>
      <c r="AX80" s="3755"/>
    </row>
    <row r="81" spans="1:50">
      <c r="A81" s="2552"/>
      <c r="B81" s="2557"/>
      <c r="C81" s="2639"/>
      <c r="D81" s="2639"/>
      <c r="E81" s="4241"/>
      <c r="F81" s="4241"/>
      <c r="G81" s="4241"/>
      <c r="H81" s="4241"/>
      <c r="I81" s="4241"/>
      <c r="J81" s="4241"/>
      <c r="K81" s="4240"/>
      <c r="L81" s="4240"/>
      <c r="M81" s="4241"/>
      <c r="N81" s="4241"/>
      <c r="O81" s="4241"/>
      <c r="P81" s="4241"/>
      <c r="Q81" s="4241"/>
      <c r="R81" s="4241"/>
      <c r="S81" s="4240"/>
      <c r="T81" s="4240"/>
      <c r="U81" s="4241"/>
      <c r="V81" s="4241"/>
      <c r="W81" s="4241"/>
      <c r="X81" s="4241"/>
      <c r="Y81" s="4241"/>
      <c r="Z81" s="4241"/>
      <c r="AA81" s="2557"/>
      <c r="AB81" s="2557"/>
      <c r="AD81" s="2557"/>
      <c r="AE81" s="2557"/>
      <c r="AF81" s="2557"/>
      <c r="AG81" s="2557"/>
      <c r="AH81" s="2557"/>
      <c r="AI81" s="2557"/>
      <c r="AJ81" s="2557"/>
      <c r="AK81" s="2557"/>
      <c r="AL81" s="2557"/>
      <c r="AM81" s="2637"/>
      <c r="AN81" s="2638"/>
      <c r="AO81" s="1697"/>
      <c r="AP81" s="2638"/>
      <c r="AQ81" s="2557"/>
      <c r="AR81" s="2557"/>
      <c r="AS81" s="4242"/>
      <c r="AT81" s="4242"/>
      <c r="AU81" s="4242"/>
      <c r="AV81" s="4242"/>
      <c r="AW81" s="4242"/>
      <c r="AX81" s="4242"/>
    </row>
    <row r="82" spans="1:50" ht="13.5">
      <c r="B82" s="2640"/>
      <c r="C82" s="4691" t="s">
        <v>187</v>
      </c>
      <c r="F82" s="2640"/>
      <c r="G82" s="2640"/>
      <c r="H82" s="2640"/>
      <c r="I82" s="2640"/>
      <c r="J82" s="2640"/>
      <c r="K82" s="2640"/>
      <c r="L82" s="2640"/>
      <c r="M82" s="2640"/>
      <c r="AA82" s="2557"/>
      <c r="AB82" s="2557"/>
      <c r="AC82" s="2557"/>
      <c r="AD82" s="2557"/>
      <c r="AE82" s="2557"/>
      <c r="AF82" s="2557"/>
      <c r="AG82" s="2557"/>
      <c r="AH82" s="2557"/>
      <c r="AI82" s="2557"/>
      <c r="AJ82" s="2557"/>
      <c r="AK82" s="2557"/>
      <c r="AL82" s="2557"/>
      <c r="AM82" s="2641"/>
      <c r="AN82" s="2557"/>
      <c r="AO82" s="2642"/>
      <c r="AP82" s="2638"/>
      <c r="AQ82" s="2557"/>
      <c r="AR82" s="2557"/>
      <c r="AS82" s="2557"/>
      <c r="AT82" s="2557"/>
      <c r="AU82" s="2557"/>
      <c r="AV82" s="2557"/>
      <c r="AW82" s="2557"/>
      <c r="AX82" s="2557"/>
    </row>
    <row r="83" spans="1:50">
      <c r="B83" s="3947"/>
      <c r="C83" s="4092" t="s">
        <v>188</v>
      </c>
      <c r="F83" s="3947"/>
      <c r="G83" s="3947"/>
      <c r="H83" s="3947"/>
      <c r="I83" s="3947"/>
      <c r="J83" s="3947"/>
      <c r="K83" s="3947"/>
      <c r="L83" s="3947"/>
      <c r="M83" s="3947"/>
      <c r="AA83" s="2557"/>
      <c r="AB83" s="2557"/>
      <c r="AC83" s="2557"/>
      <c r="AD83" s="2557"/>
      <c r="AE83" s="2557"/>
      <c r="AF83" s="2557"/>
      <c r="AG83" s="2557"/>
      <c r="AH83" s="2557"/>
      <c r="AI83" s="2557"/>
      <c r="AJ83" s="2557"/>
      <c r="AK83" s="2557"/>
      <c r="AL83" s="2557"/>
      <c r="AM83" s="2641"/>
      <c r="AN83" s="2557"/>
      <c r="AO83" s="2642"/>
      <c r="AP83" s="2638"/>
      <c r="AQ83" s="2557"/>
      <c r="AR83" s="2557"/>
      <c r="AS83" s="2557"/>
      <c r="AT83" s="2557"/>
      <c r="AU83" s="2557"/>
      <c r="AV83" s="2557"/>
      <c r="AW83" s="2557"/>
      <c r="AX83" s="2557"/>
    </row>
    <row r="84" spans="1:50" ht="12.75" customHeight="1">
      <c r="B84" s="3948"/>
      <c r="C84" s="4092" t="s">
        <v>1864</v>
      </c>
      <c r="F84" s="4092"/>
      <c r="G84" s="4092"/>
      <c r="H84" s="4092"/>
      <c r="I84" s="4092"/>
      <c r="J84" s="4092"/>
      <c r="K84" s="4092"/>
      <c r="L84" s="4092"/>
      <c r="M84" s="4092"/>
      <c r="AA84" s="2557"/>
      <c r="AB84" s="2557"/>
      <c r="AC84" s="2557"/>
      <c r="AD84" s="2557"/>
      <c r="AE84" s="2557"/>
      <c r="AF84" s="2557"/>
      <c r="AG84" s="2557"/>
      <c r="AH84" s="2557"/>
      <c r="AI84" s="2557"/>
      <c r="AJ84" s="2557"/>
      <c r="AK84" s="2557"/>
      <c r="AL84" s="2557"/>
      <c r="AM84" s="2637"/>
      <c r="AN84" s="2638"/>
      <c r="AO84" s="2638"/>
      <c r="AP84" s="2638"/>
      <c r="AQ84" s="2557"/>
      <c r="AR84" s="2557"/>
      <c r="AS84" s="2557"/>
      <c r="AT84" s="2557"/>
      <c r="AU84" s="2557"/>
      <c r="AV84" s="2557"/>
      <c r="AW84" s="2557"/>
      <c r="AX84" s="2557"/>
    </row>
    <row r="85" spans="1:50" ht="12.75" customHeight="1">
      <c r="B85" s="3948"/>
      <c r="C85" s="4092" t="s">
        <v>1865</v>
      </c>
      <c r="F85" s="4092"/>
      <c r="G85" s="4092"/>
      <c r="H85" s="4092"/>
      <c r="I85" s="4092"/>
      <c r="J85" s="4092"/>
      <c r="K85" s="4092"/>
      <c r="L85" s="4092"/>
      <c r="M85" s="4092"/>
      <c r="AA85" s="2557"/>
      <c r="AB85" s="2557"/>
      <c r="AC85" s="2557"/>
      <c r="AD85" s="2557"/>
      <c r="AE85" s="2557"/>
      <c r="AF85" s="2557"/>
      <c r="AG85" s="2557"/>
      <c r="AH85" s="2557"/>
      <c r="AI85" s="2557"/>
      <c r="AJ85" s="2557"/>
      <c r="AK85" s="2557"/>
      <c r="AL85" s="2557"/>
      <c r="AM85" s="2643"/>
      <c r="AN85" s="2557"/>
      <c r="AO85" s="2642"/>
      <c r="AP85" s="2557"/>
      <c r="AQ85" s="2557"/>
      <c r="AR85" s="2557"/>
      <c r="AS85" s="2557"/>
      <c r="AT85" s="2557"/>
      <c r="AU85" s="2557"/>
      <c r="AV85" s="2557"/>
      <c r="AW85" s="2557"/>
      <c r="AX85" s="2557"/>
    </row>
    <row r="86" spans="1:50" ht="27" customHeight="1">
      <c r="B86" s="3948"/>
      <c r="C86" s="5341" t="s">
        <v>1866</v>
      </c>
      <c r="D86" s="5341"/>
      <c r="E86" s="5341"/>
      <c r="F86" s="5341"/>
      <c r="G86" s="5341"/>
      <c r="H86" s="5341"/>
      <c r="I86" s="5341"/>
      <c r="J86" s="5341"/>
      <c r="K86" s="5341"/>
      <c r="L86" s="5341"/>
      <c r="M86" s="5341"/>
      <c r="N86" s="5341"/>
      <c r="O86" s="5341"/>
      <c r="P86" s="5341"/>
      <c r="Q86" s="5341"/>
      <c r="R86" s="5341"/>
      <c r="S86" s="5341"/>
      <c r="T86" s="5341"/>
      <c r="U86" s="5341"/>
      <c r="V86" s="4092"/>
      <c r="W86" s="4092"/>
      <c r="X86" s="4092"/>
      <c r="Y86" s="4092"/>
      <c r="Z86" s="4092"/>
      <c r="AA86" s="2557"/>
      <c r="AB86" s="2557"/>
      <c r="AC86" s="2557"/>
      <c r="AD86" s="2557"/>
      <c r="AE86" s="2557"/>
      <c r="AF86" s="2557"/>
      <c r="AG86" s="2557"/>
      <c r="AH86" s="2557"/>
      <c r="AI86" s="2557"/>
      <c r="AJ86" s="2557"/>
      <c r="AK86" s="2557"/>
      <c r="AL86" s="2557"/>
      <c r="AM86" s="2557"/>
      <c r="AN86" s="2557"/>
      <c r="AO86" s="2557"/>
      <c r="AP86" s="2557"/>
      <c r="AQ86" s="2557"/>
      <c r="AR86" s="2557"/>
      <c r="AS86" s="2557"/>
      <c r="AT86" s="2557"/>
      <c r="AU86" s="2557"/>
      <c r="AV86" s="2557"/>
      <c r="AW86" s="2557"/>
      <c r="AX86" s="2557"/>
    </row>
    <row r="87" spans="1:50">
      <c r="B87" s="3948"/>
      <c r="C87" s="4092" t="s">
        <v>1867</v>
      </c>
      <c r="D87" s="4653"/>
      <c r="E87" s="4653"/>
      <c r="F87" s="4653"/>
      <c r="G87" s="4653"/>
      <c r="H87" s="4653"/>
      <c r="I87" s="4653"/>
      <c r="J87" s="4653"/>
      <c r="K87" s="4653"/>
      <c r="L87" s="4653"/>
      <c r="M87" s="4653"/>
      <c r="N87" s="4653"/>
      <c r="O87" s="4653"/>
      <c r="P87" s="4653"/>
      <c r="Q87" s="4653"/>
      <c r="R87" s="4653"/>
      <c r="S87" s="4653"/>
      <c r="T87" s="4653"/>
      <c r="U87" s="4653"/>
      <c r="V87" s="4653"/>
      <c r="W87" s="4653"/>
      <c r="X87" s="4653"/>
      <c r="Y87" s="4653"/>
      <c r="Z87" s="4653"/>
      <c r="AA87" s="2557"/>
      <c r="AB87" s="2557"/>
      <c r="AC87" s="2557"/>
      <c r="AD87" s="2557"/>
      <c r="AE87" s="2557"/>
      <c r="AF87" s="2557"/>
      <c r="AG87" s="2557"/>
      <c r="AH87" s="2557"/>
      <c r="AI87" s="2557"/>
      <c r="AJ87" s="2557"/>
      <c r="AK87" s="2557"/>
      <c r="AL87" s="2557"/>
      <c r="AM87" s="2557"/>
      <c r="AN87" s="2557"/>
      <c r="AO87" s="2557"/>
      <c r="AP87" s="2557"/>
      <c r="AQ87" s="2557"/>
      <c r="AR87" s="2557"/>
      <c r="AS87" s="2557"/>
      <c r="AT87" s="2557"/>
      <c r="AU87" s="2557"/>
      <c r="AV87" s="2557"/>
      <c r="AW87" s="2557"/>
      <c r="AX87" s="2557"/>
    </row>
    <row r="88" spans="1:50" s="4735" customFormat="1">
      <c r="A88" s="4734"/>
      <c r="E88" s="4736"/>
      <c r="F88" s="4736"/>
      <c r="G88" s="4736"/>
      <c r="H88" s="4736"/>
      <c r="I88" s="4736"/>
      <c r="J88" s="4736"/>
      <c r="M88" s="4736"/>
      <c r="N88" s="4736"/>
      <c r="O88" s="4736"/>
      <c r="P88" s="4736"/>
      <c r="Q88" s="4736"/>
      <c r="R88" s="4736"/>
      <c r="U88" s="4736"/>
      <c r="V88" s="4736"/>
      <c r="W88" s="4736"/>
      <c r="X88" s="4736"/>
      <c r="Y88" s="4736"/>
      <c r="Z88" s="4736"/>
      <c r="AC88" s="4736"/>
      <c r="AD88" s="4736"/>
      <c r="AE88" s="4736"/>
      <c r="AF88" s="4736"/>
      <c r="AG88" s="4736"/>
      <c r="AH88" s="4736"/>
      <c r="AK88" s="4736"/>
      <c r="AL88" s="4736"/>
      <c r="AM88" s="4736"/>
      <c r="AN88" s="4736"/>
      <c r="AO88" s="4736"/>
      <c r="AP88" s="4736"/>
      <c r="AS88" s="4736"/>
      <c r="AT88" s="4736"/>
      <c r="AU88" s="4736"/>
      <c r="AV88" s="4736"/>
      <c r="AW88" s="4736"/>
      <c r="AX88" s="4736"/>
    </row>
    <row r="89" spans="1:50" ht="12.75" customHeight="1">
      <c r="A89" s="659"/>
      <c r="N89" s="3948"/>
      <c r="O89" s="3948"/>
      <c r="P89" s="3948"/>
      <c r="Q89" s="3948"/>
      <c r="R89" s="3948"/>
      <c r="S89" s="4338"/>
      <c r="T89" s="3948"/>
      <c r="U89" s="3948"/>
      <c r="V89" s="3948"/>
      <c r="W89" s="3948"/>
      <c r="X89" s="3948"/>
      <c r="Y89" s="3948"/>
    </row>
    <row r="90" spans="1:50">
      <c r="A90" s="659"/>
      <c r="N90" s="3948"/>
      <c r="O90" s="3948"/>
      <c r="P90" s="3948"/>
      <c r="Q90" s="3948"/>
      <c r="R90" s="3948"/>
      <c r="S90" s="4338"/>
      <c r="T90" s="3948"/>
      <c r="U90" s="3948"/>
      <c r="V90" s="3948"/>
      <c r="W90" s="3948"/>
      <c r="X90" s="3948"/>
      <c r="Y90" s="3948"/>
    </row>
    <row r="91" spans="1:50">
      <c r="A91" s="659"/>
      <c r="N91" s="3948"/>
      <c r="O91" s="3948"/>
      <c r="P91" s="3948"/>
      <c r="Q91" s="3948"/>
      <c r="R91" s="3948"/>
      <c r="S91" s="4338"/>
      <c r="T91" s="3948"/>
      <c r="U91" s="3948"/>
      <c r="V91" s="3948"/>
      <c r="W91" s="3948"/>
      <c r="X91" s="3948"/>
      <c r="Y91" s="3948"/>
    </row>
    <row r="92" spans="1:50">
      <c r="A92" s="673"/>
      <c r="N92" s="3948"/>
      <c r="O92" s="3948"/>
      <c r="P92" s="3948"/>
      <c r="Q92" s="3948"/>
      <c r="R92" s="3948"/>
      <c r="S92" s="4338"/>
      <c r="T92" s="3948"/>
      <c r="U92" s="3948"/>
      <c r="V92" s="3948"/>
      <c r="W92" s="3948"/>
      <c r="X92" s="3948"/>
      <c r="Y92" s="3948"/>
    </row>
  </sheetData>
  <sheetProtection algorithmName="SHA-512" hashValue="SJe6/EWcr/wKraIyA87yTS0vAnT/ac08OS7xYyEDS5BUjKTzxqkz/4qF5WmgljkTwpYzMyys9ZGoM0IQMlhzbA==" saltValue="h5weoVzudlWHLSdnD5K5LQ==" spinCount="100000" sheet="1" formatCells="0" formatColumns="0" formatRows="0"/>
  <mergeCells count="53">
    <mergeCell ref="BX7:CE7"/>
    <mergeCell ref="CF7:CM7"/>
    <mergeCell ref="CN7:CU7"/>
    <mergeCell ref="A1:B1"/>
    <mergeCell ref="C1:D1"/>
    <mergeCell ref="AZ7:BG7"/>
    <mergeCell ref="BH7:BO7"/>
    <mergeCell ref="BP7:BW7"/>
    <mergeCell ref="AA7:AH7"/>
    <mergeCell ref="AQ46:AX46"/>
    <mergeCell ref="AQ57:AX57"/>
    <mergeCell ref="AQ68:AX68"/>
    <mergeCell ref="C2:R2"/>
    <mergeCell ref="C3:R3"/>
    <mergeCell ref="C4:R4"/>
    <mergeCell ref="C5:R5"/>
    <mergeCell ref="C46:J46"/>
    <mergeCell ref="AA46:AH46"/>
    <mergeCell ref="AA57:AH57"/>
    <mergeCell ref="AA68:AH68"/>
    <mergeCell ref="AI7:AP7"/>
    <mergeCell ref="AI35:AP35"/>
    <mergeCell ref="AI46:AP46"/>
    <mergeCell ref="AI57:AP57"/>
    <mergeCell ref="AI68:AP68"/>
    <mergeCell ref="AA35:AH35"/>
    <mergeCell ref="AQ7:AX7"/>
    <mergeCell ref="AQ35:AX35"/>
    <mergeCell ref="A7:A8"/>
    <mergeCell ref="A35:A36"/>
    <mergeCell ref="B7:B8"/>
    <mergeCell ref="B35:B36"/>
    <mergeCell ref="C7:J7"/>
    <mergeCell ref="C35:J35"/>
    <mergeCell ref="K7:R7"/>
    <mergeCell ref="S7:Z7"/>
    <mergeCell ref="K35:R35"/>
    <mergeCell ref="S35:Z35"/>
    <mergeCell ref="A57:A58"/>
    <mergeCell ref="B57:B58"/>
    <mergeCell ref="A46:A47"/>
    <mergeCell ref="B46:B47"/>
    <mergeCell ref="A68:A69"/>
    <mergeCell ref="B68:B69"/>
    <mergeCell ref="C86:U86"/>
    <mergeCell ref="C57:J57"/>
    <mergeCell ref="C68:J68"/>
    <mergeCell ref="S46:Z46"/>
    <mergeCell ref="S57:Z57"/>
    <mergeCell ref="S68:Z68"/>
    <mergeCell ref="K46:R46"/>
    <mergeCell ref="K57:R57"/>
    <mergeCell ref="K68:R68"/>
  </mergeCells>
  <conditionalFormatting sqref="F29:J29 N29:R29 V29:Z29">
    <cfRule type="cellIs" dxfId="52" priority="30" operator="lessThan">
      <formula>0</formula>
    </cfRule>
  </conditionalFormatting>
  <conditionalFormatting sqref="F32:J32 N32:R32 V32:Z32">
    <cfRule type="cellIs" dxfId="51" priority="29" operator="greaterThan">
      <formula>1</formula>
    </cfRule>
  </conditionalFormatting>
  <conditionalFormatting sqref="F33:J33 N33:R33 V33:Z33">
    <cfRule type="cellIs" dxfId="50" priority="28" operator="greaterThan">
      <formula>0</formula>
    </cfRule>
  </conditionalFormatting>
  <conditionalFormatting sqref="AD29:AH29">
    <cfRule type="cellIs" dxfId="49" priority="27" operator="lessThan">
      <formula>0</formula>
    </cfRule>
  </conditionalFormatting>
  <conditionalFormatting sqref="AD32:AH32">
    <cfRule type="cellIs" dxfId="48" priority="26" operator="greaterThan">
      <formula>1</formula>
    </cfRule>
  </conditionalFormatting>
  <conditionalFormatting sqref="AD33:AH33">
    <cfRule type="cellIs" dxfId="47" priority="25" operator="greaterThan">
      <formula>0</formula>
    </cfRule>
  </conditionalFormatting>
  <conditionalFormatting sqref="AL29:AP29">
    <cfRule type="cellIs" dxfId="46" priority="24" operator="lessThan">
      <formula>0</formula>
    </cfRule>
  </conditionalFormatting>
  <conditionalFormatting sqref="AL32:AP32">
    <cfRule type="cellIs" dxfId="45" priority="23" operator="greaterThan">
      <formula>1</formula>
    </cfRule>
  </conditionalFormatting>
  <conditionalFormatting sqref="AL33:AP33">
    <cfRule type="cellIs" dxfId="44" priority="22" operator="greaterThan">
      <formula>0</formula>
    </cfRule>
  </conditionalFormatting>
  <conditionalFormatting sqref="AT29:AX29">
    <cfRule type="cellIs" dxfId="43" priority="21" operator="lessThan">
      <formula>0</formula>
    </cfRule>
  </conditionalFormatting>
  <conditionalFormatting sqref="AT32:AX32">
    <cfRule type="cellIs" dxfId="42" priority="20" operator="greaterThan">
      <formula>1</formula>
    </cfRule>
  </conditionalFormatting>
  <conditionalFormatting sqref="AT33:AX33">
    <cfRule type="cellIs" dxfId="41" priority="19" operator="greaterThan">
      <formula>0</formula>
    </cfRule>
  </conditionalFormatting>
  <printOptions horizontalCentered="1"/>
  <pageMargins left="0" right="0" top="0.39370078740157483" bottom="0.27559055118110237" header="0.19685039370078741" footer="0.19685039370078741"/>
  <pageSetup paperSize="9" scale="69" pageOrder="overThenDown" orientation="landscape" r:id="rId1"/>
  <headerFooter alignWithMargins="0">
    <oddFooter>&amp;C&amp;A&amp;RСтр. &amp;P от &amp;N</oddFooter>
  </headerFooter>
  <rowBreaks count="2" manualBreakCount="2">
    <brk id="45" max="49" man="1"/>
    <brk id="87" max="43" man="1"/>
  </rowBreaks>
  <colBreaks count="1" manualBreakCount="1">
    <brk id="26"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BY301"/>
  <sheetViews>
    <sheetView showGridLines="0" zoomScale="120" zoomScaleNormal="120" zoomScaleSheetLayoutView="136" workbookViewId="0">
      <pane xSplit="4" ySplit="8" topLeftCell="E150" activePane="bottomRight" state="frozen"/>
      <selection pane="topRight" activeCell="E1" sqref="E1"/>
      <selection pane="bottomLeft" activeCell="A9" sqref="A9"/>
      <selection pane="bottomRight" activeCell="D13" sqref="D13"/>
    </sheetView>
  </sheetViews>
  <sheetFormatPr defaultColWidth="9.140625" defaultRowHeight="12.75"/>
  <cols>
    <col min="1" max="1" width="3.28515625" style="185" customWidth="1"/>
    <col min="2" max="2" width="8.42578125" style="186" customWidth="1"/>
    <col min="3" max="3" width="6.28515625" style="186" customWidth="1"/>
    <col min="4" max="4" width="33.140625" style="186" customWidth="1"/>
    <col min="5" max="5" width="7.28515625" style="185" customWidth="1"/>
    <col min="6" max="11" width="7.28515625" style="186" customWidth="1"/>
    <col min="12" max="12" width="7.28515625" style="185" customWidth="1"/>
    <col min="13" max="18" width="7.28515625" style="186" customWidth="1"/>
    <col min="19" max="19" width="7.28515625" style="185" customWidth="1"/>
    <col min="20" max="25" width="7.28515625" style="186" customWidth="1"/>
    <col min="26" max="26" width="7.28515625" style="185" customWidth="1"/>
    <col min="27" max="32" width="7.28515625" style="186" customWidth="1"/>
    <col min="33" max="33" width="7.28515625" style="185" customWidth="1"/>
    <col min="34" max="39" width="7.28515625" style="186" customWidth="1"/>
    <col min="40" max="40" width="1.42578125" style="1343" customWidth="1"/>
    <col min="41" max="41" width="8.28515625" style="186" customWidth="1"/>
    <col min="42" max="42" width="2.5703125" style="186" customWidth="1"/>
    <col min="43" max="16384" width="9.140625" style="1343"/>
  </cols>
  <sheetData>
    <row r="1" spans="1:77" ht="26.45" customHeight="1" thickBot="1">
      <c r="A1" s="5338" t="str">
        <f>+'1. Обща информация'!B40</f>
        <v>Фиксиран курс на лева към 1 евро</v>
      </c>
      <c r="B1" s="5339"/>
      <c r="C1" s="5340"/>
      <c r="D1" s="4798">
        <f>+'1. Обща информация'!$C$40</f>
        <v>1.95583</v>
      </c>
      <c r="E1" s="2644"/>
      <c r="F1" s="2646"/>
      <c r="G1" s="2645"/>
      <c r="H1" s="2645"/>
      <c r="I1" s="2645"/>
      <c r="J1" s="2645"/>
      <c r="K1" s="2645"/>
      <c r="L1" s="2644"/>
      <c r="M1" s="2645"/>
      <c r="N1" s="2645"/>
      <c r="O1" s="2645"/>
      <c r="P1" s="2645"/>
      <c r="Q1" s="2645"/>
      <c r="R1" s="2645"/>
      <c r="S1" s="2644"/>
      <c r="T1" s="2645"/>
      <c r="U1" s="2645"/>
      <c r="V1" s="2645"/>
      <c r="W1" s="2645"/>
      <c r="X1" s="2645"/>
      <c r="Y1" s="3943" t="s">
        <v>189</v>
      </c>
      <c r="Z1" s="2644"/>
      <c r="AA1" s="2645"/>
      <c r="AB1" s="2645"/>
      <c r="AC1" s="2645"/>
      <c r="AD1" s="2645"/>
      <c r="AE1" s="2645"/>
      <c r="AF1" s="3943"/>
      <c r="AG1" s="2644"/>
      <c r="AH1" s="2645"/>
      <c r="AI1" s="2645"/>
      <c r="AJ1" s="2645"/>
      <c r="AK1" s="2645"/>
      <c r="AL1" s="2645"/>
      <c r="AM1" s="3943"/>
      <c r="AN1" s="2647"/>
      <c r="AO1" s="2648"/>
      <c r="AP1" s="1344"/>
    </row>
    <row r="2" spans="1:77" ht="18.75">
      <c r="A2" s="5373" t="s">
        <v>1405</v>
      </c>
      <c r="B2" s="5373"/>
      <c r="C2" s="5373"/>
      <c r="D2" s="5373"/>
      <c r="E2" s="5373"/>
      <c r="F2" s="5373"/>
      <c r="G2" s="5373"/>
      <c r="H2" s="5373"/>
      <c r="I2" s="5373"/>
      <c r="J2" s="5373"/>
      <c r="K2" s="5373"/>
      <c r="L2" s="5373"/>
      <c r="M2" s="5373"/>
      <c r="N2" s="5373"/>
      <c r="O2" s="5373"/>
      <c r="P2" s="5373"/>
      <c r="Q2" s="5373"/>
      <c r="R2" s="5373"/>
      <c r="S2" s="5373"/>
      <c r="T2" s="5373"/>
      <c r="U2" s="5373"/>
      <c r="V2" s="5373"/>
      <c r="W2" s="5373"/>
      <c r="X2" s="5373"/>
      <c r="Y2" s="5373"/>
      <c r="Z2" s="3950"/>
      <c r="AA2" s="3950"/>
      <c r="AB2" s="3950"/>
      <c r="AC2" s="3950"/>
      <c r="AD2" s="3950"/>
      <c r="AE2" s="3950"/>
      <c r="AF2" s="3950"/>
      <c r="AG2" s="3950"/>
      <c r="AH2" s="3950"/>
      <c r="AI2" s="3950"/>
      <c r="AJ2" s="3950"/>
      <c r="AK2" s="3950"/>
      <c r="AL2" s="3950"/>
      <c r="AM2" s="3950"/>
      <c r="AN2" s="2649"/>
      <c r="AO2" s="2648"/>
      <c r="AP2" s="1344"/>
    </row>
    <row r="3" spans="1:77" ht="18.75">
      <c r="A3" s="5373" t="s">
        <v>1406</v>
      </c>
      <c r="B3" s="5373"/>
      <c r="C3" s="5373"/>
      <c r="D3" s="5373"/>
      <c r="E3" s="5373"/>
      <c r="F3" s="5373"/>
      <c r="G3" s="5373"/>
      <c r="H3" s="5373"/>
      <c r="I3" s="5373"/>
      <c r="J3" s="5373"/>
      <c r="K3" s="5373"/>
      <c r="L3" s="5373"/>
      <c r="M3" s="5373"/>
      <c r="N3" s="5373"/>
      <c r="O3" s="5373"/>
      <c r="P3" s="5373"/>
      <c r="Q3" s="5373"/>
      <c r="R3" s="5373"/>
      <c r="S3" s="5373"/>
      <c r="T3" s="5373"/>
      <c r="U3" s="5373"/>
      <c r="V3" s="5373"/>
      <c r="W3" s="5373"/>
      <c r="X3" s="5373"/>
      <c r="Y3" s="5373"/>
      <c r="Z3" s="3950"/>
      <c r="AA3" s="3950"/>
      <c r="AB3" s="3950"/>
      <c r="AC3" s="3950"/>
      <c r="AD3" s="3950"/>
      <c r="AE3" s="3950"/>
      <c r="AF3" s="3950"/>
      <c r="AG3" s="3950"/>
      <c r="AH3" s="3950"/>
      <c r="AI3" s="3950"/>
      <c r="AJ3" s="3950"/>
      <c r="AK3" s="3950"/>
      <c r="AL3" s="3950"/>
      <c r="AM3" s="3950"/>
      <c r="AN3" s="2649"/>
      <c r="AO3" s="2648"/>
      <c r="AP3" s="1344"/>
    </row>
    <row r="4" spans="1:77" ht="15.75">
      <c r="A4" s="5379" t="str">
        <f>'1. Обща информация'!A4:D4</f>
        <v>на "ВОДОСНАБДЯВАНЕ И КАНАЛИЗАЦИЯ" ЕООД, гр. БЛАГОЕВГРАД</v>
      </c>
      <c r="B4" s="5379"/>
      <c r="C4" s="5379"/>
      <c r="D4" s="5379"/>
      <c r="E4" s="5379"/>
      <c r="F4" s="5379"/>
      <c r="G4" s="5379"/>
      <c r="H4" s="5379"/>
      <c r="I4" s="5379"/>
      <c r="J4" s="5379"/>
      <c r="K4" s="5379"/>
      <c r="L4" s="5379"/>
      <c r="M4" s="5379"/>
      <c r="N4" s="5379"/>
      <c r="O4" s="5379"/>
      <c r="P4" s="5379"/>
      <c r="Q4" s="5379"/>
      <c r="R4" s="5379"/>
      <c r="S4" s="5379"/>
      <c r="T4" s="5379"/>
      <c r="U4" s="5379"/>
      <c r="V4" s="5379"/>
      <c r="W4" s="5379"/>
      <c r="X4" s="5379"/>
      <c r="Y4" s="5379"/>
      <c r="Z4" s="3949"/>
      <c r="AA4" s="3949"/>
      <c r="AB4" s="3949"/>
      <c r="AC4" s="3949"/>
      <c r="AD4" s="3949"/>
      <c r="AE4" s="3949"/>
      <c r="AF4" s="3949"/>
      <c r="AG4" s="3949"/>
      <c r="AH4" s="3949"/>
      <c r="AI4" s="3949"/>
      <c r="AJ4" s="3949"/>
      <c r="AK4" s="3949"/>
      <c r="AL4" s="3949"/>
      <c r="AM4" s="3949"/>
      <c r="AN4" s="680"/>
      <c r="AO4" s="2650"/>
      <c r="AP4" s="184"/>
      <c r="AQ4" s="184"/>
      <c r="AR4" s="184"/>
      <c r="AS4" s="184"/>
    </row>
    <row r="5" spans="1:77" ht="15.75">
      <c r="A5" s="5379" t="str">
        <f>'1. Обща информация'!A5:D5</f>
        <v>ЕИК по БУЛСТАТ: 811047831</v>
      </c>
      <c r="B5" s="5379"/>
      <c r="C5" s="5379"/>
      <c r="D5" s="5379"/>
      <c r="E5" s="5379"/>
      <c r="F5" s="5379"/>
      <c r="G5" s="5379"/>
      <c r="H5" s="5379"/>
      <c r="I5" s="5379"/>
      <c r="J5" s="5379"/>
      <c r="K5" s="5379"/>
      <c r="L5" s="5379"/>
      <c r="M5" s="5379"/>
      <c r="N5" s="5379"/>
      <c r="O5" s="5379"/>
      <c r="P5" s="5379"/>
      <c r="Q5" s="5379"/>
      <c r="R5" s="5379"/>
      <c r="S5" s="5379"/>
      <c r="T5" s="5379"/>
      <c r="U5" s="5379"/>
      <c r="V5" s="5379"/>
      <c r="W5" s="5379"/>
      <c r="X5" s="5379"/>
      <c r="Y5" s="5379"/>
      <c r="Z5" s="3949"/>
      <c r="AA5" s="3949"/>
      <c r="AB5" s="3949"/>
      <c r="AC5" s="3949"/>
      <c r="AD5" s="3949"/>
      <c r="AE5" s="3949"/>
      <c r="AF5" s="3949"/>
      <c r="AG5" s="3949"/>
      <c r="AH5" s="3949"/>
      <c r="AI5" s="3949"/>
      <c r="AJ5" s="3949"/>
      <c r="AK5" s="3949"/>
      <c r="AL5" s="3949"/>
      <c r="AM5" s="3949"/>
      <c r="AN5" s="680"/>
      <c r="AO5" s="2650"/>
      <c r="AP5" s="184"/>
      <c r="AQ5" s="184"/>
      <c r="AR5" s="184"/>
      <c r="AS5" s="184"/>
    </row>
    <row r="6" spans="1:77" ht="16.5" thickBot="1">
      <c r="A6" s="3949"/>
      <c r="B6" s="3949"/>
      <c r="C6" s="3949"/>
      <c r="D6" s="3949"/>
      <c r="E6" s="3949"/>
      <c r="F6" s="3949"/>
      <c r="G6" s="3949"/>
      <c r="H6" s="3949"/>
      <c r="I6" s="3949"/>
      <c r="J6" s="3949"/>
      <c r="K6" s="3949"/>
      <c r="L6" s="3949"/>
      <c r="M6" s="3949"/>
      <c r="N6" s="3949"/>
      <c r="O6" s="3949"/>
      <c r="P6" s="3949"/>
      <c r="Q6" s="3949"/>
      <c r="R6" s="3949"/>
      <c r="S6" s="3949"/>
      <c r="T6" s="3949"/>
      <c r="U6" s="3949"/>
      <c r="V6" s="3949"/>
      <c r="W6" s="3949"/>
      <c r="X6" s="3949"/>
      <c r="Y6" s="3949"/>
      <c r="Z6" s="3949"/>
      <c r="AA6" s="3949"/>
      <c r="AB6" s="3949"/>
      <c r="AC6" s="3949"/>
      <c r="AD6" s="3949"/>
      <c r="AE6" s="3949"/>
      <c r="AF6" s="3949"/>
      <c r="AG6" s="3949"/>
      <c r="AH6" s="3949"/>
      <c r="AI6" s="3949"/>
      <c r="AJ6" s="3949"/>
      <c r="AK6" s="3949"/>
      <c r="AL6" s="3949"/>
      <c r="AM6" s="2558" t="s">
        <v>190</v>
      </c>
      <c r="AN6" s="680"/>
      <c r="AO6" s="2650"/>
      <c r="AP6" s="184"/>
      <c r="AQ6" s="184"/>
      <c r="AR6" s="184"/>
      <c r="AS6" s="184"/>
      <c r="BY6" s="2558" t="s">
        <v>1891</v>
      </c>
    </row>
    <row r="7" spans="1:77" ht="13.9" customHeight="1" thickBot="1">
      <c r="A7" s="5370" t="s">
        <v>1</v>
      </c>
      <c r="B7" s="5375" t="s">
        <v>1044</v>
      </c>
      <c r="C7" s="5375" t="s">
        <v>1043</v>
      </c>
      <c r="D7" s="5370" t="s">
        <v>87</v>
      </c>
      <c r="E7" s="5370" t="s">
        <v>210</v>
      </c>
      <c r="F7" s="5371"/>
      <c r="G7" s="5371"/>
      <c r="H7" s="5371"/>
      <c r="I7" s="5371"/>
      <c r="J7" s="5371"/>
      <c r="K7" s="5372"/>
      <c r="L7" s="5370" t="s">
        <v>174</v>
      </c>
      <c r="M7" s="5371"/>
      <c r="N7" s="5371"/>
      <c r="O7" s="5371"/>
      <c r="P7" s="5371"/>
      <c r="Q7" s="5371"/>
      <c r="R7" s="5372"/>
      <c r="S7" s="5370" t="s">
        <v>184</v>
      </c>
      <c r="T7" s="5371"/>
      <c r="U7" s="5371"/>
      <c r="V7" s="5371"/>
      <c r="W7" s="5371"/>
      <c r="X7" s="5371"/>
      <c r="Y7" s="5372"/>
      <c r="Z7" s="5370" t="s">
        <v>1029</v>
      </c>
      <c r="AA7" s="5371"/>
      <c r="AB7" s="5371"/>
      <c r="AC7" s="5371"/>
      <c r="AD7" s="5371"/>
      <c r="AE7" s="5371"/>
      <c r="AF7" s="5372"/>
      <c r="AG7" s="5370" t="s">
        <v>1092</v>
      </c>
      <c r="AH7" s="5371"/>
      <c r="AI7" s="5371"/>
      <c r="AJ7" s="5371"/>
      <c r="AK7" s="5371"/>
      <c r="AL7" s="5371"/>
      <c r="AM7" s="5372"/>
      <c r="AN7" s="2651"/>
      <c r="AO7" s="5377" t="s">
        <v>680</v>
      </c>
      <c r="AP7" s="4775"/>
      <c r="AQ7" s="5368" t="s">
        <v>210</v>
      </c>
      <c r="AR7" s="5368"/>
      <c r="AS7" s="5368"/>
      <c r="AT7" s="5368"/>
      <c r="AU7" s="5368"/>
      <c r="AV7" s="5368"/>
      <c r="AW7" s="5368"/>
      <c r="AX7" s="5368" t="s">
        <v>174</v>
      </c>
      <c r="AY7" s="5368"/>
      <c r="AZ7" s="5368"/>
      <c r="BA7" s="5368"/>
      <c r="BB7" s="5368"/>
      <c r="BC7" s="5368"/>
      <c r="BD7" s="5368"/>
      <c r="BE7" s="5368" t="s">
        <v>184</v>
      </c>
      <c r="BF7" s="5368"/>
      <c r="BG7" s="5368"/>
      <c r="BH7" s="5368"/>
      <c r="BI7" s="5368"/>
      <c r="BJ7" s="5368"/>
      <c r="BK7" s="5368"/>
      <c r="BL7" s="5368" t="s">
        <v>1029</v>
      </c>
      <c r="BM7" s="5368"/>
      <c r="BN7" s="5368"/>
      <c r="BO7" s="5368"/>
      <c r="BP7" s="5368"/>
      <c r="BQ7" s="5368"/>
      <c r="BR7" s="5368"/>
      <c r="BS7" s="5368" t="s">
        <v>1092</v>
      </c>
      <c r="BT7" s="5368"/>
      <c r="BU7" s="5368"/>
      <c r="BV7" s="5368"/>
      <c r="BW7" s="5368"/>
      <c r="BX7" s="5368"/>
      <c r="BY7" s="5368"/>
    </row>
    <row r="8" spans="1:77" ht="32.25" customHeight="1" thickBot="1">
      <c r="A8" s="5374"/>
      <c r="B8" s="5376"/>
      <c r="C8" s="5376"/>
      <c r="D8" s="5374"/>
      <c r="E8" s="2652" t="str">
        <f>(LEFT('11. Амортиз. план'!F8,4)-1)&amp;" г."</f>
        <v>2025 г.</v>
      </c>
      <c r="F8" s="2653" t="str">
        <f>'Приложение '!C13</f>
        <v>2026 г.</v>
      </c>
      <c r="G8" s="2654" t="str">
        <f>'Приложение '!C14</f>
        <v>2027 г.</v>
      </c>
      <c r="H8" s="2654" t="str">
        <f>'Приложение '!C15</f>
        <v>2028 г.</v>
      </c>
      <c r="I8" s="2654" t="str">
        <f>'Приложение '!C16</f>
        <v>2029 г.</v>
      </c>
      <c r="J8" s="2654" t="str">
        <f>'Приложение '!C17</f>
        <v>2030 г.</v>
      </c>
      <c r="K8" s="2655" t="str">
        <f>'Приложение '!C18</f>
        <v>2031 г.</v>
      </c>
      <c r="L8" s="2652" t="str">
        <f>E8</f>
        <v>2025 г.</v>
      </c>
      <c r="M8" s="2653" t="str">
        <f>F8</f>
        <v>2026 г.</v>
      </c>
      <c r="N8" s="2654" t="str">
        <f>G8</f>
        <v>2027 г.</v>
      </c>
      <c r="O8" s="2654" t="str">
        <f>H8</f>
        <v>2028 г.</v>
      </c>
      <c r="P8" s="2656" t="str">
        <f>I8</f>
        <v>2029 г.</v>
      </c>
      <c r="Q8" s="2654" t="str">
        <f t="shared" ref="Q8:AM8" si="0">J8</f>
        <v>2030 г.</v>
      </c>
      <c r="R8" s="2655" t="str">
        <f t="shared" si="0"/>
        <v>2031 г.</v>
      </c>
      <c r="S8" s="2657" t="str">
        <f t="shared" si="0"/>
        <v>2025 г.</v>
      </c>
      <c r="T8" s="2656" t="str">
        <f t="shared" si="0"/>
        <v>2026 г.</v>
      </c>
      <c r="U8" s="2654" t="str">
        <f t="shared" si="0"/>
        <v>2027 г.</v>
      </c>
      <c r="V8" s="2654" t="str">
        <f t="shared" si="0"/>
        <v>2028 г.</v>
      </c>
      <c r="W8" s="2656" t="str">
        <f t="shared" si="0"/>
        <v>2029 г.</v>
      </c>
      <c r="X8" s="2654" t="str">
        <f t="shared" si="0"/>
        <v>2030 г.</v>
      </c>
      <c r="Y8" s="2655" t="str">
        <f t="shared" si="0"/>
        <v>2031 г.</v>
      </c>
      <c r="Z8" s="2657" t="str">
        <f t="shared" si="0"/>
        <v>2025 г.</v>
      </c>
      <c r="AA8" s="2656" t="str">
        <f t="shared" si="0"/>
        <v>2026 г.</v>
      </c>
      <c r="AB8" s="2654" t="str">
        <f t="shared" si="0"/>
        <v>2027 г.</v>
      </c>
      <c r="AC8" s="2654" t="str">
        <f t="shared" si="0"/>
        <v>2028 г.</v>
      </c>
      <c r="AD8" s="2656" t="str">
        <f t="shared" si="0"/>
        <v>2029 г.</v>
      </c>
      <c r="AE8" s="2654" t="str">
        <f t="shared" si="0"/>
        <v>2030 г.</v>
      </c>
      <c r="AF8" s="2655" t="str">
        <f t="shared" si="0"/>
        <v>2031 г.</v>
      </c>
      <c r="AG8" s="2657" t="str">
        <f t="shared" si="0"/>
        <v>2025 г.</v>
      </c>
      <c r="AH8" s="2656" t="str">
        <f t="shared" si="0"/>
        <v>2026 г.</v>
      </c>
      <c r="AI8" s="2654" t="str">
        <f t="shared" si="0"/>
        <v>2027 г.</v>
      </c>
      <c r="AJ8" s="2654" t="str">
        <f t="shared" si="0"/>
        <v>2028 г.</v>
      </c>
      <c r="AK8" s="2656" t="str">
        <f t="shared" si="0"/>
        <v>2029 г.</v>
      </c>
      <c r="AL8" s="2654" t="str">
        <f t="shared" si="0"/>
        <v>2030 г.</v>
      </c>
      <c r="AM8" s="2655" t="str">
        <f t="shared" si="0"/>
        <v>2031 г.</v>
      </c>
      <c r="AN8" s="2651"/>
      <c r="AO8" s="5378"/>
      <c r="AP8" s="4775"/>
      <c r="AQ8" s="4799" t="str">
        <f>+E8</f>
        <v>2025 г.</v>
      </c>
      <c r="AR8" s="4799" t="str">
        <f t="shared" ref="AR8:AW8" si="1">+F8</f>
        <v>2026 г.</v>
      </c>
      <c r="AS8" s="4799" t="str">
        <f t="shared" si="1"/>
        <v>2027 г.</v>
      </c>
      <c r="AT8" s="4799" t="str">
        <f t="shared" si="1"/>
        <v>2028 г.</v>
      </c>
      <c r="AU8" s="4799" t="str">
        <f t="shared" si="1"/>
        <v>2029 г.</v>
      </c>
      <c r="AV8" s="4799" t="str">
        <f t="shared" si="1"/>
        <v>2030 г.</v>
      </c>
      <c r="AW8" s="4799" t="str">
        <f t="shared" si="1"/>
        <v>2031 г.</v>
      </c>
      <c r="AX8" s="4799" t="str">
        <f>AQ8</f>
        <v>2025 г.</v>
      </c>
      <c r="AY8" s="4799" t="str">
        <f>AR8</f>
        <v>2026 г.</v>
      </c>
      <c r="AZ8" s="4799" t="str">
        <f>AS8</f>
        <v>2027 г.</v>
      </c>
      <c r="BA8" s="4799" t="str">
        <f>AT8</f>
        <v>2028 г.</v>
      </c>
      <c r="BB8" s="4799" t="str">
        <f>AU8</f>
        <v>2029 г.</v>
      </c>
      <c r="BC8" s="4799" t="str">
        <f t="shared" ref="BC8" si="2">AV8</f>
        <v>2030 г.</v>
      </c>
      <c r="BD8" s="4799" t="str">
        <f t="shared" ref="BD8" si="3">AW8</f>
        <v>2031 г.</v>
      </c>
      <c r="BE8" s="4799" t="str">
        <f t="shared" ref="BE8" si="4">AX8</f>
        <v>2025 г.</v>
      </c>
      <c r="BF8" s="4799" t="str">
        <f t="shared" ref="BF8" si="5">AY8</f>
        <v>2026 г.</v>
      </c>
      <c r="BG8" s="4799" t="str">
        <f t="shared" ref="BG8" si="6">AZ8</f>
        <v>2027 г.</v>
      </c>
      <c r="BH8" s="4799" t="str">
        <f t="shared" ref="BH8" si="7">BA8</f>
        <v>2028 г.</v>
      </c>
      <c r="BI8" s="4799" t="str">
        <f t="shared" ref="BI8" si="8">BB8</f>
        <v>2029 г.</v>
      </c>
      <c r="BJ8" s="4799" t="str">
        <f t="shared" ref="BJ8" si="9">BC8</f>
        <v>2030 г.</v>
      </c>
      <c r="BK8" s="4799" t="str">
        <f t="shared" ref="BK8" si="10">BD8</f>
        <v>2031 г.</v>
      </c>
      <c r="BL8" s="4799" t="str">
        <f t="shared" ref="BL8" si="11">BE8</f>
        <v>2025 г.</v>
      </c>
      <c r="BM8" s="4799" t="str">
        <f t="shared" ref="BM8" si="12">BF8</f>
        <v>2026 г.</v>
      </c>
      <c r="BN8" s="4799" t="str">
        <f t="shared" ref="BN8" si="13">BG8</f>
        <v>2027 г.</v>
      </c>
      <c r="BO8" s="4799" t="str">
        <f t="shared" ref="BO8" si="14">BH8</f>
        <v>2028 г.</v>
      </c>
      <c r="BP8" s="4799" t="str">
        <f t="shared" ref="BP8" si="15">BI8</f>
        <v>2029 г.</v>
      </c>
      <c r="BQ8" s="4799" t="str">
        <f t="shared" ref="BQ8" si="16">BJ8</f>
        <v>2030 г.</v>
      </c>
      <c r="BR8" s="4799" t="str">
        <f t="shared" ref="BR8" si="17">BK8</f>
        <v>2031 г.</v>
      </c>
      <c r="BS8" s="4799" t="str">
        <f t="shared" ref="BS8" si="18">BL8</f>
        <v>2025 г.</v>
      </c>
      <c r="BT8" s="4799" t="str">
        <f t="shared" ref="BT8" si="19">BM8</f>
        <v>2026 г.</v>
      </c>
      <c r="BU8" s="4799" t="str">
        <f t="shared" ref="BU8" si="20">BN8</f>
        <v>2027 г.</v>
      </c>
      <c r="BV8" s="4799" t="str">
        <f t="shared" ref="BV8" si="21">BO8</f>
        <v>2028 г.</v>
      </c>
      <c r="BW8" s="4799" t="str">
        <f t="shared" ref="BW8" si="22">BP8</f>
        <v>2029 г.</v>
      </c>
      <c r="BX8" s="4799" t="str">
        <f t="shared" ref="BX8" si="23">BQ8</f>
        <v>2030 г.</v>
      </c>
      <c r="BY8" s="4799" t="str">
        <f t="shared" ref="BY8" si="24">BR8</f>
        <v>2031 г.</v>
      </c>
    </row>
    <row r="9" spans="1:77" ht="15" thickBot="1">
      <c r="A9" s="2658" t="s">
        <v>402</v>
      </c>
      <c r="B9" s="2658"/>
      <c r="C9" s="2658"/>
      <c r="D9" s="2659" t="s">
        <v>403</v>
      </c>
      <c r="E9" s="2660"/>
      <c r="F9" s="2661"/>
      <c r="G9" s="2662"/>
      <c r="H9" s="2663"/>
      <c r="I9" s="2662"/>
      <c r="J9" s="2662"/>
      <c r="K9" s="2664"/>
      <c r="L9" s="2665"/>
      <c r="M9" s="2666"/>
      <c r="N9" s="2662"/>
      <c r="O9" s="2662"/>
      <c r="P9" s="2662"/>
      <c r="Q9" s="2662"/>
      <c r="R9" s="2664"/>
      <c r="S9" s="2660"/>
      <c r="T9" s="2661"/>
      <c r="U9" s="2662"/>
      <c r="V9" s="2662"/>
      <c r="W9" s="2662"/>
      <c r="X9" s="2662"/>
      <c r="Y9" s="2664"/>
      <c r="Z9" s="2660"/>
      <c r="AA9" s="2661"/>
      <c r="AB9" s="2662"/>
      <c r="AC9" s="2662"/>
      <c r="AD9" s="2662"/>
      <c r="AE9" s="2662"/>
      <c r="AF9" s="2664"/>
      <c r="AG9" s="2660"/>
      <c r="AH9" s="2661"/>
      <c r="AI9" s="2662"/>
      <c r="AJ9" s="2662"/>
      <c r="AK9" s="2662"/>
      <c r="AL9" s="2662"/>
      <c r="AM9" s="2664"/>
      <c r="AN9" s="2667"/>
      <c r="AO9" s="2668"/>
      <c r="AP9" s="4775"/>
    </row>
    <row r="10" spans="1:77" ht="13.5" thickBot="1">
      <c r="A10" s="2669" t="s">
        <v>205</v>
      </c>
      <c r="B10" s="2670"/>
      <c r="C10" s="2670"/>
      <c r="D10" s="2670" t="s">
        <v>334</v>
      </c>
      <c r="E10" s="2671">
        <f>SUM(E11:E34)-E13-E19</f>
        <v>17273</v>
      </c>
      <c r="F10" s="2672">
        <f t="shared" ref="F10:Y10" si="25">SUM(F11:F34)-F13-F19</f>
        <v>17496.333333333336</v>
      </c>
      <c r="G10" s="2673">
        <f t="shared" si="25"/>
        <v>17653</v>
      </c>
      <c r="H10" s="2673">
        <f t="shared" si="25"/>
        <v>17743.000000000004</v>
      </c>
      <c r="I10" s="2673">
        <f t="shared" si="25"/>
        <v>17994.666666666672</v>
      </c>
      <c r="J10" s="2673">
        <f t="shared" si="25"/>
        <v>18468</v>
      </c>
      <c r="K10" s="2674">
        <f t="shared" si="25"/>
        <v>18561.333333333332</v>
      </c>
      <c r="L10" s="2675">
        <f t="shared" ref="L10" si="26">SUM(L11:L34)-L13-L19</f>
        <v>4129</v>
      </c>
      <c r="M10" s="2672">
        <f t="shared" si="25"/>
        <v>4212.333333333333</v>
      </c>
      <c r="N10" s="2673">
        <f t="shared" si="25"/>
        <v>4284</v>
      </c>
      <c r="O10" s="2673">
        <f t="shared" si="25"/>
        <v>4334</v>
      </c>
      <c r="P10" s="2673">
        <f t="shared" si="25"/>
        <v>4445.666666666667</v>
      </c>
      <c r="Q10" s="2673">
        <f t="shared" si="25"/>
        <v>4478.9999999999991</v>
      </c>
      <c r="R10" s="2674">
        <f t="shared" si="25"/>
        <v>4532.333333333333</v>
      </c>
      <c r="S10" s="2675">
        <f t="shared" ref="S10" si="27">SUM(S11:S34)-S13-S19</f>
        <v>3258</v>
      </c>
      <c r="T10" s="2672">
        <f t="shared" si="25"/>
        <v>3351.333333333333</v>
      </c>
      <c r="U10" s="2673">
        <f t="shared" si="25"/>
        <v>3478</v>
      </c>
      <c r="V10" s="2673">
        <f t="shared" si="25"/>
        <v>3568</v>
      </c>
      <c r="W10" s="2673">
        <f t="shared" si="25"/>
        <v>3709.666666666667</v>
      </c>
      <c r="X10" s="2673">
        <f t="shared" si="25"/>
        <v>3802.9999999999991</v>
      </c>
      <c r="Y10" s="2674">
        <f t="shared" si="25"/>
        <v>3886.333333333333</v>
      </c>
      <c r="Z10" s="2671">
        <f t="shared" ref="Z10" si="28">SUM(Z11:Z34)-Z13-Z19</f>
        <v>0</v>
      </c>
      <c r="AA10" s="2672">
        <f t="shared" ref="AA10:AM10" si="29">SUM(AA11:AA34)-AA13-AA19</f>
        <v>0</v>
      </c>
      <c r="AB10" s="2673">
        <f t="shared" si="29"/>
        <v>0</v>
      </c>
      <c r="AC10" s="2673">
        <f t="shared" si="29"/>
        <v>0</v>
      </c>
      <c r="AD10" s="2673">
        <f t="shared" si="29"/>
        <v>0</v>
      </c>
      <c r="AE10" s="2673">
        <f t="shared" si="29"/>
        <v>0</v>
      </c>
      <c r="AF10" s="2674">
        <f t="shared" si="29"/>
        <v>0</v>
      </c>
      <c r="AG10" s="2675">
        <f t="shared" si="29"/>
        <v>0</v>
      </c>
      <c r="AH10" s="2672">
        <f t="shared" si="29"/>
        <v>0</v>
      </c>
      <c r="AI10" s="2673">
        <f t="shared" si="29"/>
        <v>0</v>
      </c>
      <c r="AJ10" s="2673">
        <f t="shared" si="29"/>
        <v>0</v>
      </c>
      <c r="AK10" s="2673">
        <f t="shared" si="29"/>
        <v>0</v>
      </c>
      <c r="AL10" s="2673">
        <f t="shared" si="29"/>
        <v>0</v>
      </c>
      <c r="AM10" s="2674">
        <f t="shared" si="29"/>
        <v>0</v>
      </c>
      <c r="AN10" s="2676"/>
      <c r="AO10" s="4302">
        <f>((K10-E10)+(R10-L10)+(Y10-S10)+(AF10-Z10)+(AM10-AG10)+(K111-E111)+(R111-L111)+(Y111-S111)+(AF111-Z111)+(AM111-AG111))-('9.Инвестиционна програма'!N139+'9.Инвестиционна програма'!H139)*'11.1.Амортиз.нови активи'!E6</f>
        <v>0</v>
      </c>
      <c r="AP10" s="4775"/>
      <c r="AQ10" s="4794">
        <f>IFERROR(E10/$D$1,0)</f>
        <v>8831.544663902283</v>
      </c>
      <c r="AR10" s="4794">
        <f t="shared" ref="AR10:BY10" si="30">IFERROR(F10/$D$1,0)</f>
        <v>8945.7331840361057</v>
      </c>
      <c r="AS10" s="4794">
        <f t="shared" si="30"/>
        <v>9025.8355787568453</v>
      </c>
      <c r="AT10" s="4794">
        <f t="shared" si="30"/>
        <v>9071.8518480645071</v>
      </c>
      <c r="AU10" s="4794">
        <f t="shared" si="30"/>
        <v>9200.5269714988881</v>
      </c>
      <c r="AV10" s="4794">
        <f t="shared" si="30"/>
        <v>9442.5384619317629</v>
      </c>
      <c r="AW10" s="4794">
        <f t="shared" si="30"/>
        <v>9490.2590375100772</v>
      </c>
      <c r="AX10" s="4794">
        <f t="shared" si="30"/>
        <v>2111.1241774591863</v>
      </c>
      <c r="AY10" s="4794">
        <f t="shared" si="30"/>
        <v>2153.7318342255376</v>
      </c>
      <c r="AZ10" s="4794">
        <f t="shared" si="30"/>
        <v>2190.3744190446</v>
      </c>
      <c r="BA10" s="4794">
        <f t="shared" si="30"/>
        <v>2215.9390131044111</v>
      </c>
      <c r="BB10" s="4794">
        <f t="shared" si="30"/>
        <v>2273.033273171322</v>
      </c>
      <c r="BC10" s="4794">
        <f t="shared" si="30"/>
        <v>2290.0763358778622</v>
      </c>
      <c r="BD10" s="4794">
        <f t="shared" si="30"/>
        <v>2317.3452362083276</v>
      </c>
      <c r="BE10" s="4794">
        <f t="shared" si="30"/>
        <v>1665.7889489372799</v>
      </c>
      <c r="BF10" s="4794">
        <f t="shared" si="30"/>
        <v>1713.5095245155935</v>
      </c>
      <c r="BG10" s="4794">
        <f t="shared" si="30"/>
        <v>1778.2731628004478</v>
      </c>
      <c r="BH10" s="4794">
        <f t="shared" si="30"/>
        <v>1824.2894321081076</v>
      </c>
      <c r="BI10" s="4794">
        <f t="shared" si="30"/>
        <v>1896.7224486109053</v>
      </c>
      <c r="BJ10" s="4794">
        <f t="shared" si="30"/>
        <v>1944.4430241892185</v>
      </c>
      <c r="BK10" s="4794">
        <f t="shared" si="30"/>
        <v>1987.0506809555702</v>
      </c>
      <c r="BL10" s="4794">
        <f t="shared" si="30"/>
        <v>0</v>
      </c>
      <c r="BM10" s="4794">
        <f t="shared" si="30"/>
        <v>0</v>
      </c>
      <c r="BN10" s="4794">
        <f t="shared" si="30"/>
        <v>0</v>
      </c>
      <c r="BO10" s="4794">
        <f t="shared" si="30"/>
        <v>0</v>
      </c>
      <c r="BP10" s="4794">
        <f t="shared" si="30"/>
        <v>0</v>
      </c>
      <c r="BQ10" s="4794">
        <f t="shared" si="30"/>
        <v>0</v>
      </c>
      <c r="BR10" s="4794">
        <f t="shared" si="30"/>
        <v>0</v>
      </c>
      <c r="BS10" s="4794">
        <f t="shared" si="30"/>
        <v>0</v>
      </c>
      <c r="BT10" s="4794">
        <f t="shared" si="30"/>
        <v>0</v>
      </c>
      <c r="BU10" s="4794">
        <f t="shared" si="30"/>
        <v>0</v>
      </c>
      <c r="BV10" s="4794">
        <f t="shared" si="30"/>
        <v>0</v>
      </c>
      <c r="BW10" s="4794">
        <f t="shared" si="30"/>
        <v>0</v>
      </c>
      <c r="BX10" s="4794">
        <f t="shared" si="30"/>
        <v>0</v>
      </c>
      <c r="BY10" s="4794">
        <f t="shared" si="30"/>
        <v>0</v>
      </c>
    </row>
    <row r="11" spans="1:77">
      <c r="A11" s="2677">
        <v>1</v>
      </c>
      <c r="B11" s="2678">
        <v>20101</v>
      </c>
      <c r="C11" s="2679">
        <v>0</v>
      </c>
      <c r="D11" s="2680" t="s">
        <v>556</v>
      </c>
      <c r="E11" s="4737">
        <f>+'11.3. ДА Базова година'!H12</f>
        <v>287</v>
      </c>
      <c r="F11" s="2777">
        <f>E11+SUMIF('11.1.Амортиз.нови активи'!$B$12:$B$59,$B11,'11.1.Амортиз.нови активи'!F$12:F$59)+('9.Инвестиционна програма'!H$130*SUMIF('11.1.Амортиз.нови активи'!$B$12:$B$59,$B11,'11.1.Амортиз.нови активи'!AO$12:AO$59))</f>
        <v>287</v>
      </c>
      <c r="G11" s="2778">
        <f>F11+SUMIF('11.1.Амортиз.нови активи'!$B$12:$B$59,$B11,'11.1.Амортиз.нови активи'!G$12:G$59)+('9.Инвестиционна програма'!I$130*SUMIF('11.1.Амортиз.нови активи'!$B$12:$B$59,$B11,'11.1.Амортиз.нови активи'!AP$12:AP$59))</f>
        <v>287</v>
      </c>
      <c r="H11" s="2778">
        <f>G11+SUMIF('11.1.Амортиз.нови активи'!$B$12:$B$59,$B11,'11.1.Амортиз.нови активи'!H$12:H$59)+('9.Инвестиционна програма'!J$130*SUMIF('11.1.Амортиз.нови активи'!$B$12:$B$59,$B11,'11.1.Амортиз.нови активи'!AQ$12:AQ$59))</f>
        <v>287</v>
      </c>
      <c r="I11" s="2778">
        <f>H11+SUMIF('11.1.Амортиз.нови активи'!$B$12:$B$59,$B11,'11.1.Амортиз.нови активи'!I$12:I$59)+('9.Инвестиционна програма'!K$130*SUMIF('11.1.Амортиз.нови активи'!$B$12:$B$59,$B11,'11.1.Амортиз.нови активи'!AR$12:AR$59))</f>
        <v>287</v>
      </c>
      <c r="J11" s="2778">
        <f>I11+SUMIF('11.1.Амортиз.нови активи'!$B$12:$B$59,$B11,'11.1.Амортиз.нови активи'!J$12:J$59)+('9.Инвестиционна програма'!L$130*SUMIF('11.1.Амортиз.нови активи'!$B$12:$B$59,$B11,'11.1.Амортиз.нови активи'!AS$12:AS$59))</f>
        <v>287</v>
      </c>
      <c r="K11" s="2779">
        <f>J11+SUMIF('11.1.Амортиз.нови активи'!$B$12:$B$59,$B11,'11.1.Амортиз.нови активи'!K$12:K$59)+('9.Инвестиционна програма'!M$130*SUMIF('11.1.Амортиз.нови активи'!$B$12:$B$59,$B11,'11.1.Амортиз.нови активи'!AT$12:AT$59))</f>
        <v>287</v>
      </c>
      <c r="L11" s="4737">
        <f>+'11.3. ДА Базова година'!L12</f>
        <v>181</v>
      </c>
      <c r="M11" s="2780">
        <f>L11+SUMIF('11.1.Амортиз.нови активи'!$B$12:$B$59,$B11,'11.1.Амортиз.нови активи'!M$12:M$59)+('9.Инвестиционна програма'!H$131*SUMIF('11.1.Амортиз.нови активи'!$B$12:$B$59,$B11,'11.1.Амортиз.нови активи'!AO$12:AO$59))</f>
        <v>181</v>
      </c>
      <c r="N11" s="2778">
        <f>M11+SUMIF('11.1.Амортиз.нови активи'!$B$12:$B$59,$B11,'11.1.Амортиз.нови активи'!N$12:N$59)+('9.Инвестиционна програма'!I$131*SUMIF('11.1.Амортиз.нови активи'!$B$12:$B$59,$B11,'11.1.Амортиз.нови активи'!AP$12:AP$59))</f>
        <v>181</v>
      </c>
      <c r="O11" s="2778">
        <f>N11+SUMIF('11.1.Амортиз.нови активи'!$B$12:$B$59,$B11,'11.1.Амортиз.нови активи'!O$12:O$59)+('9.Инвестиционна програма'!J$131*SUMIF('11.1.Амортиз.нови активи'!$B$12:$B$59,$B11,'11.1.Амортиз.нови активи'!AQ$12:AQ$59))</f>
        <v>181</v>
      </c>
      <c r="P11" s="2778">
        <f>O11+SUMIF('11.1.Амортиз.нови активи'!$B$12:$B$59,$B11,'11.1.Амортиз.нови активи'!P$12:P$59)+('9.Инвестиционна програма'!K$131*SUMIF('11.1.Амортиз.нови активи'!$B$12:$B$59,$B11,'11.1.Амортиз.нови активи'!AR$12:AR$59))</f>
        <v>181</v>
      </c>
      <c r="Q11" s="2778">
        <f>P11+SUMIF('11.1.Амортиз.нови активи'!$B$12:$B$59,$B11,'11.1.Амортиз.нови активи'!Q$12:Q$59)+('9.Инвестиционна програма'!L$131*SUMIF('11.1.Амортиз.нови активи'!$B$12:$B$59,$B11,'11.1.Амортиз.нови активи'!AS$12:AS$59))</f>
        <v>181</v>
      </c>
      <c r="R11" s="2779">
        <f>Q11+SUMIF('11.1.Амортиз.нови активи'!$B$12:$B$59,$B11,'11.1.Амортиз.нови активи'!R$12:R$59)+('9.Инвестиционна програма'!M$131*SUMIF('11.1.Амортиз.нови активи'!$B$12:$B$59,$B11,'11.1.Амортиз.нови активи'!AT$12:AT$59))</f>
        <v>181</v>
      </c>
      <c r="S11" s="4737">
        <f>+'11.3. ДА Базова година'!P12</f>
        <v>147</v>
      </c>
      <c r="T11" s="2780">
        <f>S11+SUMIF('11.1.Амортиз.нови активи'!$B$12:$B$59,$B11,'11.1.Амортиз.нови активи'!T$12:T$59)+('9.Инвестиционна програма'!H$132*SUMIF('11.1.Амортиз.нови активи'!$B$12:$B$59,$B11,'11.1.Амортиз.нови активи'!AO$12:AO$59))</f>
        <v>147</v>
      </c>
      <c r="U11" s="2778">
        <f>T11+SUMIF('11.1.Амортиз.нови активи'!$B$12:$B$59,$B11,'11.1.Амортиз.нови активи'!U$12:U$59)+('9.Инвестиционна програма'!I$132*SUMIF('11.1.Амортиз.нови активи'!$B$12:$B$59,$B11,'11.1.Амортиз.нови активи'!AP$12:AP$59))</f>
        <v>147</v>
      </c>
      <c r="V11" s="2778">
        <f>U11+SUMIF('11.1.Амортиз.нови активи'!$B$12:$B$59,$B11,'11.1.Амортиз.нови активи'!V$12:V$59)+('9.Инвестиционна програма'!J$132*SUMIF('11.1.Амортиз.нови активи'!$B$12:$B$59,$B11,'11.1.Амортиз.нови активи'!AQ$12:AQ$59))</f>
        <v>147</v>
      </c>
      <c r="W11" s="2778">
        <f>V11+SUMIF('11.1.Амортиз.нови активи'!$B$12:$B$59,$B11,'11.1.Амортиз.нови активи'!W$12:W$59)+('9.Инвестиционна програма'!K$132*SUMIF('11.1.Амортиз.нови активи'!$B$12:$B$59,$B11,'11.1.Амортиз.нови активи'!AR$12:AR$59))</f>
        <v>147</v>
      </c>
      <c r="X11" s="2778">
        <f>W11+SUMIF('11.1.Амортиз.нови активи'!$B$12:$B$59,$B11,'11.1.Амортиз.нови активи'!X$12:X$59)+('9.Инвестиционна програма'!L$132*SUMIF('11.1.Амортиз.нови активи'!$B$12:$B$59,$B11,'11.1.Амортиз.нови активи'!AS$12:AS$59))</f>
        <v>147</v>
      </c>
      <c r="Y11" s="2779">
        <f>X11+SUMIF('11.1.Амортиз.нови активи'!$B$12:$B$59,$B11,'11.1.Амортиз.нови активи'!Y$12:Y$59)+('9.Инвестиционна програма'!M$132*SUMIF('11.1.Амортиз.нови активи'!$B$12:$B$59,$B11,'11.1.Амортиз.нови активи'!AT$12:AT$59))</f>
        <v>147</v>
      </c>
      <c r="Z11" s="4737">
        <f>+'11.3. ДА Базова година'!T12</f>
        <v>0</v>
      </c>
      <c r="AA11" s="2780">
        <f>Z11+SUMIF('11.1.Амортиз.нови активи'!$B$12:$B$59,$B11,'11.1.Амортиз.нови активи'!AA$12:AA$59)</f>
        <v>0</v>
      </c>
      <c r="AB11" s="2778">
        <f>AA11+SUMIF('11.1.Амортиз.нови активи'!$B$12:$B$59,$B11,'11.1.Амортиз.нови активи'!AB$12:AB$59)</f>
        <v>0</v>
      </c>
      <c r="AC11" s="2778">
        <f>AB11+SUMIF('11.1.Амортиз.нови активи'!$B$12:$B$59,$B11,'11.1.Амортиз.нови активи'!AC$12:AC$59)</f>
        <v>0</v>
      </c>
      <c r="AD11" s="2778">
        <f>AC11+SUMIF('11.1.Амортиз.нови активи'!$B$12:$B$59,$B11,'11.1.Амортиз.нови активи'!AD$12:AD$59)</f>
        <v>0</v>
      </c>
      <c r="AE11" s="2778">
        <f>AD11+SUMIF('11.1.Амортиз.нови активи'!$B$12:$B$59,$B11,'11.1.Амортиз.нови активи'!AE$12:AE$59)</f>
        <v>0</v>
      </c>
      <c r="AF11" s="2779">
        <f>AE11+SUMIF('11.1.Амортиз.нови активи'!$B$12:$B$59,$B11,'11.1.Амортиз.нови активи'!AF$12:AF$59)</f>
        <v>0</v>
      </c>
      <c r="AG11" s="4737">
        <f>+'11.3. ДА Базова година'!X12</f>
        <v>0</v>
      </c>
      <c r="AH11" s="2780">
        <f>AG11+SUMIF('11.1.Амортиз.нови активи'!$B$12:$B$59,$B11,'11.1.Амортиз.нови активи'!AH$12:AH$59)</f>
        <v>0</v>
      </c>
      <c r="AI11" s="2778">
        <f>AH11+SUMIF('11.1.Амортиз.нови активи'!$B$12:$B$59,$B11,'11.1.Амортиз.нови активи'!AI$12:AI$59)</f>
        <v>0</v>
      </c>
      <c r="AJ11" s="2778">
        <f>AI11+SUMIF('11.1.Амортиз.нови активи'!$B$12:$B$59,$B11,'11.1.Амортиз.нови активи'!AJ$12:AJ$59)</f>
        <v>0</v>
      </c>
      <c r="AK11" s="2778">
        <f>AJ11+SUMIF('11.1.Амортиз.нови активи'!$B$12:$B$59,$B11,'11.1.Амортиз.нови активи'!AK$12:AK$59)</f>
        <v>0</v>
      </c>
      <c r="AL11" s="2778">
        <f>AK11+SUMIF('11.1.Амортиз.нови активи'!$B$12:$B$59,$B11,'11.1.Амортиз.нови активи'!AL$12:AL$59)</f>
        <v>0</v>
      </c>
      <c r="AM11" s="2779">
        <f>AL11+SUMIF('11.1.Амортиз.нови активи'!$B$12:$B$59,$B11,'11.1.Амортиз.нови активи'!AM$12:AM$59)</f>
        <v>0</v>
      </c>
      <c r="AN11" s="2681"/>
      <c r="AO11" s="2682"/>
      <c r="AP11" s="4775"/>
      <c r="AQ11" s="4794">
        <f t="shared" ref="AQ11:AQ74" si="31">IFERROR(E11/$D$1,0)</f>
        <v>146.74076990331471</v>
      </c>
      <c r="AR11" s="4794">
        <f t="shared" ref="AR11:AR74" si="32">IFERROR(F11/$D$1,0)</f>
        <v>146.74076990331471</v>
      </c>
      <c r="AS11" s="4794">
        <f t="shared" ref="AS11:AS74" si="33">IFERROR(G11/$D$1,0)</f>
        <v>146.74076990331471</v>
      </c>
      <c r="AT11" s="4794">
        <f t="shared" ref="AT11:AT74" si="34">IFERROR(H11/$D$1,0)</f>
        <v>146.74076990331471</v>
      </c>
      <c r="AU11" s="4794">
        <f t="shared" ref="AU11:AU74" si="35">IFERROR(I11/$D$1,0)</f>
        <v>146.74076990331471</v>
      </c>
      <c r="AV11" s="4794">
        <f t="shared" ref="AV11:AV74" si="36">IFERROR(J11/$D$1,0)</f>
        <v>146.74076990331471</v>
      </c>
      <c r="AW11" s="4794">
        <f t="shared" ref="AW11:AW74" si="37">IFERROR(K11/$D$1,0)</f>
        <v>146.74076990331471</v>
      </c>
      <c r="AX11" s="4794">
        <f t="shared" ref="AX11:AX74" si="38">IFERROR(L11/$D$1,0)</f>
        <v>92.543830496515554</v>
      </c>
      <c r="AY11" s="4794">
        <f t="shared" ref="AY11:AY74" si="39">IFERROR(M11/$D$1,0)</f>
        <v>92.543830496515554</v>
      </c>
      <c r="AZ11" s="4794">
        <f t="shared" ref="AZ11:AZ74" si="40">IFERROR(N11/$D$1,0)</f>
        <v>92.543830496515554</v>
      </c>
      <c r="BA11" s="4794">
        <f t="shared" ref="BA11:BA74" si="41">IFERROR(O11/$D$1,0)</f>
        <v>92.543830496515554</v>
      </c>
      <c r="BB11" s="4794">
        <f t="shared" ref="BB11:BB74" si="42">IFERROR(P11/$D$1,0)</f>
        <v>92.543830496515554</v>
      </c>
      <c r="BC11" s="4794">
        <f t="shared" ref="BC11:BC74" si="43">IFERROR(Q11/$D$1,0)</f>
        <v>92.543830496515554</v>
      </c>
      <c r="BD11" s="4794">
        <f t="shared" ref="BD11:BD74" si="44">IFERROR(R11/$D$1,0)</f>
        <v>92.543830496515554</v>
      </c>
      <c r="BE11" s="4794">
        <f t="shared" ref="BE11:BE74" si="45">IFERROR(S11/$D$1,0)</f>
        <v>75.159906535844115</v>
      </c>
      <c r="BF11" s="4794">
        <f t="shared" ref="BF11:BF74" si="46">IFERROR(T11/$D$1,0)</f>
        <v>75.159906535844115</v>
      </c>
      <c r="BG11" s="4794">
        <f t="shared" ref="BG11:BG74" si="47">IFERROR(U11/$D$1,0)</f>
        <v>75.159906535844115</v>
      </c>
      <c r="BH11" s="4794">
        <f t="shared" ref="BH11:BH74" si="48">IFERROR(V11/$D$1,0)</f>
        <v>75.159906535844115</v>
      </c>
      <c r="BI11" s="4794">
        <f t="shared" ref="BI11:BI74" si="49">IFERROR(W11/$D$1,0)</f>
        <v>75.159906535844115</v>
      </c>
      <c r="BJ11" s="4794">
        <f t="shared" ref="BJ11:BJ74" si="50">IFERROR(X11/$D$1,0)</f>
        <v>75.159906535844115</v>
      </c>
      <c r="BK11" s="4794">
        <f t="shared" ref="BK11:BK74" si="51">IFERROR(Y11/$D$1,0)</f>
        <v>75.159906535844115</v>
      </c>
      <c r="BL11" s="4794">
        <f t="shared" ref="BL11:BL74" si="52">IFERROR(Z11/$D$1,0)</f>
        <v>0</v>
      </c>
      <c r="BM11" s="4794">
        <f t="shared" ref="BM11:BM74" si="53">IFERROR(AA11/$D$1,0)</f>
        <v>0</v>
      </c>
      <c r="BN11" s="4794">
        <f t="shared" ref="BN11:BN74" si="54">IFERROR(AB11/$D$1,0)</f>
        <v>0</v>
      </c>
      <c r="BO11" s="4794">
        <f t="shared" ref="BO11:BO74" si="55">IFERROR(AC11/$D$1,0)</f>
        <v>0</v>
      </c>
      <c r="BP11" s="4794">
        <f t="shared" ref="BP11:BP74" si="56">IFERROR(AD11/$D$1,0)</f>
        <v>0</v>
      </c>
      <c r="BQ11" s="4794">
        <f t="shared" ref="BQ11:BQ74" si="57">IFERROR(AE11/$D$1,0)</f>
        <v>0</v>
      </c>
      <c r="BR11" s="4794">
        <f t="shared" ref="BR11:BR74" si="58">IFERROR(AF11/$D$1,0)</f>
        <v>0</v>
      </c>
      <c r="BS11" s="4794">
        <f t="shared" ref="BS11:BS74" si="59">IFERROR(AG11/$D$1,0)</f>
        <v>0</v>
      </c>
      <c r="BT11" s="4794">
        <f t="shared" ref="BT11:BT74" si="60">IFERROR(AH11/$D$1,0)</f>
        <v>0</v>
      </c>
      <c r="BU11" s="4794">
        <f t="shared" ref="BU11:BU74" si="61">IFERROR(AI11/$D$1,0)</f>
        <v>0</v>
      </c>
      <c r="BV11" s="4794">
        <f t="shared" ref="BV11:BV74" si="62">IFERROR(AJ11/$D$1,0)</f>
        <v>0</v>
      </c>
      <c r="BW11" s="4794">
        <f t="shared" ref="BW11:BW74" si="63">IFERROR(AK11/$D$1,0)</f>
        <v>0</v>
      </c>
      <c r="BX11" s="4794">
        <f t="shared" ref="BX11:BX74" si="64">IFERROR(AL11/$D$1,0)</f>
        <v>0</v>
      </c>
      <c r="BY11" s="4794">
        <f t="shared" ref="BY11:BY74" si="65">IFERROR(AM11/$D$1,0)</f>
        <v>0</v>
      </c>
    </row>
    <row r="12" spans="1:77">
      <c r="A12" s="2683">
        <v>2</v>
      </c>
      <c r="B12" s="2684">
        <v>20201</v>
      </c>
      <c r="C12" s="2685">
        <v>0.03</v>
      </c>
      <c r="D12" s="2686" t="s">
        <v>425</v>
      </c>
      <c r="E12" s="4738">
        <f>+'11.3. ДА Базова година'!H13</f>
        <v>1189</v>
      </c>
      <c r="F12" s="927">
        <f>E12+SUMIF('11.1.Амортиз.нови активи'!$B$12:$B$59,$B12,'11.1.Амортиз.нови активи'!F$12:F$59)+('9.Инвестиционна програма'!H$130*SUMIF('11.1.Амортиз.нови активи'!$B$12:$B$59,$B12,'11.1.Амортиз.нови активи'!AO$12:AO$59))</f>
        <v>1205.6666666666667</v>
      </c>
      <c r="G12" s="1243">
        <f>F12+SUMIF('11.1.Амортиз.нови активи'!$B$12:$B$59,$B12,'11.1.Амортиз.нови активи'!G$12:G$59)+('9.Инвестиционна програма'!I$130*SUMIF('11.1.Амортиз.нови активи'!$B$12:$B$59,$B12,'11.1.Амортиз.нови активи'!AP$12:AP$59))</f>
        <v>1229</v>
      </c>
      <c r="H12" s="1243">
        <f>G12+SUMIF('11.1.Амортиз.нови активи'!$B$12:$B$59,$B12,'11.1.Амортиз.нови активи'!H$12:H$59)+('9.Инвестиционна програма'!J$130*SUMIF('11.1.Амортиз.нови активи'!$B$12:$B$59,$B12,'11.1.Амортиз.нови активи'!AQ$12:AQ$59))</f>
        <v>1245.6666666666667</v>
      </c>
      <c r="I12" s="1243">
        <f>H12+SUMIF('11.1.Амортиз.нови активи'!$B$12:$B$59,$B12,'11.1.Амортиз.нови активи'!I$12:I$59)+('9.Инвестиционна програма'!K$130*SUMIF('11.1.Амортиз.нови активи'!$B$12:$B$59,$B12,'11.1.Амортиз.нови активи'!AR$12:AR$59))</f>
        <v>1262.3333333333335</v>
      </c>
      <c r="J12" s="1243">
        <f>I12+SUMIF('11.1.Амортиз.нови активи'!$B$12:$B$59,$B12,'11.1.Амортиз.нови активи'!J$12:J$59)+('9.Инвестиционна програма'!L$130*SUMIF('11.1.Амортиз.нови активи'!$B$12:$B$59,$B12,'11.1.Амортиз.нови активи'!AS$12:AS$59))</f>
        <v>1262.3333333333335</v>
      </c>
      <c r="K12" s="1248">
        <f>J12+SUMIF('11.1.Амортиз.нови активи'!$B$12:$B$59,$B12,'11.1.Амортиз.нови активи'!K$12:K$59)+('9.Инвестиционна програма'!M$130*SUMIF('11.1.Амортиз.нови активи'!$B$12:$B$59,$B12,'11.1.Амортиз.нови активи'!AT$12:AT$59))</f>
        <v>1279.0000000000002</v>
      </c>
      <c r="L12" s="4738">
        <f>+'11.3. ДА Базова година'!L13</f>
        <v>614</v>
      </c>
      <c r="M12" s="1247">
        <f>L12+SUMIF('11.1.Амортиз.нови активи'!$B$12:$B$59,$B12,'11.1.Амортиз.нови активи'!M$12:M$59)+('9.Инвестиционна програма'!H$131*SUMIF('11.1.Амортиз.нови активи'!$B$12:$B$59,$B12,'11.1.Амортиз.нови активи'!AO$12:AO$59))</f>
        <v>630.66666666666663</v>
      </c>
      <c r="N12" s="1243">
        <f>M12+SUMIF('11.1.Амортиз.нови активи'!$B$12:$B$59,$B12,'11.1.Амортиз.нови активи'!N$12:N$59)+('9.Инвестиционна програма'!I$131*SUMIF('11.1.Амортиз.нови активи'!$B$12:$B$59,$B12,'11.1.Амортиз.нови активи'!AP$12:AP$59))</f>
        <v>654</v>
      </c>
      <c r="O12" s="1243">
        <f>N12+SUMIF('11.1.Амортиз.нови активи'!$B$12:$B$59,$B12,'11.1.Амортиз.нови активи'!O$12:O$59)+('9.Инвестиционна програма'!J$131*SUMIF('11.1.Амортиз.нови активи'!$B$12:$B$59,$B12,'11.1.Амортиз.нови активи'!AQ$12:AQ$59))</f>
        <v>670.66666666666663</v>
      </c>
      <c r="P12" s="1243">
        <f>O12+SUMIF('11.1.Амортиз.нови активи'!$B$12:$B$59,$B12,'11.1.Амортиз.нови активи'!P$12:P$59)+('9.Инвестиционна програма'!K$131*SUMIF('11.1.Амортиз.нови активи'!$B$12:$B$59,$B12,'11.1.Амортиз.нови активи'!AR$12:AR$59))</f>
        <v>687.33333333333326</v>
      </c>
      <c r="Q12" s="1243">
        <f>P12+SUMIF('11.1.Амортиз.нови активи'!$B$12:$B$59,$B12,'11.1.Амортиз.нови активи'!Q$12:Q$59)+('9.Инвестиционна програма'!L$131*SUMIF('11.1.Амортиз.нови активи'!$B$12:$B$59,$B12,'11.1.Амортиз.нови активи'!AS$12:AS$59))</f>
        <v>687.33333333333326</v>
      </c>
      <c r="R12" s="1248">
        <f>Q12+SUMIF('11.1.Амортиз.нови активи'!$B$12:$B$59,$B12,'11.1.Амортиз.нови активи'!R$12:R$59)+('9.Инвестиционна програма'!M$131*SUMIF('11.1.Амортиз.нови активи'!$B$12:$B$59,$B12,'11.1.Амортиз.нови активи'!AT$12:AT$59))</f>
        <v>703.99999999999989</v>
      </c>
      <c r="S12" s="4738">
        <f>+'11.3. ДА Базова година'!P13</f>
        <v>498</v>
      </c>
      <c r="T12" s="1247">
        <f>S12+SUMIF('11.1.Амортиз.нови активи'!$B$12:$B$59,$B12,'11.1.Амортиз.нови активи'!T$12:T$59)+('9.Инвестиционна програма'!H$132*SUMIF('11.1.Амортиз.нови активи'!$B$12:$B$59,$B12,'11.1.Амортиз.нови активи'!AO$12:AO$59))</f>
        <v>514.66666666666663</v>
      </c>
      <c r="U12" s="1243">
        <f>T12+SUMIF('11.1.Амортиз.нови активи'!$B$12:$B$59,$B12,'11.1.Амортиз.нови активи'!U$12:U$59)+('9.Инвестиционна програма'!I$132*SUMIF('11.1.Амортиз.нови активи'!$B$12:$B$59,$B12,'11.1.Амортиз.нови активи'!AP$12:AP$59))</f>
        <v>538</v>
      </c>
      <c r="V12" s="1243">
        <f>U12+SUMIF('11.1.Амортиз.нови активи'!$B$12:$B$59,$B12,'11.1.Амортиз.нови активи'!V$12:V$59)+('9.Инвестиционна програма'!J$132*SUMIF('11.1.Амортиз.нови активи'!$B$12:$B$59,$B12,'11.1.Амортиз.нови активи'!AQ$12:AQ$59))</f>
        <v>554.66666666666663</v>
      </c>
      <c r="W12" s="1243">
        <f>V12+SUMIF('11.1.Амортиз.нови активи'!$B$12:$B$59,$B12,'11.1.Амортиз.нови активи'!W$12:W$59)+('9.Инвестиционна програма'!K$132*SUMIF('11.1.Амортиз.нови активи'!$B$12:$B$59,$B12,'11.1.Амортиз.нови активи'!AR$12:AR$59))</f>
        <v>571.33333333333326</v>
      </c>
      <c r="X12" s="1243">
        <f>W12+SUMIF('11.1.Амортиз.нови активи'!$B$12:$B$59,$B12,'11.1.Амортиз.нови активи'!X$12:X$59)+('9.Инвестиционна програма'!L$132*SUMIF('11.1.Амортиз.нови активи'!$B$12:$B$59,$B12,'11.1.Амортиз.нови активи'!AS$12:AS$59))</f>
        <v>571.33333333333326</v>
      </c>
      <c r="Y12" s="1248">
        <f>X12+SUMIF('11.1.Амортиз.нови активи'!$B$12:$B$59,$B12,'11.1.Амортиз.нови активи'!Y$12:Y$59)+('9.Инвестиционна програма'!M$132*SUMIF('11.1.Амортиз.нови активи'!$B$12:$B$59,$B12,'11.1.Амортиз.нови активи'!AT$12:AT$59))</f>
        <v>587.99999999999989</v>
      </c>
      <c r="Z12" s="4738">
        <f>+'11.3. ДА Базова година'!T13</f>
        <v>0</v>
      </c>
      <c r="AA12" s="1247">
        <f>Z12+SUMIF('11.1.Амортиз.нови активи'!$B$12:$B$59,$B12,'11.1.Амортиз.нови активи'!AA$12:AA$59)</f>
        <v>0</v>
      </c>
      <c r="AB12" s="1243">
        <f>AA12+SUMIF('11.1.Амортиз.нови активи'!$B$12:$B$59,$B12,'11.1.Амортиз.нови активи'!AB$12:AB$59)</f>
        <v>0</v>
      </c>
      <c r="AC12" s="1243">
        <f>AB12+SUMIF('11.1.Амортиз.нови активи'!$B$12:$B$59,$B12,'11.1.Амортиз.нови активи'!AC$12:AC$59)</f>
        <v>0</v>
      </c>
      <c r="AD12" s="1243">
        <f>AC12+SUMIF('11.1.Амортиз.нови активи'!$B$12:$B$59,$B12,'11.1.Амортиз.нови активи'!AD$12:AD$59)</f>
        <v>0</v>
      </c>
      <c r="AE12" s="1243">
        <f>AD12+SUMIF('11.1.Амортиз.нови активи'!$B$12:$B$59,$B12,'11.1.Амортиз.нови активи'!AE$12:AE$59)</f>
        <v>0</v>
      </c>
      <c r="AF12" s="1248">
        <f>AE12+SUMIF('11.1.Амортиз.нови активи'!$B$12:$B$59,$B12,'11.1.Амортиз.нови активи'!AF$12:AF$59)</f>
        <v>0</v>
      </c>
      <c r="AG12" s="4738">
        <f>+'11.3. ДА Базова година'!X13</f>
        <v>0</v>
      </c>
      <c r="AH12" s="1247">
        <f>AG12+SUMIF('11.1.Амортиз.нови активи'!$B$12:$B$59,$B12,'11.1.Амортиз.нови активи'!AH$12:AH$59)</f>
        <v>0</v>
      </c>
      <c r="AI12" s="1243">
        <f>AH12+SUMIF('11.1.Амортиз.нови активи'!$B$12:$B$59,$B12,'11.1.Амортиз.нови активи'!AI$12:AI$59)</f>
        <v>0</v>
      </c>
      <c r="AJ12" s="1243">
        <f>AI12+SUMIF('11.1.Амортиз.нови активи'!$B$12:$B$59,$B12,'11.1.Амортиз.нови активи'!AJ$12:AJ$59)</f>
        <v>0</v>
      </c>
      <c r="AK12" s="1243">
        <f>AJ12+SUMIF('11.1.Амортиз.нови активи'!$B$12:$B$59,$B12,'11.1.Амортиз.нови активи'!AK$12:AK$59)</f>
        <v>0</v>
      </c>
      <c r="AL12" s="1243">
        <f>AK12+SUMIF('11.1.Амортиз.нови активи'!$B$12:$B$59,$B12,'11.1.Амортиз.нови активи'!AL$12:AL$59)</f>
        <v>0</v>
      </c>
      <c r="AM12" s="1248">
        <f>AL12+SUMIF('11.1.Амортиз.нови активи'!$B$12:$B$59,$B12,'11.1.Амортиз.нови активи'!AM$12:AM$59)</f>
        <v>0</v>
      </c>
      <c r="AN12" s="2681"/>
      <c r="AO12" s="2687"/>
      <c r="AP12" s="4775"/>
      <c r="AQ12" s="4794">
        <f t="shared" si="31"/>
        <v>607.92604674230381</v>
      </c>
      <c r="AR12" s="4794">
        <f t="shared" si="32"/>
        <v>616.44757809557416</v>
      </c>
      <c r="AS12" s="4794">
        <f t="shared" si="33"/>
        <v>628.37772199015251</v>
      </c>
      <c r="AT12" s="4794">
        <f t="shared" si="34"/>
        <v>636.89925334342286</v>
      </c>
      <c r="AU12" s="4794">
        <f t="shared" si="35"/>
        <v>645.4207846966932</v>
      </c>
      <c r="AV12" s="4794">
        <f t="shared" si="36"/>
        <v>645.4207846966932</v>
      </c>
      <c r="AW12" s="4794">
        <f t="shared" si="37"/>
        <v>653.94231604996355</v>
      </c>
      <c r="AX12" s="4794">
        <f t="shared" si="38"/>
        <v>313.93321505447818</v>
      </c>
      <c r="AY12" s="4794">
        <f t="shared" si="39"/>
        <v>322.45474640774847</v>
      </c>
      <c r="AZ12" s="4794">
        <f t="shared" si="40"/>
        <v>334.38489030232688</v>
      </c>
      <c r="BA12" s="4794">
        <f t="shared" si="41"/>
        <v>342.90642165559717</v>
      </c>
      <c r="BB12" s="4794">
        <f t="shared" si="42"/>
        <v>351.42795300886746</v>
      </c>
      <c r="BC12" s="4794">
        <f t="shared" si="43"/>
        <v>351.42795300886746</v>
      </c>
      <c r="BD12" s="4794">
        <f t="shared" si="44"/>
        <v>359.94948436213775</v>
      </c>
      <c r="BE12" s="4794">
        <f t="shared" si="45"/>
        <v>254.62335683571681</v>
      </c>
      <c r="BF12" s="4794">
        <f t="shared" si="46"/>
        <v>263.14488818898712</v>
      </c>
      <c r="BG12" s="4794">
        <f t="shared" si="47"/>
        <v>275.07503208356553</v>
      </c>
      <c r="BH12" s="4794">
        <f t="shared" si="48"/>
        <v>283.59656343683582</v>
      </c>
      <c r="BI12" s="4794">
        <f t="shared" si="49"/>
        <v>292.11809479010611</v>
      </c>
      <c r="BJ12" s="4794">
        <f t="shared" si="50"/>
        <v>292.11809479010611</v>
      </c>
      <c r="BK12" s="4794">
        <f t="shared" si="51"/>
        <v>300.6396261433764</v>
      </c>
      <c r="BL12" s="4794">
        <f t="shared" si="52"/>
        <v>0</v>
      </c>
      <c r="BM12" s="4794">
        <f t="shared" si="53"/>
        <v>0</v>
      </c>
      <c r="BN12" s="4794">
        <f t="shared" si="54"/>
        <v>0</v>
      </c>
      <c r="BO12" s="4794">
        <f t="shared" si="55"/>
        <v>0</v>
      </c>
      <c r="BP12" s="4794">
        <f t="shared" si="56"/>
        <v>0</v>
      </c>
      <c r="BQ12" s="4794">
        <f t="shared" si="57"/>
        <v>0</v>
      </c>
      <c r="BR12" s="4794">
        <f t="shared" si="58"/>
        <v>0</v>
      </c>
      <c r="BS12" s="4794">
        <f t="shared" si="59"/>
        <v>0</v>
      </c>
      <c r="BT12" s="4794">
        <f t="shared" si="60"/>
        <v>0</v>
      </c>
      <c r="BU12" s="4794">
        <f t="shared" si="61"/>
        <v>0</v>
      </c>
      <c r="BV12" s="4794">
        <f t="shared" si="62"/>
        <v>0</v>
      </c>
      <c r="BW12" s="4794">
        <f t="shared" si="63"/>
        <v>0</v>
      </c>
      <c r="BX12" s="4794">
        <f t="shared" si="64"/>
        <v>0</v>
      </c>
      <c r="BY12" s="4794">
        <f t="shared" si="65"/>
        <v>0</v>
      </c>
    </row>
    <row r="13" spans="1:77" ht="24">
      <c r="A13" s="2683">
        <v>3</v>
      </c>
      <c r="B13" s="2684">
        <v>203</v>
      </c>
      <c r="C13" s="2685"/>
      <c r="D13" s="2688" t="s">
        <v>405</v>
      </c>
      <c r="E13" s="4360">
        <f>SUM(E14:E17)</f>
        <v>4717</v>
      </c>
      <c r="F13" s="2782">
        <f>SUM(F14:F17)</f>
        <v>4867</v>
      </c>
      <c r="G13" s="2783">
        <f t="shared" ref="G13:Y13" si="66">SUM(G14:G17)</f>
        <v>4967</v>
      </c>
      <c r="H13" s="2783">
        <f t="shared" si="66"/>
        <v>5017</v>
      </c>
      <c r="I13" s="2783">
        <f t="shared" si="66"/>
        <v>5167</v>
      </c>
      <c r="J13" s="2783">
        <f t="shared" si="66"/>
        <v>5317</v>
      </c>
      <c r="K13" s="2784">
        <f t="shared" si="66"/>
        <v>5367</v>
      </c>
      <c r="L13" s="4360">
        <f>SUM(L14:L17)</f>
        <v>1977</v>
      </c>
      <c r="M13" s="2782">
        <f t="shared" si="66"/>
        <v>1987</v>
      </c>
      <c r="N13" s="2783">
        <f t="shared" si="66"/>
        <v>2002</v>
      </c>
      <c r="O13" s="2783">
        <f t="shared" si="66"/>
        <v>2012</v>
      </c>
      <c r="P13" s="2783">
        <f t="shared" si="66"/>
        <v>2022</v>
      </c>
      <c r="Q13" s="2783">
        <f t="shared" si="66"/>
        <v>2032</v>
      </c>
      <c r="R13" s="2783">
        <f t="shared" si="66"/>
        <v>2042</v>
      </c>
      <c r="S13" s="4360">
        <f>SUM(S14:S17)</f>
        <v>793</v>
      </c>
      <c r="T13" s="2782">
        <f t="shared" si="66"/>
        <v>813</v>
      </c>
      <c r="U13" s="2783">
        <f t="shared" si="66"/>
        <v>883</v>
      </c>
      <c r="V13" s="2783">
        <f t="shared" si="66"/>
        <v>933</v>
      </c>
      <c r="W13" s="2783">
        <f t="shared" si="66"/>
        <v>973</v>
      </c>
      <c r="X13" s="2783">
        <f t="shared" si="66"/>
        <v>1043</v>
      </c>
      <c r="Y13" s="2784">
        <f t="shared" si="66"/>
        <v>1083</v>
      </c>
      <c r="Z13" s="4360">
        <f>SUM(Z14:Z17)</f>
        <v>0</v>
      </c>
      <c r="AA13" s="2782">
        <f t="shared" ref="AA13:AF13" si="67">SUM(AA14:AA17)</f>
        <v>0</v>
      </c>
      <c r="AB13" s="2783">
        <f t="shared" si="67"/>
        <v>0</v>
      </c>
      <c r="AC13" s="2783">
        <f t="shared" si="67"/>
        <v>0</v>
      </c>
      <c r="AD13" s="2783">
        <f t="shared" si="67"/>
        <v>0</v>
      </c>
      <c r="AE13" s="2783">
        <f t="shared" si="67"/>
        <v>0</v>
      </c>
      <c r="AF13" s="2784">
        <f t="shared" si="67"/>
        <v>0</v>
      </c>
      <c r="AG13" s="4360">
        <f>SUM(AG14:AG17)</f>
        <v>0</v>
      </c>
      <c r="AH13" s="2782">
        <f t="shared" ref="AH13:AM13" si="68">SUM(AH14:AH17)</f>
        <v>0</v>
      </c>
      <c r="AI13" s="2783">
        <f t="shared" si="68"/>
        <v>0</v>
      </c>
      <c r="AJ13" s="2783">
        <f t="shared" si="68"/>
        <v>0</v>
      </c>
      <c r="AK13" s="2783">
        <f t="shared" si="68"/>
        <v>0</v>
      </c>
      <c r="AL13" s="2783">
        <f t="shared" si="68"/>
        <v>0</v>
      </c>
      <c r="AM13" s="2784">
        <f t="shared" si="68"/>
        <v>0</v>
      </c>
      <c r="AN13" s="2681"/>
      <c r="AO13" s="2689"/>
      <c r="AP13" s="4775"/>
      <c r="AQ13" s="4794">
        <f t="shared" si="31"/>
        <v>2411.7638036025628</v>
      </c>
      <c r="AR13" s="4794">
        <f t="shared" si="32"/>
        <v>2488.4575857819955</v>
      </c>
      <c r="AS13" s="4794">
        <f t="shared" si="33"/>
        <v>2539.5867739016171</v>
      </c>
      <c r="AT13" s="4794">
        <f t="shared" si="34"/>
        <v>2565.1513679614282</v>
      </c>
      <c r="AU13" s="4794">
        <f t="shared" si="35"/>
        <v>2641.8451501408608</v>
      </c>
      <c r="AV13" s="4794">
        <f t="shared" si="36"/>
        <v>2718.538932320294</v>
      </c>
      <c r="AW13" s="4794">
        <f t="shared" si="37"/>
        <v>2744.1035263801045</v>
      </c>
      <c r="AX13" s="4794">
        <f t="shared" si="38"/>
        <v>1010.8240491249239</v>
      </c>
      <c r="AY13" s="4794">
        <f t="shared" si="39"/>
        <v>1015.9369679368862</v>
      </c>
      <c r="AZ13" s="4794">
        <f t="shared" si="40"/>
        <v>1023.6063461548295</v>
      </c>
      <c r="BA13" s="4794">
        <f t="shared" si="41"/>
        <v>1028.7192649667916</v>
      </c>
      <c r="BB13" s="4794">
        <f t="shared" si="42"/>
        <v>1033.8321837787537</v>
      </c>
      <c r="BC13" s="4794">
        <f t="shared" si="43"/>
        <v>1038.945102590716</v>
      </c>
      <c r="BD13" s="4794">
        <f t="shared" si="44"/>
        <v>1044.0580214026782</v>
      </c>
      <c r="BE13" s="4794">
        <f t="shared" si="45"/>
        <v>405.45446178860129</v>
      </c>
      <c r="BF13" s="4794">
        <f t="shared" si="46"/>
        <v>415.68029941252564</v>
      </c>
      <c r="BG13" s="4794">
        <f t="shared" si="47"/>
        <v>451.47073109626092</v>
      </c>
      <c r="BH13" s="4794">
        <f t="shared" si="48"/>
        <v>477.03532515607185</v>
      </c>
      <c r="BI13" s="4794">
        <f t="shared" si="49"/>
        <v>497.4870004039206</v>
      </c>
      <c r="BJ13" s="4794">
        <f t="shared" si="50"/>
        <v>533.27743208765594</v>
      </c>
      <c r="BK13" s="4794">
        <f t="shared" si="51"/>
        <v>553.72910733550464</v>
      </c>
      <c r="BL13" s="4794">
        <f t="shared" si="52"/>
        <v>0</v>
      </c>
      <c r="BM13" s="4794">
        <f t="shared" si="53"/>
        <v>0</v>
      </c>
      <c r="BN13" s="4794">
        <f t="shared" si="54"/>
        <v>0</v>
      </c>
      <c r="BO13" s="4794">
        <f t="shared" si="55"/>
        <v>0</v>
      </c>
      <c r="BP13" s="4794">
        <f t="shared" si="56"/>
        <v>0</v>
      </c>
      <c r="BQ13" s="4794">
        <f t="shared" si="57"/>
        <v>0</v>
      </c>
      <c r="BR13" s="4794">
        <f t="shared" si="58"/>
        <v>0</v>
      </c>
      <c r="BS13" s="4794">
        <f t="shared" si="59"/>
        <v>0</v>
      </c>
      <c r="BT13" s="4794">
        <f t="shared" si="60"/>
        <v>0</v>
      </c>
      <c r="BU13" s="4794">
        <f t="shared" si="61"/>
        <v>0</v>
      </c>
      <c r="BV13" s="4794">
        <f t="shared" si="62"/>
        <v>0</v>
      </c>
      <c r="BW13" s="4794">
        <f t="shared" si="63"/>
        <v>0</v>
      </c>
      <c r="BX13" s="4794">
        <f t="shared" si="64"/>
        <v>0</v>
      </c>
      <c r="BY13" s="4794">
        <f t="shared" si="65"/>
        <v>0</v>
      </c>
    </row>
    <row r="14" spans="1:77" s="1345" customFormat="1">
      <c r="A14" s="2683"/>
      <c r="B14" s="2684">
        <v>20301</v>
      </c>
      <c r="C14" s="2690">
        <v>0.1</v>
      </c>
      <c r="D14" s="2691" t="s">
        <v>427</v>
      </c>
      <c r="E14" s="4738">
        <f>+'11.3. ДА Базова година'!H15</f>
        <v>686</v>
      </c>
      <c r="F14" s="927">
        <f>E14+SUMIF('11.1.Амортиз.нови активи'!$B$12:$B$59,$B14,'11.1.Амортиз.нови активи'!F$12:F$59)+('9.Инвестиционна програма'!H$130*SUMIF('11.1.Амортиз.нови активи'!$B$12:$B$59,$B14,'11.1.Амортиз.нови активи'!AO$12:AO$59))</f>
        <v>686</v>
      </c>
      <c r="G14" s="1243">
        <f>F14+SUMIF('11.1.Амортиз.нови активи'!$B$12:$B$59,$B14,'11.1.Амортиз.нови активи'!G$12:G$59)+('9.Инвестиционна програма'!I$130*SUMIF('11.1.Амортиз.нови активи'!$B$12:$B$59,$B14,'11.1.Амортиз.нови активи'!AP$12:AP$59))</f>
        <v>686</v>
      </c>
      <c r="H14" s="1243">
        <f>G14+SUMIF('11.1.Амортиз.нови активи'!$B$12:$B$59,$B14,'11.1.Амортиз.нови активи'!H$12:H$59)+('9.Инвестиционна програма'!J$130*SUMIF('11.1.Амортиз.нови активи'!$B$12:$B$59,$B14,'11.1.Амортиз.нови активи'!AQ$12:AQ$59))</f>
        <v>686</v>
      </c>
      <c r="I14" s="1243">
        <f>H14+SUMIF('11.1.Амортиз.нови активи'!$B$12:$B$59,$B14,'11.1.Амортиз.нови активи'!I$12:I$59)+('9.Инвестиционна програма'!K$130*SUMIF('11.1.Амортиз.нови активи'!$B$12:$B$59,$B14,'11.1.Амортиз.нови активи'!AR$12:AR$59))</f>
        <v>686</v>
      </c>
      <c r="J14" s="1243">
        <f>I14+SUMIF('11.1.Амортиз.нови активи'!$B$12:$B$59,$B14,'11.1.Амортиз.нови активи'!J$12:J$59)+('9.Инвестиционна програма'!L$130*SUMIF('11.1.Амортиз.нови активи'!$B$12:$B$59,$B14,'11.1.Амортиз.нови активи'!AS$12:AS$59))</f>
        <v>686</v>
      </c>
      <c r="K14" s="1248">
        <f>J14+SUMIF('11.1.Амортиз.нови активи'!$B$12:$B$59,$B14,'11.1.Амортиз.нови активи'!K$12:K$59)+('9.Инвестиционна програма'!M$130*SUMIF('11.1.Амортиз.нови активи'!$B$12:$B$59,$B14,'11.1.Амортиз.нови активи'!AT$12:AT$59))</f>
        <v>686</v>
      </c>
      <c r="L14" s="4738">
        <f>+'11.3. ДА Базова година'!L15</f>
        <v>132</v>
      </c>
      <c r="M14" s="1247">
        <f>L14+SUMIF('11.1.Амортиз.нови активи'!$B$12:$B$59,$B14,'11.1.Амортиз.нови активи'!M$12:M$59)+('9.Инвестиционна програма'!H$131*SUMIF('11.1.Амортиз.нови активи'!$B$12:$B$59,$B14,'11.1.Амортиз.нови активи'!AO$12:AO$59))</f>
        <v>132</v>
      </c>
      <c r="N14" s="1243">
        <f>M14+SUMIF('11.1.Амортиз.нови активи'!$B$12:$B$59,$B14,'11.1.Амортиз.нови активи'!N$12:N$59)+('9.Инвестиционна програма'!I$131*SUMIF('11.1.Амортиз.нови активи'!$B$12:$B$59,$B14,'11.1.Амортиз.нови активи'!AP$12:AP$59))</f>
        <v>132</v>
      </c>
      <c r="O14" s="1243">
        <f>N14+SUMIF('11.1.Амортиз.нови активи'!$B$12:$B$59,$B14,'11.1.Амортиз.нови активи'!O$12:O$59)+('9.Инвестиционна програма'!J$131*SUMIF('11.1.Амортиз.нови активи'!$B$12:$B$59,$B14,'11.1.Амортиз.нови активи'!AQ$12:AQ$59))</f>
        <v>132</v>
      </c>
      <c r="P14" s="1243">
        <f>O14+SUMIF('11.1.Амортиз.нови активи'!$B$12:$B$59,$B14,'11.1.Амортиз.нови активи'!P$12:P$59)+('9.Инвестиционна програма'!K$131*SUMIF('11.1.Амортиз.нови активи'!$B$12:$B$59,$B14,'11.1.Амортиз.нови активи'!AR$12:AR$59))</f>
        <v>132</v>
      </c>
      <c r="Q14" s="1243">
        <f>P14+SUMIF('11.1.Амортиз.нови активи'!$B$12:$B$59,$B14,'11.1.Амортиз.нови активи'!Q$12:Q$59)+('9.Инвестиционна програма'!L$131*SUMIF('11.1.Амортиз.нови активи'!$B$12:$B$59,$B14,'11.1.Амортиз.нови активи'!AS$12:AS$59))</f>
        <v>132</v>
      </c>
      <c r="R14" s="1248">
        <f>Q14+SUMIF('11.1.Амортиз.нови активи'!$B$12:$B$59,$B14,'11.1.Амортиз.нови активи'!R$12:R$59)+('9.Инвестиционна програма'!M$131*SUMIF('11.1.Амортиз.нови активи'!$B$12:$B$59,$B14,'11.1.Амортиз.нови активи'!AT$12:AT$59))</f>
        <v>132</v>
      </c>
      <c r="S14" s="4738">
        <f>+'11.3. ДА Базова година'!P15</f>
        <v>437</v>
      </c>
      <c r="T14" s="1247">
        <f>S14+SUMIF('11.1.Амортиз.нови активи'!$B$12:$B$59,$B14,'11.1.Амортиз.нови активи'!T$12:T$59)+('9.Инвестиционна програма'!H$132*SUMIF('11.1.Амортиз.нови активи'!$B$12:$B$59,$B14,'11.1.Амортиз.нови активи'!AO$12:AO$59))</f>
        <v>437</v>
      </c>
      <c r="U14" s="1243">
        <f>T14+SUMIF('11.1.Амортиз.нови активи'!$B$12:$B$59,$B14,'11.1.Амортиз.нови активи'!U$12:U$59)+('9.Инвестиционна програма'!I$132*SUMIF('11.1.Амортиз.нови активи'!$B$12:$B$59,$B14,'11.1.Амортиз.нови активи'!AP$12:AP$59))</f>
        <v>437</v>
      </c>
      <c r="V14" s="1243">
        <f>U14+SUMIF('11.1.Амортиз.нови активи'!$B$12:$B$59,$B14,'11.1.Амортиз.нови активи'!V$12:V$59)+('9.Инвестиционна програма'!J$132*SUMIF('11.1.Амортиз.нови активи'!$B$12:$B$59,$B14,'11.1.Амортиз.нови активи'!AQ$12:AQ$59))</f>
        <v>437</v>
      </c>
      <c r="W14" s="1243">
        <f>V14+SUMIF('11.1.Амортиз.нови активи'!$B$12:$B$59,$B14,'11.1.Амортиз.нови активи'!W$12:W$59)+('9.Инвестиционна програма'!K$132*SUMIF('11.1.Амортиз.нови активи'!$B$12:$B$59,$B14,'11.1.Амортиз.нови активи'!AR$12:AR$59))</f>
        <v>437</v>
      </c>
      <c r="X14" s="1243">
        <f>W14+SUMIF('11.1.Амортиз.нови активи'!$B$12:$B$59,$B14,'11.1.Амортиз.нови активи'!X$12:X$59)+('9.Инвестиционна програма'!L$132*SUMIF('11.1.Амортиз.нови активи'!$B$12:$B$59,$B14,'11.1.Амортиз.нови активи'!AS$12:AS$59))</f>
        <v>437</v>
      </c>
      <c r="Y14" s="1248">
        <f>X14+SUMIF('11.1.Амортиз.нови активи'!$B$12:$B$59,$B14,'11.1.Амортиз.нови активи'!Y$12:Y$59)+('9.Инвестиционна програма'!M$132*SUMIF('11.1.Амортиз.нови активи'!$B$12:$B$59,$B14,'11.1.Амортиз.нови активи'!AT$12:AT$59))</f>
        <v>437</v>
      </c>
      <c r="Z14" s="4738">
        <f>+'11.3. ДА Базова година'!T15</f>
        <v>0</v>
      </c>
      <c r="AA14" s="1247">
        <f>Z14+SUMIF('11.1.Амортиз.нови активи'!$B$12:$B$59,$B14,'11.1.Амортиз.нови активи'!AA$12:AA$59)</f>
        <v>0</v>
      </c>
      <c r="AB14" s="1243">
        <f>AA14+SUMIF('11.1.Амортиз.нови активи'!$B$12:$B$59,$B14,'11.1.Амортиз.нови активи'!AB$12:AB$59)</f>
        <v>0</v>
      </c>
      <c r="AC14" s="1243">
        <f>AB14+SUMIF('11.1.Амортиз.нови активи'!$B$12:$B$59,$B14,'11.1.Амортиз.нови активи'!AC$12:AC$59)</f>
        <v>0</v>
      </c>
      <c r="AD14" s="1243">
        <f>AC14+SUMIF('11.1.Амортиз.нови активи'!$B$12:$B$59,$B14,'11.1.Амортиз.нови активи'!AD$12:AD$59)</f>
        <v>0</v>
      </c>
      <c r="AE14" s="1243">
        <f>AD14+SUMIF('11.1.Амортиз.нови активи'!$B$12:$B$59,$B14,'11.1.Амортиз.нови активи'!AE$12:AE$59)</f>
        <v>0</v>
      </c>
      <c r="AF14" s="1248">
        <f>AE14+SUMIF('11.1.Амортиз.нови активи'!$B$12:$B$59,$B14,'11.1.Амортиз.нови активи'!AF$12:AF$59)</f>
        <v>0</v>
      </c>
      <c r="AG14" s="4738">
        <f>+'11.3. ДА Базова година'!X15</f>
        <v>0</v>
      </c>
      <c r="AH14" s="1247">
        <f>AG14+SUMIF('11.1.Амортиз.нови активи'!$B$12:$B$59,$B14,'11.1.Амортиз.нови активи'!AH$12:AH$59)</f>
        <v>0</v>
      </c>
      <c r="AI14" s="1243">
        <f>AH14+SUMIF('11.1.Амортиз.нови активи'!$B$12:$B$59,$B14,'11.1.Амортиз.нови активи'!AI$12:AI$59)</f>
        <v>0</v>
      </c>
      <c r="AJ14" s="1243">
        <f>AI14+SUMIF('11.1.Амортиз.нови активи'!$B$12:$B$59,$B14,'11.1.Амортиз.нови активи'!AJ$12:AJ$59)</f>
        <v>0</v>
      </c>
      <c r="AK14" s="1243">
        <f>AJ14+SUMIF('11.1.Амортиз.нови активи'!$B$12:$B$59,$B14,'11.1.Амортиз.нови активи'!AK$12:AK$59)</f>
        <v>0</v>
      </c>
      <c r="AL14" s="1243">
        <f>AK14+SUMIF('11.1.Амортиз.нови активи'!$B$12:$B$59,$B14,'11.1.Амортиз.нови активи'!AL$12:AL$59)</f>
        <v>0</v>
      </c>
      <c r="AM14" s="1248">
        <f>AL14+SUMIF('11.1.Амортиз.нови активи'!$B$12:$B$59,$B14,'11.1.Амортиз.нови активи'!AM$12:AM$59)</f>
        <v>0</v>
      </c>
      <c r="AN14" s="2692"/>
      <c r="AO14" s="2689"/>
      <c r="AP14" s="4775"/>
      <c r="AQ14" s="4794">
        <f t="shared" si="31"/>
        <v>350.74623050060586</v>
      </c>
      <c r="AR14" s="4794">
        <f t="shared" si="32"/>
        <v>350.74623050060586</v>
      </c>
      <c r="AS14" s="4794">
        <f t="shared" si="33"/>
        <v>350.74623050060586</v>
      </c>
      <c r="AT14" s="4794">
        <f t="shared" si="34"/>
        <v>350.74623050060586</v>
      </c>
      <c r="AU14" s="4794">
        <f t="shared" si="35"/>
        <v>350.74623050060586</v>
      </c>
      <c r="AV14" s="4794">
        <f t="shared" si="36"/>
        <v>350.74623050060586</v>
      </c>
      <c r="AW14" s="4794">
        <f t="shared" si="37"/>
        <v>350.74623050060586</v>
      </c>
      <c r="AX14" s="4794">
        <f t="shared" si="38"/>
        <v>67.490528317900839</v>
      </c>
      <c r="AY14" s="4794">
        <f t="shared" si="39"/>
        <v>67.490528317900839</v>
      </c>
      <c r="AZ14" s="4794">
        <f t="shared" si="40"/>
        <v>67.490528317900839</v>
      </c>
      <c r="BA14" s="4794">
        <f t="shared" si="41"/>
        <v>67.490528317900839</v>
      </c>
      <c r="BB14" s="4794">
        <f t="shared" si="42"/>
        <v>67.490528317900839</v>
      </c>
      <c r="BC14" s="4794">
        <f t="shared" si="43"/>
        <v>67.490528317900839</v>
      </c>
      <c r="BD14" s="4794">
        <f t="shared" si="44"/>
        <v>67.490528317900839</v>
      </c>
      <c r="BE14" s="4794">
        <f t="shared" si="45"/>
        <v>223.43455208274747</v>
      </c>
      <c r="BF14" s="4794">
        <f t="shared" si="46"/>
        <v>223.43455208274747</v>
      </c>
      <c r="BG14" s="4794">
        <f t="shared" si="47"/>
        <v>223.43455208274747</v>
      </c>
      <c r="BH14" s="4794">
        <f t="shared" si="48"/>
        <v>223.43455208274747</v>
      </c>
      <c r="BI14" s="4794">
        <f t="shared" si="49"/>
        <v>223.43455208274747</v>
      </c>
      <c r="BJ14" s="4794">
        <f t="shared" si="50"/>
        <v>223.43455208274747</v>
      </c>
      <c r="BK14" s="4794">
        <f t="shared" si="51"/>
        <v>223.43455208274747</v>
      </c>
      <c r="BL14" s="4794">
        <f t="shared" si="52"/>
        <v>0</v>
      </c>
      <c r="BM14" s="4794">
        <f t="shared" si="53"/>
        <v>0</v>
      </c>
      <c r="BN14" s="4794">
        <f t="shared" si="54"/>
        <v>0</v>
      </c>
      <c r="BO14" s="4794">
        <f t="shared" si="55"/>
        <v>0</v>
      </c>
      <c r="BP14" s="4794">
        <f t="shared" si="56"/>
        <v>0</v>
      </c>
      <c r="BQ14" s="4794">
        <f t="shared" si="57"/>
        <v>0</v>
      </c>
      <c r="BR14" s="4794">
        <f t="shared" si="58"/>
        <v>0</v>
      </c>
      <c r="BS14" s="4794">
        <f t="shared" si="59"/>
        <v>0</v>
      </c>
      <c r="BT14" s="4794">
        <f t="shared" si="60"/>
        <v>0</v>
      </c>
      <c r="BU14" s="4794">
        <f t="shared" si="61"/>
        <v>0</v>
      </c>
      <c r="BV14" s="4794">
        <f t="shared" si="62"/>
        <v>0</v>
      </c>
      <c r="BW14" s="4794">
        <f t="shared" si="63"/>
        <v>0</v>
      </c>
      <c r="BX14" s="4794">
        <f t="shared" si="64"/>
        <v>0</v>
      </c>
      <c r="BY14" s="4794">
        <f t="shared" si="65"/>
        <v>0</v>
      </c>
    </row>
    <row r="15" spans="1:77" s="1345" customFormat="1">
      <c r="A15" s="2683"/>
      <c r="B15" s="2684">
        <v>20302</v>
      </c>
      <c r="C15" s="2690">
        <v>0.1</v>
      </c>
      <c r="D15" s="2691" t="s">
        <v>428</v>
      </c>
      <c r="E15" s="4738">
        <f>+'11.3. ДА Базова година'!H16</f>
        <v>151</v>
      </c>
      <c r="F15" s="927">
        <f>E15+SUMIF('11.1.Амортиз.нови активи'!$B$12:$B$59,$B15,'11.1.Амортиз.нови активи'!F$12:F$59)+('9.Инвестиционна програма'!H$130*SUMIF('11.1.Амортиз.нови активи'!$B$12:$B$59,$B15,'11.1.Амортиз.нови активи'!AO$12:AO$59))</f>
        <v>151</v>
      </c>
      <c r="G15" s="1243">
        <f>F15+SUMIF('11.1.Амортиз.нови активи'!$B$12:$B$59,$B15,'11.1.Амортиз.нови активи'!G$12:G$59)+('9.Инвестиционна програма'!I$130*SUMIF('11.1.Амортиз.нови активи'!$B$12:$B$59,$B15,'11.1.Амортиз.нови активи'!AP$12:AP$59))</f>
        <v>151</v>
      </c>
      <c r="H15" s="1243">
        <f>G15+SUMIF('11.1.Амортиз.нови активи'!$B$12:$B$59,$B15,'11.1.Амортиз.нови активи'!H$12:H$59)+('9.Инвестиционна програма'!J$130*SUMIF('11.1.Амортиз.нови активи'!$B$12:$B$59,$B15,'11.1.Амортиз.нови активи'!AQ$12:AQ$59))</f>
        <v>151</v>
      </c>
      <c r="I15" s="1243">
        <f>H15+SUMIF('11.1.Амортиз.нови активи'!$B$12:$B$59,$B15,'11.1.Амортиз.нови активи'!I$12:I$59)+('9.Инвестиционна програма'!K$130*SUMIF('11.1.Амортиз.нови активи'!$B$12:$B$59,$B15,'11.1.Амортиз.нови активи'!AR$12:AR$59))</f>
        <v>151</v>
      </c>
      <c r="J15" s="1243">
        <f>I15+SUMIF('11.1.Амортиз.нови активи'!$B$12:$B$59,$B15,'11.1.Амортиз.нови активи'!J$12:J$59)+('9.Инвестиционна програма'!L$130*SUMIF('11.1.Амортиз.нови активи'!$B$12:$B$59,$B15,'11.1.Амортиз.нови активи'!AS$12:AS$59))</f>
        <v>151</v>
      </c>
      <c r="K15" s="1248">
        <f>J15+SUMIF('11.1.Амортиз.нови активи'!$B$12:$B$59,$B15,'11.1.Амортиз.нови активи'!K$12:K$59)+('9.Инвестиционна програма'!M$130*SUMIF('11.1.Амортиз.нови активи'!$B$12:$B$59,$B15,'11.1.Амортиз.нови активи'!AT$12:AT$59))</f>
        <v>151</v>
      </c>
      <c r="L15" s="4738">
        <f>+'11.3. ДА Базова година'!L16</f>
        <v>28</v>
      </c>
      <c r="M15" s="1247">
        <f>L15+SUMIF('11.1.Амортиз.нови активи'!$B$12:$B$59,$B15,'11.1.Амортиз.нови активи'!M$12:M$59)+('9.Инвестиционна програма'!H$131*SUMIF('11.1.Амортиз.нови активи'!$B$12:$B$59,$B15,'11.1.Амортиз.нови активи'!AO$12:AO$59))</f>
        <v>28</v>
      </c>
      <c r="N15" s="1243">
        <f>M15+SUMIF('11.1.Амортиз.нови активи'!$B$12:$B$59,$B15,'11.1.Амортиз.нови активи'!N$12:N$59)+('9.Инвестиционна програма'!I$131*SUMIF('11.1.Амортиз.нови активи'!$B$12:$B$59,$B15,'11.1.Амортиз.нови активи'!AP$12:AP$59))</f>
        <v>28</v>
      </c>
      <c r="O15" s="1243">
        <f>N15+SUMIF('11.1.Амортиз.нови активи'!$B$12:$B$59,$B15,'11.1.Амортиз.нови активи'!O$12:O$59)+('9.Инвестиционна програма'!J$131*SUMIF('11.1.Амортиз.нови активи'!$B$12:$B$59,$B15,'11.1.Амортиз.нови активи'!AQ$12:AQ$59))</f>
        <v>28</v>
      </c>
      <c r="P15" s="1243">
        <f>O15+SUMIF('11.1.Амортиз.нови активи'!$B$12:$B$59,$B15,'11.1.Амортиз.нови активи'!P$12:P$59)+('9.Инвестиционна програма'!K$131*SUMIF('11.1.Амортиз.нови активи'!$B$12:$B$59,$B15,'11.1.Амортиз.нови активи'!AR$12:AR$59))</f>
        <v>28</v>
      </c>
      <c r="Q15" s="1243">
        <f>P15+SUMIF('11.1.Амортиз.нови активи'!$B$12:$B$59,$B15,'11.1.Амортиз.нови активи'!Q$12:Q$59)+('9.Инвестиционна програма'!L$131*SUMIF('11.1.Амортиз.нови активи'!$B$12:$B$59,$B15,'11.1.Амортиз.нови активи'!AS$12:AS$59))</f>
        <v>28</v>
      </c>
      <c r="R15" s="1248">
        <f>Q15+SUMIF('11.1.Амортиз.нови активи'!$B$12:$B$59,$B15,'11.1.Амортиз.нови активи'!R$12:R$59)+('9.Инвестиционна програма'!M$131*SUMIF('11.1.Амортиз.нови активи'!$B$12:$B$59,$B15,'11.1.Амортиз.нови активи'!AT$12:AT$59))</f>
        <v>28</v>
      </c>
      <c r="S15" s="4738">
        <f>+'11.3. ДА Базова година'!P16</f>
        <v>30</v>
      </c>
      <c r="T15" s="1247">
        <f>S15+SUMIF('11.1.Амортиз.нови активи'!$B$12:$B$59,$B15,'11.1.Амортиз.нови активи'!T$12:T$59)+('9.Инвестиционна програма'!H$132*SUMIF('11.1.Амортиз.нови активи'!$B$12:$B$59,$B15,'11.1.Амортиз.нови активи'!AO$12:AO$59))</f>
        <v>30</v>
      </c>
      <c r="U15" s="1243">
        <f>T15+SUMIF('11.1.Амортиз.нови активи'!$B$12:$B$59,$B15,'11.1.Амортиз.нови активи'!U$12:U$59)+('9.Инвестиционна програма'!I$132*SUMIF('11.1.Амортиз.нови активи'!$B$12:$B$59,$B15,'11.1.Амортиз.нови активи'!AP$12:AP$59))</f>
        <v>50</v>
      </c>
      <c r="V15" s="1243">
        <f>U15+SUMIF('11.1.Амортиз.нови активи'!$B$12:$B$59,$B15,'11.1.Амортиз.нови активи'!V$12:V$59)+('9.Инвестиционна програма'!J$132*SUMIF('11.1.Амортиз.нови активи'!$B$12:$B$59,$B15,'11.1.Амортиз.нови активи'!AQ$12:AQ$59))</f>
        <v>70</v>
      </c>
      <c r="W15" s="1243">
        <f>V15+SUMIF('11.1.Амортиз.нови активи'!$B$12:$B$59,$B15,'11.1.Амортиз.нови активи'!W$12:W$59)+('9.Инвестиционна програма'!K$132*SUMIF('11.1.Амортиз.нови активи'!$B$12:$B$59,$B15,'11.1.Амортиз.нови активи'!AR$12:AR$59))</f>
        <v>90</v>
      </c>
      <c r="X15" s="1243">
        <f>W15+SUMIF('11.1.Амортиз.нови активи'!$B$12:$B$59,$B15,'11.1.Амортиз.нови активи'!X$12:X$59)+('9.Инвестиционна програма'!L$132*SUMIF('11.1.Амортиз.нови активи'!$B$12:$B$59,$B15,'11.1.Амортиз.нови активи'!AS$12:AS$59))</f>
        <v>110</v>
      </c>
      <c r="Y15" s="1248">
        <f>X15+SUMIF('11.1.Амортиз.нови активи'!$B$12:$B$59,$B15,'11.1.Амортиз.нови активи'!Y$12:Y$59)+('9.Инвестиционна програма'!M$132*SUMIF('11.1.Амортиз.нови активи'!$B$12:$B$59,$B15,'11.1.Амортиз.нови активи'!AT$12:AT$59))</f>
        <v>130</v>
      </c>
      <c r="Z15" s="4738">
        <f>+'11.3. ДА Базова година'!T16</f>
        <v>0</v>
      </c>
      <c r="AA15" s="1247">
        <f>Z15+SUMIF('11.1.Амортиз.нови активи'!$B$12:$B$59,$B15,'11.1.Амортиз.нови активи'!AA$12:AA$59)</f>
        <v>0</v>
      </c>
      <c r="AB15" s="1243">
        <f>AA15+SUMIF('11.1.Амортиз.нови активи'!$B$12:$B$59,$B15,'11.1.Амортиз.нови активи'!AB$12:AB$59)</f>
        <v>0</v>
      </c>
      <c r="AC15" s="1243">
        <f>AB15+SUMIF('11.1.Амортиз.нови активи'!$B$12:$B$59,$B15,'11.1.Амортиз.нови активи'!AC$12:AC$59)</f>
        <v>0</v>
      </c>
      <c r="AD15" s="1243">
        <f>AC15+SUMIF('11.1.Амортиз.нови активи'!$B$12:$B$59,$B15,'11.1.Амортиз.нови активи'!AD$12:AD$59)</f>
        <v>0</v>
      </c>
      <c r="AE15" s="1243">
        <f>AD15+SUMIF('11.1.Амортиз.нови активи'!$B$12:$B$59,$B15,'11.1.Амортиз.нови активи'!AE$12:AE$59)</f>
        <v>0</v>
      </c>
      <c r="AF15" s="1248">
        <f>AE15+SUMIF('11.1.Амортиз.нови активи'!$B$12:$B$59,$B15,'11.1.Амортиз.нови активи'!AF$12:AF$59)</f>
        <v>0</v>
      </c>
      <c r="AG15" s="4738">
        <f>+'11.3. ДА Базова година'!X16</f>
        <v>0</v>
      </c>
      <c r="AH15" s="1247">
        <f>AG15+SUMIF('11.1.Амортиз.нови активи'!$B$12:$B$59,$B15,'11.1.Амортиз.нови активи'!AH$12:AH$59)</f>
        <v>0</v>
      </c>
      <c r="AI15" s="1243">
        <f>AH15+SUMIF('11.1.Амортиз.нови активи'!$B$12:$B$59,$B15,'11.1.Амортиз.нови активи'!AI$12:AI$59)</f>
        <v>0</v>
      </c>
      <c r="AJ15" s="1243">
        <f>AI15+SUMIF('11.1.Амортиз.нови активи'!$B$12:$B$59,$B15,'11.1.Амортиз.нови активи'!AJ$12:AJ$59)</f>
        <v>0</v>
      </c>
      <c r="AK15" s="1243">
        <f>AJ15+SUMIF('11.1.Амортиз.нови активи'!$B$12:$B$59,$B15,'11.1.Амортиз.нови активи'!AK$12:AK$59)</f>
        <v>0</v>
      </c>
      <c r="AL15" s="1243">
        <f>AK15+SUMIF('11.1.Амортиз.нови активи'!$B$12:$B$59,$B15,'11.1.Амортиз.нови активи'!AL$12:AL$59)</f>
        <v>0</v>
      </c>
      <c r="AM15" s="1248">
        <f>AL15+SUMIF('11.1.Амортиз.нови активи'!$B$12:$B$59,$B15,'11.1.Амортиз.нови активи'!AM$12:AM$59)</f>
        <v>0</v>
      </c>
      <c r="AN15" s="2692"/>
      <c r="AO15" s="2689"/>
      <c r="AP15" s="4775"/>
      <c r="AQ15" s="4794">
        <f t="shared" si="31"/>
        <v>77.205074060628988</v>
      </c>
      <c r="AR15" s="4794">
        <f t="shared" si="32"/>
        <v>77.205074060628988</v>
      </c>
      <c r="AS15" s="4794">
        <f t="shared" si="33"/>
        <v>77.205074060628988</v>
      </c>
      <c r="AT15" s="4794">
        <f t="shared" si="34"/>
        <v>77.205074060628988</v>
      </c>
      <c r="AU15" s="4794">
        <f t="shared" si="35"/>
        <v>77.205074060628988</v>
      </c>
      <c r="AV15" s="4794">
        <f t="shared" si="36"/>
        <v>77.205074060628988</v>
      </c>
      <c r="AW15" s="4794">
        <f t="shared" si="37"/>
        <v>77.205074060628988</v>
      </c>
      <c r="AX15" s="4794">
        <f t="shared" si="38"/>
        <v>14.316172673494117</v>
      </c>
      <c r="AY15" s="4794">
        <f t="shared" si="39"/>
        <v>14.316172673494117</v>
      </c>
      <c r="AZ15" s="4794">
        <f t="shared" si="40"/>
        <v>14.316172673494117</v>
      </c>
      <c r="BA15" s="4794">
        <f t="shared" si="41"/>
        <v>14.316172673494117</v>
      </c>
      <c r="BB15" s="4794">
        <f t="shared" si="42"/>
        <v>14.316172673494117</v>
      </c>
      <c r="BC15" s="4794">
        <f t="shared" si="43"/>
        <v>14.316172673494117</v>
      </c>
      <c r="BD15" s="4794">
        <f t="shared" si="44"/>
        <v>14.316172673494117</v>
      </c>
      <c r="BE15" s="4794">
        <f t="shared" si="45"/>
        <v>15.338756435886555</v>
      </c>
      <c r="BF15" s="4794">
        <f t="shared" si="46"/>
        <v>15.338756435886555</v>
      </c>
      <c r="BG15" s="4794">
        <f t="shared" si="47"/>
        <v>25.564594059810926</v>
      </c>
      <c r="BH15" s="4794">
        <f t="shared" si="48"/>
        <v>35.790431683735292</v>
      </c>
      <c r="BI15" s="4794">
        <f t="shared" si="49"/>
        <v>46.016269307659663</v>
      </c>
      <c r="BJ15" s="4794">
        <f t="shared" si="50"/>
        <v>56.242106931584033</v>
      </c>
      <c r="BK15" s="4794">
        <f t="shared" si="51"/>
        <v>66.46794455550841</v>
      </c>
      <c r="BL15" s="4794">
        <f t="shared" si="52"/>
        <v>0</v>
      </c>
      <c r="BM15" s="4794">
        <f t="shared" si="53"/>
        <v>0</v>
      </c>
      <c r="BN15" s="4794">
        <f t="shared" si="54"/>
        <v>0</v>
      </c>
      <c r="BO15" s="4794">
        <f t="shared" si="55"/>
        <v>0</v>
      </c>
      <c r="BP15" s="4794">
        <f t="shared" si="56"/>
        <v>0</v>
      </c>
      <c r="BQ15" s="4794">
        <f t="shared" si="57"/>
        <v>0</v>
      </c>
      <c r="BR15" s="4794">
        <f t="shared" si="58"/>
        <v>0</v>
      </c>
      <c r="BS15" s="4794">
        <f t="shared" si="59"/>
        <v>0</v>
      </c>
      <c r="BT15" s="4794">
        <f t="shared" si="60"/>
        <v>0</v>
      </c>
      <c r="BU15" s="4794">
        <f t="shared" si="61"/>
        <v>0</v>
      </c>
      <c r="BV15" s="4794">
        <f t="shared" si="62"/>
        <v>0</v>
      </c>
      <c r="BW15" s="4794">
        <f t="shared" si="63"/>
        <v>0</v>
      </c>
      <c r="BX15" s="4794">
        <f t="shared" si="64"/>
        <v>0</v>
      </c>
      <c r="BY15" s="4794">
        <f t="shared" si="65"/>
        <v>0</v>
      </c>
    </row>
    <row r="16" spans="1:77" s="1345" customFormat="1">
      <c r="A16" s="2683"/>
      <c r="B16" s="2684">
        <v>20303</v>
      </c>
      <c r="C16" s="2685">
        <v>0.1</v>
      </c>
      <c r="D16" s="2691" t="s">
        <v>406</v>
      </c>
      <c r="E16" s="4738">
        <f>+'11.3. ДА Базова година'!H17</f>
        <v>3563</v>
      </c>
      <c r="F16" s="927">
        <f>E16+SUMIF('11.1.Амортиз.нови активи'!$B$12:$B$59,$B16,'11.1.Амортиз.нови активи'!F$12:F$59)+('9.Инвестиционна програма'!H$130*SUMIF('11.1.Амортиз.нови активи'!$B$12:$B$59,$B16,'11.1.Амортиз.нови активи'!AO$12:AO$59))</f>
        <v>3563</v>
      </c>
      <c r="G16" s="1243">
        <f>F16+SUMIF('11.1.Амортиз.нови активи'!$B$12:$B$59,$B16,'11.1.Амортиз.нови активи'!G$12:G$59)+('9.Инвестиционна програма'!I$130*SUMIF('11.1.Амортиз.нови активи'!$B$12:$B$59,$B16,'11.1.Амортиз.нови активи'!AP$12:AP$59))</f>
        <v>3563</v>
      </c>
      <c r="H16" s="1243">
        <f>G16+SUMIF('11.1.Амортиз.нови активи'!$B$12:$B$59,$B16,'11.1.Амортиз.нови активи'!H$12:H$59)+('9.Инвестиционна програма'!J$130*SUMIF('11.1.Амортиз.нови активи'!$B$12:$B$59,$B16,'11.1.Амортиз.нови активи'!AQ$12:AQ$59))</f>
        <v>3563</v>
      </c>
      <c r="I16" s="1243">
        <f>H16+SUMIF('11.1.Амортиз.нови активи'!$B$12:$B$59,$B16,'11.1.Амортиз.нови активи'!I$12:I$59)+('9.Инвестиционна програма'!K$130*SUMIF('11.1.Амортиз.нови активи'!$B$12:$B$59,$B16,'11.1.Амортиз.нови активи'!AR$12:AR$59))</f>
        <v>3663</v>
      </c>
      <c r="J16" s="1243">
        <f>I16+SUMIF('11.1.Амортиз.нови активи'!$B$12:$B$59,$B16,'11.1.Амортиз.нови активи'!J$12:J$59)+('9.Инвестиционна програма'!L$130*SUMIF('11.1.Амортиз.нови активи'!$B$12:$B$59,$B16,'11.1.Амортиз.нови активи'!AS$12:AS$59))</f>
        <v>3763</v>
      </c>
      <c r="K16" s="1248">
        <f>J16+SUMIF('11.1.Амортиз.нови активи'!$B$12:$B$59,$B16,'11.1.Амортиз.нови активи'!K$12:K$59)+('9.Инвестиционна програма'!M$130*SUMIF('11.1.Амортиз.нови активи'!$B$12:$B$59,$B16,'11.1.Амортиз.нови активи'!AT$12:AT$59))</f>
        <v>3763</v>
      </c>
      <c r="L16" s="4738">
        <f>+'11.3. ДА Базова година'!L17</f>
        <v>1702</v>
      </c>
      <c r="M16" s="1247">
        <f>L16+SUMIF('11.1.Амортиз.нови активи'!$B$12:$B$59,$B16,'11.1.Амортиз.нови активи'!M$12:M$59)+('9.Инвестиционна програма'!H$131*SUMIF('11.1.Амортиз.нови активи'!$B$12:$B$59,$B16,'11.1.Амортиз.нови активи'!AO$12:AO$59))</f>
        <v>1702</v>
      </c>
      <c r="N16" s="1243">
        <f>M16+SUMIF('11.1.Амортиз.нови активи'!$B$12:$B$59,$B16,'11.1.Амортиз.нови активи'!N$12:N$59)+('9.Инвестиционна програма'!I$131*SUMIF('11.1.Амортиз.нови активи'!$B$12:$B$59,$B16,'11.1.Амортиз.нови активи'!AP$12:AP$59))</f>
        <v>1702</v>
      </c>
      <c r="O16" s="1243">
        <f>N16+SUMIF('11.1.Амортиз.нови активи'!$B$12:$B$59,$B16,'11.1.Амортиз.нови активи'!O$12:O$59)+('9.Инвестиционна програма'!J$131*SUMIF('11.1.Амортиз.нови активи'!$B$12:$B$59,$B16,'11.1.Амортиз.нови активи'!AQ$12:AQ$59))</f>
        <v>1702</v>
      </c>
      <c r="P16" s="1243">
        <f>O16+SUMIF('11.1.Амортиз.нови активи'!$B$12:$B$59,$B16,'11.1.Амортиз.нови активи'!P$12:P$59)+('9.Инвестиционна програма'!K$131*SUMIF('11.1.Амортиз.нови активи'!$B$12:$B$59,$B16,'11.1.Амортиз.нови активи'!AR$12:AR$59))</f>
        <v>1702</v>
      </c>
      <c r="Q16" s="1243">
        <f>P16+SUMIF('11.1.Амортиз.нови активи'!$B$12:$B$59,$B16,'11.1.Амортиз.нови активи'!Q$12:Q$59)+('9.Инвестиционна програма'!L$131*SUMIF('11.1.Амортиз.нови активи'!$B$12:$B$59,$B16,'11.1.Амортиз.нови активи'!AS$12:AS$59))</f>
        <v>1702</v>
      </c>
      <c r="R16" s="1248">
        <f>Q16+SUMIF('11.1.Амортиз.нови активи'!$B$12:$B$59,$B16,'11.1.Амортиз.нови активи'!R$12:R$59)+('9.Инвестиционна програма'!M$131*SUMIF('11.1.Амортиз.нови активи'!$B$12:$B$59,$B16,'11.1.Амортиз.нови активи'!AT$12:AT$59))</f>
        <v>1702</v>
      </c>
      <c r="S16" s="4738">
        <f>+'11.3. ДА Базова година'!P17</f>
        <v>204</v>
      </c>
      <c r="T16" s="1247">
        <f>S16+SUMIF('11.1.Амортиз.нови активи'!$B$12:$B$59,$B16,'11.1.Амортиз.нови активи'!T$12:T$59)+('9.Инвестиционна програма'!H$132*SUMIF('11.1.Амортиз.нови активи'!$B$12:$B$59,$B16,'11.1.Амортиз.нови активи'!AO$12:AO$59))</f>
        <v>204</v>
      </c>
      <c r="U16" s="1243">
        <f>T16+SUMIF('11.1.Амортиз.нови активи'!$B$12:$B$59,$B16,'11.1.Амортиз.нови активи'!U$12:U$59)+('9.Инвестиционна програма'!I$132*SUMIF('11.1.Амортиз.нови активи'!$B$12:$B$59,$B16,'11.1.Амортиз.нови активи'!AP$12:AP$59))</f>
        <v>204</v>
      </c>
      <c r="V16" s="1243">
        <f>U16+SUMIF('11.1.Амортиз.нови активи'!$B$12:$B$59,$B16,'11.1.Амортиз.нови активи'!V$12:V$59)+('9.Инвестиционна програма'!J$132*SUMIF('11.1.Амортиз.нови активи'!$B$12:$B$59,$B16,'11.1.Амортиз.нови активи'!AQ$12:AQ$59))</f>
        <v>204</v>
      </c>
      <c r="W16" s="1243">
        <f>V16+SUMIF('11.1.Амортиз.нови активи'!$B$12:$B$59,$B16,'11.1.Амортиз.нови активи'!W$12:W$59)+('9.Инвестиционна програма'!K$132*SUMIF('11.1.Амортиз.нови активи'!$B$12:$B$59,$B16,'11.1.Амортиз.нови активи'!AR$12:AR$59))</f>
        <v>204</v>
      </c>
      <c r="X16" s="1243">
        <f>W16+SUMIF('11.1.Амортиз.нови активи'!$B$12:$B$59,$B16,'11.1.Амортиз.нови активи'!X$12:X$59)+('9.Инвестиционна програма'!L$132*SUMIF('11.1.Амортиз.нови активи'!$B$12:$B$59,$B16,'11.1.Амортиз.нови активи'!AS$12:AS$59))</f>
        <v>204</v>
      </c>
      <c r="Y16" s="1248">
        <f>X16+SUMIF('11.1.Амортиз.нови активи'!$B$12:$B$59,$B16,'11.1.Амортиз.нови активи'!Y$12:Y$59)+('9.Инвестиционна програма'!M$132*SUMIF('11.1.Амортиз.нови активи'!$B$12:$B$59,$B16,'11.1.Амортиз.нови активи'!AT$12:AT$59))</f>
        <v>204</v>
      </c>
      <c r="Z16" s="4738">
        <f>+'11.3. ДА Базова година'!T17</f>
        <v>0</v>
      </c>
      <c r="AA16" s="1247">
        <f>Z16+SUMIF('11.1.Амортиз.нови активи'!$B$12:$B$59,$B16,'11.1.Амортиз.нови активи'!AA$12:AA$59)</f>
        <v>0</v>
      </c>
      <c r="AB16" s="1243">
        <f>AA16+SUMIF('11.1.Амортиз.нови активи'!$B$12:$B$59,$B16,'11.1.Амортиз.нови активи'!AB$12:AB$59)</f>
        <v>0</v>
      </c>
      <c r="AC16" s="1243">
        <f>AB16+SUMIF('11.1.Амортиз.нови активи'!$B$12:$B$59,$B16,'11.1.Амортиз.нови активи'!AC$12:AC$59)</f>
        <v>0</v>
      </c>
      <c r="AD16" s="1243">
        <f>AC16+SUMIF('11.1.Амортиз.нови активи'!$B$12:$B$59,$B16,'11.1.Амортиз.нови активи'!AD$12:AD$59)</f>
        <v>0</v>
      </c>
      <c r="AE16" s="1243">
        <f>AD16+SUMIF('11.1.Амортиз.нови активи'!$B$12:$B$59,$B16,'11.1.Амортиз.нови активи'!AE$12:AE$59)</f>
        <v>0</v>
      </c>
      <c r="AF16" s="1248">
        <f>AE16+SUMIF('11.1.Амортиз.нови активи'!$B$12:$B$59,$B16,'11.1.Амортиз.нови активи'!AF$12:AF$59)</f>
        <v>0</v>
      </c>
      <c r="AG16" s="4738">
        <f>+'11.3. ДА Базова година'!X17</f>
        <v>0</v>
      </c>
      <c r="AH16" s="1247">
        <f>AG16+SUMIF('11.1.Амортиз.нови активи'!$B$12:$B$59,$B16,'11.1.Амортиз.нови активи'!AH$12:AH$59)</f>
        <v>0</v>
      </c>
      <c r="AI16" s="1243">
        <f>AH16+SUMIF('11.1.Амортиз.нови активи'!$B$12:$B$59,$B16,'11.1.Амортиз.нови активи'!AI$12:AI$59)</f>
        <v>0</v>
      </c>
      <c r="AJ16" s="1243">
        <f>AI16+SUMIF('11.1.Амортиз.нови активи'!$B$12:$B$59,$B16,'11.1.Амортиз.нови активи'!AJ$12:AJ$59)</f>
        <v>0</v>
      </c>
      <c r="AK16" s="1243">
        <f>AJ16+SUMIF('11.1.Амортиз.нови активи'!$B$12:$B$59,$B16,'11.1.Амортиз.нови активи'!AK$12:AK$59)</f>
        <v>0</v>
      </c>
      <c r="AL16" s="1243">
        <f>AK16+SUMIF('11.1.Амортиз.нови активи'!$B$12:$B$59,$B16,'11.1.Амортиз.нови активи'!AL$12:AL$59)</f>
        <v>0</v>
      </c>
      <c r="AM16" s="1248">
        <f>AL16+SUMIF('11.1.Амортиз.нови активи'!$B$12:$B$59,$B16,'11.1.Амортиз.нови активи'!AM$12:AM$59)</f>
        <v>0</v>
      </c>
      <c r="AN16" s="2692"/>
      <c r="AO16" s="2689"/>
      <c r="AP16" s="4775"/>
      <c r="AQ16" s="4794">
        <f t="shared" si="31"/>
        <v>1821.7329727021265</v>
      </c>
      <c r="AR16" s="4794">
        <f t="shared" si="32"/>
        <v>1821.7329727021265</v>
      </c>
      <c r="AS16" s="4794">
        <f t="shared" si="33"/>
        <v>1821.7329727021265</v>
      </c>
      <c r="AT16" s="4794">
        <f t="shared" si="34"/>
        <v>1821.7329727021265</v>
      </c>
      <c r="AU16" s="4794">
        <f t="shared" si="35"/>
        <v>1872.8621608217484</v>
      </c>
      <c r="AV16" s="4794">
        <f t="shared" si="36"/>
        <v>1923.9913489413702</v>
      </c>
      <c r="AW16" s="4794">
        <f t="shared" si="37"/>
        <v>1923.9913489413702</v>
      </c>
      <c r="AX16" s="4794">
        <f t="shared" si="38"/>
        <v>870.21878179596388</v>
      </c>
      <c r="AY16" s="4794">
        <f t="shared" si="39"/>
        <v>870.21878179596388</v>
      </c>
      <c r="AZ16" s="4794">
        <f t="shared" si="40"/>
        <v>870.21878179596388</v>
      </c>
      <c r="BA16" s="4794">
        <f t="shared" si="41"/>
        <v>870.21878179596388</v>
      </c>
      <c r="BB16" s="4794">
        <f t="shared" si="42"/>
        <v>870.21878179596388</v>
      </c>
      <c r="BC16" s="4794">
        <f t="shared" si="43"/>
        <v>870.21878179596388</v>
      </c>
      <c r="BD16" s="4794">
        <f t="shared" si="44"/>
        <v>870.21878179596388</v>
      </c>
      <c r="BE16" s="4794">
        <f t="shared" si="45"/>
        <v>104.30354376402857</v>
      </c>
      <c r="BF16" s="4794">
        <f t="shared" si="46"/>
        <v>104.30354376402857</v>
      </c>
      <c r="BG16" s="4794">
        <f t="shared" si="47"/>
        <v>104.30354376402857</v>
      </c>
      <c r="BH16" s="4794">
        <f t="shared" si="48"/>
        <v>104.30354376402857</v>
      </c>
      <c r="BI16" s="4794">
        <f t="shared" si="49"/>
        <v>104.30354376402857</v>
      </c>
      <c r="BJ16" s="4794">
        <f t="shared" si="50"/>
        <v>104.30354376402857</v>
      </c>
      <c r="BK16" s="4794">
        <f t="shared" si="51"/>
        <v>104.30354376402857</v>
      </c>
      <c r="BL16" s="4794">
        <f t="shared" si="52"/>
        <v>0</v>
      </c>
      <c r="BM16" s="4794">
        <f t="shared" si="53"/>
        <v>0</v>
      </c>
      <c r="BN16" s="4794">
        <f t="shared" si="54"/>
        <v>0</v>
      </c>
      <c r="BO16" s="4794">
        <f t="shared" si="55"/>
        <v>0</v>
      </c>
      <c r="BP16" s="4794">
        <f t="shared" si="56"/>
        <v>0</v>
      </c>
      <c r="BQ16" s="4794">
        <f t="shared" si="57"/>
        <v>0</v>
      </c>
      <c r="BR16" s="4794">
        <f t="shared" si="58"/>
        <v>0</v>
      </c>
      <c r="BS16" s="4794">
        <f t="shared" si="59"/>
        <v>0</v>
      </c>
      <c r="BT16" s="4794">
        <f t="shared" si="60"/>
        <v>0</v>
      </c>
      <c r="BU16" s="4794">
        <f t="shared" si="61"/>
        <v>0</v>
      </c>
      <c r="BV16" s="4794">
        <f t="shared" si="62"/>
        <v>0</v>
      </c>
      <c r="BW16" s="4794">
        <f t="shared" si="63"/>
        <v>0</v>
      </c>
      <c r="BX16" s="4794">
        <f t="shared" si="64"/>
        <v>0</v>
      </c>
      <c r="BY16" s="4794">
        <f t="shared" si="65"/>
        <v>0</v>
      </c>
    </row>
    <row r="17" spans="1:77" s="1345" customFormat="1">
      <c r="A17" s="2683"/>
      <c r="B17" s="2684">
        <v>20306</v>
      </c>
      <c r="C17" s="2685">
        <v>0.1</v>
      </c>
      <c r="D17" s="2691" t="s">
        <v>409</v>
      </c>
      <c r="E17" s="4738">
        <f>+'11.3. ДА Базова година'!H18</f>
        <v>317</v>
      </c>
      <c r="F17" s="927">
        <f>E17+SUMIF('11.1.Амортиз.нови активи'!$B$12:$B$59,$B17,'11.1.Амортиз.нови активи'!F$12:F$59)+('9.Инвестиционна програма'!H$130*SUMIF('11.1.Амортиз.нови активи'!$B$12:$B$59,$B17,'11.1.Амортиз.нови активи'!AO$12:AO$59))</f>
        <v>467</v>
      </c>
      <c r="G17" s="1243">
        <f>F17+SUMIF('11.1.Амортиз.нови активи'!$B$12:$B$59,$B17,'11.1.Амортиз.нови активи'!G$12:G$59)+('9.Инвестиционна програма'!I$130*SUMIF('11.1.Амортиз.нови активи'!$B$12:$B$59,$B17,'11.1.Амортиз.нови активи'!AP$12:AP$59))</f>
        <v>567</v>
      </c>
      <c r="H17" s="1243">
        <f>G17+SUMIF('11.1.Амортиз.нови активи'!$B$12:$B$59,$B17,'11.1.Амортиз.нови активи'!H$12:H$59)+('9.Инвестиционна програма'!J$130*SUMIF('11.1.Амортиз.нови активи'!$B$12:$B$59,$B17,'11.1.Амортиз.нови активи'!AQ$12:AQ$59))</f>
        <v>617</v>
      </c>
      <c r="I17" s="1243">
        <f>H17+SUMIF('11.1.Амортиз.нови активи'!$B$12:$B$59,$B17,'11.1.Амортиз.нови активи'!I$12:I$59)+('9.Инвестиционна програма'!K$130*SUMIF('11.1.Амортиз.нови активи'!$B$12:$B$59,$B17,'11.1.Амортиз.нови активи'!AR$12:AR$59))</f>
        <v>667</v>
      </c>
      <c r="J17" s="1243">
        <f>I17+SUMIF('11.1.Амортиз.нови активи'!$B$12:$B$59,$B17,'11.1.Амортиз.нови активи'!J$12:J$59)+('9.Инвестиционна програма'!L$130*SUMIF('11.1.Амортиз.нови активи'!$B$12:$B$59,$B17,'11.1.Амортиз.нови активи'!AS$12:AS$59))</f>
        <v>717</v>
      </c>
      <c r="K17" s="1248">
        <f>J17+SUMIF('11.1.Амортиз.нови активи'!$B$12:$B$59,$B17,'11.1.Амортиз.нови активи'!K$12:K$59)+('9.Инвестиционна програма'!M$130*SUMIF('11.1.Амортиз.нови активи'!$B$12:$B$59,$B17,'11.1.Амортиз.нови активи'!AT$12:AT$59))</f>
        <v>767</v>
      </c>
      <c r="L17" s="4738">
        <f>+'11.3. ДА Базова година'!L18</f>
        <v>115</v>
      </c>
      <c r="M17" s="1247">
        <f>L17+SUMIF('11.1.Амортиз.нови активи'!$B$12:$B$59,$B17,'11.1.Амортиз.нови активи'!M$12:M$59)+('9.Инвестиционна програма'!H$131*SUMIF('11.1.Амортиз.нови активи'!$B$12:$B$59,$B17,'11.1.Амортиз.нови активи'!AO$12:AO$59))</f>
        <v>125</v>
      </c>
      <c r="N17" s="1243">
        <f>M17+SUMIF('11.1.Амортиз.нови активи'!$B$12:$B$59,$B17,'11.1.Амортиз.нови активи'!N$12:N$59)+('9.Инвестиционна програма'!I$131*SUMIF('11.1.Амортиз.нови активи'!$B$12:$B$59,$B17,'11.1.Амортиз.нови активи'!AP$12:AP$59))</f>
        <v>140</v>
      </c>
      <c r="O17" s="1243">
        <f>N17+SUMIF('11.1.Амортиз.нови активи'!$B$12:$B$59,$B17,'11.1.Амортиз.нови активи'!O$12:O$59)+('9.Инвестиционна програма'!J$131*SUMIF('11.1.Амортиз.нови активи'!$B$12:$B$59,$B17,'11.1.Амортиз.нови активи'!AQ$12:AQ$59))</f>
        <v>150</v>
      </c>
      <c r="P17" s="1243">
        <f>O17+SUMIF('11.1.Амортиз.нови активи'!$B$12:$B$59,$B17,'11.1.Амортиз.нови активи'!P$12:P$59)+('9.Инвестиционна програма'!K$131*SUMIF('11.1.Амортиз.нови активи'!$B$12:$B$59,$B17,'11.1.Амортиз.нови активи'!AR$12:AR$59))</f>
        <v>160</v>
      </c>
      <c r="Q17" s="1243">
        <f>P17+SUMIF('11.1.Амортиз.нови активи'!$B$12:$B$59,$B17,'11.1.Амортиз.нови активи'!Q$12:Q$59)+('9.Инвестиционна програма'!L$131*SUMIF('11.1.Амортиз.нови активи'!$B$12:$B$59,$B17,'11.1.Амортиз.нови активи'!AS$12:AS$59))</f>
        <v>170</v>
      </c>
      <c r="R17" s="1248">
        <f>Q17+SUMIF('11.1.Амортиз.нови активи'!$B$12:$B$59,$B17,'11.1.Амортиз.нови активи'!R$12:R$59)+('9.Инвестиционна програма'!M$131*SUMIF('11.1.Амортиз.нови активи'!$B$12:$B$59,$B17,'11.1.Амортиз.нови активи'!AT$12:AT$59))</f>
        <v>180</v>
      </c>
      <c r="S17" s="4738">
        <f>+'11.3. ДА Базова година'!P18</f>
        <v>122</v>
      </c>
      <c r="T17" s="1247">
        <f>S17+SUMIF('11.1.Амортиз.нови активи'!$B$12:$B$59,$B17,'11.1.Амортиз.нови активи'!T$12:T$59)+('9.Инвестиционна програма'!H$132*SUMIF('11.1.Амортиз.нови активи'!$B$12:$B$59,$B17,'11.1.Амортиз.нови активи'!AO$12:AO$59))</f>
        <v>142</v>
      </c>
      <c r="U17" s="1243">
        <f>T17+SUMIF('11.1.Амортиз.нови активи'!$B$12:$B$59,$B17,'11.1.Амортиз.нови активи'!U$12:U$59)+('9.Инвестиционна програма'!I$132*SUMIF('11.1.Амортиз.нови активи'!$B$12:$B$59,$B17,'11.1.Амортиз.нови активи'!AP$12:AP$59))</f>
        <v>192</v>
      </c>
      <c r="V17" s="1243">
        <f>U17+SUMIF('11.1.Амортиз.нови активи'!$B$12:$B$59,$B17,'11.1.Амортиз.нови активи'!V$12:V$59)+('9.Инвестиционна програма'!J$132*SUMIF('11.1.Амортиз.нови активи'!$B$12:$B$59,$B17,'11.1.Амортиз.нови активи'!AQ$12:AQ$59))</f>
        <v>222</v>
      </c>
      <c r="W17" s="1243">
        <f>V17+SUMIF('11.1.Амортиз.нови активи'!$B$12:$B$59,$B17,'11.1.Амортиз.нови активи'!W$12:W$59)+('9.Инвестиционна програма'!K$132*SUMIF('11.1.Амортиз.нови активи'!$B$12:$B$59,$B17,'11.1.Амортиз.нови активи'!AR$12:AR$59))</f>
        <v>242</v>
      </c>
      <c r="X17" s="1243">
        <f>W17+SUMIF('11.1.Амортиз.нови активи'!$B$12:$B$59,$B17,'11.1.Амортиз.нови активи'!X$12:X$59)+('9.Инвестиционна програма'!L$132*SUMIF('11.1.Амортиз.нови активи'!$B$12:$B$59,$B17,'11.1.Амортиз.нови активи'!AS$12:AS$59))</f>
        <v>292</v>
      </c>
      <c r="Y17" s="1248">
        <f>X17+SUMIF('11.1.Амортиз.нови активи'!$B$12:$B$59,$B17,'11.1.Амортиз.нови активи'!Y$12:Y$59)+('9.Инвестиционна програма'!M$132*SUMIF('11.1.Амортиз.нови активи'!$B$12:$B$59,$B17,'11.1.Амортиз.нови активи'!AT$12:AT$59))</f>
        <v>312</v>
      </c>
      <c r="Z17" s="4738">
        <f>+'11.3. ДА Базова година'!T18</f>
        <v>0</v>
      </c>
      <c r="AA17" s="1247">
        <f>Z17+SUMIF('11.1.Амортиз.нови активи'!$B$12:$B$59,$B17,'11.1.Амортиз.нови активи'!AA$12:AA$59)</f>
        <v>0</v>
      </c>
      <c r="AB17" s="1243">
        <f>AA17+SUMIF('11.1.Амортиз.нови активи'!$B$12:$B$59,$B17,'11.1.Амортиз.нови активи'!AB$12:AB$59)</f>
        <v>0</v>
      </c>
      <c r="AC17" s="1243">
        <f>AB17+SUMIF('11.1.Амортиз.нови активи'!$B$12:$B$59,$B17,'11.1.Амортиз.нови активи'!AC$12:AC$59)</f>
        <v>0</v>
      </c>
      <c r="AD17" s="1243">
        <f>AC17+SUMIF('11.1.Амортиз.нови активи'!$B$12:$B$59,$B17,'11.1.Амортиз.нови активи'!AD$12:AD$59)</f>
        <v>0</v>
      </c>
      <c r="AE17" s="1243">
        <f>AD17+SUMIF('11.1.Амортиз.нови активи'!$B$12:$B$59,$B17,'11.1.Амортиз.нови активи'!AE$12:AE$59)</f>
        <v>0</v>
      </c>
      <c r="AF17" s="1248">
        <f>AE17+SUMIF('11.1.Амортиз.нови активи'!$B$12:$B$59,$B17,'11.1.Амортиз.нови активи'!AF$12:AF$59)</f>
        <v>0</v>
      </c>
      <c r="AG17" s="4738">
        <f>+'11.3. ДА Базова година'!X18</f>
        <v>0</v>
      </c>
      <c r="AH17" s="1247">
        <f>AG17+SUMIF('11.1.Амортиз.нови активи'!$B$12:$B$59,$B17,'11.1.Амортиз.нови активи'!AH$12:AH$59)</f>
        <v>0</v>
      </c>
      <c r="AI17" s="1243">
        <f>AH17+SUMIF('11.1.Амортиз.нови активи'!$B$12:$B$59,$B17,'11.1.Амортиз.нови активи'!AI$12:AI$59)</f>
        <v>0</v>
      </c>
      <c r="AJ17" s="1243">
        <f>AI17+SUMIF('11.1.Амортиз.нови активи'!$B$12:$B$59,$B17,'11.1.Амортиз.нови активи'!AJ$12:AJ$59)</f>
        <v>0</v>
      </c>
      <c r="AK17" s="1243">
        <f>AJ17+SUMIF('11.1.Амортиз.нови активи'!$B$12:$B$59,$B17,'11.1.Амортиз.нови активи'!AK$12:AK$59)</f>
        <v>0</v>
      </c>
      <c r="AL17" s="1243">
        <f>AK17+SUMIF('11.1.Амортиз.нови активи'!$B$12:$B$59,$B17,'11.1.Амортиз.нови активи'!AL$12:AL$59)</f>
        <v>0</v>
      </c>
      <c r="AM17" s="1248">
        <f>AL17+SUMIF('11.1.Амортиз.нови активи'!$B$12:$B$59,$B17,'11.1.Амортиз.нови активи'!AM$12:AM$59)</f>
        <v>0</v>
      </c>
      <c r="AN17" s="2692"/>
      <c r="AO17" s="2689"/>
      <c r="AP17" s="4775"/>
      <c r="AQ17" s="4794">
        <f t="shared" si="31"/>
        <v>162.07952633920127</v>
      </c>
      <c r="AR17" s="4794">
        <f t="shared" si="32"/>
        <v>238.77330851863402</v>
      </c>
      <c r="AS17" s="4794">
        <f t="shared" si="33"/>
        <v>289.90249663825591</v>
      </c>
      <c r="AT17" s="4794">
        <f t="shared" si="34"/>
        <v>315.46709069806684</v>
      </c>
      <c r="AU17" s="4794">
        <f t="shared" si="35"/>
        <v>341.03168475787771</v>
      </c>
      <c r="AV17" s="4794">
        <f t="shared" si="36"/>
        <v>366.59627881768864</v>
      </c>
      <c r="AW17" s="4794">
        <f t="shared" si="37"/>
        <v>392.16087287749957</v>
      </c>
      <c r="AX17" s="4794">
        <f t="shared" si="38"/>
        <v>58.798566337565127</v>
      </c>
      <c r="AY17" s="4794">
        <f t="shared" si="39"/>
        <v>63.911485149527309</v>
      </c>
      <c r="AZ17" s="4794">
        <f t="shared" si="40"/>
        <v>71.580863367470585</v>
      </c>
      <c r="BA17" s="4794">
        <f t="shared" si="41"/>
        <v>76.693782179432773</v>
      </c>
      <c r="BB17" s="4794">
        <f t="shared" si="42"/>
        <v>81.806700991394962</v>
      </c>
      <c r="BC17" s="4794">
        <f t="shared" si="43"/>
        <v>86.919619803357151</v>
      </c>
      <c r="BD17" s="4794">
        <f t="shared" si="44"/>
        <v>92.032538615319325</v>
      </c>
      <c r="BE17" s="4794">
        <f t="shared" si="45"/>
        <v>62.377609505938658</v>
      </c>
      <c r="BF17" s="4794">
        <f t="shared" si="46"/>
        <v>72.603447129863028</v>
      </c>
      <c r="BG17" s="4794">
        <f t="shared" si="47"/>
        <v>98.168041189673957</v>
      </c>
      <c r="BH17" s="4794">
        <f t="shared" si="48"/>
        <v>113.50679762556051</v>
      </c>
      <c r="BI17" s="4794">
        <f t="shared" si="49"/>
        <v>123.73263524948487</v>
      </c>
      <c r="BJ17" s="4794">
        <f t="shared" si="50"/>
        <v>149.2972293092958</v>
      </c>
      <c r="BK17" s="4794">
        <f t="shared" si="51"/>
        <v>159.52306693322018</v>
      </c>
      <c r="BL17" s="4794">
        <f t="shared" si="52"/>
        <v>0</v>
      </c>
      <c r="BM17" s="4794">
        <f t="shared" si="53"/>
        <v>0</v>
      </c>
      <c r="BN17" s="4794">
        <f t="shared" si="54"/>
        <v>0</v>
      </c>
      <c r="BO17" s="4794">
        <f t="shared" si="55"/>
        <v>0</v>
      </c>
      <c r="BP17" s="4794">
        <f t="shared" si="56"/>
        <v>0</v>
      </c>
      <c r="BQ17" s="4794">
        <f t="shared" si="57"/>
        <v>0</v>
      </c>
      <c r="BR17" s="4794">
        <f t="shared" si="58"/>
        <v>0</v>
      </c>
      <c r="BS17" s="4794">
        <f t="shared" si="59"/>
        <v>0</v>
      </c>
      <c r="BT17" s="4794">
        <f t="shared" si="60"/>
        <v>0</v>
      </c>
      <c r="BU17" s="4794">
        <f t="shared" si="61"/>
        <v>0</v>
      </c>
      <c r="BV17" s="4794">
        <f t="shared" si="62"/>
        <v>0</v>
      </c>
      <c r="BW17" s="4794">
        <f t="shared" si="63"/>
        <v>0</v>
      </c>
      <c r="BX17" s="4794">
        <f t="shared" si="64"/>
        <v>0</v>
      </c>
      <c r="BY17" s="4794">
        <f t="shared" si="65"/>
        <v>0</v>
      </c>
    </row>
    <row r="18" spans="1:77" s="1345" customFormat="1">
      <c r="A18" s="2683">
        <v>4</v>
      </c>
      <c r="B18" s="2684">
        <v>20403</v>
      </c>
      <c r="C18" s="2690">
        <v>0.04</v>
      </c>
      <c r="D18" s="2693" t="s">
        <v>434</v>
      </c>
      <c r="E18" s="4738">
        <f>+'11.3. ДА Базова година'!H19</f>
        <v>104</v>
      </c>
      <c r="F18" s="927">
        <f>E18+SUMIF('11.1.Амортиз.нови активи'!$B$12:$B$59,$B18,'11.1.Амортиз.нови активи'!F$12:F$59)+('9.Инвестиционна програма'!H$130*SUMIF('11.1.Амортиз.нови активи'!$B$12:$B$59,$B18,'11.1.Амортиз.нови активи'!AO$12:AO$59))</f>
        <v>104</v>
      </c>
      <c r="G18" s="1243">
        <f>F18+SUMIF('11.1.Амортиз.нови активи'!$B$12:$B$59,$B18,'11.1.Амортиз.нови активи'!G$12:G$59)+('9.Инвестиционна програма'!I$130*SUMIF('11.1.Амортиз.нови активи'!$B$12:$B$59,$B18,'11.1.Амортиз.нови активи'!AP$12:AP$59))</f>
        <v>104</v>
      </c>
      <c r="H18" s="1243">
        <f>G18+SUMIF('11.1.Амортиз.нови активи'!$B$12:$B$59,$B18,'11.1.Амортиз.нови активи'!H$12:H$59)+('9.Инвестиционна програма'!J$130*SUMIF('11.1.Амортиз.нови активи'!$B$12:$B$59,$B18,'11.1.Амортиз.нови активи'!AQ$12:AQ$59))</f>
        <v>104</v>
      </c>
      <c r="I18" s="1243">
        <f>H18+SUMIF('11.1.Амортиз.нови активи'!$B$12:$B$59,$B18,'11.1.Амортиз.нови активи'!I$12:I$59)+('9.Инвестиционна програма'!K$130*SUMIF('11.1.Амортиз.нови активи'!$B$12:$B$59,$B18,'11.1.Амортиз.нови активи'!AR$12:AR$59))</f>
        <v>104</v>
      </c>
      <c r="J18" s="1243">
        <f>I18+SUMIF('11.1.Амортиз.нови активи'!$B$12:$B$59,$B18,'11.1.Амортиз.нови активи'!J$12:J$59)+('9.Инвестиционна програма'!L$130*SUMIF('11.1.Амортиз.нови активи'!$B$12:$B$59,$B18,'11.1.Амортиз.нови активи'!AS$12:AS$59))</f>
        <v>104</v>
      </c>
      <c r="K18" s="1248">
        <f>J18+SUMIF('11.1.Амортиз.нови активи'!$B$12:$B$59,$B18,'11.1.Амортиз.нови активи'!K$12:K$59)+('9.Инвестиционна програма'!M$130*SUMIF('11.1.Амортиз.нови активи'!$B$12:$B$59,$B18,'11.1.Амортиз.нови активи'!AT$12:AT$59))</f>
        <v>104</v>
      </c>
      <c r="L18" s="4738">
        <f>+'11.3. ДА Базова година'!L19</f>
        <v>4</v>
      </c>
      <c r="M18" s="1247">
        <f>L18+SUMIF('11.1.Амортиз.нови активи'!$B$12:$B$59,$B18,'11.1.Амортиз.нови активи'!M$12:M$59)+('9.Инвестиционна програма'!H$131*SUMIF('11.1.Амортиз.нови активи'!$B$12:$B$59,$B18,'11.1.Амортиз.нови активи'!AO$12:AO$59))</f>
        <v>4</v>
      </c>
      <c r="N18" s="1243">
        <f>M18+SUMIF('11.1.Амортиз.нови активи'!$B$12:$B$59,$B18,'11.1.Амортиз.нови активи'!N$12:N$59)+('9.Инвестиционна програма'!I$131*SUMIF('11.1.Амортиз.нови активи'!$B$12:$B$59,$B18,'11.1.Амортиз.нови активи'!AP$12:AP$59))</f>
        <v>4</v>
      </c>
      <c r="O18" s="1243">
        <f>N18+SUMIF('11.1.Амортиз.нови активи'!$B$12:$B$59,$B18,'11.1.Амортиз.нови активи'!O$12:O$59)+('9.Инвестиционна програма'!J$131*SUMIF('11.1.Амортиз.нови активи'!$B$12:$B$59,$B18,'11.1.Амортиз.нови активи'!AQ$12:AQ$59))</f>
        <v>4</v>
      </c>
      <c r="P18" s="1243">
        <f>O18+SUMIF('11.1.Амортиз.нови активи'!$B$12:$B$59,$B18,'11.1.Амортиз.нови активи'!P$12:P$59)+('9.Инвестиционна програма'!K$131*SUMIF('11.1.Амортиз.нови активи'!$B$12:$B$59,$B18,'11.1.Амортиз.нови активи'!AR$12:AR$59))</f>
        <v>4</v>
      </c>
      <c r="Q18" s="1243">
        <f>P18+SUMIF('11.1.Амортиз.нови активи'!$B$12:$B$59,$B18,'11.1.Амортиз.нови активи'!Q$12:Q$59)+('9.Инвестиционна програма'!L$131*SUMIF('11.1.Амортиз.нови активи'!$B$12:$B$59,$B18,'11.1.Амортиз.нови активи'!AS$12:AS$59))</f>
        <v>4</v>
      </c>
      <c r="R18" s="1248">
        <f>Q18+SUMIF('11.1.Амортиз.нови активи'!$B$12:$B$59,$B18,'11.1.Амортиз.нови активи'!R$12:R$59)+('9.Инвестиционна програма'!M$131*SUMIF('11.1.Амортиз.нови активи'!$B$12:$B$59,$B18,'11.1.Амортиз.нови активи'!AT$12:AT$59))</f>
        <v>4</v>
      </c>
      <c r="S18" s="4738">
        <f>+'11.3. ДА Базова година'!P19</f>
        <v>8</v>
      </c>
      <c r="T18" s="1247">
        <f>S18+SUMIF('11.1.Амортиз.нови активи'!$B$12:$B$59,$B18,'11.1.Амортиз.нови активи'!T$12:T$59)+('9.Инвестиционна програма'!H$132*SUMIF('11.1.Амортиз.нови активи'!$B$12:$B$59,$B18,'11.1.Амортиз.нови активи'!AO$12:AO$59))</f>
        <v>8</v>
      </c>
      <c r="U18" s="1243">
        <f>T18+SUMIF('11.1.Амортиз.нови активи'!$B$12:$B$59,$B18,'11.1.Амортиз.нови активи'!U$12:U$59)+('9.Инвестиционна програма'!I$132*SUMIF('11.1.Амортиз.нови активи'!$B$12:$B$59,$B18,'11.1.Амортиз.нови активи'!AP$12:AP$59))</f>
        <v>8</v>
      </c>
      <c r="V18" s="1243">
        <f>U18+SUMIF('11.1.Амортиз.нови активи'!$B$12:$B$59,$B18,'11.1.Амортиз.нови активи'!V$12:V$59)+('9.Инвестиционна програма'!J$132*SUMIF('11.1.Амортиз.нови активи'!$B$12:$B$59,$B18,'11.1.Амортиз.нови активи'!AQ$12:AQ$59))</f>
        <v>8</v>
      </c>
      <c r="W18" s="1243">
        <f>V18+SUMIF('11.1.Амортиз.нови активи'!$B$12:$B$59,$B18,'11.1.Амортиз.нови активи'!W$12:W$59)+('9.Инвестиционна програма'!K$132*SUMIF('11.1.Амортиз.нови активи'!$B$12:$B$59,$B18,'11.1.Амортиз.нови активи'!AR$12:AR$59))</f>
        <v>8</v>
      </c>
      <c r="X18" s="1243">
        <f>W18+SUMIF('11.1.Амортиз.нови активи'!$B$12:$B$59,$B18,'11.1.Амортиз.нови активи'!X$12:X$59)+('9.Инвестиционна програма'!L$132*SUMIF('11.1.Амортиз.нови активи'!$B$12:$B$59,$B18,'11.1.Амортиз.нови активи'!AS$12:AS$59))</f>
        <v>8</v>
      </c>
      <c r="Y18" s="1248">
        <f>X18+SUMIF('11.1.Амортиз.нови активи'!$B$12:$B$59,$B18,'11.1.Амортиз.нови активи'!Y$12:Y$59)+('9.Инвестиционна програма'!M$132*SUMIF('11.1.Амортиз.нови активи'!$B$12:$B$59,$B18,'11.1.Амортиз.нови активи'!AT$12:AT$59))</f>
        <v>8</v>
      </c>
      <c r="Z18" s="4738">
        <f>+'11.3. ДА Базова година'!T19</f>
        <v>0</v>
      </c>
      <c r="AA18" s="1247">
        <f>Z18+SUMIF('11.1.Амортиз.нови активи'!$B$12:$B$59,$B18,'11.1.Амортиз.нови активи'!AA$12:AA$59)</f>
        <v>0</v>
      </c>
      <c r="AB18" s="1243">
        <f>AA18+SUMIF('11.1.Амортиз.нови активи'!$B$12:$B$59,$B18,'11.1.Амортиз.нови активи'!AB$12:AB$59)</f>
        <v>0</v>
      </c>
      <c r="AC18" s="1243">
        <f>AB18+SUMIF('11.1.Амортиз.нови активи'!$B$12:$B$59,$B18,'11.1.Амортиз.нови активи'!AC$12:AC$59)</f>
        <v>0</v>
      </c>
      <c r="AD18" s="1243">
        <f>AC18+SUMIF('11.1.Амортиз.нови активи'!$B$12:$B$59,$B18,'11.1.Амортиз.нови активи'!AD$12:AD$59)</f>
        <v>0</v>
      </c>
      <c r="AE18" s="1243">
        <f>AD18+SUMIF('11.1.Амортиз.нови активи'!$B$12:$B$59,$B18,'11.1.Амортиз.нови активи'!AE$12:AE$59)</f>
        <v>0</v>
      </c>
      <c r="AF18" s="1248">
        <f>AE18+SUMIF('11.1.Амортиз.нови активи'!$B$12:$B$59,$B18,'11.1.Амортиз.нови активи'!AF$12:AF$59)</f>
        <v>0</v>
      </c>
      <c r="AG18" s="4738">
        <f>+'11.3. ДА Базова година'!X19</f>
        <v>0</v>
      </c>
      <c r="AH18" s="1247">
        <f>AG18+SUMIF('11.1.Амортиз.нови активи'!$B$12:$B$59,$B18,'11.1.Амортиз.нови активи'!AH$12:AH$59)</f>
        <v>0</v>
      </c>
      <c r="AI18" s="1243">
        <f>AH18+SUMIF('11.1.Амортиз.нови активи'!$B$12:$B$59,$B18,'11.1.Амортиз.нови активи'!AI$12:AI$59)</f>
        <v>0</v>
      </c>
      <c r="AJ18" s="1243">
        <f>AI18+SUMIF('11.1.Амортиз.нови активи'!$B$12:$B$59,$B18,'11.1.Амортиз.нови активи'!AJ$12:AJ$59)</f>
        <v>0</v>
      </c>
      <c r="AK18" s="1243">
        <f>AJ18+SUMIF('11.1.Амортиз.нови активи'!$B$12:$B$59,$B18,'11.1.Амортиз.нови активи'!AK$12:AK$59)</f>
        <v>0</v>
      </c>
      <c r="AL18" s="1243">
        <f>AK18+SUMIF('11.1.Амортиз.нови активи'!$B$12:$B$59,$B18,'11.1.Амортиз.нови активи'!AL$12:AL$59)</f>
        <v>0</v>
      </c>
      <c r="AM18" s="1248">
        <f>AL18+SUMIF('11.1.Амортиз.нови активи'!$B$12:$B$59,$B18,'11.1.Амортиз.нови активи'!AM$12:AM$59)</f>
        <v>0</v>
      </c>
      <c r="AN18" s="2692"/>
      <c r="AO18" s="2689"/>
      <c r="AP18" s="4775"/>
      <c r="AQ18" s="4794">
        <f t="shared" si="31"/>
        <v>53.174355644406724</v>
      </c>
      <c r="AR18" s="4794">
        <f t="shared" si="32"/>
        <v>53.174355644406724</v>
      </c>
      <c r="AS18" s="4794">
        <f t="shared" si="33"/>
        <v>53.174355644406724</v>
      </c>
      <c r="AT18" s="4794">
        <f t="shared" si="34"/>
        <v>53.174355644406724</v>
      </c>
      <c r="AU18" s="4794">
        <f t="shared" si="35"/>
        <v>53.174355644406724</v>
      </c>
      <c r="AV18" s="4794">
        <f t="shared" si="36"/>
        <v>53.174355644406724</v>
      </c>
      <c r="AW18" s="4794">
        <f t="shared" si="37"/>
        <v>53.174355644406724</v>
      </c>
      <c r="AX18" s="4794">
        <f t="shared" si="38"/>
        <v>2.045167524784874</v>
      </c>
      <c r="AY18" s="4794">
        <f t="shared" si="39"/>
        <v>2.045167524784874</v>
      </c>
      <c r="AZ18" s="4794">
        <f t="shared" si="40"/>
        <v>2.045167524784874</v>
      </c>
      <c r="BA18" s="4794">
        <f t="shared" si="41"/>
        <v>2.045167524784874</v>
      </c>
      <c r="BB18" s="4794">
        <f t="shared" si="42"/>
        <v>2.045167524784874</v>
      </c>
      <c r="BC18" s="4794">
        <f t="shared" si="43"/>
        <v>2.045167524784874</v>
      </c>
      <c r="BD18" s="4794">
        <f t="shared" si="44"/>
        <v>2.045167524784874</v>
      </c>
      <c r="BE18" s="4794">
        <f t="shared" si="45"/>
        <v>4.0903350495697479</v>
      </c>
      <c r="BF18" s="4794">
        <f t="shared" si="46"/>
        <v>4.0903350495697479</v>
      </c>
      <c r="BG18" s="4794">
        <f t="shared" si="47"/>
        <v>4.0903350495697479</v>
      </c>
      <c r="BH18" s="4794">
        <f t="shared" si="48"/>
        <v>4.0903350495697479</v>
      </c>
      <c r="BI18" s="4794">
        <f t="shared" si="49"/>
        <v>4.0903350495697479</v>
      </c>
      <c r="BJ18" s="4794">
        <f t="shared" si="50"/>
        <v>4.0903350495697479</v>
      </c>
      <c r="BK18" s="4794">
        <f t="shared" si="51"/>
        <v>4.0903350495697479</v>
      </c>
      <c r="BL18" s="4794">
        <f t="shared" si="52"/>
        <v>0</v>
      </c>
      <c r="BM18" s="4794">
        <f t="shared" si="53"/>
        <v>0</v>
      </c>
      <c r="BN18" s="4794">
        <f t="shared" si="54"/>
        <v>0</v>
      </c>
      <c r="BO18" s="4794">
        <f t="shared" si="55"/>
        <v>0</v>
      </c>
      <c r="BP18" s="4794">
        <f t="shared" si="56"/>
        <v>0</v>
      </c>
      <c r="BQ18" s="4794">
        <f t="shared" si="57"/>
        <v>0</v>
      </c>
      <c r="BR18" s="4794">
        <f t="shared" si="58"/>
        <v>0</v>
      </c>
      <c r="BS18" s="4794">
        <f t="shared" si="59"/>
        <v>0</v>
      </c>
      <c r="BT18" s="4794">
        <f t="shared" si="60"/>
        <v>0</v>
      </c>
      <c r="BU18" s="4794">
        <f t="shared" si="61"/>
        <v>0</v>
      </c>
      <c r="BV18" s="4794">
        <f t="shared" si="62"/>
        <v>0</v>
      </c>
      <c r="BW18" s="4794">
        <f t="shared" si="63"/>
        <v>0</v>
      </c>
      <c r="BX18" s="4794">
        <f t="shared" si="64"/>
        <v>0</v>
      </c>
      <c r="BY18" s="4794">
        <f t="shared" si="65"/>
        <v>0</v>
      </c>
    </row>
    <row r="19" spans="1:77">
      <c r="A19" s="2683">
        <v>5</v>
      </c>
      <c r="B19" s="2684">
        <v>205</v>
      </c>
      <c r="C19" s="2684"/>
      <c r="D19" s="2688" t="s">
        <v>212</v>
      </c>
      <c r="E19" s="4361">
        <f>SUM(E20:E23)</f>
        <v>4733</v>
      </c>
      <c r="F19" s="2786">
        <f>SUM(F20:F23)</f>
        <v>4733</v>
      </c>
      <c r="G19" s="2787">
        <f>SUM(G20:G23)</f>
        <v>4733</v>
      </c>
      <c r="H19" s="2787">
        <f t="shared" ref="H19:K19" si="69">SUM(H20:H23)</f>
        <v>4733</v>
      </c>
      <c r="I19" s="2787">
        <f t="shared" si="69"/>
        <v>4783</v>
      </c>
      <c r="J19" s="2787">
        <f t="shared" si="69"/>
        <v>5083</v>
      </c>
      <c r="K19" s="2787">
        <f t="shared" si="69"/>
        <v>5083</v>
      </c>
      <c r="L19" s="4361">
        <f>SUM(L20:L23)</f>
        <v>808</v>
      </c>
      <c r="M19" s="2786">
        <f>SUM(M20:M23)</f>
        <v>808</v>
      </c>
      <c r="N19" s="2787">
        <f>SUM(N20:N23)</f>
        <v>808</v>
      </c>
      <c r="O19" s="2787">
        <f t="shared" ref="O19:R19" si="70">SUM(O20:O23)</f>
        <v>808</v>
      </c>
      <c r="P19" s="2787">
        <f t="shared" si="70"/>
        <v>858</v>
      </c>
      <c r="Q19" s="2787">
        <f t="shared" si="70"/>
        <v>858</v>
      </c>
      <c r="R19" s="2787">
        <f t="shared" si="70"/>
        <v>858</v>
      </c>
      <c r="S19" s="4361">
        <f>SUM(S20:S23)</f>
        <v>1355</v>
      </c>
      <c r="T19" s="2786">
        <f>SUM(T20:T23)</f>
        <v>1355</v>
      </c>
      <c r="U19" s="2787">
        <f>SUM(U20:U23)</f>
        <v>1355</v>
      </c>
      <c r="V19" s="2787">
        <f t="shared" ref="V19:Y19" si="71">SUM(V20:V23)</f>
        <v>1355</v>
      </c>
      <c r="W19" s="2787">
        <f t="shared" si="71"/>
        <v>1405</v>
      </c>
      <c r="X19" s="2787">
        <f t="shared" si="71"/>
        <v>1405</v>
      </c>
      <c r="Y19" s="2788">
        <f t="shared" si="71"/>
        <v>1405</v>
      </c>
      <c r="Z19" s="4361">
        <f>SUM(Z20:Z23)</f>
        <v>0</v>
      </c>
      <c r="AA19" s="2786">
        <f>SUM(AA20:AA23)</f>
        <v>0</v>
      </c>
      <c r="AB19" s="2787">
        <f>SUM(AB20:AB23)</f>
        <v>0</v>
      </c>
      <c r="AC19" s="2787">
        <f t="shared" ref="AC19:AF19" si="72">SUM(AC20:AC23)</f>
        <v>0</v>
      </c>
      <c r="AD19" s="2787">
        <f t="shared" si="72"/>
        <v>0</v>
      </c>
      <c r="AE19" s="2787">
        <f t="shared" si="72"/>
        <v>0</v>
      </c>
      <c r="AF19" s="2788">
        <f t="shared" si="72"/>
        <v>0</v>
      </c>
      <c r="AG19" s="4361">
        <f>SUM(AG20:AG23)</f>
        <v>0</v>
      </c>
      <c r="AH19" s="2786">
        <f>SUM(AH20:AH23)</f>
        <v>0</v>
      </c>
      <c r="AI19" s="2787">
        <f>SUM(AI20:AI23)</f>
        <v>0</v>
      </c>
      <c r="AJ19" s="2787">
        <f t="shared" ref="AJ19:AM19" si="73">SUM(AJ20:AJ23)</f>
        <v>0</v>
      </c>
      <c r="AK19" s="2787">
        <f t="shared" si="73"/>
        <v>0</v>
      </c>
      <c r="AL19" s="2787">
        <f t="shared" si="73"/>
        <v>0</v>
      </c>
      <c r="AM19" s="2788">
        <f t="shared" si="73"/>
        <v>0</v>
      </c>
      <c r="AN19" s="2681"/>
      <c r="AO19" s="2689"/>
      <c r="AP19" s="4775"/>
      <c r="AQ19" s="4794">
        <f t="shared" si="31"/>
        <v>2419.944473701702</v>
      </c>
      <c r="AR19" s="4794">
        <f t="shared" si="32"/>
        <v>2419.944473701702</v>
      </c>
      <c r="AS19" s="4794">
        <f t="shared" si="33"/>
        <v>2419.944473701702</v>
      </c>
      <c r="AT19" s="4794">
        <f t="shared" si="34"/>
        <v>2419.944473701702</v>
      </c>
      <c r="AU19" s="4794">
        <f t="shared" si="35"/>
        <v>2445.5090677615131</v>
      </c>
      <c r="AV19" s="4794">
        <f t="shared" si="36"/>
        <v>2598.8966321203784</v>
      </c>
      <c r="AW19" s="4794">
        <f t="shared" si="37"/>
        <v>2598.8966321203784</v>
      </c>
      <c r="AX19" s="4794">
        <f t="shared" si="38"/>
        <v>413.12384000654453</v>
      </c>
      <c r="AY19" s="4794">
        <f t="shared" si="39"/>
        <v>413.12384000654453</v>
      </c>
      <c r="AZ19" s="4794">
        <f t="shared" si="40"/>
        <v>413.12384000654453</v>
      </c>
      <c r="BA19" s="4794">
        <f t="shared" si="41"/>
        <v>413.12384000654453</v>
      </c>
      <c r="BB19" s="4794">
        <f t="shared" si="42"/>
        <v>438.68843406635546</v>
      </c>
      <c r="BC19" s="4794">
        <f t="shared" si="43"/>
        <v>438.68843406635546</v>
      </c>
      <c r="BD19" s="4794">
        <f t="shared" si="44"/>
        <v>438.68843406635546</v>
      </c>
      <c r="BE19" s="4794">
        <f t="shared" si="45"/>
        <v>692.80049902087603</v>
      </c>
      <c r="BF19" s="4794">
        <f t="shared" si="46"/>
        <v>692.80049902087603</v>
      </c>
      <c r="BG19" s="4794">
        <f t="shared" si="47"/>
        <v>692.80049902087603</v>
      </c>
      <c r="BH19" s="4794">
        <f t="shared" si="48"/>
        <v>692.80049902087603</v>
      </c>
      <c r="BI19" s="4794">
        <f t="shared" si="49"/>
        <v>718.36509308068696</v>
      </c>
      <c r="BJ19" s="4794">
        <f t="shared" si="50"/>
        <v>718.36509308068696</v>
      </c>
      <c r="BK19" s="4794">
        <f t="shared" si="51"/>
        <v>718.36509308068696</v>
      </c>
      <c r="BL19" s="4794">
        <f t="shared" si="52"/>
        <v>0</v>
      </c>
      <c r="BM19" s="4794">
        <f t="shared" si="53"/>
        <v>0</v>
      </c>
      <c r="BN19" s="4794">
        <f t="shared" si="54"/>
        <v>0</v>
      </c>
      <c r="BO19" s="4794">
        <f t="shared" si="55"/>
        <v>0</v>
      </c>
      <c r="BP19" s="4794">
        <f t="shared" si="56"/>
        <v>0</v>
      </c>
      <c r="BQ19" s="4794">
        <f t="shared" si="57"/>
        <v>0</v>
      </c>
      <c r="BR19" s="4794">
        <f t="shared" si="58"/>
        <v>0</v>
      </c>
      <c r="BS19" s="4794">
        <f t="shared" si="59"/>
        <v>0</v>
      </c>
      <c r="BT19" s="4794">
        <f t="shared" si="60"/>
        <v>0</v>
      </c>
      <c r="BU19" s="4794">
        <f t="shared" si="61"/>
        <v>0</v>
      </c>
      <c r="BV19" s="4794">
        <f t="shared" si="62"/>
        <v>0</v>
      </c>
      <c r="BW19" s="4794">
        <f t="shared" si="63"/>
        <v>0</v>
      </c>
      <c r="BX19" s="4794">
        <f t="shared" si="64"/>
        <v>0</v>
      </c>
      <c r="BY19" s="4794">
        <f t="shared" si="65"/>
        <v>0</v>
      </c>
    </row>
    <row r="20" spans="1:77">
      <c r="A20" s="2694"/>
      <c r="B20" s="2695">
        <v>20501</v>
      </c>
      <c r="C20" s="2690">
        <v>0.08</v>
      </c>
      <c r="D20" s="2696" t="s">
        <v>410</v>
      </c>
      <c r="E20" s="4738">
        <f>+'11.3. ДА Базова година'!H21</f>
        <v>2549</v>
      </c>
      <c r="F20" s="927">
        <f>E20+SUMIF('11.1.Амортиз.нови активи'!$B$12:$B$59,$B20,'11.1.Амортиз.нови активи'!F$12:F$59)+('9.Инвестиционна програма'!H$130*SUMIF('11.1.Амортиз.нови активи'!$B$12:$B$59,$B20,'11.1.Амортиз.нови активи'!AO$12:AO$59))</f>
        <v>2549</v>
      </c>
      <c r="G20" s="1243">
        <f>F20+SUMIF('11.1.Амортиз.нови активи'!$B$12:$B$59,$B20,'11.1.Амортиз.нови активи'!G$12:G$59)+('9.Инвестиционна програма'!I$130*SUMIF('11.1.Амортиз.нови активи'!$B$12:$B$59,$B20,'11.1.Амортиз.нови активи'!AP$12:AP$59))</f>
        <v>2549</v>
      </c>
      <c r="H20" s="1243">
        <f>G20+SUMIF('11.1.Амортиз.нови активи'!$B$12:$B$59,$B20,'11.1.Амортиз.нови активи'!H$12:H$59)+('9.Инвестиционна програма'!J$130*SUMIF('11.1.Амортиз.нови активи'!$B$12:$B$59,$B20,'11.1.Амортиз.нови активи'!AQ$12:AQ$59))</f>
        <v>2549</v>
      </c>
      <c r="I20" s="1243">
        <f>H20+SUMIF('11.1.Амортиз.нови активи'!$B$12:$B$59,$B20,'11.1.Амортиз.нови активи'!I$12:I$59)+('9.Инвестиционна програма'!K$130*SUMIF('11.1.Амортиз.нови активи'!$B$12:$B$59,$B20,'11.1.Амортиз.нови активи'!AR$12:AR$59))</f>
        <v>2549</v>
      </c>
      <c r="J20" s="1243">
        <f>I20+SUMIF('11.1.Амортиз.нови активи'!$B$12:$B$59,$B20,'11.1.Амортиз.нови активи'!J$12:J$59)+('9.Инвестиционна програма'!L$130*SUMIF('11.1.Амортиз.нови активи'!$B$12:$B$59,$B20,'11.1.Амортиз.нови активи'!AS$12:AS$59))</f>
        <v>2849</v>
      </c>
      <c r="K20" s="1248">
        <f>J20+SUMIF('11.1.Амортиз.нови активи'!$B$12:$B$59,$B20,'11.1.Амортиз.нови активи'!K$12:K$59)+('9.Инвестиционна програма'!M$130*SUMIF('11.1.Амортиз.нови активи'!$B$12:$B$59,$B20,'11.1.Амортиз.нови активи'!AT$12:AT$59))</f>
        <v>2849</v>
      </c>
      <c r="L20" s="4738">
        <f>+'11.3. ДА Базова година'!L21</f>
        <v>323</v>
      </c>
      <c r="M20" s="1247">
        <f>L20+SUMIF('11.1.Амортиз.нови активи'!$B$12:$B$59,$B20,'11.1.Амортиз.нови активи'!M$12:M$59)+('9.Инвестиционна програма'!H$131*SUMIF('11.1.Амортиз.нови активи'!$B$12:$B$59,$B20,'11.1.Амортиз.нови активи'!AO$12:AO$59))</f>
        <v>323</v>
      </c>
      <c r="N20" s="1243">
        <f>M20+SUMIF('11.1.Амортиз.нови активи'!$B$12:$B$59,$B20,'11.1.Амортиз.нови активи'!N$12:N$59)+('9.Инвестиционна програма'!I$131*SUMIF('11.1.Амортиз.нови активи'!$B$12:$B$59,$B20,'11.1.Амортиз.нови активи'!AP$12:AP$59))</f>
        <v>323</v>
      </c>
      <c r="O20" s="1243">
        <f>N20+SUMIF('11.1.Амортиз.нови активи'!$B$12:$B$59,$B20,'11.1.Амортиз.нови активи'!O$12:O$59)+('9.Инвестиционна програма'!J$131*SUMIF('11.1.Амортиз.нови активи'!$B$12:$B$59,$B20,'11.1.Амортиз.нови активи'!AQ$12:AQ$59))</f>
        <v>323</v>
      </c>
      <c r="P20" s="1243">
        <f>O20+SUMIF('11.1.Амортиз.нови активи'!$B$12:$B$59,$B20,'11.1.Амортиз.нови активи'!P$12:P$59)+('9.Инвестиционна програма'!K$131*SUMIF('11.1.Амортиз.нови активи'!$B$12:$B$59,$B20,'11.1.Амортиз.нови активи'!AR$12:AR$59))</f>
        <v>323</v>
      </c>
      <c r="Q20" s="1243">
        <f>P20+SUMIF('11.1.Амортиз.нови активи'!$B$12:$B$59,$B20,'11.1.Амортиз.нови активи'!Q$12:Q$59)+('9.Инвестиционна програма'!L$131*SUMIF('11.1.Амортиз.нови активи'!$B$12:$B$59,$B20,'11.1.Амортиз.нови активи'!AS$12:AS$59))</f>
        <v>323</v>
      </c>
      <c r="R20" s="1248">
        <f>Q20+SUMIF('11.1.Амортиз.нови активи'!$B$12:$B$59,$B20,'11.1.Амортиз.нови активи'!R$12:R$59)+('9.Инвестиционна програма'!M$131*SUMIF('11.1.Амортиз.нови активи'!$B$12:$B$59,$B20,'11.1.Амортиз.нови активи'!AT$12:AT$59))</f>
        <v>323</v>
      </c>
      <c r="S20" s="4738">
        <f>+'11.3. ДА Базова година'!P21</f>
        <v>954</v>
      </c>
      <c r="T20" s="1247">
        <f>S20+SUMIF('11.1.Амортиз.нови активи'!$B$12:$B$59,$B20,'11.1.Амортиз.нови активи'!T$12:T$59)+('9.Инвестиционна програма'!H$132*SUMIF('11.1.Амортиз.нови активи'!$B$12:$B$59,$B20,'11.1.Амортиз.нови активи'!AO$12:AO$59))</f>
        <v>954</v>
      </c>
      <c r="U20" s="1243">
        <f>T20+SUMIF('11.1.Амортиз.нови активи'!$B$12:$B$59,$B20,'11.1.Амортиз.нови активи'!U$12:U$59)+('9.Инвестиционна програма'!I$132*SUMIF('11.1.Амортиз.нови активи'!$B$12:$B$59,$B20,'11.1.Амортиз.нови активи'!AP$12:AP$59))</f>
        <v>954</v>
      </c>
      <c r="V20" s="1243">
        <f>U20+SUMIF('11.1.Амортиз.нови активи'!$B$12:$B$59,$B20,'11.1.Амортиз.нови активи'!V$12:V$59)+('9.Инвестиционна програма'!J$132*SUMIF('11.1.Амортиз.нови активи'!$B$12:$B$59,$B20,'11.1.Амортиз.нови активи'!AQ$12:AQ$59))</f>
        <v>954</v>
      </c>
      <c r="W20" s="1243">
        <f>V20+SUMIF('11.1.Амортиз.нови активи'!$B$12:$B$59,$B20,'11.1.Амортиз.нови активи'!W$12:W$59)+('9.Инвестиционна програма'!K$132*SUMIF('11.1.Амортиз.нови активи'!$B$12:$B$59,$B20,'11.1.Амортиз.нови активи'!AR$12:AR$59))</f>
        <v>954</v>
      </c>
      <c r="X20" s="1243">
        <f>W20+SUMIF('11.1.Амортиз.нови активи'!$B$12:$B$59,$B20,'11.1.Амортиз.нови активи'!X$12:X$59)+('9.Инвестиционна програма'!L$132*SUMIF('11.1.Амортиз.нови активи'!$B$12:$B$59,$B20,'11.1.Амортиз.нови активи'!AS$12:AS$59))</f>
        <v>954</v>
      </c>
      <c r="Y20" s="1248">
        <f>X20+SUMIF('11.1.Амортиз.нови активи'!$B$12:$B$59,$B20,'11.1.Амортиз.нови активи'!Y$12:Y$59)+('9.Инвестиционна програма'!M$132*SUMIF('11.1.Амортиз.нови активи'!$B$12:$B$59,$B20,'11.1.Амортиз.нови активи'!AT$12:AT$59))</f>
        <v>954</v>
      </c>
      <c r="Z20" s="4738">
        <f>+'11.3. ДА Базова година'!T21</f>
        <v>0</v>
      </c>
      <c r="AA20" s="1247">
        <f>Z20+SUMIF('11.1.Амортиз.нови активи'!$B$12:$B$59,$B20,'11.1.Амортиз.нови активи'!AA$12:AA$59)</f>
        <v>0</v>
      </c>
      <c r="AB20" s="1243">
        <f>AA20+SUMIF('11.1.Амортиз.нови активи'!$B$12:$B$59,$B20,'11.1.Амортиз.нови активи'!AB$12:AB$59)</f>
        <v>0</v>
      </c>
      <c r="AC20" s="1243">
        <f>AB20+SUMIF('11.1.Амортиз.нови активи'!$B$12:$B$59,$B20,'11.1.Амортиз.нови активи'!AC$12:AC$59)</f>
        <v>0</v>
      </c>
      <c r="AD20" s="1243">
        <f>AC20+SUMIF('11.1.Амортиз.нови активи'!$B$12:$B$59,$B20,'11.1.Амортиз.нови активи'!AD$12:AD$59)</f>
        <v>0</v>
      </c>
      <c r="AE20" s="1243">
        <f>AD20+SUMIF('11.1.Амортиз.нови активи'!$B$12:$B$59,$B20,'11.1.Амортиз.нови активи'!AE$12:AE$59)</f>
        <v>0</v>
      </c>
      <c r="AF20" s="1248">
        <f>AE20+SUMIF('11.1.Амортиз.нови активи'!$B$12:$B$59,$B20,'11.1.Амортиз.нови активи'!AF$12:AF$59)</f>
        <v>0</v>
      </c>
      <c r="AG20" s="4738">
        <f>+'11.3. ДА Базова година'!X21</f>
        <v>0</v>
      </c>
      <c r="AH20" s="1247">
        <f>AG20+SUMIF('11.1.Амортиз.нови активи'!$B$12:$B$59,$B20,'11.1.Амортиз.нови активи'!AH$12:AH$59)</f>
        <v>0</v>
      </c>
      <c r="AI20" s="1243">
        <f>AH20+SUMIF('11.1.Амортиз.нови активи'!$B$12:$B$59,$B20,'11.1.Амортиз.нови активи'!AI$12:AI$59)</f>
        <v>0</v>
      </c>
      <c r="AJ20" s="1243">
        <f>AI20+SUMIF('11.1.Амортиз.нови активи'!$B$12:$B$59,$B20,'11.1.Амортиз.нови активи'!AJ$12:AJ$59)</f>
        <v>0</v>
      </c>
      <c r="AK20" s="1243">
        <f>AJ20+SUMIF('11.1.Амортиз.нови активи'!$B$12:$B$59,$B20,'11.1.Амортиз.нови активи'!AK$12:AK$59)</f>
        <v>0</v>
      </c>
      <c r="AL20" s="1243">
        <f>AK20+SUMIF('11.1.Амортиз.нови активи'!$B$12:$B$59,$B20,'11.1.Амортиз.нови активи'!AL$12:AL$59)</f>
        <v>0</v>
      </c>
      <c r="AM20" s="1248">
        <f>AL20+SUMIF('11.1.Амортиз.нови активи'!$B$12:$B$59,$B20,'11.1.Амортиз.нови активи'!AM$12:AM$59)</f>
        <v>0</v>
      </c>
      <c r="AN20" s="2681"/>
      <c r="AO20" s="2689"/>
      <c r="AP20" s="4775"/>
      <c r="AQ20" s="4794">
        <f t="shared" si="31"/>
        <v>1303.283005169161</v>
      </c>
      <c r="AR20" s="4794">
        <f t="shared" si="32"/>
        <v>1303.283005169161</v>
      </c>
      <c r="AS20" s="4794">
        <f t="shared" si="33"/>
        <v>1303.283005169161</v>
      </c>
      <c r="AT20" s="4794">
        <f t="shared" si="34"/>
        <v>1303.283005169161</v>
      </c>
      <c r="AU20" s="4794">
        <f t="shared" si="35"/>
        <v>1303.283005169161</v>
      </c>
      <c r="AV20" s="4794">
        <f t="shared" si="36"/>
        <v>1456.6705695280266</v>
      </c>
      <c r="AW20" s="4794">
        <f t="shared" si="37"/>
        <v>1456.6705695280266</v>
      </c>
      <c r="AX20" s="4794">
        <f t="shared" si="38"/>
        <v>165.14727762637858</v>
      </c>
      <c r="AY20" s="4794">
        <f t="shared" si="39"/>
        <v>165.14727762637858</v>
      </c>
      <c r="AZ20" s="4794">
        <f t="shared" si="40"/>
        <v>165.14727762637858</v>
      </c>
      <c r="BA20" s="4794">
        <f t="shared" si="41"/>
        <v>165.14727762637858</v>
      </c>
      <c r="BB20" s="4794">
        <f t="shared" si="42"/>
        <v>165.14727762637858</v>
      </c>
      <c r="BC20" s="4794">
        <f t="shared" si="43"/>
        <v>165.14727762637858</v>
      </c>
      <c r="BD20" s="4794">
        <f t="shared" si="44"/>
        <v>165.14727762637858</v>
      </c>
      <c r="BE20" s="4794">
        <f t="shared" si="45"/>
        <v>487.77245466119246</v>
      </c>
      <c r="BF20" s="4794">
        <f t="shared" si="46"/>
        <v>487.77245466119246</v>
      </c>
      <c r="BG20" s="4794">
        <f t="shared" si="47"/>
        <v>487.77245466119246</v>
      </c>
      <c r="BH20" s="4794">
        <f t="shared" si="48"/>
        <v>487.77245466119246</v>
      </c>
      <c r="BI20" s="4794">
        <f t="shared" si="49"/>
        <v>487.77245466119246</v>
      </c>
      <c r="BJ20" s="4794">
        <f t="shared" si="50"/>
        <v>487.77245466119246</v>
      </c>
      <c r="BK20" s="4794">
        <f t="shared" si="51"/>
        <v>487.77245466119246</v>
      </c>
      <c r="BL20" s="4794">
        <f t="shared" si="52"/>
        <v>0</v>
      </c>
      <c r="BM20" s="4794">
        <f t="shared" si="53"/>
        <v>0</v>
      </c>
      <c r="BN20" s="4794">
        <f t="shared" si="54"/>
        <v>0</v>
      </c>
      <c r="BO20" s="4794">
        <f t="shared" si="55"/>
        <v>0</v>
      </c>
      <c r="BP20" s="4794">
        <f t="shared" si="56"/>
        <v>0</v>
      </c>
      <c r="BQ20" s="4794">
        <f t="shared" si="57"/>
        <v>0</v>
      </c>
      <c r="BR20" s="4794">
        <f t="shared" si="58"/>
        <v>0</v>
      </c>
      <c r="BS20" s="4794">
        <f t="shared" si="59"/>
        <v>0</v>
      </c>
      <c r="BT20" s="4794">
        <f t="shared" si="60"/>
        <v>0</v>
      </c>
      <c r="BU20" s="4794">
        <f t="shared" si="61"/>
        <v>0</v>
      </c>
      <c r="BV20" s="4794">
        <f t="shared" si="62"/>
        <v>0</v>
      </c>
      <c r="BW20" s="4794">
        <f t="shared" si="63"/>
        <v>0</v>
      </c>
      <c r="BX20" s="4794">
        <f t="shared" si="64"/>
        <v>0</v>
      </c>
      <c r="BY20" s="4794">
        <f t="shared" si="65"/>
        <v>0</v>
      </c>
    </row>
    <row r="21" spans="1:77">
      <c r="A21" s="2694"/>
      <c r="B21" s="2695">
        <v>20502</v>
      </c>
      <c r="C21" s="2690">
        <v>0.1</v>
      </c>
      <c r="D21" s="2696" t="s">
        <v>411</v>
      </c>
      <c r="E21" s="4738">
        <f>+'11.3. ДА Базова година'!H22</f>
        <v>2048</v>
      </c>
      <c r="F21" s="927">
        <f>E21+SUMIF('11.1.Амортиз.нови активи'!$B$12:$B$59,$B21,'11.1.Амортиз.нови активи'!F$12:F$59)+('9.Инвестиционна програма'!H$130*SUMIF('11.1.Амортиз.нови активи'!$B$12:$B$59,$B21,'11.1.Амортиз.нови активи'!AO$12:AO$59))</f>
        <v>2048</v>
      </c>
      <c r="G21" s="1243">
        <f>F21+SUMIF('11.1.Амортиз.нови активи'!$B$12:$B$59,$B21,'11.1.Амортиз.нови активи'!G$12:G$59)+('9.Инвестиционна програма'!I$130*SUMIF('11.1.Амортиз.нови активи'!$B$12:$B$59,$B21,'11.1.Амортиз.нови активи'!AP$12:AP$59))</f>
        <v>2048</v>
      </c>
      <c r="H21" s="1243">
        <f>G21+SUMIF('11.1.Амортиз.нови активи'!$B$12:$B$59,$B21,'11.1.Амортиз.нови активи'!H$12:H$59)+('9.Инвестиционна програма'!J$130*SUMIF('11.1.Амортиз.нови активи'!$B$12:$B$59,$B21,'11.1.Амортиз.нови активи'!AQ$12:AQ$59))</f>
        <v>2048</v>
      </c>
      <c r="I21" s="1243">
        <f>H21+SUMIF('11.1.Амортиз.нови активи'!$B$12:$B$59,$B21,'11.1.Амортиз.нови активи'!I$12:I$59)+('9.Инвестиционна програма'!K$130*SUMIF('11.1.Амортиз.нови активи'!$B$12:$B$59,$B21,'11.1.Амортиз.нови активи'!AR$12:AR$59))</f>
        <v>2098</v>
      </c>
      <c r="J21" s="1243">
        <f>I21+SUMIF('11.1.Амортиз.нови активи'!$B$12:$B$59,$B21,'11.1.Амортиз.нови активи'!J$12:J$59)+('9.Инвестиционна програма'!L$130*SUMIF('11.1.Амортиз.нови активи'!$B$12:$B$59,$B21,'11.1.Амортиз.нови активи'!AS$12:AS$59))</f>
        <v>2098</v>
      </c>
      <c r="K21" s="1248">
        <f>J21+SUMIF('11.1.Амортиз.нови активи'!$B$12:$B$59,$B21,'11.1.Амортиз.нови активи'!K$12:K$59)+('9.Инвестиционна програма'!M$130*SUMIF('11.1.Амортиз.нови активи'!$B$12:$B$59,$B21,'11.1.Амортиз.нови активи'!AT$12:AT$59))</f>
        <v>2098</v>
      </c>
      <c r="L21" s="4738">
        <f>+'11.3. ДА Базова година'!L22</f>
        <v>419</v>
      </c>
      <c r="M21" s="1247">
        <f>L21+SUMIF('11.1.Амортиз.нови активи'!$B$12:$B$59,$B21,'11.1.Амортиз.нови активи'!M$12:M$59)+('9.Инвестиционна програма'!H$131*SUMIF('11.1.Амортиз.нови активи'!$B$12:$B$59,$B21,'11.1.Амортиз.нови активи'!AO$12:AO$59))</f>
        <v>419</v>
      </c>
      <c r="N21" s="1243">
        <f>M21+SUMIF('11.1.Амортиз.нови активи'!$B$12:$B$59,$B21,'11.1.Амортиз.нови активи'!N$12:N$59)+('9.Инвестиционна програма'!I$131*SUMIF('11.1.Амортиз.нови активи'!$B$12:$B$59,$B21,'11.1.Амортиз.нови активи'!AP$12:AP$59))</f>
        <v>419</v>
      </c>
      <c r="O21" s="1243">
        <f>N21+SUMIF('11.1.Амортиз.нови активи'!$B$12:$B$59,$B21,'11.1.Амортиз.нови активи'!O$12:O$59)+('9.Инвестиционна програма'!J$131*SUMIF('11.1.Амортиз.нови активи'!$B$12:$B$59,$B21,'11.1.Амортиз.нови активи'!AQ$12:AQ$59))</f>
        <v>419</v>
      </c>
      <c r="P21" s="1243">
        <f>O21+SUMIF('11.1.Амортиз.нови активи'!$B$12:$B$59,$B21,'11.1.Амортиз.нови активи'!P$12:P$59)+('9.Инвестиционна програма'!K$131*SUMIF('11.1.Амортиз.нови активи'!$B$12:$B$59,$B21,'11.1.Амортиз.нови активи'!AR$12:AR$59))</f>
        <v>469</v>
      </c>
      <c r="Q21" s="1243">
        <f>P21+SUMIF('11.1.Амортиз.нови активи'!$B$12:$B$59,$B21,'11.1.Амортиз.нови активи'!Q$12:Q$59)+('9.Инвестиционна програма'!L$131*SUMIF('11.1.Амортиз.нови активи'!$B$12:$B$59,$B21,'11.1.Амортиз.нови активи'!AS$12:AS$59))</f>
        <v>469</v>
      </c>
      <c r="R21" s="1248">
        <f>Q21+SUMIF('11.1.Амортиз.нови активи'!$B$12:$B$59,$B21,'11.1.Амортиз.нови активи'!R$12:R$59)+('9.Инвестиционна програма'!M$131*SUMIF('11.1.Амортиз.нови активи'!$B$12:$B$59,$B21,'11.1.Амортиз.нови активи'!AT$12:AT$59))</f>
        <v>469</v>
      </c>
      <c r="S21" s="4738">
        <f>+'11.3. ДА Базова година'!P22</f>
        <v>353</v>
      </c>
      <c r="T21" s="1247">
        <f>S21+SUMIF('11.1.Амортиз.нови активи'!$B$12:$B$59,$B21,'11.1.Амортиз.нови активи'!T$12:T$59)+('9.Инвестиционна програма'!H$132*SUMIF('11.1.Амортиз.нови активи'!$B$12:$B$59,$B21,'11.1.Амортиз.нови активи'!AO$12:AO$59))</f>
        <v>353</v>
      </c>
      <c r="U21" s="1243">
        <f>T21+SUMIF('11.1.Амортиз.нови активи'!$B$12:$B$59,$B21,'11.1.Амортиз.нови активи'!U$12:U$59)+('9.Инвестиционна програма'!I$132*SUMIF('11.1.Амортиз.нови активи'!$B$12:$B$59,$B21,'11.1.Амортиз.нови активи'!AP$12:AP$59))</f>
        <v>353</v>
      </c>
      <c r="V21" s="1243">
        <f>U21+SUMIF('11.1.Амортиз.нови активи'!$B$12:$B$59,$B21,'11.1.Амортиз.нови активи'!V$12:V$59)+('9.Инвестиционна програма'!J$132*SUMIF('11.1.Амортиз.нови активи'!$B$12:$B$59,$B21,'11.1.Амортиз.нови активи'!AQ$12:AQ$59))</f>
        <v>353</v>
      </c>
      <c r="W21" s="1243">
        <f>V21+SUMIF('11.1.Амортиз.нови активи'!$B$12:$B$59,$B21,'11.1.Амортиз.нови активи'!W$12:W$59)+('9.Инвестиционна програма'!K$132*SUMIF('11.1.Амортиз.нови активи'!$B$12:$B$59,$B21,'11.1.Амортиз.нови активи'!AR$12:AR$59))</f>
        <v>403</v>
      </c>
      <c r="X21" s="1243">
        <f>W21+SUMIF('11.1.Амортиз.нови активи'!$B$12:$B$59,$B21,'11.1.Амортиз.нови активи'!X$12:X$59)+('9.Инвестиционна програма'!L$132*SUMIF('11.1.Амортиз.нови активи'!$B$12:$B$59,$B21,'11.1.Амортиз.нови активи'!AS$12:AS$59))</f>
        <v>403</v>
      </c>
      <c r="Y21" s="1248">
        <f>X21+SUMIF('11.1.Амортиз.нови активи'!$B$12:$B$59,$B21,'11.1.Амортиз.нови активи'!Y$12:Y$59)+('9.Инвестиционна програма'!M$132*SUMIF('11.1.Амортиз.нови активи'!$B$12:$B$59,$B21,'11.1.Амортиз.нови активи'!AT$12:AT$59))</f>
        <v>403</v>
      </c>
      <c r="Z21" s="4738">
        <f>+'11.3. ДА Базова година'!T22</f>
        <v>0</v>
      </c>
      <c r="AA21" s="1247">
        <f>Z21+SUMIF('11.1.Амортиз.нови активи'!$B$12:$B$59,$B21,'11.1.Амортиз.нови активи'!AA$12:AA$59)</f>
        <v>0</v>
      </c>
      <c r="AB21" s="1243">
        <f>AA21+SUMIF('11.1.Амортиз.нови активи'!$B$12:$B$59,$B21,'11.1.Амортиз.нови активи'!AB$12:AB$59)</f>
        <v>0</v>
      </c>
      <c r="AC21" s="1243">
        <f>AB21+SUMIF('11.1.Амортиз.нови активи'!$B$12:$B$59,$B21,'11.1.Амортиз.нови активи'!AC$12:AC$59)</f>
        <v>0</v>
      </c>
      <c r="AD21" s="1243">
        <f>AC21+SUMIF('11.1.Амортиз.нови активи'!$B$12:$B$59,$B21,'11.1.Амортиз.нови активи'!AD$12:AD$59)</f>
        <v>0</v>
      </c>
      <c r="AE21" s="1243">
        <f>AD21+SUMIF('11.1.Амортиз.нови активи'!$B$12:$B$59,$B21,'11.1.Амортиз.нови активи'!AE$12:AE$59)</f>
        <v>0</v>
      </c>
      <c r="AF21" s="1248">
        <f>AE21+SUMIF('11.1.Амортиз.нови активи'!$B$12:$B$59,$B21,'11.1.Амортиз.нови активи'!AF$12:AF$59)</f>
        <v>0</v>
      </c>
      <c r="AG21" s="4738">
        <f>+'11.3. ДА Базова година'!X22</f>
        <v>0</v>
      </c>
      <c r="AH21" s="1247">
        <f>AG21+SUMIF('11.1.Амортиз.нови активи'!$B$12:$B$59,$B21,'11.1.Амортиз.нови активи'!AH$12:AH$59)</f>
        <v>0</v>
      </c>
      <c r="AI21" s="1243">
        <f>AH21+SUMIF('11.1.Амортиз.нови активи'!$B$12:$B$59,$B21,'11.1.Амортиз.нови активи'!AI$12:AI$59)</f>
        <v>0</v>
      </c>
      <c r="AJ21" s="1243">
        <f>AI21+SUMIF('11.1.Амортиз.нови активи'!$B$12:$B$59,$B21,'11.1.Амортиз.нови активи'!AJ$12:AJ$59)</f>
        <v>0</v>
      </c>
      <c r="AK21" s="1243">
        <f>AJ21+SUMIF('11.1.Амортиз.нови активи'!$B$12:$B$59,$B21,'11.1.Амортиз.нови активи'!AK$12:AK$59)</f>
        <v>0</v>
      </c>
      <c r="AL21" s="1243">
        <f>AK21+SUMIF('11.1.Амортиз.нови активи'!$B$12:$B$59,$B21,'11.1.Амортиз.нови активи'!AL$12:AL$59)</f>
        <v>0</v>
      </c>
      <c r="AM21" s="1248">
        <f>AL21+SUMIF('11.1.Амортиз.нови активи'!$B$12:$B$59,$B21,'11.1.Амортиз.нови активи'!AM$12:AM$59)</f>
        <v>0</v>
      </c>
      <c r="AN21" s="2681"/>
      <c r="AO21" s="2689"/>
      <c r="AP21" s="4775"/>
      <c r="AQ21" s="4794">
        <f t="shared" si="31"/>
        <v>1047.1257726898555</v>
      </c>
      <c r="AR21" s="4794">
        <f t="shared" si="32"/>
        <v>1047.1257726898555</v>
      </c>
      <c r="AS21" s="4794">
        <f t="shared" si="33"/>
        <v>1047.1257726898555</v>
      </c>
      <c r="AT21" s="4794">
        <f t="shared" si="34"/>
        <v>1047.1257726898555</v>
      </c>
      <c r="AU21" s="4794">
        <f t="shared" si="35"/>
        <v>1072.6903667496665</v>
      </c>
      <c r="AV21" s="4794">
        <f t="shared" si="36"/>
        <v>1072.6903667496665</v>
      </c>
      <c r="AW21" s="4794">
        <f t="shared" si="37"/>
        <v>1072.6903667496665</v>
      </c>
      <c r="AX21" s="4794">
        <f t="shared" si="38"/>
        <v>214.23129822121555</v>
      </c>
      <c r="AY21" s="4794">
        <f t="shared" si="39"/>
        <v>214.23129822121555</v>
      </c>
      <c r="AZ21" s="4794">
        <f t="shared" si="40"/>
        <v>214.23129822121555</v>
      </c>
      <c r="BA21" s="4794">
        <f t="shared" si="41"/>
        <v>214.23129822121555</v>
      </c>
      <c r="BB21" s="4794">
        <f t="shared" si="42"/>
        <v>239.79589228102648</v>
      </c>
      <c r="BC21" s="4794">
        <f t="shared" si="43"/>
        <v>239.79589228102648</v>
      </c>
      <c r="BD21" s="4794">
        <f t="shared" si="44"/>
        <v>239.79589228102648</v>
      </c>
      <c r="BE21" s="4794">
        <f t="shared" si="45"/>
        <v>180.48603406226513</v>
      </c>
      <c r="BF21" s="4794">
        <f t="shared" si="46"/>
        <v>180.48603406226513</v>
      </c>
      <c r="BG21" s="4794">
        <f t="shared" si="47"/>
        <v>180.48603406226513</v>
      </c>
      <c r="BH21" s="4794">
        <f t="shared" si="48"/>
        <v>180.48603406226513</v>
      </c>
      <c r="BI21" s="4794">
        <f t="shared" si="49"/>
        <v>206.05062812207606</v>
      </c>
      <c r="BJ21" s="4794">
        <f t="shared" si="50"/>
        <v>206.05062812207606</v>
      </c>
      <c r="BK21" s="4794">
        <f t="shared" si="51"/>
        <v>206.05062812207606</v>
      </c>
      <c r="BL21" s="4794">
        <f t="shared" si="52"/>
        <v>0</v>
      </c>
      <c r="BM21" s="4794">
        <f t="shared" si="53"/>
        <v>0</v>
      </c>
      <c r="BN21" s="4794">
        <f t="shared" si="54"/>
        <v>0</v>
      </c>
      <c r="BO21" s="4794">
        <f t="shared" si="55"/>
        <v>0</v>
      </c>
      <c r="BP21" s="4794">
        <f t="shared" si="56"/>
        <v>0</v>
      </c>
      <c r="BQ21" s="4794">
        <f t="shared" si="57"/>
        <v>0</v>
      </c>
      <c r="BR21" s="4794">
        <f t="shared" si="58"/>
        <v>0</v>
      </c>
      <c r="BS21" s="4794">
        <f t="shared" si="59"/>
        <v>0</v>
      </c>
      <c r="BT21" s="4794">
        <f t="shared" si="60"/>
        <v>0</v>
      </c>
      <c r="BU21" s="4794">
        <f t="shared" si="61"/>
        <v>0</v>
      </c>
      <c r="BV21" s="4794">
        <f t="shared" si="62"/>
        <v>0</v>
      </c>
      <c r="BW21" s="4794">
        <f t="shared" si="63"/>
        <v>0</v>
      </c>
      <c r="BX21" s="4794">
        <f t="shared" si="64"/>
        <v>0</v>
      </c>
      <c r="BY21" s="4794">
        <f t="shared" si="65"/>
        <v>0</v>
      </c>
    </row>
    <row r="22" spans="1:77">
      <c r="A22" s="2694"/>
      <c r="B22" s="2695">
        <v>20503</v>
      </c>
      <c r="C22" s="2690">
        <v>0.1</v>
      </c>
      <c r="D22" s="2691" t="s">
        <v>412</v>
      </c>
      <c r="E22" s="4738">
        <f>+'11.3. ДА Базова година'!H23</f>
        <v>67</v>
      </c>
      <c r="F22" s="927">
        <f>E22+SUMIF('11.1.Амортиз.нови активи'!$B$12:$B$59,$B22,'11.1.Амортиз.нови активи'!F$12:F$59)+('9.Инвестиционна програма'!H$130*SUMIF('11.1.Амортиз.нови активи'!$B$12:$B$59,$B22,'11.1.Амортиз.нови активи'!AO$12:AO$59))</f>
        <v>67</v>
      </c>
      <c r="G22" s="1243">
        <f>F22+SUMIF('11.1.Амортиз.нови активи'!$B$12:$B$59,$B22,'11.1.Амортиз.нови активи'!G$12:G$59)+('9.Инвестиционна програма'!I$130*SUMIF('11.1.Амортиз.нови активи'!$B$12:$B$59,$B22,'11.1.Амортиз.нови активи'!AP$12:AP$59))</f>
        <v>67</v>
      </c>
      <c r="H22" s="1243">
        <f>G22+SUMIF('11.1.Амортиз.нови активи'!$B$12:$B$59,$B22,'11.1.Амортиз.нови активи'!H$12:H$59)+('9.Инвестиционна програма'!J$130*SUMIF('11.1.Амортиз.нови активи'!$B$12:$B$59,$B22,'11.1.Амортиз.нови активи'!AQ$12:AQ$59))</f>
        <v>67</v>
      </c>
      <c r="I22" s="1243">
        <f>H22+SUMIF('11.1.Амортиз.нови активи'!$B$12:$B$59,$B22,'11.1.Амортиз.нови активи'!I$12:I$59)+('9.Инвестиционна програма'!K$130*SUMIF('11.1.Амортиз.нови активи'!$B$12:$B$59,$B22,'11.1.Амортиз.нови активи'!AR$12:AR$59))</f>
        <v>67</v>
      </c>
      <c r="J22" s="1243">
        <f>I22+SUMIF('11.1.Амортиз.нови активи'!$B$12:$B$59,$B22,'11.1.Амортиз.нови активи'!J$12:J$59)+('9.Инвестиционна програма'!L$130*SUMIF('11.1.Амортиз.нови активи'!$B$12:$B$59,$B22,'11.1.Амортиз.нови активи'!AS$12:AS$59))</f>
        <v>67</v>
      </c>
      <c r="K22" s="1248">
        <f>J22+SUMIF('11.1.Амортиз.нови активи'!$B$12:$B$59,$B22,'11.1.Амортиз.нови активи'!K$12:K$59)+('9.Инвестиционна програма'!M$130*SUMIF('11.1.Амортиз.нови активи'!$B$12:$B$59,$B22,'11.1.Амортиз.нови активи'!AT$12:AT$59))</f>
        <v>67</v>
      </c>
      <c r="L22" s="4738">
        <f>+'11.3. ДА Базова година'!L23</f>
        <v>42</v>
      </c>
      <c r="M22" s="1247">
        <f>L22+SUMIF('11.1.Амортиз.нови активи'!$B$12:$B$59,$B22,'11.1.Амортиз.нови активи'!M$12:M$59)+('9.Инвестиционна програма'!H$131*SUMIF('11.1.Амортиз.нови активи'!$B$12:$B$59,$B22,'11.1.Амортиз.нови активи'!AO$12:AO$59))</f>
        <v>42</v>
      </c>
      <c r="N22" s="1243">
        <f>M22+SUMIF('11.1.Амортиз.нови активи'!$B$12:$B$59,$B22,'11.1.Амортиз.нови активи'!N$12:N$59)+('9.Инвестиционна програма'!I$131*SUMIF('11.1.Амортиз.нови активи'!$B$12:$B$59,$B22,'11.1.Амортиз.нови активи'!AP$12:AP$59))</f>
        <v>42</v>
      </c>
      <c r="O22" s="1243">
        <f>N22+SUMIF('11.1.Амортиз.нови активи'!$B$12:$B$59,$B22,'11.1.Амортиз.нови активи'!O$12:O$59)+('9.Инвестиционна програма'!J$131*SUMIF('11.1.Амортиз.нови активи'!$B$12:$B$59,$B22,'11.1.Амортиз.нови активи'!AQ$12:AQ$59))</f>
        <v>42</v>
      </c>
      <c r="P22" s="1243">
        <f>O22+SUMIF('11.1.Амортиз.нови активи'!$B$12:$B$59,$B22,'11.1.Амортиз.нови активи'!P$12:P$59)+('9.Инвестиционна програма'!K$131*SUMIF('11.1.Амортиз.нови активи'!$B$12:$B$59,$B22,'11.1.Амортиз.нови активи'!AR$12:AR$59))</f>
        <v>42</v>
      </c>
      <c r="Q22" s="1243">
        <f>P22+SUMIF('11.1.Амортиз.нови активи'!$B$12:$B$59,$B22,'11.1.Амортиз.нови активи'!Q$12:Q$59)+('9.Инвестиционна програма'!L$131*SUMIF('11.1.Амортиз.нови активи'!$B$12:$B$59,$B22,'11.1.Амортиз.нови активи'!AS$12:AS$59))</f>
        <v>42</v>
      </c>
      <c r="R22" s="1248">
        <f>Q22+SUMIF('11.1.Амортиз.нови активи'!$B$12:$B$59,$B22,'11.1.Амортиз.нови активи'!R$12:R$59)+('9.Инвестиционна програма'!M$131*SUMIF('11.1.Амортиз.нови активи'!$B$12:$B$59,$B22,'11.1.Амортиз.нови активи'!AT$12:AT$59))</f>
        <v>42</v>
      </c>
      <c r="S22" s="4738">
        <f>+'11.3. ДА Базова година'!P23</f>
        <v>34</v>
      </c>
      <c r="T22" s="1247">
        <f>S22+SUMIF('11.1.Амортиз.нови активи'!$B$12:$B$59,$B22,'11.1.Амортиз.нови активи'!T$12:T$59)+('9.Инвестиционна програма'!H$132*SUMIF('11.1.Амортиз.нови активи'!$B$12:$B$59,$B22,'11.1.Амортиз.нови активи'!AO$12:AO$59))</f>
        <v>34</v>
      </c>
      <c r="U22" s="1243">
        <f>T22+SUMIF('11.1.Амортиз.нови активи'!$B$12:$B$59,$B22,'11.1.Амортиз.нови активи'!U$12:U$59)+('9.Инвестиционна програма'!I$132*SUMIF('11.1.Амортиз.нови активи'!$B$12:$B$59,$B22,'11.1.Амортиз.нови активи'!AP$12:AP$59))</f>
        <v>34</v>
      </c>
      <c r="V22" s="1243">
        <f>U22+SUMIF('11.1.Амортиз.нови активи'!$B$12:$B$59,$B22,'11.1.Амортиз.нови активи'!V$12:V$59)+('9.Инвестиционна програма'!J$132*SUMIF('11.1.Амортиз.нови активи'!$B$12:$B$59,$B22,'11.1.Амортиз.нови активи'!AQ$12:AQ$59))</f>
        <v>34</v>
      </c>
      <c r="W22" s="1243">
        <f>V22+SUMIF('11.1.Амортиз.нови активи'!$B$12:$B$59,$B22,'11.1.Амортиз.нови активи'!W$12:W$59)+('9.Инвестиционна програма'!K$132*SUMIF('11.1.Амортиз.нови активи'!$B$12:$B$59,$B22,'11.1.Амортиз.нови активи'!AR$12:AR$59))</f>
        <v>34</v>
      </c>
      <c r="X22" s="1243">
        <f>W22+SUMIF('11.1.Амортиз.нови активи'!$B$12:$B$59,$B22,'11.1.Амортиз.нови активи'!X$12:X$59)+('9.Инвестиционна програма'!L$132*SUMIF('11.1.Амортиз.нови активи'!$B$12:$B$59,$B22,'11.1.Амортиз.нови активи'!AS$12:AS$59))</f>
        <v>34</v>
      </c>
      <c r="Y22" s="1248">
        <f>X22+SUMIF('11.1.Амортиз.нови активи'!$B$12:$B$59,$B22,'11.1.Амортиз.нови активи'!Y$12:Y$59)+('9.Инвестиционна програма'!M$132*SUMIF('11.1.Амортиз.нови активи'!$B$12:$B$59,$B22,'11.1.Амортиз.нови активи'!AT$12:AT$59))</f>
        <v>34</v>
      </c>
      <c r="Z22" s="4738">
        <f>+'11.3. ДА Базова година'!T23</f>
        <v>0</v>
      </c>
      <c r="AA22" s="1247">
        <f>Z22+SUMIF('11.1.Амортиз.нови активи'!$B$12:$B$59,$B22,'11.1.Амортиз.нови активи'!AA$12:AA$59)</f>
        <v>0</v>
      </c>
      <c r="AB22" s="1243">
        <f>AA22+SUMIF('11.1.Амортиз.нови активи'!$B$12:$B$59,$B22,'11.1.Амортиз.нови активи'!AB$12:AB$59)</f>
        <v>0</v>
      </c>
      <c r="AC22" s="1243">
        <f>AB22+SUMIF('11.1.Амортиз.нови активи'!$B$12:$B$59,$B22,'11.1.Амортиз.нови активи'!AC$12:AC$59)</f>
        <v>0</v>
      </c>
      <c r="AD22" s="1243">
        <f>AC22+SUMIF('11.1.Амортиз.нови активи'!$B$12:$B$59,$B22,'11.1.Амортиз.нови активи'!AD$12:AD$59)</f>
        <v>0</v>
      </c>
      <c r="AE22" s="1243">
        <f>AD22+SUMIF('11.1.Амортиз.нови активи'!$B$12:$B$59,$B22,'11.1.Амортиз.нови активи'!AE$12:AE$59)</f>
        <v>0</v>
      </c>
      <c r="AF22" s="1248">
        <f>AE22+SUMIF('11.1.Амортиз.нови активи'!$B$12:$B$59,$B22,'11.1.Амортиз.нови активи'!AF$12:AF$59)</f>
        <v>0</v>
      </c>
      <c r="AG22" s="4738">
        <f>+'11.3. ДА Базова година'!X23</f>
        <v>0</v>
      </c>
      <c r="AH22" s="1247">
        <f>AG22+SUMIF('11.1.Амортиз.нови активи'!$B$12:$B$59,$B22,'11.1.Амортиз.нови активи'!AH$12:AH$59)</f>
        <v>0</v>
      </c>
      <c r="AI22" s="1243">
        <f>AH22+SUMIF('11.1.Амортиз.нови активи'!$B$12:$B$59,$B22,'11.1.Амортиз.нови активи'!AI$12:AI$59)</f>
        <v>0</v>
      </c>
      <c r="AJ22" s="1243">
        <f>AI22+SUMIF('11.1.Амортиз.нови активи'!$B$12:$B$59,$B22,'11.1.Амортиз.нови активи'!AJ$12:AJ$59)</f>
        <v>0</v>
      </c>
      <c r="AK22" s="1243">
        <f>AJ22+SUMIF('11.1.Амортиз.нови активи'!$B$12:$B$59,$B22,'11.1.Амортиз.нови активи'!AK$12:AK$59)</f>
        <v>0</v>
      </c>
      <c r="AL22" s="1243">
        <f>AK22+SUMIF('11.1.Амортиз.нови активи'!$B$12:$B$59,$B22,'11.1.Амортиз.нови активи'!AL$12:AL$59)</f>
        <v>0</v>
      </c>
      <c r="AM22" s="1248">
        <f>AL22+SUMIF('11.1.Амортиз.нови активи'!$B$12:$B$59,$B22,'11.1.Амортиз.нови активи'!AM$12:AM$59)</f>
        <v>0</v>
      </c>
      <c r="AN22" s="2681"/>
      <c r="AO22" s="2689"/>
      <c r="AP22" s="4775"/>
      <c r="AQ22" s="4794">
        <f t="shared" si="31"/>
        <v>34.256556040146641</v>
      </c>
      <c r="AR22" s="4794">
        <f t="shared" si="32"/>
        <v>34.256556040146641</v>
      </c>
      <c r="AS22" s="4794">
        <f t="shared" si="33"/>
        <v>34.256556040146641</v>
      </c>
      <c r="AT22" s="4794">
        <f t="shared" si="34"/>
        <v>34.256556040146641</v>
      </c>
      <c r="AU22" s="4794">
        <f t="shared" si="35"/>
        <v>34.256556040146641</v>
      </c>
      <c r="AV22" s="4794">
        <f t="shared" si="36"/>
        <v>34.256556040146641</v>
      </c>
      <c r="AW22" s="4794">
        <f t="shared" si="37"/>
        <v>34.256556040146641</v>
      </c>
      <c r="AX22" s="4794">
        <f t="shared" si="38"/>
        <v>21.474259010241177</v>
      </c>
      <c r="AY22" s="4794">
        <f t="shared" si="39"/>
        <v>21.474259010241177</v>
      </c>
      <c r="AZ22" s="4794">
        <f t="shared" si="40"/>
        <v>21.474259010241177</v>
      </c>
      <c r="BA22" s="4794">
        <f t="shared" si="41"/>
        <v>21.474259010241177</v>
      </c>
      <c r="BB22" s="4794">
        <f t="shared" si="42"/>
        <v>21.474259010241177</v>
      </c>
      <c r="BC22" s="4794">
        <f t="shared" si="43"/>
        <v>21.474259010241177</v>
      </c>
      <c r="BD22" s="4794">
        <f t="shared" si="44"/>
        <v>21.474259010241177</v>
      </c>
      <c r="BE22" s="4794">
        <f t="shared" si="45"/>
        <v>17.383923960671428</v>
      </c>
      <c r="BF22" s="4794">
        <f t="shared" si="46"/>
        <v>17.383923960671428</v>
      </c>
      <c r="BG22" s="4794">
        <f t="shared" si="47"/>
        <v>17.383923960671428</v>
      </c>
      <c r="BH22" s="4794">
        <f t="shared" si="48"/>
        <v>17.383923960671428</v>
      </c>
      <c r="BI22" s="4794">
        <f t="shared" si="49"/>
        <v>17.383923960671428</v>
      </c>
      <c r="BJ22" s="4794">
        <f t="shared" si="50"/>
        <v>17.383923960671428</v>
      </c>
      <c r="BK22" s="4794">
        <f t="shared" si="51"/>
        <v>17.383923960671428</v>
      </c>
      <c r="BL22" s="4794">
        <f t="shared" si="52"/>
        <v>0</v>
      </c>
      <c r="BM22" s="4794">
        <f t="shared" si="53"/>
        <v>0</v>
      </c>
      <c r="BN22" s="4794">
        <f t="shared" si="54"/>
        <v>0</v>
      </c>
      <c r="BO22" s="4794">
        <f t="shared" si="55"/>
        <v>0</v>
      </c>
      <c r="BP22" s="4794">
        <f t="shared" si="56"/>
        <v>0</v>
      </c>
      <c r="BQ22" s="4794">
        <f t="shared" si="57"/>
        <v>0</v>
      </c>
      <c r="BR22" s="4794">
        <f t="shared" si="58"/>
        <v>0</v>
      </c>
      <c r="BS22" s="4794">
        <f t="shared" si="59"/>
        <v>0</v>
      </c>
      <c r="BT22" s="4794">
        <f t="shared" si="60"/>
        <v>0</v>
      </c>
      <c r="BU22" s="4794">
        <f t="shared" si="61"/>
        <v>0</v>
      </c>
      <c r="BV22" s="4794">
        <f t="shared" si="62"/>
        <v>0</v>
      </c>
      <c r="BW22" s="4794">
        <f t="shared" si="63"/>
        <v>0</v>
      </c>
      <c r="BX22" s="4794">
        <f t="shared" si="64"/>
        <v>0</v>
      </c>
      <c r="BY22" s="4794">
        <f t="shared" si="65"/>
        <v>0</v>
      </c>
    </row>
    <row r="23" spans="1:77">
      <c r="A23" s="2694"/>
      <c r="B23" s="2695">
        <v>20504</v>
      </c>
      <c r="C23" s="2690">
        <v>0.1</v>
      </c>
      <c r="D23" s="2691" t="s">
        <v>557</v>
      </c>
      <c r="E23" s="4738">
        <f>+'11.3. ДА Базова година'!H24</f>
        <v>69</v>
      </c>
      <c r="F23" s="927">
        <f>E23+SUMIF('11.1.Амортиз.нови активи'!$B$12:$B$59,$B23,'11.1.Амортиз.нови активи'!F$12:F$59)+('9.Инвестиционна програма'!H$130*SUMIF('11.1.Амортиз.нови активи'!$B$12:$B$59,$B23,'11.1.Амортиз.нови активи'!AO$12:AO$59))</f>
        <v>69</v>
      </c>
      <c r="G23" s="1243">
        <f>F23+SUMIF('11.1.Амортиз.нови активи'!$B$12:$B$59,$B23,'11.1.Амортиз.нови активи'!G$12:G$59)+('9.Инвестиционна програма'!I$130*SUMIF('11.1.Амортиз.нови активи'!$B$12:$B$59,$B23,'11.1.Амортиз.нови активи'!AP$12:AP$59))</f>
        <v>69</v>
      </c>
      <c r="H23" s="1243">
        <f>G23+SUMIF('11.1.Амортиз.нови активи'!$B$12:$B$59,$B23,'11.1.Амортиз.нови активи'!H$12:H$59)+('9.Инвестиционна програма'!J$130*SUMIF('11.1.Амортиз.нови активи'!$B$12:$B$59,$B23,'11.1.Амортиз.нови активи'!AQ$12:AQ$59))</f>
        <v>69</v>
      </c>
      <c r="I23" s="1243">
        <f>H23+SUMIF('11.1.Амортиз.нови активи'!$B$12:$B$59,$B23,'11.1.Амортиз.нови активи'!I$12:I$59)+('9.Инвестиционна програма'!K$130*SUMIF('11.1.Амортиз.нови активи'!$B$12:$B$59,$B23,'11.1.Амортиз.нови активи'!AR$12:AR$59))</f>
        <v>69</v>
      </c>
      <c r="J23" s="1243">
        <f>I23+SUMIF('11.1.Амортиз.нови активи'!$B$12:$B$59,$B23,'11.1.Амортиз.нови активи'!J$12:J$59)+('9.Инвестиционна програма'!L$130*SUMIF('11.1.Амортиз.нови активи'!$B$12:$B$59,$B23,'11.1.Амортиз.нови активи'!AS$12:AS$59))</f>
        <v>69</v>
      </c>
      <c r="K23" s="1248">
        <f>J23+SUMIF('11.1.Амортиз.нови активи'!$B$12:$B$59,$B23,'11.1.Амортиз.нови активи'!K$12:K$59)+('9.Инвестиционна програма'!M$130*SUMIF('11.1.Амортиз.нови активи'!$B$12:$B$59,$B23,'11.1.Амортиз.нови активи'!AT$12:AT$59))</f>
        <v>69</v>
      </c>
      <c r="L23" s="4738">
        <f>+'11.3. ДА Базова година'!L24</f>
        <v>24</v>
      </c>
      <c r="M23" s="1247">
        <f>L23+SUMIF('11.1.Амортиз.нови активи'!$B$12:$B$59,$B23,'11.1.Амортиз.нови активи'!M$12:M$59)+('9.Инвестиционна програма'!H$131*SUMIF('11.1.Амортиз.нови активи'!$B$12:$B$59,$B23,'11.1.Амортиз.нови активи'!AO$12:AO$59))</f>
        <v>24</v>
      </c>
      <c r="N23" s="1243">
        <f>M23+SUMIF('11.1.Амортиз.нови активи'!$B$12:$B$59,$B23,'11.1.Амортиз.нови активи'!N$12:N$59)+('9.Инвестиционна програма'!I$131*SUMIF('11.1.Амортиз.нови активи'!$B$12:$B$59,$B23,'11.1.Амортиз.нови активи'!AP$12:AP$59))</f>
        <v>24</v>
      </c>
      <c r="O23" s="1243">
        <f>N23+SUMIF('11.1.Амортиз.нови активи'!$B$12:$B$59,$B23,'11.1.Амортиз.нови активи'!O$12:O$59)+('9.Инвестиционна програма'!J$131*SUMIF('11.1.Амортиз.нови активи'!$B$12:$B$59,$B23,'11.1.Амортиз.нови активи'!AQ$12:AQ$59))</f>
        <v>24</v>
      </c>
      <c r="P23" s="1243">
        <f>O23+SUMIF('11.1.Амортиз.нови активи'!$B$12:$B$59,$B23,'11.1.Амортиз.нови активи'!P$12:P$59)+('9.Инвестиционна програма'!K$131*SUMIF('11.1.Амортиз.нови активи'!$B$12:$B$59,$B23,'11.1.Амортиз.нови активи'!AR$12:AR$59))</f>
        <v>24</v>
      </c>
      <c r="Q23" s="1243">
        <f>P23+SUMIF('11.1.Амортиз.нови активи'!$B$12:$B$59,$B23,'11.1.Амортиз.нови активи'!Q$12:Q$59)+('9.Инвестиционна програма'!L$131*SUMIF('11.1.Амортиз.нови активи'!$B$12:$B$59,$B23,'11.1.Амортиз.нови активи'!AS$12:AS$59))</f>
        <v>24</v>
      </c>
      <c r="R23" s="1248">
        <f>Q23+SUMIF('11.1.Амортиз.нови активи'!$B$12:$B$59,$B23,'11.1.Амортиз.нови активи'!R$12:R$59)+('9.Инвестиционна програма'!M$131*SUMIF('11.1.Амортиз.нови активи'!$B$12:$B$59,$B23,'11.1.Амортиз.нови активи'!AT$12:AT$59))</f>
        <v>24</v>
      </c>
      <c r="S23" s="4738">
        <f>+'11.3. ДА Базова година'!P24</f>
        <v>14</v>
      </c>
      <c r="T23" s="1247">
        <f>S23+SUMIF('11.1.Амортиз.нови активи'!$B$12:$B$59,$B23,'11.1.Амортиз.нови активи'!T$12:T$59)+('9.Инвестиционна програма'!H$132*SUMIF('11.1.Амортиз.нови активи'!$B$12:$B$59,$B23,'11.1.Амортиз.нови активи'!AO$12:AO$59))</f>
        <v>14</v>
      </c>
      <c r="U23" s="1243">
        <f>T23+SUMIF('11.1.Амортиз.нови активи'!$B$12:$B$59,$B23,'11.1.Амортиз.нови активи'!U$12:U$59)+('9.Инвестиционна програма'!I$132*SUMIF('11.1.Амортиз.нови активи'!$B$12:$B$59,$B23,'11.1.Амортиз.нови активи'!AP$12:AP$59))</f>
        <v>14</v>
      </c>
      <c r="V23" s="1243">
        <f>U23+SUMIF('11.1.Амортиз.нови активи'!$B$12:$B$59,$B23,'11.1.Амортиз.нови активи'!V$12:V$59)+('9.Инвестиционна програма'!J$132*SUMIF('11.1.Амортиз.нови активи'!$B$12:$B$59,$B23,'11.1.Амортиз.нови активи'!AQ$12:AQ$59))</f>
        <v>14</v>
      </c>
      <c r="W23" s="1243">
        <f>V23+SUMIF('11.1.Амортиз.нови активи'!$B$12:$B$59,$B23,'11.1.Амортиз.нови активи'!W$12:W$59)+('9.Инвестиционна програма'!K$132*SUMIF('11.1.Амортиз.нови активи'!$B$12:$B$59,$B23,'11.1.Амортиз.нови активи'!AR$12:AR$59))</f>
        <v>14</v>
      </c>
      <c r="X23" s="1243">
        <f>W23+SUMIF('11.1.Амортиз.нови активи'!$B$12:$B$59,$B23,'11.1.Амортиз.нови активи'!X$12:X$59)+('9.Инвестиционна програма'!L$132*SUMIF('11.1.Амортиз.нови активи'!$B$12:$B$59,$B23,'11.1.Амортиз.нови активи'!AS$12:AS$59))</f>
        <v>14</v>
      </c>
      <c r="Y23" s="1248">
        <f>X23+SUMIF('11.1.Амортиз.нови активи'!$B$12:$B$59,$B23,'11.1.Амортиз.нови активи'!Y$12:Y$59)+('9.Инвестиционна програма'!M$132*SUMIF('11.1.Амортиз.нови активи'!$B$12:$B$59,$B23,'11.1.Амортиз.нови активи'!AT$12:AT$59))</f>
        <v>14</v>
      </c>
      <c r="Z23" s="4738">
        <f>+'11.3. ДА Базова година'!T24</f>
        <v>0</v>
      </c>
      <c r="AA23" s="1247">
        <f>Z23+SUMIF('11.1.Амортиз.нови активи'!$B$12:$B$59,$B23,'11.1.Амортиз.нови активи'!AA$12:AA$59)</f>
        <v>0</v>
      </c>
      <c r="AB23" s="1243">
        <f>AA23+SUMIF('11.1.Амортиз.нови активи'!$B$12:$B$59,$B23,'11.1.Амортиз.нови активи'!AB$12:AB$59)</f>
        <v>0</v>
      </c>
      <c r="AC23" s="1243">
        <f>AB23+SUMIF('11.1.Амортиз.нови активи'!$B$12:$B$59,$B23,'11.1.Амортиз.нови активи'!AC$12:AC$59)</f>
        <v>0</v>
      </c>
      <c r="AD23" s="1243">
        <f>AC23+SUMIF('11.1.Амортиз.нови активи'!$B$12:$B$59,$B23,'11.1.Амортиз.нови активи'!AD$12:AD$59)</f>
        <v>0</v>
      </c>
      <c r="AE23" s="1243">
        <f>AD23+SUMIF('11.1.Амортиз.нови активи'!$B$12:$B$59,$B23,'11.1.Амортиз.нови активи'!AE$12:AE$59)</f>
        <v>0</v>
      </c>
      <c r="AF23" s="1248">
        <f>AE23+SUMIF('11.1.Амортиз.нови активи'!$B$12:$B$59,$B23,'11.1.Амортиз.нови активи'!AF$12:AF$59)</f>
        <v>0</v>
      </c>
      <c r="AG23" s="4738">
        <f>+'11.3. ДА Базова година'!X24</f>
        <v>0</v>
      </c>
      <c r="AH23" s="1247">
        <f>AG23+SUMIF('11.1.Амортиз.нови активи'!$B$12:$B$59,$B23,'11.1.Амортиз.нови активи'!AH$12:AH$59)</f>
        <v>0</v>
      </c>
      <c r="AI23" s="1243">
        <f>AH23+SUMIF('11.1.Амортиз.нови активи'!$B$12:$B$59,$B23,'11.1.Амортиз.нови активи'!AI$12:AI$59)</f>
        <v>0</v>
      </c>
      <c r="AJ23" s="1243">
        <f>AI23+SUMIF('11.1.Амортиз.нови активи'!$B$12:$B$59,$B23,'11.1.Амортиз.нови активи'!AJ$12:AJ$59)</f>
        <v>0</v>
      </c>
      <c r="AK23" s="1243">
        <f>AJ23+SUMIF('11.1.Амортиз.нови активи'!$B$12:$B$59,$B23,'11.1.Амортиз.нови активи'!AK$12:AK$59)</f>
        <v>0</v>
      </c>
      <c r="AL23" s="1243">
        <f>AK23+SUMIF('11.1.Амортиз.нови активи'!$B$12:$B$59,$B23,'11.1.Амортиз.нови активи'!AL$12:AL$59)</f>
        <v>0</v>
      </c>
      <c r="AM23" s="1248">
        <f>AL23+SUMIF('11.1.Амортиз.нови активи'!$B$12:$B$59,$B23,'11.1.Амортиз.нови активи'!AM$12:AM$59)</f>
        <v>0</v>
      </c>
      <c r="AN23" s="2681"/>
      <c r="AO23" s="2689"/>
      <c r="AP23" s="4775"/>
      <c r="AQ23" s="4794">
        <f t="shared" si="31"/>
        <v>35.279139802539078</v>
      </c>
      <c r="AR23" s="4794">
        <f t="shared" si="32"/>
        <v>35.279139802539078</v>
      </c>
      <c r="AS23" s="4794">
        <f t="shared" si="33"/>
        <v>35.279139802539078</v>
      </c>
      <c r="AT23" s="4794">
        <f t="shared" si="34"/>
        <v>35.279139802539078</v>
      </c>
      <c r="AU23" s="4794">
        <f t="shared" si="35"/>
        <v>35.279139802539078</v>
      </c>
      <c r="AV23" s="4794">
        <f t="shared" si="36"/>
        <v>35.279139802539078</v>
      </c>
      <c r="AW23" s="4794">
        <f t="shared" si="37"/>
        <v>35.279139802539078</v>
      </c>
      <c r="AX23" s="4794">
        <f t="shared" si="38"/>
        <v>12.271005148709245</v>
      </c>
      <c r="AY23" s="4794">
        <f t="shared" si="39"/>
        <v>12.271005148709245</v>
      </c>
      <c r="AZ23" s="4794">
        <f t="shared" si="40"/>
        <v>12.271005148709245</v>
      </c>
      <c r="BA23" s="4794">
        <f t="shared" si="41"/>
        <v>12.271005148709245</v>
      </c>
      <c r="BB23" s="4794">
        <f t="shared" si="42"/>
        <v>12.271005148709245</v>
      </c>
      <c r="BC23" s="4794">
        <f t="shared" si="43"/>
        <v>12.271005148709245</v>
      </c>
      <c r="BD23" s="4794">
        <f t="shared" si="44"/>
        <v>12.271005148709245</v>
      </c>
      <c r="BE23" s="4794">
        <f t="shared" si="45"/>
        <v>7.1580863367470586</v>
      </c>
      <c r="BF23" s="4794">
        <f t="shared" si="46"/>
        <v>7.1580863367470586</v>
      </c>
      <c r="BG23" s="4794">
        <f t="shared" si="47"/>
        <v>7.1580863367470586</v>
      </c>
      <c r="BH23" s="4794">
        <f t="shared" si="48"/>
        <v>7.1580863367470586</v>
      </c>
      <c r="BI23" s="4794">
        <f t="shared" si="49"/>
        <v>7.1580863367470586</v>
      </c>
      <c r="BJ23" s="4794">
        <f t="shared" si="50"/>
        <v>7.1580863367470586</v>
      </c>
      <c r="BK23" s="4794">
        <f t="shared" si="51"/>
        <v>7.1580863367470586</v>
      </c>
      <c r="BL23" s="4794">
        <f t="shared" si="52"/>
        <v>0</v>
      </c>
      <c r="BM23" s="4794">
        <f t="shared" si="53"/>
        <v>0</v>
      </c>
      <c r="BN23" s="4794">
        <f t="shared" si="54"/>
        <v>0</v>
      </c>
      <c r="BO23" s="4794">
        <f t="shared" si="55"/>
        <v>0</v>
      </c>
      <c r="BP23" s="4794">
        <f t="shared" si="56"/>
        <v>0</v>
      </c>
      <c r="BQ23" s="4794">
        <f t="shared" si="57"/>
        <v>0</v>
      </c>
      <c r="BR23" s="4794">
        <f t="shared" si="58"/>
        <v>0</v>
      </c>
      <c r="BS23" s="4794">
        <f t="shared" si="59"/>
        <v>0</v>
      </c>
      <c r="BT23" s="4794">
        <f t="shared" si="60"/>
        <v>0</v>
      </c>
      <c r="BU23" s="4794">
        <f t="shared" si="61"/>
        <v>0</v>
      </c>
      <c r="BV23" s="4794">
        <f t="shared" si="62"/>
        <v>0</v>
      </c>
      <c r="BW23" s="4794">
        <f t="shared" si="63"/>
        <v>0</v>
      </c>
      <c r="BX23" s="4794">
        <f t="shared" si="64"/>
        <v>0</v>
      </c>
      <c r="BY23" s="4794">
        <f t="shared" si="65"/>
        <v>0</v>
      </c>
    </row>
    <row r="24" spans="1:77">
      <c r="A24" s="2694">
        <v>6</v>
      </c>
      <c r="B24" s="2695">
        <v>208</v>
      </c>
      <c r="C24" s="2690">
        <v>0.2</v>
      </c>
      <c r="D24" s="2697" t="s">
        <v>413</v>
      </c>
      <c r="E24" s="4738">
        <f>+'11.3. ДА Базова година'!H25</f>
        <v>177</v>
      </c>
      <c r="F24" s="927">
        <f>E24+SUMIF('11.1.Амортиз.нови активи'!$B$12:$B$59,$B24,'11.1.Амортиз.нови активи'!F$12:F$59)+('9.Инвестиционна програма'!H$130*SUMIF('11.1.Амортиз.нови активи'!$B$12:$B$59,$B24,'11.1.Амортиз.нови активи'!AO$12:AO$59))</f>
        <v>183.66666666666666</v>
      </c>
      <c r="G24" s="1243">
        <f>F24+SUMIF('11.1.Амортиз.нови активи'!$B$12:$B$59,$B24,'11.1.Амортиз.нови активи'!G$12:G$59)+('9.Инвестиционна програма'!I$130*SUMIF('11.1.Амортиз.нови активи'!$B$12:$B$59,$B24,'11.1.Амортиз.нови активи'!AP$12:AP$59))</f>
        <v>190.33333333333331</v>
      </c>
      <c r="H24" s="1243">
        <f>G24+SUMIF('11.1.Амортиз.нови активи'!$B$12:$B$59,$B24,'11.1.Амортиз.нови активи'!H$12:H$59)+('9.Инвестиционна програма'!J$130*SUMIF('11.1.Амортиз.нови активи'!$B$12:$B$59,$B24,'11.1.Амортиз.нови активи'!AQ$12:AQ$59))</f>
        <v>196.99999999999997</v>
      </c>
      <c r="I24" s="1243">
        <f>H24+SUMIF('11.1.Амортиз.нови активи'!$B$12:$B$59,$B24,'11.1.Амортиз.нови активи'!I$12:I$59)+('9.Инвестиционна програма'!K$130*SUMIF('11.1.Амортиз.нови активи'!$B$12:$B$59,$B24,'11.1.Амортиз.нови активи'!AR$12:AR$59))</f>
        <v>203.66666666666663</v>
      </c>
      <c r="J24" s="1243">
        <f>I24+SUMIF('11.1.Амортиз.нови активи'!$B$12:$B$59,$B24,'11.1.Амортиз.нови активи'!J$12:J$59)+('9.Инвестиционна програма'!L$130*SUMIF('11.1.Амортиз.нови активи'!$B$12:$B$59,$B24,'11.1.Амортиз.нови активи'!AS$12:AS$59))</f>
        <v>210.33333333333329</v>
      </c>
      <c r="K24" s="1248">
        <f>J24+SUMIF('11.1.Амортиз.нови активи'!$B$12:$B$59,$B24,'11.1.Амортиз.нови активи'!K$12:K$59)+('9.Инвестиционна програма'!M$130*SUMIF('11.1.Амортиз.нови активи'!$B$12:$B$59,$B24,'11.1.Амортиз.нови активи'!AT$12:AT$59))</f>
        <v>216.99999999999994</v>
      </c>
      <c r="L24" s="4738">
        <f>+'11.3. ДА Базова година'!L25</f>
        <v>95</v>
      </c>
      <c r="M24" s="1247">
        <f>L24+SUMIF('11.1.Амортиз.нови активи'!$B$12:$B$59,$B24,'11.1.Амортиз.нови активи'!M$12:M$59)+('9.Инвестиционна програма'!H$131*SUMIF('11.1.Амортиз.нови активи'!$B$12:$B$59,$B24,'11.1.Амортиз.нови активи'!AO$12:AO$59))</f>
        <v>101.66666666666667</v>
      </c>
      <c r="N24" s="1243">
        <f>M24+SUMIF('11.1.Амортиз.нови активи'!$B$12:$B$59,$B24,'11.1.Амортиз.нови активи'!N$12:N$59)+('9.Инвестиционна програма'!I$131*SUMIF('11.1.Амортиз.нови активи'!$B$12:$B$59,$B24,'11.1.Амортиз.нови активи'!AP$12:AP$59))</f>
        <v>108.33333333333334</v>
      </c>
      <c r="O24" s="1243">
        <f>N24+SUMIF('11.1.Амортиз.нови активи'!$B$12:$B$59,$B24,'11.1.Амортиз.нови активи'!O$12:O$59)+('9.Инвестиционна програма'!J$131*SUMIF('11.1.Амортиз.нови активи'!$B$12:$B$59,$B24,'11.1.Амортиз.нови активи'!AQ$12:AQ$59))</f>
        <v>115.00000000000001</v>
      </c>
      <c r="P24" s="1243">
        <f>O24+SUMIF('11.1.Амортиз.нови активи'!$B$12:$B$59,$B24,'11.1.Амортиз.нови активи'!P$12:P$59)+('9.Инвестиционна програма'!K$131*SUMIF('11.1.Амортиз.нови активи'!$B$12:$B$59,$B24,'11.1.Амортиз.нови активи'!AR$12:AR$59))</f>
        <v>121.66666666666669</v>
      </c>
      <c r="Q24" s="1243">
        <f>P24+SUMIF('11.1.Амортиз.нови активи'!$B$12:$B$59,$B24,'11.1.Амортиз.нови активи'!Q$12:Q$59)+('9.Инвестиционна програма'!L$131*SUMIF('11.1.Амортиз.нови активи'!$B$12:$B$59,$B24,'11.1.Амортиз.нови активи'!AS$12:AS$59))</f>
        <v>128.33333333333334</v>
      </c>
      <c r="R24" s="1248">
        <f>Q24+SUMIF('11.1.Амортиз.нови активи'!$B$12:$B$59,$B24,'11.1.Амортиз.нови активи'!R$12:R$59)+('9.Инвестиционна програма'!M$131*SUMIF('11.1.Амортиз.нови активи'!$B$12:$B$59,$B24,'11.1.Амортиз.нови активи'!AT$12:AT$59))</f>
        <v>135</v>
      </c>
      <c r="S24" s="4738">
        <f>+'11.3. ДА Базова година'!P25</f>
        <v>96</v>
      </c>
      <c r="T24" s="1247">
        <f>S24+SUMIF('11.1.Амортиз.нови активи'!$B$12:$B$59,$B24,'11.1.Амортиз.нови активи'!T$12:T$59)+('9.Инвестиционна програма'!H$132*SUMIF('11.1.Амортиз.нови активи'!$B$12:$B$59,$B24,'11.1.Амортиз.нови активи'!AO$12:AO$59))</f>
        <v>102.66666666666667</v>
      </c>
      <c r="U24" s="1243">
        <f>T24+SUMIF('11.1.Амортиз.нови активи'!$B$12:$B$59,$B24,'11.1.Амортиз.нови активи'!U$12:U$59)+('9.Инвестиционна програма'!I$132*SUMIF('11.1.Амортиз.нови активи'!$B$12:$B$59,$B24,'11.1.Амортиз.нови активи'!AP$12:AP$59))</f>
        <v>109.33333333333334</v>
      </c>
      <c r="V24" s="1243">
        <f>U24+SUMIF('11.1.Амортиз.нови активи'!$B$12:$B$59,$B24,'11.1.Амортиз.нови активи'!V$12:V$59)+('9.Инвестиционна програма'!J$132*SUMIF('11.1.Амортиз.нови активи'!$B$12:$B$59,$B24,'11.1.Амортиз.нови активи'!AQ$12:AQ$59))</f>
        <v>116.00000000000001</v>
      </c>
      <c r="W24" s="1243">
        <f>V24+SUMIF('11.1.Амортиз.нови активи'!$B$12:$B$59,$B24,'11.1.Амортиз.нови активи'!W$12:W$59)+('9.Инвестиционна програма'!K$132*SUMIF('11.1.Амортиз.нови активи'!$B$12:$B$59,$B24,'11.1.Амортиз.нови активи'!AR$12:AR$59))</f>
        <v>122.66666666666669</v>
      </c>
      <c r="X24" s="1243">
        <f>W24+SUMIF('11.1.Амортиз.нови активи'!$B$12:$B$59,$B24,'11.1.Амортиз.нови активи'!X$12:X$59)+('9.Инвестиционна програма'!L$132*SUMIF('11.1.Амортиз.нови активи'!$B$12:$B$59,$B24,'11.1.Амортиз.нови активи'!AS$12:AS$59))</f>
        <v>129.33333333333334</v>
      </c>
      <c r="Y24" s="1248">
        <f>X24+SUMIF('11.1.Амортиз.нови активи'!$B$12:$B$59,$B24,'11.1.Амортиз.нови активи'!Y$12:Y$59)+('9.Инвестиционна програма'!M$132*SUMIF('11.1.Амортиз.нови активи'!$B$12:$B$59,$B24,'11.1.Амортиз.нови активи'!AT$12:AT$59))</f>
        <v>136</v>
      </c>
      <c r="Z24" s="4738">
        <f>+'11.3. ДА Базова година'!T25</f>
        <v>0</v>
      </c>
      <c r="AA24" s="1247">
        <f>Z24+SUMIF('11.1.Амортиз.нови активи'!$B$12:$B$59,$B24,'11.1.Амортиз.нови активи'!AA$12:AA$59)</f>
        <v>0</v>
      </c>
      <c r="AB24" s="1243">
        <f>AA24+SUMIF('11.1.Амортиз.нови активи'!$B$12:$B$59,$B24,'11.1.Амортиз.нови активи'!AB$12:AB$59)</f>
        <v>0</v>
      </c>
      <c r="AC24" s="1243">
        <f>AB24+SUMIF('11.1.Амортиз.нови активи'!$B$12:$B$59,$B24,'11.1.Амортиз.нови активи'!AC$12:AC$59)</f>
        <v>0</v>
      </c>
      <c r="AD24" s="1243">
        <f>AC24+SUMIF('11.1.Амортиз.нови активи'!$B$12:$B$59,$B24,'11.1.Амортиз.нови активи'!AD$12:AD$59)</f>
        <v>0</v>
      </c>
      <c r="AE24" s="1243">
        <f>AD24+SUMIF('11.1.Амортиз.нови активи'!$B$12:$B$59,$B24,'11.1.Амортиз.нови активи'!AE$12:AE$59)</f>
        <v>0</v>
      </c>
      <c r="AF24" s="1248">
        <f>AE24+SUMIF('11.1.Амортиз.нови активи'!$B$12:$B$59,$B24,'11.1.Амортиз.нови активи'!AF$12:AF$59)</f>
        <v>0</v>
      </c>
      <c r="AG24" s="4738">
        <f>+'11.3. ДА Базова година'!X25</f>
        <v>0</v>
      </c>
      <c r="AH24" s="1247">
        <f>AG24+SUMIF('11.1.Амортиз.нови активи'!$B$12:$B$59,$B24,'11.1.Амортиз.нови активи'!AH$12:AH$59)</f>
        <v>0</v>
      </c>
      <c r="AI24" s="1243">
        <f>AH24+SUMIF('11.1.Амортиз.нови активи'!$B$12:$B$59,$B24,'11.1.Амортиз.нови активи'!AI$12:AI$59)</f>
        <v>0</v>
      </c>
      <c r="AJ24" s="1243">
        <f>AI24+SUMIF('11.1.Амортиз.нови активи'!$B$12:$B$59,$B24,'11.1.Амортиз.нови активи'!AJ$12:AJ$59)</f>
        <v>0</v>
      </c>
      <c r="AK24" s="1243">
        <f>AJ24+SUMIF('11.1.Амортиз.нови активи'!$B$12:$B$59,$B24,'11.1.Амортиз.нови активи'!AK$12:AK$59)</f>
        <v>0</v>
      </c>
      <c r="AL24" s="1243">
        <f>AK24+SUMIF('11.1.Амортиз.нови активи'!$B$12:$B$59,$B24,'11.1.Амортиз.нови активи'!AL$12:AL$59)</f>
        <v>0</v>
      </c>
      <c r="AM24" s="1248">
        <f>AL24+SUMIF('11.1.Амортиз.нови активи'!$B$12:$B$59,$B24,'11.1.Амортиз.нови активи'!AM$12:AM$59)</f>
        <v>0</v>
      </c>
      <c r="AN24" s="2681"/>
      <c r="AO24" s="2689"/>
      <c r="AP24" s="4775"/>
      <c r="AQ24" s="4794">
        <f t="shared" si="31"/>
        <v>90.498662971730667</v>
      </c>
      <c r="AR24" s="4794">
        <f t="shared" si="32"/>
        <v>93.907275513038797</v>
      </c>
      <c r="AS24" s="4794">
        <f t="shared" si="33"/>
        <v>97.315888054346914</v>
      </c>
      <c r="AT24" s="4794">
        <f t="shared" si="34"/>
        <v>100.72450059565503</v>
      </c>
      <c r="AU24" s="4794">
        <f t="shared" si="35"/>
        <v>104.13311313696315</v>
      </c>
      <c r="AV24" s="4794">
        <f t="shared" si="36"/>
        <v>107.54172567827126</v>
      </c>
      <c r="AW24" s="4794">
        <f t="shared" si="37"/>
        <v>110.95033821957938</v>
      </c>
      <c r="AX24" s="4794">
        <f t="shared" si="38"/>
        <v>48.572728713640757</v>
      </c>
      <c r="AY24" s="4794">
        <f t="shared" si="39"/>
        <v>51.98134125494888</v>
      </c>
      <c r="AZ24" s="4794">
        <f t="shared" si="40"/>
        <v>55.389953796257011</v>
      </c>
      <c r="BA24" s="4794">
        <f t="shared" si="41"/>
        <v>58.798566337565134</v>
      </c>
      <c r="BB24" s="4794">
        <f t="shared" si="42"/>
        <v>62.207178878873258</v>
      </c>
      <c r="BC24" s="4794">
        <f t="shared" si="43"/>
        <v>65.615791420181381</v>
      </c>
      <c r="BD24" s="4794">
        <f t="shared" si="44"/>
        <v>69.024403961489497</v>
      </c>
      <c r="BE24" s="4794">
        <f t="shared" si="45"/>
        <v>49.084020594836979</v>
      </c>
      <c r="BF24" s="4794">
        <f t="shared" si="46"/>
        <v>52.492633136145102</v>
      </c>
      <c r="BG24" s="4794">
        <f t="shared" si="47"/>
        <v>55.901245677453225</v>
      </c>
      <c r="BH24" s="4794">
        <f t="shared" si="48"/>
        <v>59.309858218761356</v>
      </c>
      <c r="BI24" s="4794">
        <f t="shared" si="49"/>
        <v>62.718470760069479</v>
      </c>
      <c r="BJ24" s="4794">
        <f t="shared" si="50"/>
        <v>66.127083301377596</v>
      </c>
      <c r="BK24" s="4794">
        <f t="shared" si="51"/>
        <v>69.535695842685712</v>
      </c>
      <c r="BL24" s="4794">
        <f t="shared" si="52"/>
        <v>0</v>
      </c>
      <c r="BM24" s="4794">
        <f t="shared" si="53"/>
        <v>0</v>
      </c>
      <c r="BN24" s="4794">
        <f t="shared" si="54"/>
        <v>0</v>
      </c>
      <c r="BO24" s="4794">
        <f t="shared" si="55"/>
        <v>0</v>
      </c>
      <c r="BP24" s="4794">
        <f t="shared" si="56"/>
        <v>0</v>
      </c>
      <c r="BQ24" s="4794">
        <f t="shared" si="57"/>
        <v>0</v>
      </c>
      <c r="BR24" s="4794">
        <f t="shared" si="58"/>
        <v>0</v>
      </c>
      <c r="BS24" s="4794">
        <f t="shared" si="59"/>
        <v>0</v>
      </c>
      <c r="BT24" s="4794">
        <f t="shared" si="60"/>
        <v>0</v>
      </c>
      <c r="BU24" s="4794">
        <f t="shared" si="61"/>
        <v>0</v>
      </c>
      <c r="BV24" s="4794">
        <f t="shared" si="62"/>
        <v>0</v>
      </c>
      <c r="BW24" s="4794">
        <f t="shared" si="63"/>
        <v>0</v>
      </c>
      <c r="BX24" s="4794">
        <f t="shared" si="64"/>
        <v>0</v>
      </c>
      <c r="BY24" s="4794">
        <f t="shared" si="65"/>
        <v>0</v>
      </c>
    </row>
    <row r="25" spans="1:77">
      <c r="A25" s="2694">
        <v>7</v>
      </c>
      <c r="B25" s="2698">
        <v>20601</v>
      </c>
      <c r="C25" s="2690">
        <v>0.1</v>
      </c>
      <c r="D25" s="2697" t="s">
        <v>564</v>
      </c>
      <c r="E25" s="4738">
        <f>+'11.3. ДА Базова година'!H26</f>
        <v>272</v>
      </c>
      <c r="F25" s="927">
        <f>E25+SUMIF('11.1.Амортиз.нови активи'!$B$12:$B$59,$B25,'11.1.Амортиз.нови активи'!F$12:F$59)+('9.Инвестиционна програма'!H$130*SUMIF('11.1.Амортиз.нови активи'!$B$12:$B$59,$B25,'11.1.Амортиз.нови активи'!AO$12:AO$59))</f>
        <v>305.33333333333331</v>
      </c>
      <c r="G25" s="1243">
        <f>F25+SUMIF('11.1.Амортиз.нови активи'!$B$12:$B$59,$B25,'11.1.Амортиз.нови активи'!G$12:G$59)+('9.Инвестиционна програма'!I$130*SUMIF('11.1.Амортиз.нови активи'!$B$12:$B$59,$B25,'11.1.Амортиз.нови активи'!AP$12:AP$59))</f>
        <v>332</v>
      </c>
      <c r="H25" s="1243">
        <f>G25+SUMIF('11.1.Амортиз.нови активи'!$B$12:$B$59,$B25,'11.1.Амортиз.нови активи'!H$12:H$59)+('9.Инвестиционна програма'!J$130*SUMIF('11.1.Амортиз.нови активи'!$B$12:$B$59,$B25,'11.1.Амортиз.нови активи'!AQ$12:AQ$59))</f>
        <v>348.66666666666669</v>
      </c>
      <c r="I25" s="1243">
        <f>H25+SUMIF('11.1.Амортиз.нови активи'!$B$12:$B$59,$B25,'11.1.Амортиз.нови активи'!I$12:I$59)+('9.Инвестиционна програма'!K$130*SUMIF('11.1.Амортиз.нови активи'!$B$12:$B$59,$B25,'11.1.Амортиз.нови активи'!AR$12:AR$59))</f>
        <v>368.66666666666669</v>
      </c>
      <c r="J25" s="1243">
        <f>I25+SUMIF('11.1.Амортиз.нови активи'!$B$12:$B$59,$B25,'11.1.Амортиз.нови активи'!J$12:J$59)+('9.Инвестиционна програма'!L$130*SUMIF('11.1.Амортиз.нови активи'!$B$12:$B$59,$B25,'11.1.Амортиз.нови активи'!AS$12:AS$59))</f>
        <v>385.33333333333337</v>
      </c>
      <c r="K25" s="1248">
        <f>J25+SUMIF('11.1.Амортиз.нови активи'!$B$12:$B$59,$B25,'11.1.Амортиз.нови активи'!K$12:K$59)+('9.Инвестиционна програма'!M$130*SUMIF('11.1.Амортиз.нови активи'!$B$12:$B$59,$B25,'11.1.Амортиз.нови активи'!AT$12:AT$59))</f>
        <v>405.33333333333337</v>
      </c>
      <c r="L25" s="4738">
        <f>+'11.3. ДА Базова година'!L26</f>
        <v>113</v>
      </c>
      <c r="M25" s="1247">
        <f>L25+SUMIF('11.1.Амортиз.нови активи'!$B$12:$B$59,$B25,'11.1.Амортиз.нови активи'!M$12:M$59)+('9.Инвестиционна програма'!H$131*SUMIF('11.1.Амортиз.нови активи'!$B$12:$B$59,$B25,'11.1.Амортиз.нови активи'!AO$12:AO$59))</f>
        <v>146.33333333333331</v>
      </c>
      <c r="N25" s="1243">
        <f>M25+SUMIF('11.1.Амортиз.нови активи'!$B$12:$B$59,$B25,'11.1.Амортиз.нови активи'!N$12:N$59)+('9.Инвестиционна програма'!I$131*SUMIF('11.1.Амортиз.нови активи'!$B$12:$B$59,$B25,'11.1.Амортиз.нови активи'!AP$12:AP$59))</f>
        <v>172.99999999999997</v>
      </c>
      <c r="O25" s="1243">
        <f>N25+SUMIF('11.1.Амортиз.нови активи'!$B$12:$B$59,$B25,'11.1.Амортиз.нови активи'!O$12:O$59)+('9.Инвестиционна програма'!J$131*SUMIF('11.1.Амортиз.нови активи'!$B$12:$B$59,$B25,'11.1.Амортиз.нови активи'!AQ$12:AQ$59))</f>
        <v>189.66666666666663</v>
      </c>
      <c r="P25" s="1243">
        <f>O25+SUMIF('11.1.Амортиз.нови активи'!$B$12:$B$59,$B25,'11.1.Амортиз.нови активи'!P$12:P$59)+('9.Инвестиционна програма'!K$131*SUMIF('11.1.Амортиз.нови активи'!$B$12:$B$59,$B25,'11.1.Амортиз.нови активи'!AR$12:AR$59))</f>
        <v>209.66666666666663</v>
      </c>
      <c r="Q25" s="1243">
        <f>P25+SUMIF('11.1.Амортиз.нови активи'!$B$12:$B$59,$B25,'11.1.Амортиз.нови активи'!Q$12:Q$59)+('9.Инвестиционна програма'!L$131*SUMIF('11.1.Амортиз.нови активи'!$B$12:$B$59,$B25,'11.1.Амортиз.нови активи'!AS$12:AS$59))</f>
        <v>226.33333333333329</v>
      </c>
      <c r="R25" s="1248">
        <f>Q25+SUMIF('11.1.Амортиз.нови активи'!$B$12:$B$59,$B25,'11.1.Амортиз.нови активи'!R$12:R$59)+('9.Инвестиционна програма'!M$131*SUMIF('11.1.Амортиз.нови активи'!$B$12:$B$59,$B25,'11.1.Амортиз.нови активи'!AT$12:AT$59))</f>
        <v>246.33333333333329</v>
      </c>
      <c r="S25" s="4738">
        <f>+'11.3. ДА Базова година'!P26</f>
        <v>96</v>
      </c>
      <c r="T25" s="1247">
        <f>S25+SUMIF('11.1.Амортиз.нови активи'!$B$12:$B$59,$B25,'11.1.Амортиз.нови активи'!T$12:T$59)+('9.Инвестиционна програма'!H$132*SUMIF('11.1.Амортиз.нови активи'!$B$12:$B$59,$B25,'11.1.Амортиз.нови активи'!AO$12:AO$59))</f>
        <v>129.33333333333331</v>
      </c>
      <c r="U25" s="1243">
        <f>T25+SUMIF('11.1.Амортиз.нови активи'!$B$12:$B$59,$B25,'11.1.Амортиз.нови активи'!U$12:U$59)+('9.Инвестиционна програма'!I$132*SUMIF('11.1.Амортиз.нови активи'!$B$12:$B$59,$B25,'11.1.Амортиз.нови активи'!AP$12:AP$59))</f>
        <v>155.99999999999997</v>
      </c>
      <c r="V25" s="1243">
        <f>U25+SUMIF('11.1.Амортиз.нови активи'!$B$12:$B$59,$B25,'11.1.Амортиз.нови активи'!V$12:V$59)+('9.Инвестиционна програма'!J$132*SUMIF('11.1.Амортиз.нови активи'!$B$12:$B$59,$B25,'11.1.Амортиз.нови активи'!AQ$12:AQ$59))</f>
        <v>172.66666666666663</v>
      </c>
      <c r="W25" s="1243">
        <f>V25+SUMIF('11.1.Амортиз.нови активи'!$B$12:$B$59,$B25,'11.1.Амортиз.нови активи'!W$12:W$59)+('9.Инвестиционна програма'!K$132*SUMIF('11.1.Амортиз.нови активи'!$B$12:$B$59,$B25,'11.1.Амортиз.нови активи'!AR$12:AR$59))</f>
        <v>192.66666666666663</v>
      </c>
      <c r="X25" s="1243">
        <f>W25+SUMIF('11.1.Амортиз.нови активи'!$B$12:$B$59,$B25,'11.1.Амортиз.нови активи'!X$12:X$59)+('9.Инвестиционна програма'!L$132*SUMIF('11.1.Амортиз.нови активи'!$B$12:$B$59,$B25,'11.1.Амортиз.нови активи'!AS$12:AS$59))</f>
        <v>209.33333333333329</v>
      </c>
      <c r="Y25" s="1248">
        <f>X25+SUMIF('11.1.Амортиз.нови активи'!$B$12:$B$59,$B25,'11.1.Амортиз.нови активи'!Y$12:Y$59)+('9.Инвестиционна програма'!M$132*SUMIF('11.1.Амортиз.нови активи'!$B$12:$B$59,$B25,'11.1.Амортиз.нови активи'!AT$12:AT$59))</f>
        <v>229.33333333333329</v>
      </c>
      <c r="Z25" s="4738">
        <f>+'11.3. ДА Базова година'!T26</f>
        <v>0</v>
      </c>
      <c r="AA25" s="1247">
        <f>Z25+SUMIF('11.1.Амортиз.нови активи'!$B$12:$B$59,$B25,'11.1.Амортиз.нови активи'!AA$12:AA$59)</f>
        <v>0</v>
      </c>
      <c r="AB25" s="1243">
        <f>AA25+SUMIF('11.1.Амортиз.нови активи'!$B$12:$B$59,$B25,'11.1.Амортиз.нови активи'!AB$12:AB$59)</f>
        <v>0</v>
      </c>
      <c r="AC25" s="1243">
        <f>AB25+SUMIF('11.1.Амортиз.нови активи'!$B$12:$B$59,$B25,'11.1.Амортиз.нови активи'!AC$12:AC$59)</f>
        <v>0</v>
      </c>
      <c r="AD25" s="1243">
        <f>AC25+SUMIF('11.1.Амортиз.нови активи'!$B$12:$B$59,$B25,'11.1.Амортиз.нови активи'!AD$12:AD$59)</f>
        <v>0</v>
      </c>
      <c r="AE25" s="1243">
        <f>AD25+SUMIF('11.1.Амортиз.нови активи'!$B$12:$B$59,$B25,'11.1.Амортиз.нови активи'!AE$12:AE$59)</f>
        <v>0</v>
      </c>
      <c r="AF25" s="1248">
        <f>AE25+SUMIF('11.1.Амортиз.нови активи'!$B$12:$B$59,$B25,'11.1.Амортиз.нови активи'!AF$12:AF$59)</f>
        <v>0</v>
      </c>
      <c r="AG25" s="4738">
        <f>+'11.3. ДА Базова година'!X26</f>
        <v>0</v>
      </c>
      <c r="AH25" s="1247">
        <f>AG25+SUMIF('11.1.Амортиз.нови активи'!$B$12:$B$59,$B25,'11.1.Амортиз.нови активи'!AH$12:AH$59)</f>
        <v>0</v>
      </c>
      <c r="AI25" s="1243">
        <f>AH25+SUMIF('11.1.Амортиз.нови активи'!$B$12:$B$59,$B25,'11.1.Амортиз.нови активи'!AI$12:AI$59)</f>
        <v>0</v>
      </c>
      <c r="AJ25" s="1243">
        <f>AI25+SUMIF('11.1.Амортиз.нови активи'!$B$12:$B$59,$B25,'11.1.Амортиз.нови активи'!AJ$12:AJ$59)</f>
        <v>0</v>
      </c>
      <c r="AK25" s="1243">
        <f>AJ25+SUMIF('11.1.Амортиз.нови активи'!$B$12:$B$59,$B25,'11.1.Амортиз.нови активи'!AK$12:AK$59)</f>
        <v>0</v>
      </c>
      <c r="AL25" s="1243">
        <f>AK25+SUMIF('11.1.Амортиз.нови активи'!$B$12:$B$59,$B25,'11.1.Амортиз.нови активи'!AL$12:AL$59)</f>
        <v>0</v>
      </c>
      <c r="AM25" s="1248">
        <f>AL25+SUMIF('11.1.Амортиз.нови активи'!$B$12:$B$59,$B25,'11.1.Амортиз.нови активи'!AM$12:AM$59)</f>
        <v>0</v>
      </c>
      <c r="AN25" s="2681"/>
      <c r="AO25" s="2689"/>
      <c r="AP25" s="4775"/>
      <c r="AQ25" s="4794">
        <f t="shared" si="31"/>
        <v>139.07139168537142</v>
      </c>
      <c r="AR25" s="4794">
        <f t="shared" si="32"/>
        <v>156.11445439191203</v>
      </c>
      <c r="AS25" s="4794">
        <f t="shared" si="33"/>
        <v>169.74890455714453</v>
      </c>
      <c r="AT25" s="4794">
        <f t="shared" si="34"/>
        <v>178.27043591041485</v>
      </c>
      <c r="AU25" s="4794">
        <f t="shared" si="35"/>
        <v>188.49627353433922</v>
      </c>
      <c r="AV25" s="4794">
        <f t="shared" si="36"/>
        <v>197.01780488760954</v>
      </c>
      <c r="AW25" s="4794">
        <f t="shared" si="37"/>
        <v>207.24364251153392</v>
      </c>
      <c r="AX25" s="4794">
        <f t="shared" si="38"/>
        <v>57.775982575172691</v>
      </c>
      <c r="AY25" s="4794">
        <f t="shared" si="39"/>
        <v>74.819045281713301</v>
      </c>
      <c r="AZ25" s="4794">
        <f t="shared" si="40"/>
        <v>88.45349544694578</v>
      </c>
      <c r="BA25" s="4794">
        <f t="shared" si="41"/>
        <v>96.975026800216085</v>
      </c>
      <c r="BB25" s="4794">
        <f t="shared" si="42"/>
        <v>107.20086442414046</v>
      </c>
      <c r="BC25" s="4794">
        <f t="shared" si="43"/>
        <v>115.72239577741077</v>
      </c>
      <c r="BD25" s="4794">
        <f t="shared" si="44"/>
        <v>125.94823340133513</v>
      </c>
      <c r="BE25" s="4794">
        <f t="shared" si="45"/>
        <v>49.084020594836979</v>
      </c>
      <c r="BF25" s="4794">
        <f t="shared" si="46"/>
        <v>66.127083301377581</v>
      </c>
      <c r="BG25" s="4794">
        <f t="shared" si="47"/>
        <v>79.761533466610075</v>
      </c>
      <c r="BH25" s="4794">
        <f t="shared" si="48"/>
        <v>88.28306481988038</v>
      </c>
      <c r="BI25" s="4794">
        <f t="shared" si="49"/>
        <v>98.508902443804743</v>
      </c>
      <c r="BJ25" s="4794">
        <f t="shared" si="50"/>
        <v>107.03043379707505</v>
      </c>
      <c r="BK25" s="4794">
        <f t="shared" si="51"/>
        <v>117.25627142099941</v>
      </c>
      <c r="BL25" s="4794">
        <f t="shared" si="52"/>
        <v>0</v>
      </c>
      <c r="BM25" s="4794">
        <f t="shared" si="53"/>
        <v>0</v>
      </c>
      <c r="BN25" s="4794">
        <f t="shared" si="54"/>
        <v>0</v>
      </c>
      <c r="BO25" s="4794">
        <f t="shared" si="55"/>
        <v>0</v>
      </c>
      <c r="BP25" s="4794">
        <f t="shared" si="56"/>
        <v>0</v>
      </c>
      <c r="BQ25" s="4794">
        <f t="shared" si="57"/>
        <v>0</v>
      </c>
      <c r="BR25" s="4794">
        <f t="shared" si="58"/>
        <v>0</v>
      </c>
      <c r="BS25" s="4794">
        <f t="shared" si="59"/>
        <v>0</v>
      </c>
      <c r="BT25" s="4794">
        <f t="shared" si="60"/>
        <v>0</v>
      </c>
      <c r="BU25" s="4794">
        <f t="shared" si="61"/>
        <v>0</v>
      </c>
      <c r="BV25" s="4794">
        <f t="shared" si="62"/>
        <v>0</v>
      </c>
      <c r="BW25" s="4794">
        <f t="shared" si="63"/>
        <v>0</v>
      </c>
      <c r="BX25" s="4794">
        <f t="shared" si="64"/>
        <v>0</v>
      </c>
      <c r="BY25" s="4794">
        <f t="shared" si="65"/>
        <v>0</v>
      </c>
    </row>
    <row r="26" spans="1:77">
      <c r="A26" s="2699">
        <v>8</v>
      </c>
      <c r="B26" s="2698">
        <v>20602</v>
      </c>
      <c r="C26" s="2690">
        <v>0.1</v>
      </c>
      <c r="D26" s="2697" t="s">
        <v>435</v>
      </c>
      <c r="E26" s="4738">
        <f>+'11.3. ДА Базова година'!H27</f>
        <v>115</v>
      </c>
      <c r="F26" s="927">
        <f>E26+SUMIF('11.1.Амортиз.нови активи'!$B$12:$B$59,$B26,'11.1.Амортиз.нови активи'!F$12:F$59)+('9.Инвестиционна програма'!H$130*SUMIF('11.1.Амортиз.нови активи'!$B$12:$B$59,$B26,'11.1.Амортиз.нови активи'!AO$12:AO$59))</f>
        <v>115</v>
      </c>
      <c r="G26" s="1243">
        <f>F26+SUMIF('11.1.Амортиз.нови активи'!$B$12:$B$59,$B26,'11.1.Амортиз.нови активи'!G$12:G$59)+('9.Инвестиционна програма'!I$130*SUMIF('11.1.Амортиз.нови активи'!$B$12:$B$59,$B26,'11.1.Амортиз.нови активи'!AP$12:AP$59))</f>
        <v>115</v>
      </c>
      <c r="H26" s="1243">
        <f>G26+SUMIF('11.1.Амортиз.нови активи'!$B$12:$B$59,$B26,'11.1.Амортиз.нови активи'!H$12:H$59)+('9.Инвестиционна програма'!J$130*SUMIF('11.1.Амортиз.нови активи'!$B$12:$B$59,$B26,'11.1.Амортиз.нови активи'!AQ$12:AQ$59))</f>
        <v>115</v>
      </c>
      <c r="I26" s="1243">
        <f>H26+SUMIF('11.1.Амортиз.нови активи'!$B$12:$B$59,$B26,'11.1.Амортиз.нови активи'!I$12:I$59)+('9.Инвестиционна програма'!K$130*SUMIF('11.1.Амортиз.нови активи'!$B$12:$B$59,$B26,'11.1.Амортиз.нови активи'!AR$12:AR$59))</f>
        <v>115</v>
      </c>
      <c r="J26" s="1243">
        <f>I26+SUMIF('11.1.Амортиз.нови активи'!$B$12:$B$59,$B26,'11.1.Амортиз.нови активи'!J$12:J$59)+('9.Инвестиционна програма'!L$130*SUMIF('11.1.Амортиз.нови активи'!$B$12:$B$59,$B26,'11.1.Амортиз.нови активи'!AS$12:AS$59))</f>
        <v>115</v>
      </c>
      <c r="K26" s="1248">
        <f>J26+SUMIF('11.1.Амортиз.нови активи'!$B$12:$B$59,$B26,'11.1.Амортиз.нови активи'!K$12:K$59)+('9.Инвестиционна програма'!M$130*SUMIF('11.1.Амортиз.нови активи'!$B$12:$B$59,$B26,'11.1.Амортиз.нови активи'!AT$12:AT$59))</f>
        <v>115</v>
      </c>
      <c r="L26" s="4738">
        <f>+'11.3. ДА Базова година'!L27</f>
        <v>60</v>
      </c>
      <c r="M26" s="1247">
        <f>L26+SUMIF('11.1.Амортиз.нови активи'!$B$12:$B$59,$B26,'11.1.Амортиз.нови активи'!M$12:M$59)+('9.Инвестиционна програма'!H$131*SUMIF('11.1.Амортиз.нови активи'!$B$12:$B$59,$B26,'11.1.Амортиз.нови активи'!AO$12:AO$59))</f>
        <v>60</v>
      </c>
      <c r="N26" s="1243">
        <f>M26+SUMIF('11.1.Амортиз.нови активи'!$B$12:$B$59,$B26,'11.1.Амортиз.нови активи'!N$12:N$59)+('9.Инвестиционна програма'!I$131*SUMIF('11.1.Амортиз.нови активи'!$B$12:$B$59,$B26,'11.1.Амортиз.нови активи'!AP$12:AP$59))</f>
        <v>60</v>
      </c>
      <c r="O26" s="1243">
        <f>N26+SUMIF('11.1.Амортиз.нови активи'!$B$12:$B$59,$B26,'11.1.Амортиз.нови активи'!O$12:O$59)+('9.Инвестиционна програма'!J$131*SUMIF('11.1.Амортиз.нови активи'!$B$12:$B$59,$B26,'11.1.Амортиз.нови активи'!AQ$12:AQ$59))</f>
        <v>60</v>
      </c>
      <c r="P26" s="1243">
        <f>O26+SUMIF('11.1.Амортиз.нови активи'!$B$12:$B$59,$B26,'11.1.Амортиз.нови активи'!P$12:P$59)+('9.Инвестиционна програма'!K$131*SUMIF('11.1.Амортиз.нови активи'!$B$12:$B$59,$B26,'11.1.Амортиз.нови активи'!AR$12:AR$59))</f>
        <v>60</v>
      </c>
      <c r="Q26" s="1243">
        <f>P26+SUMIF('11.1.Амортиз.нови активи'!$B$12:$B$59,$B26,'11.1.Амортиз.нови активи'!Q$12:Q$59)+('9.Инвестиционна програма'!L$131*SUMIF('11.1.Амортиз.нови активи'!$B$12:$B$59,$B26,'11.1.Амортиз.нови активи'!AS$12:AS$59))</f>
        <v>60</v>
      </c>
      <c r="R26" s="1248">
        <f>Q26+SUMIF('11.1.Амортиз.нови активи'!$B$12:$B$59,$B26,'11.1.Амортиз.нови активи'!R$12:R$59)+('9.Инвестиционна програма'!M$131*SUMIF('11.1.Амортиз.нови активи'!$B$12:$B$59,$B26,'11.1.Амортиз.нови активи'!AT$12:AT$59))</f>
        <v>60</v>
      </c>
      <c r="S26" s="4738">
        <f>+'11.3. ДА Базова година'!P27</f>
        <v>52</v>
      </c>
      <c r="T26" s="1247">
        <f>S26+SUMIF('11.1.Амортиз.нови активи'!$B$12:$B$59,$B26,'11.1.Амортиз.нови активи'!T$12:T$59)+('9.Инвестиционна програма'!H$132*SUMIF('11.1.Амортиз.нови активи'!$B$12:$B$59,$B26,'11.1.Амортиз.нови активи'!AO$12:AO$59))</f>
        <v>52</v>
      </c>
      <c r="U26" s="1243">
        <f>T26+SUMIF('11.1.Амортиз.нови активи'!$B$12:$B$59,$B26,'11.1.Амортиз.нови активи'!U$12:U$59)+('9.Инвестиционна програма'!I$132*SUMIF('11.1.Амортиз.нови активи'!$B$12:$B$59,$B26,'11.1.Амортиз.нови активи'!AP$12:AP$59))</f>
        <v>52</v>
      </c>
      <c r="V26" s="1243">
        <f>U26+SUMIF('11.1.Амортиз.нови активи'!$B$12:$B$59,$B26,'11.1.Амортиз.нови активи'!V$12:V$59)+('9.Инвестиционна програма'!J$132*SUMIF('11.1.Амортиз.нови активи'!$B$12:$B$59,$B26,'11.1.Амортиз.нови активи'!AQ$12:AQ$59))</f>
        <v>52</v>
      </c>
      <c r="W26" s="1243">
        <f>V26+SUMIF('11.1.Амортиз.нови активи'!$B$12:$B$59,$B26,'11.1.Амортиз.нови активи'!W$12:W$59)+('9.Инвестиционна програма'!K$132*SUMIF('11.1.Амортиз.нови активи'!$B$12:$B$59,$B26,'11.1.Амортиз.нови активи'!AR$12:AR$59))</f>
        <v>52</v>
      </c>
      <c r="X26" s="1243">
        <f>W26+SUMIF('11.1.Амортиз.нови активи'!$B$12:$B$59,$B26,'11.1.Амортиз.нови активи'!X$12:X$59)+('9.Инвестиционна програма'!L$132*SUMIF('11.1.Амортиз.нови активи'!$B$12:$B$59,$B26,'11.1.Амортиз.нови активи'!AS$12:AS$59))</f>
        <v>52</v>
      </c>
      <c r="Y26" s="1248">
        <f>X26+SUMIF('11.1.Амортиз.нови активи'!$B$12:$B$59,$B26,'11.1.Амортиз.нови активи'!Y$12:Y$59)+('9.Инвестиционна програма'!M$132*SUMIF('11.1.Амортиз.нови активи'!$B$12:$B$59,$B26,'11.1.Амортиз.нови активи'!AT$12:AT$59))</f>
        <v>52</v>
      </c>
      <c r="Z26" s="4738">
        <f>+'11.3. ДА Базова година'!T27</f>
        <v>0</v>
      </c>
      <c r="AA26" s="1247">
        <f>Z26+SUMIF('11.1.Амортиз.нови активи'!$B$12:$B$59,$B26,'11.1.Амортиз.нови активи'!AA$12:AA$59)</f>
        <v>0</v>
      </c>
      <c r="AB26" s="1243">
        <f>AA26+SUMIF('11.1.Амортиз.нови активи'!$B$12:$B$59,$B26,'11.1.Амортиз.нови активи'!AB$12:AB$59)</f>
        <v>0</v>
      </c>
      <c r="AC26" s="1243">
        <f>AB26+SUMIF('11.1.Амортиз.нови активи'!$B$12:$B$59,$B26,'11.1.Амортиз.нови активи'!AC$12:AC$59)</f>
        <v>0</v>
      </c>
      <c r="AD26" s="1243">
        <f>AC26+SUMIF('11.1.Амортиз.нови активи'!$B$12:$B$59,$B26,'11.1.Амортиз.нови активи'!AD$12:AD$59)</f>
        <v>0</v>
      </c>
      <c r="AE26" s="1243">
        <f>AD26+SUMIF('11.1.Амортиз.нови активи'!$B$12:$B$59,$B26,'11.1.Амортиз.нови активи'!AE$12:AE$59)</f>
        <v>0</v>
      </c>
      <c r="AF26" s="1248">
        <f>AE26+SUMIF('11.1.Амортиз.нови активи'!$B$12:$B$59,$B26,'11.1.Амортиз.нови активи'!AF$12:AF$59)</f>
        <v>0</v>
      </c>
      <c r="AG26" s="4738">
        <f>+'11.3. ДА Базова година'!X27</f>
        <v>0</v>
      </c>
      <c r="AH26" s="1247">
        <f>AG26+SUMIF('11.1.Амортиз.нови активи'!$B$12:$B$59,$B26,'11.1.Амортиз.нови активи'!AH$12:AH$59)</f>
        <v>0</v>
      </c>
      <c r="AI26" s="1243">
        <f>AH26+SUMIF('11.1.Амортиз.нови активи'!$B$12:$B$59,$B26,'11.1.Амортиз.нови активи'!AI$12:AI$59)</f>
        <v>0</v>
      </c>
      <c r="AJ26" s="1243">
        <f>AI26+SUMIF('11.1.Амортиз.нови активи'!$B$12:$B$59,$B26,'11.1.Амортиз.нови активи'!AJ$12:AJ$59)</f>
        <v>0</v>
      </c>
      <c r="AK26" s="1243">
        <f>AJ26+SUMIF('11.1.Амортиз.нови активи'!$B$12:$B$59,$B26,'11.1.Амортиз.нови активи'!AK$12:AK$59)</f>
        <v>0</v>
      </c>
      <c r="AL26" s="1243">
        <f>AK26+SUMIF('11.1.Амортиз.нови активи'!$B$12:$B$59,$B26,'11.1.Амортиз.нови активи'!AL$12:AL$59)</f>
        <v>0</v>
      </c>
      <c r="AM26" s="1248">
        <f>AL26+SUMIF('11.1.Амортиз.нови активи'!$B$12:$B$59,$B26,'11.1.Амортиз.нови активи'!AM$12:AM$59)</f>
        <v>0</v>
      </c>
      <c r="AN26" s="2681"/>
      <c r="AO26" s="2689"/>
      <c r="AP26" s="4775"/>
      <c r="AQ26" s="4794">
        <f t="shared" si="31"/>
        <v>58.798566337565127</v>
      </c>
      <c r="AR26" s="4794">
        <f t="shared" si="32"/>
        <v>58.798566337565127</v>
      </c>
      <c r="AS26" s="4794">
        <f t="shared" si="33"/>
        <v>58.798566337565127</v>
      </c>
      <c r="AT26" s="4794">
        <f t="shared" si="34"/>
        <v>58.798566337565127</v>
      </c>
      <c r="AU26" s="4794">
        <f t="shared" si="35"/>
        <v>58.798566337565127</v>
      </c>
      <c r="AV26" s="4794">
        <f t="shared" si="36"/>
        <v>58.798566337565127</v>
      </c>
      <c r="AW26" s="4794">
        <f t="shared" si="37"/>
        <v>58.798566337565127</v>
      </c>
      <c r="AX26" s="4794">
        <f t="shared" si="38"/>
        <v>30.677512871773111</v>
      </c>
      <c r="AY26" s="4794">
        <f t="shared" si="39"/>
        <v>30.677512871773111</v>
      </c>
      <c r="AZ26" s="4794">
        <f t="shared" si="40"/>
        <v>30.677512871773111</v>
      </c>
      <c r="BA26" s="4794">
        <f t="shared" si="41"/>
        <v>30.677512871773111</v>
      </c>
      <c r="BB26" s="4794">
        <f t="shared" si="42"/>
        <v>30.677512871773111</v>
      </c>
      <c r="BC26" s="4794">
        <f t="shared" si="43"/>
        <v>30.677512871773111</v>
      </c>
      <c r="BD26" s="4794">
        <f t="shared" si="44"/>
        <v>30.677512871773111</v>
      </c>
      <c r="BE26" s="4794">
        <f t="shared" si="45"/>
        <v>26.587177822203362</v>
      </c>
      <c r="BF26" s="4794">
        <f t="shared" si="46"/>
        <v>26.587177822203362</v>
      </c>
      <c r="BG26" s="4794">
        <f t="shared" si="47"/>
        <v>26.587177822203362</v>
      </c>
      <c r="BH26" s="4794">
        <f t="shared" si="48"/>
        <v>26.587177822203362</v>
      </c>
      <c r="BI26" s="4794">
        <f t="shared" si="49"/>
        <v>26.587177822203362</v>
      </c>
      <c r="BJ26" s="4794">
        <f t="shared" si="50"/>
        <v>26.587177822203362</v>
      </c>
      <c r="BK26" s="4794">
        <f t="shared" si="51"/>
        <v>26.587177822203362</v>
      </c>
      <c r="BL26" s="4794">
        <f t="shared" si="52"/>
        <v>0</v>
      </c>
      <c r="BM26" s="4794">
        <f t="shared" si="53"/>
        <v>0</v>
      </c>
      <c r="BN26" s="4794">
        <f t="shared" si="54"/>
        <v>0</v>
      </c>
      <c r="BO26" s="4794">
        <f t="shared" si="55"/>
        <v>0</v>
      </c>
      <c r="BP26" s="4794">
        <f t="shared" si="56"/>
        <v>0</v>
      </c>
      <c r="BQ26" s="4794">
        <f t="shared" si="57"/>
        <v>0</v>
      </c>
      <c r="BR26" s="4794">
        <f t="shared" si="58"/>
        <v>0</v>
      </c>
      <c r="BS26" s="4794">
        <f t="shared" si="59"/>
        <v>0</v>
      </c>
      <c r="BT26" s="4794">
        <f t="shared" si="60"/>
        <v>0</v>
      </c>
      <c r="BU26" s="4794">
        <f t="shared" si="61"/>
        <v>0</v>
      </c>
      <c r="BV26" s="4794">
        <f t="shared" si="62"/>
        <v>0</v>
      </c>
      <c r="BW26" s="4794">
        <f t="shared" si="63"/>
        <v>0</v>
      </c>
      <c r="BX26" s="4794">
        <f t="shared" si="64"/>
        <v>0</v>
      </c>
      <c r="BY26" s="4794">
        <f t="shared" si="65"/>
        <v>0</v>
      </c>
    </row>
    <row r="27" spans="1:77">
      <c r="A27" s="2699">
        <v>9</v>
      </c>
      <c r="B27" s="2695">
        <v>20603</v>
      </c>
      <c r="C27" s="2690">
        <v>0.5</v>
      </c>
      <c r="D27" s="2697" t="s">
        <v>1015</v>
      </c>
      <c r="E27" s="4738">
        <f>+'11.3. ДА Базова година'!H28</f>
        <v>2</v>
      </c>
      <c r="F27" s="927">
        <f>E27+SUMIF('11.1.Амортиз.нови активи'!$B$12:$B$59,$B27,'11.1.Амортиз.нови активи'!F$12:F$59)+('9.Инвестиционна програма'!H$130*SUMIF('11.1.Амортиз.нови активи'!$B$12:$B$59,$B27,'11.1.Амортиз.нови активи'!AO$12:AO$59))</f>
        <v>2</v>
      </c>
      <c r="G27" s="1243">
        <f>F27+SUMIF('11.1.Амортиз.нови активи'!$B$12:$B$59,$B27,'11.1.Амортиз.нови активи'!G$12:G$59)+('9.Инвестиционна програма'!I$130*SUMIF('11.1.Амортиз.нови активи'!$B$12:$B$59,$B27,'11.1.Амортиз.нови активи'!AP$12:AP$59))</f>
        <v>2</v>
      </c>
      <c r="H27" s="1243">
        <f>G27+SUMIF('11.1.Амортиз.нови активи'!$B$12:$B$59,$B27,'11.1.Амортиз.нови активи'!H$12:H$59)+('9.Инвестиционна програма'!J$130*SUMIF('11.1.Амортиз.нови активи'!$B$12:$B$59,$B27,'11.1.Амортиз.нови активи'!AQ$12:AQ$59))</f>
        <v>2</v>
      </c>
      <c r="I27" s="1243">
        <f>H27+SUMIF('11.1.Амортиз.нови активи'!$B$12:$B$59,$B27,'11.1.Амортиз.нови активи'!I$12:I$59)+('9.Инвестиционна програма'!K$130*SUMIF('11.1.Амортиз.нови активи'!$B$12:$B$59,$B27,'11.1.Амортиз.нови активи'!AR$12:AR$59))</f>
        <v>2</v>
      </c>
      <c r="J27" s="1243">
        <f>I27+SUMIF('11.1.Амортиз.нови активи'!$B$12:$B$59,$B27,'11.1.Амортиз.нови активи'!J$12:J$59)+('9.Инвестиционна програма'!L$130*SUMIF('11.1.Амортиз.нови активи'!$B$12:$B$59,$B27,'11.1.Амортиз.нови активи'!AS$12:AS$59))</f>
        <v>2</v>
      </c>
      <c r="K27" s="1248">
        <f>J27+SUMIF('11.1.Амортиз.нови активи'!$B$12:$B$59,$B27,'11.1.Амортиз.нови активи'!K$12:K$59)+('9.Инвестиционна програма'!M$130*SUMIF('11.1.Амортиз.нови активи'!$B$12:$B$59,$B27,'11.1.Амортиз.нови активи'!AT$12:AT$59))</f>
        <v>2</v>
      </c>
      <c r="L27" s="4738">
        <f>+'11.3. ДА Базова година'!L28</f>
        <v>0</v>
      </c>
      <c r="M27" s="1247">
        <f>L27+SUMIF('11.1.Амортиз.нови активи'!$B$12:$B$59,$B27,'11.1.Амортиз.нови активи'!M$12:M$59)+('9.Инвестиционна програма'!H$131*SUMIF('11.1.Амортиз.нови активи'!$B$12:$B$59,$B27,'11.1.Амортиз.нови активи'!AO$12:AO$59))</f>
        <v>0</v>
      </c>
      <c r="N27" s="1243">
        <f>M27+SUMIF('11.1.Амортиз.нови активи'!$B$12:$B$59,$B27,'11.1.Амортиз.нови активи'!N$12:N$59)+('9.Инвестиционна програма'!I$131*SUMIF('11.1.Амортиз.нови активи'!$B$12:$B$59,$B27,'11.1.Амортиз.нови активи'!AP$12:AP$59))</f>
        <v>0</v>
      </c>
      <c r="O27" s="1243">
        <f>N27+SUMIF('11.1.Амортиз.нови активи'!$B$12:$B$59,$B27,'11.1.Амортиз.нови активи'!O$12:O$59)+('9.Инвестиционна програма'!J$131*SUMIF('11.1.Амортиз.нови активи'!$B$12:$B$59,$B27,'11.1.Амортиз.нови активи'!AQ$12:AQ$59))</f>
        <v>0</v>
      </c>
      <c r="P27" s="1243">
        <f>O27+SUMIF('11.1.Амортиз.нови активи'!$B$12:$B$59,$B27,'11.1.Амортиз.нови активи'!P$12:P$59)+('9.Инвестиционна програма'!K$131*SUMIF('11.1.Амортиз.нови активи'!$B$12:$B$59,$B27,'11.1.Амортиз.нови активи'!AR$12:AR$59))</f>
        <v>0</v>
      </c>
      <c r="Q27" s="1243">
        <f>P27+SUMIF('11.1.Амортиз.нови активи'!$B$12:$B$59,$B27,'11.1.Амортиз.нови активи'!Q$12:Q$59)+('9.Инвестиционна програма'!L$131*SUMIF('11.1.Амортиз.нови активи'!$B$12:$B$59,$B27,'11.1.Амортиз.нови активи'!AS$12:AS$59))</f>
        <v>0</v>
      </c>
      <c r="R27" s="1248">
        <f>Q27+SUMIF('11.1.Амортиз.нови активи'!$B$12:$B$59,$B27,'11.1.Амортиз.нови активи'!R$12:R$59)+('9.Инвестиционна програма'!M$131*SUMIF('11.1.Амортиз.нови активи'!$B$12:$B$59,$B27,'11.1.Амортиз.нови активи'!AT$12:AT$59))</f>
        <v>0</v>
      </c>
      <c r="S27" s="4738">
        <f>+'11.3. ДА Базова година'!P28</f>
        <v>0</v>
      </c>
      <c r="T27" s="1247">
        <f>S27+SUMIF('11.1.Амортиз.нови активи'!$B$12:$B$59,$B27,'11.1.Амортиз.нови активи'!T$12:T$59)+('9.Инвестиционна програма'!H$132*SUMIF('11.1.Амортиз.нови активи'!$B$12:$B$59,$B27,'11.1.Амортиз.нови активи'!AO$12:AO$59))</f>
        <v>0</v>
      </c>
      <c r="U27" s="1243">
        <f>T27+SUMIF('11.1.Амортиз.нови активи'!$B$12:$B$59,$B27,'11.1.Амортиз.нови активи'!U$12:U$59)+('9.Инвестиционна програма'!I$132*SUMIF('11.1.Амортиз.нови активи'!$B$12:$B$59,$B27,'11.1.Амортиз.нови активи'!AP$12:AP$59))</f>
        <v>0</v>
      </c>
      <c r="V27" s="1243">
        <f>U27+SUMIF('11.1.Амортиз.нови активи'!$B$12:$B$59,$B27,'11.1.Амортиз.нови активи'!V$12:V$59)+('9.Инвестиционна програма'!J$132*SUMIF('11.1.Амортиз.нови активи'!$B$12:$B$59,$B27,'11.1.Амортиз.нови активи'!AQ$12:AQ$59))</f>
        <v>0</v>
      </c>
      <c r="W27" s="1243">
        <f>V27+SUMIF('11.1.Амортиз.нови активи'!$B$12:$B$59,$B27,'11.1.Амортиз.нови активи'!W$12:W$59)+('9.Инвестиционна програма'!K$132*SUMIF('11.1.Амортиз.нови активи'!$B$12:$B$59,$B27,'11.1.Амортиз.нови активи'!AR$12:AR$59))</f>
        <v>0</v>
      </c>
      <c r="X27" s="1243">
        <f>W27+SUMIF('11.1.Амортиз.нови активи'!$B$12:$B$59,$B27,'11.1.Амортиз.нови активи'!X$12:X$59)+('9.Инвестиционна програма'!L$132*SUMIF('11.1.Амортиз.нови активи'!$B$12:$B$59,$B27,'11.1.Амортиз.нови активи'!AS$12:AS$59))</f>
        <v>0</v>
      </c>
      <c r="Y27" s="1248">
        <f>X27+SUMIF('11.1.Амортиз.нови активи'!$B$12:$B$59,$B27,'11.1.Амортиз.нови активи'!Y$12:Y$59)+('9.Инвестиционна програма'!M$132*SUMIF('11.1.Амортиз.нови активи'!$B$12:$B$59,$B27,'11.1.Амортиз.нови активи'!AT$12:AT$59))</f>
        <v>0</v>
      </c>
      <c r="Z27" s="4738">
        <f>+'11.3. ДА Базова година'!T28</f>
        <v>0</v>
      </c>
      <c r="AA27" s="1247">
        <f>Z27+SUMIF('11.1.Амортиз.нови активи'!$B$12:$B$59,$B27,'11.1.Амортиз.нови активи'!AA$12:AA$59)</f>
        <v>0</v>
      </c>
      <c r="AB27" s="1243">
        <f>AA27+SUMIF('11.1.Амортиз.нови активи'!$B$12:$B$59,$B27,'11.1.Амортиз.нови активи'!AB$12:AB$59)</f>
        <v>0</v>
      </c>
      <c r="AC27" s="1243">
        <f>AB27+SUMIF('11.1.Амортиз.нови активи'!$B$12:$B$59,$B27,'11.1.Амортиз.нови активи'!AC$12:AC$59)</f>
        <v>0</v>
      </c>
      <c r="AD27" s="1243">
        <f>AC27+SUMIF('11.1.Амортиз.нови активи'!$B$12:$B$59,$B27,'11.1.Амортиз.нови активи'!AD$12:AD$59)</f>
        <v>0</v>
      </c>
      <c r="AE27" s="1243">
        <f>AD27+SUMIF('11.1.Амортиз.нови активи'!$B$12:$B$59,$B27,'11.1.Амортиз.нови активи'!AE$12:AE$59)</f>
        <v>0</v>
      </c>
      <c r="AF27" s="1248">
        <f>AE27+SUMIF('11.1.Амортиз.нови активи'!$B$12:$B$59,$B27,'11.1.Амортиз.нови активи'!AF$12:AF$59)</f>
        <v>0</v>
      </c>
      <c r="AG27" s="4738">
        <f>+'11.3. ДА Базова година'!X28</f>
        <v>0</v>
      </c>
      <c r="AH27" s="1247">
        <f>AG27+SUMIF('11.1.Амортиз.нови активи'!$B$12:$B$59,$B27,'11.1.Амортиз.нови активи'!AH$12:AH$59)</f>
        <v>0</v>
      </c>
      <c r="AI27" s="1243">
        <f>AH27+SUMIF('11.1.Амортиз.нови активи'!$B$12:$B$59,$B27,'11.1.Амортиз.нови активи'!AI$12:AI$59)</f>
        <v>0</v>
      </c>
      <c r="AJ27" s="1243">
        <f>AI27+SUMIF('11.1.Амортиз.нови активи'!$B$12:$B$59,$B27,'11.1.Амортиз.нови активи'!AJ$12:AJ$59)</f>
        <v>0</v>
      </c>
      <c r="AK27" s="1243">
        <f>AJ27+SUMIF('11.1.Амортиз.нови активи'!$B$12:$B$59,$B27,'11.1.Амортиз.нови активи'!AK$12:AK$59)</f>
        <v>0</v>
      </c>
      <c r="AL27" s="1243">
        <f>AK27+SUMIF('11.1.Амортиз.нови активи'!$B$12:$B$59,$B27,'11.1.Амортиз.нови активи'!AL$12:AL$59)</f>
        <v>0</v>
      </c>
      <c r="AM27" s="1248">
        <f>AL27+SUMIF('11.1.Амортиз.нови активи'!$B$12:$B$59,$B27,'11.1.Амортиз.нови активи'!AM$12:AM$59)</f>
        <v>0</v>
      </c>
      <c r="AN27" s="2681"/>
      <c r="AO27" s="2689"/>
      <c r="AP27" s="4775"/>
      <c r="AQ27" s="4794">
        <f t="shared" si="31"/>
        <v>1.022583762392437</v>
      </c>
      <c r="AR27" s="4794">
        <f t="shared" si="32"/>
        <v>1.022583762392437</v>
      </c>
      <c r="AS27" s="4794">
        <f t="shared" si="33"/>
        <v>1.022583762392437</v>
      </c>
      <c r="AT27" s="4794">
        <f t="shared" si="34"/>
        <v>1.022583762392437</v>
      </c>
      <c r="AU27" s="4794">
        <f t="shared" si="35"/>
        <v>1.022583762392437</v>
      </c>
      <c r="AV27" s="4794">
        <f t="shared" si="36"/>
        <v>1.022583762392437</v>
      </c>
      <c r="AW27" s="4794">
        <f t="shared" si="37"/>
        <v>1.022583762392437</v>
      </c>
      <c r="AX27" s="4794">
        <f t="shared" si="38"/>
        <v>0</v>
      </c>
      <c r="AY27" s="4794">
        <f t="shared" si="39"/>
        <v>0</v>
      </c>
      <c r="AZ27" s="4794">
        <f t="shared" si="40"/>
        <v>0</v>
      </c>
      <c r="BA27" s="4794">
        <f t="shared" si="41"/>
        <v>0</v>
      </c>
      <c r="BB27" s="4794">
        <f t="shared" si="42"/>
        <v>0</v>
      </c>
      <c r="BC27" s="4794">
        <f t="shared" si="43"/>
        <v>0</v>
      </c>
      <c r="BD27" s="4794">
        <f t="shared" si="44"/>
        <v>0</v>
      </c>
      <c r="BE27" s="4794">
        <f t="shared" si="45"/>
        <v>0</v>
      </c>
      <c r="BF27" s="4794">
        <f t="shared" si="46"/>
        <v>0</v>
      </c>
      <c r="BG27" s="4794">
        <f t="shared" si="47"/>
        <v>0</v>
      </c>
      <c r="BH27" s="4794">
        <f t="shared" si="48"/>
        <v>0</v>
      </c>
      <c r="BI27" s="4794">
        <f t="shared" si="49"/>
        <v>0</v>
      </c>
      <c r="BJ27" s="4794">
        <f t="shared" si="50"/>
        <v>0</v>
      </c>
      <c r="BK27" s="4794">
        <f t="shared" si="51"/>
        <v>0</v>
      </c>
      <c r="BL27" s="4794">
        <f t="shared" si="52"/>
        <v>0</v>
      </c>
      <c r="BM27" s="4794">
        <f t="shared" si="53"/>
        <v>0</v>
      </c>
      <c r="BN27" s="4794">
        <f t="shared" si="54"/>
        <v>0</v>
      </c>
      <c r="BO27" s="4794">
        <f t="shared" si="55"/>
        <v>0</v>
      </c>
      <c r="BP27" s="4794">
        <f t="shared" si="56"/>
        <v>0</v>
      </c>
      <c r="BQ27" s="4794">
        <f t="shared" si="57"/>
        <v>0</v>
      </c>
      <c r="BR27" s="4794">
        <f t="shared" si="58"/>
        <v>0</v>
      </c>
      <c r="BS27" s="4794">
        <f t="shared" si="59"/>
        <v>0</v>
      </c>
      <c r="BT27" s="4794">
        <f t="shared" si="60"/>
        <v>0</v>
      </c>
      <c r="BU27" s="4794">
        <f t="shared" si="61"/>
        <v>0</v>
      </c>
      <c r="BV27" s="4794">
        <f t="shared" si="62"/>
        <v>0</v>
      </c>
      <c r="BW27" s="4794">
        <f t="shared" si="63"/>
        <v>0</v>
      </c>
      <c r="BX27" s="4794">
        <f t="shared" si="64"/>
        <v>0</v>
      </c>
      <c r="BY27" s="4794">
        <f t="shared" si="65"/>
        <v>0</v>
      </c>
    </row>
    <row r="28" spans="1:77">
      <c r="A28" s="2699">
        <v>10</v>
      </c>
      <c r="B28" s="2695">
        <v>209</v>
      </c>
      <c r="C28" s="2690">
        <v>0.1</v>
      </c>
      <c r="D28" s="2697" t="s">
        <v>213</v>
      </c>
      <c r="E28" s="4738">
        <f>+'11.3. ДА Базова година'!H29</f>
        <v>68</v>
      </c>
      <c r="F28" s="927">
        <f>E28+SUMIF('11.1.Амортиз.нови активи'!$B$12:$B$59,$B28,'11.1.Амортиз.нови активи'!F$12:F$59)+('9.Инвестиционна програма'!H$130*SUMIF('11.1.Амортиз.нови активи'!$B$12:$B$59,$B28,'11.1.Амортиз.нови активи'!AO$12:AO$59))</f>
        <v>68</v>
      </c>
      <c r="G28" s="1243">
        <f>F28+SUMIF('11.1.Амортиз.нови активи'!$B$12:$B$59,$B28,'11.1.Амортиз.нови активи'!G$12:G$59)+('9.Инвестиционна програма'!I$130*SUMIF('11.1.Амортиз.нови активи'!$B$12:$B$59,$B28,'11.1.Амортиз.нови активи'!AP$12:AP$59))</f>
        <v>68</v>
      </c>
      <c r="H28" s="1243">
        <f>G28+SUMIF('11.1.Амортиз.нови активи'!$B$12:$B$59,$B28,'11.1.Амортиз.нови активи'!H$12:H$59)+('9.Инвестиционна програма'!J$130*SUMIF('11.1.Амортиз.нови активи'!$B$12:$B$59,$B28,'11.1.Амортиз.нови активи'!AQ$12:AQ$59))</f>
        <v>68</v>
      </c>
      <c r="I28" s="1243">
        <f>H28+SUMIF('11.1.Амортиз.нови активи'!$B$12:$B$59,$B28,'11.1.Амортиз.нови активи'!I$12:I$59)+('9.Инвестиционна програма'!K$130*SUMIF('11.1.Амортиз.нови активи'!$B$12:$B$59,$B28,'11.1.Амортиз.нови активи'!AR$12:AR$59))</f>
        <v>68</v>
      </c>
      <c r="J28" s="1243">
        <f>I28+SUMIF('11.1.Амортиз.нови активи'!$B$12:$B$59,$B28,'11.1.Амортиз.нови активи'!J$12:J$59)+('9.Инвестиционна програма'!L$130*SUMIF('11.1.Амортиз.нови активи'!$B$12:$B$59,$B28,'11.1.Амортиз.нови активи'!AS$12:AS$59))</f>
        <v>68</v>
      </c>
      <c r="K28" s="1248">
        <f>J28+SUMIF('11.1.Амортиз.нови активи'!$B$12:$B$59,$B28,'11.1.Амортиз.нови активи'!K$12:K$59)+('9.Инвестиционна програма'!M$130*SUMIF('11.1.Амортиз.нови активи'!$B$12:$B$59,$B28,'11.1.Амортиз.нови активи'!AT$12:AT$59))</f>
        <v>68</v>
      </c>
      <c r="L28" s="4738">
        <f>+'11.3. ДА Базова година'!L29</f>
        <v>43</v>
      </c>
      <c r="M28" s="1247">
        <f>L28+SUMIF('11.1.Амортиз.нови активи'!$B$12:$B$59,$B28,'11.1.Амортиз.нови активи'!M$12:M$59)+('9.Инвестиционна програма'!H$131*SUMIF('11.1.Амортиз.нови активи'!$B$12:$B$59,$B28,'11.1.Амортиз.нови активи'!AO$12:AO$59))</f>
        <v>43</v>
      </c>
      <c r="N28" s="1243">
        <f>M28+SUMIF('11.1.Амортиз.нови активи'!$B$12:$B$59,$B28,'11.1.Амортиз.нови активи'!N$12:N$59)+('9.Инвестиционна програма'!I$131*SUMIF('11.1.Амортиз.нови активи'!$B$12:$B$59,$B28,'11.1.Амортиз.нови активи'!AP$12:AP$59))</f>
        <v>43</v>
      </c>
      <c r="O28" s="1243">
        <f>N28+SUMIF('11.1.Амортиз.нови активи'!$B$12:$B$59,$B28,'11.1.Амортиз.нови активи'!O$12:O$59)+('9.Инвестиционна програма'!J$131*SUMIF('11.1.Амортиз.нови активи'!$B$12:$B$59,$B28,'11.1.Амортиз.нови активи'!AQ$12:AQ$59))</f>
        <v>43</v>
      </c>
      <c r="P28" s="1243">
        <f>O28+SUMIF('11.1.Амортиз.нови активи'!$B$12:$B$59,$B28,'11.1.Амортиз.нови активи'!P$12:P$59)+('9.Инвестиционна програма'!K$131*SUMIF('11.1.Амортиз.нови активи'!$B$12:$B$59,$B28,'11.1.Амортиз.нови активи'!AR$12:AR$59))</f>
        <v>43</v>
      </c>
      <c r="Q28" s="1243">
        <f>P28+SUMIF('11.1.Амортиз.нови активи'!$B$12:$B$59,$B28,'11.1.Амортиз.нови активи'!Q$12:Q$59)+('9.Инвестиционна програма'!L$131*SUMIF('11.1.Амортиз.нови активи'!$B$12:$B$59,$B28,'11.1.Амортиз.нови активи'!AS$12:AS$59))</f>
        <v>43</v>
      </c>
      <c r="R28" s="1248">
        <f>Q28+SUMIF('11.1.Амортиз.нови активи'!$B$12:$B$59,$B28,'11.1.Амортиз.нови активи'!R$12:R$59)+('9.Инвестиционна програма'!M$131*SUMIF('11.1.Амортиз.нови активи'!$B$12:$B$59,$B28,'11.1.Амортиз.нови активи'!AT$12:AT$59))</f>
        <v>43</v>
      </c>
      <c r="S28" s="4738">
        <f>+'11.3. ДА Базова година'!P29</f>
        <v>35</v>
      </c>
      <c r="T28" s="1247">
        <f>S28+SUMIF('11.1.Амортиз.нови активи'!$B$12:$B$59,$B28,'11.1.Амортиз.нови активи'!T$12:T$59)+('9.Инвестиционна програма'!H$132*SUMIF('11.1.Амортиз.нови активи'!$B$12:$B$59,$B28,'11.1.Амортиз.нови активи'!AO$12:AO$59))</f>
        <v>35</v>
      </c>
      <c r="U28" s="1243">
        <f>T28+SUMIF('11.1.Амортиз.нови активи'!$B$12:$B$59,$B28,'11.1.Амортиз.нови активи'!U$12:U$59)+('9.Инвестиционна програма'!I$132*SUMIF('11.1.Амортиз.нови активи'!$B$12:$B$59,$B28,'11.1.Амортиз.нови активи'!AP$12:AP$59))</f>
        <v>35</v>
      </c>
      <c r="V28" s="1243">
        <f>U28+SUMIF('11.1.Амортиз.нови активи'!$B$12:$B$59,$B28,'11.1.Амортиз.нови активи'!V$12:V$59)+('9.Инвестиционна програма'!J$132*SUMIF('11.1.Амортиз.нови активи'!$B$12:$B$59,$B28,'11.1.Амортиз.нови активи'!AQ$12:AQ$59))</f>
        <v>35</v>
      </c>
      <c r="W28" s="1243">
        <f>V28+SUMIF('11.1.Амортиз.нови активи'!$B$12:$B$59,$B28,'11.1.Амортиз.нови активи'!W$12:W$59)+('9.Инвестиционна програма'!K$132*SUMIF('11.1.Амортиз.нови активи'!$B$12:$B$59,$B28,'11.1.Амортиз.нови активи'!AR$12:AR$59))</f>
        <v>35</v>
      </c>
      <c r="X28" s="1243">
        <f>W28+SUMIF('11.1.Амортиз.нови активи'!$B$12:$B$59,$B28,'11.1.Амортиз.нови активи'!X$12:X$59)+('9.Инвестиционна програма'!L$132*SUMIF('11.1.Амортиз.нови активи'!$B$12:$B$59,$B28,'11.1.Амортиз.нови активи'!AS$12:AS$59))</f>
        <v>35</v>
      </c>
      <c r="Y28" s="1248">
        <f>X28+SUMIF('11.1.Амортиз.нови активи'!$B$12:$B$59,$B28,'11.1.Амортиз.нови активи'!Y$12:Y$59)+('9.Инвестиционна програма'!M$132*SUMIF('11.1.Амортиз.нови активи'!$B$12:$B$59,$B28,'11.1.Амортиз.нови активи'!AT$12:AT$59))</f>
        <v>35</v>
      </c>
      <c r="Z28" s="4738">
        <f>+'11.3. ДА Базова година'!T29</f>
        <v>0</v>
      </c>
      <c r="AA28" s="1247">
        <f>Z28+SUMIF('11.1.Амортиз.нови активи'!$B$12:$B$59,$B28,'11.1.Амортиз.нови активи'!AA$12:AA$59)</f>
        <v>0</v>
      </c>
      <c r="AB28" s="1243">
        <f>AA28+SUMIF('11.1.Амортиз.нови активи'!$B$12:$B$59,$B28,'11.1.Амортиз.нови активи'!AB$12:AB$59)</f>
        <v>0</v>
      </c>
      <c r="AC28" s="1243">
        <f>AB28+SUMIF('11.1.Амортиз.нови активи'!$B$12:$B$59,$B28,'11.1.Амортиз.нови активи'!AC$12:AC$59)</f>
        <v>0</v>
      </c>
      <c r="AD28" s="1243">
        <f>AC28+SUMIF('11.1.Амортиз.нови активи'!$B$12:$B$59,$B28,'11.1.Амортиз.нови активи'!AD$12:AD$59)</f>
        <v>0</v>
      </c>
      <c r="AE28" s="1243">
        <f>AD28+SUMIF('11.1.Амортиз.нови активи'!$B$12:$B$59,$B28,'11.1.Амортиз.нови активи'!AE$12:AE$59)</f>
        <v>0</v>
      </c>
      <c r="AF28" s="1248">
        <f>AE28+SUMIF('11.1.Амортиз.нови активи'!$B$12:$B$59,$B28,'11.1.Амортиз.нови активи'!AF$12:AF$59)</f>
        <v>0</v>
      </c>
      <c r="AG28" s="4738">
        <f>+'11.3. ДА Базова година'!X29</f>
        <v>0</v>
      </c>
      <c r="AH28" s="1247">
        <f>AG28+SUMIF('11.1.Амортиз.нови активи'!$B$12:$B$59,$B28,'11.1.Амортиз.нови активи'!AH$12:AH$59)</f>
        <v>0</v>
      </c>
      <c r="AI28" s="1243">
        <f>AH28+SUMIF('11.1.Амортиз.нови активи'!$B$12:$B$59,$B28,'11.1.Амортиз.нови активи'!AI$12:AI$59)</f>
        <v>0</v>
      </c>
      <c r="AJ28" s="1243">
        <f>AI28+SUMIF('11.1.Амортиз.нови активи'!$B$12:$B$59,$B28,'11.1.Амортиз.нови активи'!AJ$12:AJ$59)</f>
        <v>0</v>
      </c>
      <c r="AK28" s="1243">
        <f>AJ28+SUMIF('11.1.Амортиз.нови активи'!$B$12:$B$59,$B28,'11.1.Амортиз.нови активи'!AK$12:AK$59)</f>
        <v>0</v>
      </c>
      <c r="AL28" s="1243">
        <f>AK28+SUMIF('11.1.Амортиз.нови активи'!$B$12:$B$59,$B28,'11.1.Амортиз.нови активи'!AL$12:AL$59)</f>
        <v>0</v>
      </c>
      <c r="AM28" s="1248">
        <f>AL28+SUMIF('11.1.Амортиз.нови активи'!$B$12:$B$59,$B28,'11.1.Амортиз.нови активи'!AM$12:AM$59)</f>
        <v>0</v>
      </c>
      <c r="AN28" s="2681"/>
      <c r="AO28" s="2689"/>
      <c r="AP28" s="4775"/>
      <c r="AQ28" s="4794">
        <f t="shared" si="31"/>
        <v>34.767847921342856</v>
      </c>
      <c r="AR28" s="4794">
        <f t="shared" si="32"/>
        <v>34.767847921342856</v>
      </c>
      <c r="AS28" s="4794">
        <f t="shared" si="33"/>
        <v>34.767847921342856</v>
      </c>
      <c r="AT28" s="4794">
        <f t="shared" si="34"/>
        <v>34.767847921342856</v>
      </c>
      <c r="AU28" s="4794">
        <f t="shared" si="35"/>
        <v>34.767847921342856</v>
      </c>
      <c r="AV28" s="4794">
        <f t="shared" si="36"/>
        <v>34.767847921342856</v>
      </c>
      <c r="AW28" s="4794">
        <f t="shared" si="37"/>
        <v>34.767847921342856</v>
      </c>
      <c r="AX28" s="4794">
        <f t="shared" si="38"/>
        <v>21.985550891437395</v>
      </c>
      <c r="AY28" s="4794">
        <f t="shared" si="39"/>
        <v>21.985550891437395</v>
      </c>
      <c r="AZ28" s="4794">
        <f t="shared" si="40"/>
        <v>21.985550891437395</v>
      </c>
      <c r="BA28" s="4794">
        <f t="shared" si="41"/>
        <v>21.985550891437395</v>
      </c>
      <c r="BB28" s="4794">
        <f t="shared" si="42"/>
        <v>21.985550891437395</v>
      </c>
      <c r="BC28" s="4794">
        <f t="shared" si="43"/>
        <v>21.985550891437395</v>
      </c>
      <c r="BD28" s="4794">
        <f t="shared" si="44"/>
        <v>21.985550891437395</v>
      </c>
      <c r="BE28" s="4794">
        <f t="shared" si="45"/>
        <v>17.895215841867646</v>
      </c>
      <c r="BF28" s="4794">
        <f t="shared" si="46"/>
        <v>17.895215841867646</v>
      </c>
      <c r="BG28" s="4794">
        <f t="shared" si="47"/>
        <v>17.895215841867646</v>
      </c>
      <c r="BH28" s="4794">
        <f t="shared" si="48"/>
        <v>17.895215841867646</v>
      </c>
      <c r="BI28" s="4794">
        <f t="shared" si="49"/>
        <v>17.895215841867646</v>
      </c>
      <c r="BJ28" s="4794">
        <f t="shared" si="50"/>
        <v>17.895215841867646</v>
      </c>
      <c r="BK28" s="4794">
        <f t="shared" si="51"/>
        <v>17.895215841867646</v>
      </c>
      <c r="BL28" s="4794">
        <f t="shared" si="52"/>
        <v>0</v>
      </c>
      <c r="BM28" s="4794">
        <f t="shared" si="53"/>
        <v>0</v>
      </c>
      <c r="BN28" s="4794">
        <f t="shared" si="54"/>
        <v>0</v>
      </c>
      <c r="BO28" s="4794">
        <f t="shared" si="55"/>
        <v>0</v>
      </c>
      <c r="BP28" s="4794">
        <f t="shared" si="56"/>
        <v>0</v>
      </c>
      <c r="BQ28" s="4794">
        <f t="shared" si="57"/>
        <v>0</v>
      </c>
      <c r="BR28" s="4794">
        <f t="shared" si="58"/>
        <v>0</v>
      </c>
      <c r="BS28" s="4794">
        <f t="shared" si="59"/>
        <v>0</v>
      </c>
      <c r="BT28" s="4794">
        <f t="shared" si="60"/>
        <v>0</v>
      </c>
      <c r="BU28" s="4794">
        <f t="shared" si="61"/>
        <v>0</v>
      </c>
      <c r="BV28" s="4794">
        <f t="shared" si="62"/>
        <v>0</v>
      </c>
      <c r="BW28" s="4794">
        <f t="shared" si="63"/>
        <v>0</v>
      </c>
      <c r="BX28" s="4794">
        <f t="shared" si="64"/>
        <v>0</v>
      </c>
      <c r="BY28" s="4794">
        <f t="shared" si="65"/>
        <v>0</v>
      </c>
    </row>
    <row r="29" spans="1:77" ht="24">
      <c r="A29" s="2699">
        <v>11</v>
      </c>
      <c r="B29" s="2695">
        <v>207</v>
      </c>
      <c r="C29" s="2695" t="s">
        <v>313</v>
      </c>
      <c r="D29" s="2697" t="s">
        <v>414</v>
      </c>
      <c r="E29" s="4738">
        <f>+'11.3. ДА Базова година'!H30</f>
        <v>5105</v>
      </c>
      <c r="F29" s="927">
        <f>E29+SUMIF('11.1.Амортиз.нови активи'!$B$12:$B$59,$B29,'11.1.Амортиз.нови активи'!F$12:F$59)+('9.Инвестиционна програма'!H$130*SUMIF('11.1.Амортиз.нови активи'!$B$12:$B$59,$B29,'11.1.Амортиз.нови активи'!AO$12:AO$59))</f>
        <v>5105</v>
      </c>
      <c r="G29" s="1243">
        <f>F29+SUMIF('11.1.Амортиз.нови активи'!$B$12:$B$59,$B29,'11.1.Амортиз.нови активи'!G$12:G$59)+('9.Инвестиционна програма'!I$130*SUMIF('11.1.Амортиз.нови активи'!$B$12:$B$59,$B29,'11.1.Амортиз.нови активи'!AP$12:AP$59))</f>
        <v>5105</v>
      </c>
      <c r="H29" s="1243">
        <f>G29+SUMIF('11.1.Амортиз.нови активи'!$B$12:$B$59,$B29,'11.1.Амортиз.нови активи'!H$12:H$59)+('9.Инвестиционна програма'!J$130*SUMIF('11.1.Амортиз.нови активи'!$B$12:$B$59,$B29,'11.1.Амортиз.нови активи'!AQ$12:AQ$59))</f>
        <v>5105</v>
      </c>
      <c r="I29" s="1243">
        <f>H29+SUMIF('11.1.Амортиз.нови активи'!$B$12:$B$59,$B29,'11.1.Амортиз.нови активи'!I$12:I$59)+('9.Инвестиционна програма'!K$130*SUMIF('11.1.Амортиз.нови активи'!$B$12:$B$59,$B29,'11.1.Амортиз.нови активи'!AR$12:AR$59))</f>
        <v>5105</v>
      </c>
      <c r="J29" s="1243">
        <f>I29+SUMIF('11.1.Амортиз.нови активи'!$B$12:$B$59,$B29,'11.1.Амортиз.нови активи'!J$12:J$59)+('9.Инвестиционна програма'!L$130*SUMIF('11.1.Амортиз.нови активи'!$B$12:$B$59,$B29,'11.1.Амортиз.нови активи'!AS$12:AS$59))</f>
        <v>5105</v>
      </c>
      <c r="K29" s="1248">
        <f>J29+SUMIF('11.1.Амортиз.нови активи'!$B$12:$B$59,$B29,'11.1.Амортиз.нови активи'!K$12:K$59)+('9.Инвестиционна програма'!M$130*SUMIF('11.1.Амортиз.нови активи'!$B$12:$B$59,$B29,'11.1.Амортиз.нови активи'!AT$12:AT$59))</f>
        <v>5105</v>
      </c>
      <c r="L29" s="4738">
        <f>+'11.3. ДА Базова година'!L30</f>
        <v>0</v>
      </c>
      <c r="M29" s="1247">
        <f>L29+SUMIF('11.1.Амортиз.нови активи'!$B$12:$B$59,$B29,'11.1.Амортиз.нови активи'!M$12:M$59)+('9.Инвестиционна програма'!H$131*SUMIF('11.1.Амортиз.нови активи'!$B$12:$B$59,$B29,'11.1.Амортиз.нови активи'!AO$12:AO$59))</f>
        <v>0</v>
      </c>
      <c r="N29" s="1243">
        <f>M29+SUMIF('11.1.Амортиз.нови активи'!$B$12:$B$59,$B29,'11.1.Амортиз.нови активи'!N$12:N$59)+('9.Инвестиционна програма'!I$131*SUMIF('11.1.Амортиз.нови активи'!$B$12:$B$59,$B29,'11.1.Амортиз.нови активи'!AP$12:AP$59))</f>
        <v>0</v>
      </c>
      <c r="O29" s="1243">
        <f>N29+SUMIF('11.1.Амортиз.нови активи'!$B$12:$B$59,$B29,'11.1.Амортиз.нови активи'!O$12:O$59)+('9.Инвестиционна програма'!J$131*SUMIF('11.1.Амортиз.нови активи'!$B$12:$B$59,$B29,'11.1.Амортиз.нови активи'!AQ$12:AQ$59))</f>
        <v>0</v>
      </c>
      <c r="P29" s="1243">
        <f>O29+SUMIF('11.1.Амортиз.нови активи'!$B$12:$B$59,$B29,'11.1.Амортиз.нови активи'!P$12:P$59)+('9.Инвестиционна програма'!K$131*SUMIF('11.1.Амортиз.нови активи'!$B$12:$B$59,$B29,'11.1.Амортиз.нови активи'!AR$12:AR$59))</f>
        <v>0</v>
      </c>
      <c r="Q29" s="1243">
        <f>P29+SUMIF('11.1.Амортиз.нови активи'!$B$12:$B$59,$B29,'11.1.Амортиз.нови активи'!Q$12:Q$59)+('9.Инвестиционна програма'!L$131*SUMIF('11.1.Амортиз.нови активи'!$B$12:$B$59,$B29,'11.1.Амортиз.нови активи'!AS$12:AS$59))</f>
        <v>0</v>
      </c>
      <c r="R29" s="1248">
        <f>Q29+SUMIF('11.1.Амортиз.нови активи'!$B$12:$B$59,$B29,'11.1.Амортиз.нови активи'!R$12:R$59)+('9.Инвестиционна програма'!M$131*SUMIF('11.1.Амортиз.нови активи'!$B$12:$B$59,$B29,'11.1.Амортиз.нови активи'!AT$12:AT$59))</f>
        <v>0</v>
      </c>
      <c r="S29" s="4738">
        <f>+'11.3. ДА Базова година'!P30</f>
        <v>0</v>
      </c>
      <c r="T29" s="1247">
        <f>S29+SUMIF('11.1.Амортиз.нови активи'!$B$12:$B$59,$B29,'11.1.Амортиз.нови активи'!T$12:T$59)+('9.Инвестиционна програма'!H$132*SUMIF('11.1.Амортиз.нови активи'!$B$12:$B$59,$B29,'11.1.Амортиз.нови активи'!AO$12:AO$59))</f>
        <v>0</v>
      </c>
      <c r="U29" s="1243">
        <f>T29+SUMIF('11.1.Амортиз.нови активи'!$B$12:$B$59,$B29,'11.1.Амортиз.нови активи'!U$12:U$59)+('9.Инвестиционна програма'!I$132*SUMIF('11.1.Амортиз.нови активи'!$B$12:$B$59,$B29,'11.1.Амортиз.нови активи'!AP$12:AP$59))</f>
        <v>0</v>
      </c>
      <c r="V29" s="1243">
        <f>U29+SUMIF('11.1.Амортиз.нови активи'!$B$12:$B$59,$B29,'11.1.Амортиз.нови активи'!V$12:V$59)+('9.Инвестиционна програма'!J$132*SUMIF('11.1.Амортиз.нови активи'!$B$12:$B$59,$B29,'11.1.Амортиз.нови активи'!AQ$12:AQ$59))</f>
        <v>0</v>
      </c>
      <c r="W29" s="1243">
        <f>V29+SUMIF('11.1.Амортиз.нови активи'!$B$12:$B$59,$B29,'11.1.Амортиз.нови активи'!W$12:W$59)+('9.Инвестиционна програма'!K$132*SUMIF('11.1.Амортиз.нови активи'!$B$12:$B$59,$B29,'11.1.Амортиз.нови активи'!AR$12:AR$59))</f>
        <v>0</v>
      </c>
      <c r="X29" s="1243">
        <f>W29+SUMIF('11.1.Амортиз.нови активи'!$B$12:$B$59,$B29,'11.1.Амортиз.нови активи'!X$12:X$59)+('9.Инвестиционна програма'!L$132*SUMIF('11.1.Амортиз.нови активи'!$B$12:$B$59,$B29,'11.1.Амортиз.нови активи'!AS$12:AS$59))</f>
        <v>0</v>
      </c>
      <c r="Y29" s="1248">
        <f>X29+SUMIF('11.1.Амортиз.нови активи'!$B$12:$B$59,$B29,'11.1.Амортиз.нови активи'!Y$12:Y$59)+('9.Инвестиционна програма'!M$132*SUMIF('11.1.Амортиз.нови активи'!$B$12:$B$59,$B29,'11.1.Амортиз.нови активи'!AT$12:AT$59))</f>
        <v>0</v>
      </c>
      <c r="Z29" s="4738">
        <f>+'11.3. ДА Базова година'!T30</f>
        <v>0</v>
      </c>
      <c r="AA29" s="1247">
        <f>Z29+SUMIF('11.1.Амортиз.нови активи'!$B$12:$B$59,$B29,'11.1.Амортиз.нови активи'!AA$12:AA$59)</f>
        <v>0</v>
      </c>
      <c r="AB29" s="1243">
        <f>AA29+SUMIF('11.1.Амортиз.нови активи'!$B$12:$B$59,$B29,'11.1.Амортиз.нови активи'!AB$12:AB$59)</f>
        <v>0</v>
      </c>
      <c r="AC29" s="1243">
        <f>AB29+SUMIF('11.1.Амортиз.нови активи'!$B$12:$B$59,$B29,'11.1.Амортиз.нови активи'!AC$12:AC$59)</f>
        <v>0</v>
      </c>
      <c r="AD29" s="1243">
        <f>AC29+SUMIF('11.1.Амортиз.нови активи'!$B$12:$B$59,$B29,'11.1.Амортиз.нови активи'!AD$12:AD$59)</f>
        <v>0</v>
      </c>
      <c r="AE29" s="1243">
        <f>AD29+SUMIF('11.1.Амортиз.нови активи'!$B$12:$B$59,$B29,'11.1.Амортиз.нови активи'!AE$12:AE$59)</f>
        <v>0</v>
      </c>
      <c r="AF29" s="1248">
        <f>AE29+SUMIF('11.1.Амортиз.нови активи'!$B$12:$B$59,$B29,'11.1.Амортиз.нови активи'!AF$12:AF$59)</f>
        <v>0</v>
      </c>
      <c r="AG29" s="4738">
        <f>+'11.3. ДА Базова година'!X30</f>
        <v>0</v>
      </c>
      <c r="AH29" s="1247">
        <f>AG29+SUMIF('11.1.Амортиз.нови активи'!$B$12:$B$59,$B29,'11.1.Амортиз.нови активи'!AH$12:AH$59)</f>
        <v>0</v>
      </c>
      <c r="AI29" s="1243">
        <f>AH29+SUMIF('11.1.Амортиз.нови активи'!$B$12:$B$59,$B29,'11.1.Амортиз.нови активи'!AI$12:AI$59)</f>
        <v>0</v>
      </c>
      <c r="AJ29" s="1243">
        <f>AI29+SUMIF('11.1.Амортиз.нови активи'!$B$12:$B$59,$B29,'11.1.Амортиз.нови активи'!AJ$12:AJ$59)</f>
        <v>0</v>
      </c>
      <c r="AK29" s="1243">
        <f>AJ29+SUMIF('11.1.Амортиз.нови активи'!$B$12:$B$59,$B29,'11.1.Амортиз.нови активи'!AK$12:AK$59)</f>
        <v>0</v>
      </c>
      <c r="AL29" s="1243">
        <f>AK29+SUMIF('11.1.Амортиз.нови активи'!$B$12:$B$59,$B29,'11.1.Амортиз.нови активи'!AL$12:AL$59)</f>
        <v>0</v>
      </c>
      <c r="AM29" s="1248">
        <f>AL29+SUMIF('11.1.Амортиз.нови активи'!$B$12:$B$59,$B29,'11.1.Амортиз.нови активи'!AM$12:AM$59)</f>
        <v>0</v>
      </c>
      <c r="AN29" s="2681"/>
      <c r="AO29" s="2689"/>
      <c r="AP29" s="4775"/>
      <c r="AQ29" s="4794">
        <f t="shared" si="31"/>
        <v>2610.1450535066956</v>
      </c>
      <c r="AR29" s="4794">
        <f t="shared" si="32"/>
        <v>2610.1450535066956</v>
      </c>
      <c r="AS29" s="4794">
        <f t="shared" si="33"/>
        <v>2610.1450535066956</v>
      </c>
      <c r="AT29" s="4794">
        <f t="shared" si="34"/>
        <v>2610.1450535066956</v>
      </c>
      <c r="AU29" s="4794">
        <f t="shared" si="35"/>
        <v>2610.1450535066956</v>
      </c>
      <c r="AV29" s="4794">
        <f t="shared" si="36"/>
        <v>2610.1450535066956</v>
      </c>
      <c r="AW29" s="4794">
        <f t="shared" si="37"/>
        <v>2610.1450535066956</v>
      </c>
      <c r="AX29" s="4794">
        <f t="shared" si="38"/>
        <v>0</v>
      </c>
      <c r="AY29" s="4794">
        <f t="shared" si="39"/>
        <v>0</v>
      </c>
      <c r="AZ29" s="4794">
        <f t="shared" si="40"/>
        <v>0</v>
      </c>
      <c r="BA29" s="4794">
        <f t="shared" si="41"/>
        <v>0</v>
      </c>
      <c r="BB29" s="4794">
        <f t="shared" si="42"/>
        <v>0</v>
      </c>
      <c r="BC29" s="4794">
        <f t="shared" si="43"/>
        <v>0</v>
      </c>
      <c r="BD29" s="4794">
        <f t="shared" si="44"/>
        <v>0</v>
      </c>
      <c r="BE29" s="4794">
        <f t="shared" si="45"/>
        <v>0</v>
      </c>
      <c r="BF29" s="4794">
        <f t="shared" si="46"/>
        <v>0</v>
      </c>
      <c r="BG29" s="4794">
        <f t="shared" si="47"/>
        <v>0</v>
      </c>
      <c r="BH29" s="4794">
        <f t="shared" si="48"/>
        <v>0</v>
      </c>
      <c r="BI29" s="4794">
        <f t="shared" si="49"/>
        <v>0</v>
      </c>
      <c r="BJ29" s="4794">
        <f t="shared" si="50"/>
        <v>0</v>
      </c>
      <c r="BK29" s="4794">
        <f t="shared" si="51"/>
        <v>0</v>
      </c>
      <c r="BL29" s="4794">
        <f t="shared" si="52"/>
        <v>0</v>
      </c>
      <c r="BM29" s="4794">
        <f t="shared" si="53"/>
        <v>0</v>
      </c>
      <c r="BN29" s="4794">
        <f t="shared" si="54"/>
        <v>0</v>
      </c>
      <c r="BO29" s="4794">
        <f t="shared" si="55"/>
        <v>0</v>
      </c>
      <c r="BP29" s="4794">
        <f t="shared" si="56"/>
        <v>0</v>
      </c>
      <c r="BQ29" s="4794">
        <f t="shared" si="57"/>
        <v>0</v>
      </c>
      <c r="BR29" s="4794">
        <f t="shared" si="58"/>
        <v>0</v>
      </c>
      <c r="BS29" s="4794">
        <f t="shared" si="59"/>
        <v>0</v>
      </c>
      <c r="BT29" s="4794">
        <f t="shared" si="60"/>
        <v>0</v>
      </c>
      <c r="BU29" s="4794">
        <f t="shared" si="61"/>
        <v>0</v>
      </c>
      <c r="BV29" s="4794">
        <f t="shared" si="62"/>
        <v>0</v>
      </c>
      <c r="BW29" s="4794">
        <f t="shared" si="63"/>
        <v>0</v>
      </c>
      <c r="BX29" s="4794">
        <f t="shared" si="64"/>
        <v>0</v>
      </c>
      <c r="BY29" s="4794">
        <f t="shared" si="65"/>
        <v>0</v>
      </c>
    </row>
    <row r="30" spans="1:77">
      <c r="A30" s="2699">
        <v>12</v>
      </c>
      <c r="B30" s="2695">
        <v>212</v>
      </c>
      <c r="C30" s="2690">
        <v>0.2</v>
      </c>
      <c r="D30" s="2700" t="s">
        <v>214</v>
      </c>
      <c r="E30" s="4738">
        <f>+'11.3. ДА Базова година'!H33</f>
        <v>401</v>
      </c>
      <c r="F30" s="927">
        <f>E30+SUMIF('11.1.Амортиз.нови активи'!$B$12:$B$59,$B30,'11.1.Амортиз.нови активи'!F$12:F$59)+('9.Инвестиционна програма'!H$130*SUMIF('11.1.Амортиз.нови активи'!$B$12:$B$59,$B30,'11.1.Амортиз.нови активи'!AO$12:AO$59))</f>
        <v>417.66666666666669</v>
      </c>
      <c r="G30" s="1243">
        <f>F30+SUMIF('11.1.Амортиз.нови активи'!$B$12:$B$59,$B30,'11.1.Амортиз.нови активи'!G$12:G$59)+('9.Инвестиционна програма'!I$130*SUMIF('11.1.Амортиз.нови активи'!$B$12:$B$59,$B30,'11.1.Амортиз.нови активи'!AP$12:AP$59))</f>
        <v>417.66666666666669</v>
      </c>
      <c r="H30" s="1243">
        <f>G30+SUMIF('11.1.Амортиз.нови активи'!$B$12:$B$59,$B30,'11.1.Амортиз.нови активи'!H$12:H$59)+('9.Инвестиционна програма'!J$130*SUMIF('11.1.Амортиз.нови активи'!$B$12:$B$59,$B30,'11.1.Амортиз.нови активи'!AQ$12:AQ$59))</f>
        <v>417.66666666666669</v>
      </c>
      <c r="I30" s="1243">
        <f>H30+SUMIF('11.1.Амортиз.нови активи'!$B$12:$B$59,$B30,'11.1.Амортиз.нови активи'!I$12:I$59)+('9.Инвестиционна програма'!K$130*SUMIF('11.1.Амортиз.нови активи'!$B$12:$B$59,$B30,'11.1.Амортиз.нови активи'!AR$12:AR$59))</f>
        <v>426</v>
      </c>
      <c r="J30" s="1243">
        <f>I30+SUMIF('11.1.Амортиз.нови активи'!$B$12:$B$59,$B30,'11.1.Амортиз.нови активи'!J$12:J$59)+('9.Инвестиционна програма'!L$130*SUMIF('11.1.Амортиз.нови активи'!$B$12:$B$59,$B30,'11.1.Амортиз.нови активи'!AS$12:AS$59))</f>
        <v>426</v>
      </c>
      <c r="K30" s="1248">
        <f>J30+SUMIF('11.1.Амортиз.нови активи'!$B$12:$B$59,$B30,'11.1.Амортиз.нови активи'!K$12:K$59)+('9.Инвестиционна програма'!M$130*SUMIF('11.1.Амортиз.нови активи'!$B$12:$B$59,$B30,'11.1.Амортиз.нови активи'!AT$12:AT$59))</f>
        <v>426</v>
      </c>
      <c r="L30" s="4738">
        <f>+'11.3. ДА Базова година'!L33</f>
        <v>234</v>
      </c>
      <c r="M30" s="1247">
        <f>L30+SUMIF('11.1.Амортиз.нови активи'!$B$12:$B$59,$B30,'11.1.Амортиз.нови активи'!M$12:M$59)+('9.Инвестиционна програма'!H$131*SUMIF('11.1.Амортиз.нови активи'!$B$12:$B$59,$B30,'11.1.Амортиз.нови активи'!AO$12:AO$59))</f>
        <v>250.66666666666666</v>
      </c>
      <c r="N30" s="1243">
        <f>M30+SUMIF('11.1.Амортиз.нови активи'!$B$12:$B$59,$B30,'11.1.Амортиз.нови активи'!N$12:N$59)+('9.Инвестиционна програма'!I$131*SUMIF('11.1.Амортиз.нови активи'!$B$12:$B$59,$B30,'11.1.Амортиз.нови активи'!AP$12:AP$59))</f>
        <v>250.66666666666666</v>
      </c>
      <c r="O30" s="1243">
        <f>N30+SUMIF('11.1.Амортиз.нови активи'!$B$12:$B$59,$B30,'11.1.Амортиз.нови активи'!O$12:O$59)+('9.Инвестиционна програма'!J$131*SUMIF('11.1.Амортиз.нови активи'!$B$12:$B$59,$B30,'11.1.Амортиз.нови активи'!AQ$12:AQ$59))</f>
        <v>250.66666666666666</v>
      </c>
      <c r="P30" s="1243">
        <f>O30+SUMIF('11.1.Амортиз.нови активи'!$B$12:$B$59,$B30,'11.1.Амортиз.нови активи'!P$12:P$59)+('9.Инвестиционна програма'!K$131*SUMIF('11.1.Амортиз.нови активи'!$B$12:$B$59,$B30,'11.1.Амортиз.нови активи'!AR$12:AR$59))</f>
        <v>259</v>
      </c>
      <c r="Q30" s="1243">
        <f>P30+SUMIF('11.1.Амортиз.нови активи'!$B$12:$B$59,$B30,'11.1.Амортиз.нови активи'!Q$12:Q$59)+('9.Инвестиционна програма'!L$131*SUMIF('11.1.Амортиз.нови активи'!$B$12:$B$59,$B30,'11.1.Амортиз.нови активи'!AS$12:AS$59))</f>
        <v>259</v>
      </c>
      <c r="R30" s="1248">
        <f>Q30+SUMIF('11.1.Амортиз.нови активи'!$B$12:$B$59,$B30,'11.1.Амортиз.нови активи'!R$12:R$59)+('9.Инвестиционна програма'!M$131*SUMIF('11.1.Амортиз.нови активи'!$B$12:$B$59,$B30,'11.1.Амортиз.нови активи'!AT$12:AT$59))</f>
        <v>259</v>
      </c>
      <c r="S30" s="4738">
        <f>+'11.3. ДА Базова година'!P33</f>
        <v>178</v>
      </c>
      <c r="T30" s="1247">
        <f>S30+SUMIF('11.1.Амортиз.нови активи'!$B$12:$B$59,$B30,'11.1.Амортиз.нови активи'!T$12:T$59)+('9.Инвестиционна програма'!H$132*SUMIF('11.1.Амортиз.нови активи'!$B$12:$B$59,$B30,'11.1.Амортиз.нови активи'!AO$12:AO$59))</f>
        <v>194.66666666666666</v>
      </c>
      <c r="U30" s="1243">
        <f>T30+SUMIF('11.1.Амортиз.нови активи'!$B$12:$B$59,$B30,'11.1.Амортиз.нови активи'!U$12:U$59)+('9.Инвестиционна програма'!I$132*SUMIF('11.1.Амортиз.нови активи'!$B$12:$B$59,$B30,'11.1.Амортиз.нови активи'!AP$12:AP$59))</f>
        <v>194.66666666666666</v>
      </c>
      <c r="V30" s="1243">
        <f>U30+SUMIF('11.1.Амортиз.нови активи'!$B$12:$B$59,$B30,'11.1.Амортиз.нови активи'!V$12:V$59)+('9.Инвестиционна програма'!J$132*SUMIF('11.1.Амортиз.нови активи'!$B$12:$B$59,$B30,'11.1.Амортиз.нови активи'!AQ$12:AQ$59))</f>
        <v>194.66666666666666</v>
      </c>
      <c r="W30" s="1243">
        <f>V30+SUMIF('11.1.Амортиз.нови активи'!$B$12:$B$59,$B30,'11.1.Амортиз.нови активи'!W$12:W$59)+('9.Инвестиционна програма'!K$132*SUMIF('11.1.Амортиз.нови активи'!$B$12:$B$59,$B30,'11.1.Амортиз.нови активи'!AR$12:AR$59))</f>
        <v>203</v>
      </c>
      <c r="X30" s="1243">
        <f>W30+SUMIF('11.1.Амортиз.нови активи'!$B$12:$B$59,$B30,'11.1.Амортиз.нови активи'!X$12:X$59)+('9.Инвестиционна програма'!L$132*SUMIF('11.1.Амортиз.нови активи'!$B$12:$B$59,$B30,'11.1.Амортиз.нови активи'!AS$12:AS$59))</f>
        <v>203</v>
      </c>
      <c r="Y30" s="1248">
        <f>X30+SUMIF('11.1.Амортиз.нови активи'!$B$12:$B$59,$B30,'11.1.Амортиз.нови активи'!Y$12:Y$59)+('9.Инвестиционна програма'!M$132*SUMIF('11.1.Амортиз.нови активи'!$B$12:$B$59,$B30,'11.1.Амортиз.нови активи'!AT$12:AT$59))</f>
        <v>203</v>
      </c>
      <c r="Z30" s="4738">
        <f>+'11.3. ДА Базова година'!T33</f>
        <v>0</v>
      </c>
      <c r="AA30" s="1247">
        <f>Z30+SUMIF('11.1.Амортиз.нови активи'!$B$12:$B$59,$B30,'11.1.Амортиз.нови активи'!AA$12:AA$59)</f>
        <v>0</v>
      </c>
      <c r="AB30" s="1243">
        <f>AA30+SUMIF('11.1.Амортиз.нови активи'!$B$12:$B$59,$B30,'11.1.Амортиз.нови активи'!AB$12:AB$59)</f>
        <v>0</v>
      </c>
      <c r="AC30" s="1243">
        <f>AB30+SUMIF('11.1.Амортиз.нови активи'!$B$12:$B$59,$B30,'11.1.Амортиз.нови активи'!AC$12:AC$59)</f>
        <v>0</v>
      </c>
      <c r="AD30" s="1243">
        <f>AC30+SUMIF('11.1.Амортиз.нови активи'!$B$12:$B$59,$B30,'11.1.Амортиз.нови активи'!AD$12:AD$59)</f>
        <v>0</v>
      </c>
      <c r="AE30" s="1243">
        <f>AD30+SUMIF('11.1.Амортиз.нови активи'!$B$12:$B$59,$B30,'11.1.Амортиз.нови активи'!AE$12:AE$59)</f>
        <v>0</v>
      </c>
      <c r="AF30" s="1248">
        <f>AE30+SUMIF('11.1.Амортиз.нови активи'!$B$12:$B$59,$B30,'11.1.Амортиз.нови активи'!AF$12:AF$59)</f>
        <v>0</v>
      </c>
      <c r="AG30" s="4738">
        <f>+'11.3. ДА Базова година'!X33</f>
        <v>0</v>
      </c>
      <c r="AH30" s="1247">
        <f>AG30+SUMIF('11.1.Амортиз.нови активи'!$B$12:$B$59,$B30,'11.1.Амортиз.нови активи'!AH$12:AH$59)</f>
        <v>0</v>
      </c>
      <c r="AI30" s="1243">
        <f>AH30+SUMIF('11.1.Амортиз.нови активи'!$B$12:$B$59,$B30,'11.1.Амортиз.нови активи'!AI$12:AI$59)</f>
        <v>0</v>
      </c>
      <c r="AJ30" s="1243">
        <f>AI30+SUMIF('11.1.Амортиз.нови активи'!$B$12:$B$59,$B30,'11.1.Амортиз.нови активи'!AJ$12:AJ$59)</f>
        <v>0</v>
      </c>
      <c r="AK30" s="1243">
        <f>AJ30+SUMIF('11.1.Амортиз.нови активи'!$B$12:$B$59,$B30,'11.1.Амортиз.нови активи'!AK$12:AK$59)</f>
        <v>0</v>
      </c>
      <c r="AL30" s="1243">
        <f>AK30+SUMIF('11.1.Амортиз.нови активи'!$B$12:$B$59,$B30,'11.1.Амортиз.нови активи'!AL$12:AL$59)</f>
        <v>0</v>
      </c>
      <c r="AM30" s="1248">
        <f>AL30+SUMIF('11.1.Амортиз.нови активи'!$B$12:$B$59,$B30,'11.1.Амортиз.нови активи'!AM$12:AM$59)</f>
        <v>0</v>
      </c>
      <c r="AN30" s="2681"/>
      <c r="AO30" s="2689"/>
      <c r="AP30" s="4775"/>
      <c r="AQ30" s="4794">
        <f t="shared" si="31"/>
        <v>205.02804435968361</v>
      </c>
      <c r="AR30" s="4794">
        <f t="shared" si="32"/>
        <v>213.54957571295392</v>
      </c>
      <c r="AS30" s="4794">
        <f t="shared" si="33"/>
        <v>213.54957571295392</v>
      </c>
      <c r="AT30" s="4794">
        <f t="shared" si="34"/>
        <v>213.54957571295392</v>
      </c>
      <c r="AU30" s="4794">
        <f t="shared" si="35"/>
        <v>217.81034138958907</v>
      </c>
      <c r="AV30" s="4794">
        <f t="shared" si="36"/>
        <v>217.81034138958907</v>
      </c>
      <c r="AW30" s="4794">
        <f t="shared" si="37"/>
        <v>217.81034138958907</v>
      </c>
      <c r="AX30" s="4794">
        <f t="shared" si="38"/>
        <v>119.64230019991513</v>
      </c>
      <c r="AY30" s="4794">
        <f t="shared" si="39"/>
        <v>128.16383155318542</v>
      </c>
      <c r="AZ30" s="4794">
        <f t="shared" si="40"/>
        <v>128.16383155318542</v>
      </c>
      <c r="BA30" s="4794">
        <f t="shared" si="41"/>
        <v>128.16383155318542</v>
      </c>
      <c r="BB30" s="4794">
        <f t="shared" si="42"/>
        <v>132.42459722982059</v>
      </c>
      <c r="BC30" s="4794">
        <f t="shared" si="43"/>
        <v>132.42459722982059</v>
      </c>
      <c r="BD30" s="4794">
        <f t="shared" si="44"/>
        <v>132.42459722982059</v>
      </c>
      <c r="BE30" s="4794">
        <f t="shared" si="45"/>
        <v>91.009954852926896</v>
      </c>
      <c r="BF30" s="4794">
        <f t="shared" si="46"/>
        <v>99.531486206197201</v>
      </c>
      <c r="BG30" s="4794">
        <f t="shared" si="47"/>
        <v>99.531486206197201</v>
      </c>
      <c r="BH30" s="4794">
        <f t="shared" si="48"/>
        <v>99.531486206197201</v>
      </c>
      <c r="BI30" s="4794">
        <f t="shared" si="49"/>
        <v>103.79225188283236</v>
      </c>
      <c r="BJ30" s="4794">
        <f t="shared" si="50"/>
        <v>103.79225188283236</v>
      </c>
      <c r="BK30" s="4794">
        <f t="shared" si="51"/>
        <v>103.79225188283236</v>
      </c>
      <c r="BL30" s="4794">
        <f t="shared" si="52"/>
        <v>0</v>
      </c>
      <c r="BM30" s="4794">
        <f t="shared" si="53"/>
        <v>0</v>
      </c>
      <c r="BN30" s="4794">
        <f t="shared" si="54"/>
        <v>0</v>
      </c>
      <c r="BO30" s="4794">
        <f t="shared" si="55"/>
        <v>0</v>
      </c>
      <c r="BP30" s="4794">
        <f t="shared" si="56"/>
        <v>0</v>
      </c>
      <c r="BQ30" s="4794">
        <f t="shared" si="57"/>
        <v>0</v>
      </c>
      <c r="BR30" s="4794">
        <f t="shared" si="58"/>
        <v>0</v>
      </c>
      <c r="BS30" s="4794">
        <f t="shared" si="59"/>
        <v>0</v>
      </c>
      <c r="BT30" s="4794">
        <f t="shared" si="60"/>
        <v>0</v>
      </c>
      <c r="BU30" s="4794">
        <f t="shared" si="61"/>
        <v>0</v>
      </c>
      <c r="BV30" s="4794">
        <f t="shared" si="62"/>
        <v>0</v>
      </c>
      <c r="BW30" s="4794">
        <f t="shared" si="63"/>
        <v>0</v>
      </c>
      <c r="BX30" s="4794">
        <f t="shared" si="64"/>
        <v>0</v>
      </c>
      <c r="BY30" s="4794">
        <f t="shared" si="65"/>
        <v>0</v>
      </c>
    </row>
    <row r="31" spans="1:77">
      <c r="A31" s="2699">
        <v>13</v>
      </c>
      <c r="B31" s="2694">
        <v>213</v>
      </c>
      <c r="C31" s="2701">
        <v>0.2</v>
      </c>
      <c r="D31" s="2688" t="s">
        <v>215</v>
      </c>
      <c r="E31" s="4738">
        <f>+'11.3. ДА Базова година'!H34</f>
        <v>0</v>
      </c>
      <c r="F31" s="927">
        <f>E31+SUMIF('11.1.Амортиз.нови активи'!$B$12:$B$59,$B31,'11.1.Амортиз.нови активи'!F$12:F$59)+('9.Инвестиционна програма'!H$130*SUMIF('11.1.Амортиз.нови активи'!$B$12:$B$59,$B31,'11.1.Амортиз.нови активи'!AO$12:AO$59))</f>
        <v>0</v>
      </c>
      <c r="G31" s="1243">
        <f>F31+SUMIF('11.1.Амортиз.нови активи'!$B$12:$B$59,$B31,'11.1.Амортиз.нови активи'!G$12:G$59)+('9.Инвестиционна програма'!I$130*SUMIF('11.1.Амортиз.нови активи'!$B$12:$B$59,$B31,'11.1.Амортиз.нови активи'!AP$12:AP$59))</f>
        <v>0</v>
      </c>
      <c r="H31" s="1243">
        <f>G31+SUMIF('11.1.Амортиз.нови активи'!$B$12:$B$59,$B31,'11.1.Амортиз.нови активи'!H$12:H$59)+('9.Инвестиционна програма'!J$130*SUMIF('11.1.Амортиз.нови активи'!$B$12:$B$59,$B31,'11.1.Амортиз.нови активи'!AQ$12:AQ$59))</f>
        <v>0</v>
      </c>
      <c r="I31" s="1243">
        <f>H31+SUMIF('11.1.Амортиз.нови активи'!$B$12:$B$59,$B31,'11.1.Амортиз.нови активи'!I$12:I$59)+('9.Инвестиционна програма'!K$130*SUMIF('11.1.Амортиз.нови активи'!$B$12:$B$59,$B31,'11.1.Амортиз.нови активи'!AR$12:AR$59))</f>
        <v>0</v>
      </c>
      <c r="J31" s="1243">
        <f>I31+SUMIF('11.1.Амортиз.нови активи'!$B$12:$B$59,$B31,'11.1.Амортиз.нови активи'!J$12:J$59)+('9.Инвестиционна програма'!L$130*SUMIF('11.1.Амортиз.нови активи'!$B$12:$B$59,$B31,'11.1.Амортиз.нови активи'!AS$12:AS$59))</f>
        <v>0</v>
      </c>
      <c r="K31" s="1248">
        <f>J31+SUMIF('11.1.Амортиз.нови активи'!$B$12:$B$59,$B31,'11.1.Амортиз.нови активи'!K$12:K$59)+('9.Инвестиционна програма'!M$130*SUMIF('11.1.Амортиз.нови активи'!$B$12:$B$59,$B31,'11.1.Амортиз.нови активи'!AT$12:AT$59))</f>
        <v>0</v>
      </c>
      <c r="L31" s="4738">
        <f>+'11.3. ДА Базова година'!L34</f>
        <v>0</v>
      </c>
      <c r="M31" s="1247">
        <f>L31+SUMIF('11.1.Амортиз.нови активи'!$B$12:$B$59,$B31,'11.1.Амортиз.нови активи'!M$12:M$59)+('9.Инвестиционна програма'!H$131*SUMIF('11.1.Амортиз.нови активи'!$B$12:$B$59,$B31,'11.1.Амортиз.нови активи'!AO$12:AO$59))</f>
        <v>0</v>
      </c>
      <c r="N31" s="1243">
        <f>M31+SUMIF('11.1.Амортиз.нови активи'!$B$12:$B$59,$B31,'11.1.Амортиз.нови активи'!N$12:N$59)+('9.Инвестиционна програма'!I$131*SUMIF('11.1.Амортиз.нови активи'!$B$12:$B$59,$B31,'11.1.Амортиз.нови активи'!AP$12:AP$59))</f>
        <v>0</v>
      </c>
      <c r="O31" s="1243">
        <f>N31+SUMIF('11.1.Амортиз.нови активи'!$B$12:$B$59,$B31,'11.1.Амортиз.нови активи'!O$12:O$59)+('9.Инвестиционна програма'!J$131*SUMIF('11.1.Амортиз.нови активи'!$B$12:$B$59,$B31,'11.1.Амортиз.нови активи'!AQ$12:AQ$59))</f>
        <v>0</v>
      </c>
      <c r="P31" s="1243">
        <f>O31+SUMIF('11.1.Амортиз.нови активи'!$B$12:$B$59,$B31,'11.1.Амортиз.нови активи'!P$12:P$59)+('9.Инвестиционна програма'!K$131*SUMIF('11.1.Амортиз.нови активи'!$B$12:$B$59,$B31,'11.1.Амортиз.нови активи'!AR$12:AR$59))</f>
        <v>0</v>
      </c>
      <c r="Q31" s="1243">
        <f>P31+SUMIF('11.1.Амортиз.нови активи'!$B$12:$B$59,$B31,'11.1.Амортиз.нови активи'!Q$12:Q$59)+('9.Инвестиционна програма'!L$131*SUMIF('11.1.Амортиз.нови активи'!$B$12:$B$59,$B31,'11.1.Амортиз.нови активи'!AS$12:AS$59))</f>
        <v>0</v>
      </c>
      <c r="R31" s="1248">
        <f>Q31+SUMIF('11.1.Амортиз.нови активи'!$B$12:$B$59,$B31,'11.1.Амортиз.нови активи'!R$12:R$59)+('9.Инвестиционна програма'!M$131*SUMIF('11.1.Амортиз.нови активи'!$B$12:$B$59,$B31,'11.1.Амортиз.нови активи'!AT$12:AT$59))</f>
        <v>0</v>
      </c>
      <c r="S31" s="4738">
        <f>+'11.3. ДА Базова година'!P34</f>
        <v>0</v>
      </c>
      <c r="T31" s="1247">
        <f>S31+SUMIF('11.1.Амортиз.нови активи'!$B$12:$B$59,$B31,'11.1.Амортиз.нови активи'!T$12:T$59)+('9.Инвестиционна програма'!H$132*SUMIF('11.1.Амортиз.нови активи'!$B$12:$B$59,$B31,'11.1.Амортиз.нови активи'!AO$12:AO$59))</f>
        <v>0</v>
      </c>
      <c r="U31" s="1243">
        <f>T31+SUMIF('11.1.Амортиз.нови активи'!$B$12:$B$59,$B31,'11.1.Амортиз.нови активи'!U$12:U$59)+('9.Инвестиционна програма'!I$132*SUMIF('11.1.Амортиз.нови активи'!$B$12:$B$59,$B31,'11.1.Амортиз.нови активи'!AP$12:AP$59))</f>
        <v>0</v>
      </c>
      <c r="V31" s="1243">
        <f>U31+SUMIF('11.1.Амортиз.нови активи'!$B$12:$B$59,$B31,'11.1.Амортиз.нови активи'!V$12:V$59)+('9.Инвестиционна програма'!J$132*SUMIF('11.1.Амортиз.нови активи'!$B$12:$B$59,$B31,'11.1.Амортиз.нови активи'!AQ$12:AQ$59))</f>
        <v>0</v>
      </c>
      <c r="W31" s="1243">
        <f>V31+SUMIF('11.1.Амортиз.нови активи'!$B$12:$B$59,$B31,'11.1.Амортиз.нови активи'!W$12:W$59)+('9.Инвестиционна програма'!K$132*SUMIF('11.1.Амортиз.нови активи'!$B$12:$B$59,$B31,'11.1.Амортиз.нови активи'!AR$12:AR$59))</f>
        <v>0</v>
      </c>
      <c r="X31" s="1243">
        <f>W31+SUMIF('11.1.Амортиз.нови активи'!$B$12:$B$59,$B31,'11.1.Амортиз.нови активи'!X$12:X$59)+('9.Инвестиционна програма'!L$132*SUMIF('11.1.Амортиз.нови активи'!$B$12:$B$59,$B31,'11.1.Амортиз.нови активи'!AS$12:AS$59))</f>
        <v>0</v>
      </c>
      <c r="Y31" s="1248">
        <f>X31+SUMIF('11.1.Амортиз.нови активи'!$B$12:$B$59,$B31,'11.1.Амортиз.нови активи'!Y$12:Y$59)+('9.Инвестиционна програма'!M$132*SUMIF('11.1.Амортиз.нови активи'!$B$12:$B$59,$B31,'11.1.Амортиз.нови активи'!AT$12:AT$59))</f>
        <v>0</v>
      </c>
      <c r="Z31" s="4738">
        <f>+'11.3. ДА Базова година'!T34</f>
        <v>0</v>
      </c>
      <c r="AA31" s="1247">
        <f>Z31+SUMIF('11.1.Амортиз.нови активи'!$B$12:$B$59,$B31,'11.1.Амортиз.нови активи'!AA$12:AA$59)</f>
        <v>0</v>
      </c>
      <c r="AB31" s="1243">
        <f>AA31+SUMIF('11.1.Амортиз.нови активи'!$B$12:$B$59,$B31,'11.1.Амортиз.нови активи'!AB$12:AB$59)</f>
        <v>0</v>
      </c>
      <c r="AC31" s="1243">
        <f>AB31+SUMIF('11.1.Амортиз.нови активи'!$B$12:$B$59,$B31,'11.1.Амортиз.нови активи'!AC$12:AC$59)</f>
        <v>0</v>
      </c>
      <c r="AD31" s="1243">
        <f>AC31+SUMIF('11.1.Амортиз.нови активи'!$B$12:$B$59,$B31,'11.1.Амортиз.нови активи'!AD$12:AD$59)</f>
        <v>0</v>
      </c>
      <c r="AE31" s="1243">
        <f>AD31+SUMIF('11.1.Амортиз.нови активи'!$B$12:$B$59,$B31,'11.1.Амортиз.нови активи'!AE$12:AE$59)</f>
        <v>0</v>
      </c>
      <c r="AF31" s="1248">
        <f>AE31+SUMIF('11.1.Амортиз.нови активи'!$B$12:$B$59,$B31,'11.1.Амортиз.нови активи'!AF$12:AF$59)</f>
        <v>0</v>
      </c>
      <c r="AG31" s="4738">
        <f>+'11.3. ДА Базова година'!X34</f>
        <v>0</v>
      </c>
      <c r="AH31" s="1247">
        <f>AG31+SUMIF('11.1.Амортиз.нови активи'!$B$12:$B$59,$B31,'11.1.Амортиз.нови активи'!AH$12:AH$59)</f>
        <v>0</v>
      </c>
      <c r="AI31" s="1243">
        <f>AH31+SUMIF('11.1.Амортиз.нови активи'!$B$12:$B$59,$B31,'11.1.Амортиз.нови активи'!AI$12:AI$59)</f>
        <v>0</v>
      </c>
      <c r="AJ31" s="1243">
        <f>AI31+SUMIF('11.1.Амортиз.нови активи'!$B$12:$B$59,$B31,'11.1.Амортиз.нови активи'!AJ$12:AJ$59)</f>
        <v>0</v>
      </c>
      <c r="AK31" s="1243">
        <f>AJ31+SUMIF('11.1.Амортиз.нови активи'!$B$12:$B$59,$B31,'11.1.Амортиз.нови активи'!AK$12:AK$59)</f>
        <v>0</v>
      </c>
      <c r="AL31" s="1243">
        <f>AK31+SUMIF('11.1.Амортиз.нови активи'!$B$12:$B$59,$B31,'11.1.Амортиз.нови активи'!AL$12:AL$59)</f>
        <v>0</v>
      </c>
      <c r="AM31" s="1248">
        <f>AL31+SUMIF('11.1.Амортиз.нови активи'!$B$12:$B$59,$B31,'11.1.Амортиз.нови активи'!AM$12:AM$59)</f>
        <v>0</v>
      </c>
      <c r="AN31" s="2681"/>
      <c r="AO31" s="2689"/>
      <c r="AP31" s="4775"/>
      <c r="AQ31" s="4794">
        <f t="shared" si="31"/>
        <v>0</v>
      </c>
      <c r="AR31" s="4794">
        <f t="shared" si="32"/>
        <v>0</v>
      </c>
      <c r="AS31" s="4794">
        <f t="shared" si="33"/>
        <v>0</v>
      </c>
      <c r="AT31" s="4794">
        <f t="shared" si="34"/>
        <v>0</v>
      </c>
      <c r="AU31" s="4794">
        <f t="shared" si="35"/>
        <v>0</v>
      </c>
      <c r="AV31" s="4794">
        <f t="shared" si="36"/>
        <v>0</v>
      </c>
      <c r="AW31" s="4794">
        <f t="shared" si="37"/>
        <v>0</v>
      </c>
      <c r="AX31" s="4794">
        <f t="shared" si="38"/>
        <v>0</v>
      </c>
      <c r="AY31" s="4794">
        <f t="shared" si="39"/>
        <v>0</v>
      </c>
      <c r="AZ31" s="4794">
        <f t="shared" si="40"/>
        <v>0</v>
      </c>
      <c r="BA31" s="4794">
        <f t="shared" si="41"/>
        <v>0</v>
      </c>
      <c r="BB31" s="4794">
        <f t="shared" si="42"/>
        <v>0</v>
      </c>
      <c r="BC31" s="4794">
        <f t="shared" si="43"/>
        <v>0</v>
      </c>
      <c r="BD31" s="4794">
        <f t="shared" si="44"/>
        <v>0</v>
      </c>
      <c r="BE31" s="4794">
        <f t="shared" si="45"/>
        <v>0</v>
      </c>
      <c r="BF31" s="4794">
        <f t="shared" si="46"/>
        <v>0</v>
      </c>
      <c r="BG31" s="4794">
        <f t="shared" si="47"/>
        <v>0</v>
      </c>
      <c r="BH31" s="4794">
        <f t="shared" si="48"/>
        <v>0</v>
      </c>
      <c r="BI31" s="4794">
        <f t="shared" si="49"/>
        <v>0</v>
      </c>
      <c r="BJ31" s="4794">
        <f t="shared" si="50"/>
        <v>0</v>
      </c>
      <c r="BK31" s="4794">
        <f t="shared" si="51"/>
        <v>0</v>
      </c>
      <c r="BL31" s="4794">
        <f t="shared" si="52"/>
        <v>0</v>
      </c>
      <c r="BM31" s="4794">
        <f t="shared" si="53"/>
        <v>0</v>
      </c>
      <c r="BN31" s="4794">
        <f t="shared" si="54"/>
        <v>0</v>
      </c>
      <c r="BO31" s="4794">
        <f t="shared" si="55"/>
        <v>0</v>
      </c>
      <c r="BP31" s="4794">
        <f t="shared" si="56"/>
        <v>0</v>
      </c>
      <c r="BQ31" s="4794">
        <f t="shared" si="57"/>
        <v>0</v>
      </c>
      <c r="BR31" s="4794">
        <f t="shared" si="58"/>
        <v>0</v>
      </c>
      <c r="BS31" s="4794">
        <f t="shared" si="59"/>
        <v>0</v>
      </c>
      <c r="BT31" s="4794">
        <f t="shared" si="60"/>
        <v>0</v>
      </c>
      <c r="BU31" s="4794">
        <f t="shared" si="61"/>
        <v>0</v>
      </c>
      <c r="BV31" s="4794">
        <f t="shared" si="62"/>
        <v>0</v>
      </c>
      <c r="BW31" s="4794">
        <f t="shared" si="63"/>
        <v>0</v>
      </c>
      <c r="BX31" s="4794">
        <f t="shared" si="64"/>
        <v>0</v>
      </c>
      <c r="BY31" s="4794">
        <f t="shared" si="65"/>
        <v>0</v>
      </c>
    </row>
    <row r="32" spans="1:77">
      <c r="A32" s="2699">
        <v>14</v>
      </c>
      <c r="B32" s="2775"/>
      <c r="C32" s="2775"/>
      <c r="D32" s="2702" t="s">
        <v>628</v>
      </c>
      <c r="E32" s="4738">
        <f>+'11.3. ДА Базова година'!H35</f>
        <v>0</v>
      </c>
      <c r="F32" s="927">
        <f>E32+SUMIF('11.1.Амортиз.нови активи'!$B$12:$B$59,$B32,'11.1.Амортиз.нови активи'!F$12:F$59)+('9.Инвестиционна програма'!H$130*SUMIF('11.1.Амортиз.нови активи'!$B$12:$B$59,$B32,'11.1.Амортиз.нови активи'!AO$12:AO$59))</f>
        <v>0</v>
      </c>
      <c r="G32" s="1243">
        <f>F32+SUMIF('11.1.Амортиз.нови активи'!$B$12:$B$59,$B32,'11.1.Амортиз.нови активи'!G$12:G$59)+('9.Инвестиционна програма'!I$130*SUMIF('11.1.Амортиз.нови активи'!$B$12:$B$59,$B32,'11.1.Амортиз.нови активи'!AP$12:AP$59))</f>
        <v>0</v>
      </c>
      <c r="H32" s="1243">
        <f>G32+SUMIF('11.1.Амортиз.нови активи'!$B$12:$B$59,$B32,'11.1.Амортиз.нови активи'!H$12:H$59)+('9.Инвестиционна програма'!J$130*SUMIF('11.1.Амортиз.нови активи'!$B$12:$B$59,$B32,'11.1.Амортиз.нови активи'!AQ$12:AQ$59))</f>
        <v>0</v>
      </c>
      <c r="I32" s="1243">
        <f>H32+SUMIF('11.1.Амортиз.нови активи'!$B$12:$B$59,$B32,'11.1.Амортиз.нови активи'!I$12:I$59)+('9.Инвестиционна програма'!K$130*SUMIF('11.1.Амортиз.нови активи'!$B$12:$B$59,$B32,'11.1.Амортиз.нови активи'!AR$12:AR$59))</f>
        <v>0</v>
      </c>
      <c r="J32" s="1243">
        <f>I32+SUMIF('11.1.Амортиз.нови активи'!$B$12:$B$59,$B32,'11.1.Амортиз.нови активи'!J$12:J$59)+('9.Инвестиционна програма'!L$130*SUMIF('11.1.Амортиз.нови активи'!$B$12:$B$59,$B32,'11.1.Амортиз.нови активи'!AS$12:AS$59))</f>
        <v>0</v>
      </c>
      <c r="K32" s="1248">
        <f>J32+SUMIF('11.1.Амортиз.нови активи'!$B$12:$B$59,$B32,'11.1.Амортиз.нови активи'!K$12:K$59)+('9.Инвестиционна програма'!M$130*SUMIF('11.1.Амортиз.нови активи'!$B$12:$B$59,$B32,'11.1.Амортиз.нови активи'!AT$12:AT$59))</f>
        <v>0</v>
      </c>
      <c r="L32" s="4738">
        <f>+'11.3. ДА Базова година'!L35</f>
        <v>0</v>
      </c>
      <c r="M32" s="1247">
        <f>L32+SUMIF('11.1.Амортиз.нови активи'!$B$12:$B$59,$B32,'11.1.Амортиз.нови активи'!M$12:M$59)+('9.Инвестиционна програма'!H$131*SUMIF('11.1.Амортиз.нови активи'!$B$12:$B$59,$B32,'11.1.Амортиз.нови активи'!AO$12:AO$59))</f>
        <v>0</v>
      </c>
      <c r="N32" s="1243">
        <f>M32+SUMIF('11.1.Амортиз.нови активи'!$B$12:$B$59,$B32,'11.1.Амортиз.нови активи'!N$12:N$59)+('9.Инвестиционна програма'!I$131*SUMIF('11.1.Амортиз.нови активи'!$B$12:$B$59,$B32,'11.1.Амортиз.нови активи'!AP$12:AP$59))</f>
        <v>0</v>
      </c>
      <c r="O32" s="1243">
        <f>N32+SUMIF('11.1.Амортиз.нови активи'!$B$12:$B$59,$B32,'11.1.Амортиз.нови активи'!O$12:O$59)+('9.Инвестиционна програма'!J$131*SUMIF('11.1.Амортиз.нови активи'!$B$12:$B$59,$B32,'11.1.Амортиз.нови активи'!AQ$12:AQ$59))</f>
        <v>0</v>
      </c>
      <c r="P32" s="1243">
        <f>O32+SUMIF('11.1.Амортиз.нови активи'!$B$12:$B$59,$B32,'11.1.Амортиз.нови активи'!P$12:P$59)+('9.Инвестиционна програма'!K$131*SUMIF('11.1.Амортиз.нови активи'!$B$12:$B$59,$B32,'11.1.Амортиз.нови активи'!AR$12:AR$59))</f>
        <v>0</v>
      </c>
      <c r="Q32" s="1243">
        <f>P32+SUMIF('11.1.Амортиз.нови активи'!$B$12:$B$59,$B32,'11.1.Амортиз.нови активи'!Q$12:Q$59)+('9.Инвестиционна програма'!L$131*SUMIF('11.1.Амортиз.нови активи'!$B$12:$B$59,$B32,'11.1.Амортиз.нови активи'!AS$12:AS$59))</f>
        <v>0</v>
      </c>
      <c r="R32" s="1248">
        <f>Q32+SUMIF('11.1.Амортиз.нови активи'!$B$12:$B$59,$B32,'11.1.Амортиз.нови активи'!R$12:R$59)+('9.Инвестиционна програма'!M$131*SUMIF('11.1.Амортиз.нови активи'!$B$12:$B$59,$B32,'11.1.Амортиз.нови активи'!AT$12:AT$59))</f>
        <v>0</v>
      </c>
      <c r="S32" s="4738">
        <f>+'11.3. ДА Базова година'!P35</f>
        <v>0</v>
      </c>
      <c r="T32" s="1247">
        <f>S32+SUMIF('11.1.Амортиз.нови активи'!$B$12:$B$59,$B32,'11.1.Амортиз.нови активи'!T$12:T$59)+('9.Инвестиционна програма'!H$132*SUMIF('11.1.Амортиз.нови активи'!$B$12:$B$59,$B32,'11.1.Амортиз.нови активи'!AO$12:AO$59))</f>
        <v>0</v>
      </c>
      <c r="U32" s="1243">
        <f>T32+SUMIF('11.1.Амортиз.нови активи'!$B$12:$B$59,$B32,'11.1.Амортиз.нови активи'!U$12:U$59)+('9.Инвестиционна програма'!I$132*SUMIF('11.1.Амортиз.нови активи'!$B$12:$B$59,$B32,'11.1.Амортиз.нови активи'!AP$12:AP$59))</f>
        <v>0</v>
      </c>
      <c r="V32" s="1243">
        <f>U32+SUMIF('11.1.Амортиз.нови активи'!$B$12:$B$59,$B32,'11.1.Амортиз.нови активи'!V$12:V$59)+('9.Инвестиционна програма'!J$132*SUMIF('11.1.Амортиз.нови активи'!$B$12:$B$59,$B32,'11.1.Амортиз.нови активи'!AQ$12:AQ$59))</f>
        <v>0</v>
      </c>
      <c r="W32" s="1243">
        <f>V32+SUMIF('11.1.Амортиз.нови активи'!$B$12:$B$59,$B32,'11.1.Амортиз.нови активи'!W$12:W$59)+('9.Инвестиционна програма'!K$132*SUMIF('11.1.Амортиз.нови активи'!$B$12:$B$59,$B32,'11.1.Амортиз.нови активи'!AR$12:AR$59))</f>
        <v>0</v>
      </c>
      <c r="X32" s="1243">
        <f>W32+SUMIF('11.1.Амортиз.нови активи'!$B$12:$B$59,$B32,'11.1.Амортиз.нови активи'!X$12:X$59)+('9.Инвестиционна програма'!L$132*SUMIF('11.1.Амортиз.нови активи'!$B$12:$B$59,$B32,'11.1.Амортиз.нови активи'!AS$12:AS$59))</f>
        <v>0</v>
      </c>
      <c r="Y32" s="1248">
        <f>X32+SUMIF('11.1.Амортиз.нови активи'!$B$12:$B$59,$B32,'11.1.Амортиз.нови активи'!Y$12:Y$59)+('9.Инвестиционна програма'!M$132*SUMIF('11.1.Амортиз.нови активи'!$B$12:$B$59,$B32,'11.1.Амортиз.нови активи'!AT$12:AT$59))</f>
        <v>0</v>
      </c>
      <c r="Z32" s="4738">
        <f>+'11.3. ДА Базова година'!T35</f>
        <v>0</v>
      </c>
      <c r="AA32" s="1247">
        <f>Z32+SUMIF('11.1.Амортиз.нови активи'!$B$12:$B$59,$B32,'11.1.Амортиз.нови активи'!AA$12:AA$59)</f>
        <v>0</v>
      </c>
      <c r="AB32" s="1243">
        <f>AA32+SUMIF('11.1.Амортиз.нови активи'!$B$12:$B$59,$B32,'11.1.Амортиз.нови активи'!AB$12:AB$59)</f>
        <v>0</v>
      </c>
      <c r="AC32" s="1243">
        <f>AB32+SUMIF('11.1.Амортиз.нови активи'!$B$12:$B$59,$B32,'11.1.Амортиз.нови активи'!AC$12:AC$59)</f>
        <v>0</v>
      </c>
      <c r="AD32" s="1243">
        <f>AC32+SUMIF('11.1.Амортиз.нови активи'!$B$12:$B$59,$B32,'11.1.Амортиз.нови активи'!AD$12:AD$59)</f>
        <v>0</v>
      </c>
      <c r="AE32" s="1243">
        <f>AD32+SUMIF('11.1.Амортиз.нови активи'!$B$12:$B$59,$B32,'11.1.Амортиз.нови активи'!AE$12:AE$59)</f>
        <v>0</v>
      </c>
      <c r="AF32" s="1248">
        <f>AE32+SUMIF('11.1.Амортиз.нови активи'!$B$12:$B$59,$B32,'11.1.Амортиз.нови активи'!AF$12:AF$59)</f>
        <v>0</v>
      </c>
      <c r="AG32" s="4738">
        <f>+'11.3. ДА Базова година'!X35</f>
        <v>0</v>
      </c>
      <c r="AH32" s="1247">
        <f>AG32+SUMIF('11.1.Амортиз.нови активи'!$B$12:$B$59,$B32,'11.1.Амортиз.нови активи'!AH$12:AH$59)</f>
        <v>0</v>
      </c>
      <c r="AI32" s="1243">
        <f>AH32+SUMIF('11.1.Амортиз.нови активи'!$B$12:$B$59,$B32,'11.1.Амортиз.нови активи'!AI$12:AI$59)</f>
        <v>0</v>
      </c>
      <c r="AJ32" s="1243">
        <f>AI32+SUMIF('11.1.Амортиз.нови активи'!$B$12:$B$59,$B32,'11.1.Амортиз.нови активи'!AJ$12:AJ$59)</f>
        <v>0</v>
      </c>
      <c r="AK32" s="1243">
        <f>AJ32+SUMIF('11.1.Амортиз.нови активи'!$B$12:$B$59,$B32,'11.1.Амортиз.нови активи'!AK$12:AK$59)</f>
        <v>0</v>
      </c>
      <c r="AL32" s="1243">
        <f>AK32+SUMIF('11.1.Амортиз.нови активи'!$B$12:$B$59,$B32,'11.1.Амортиз.нови активи'!AL$12:AL$59)</f>
        <v>0</v>
      </c>
      <c r="AM32" s="1248">
        <f>AL32+SUMIF('11.1.Амортиз.нови активи'!$B$12:$B$59,$B32,'11.1.Амортиз.нови активи'!AM$12:AM$59)</f>
        <v>0</v>
      </c>
      <c r="AN32" s="2681"/>
      <c r="AO32" s="2689"/>
      <c r="AP32" s="4775"/>
      <c r="AQ32" s="4794">
        <f t="shared" si="31"/>
        <v>0</v>
      </c>
      <c r="AR32" s="4794">
        <f t="shared" si="32"/>
        <v>0</v>
      </c>
      <c r="AS32" s="4794">
        <f t="shared" si="33"/>
        <v>0</v>
      </c>
      <c r="AT32" s="4794">
        <f t="shared" si="34"/>
        <v>0</v>
      </c>
      <c r="AU32" s="4794">
        <f t="shared" si="35"/>
        <v>0</v>
      </c>
      <c r="AV32" s="4794">
        <f t="shared" si="36"/>
        <v>0</v>
      </c>
      <c r="AW32" s="4794">
        <f t="shared" si="37"/>
        <v>0</v>
      </c>
      <c r="AX32" s="4794">
        <f t="shared" si="38"/>
        <v>0</v>
      </c>
      <c r="AY32" s="4794">
        <f t="shared" si="39"/>
        <v>0</v>
      </c>
      <c r="AZ32" s="4794">
        <f t="shared" si="40"/>
        <v>0</v>
      </c>
      <c r="BA32" s="4794">
        <f t="shared" si="41"/>
        <v>0</v>
      </c>
      <c r="BB32" s="4794">
        <f t="shared" si="42"/>
        <v>0</v>
      </c>
      <c r="BC32" s="4794">
        <f t="shared" si="43"/>
        <v>0</v>
      </c>
      <c r="BD32" s="4794">
        <f t="shared" si="44"/>
        <v>0</v>
      </c>
      <c r="BE32" s="4794">
        <f t="shared" si="45"/>
        <v>0</v>
      </c>
      <c r="BF32" s="4794">
        <f t="shared" si="46"/>
        <v>0</v>
      </c>
      <c r="BG32" s="4794">
        <f t="shared" si="47"/>
        <v>0</v>
      </c>
      <c r="BH32" s="4794">
        <f t="shared" si="48"/>
        <v>0</v>
      </c>
      <c r="BI32" s="4794">
        <f t="shared" si="49"/>
        <v>0</v>
      </c>
      <c r="BJ32" s="4794">
        <f t="shared" si="50"/>
        <v>0</v>
      </c>
      <c r="BK32" s="4794">
        <f t="shared" si="51"/>
        <v>0</v>
      </c>
      <c r="BL32" s="4794">
        <f t="shared" si="52"/>
        <v>0</v>
      </c>
      <c r="BM32" s="4794">
        <f t="shared" si="53"/>
        <v>0</v>
      </c>
      <c r="BN32" s="4794">
        <f t="shared" si="54"/>
        <v>0</v>
      </c>
      <c r="BO32" s="4794">
        <f t="shared" si="55"/>
        <v>0</v>
      </c>
      <c r="BP32" s="4794">
        <f t="shared" si="56"/>
        <v>0</v>
      </c>
      <c r="BQ32" s="4794">
        <f t="shared" si="57"/>
        <v>0</v>
      </c>
      <c r="BR32" s="4794">
        <f t="shared" si="58"/>
        <v>0</v>
      </c>
      <c r="BS32" s="4794">
        <f t="shared" si="59"/>
        <v>0</v>
      </c>
      <c r="BT32" s="4794">
        <f t="shared" si="60"/>
        <v>0</v>
      </c>
      <c r="BU32" s="4794">
        <f t="shared" si="61"/>
        <v>0</v>
      </c>
      <c r="BV32" s="4794">
        <f t="shared" si="62"/>
        <v>0</v>
      </c>
      <c r="BW32" s="4794">
        <f t="shared" si="63"/>
        <v>0</v>
      </c>
      <c r="BX32" s="4794">
        <f t="shared" si="64"/>
        <v>0</v>
      </c>
      <c r="BY32" s="4794">
        <f t="shared" si="65"/>
        <v>0</v>
      </c>
    </row>
    <row r="33" spans="1:77" ht="24">
      <c r="A33" s="2699">
        <v>15</v>
      </c>
      <c r="B33" s="2694">
        <v>207</v>
      </c>
      <c r="C33" s="2694" t="s">
        <v>313</v>
      </c>
      <c r="D33" s="2703" t="s">
        <v>415</v>
      </c>
      <c r="E33" s="4738">
        <f>+'11.3. ДА Базова година'!H36</f>
        <v>0</v>
      </c>
      <c r="F33" s="927">
        <f>E33+SUMIF('11.1.Амортиз.нови активи'!$B$12:$B$59,$B33,'11.1.Амортиз.нови активи'!F$12:F$59)+('9.Инвестиционна програма'!H$130*SUMIF('11.1.Амортиз.нови активи'!$B$12:$B$59,$B33,'11.1.Амортиз.нови активи'!AO$12:AO$59))</f>
        <v>0</v>
      </c>
      <c r="G33" s="1243">
        <f>F33+SUMIF('11.1.Амортиз.нови активи'!$B$12:$B$59,$B33,'11.1.Амортиз.нови активи'!G$12:G$59)+('9.Инвестиционна програма'!I$130*SUMIF('11.1.Амортиз.нови активи'!$B$12:$B$59,$B33,'11.1.Амортиз.нови активи'!AP$12:AP$59))</f>
        <v>0</v>
      </c>
      <c r="H33" s="1243">
        <f>G33+SUMIF('11.1.Амортиз.нови активи'!$B$12:$B$59,$B33,'11.1.Амортиз.нови активи'!H$12:H$59)+('9.Инвестиционна програма'!J$130*SUMIF('11.1.Амортиз.нови активи'!$B$12:$B$59,$B33,'11.1.Амортиз.нови активи'!AQ$12:AQ$59))</f>
        <v>0</v>
      </c>
      <c r="I33" s="1243">
        <f>H33+SUMIF('11.1.Амортиз.нови активи'!$B$12:$B$59,$B33,'11.1.Амортиз.нови активи'!I$12:I$59)+('9.Инвестиционна програма'!K$130*SUMIF('11.1.Амортиз.нови активи'!$B$12:$B$59,$B33,'11.1.Амортиз.нови активи'!AR$12:AR$59))</f>
        <v>0</v>
      </c>
      <c r="J33" s="1243">
        <f>I33+SUMIF('11.1.Амортиз.нови активи'!$B$12:$B$59,$B33,'11.1.Амортиз.нови активи'!J$12:J$59)+('9.Инвестиционна програма'!L$130*SUMIF('11.1.Амортиз.нови активи'!$B$12:$B$59,$B33,'11.1.Амортиз.нови активи'!AS$12:AS$59))</f>
        <v>0</v>
      </c>
      <c r="K33" s="1248">
        <f>J33+SUMIF('11.1.Амортиз.нови активи'!$B$12:$B$59,$B33,'11.1.Амортиз.нови активи'!K$12:K$59)+('9.Инвестиционна програма'!M$130*SUMIF('11.1.Амортиз.нови активи'!$B$12:$B$59,$B33,'11.1.Амортиз.нови активи'!AT$12:AT$59))</f>
        <v>0</v>
      </c>
      <c r="L33" s="4738">
        <f>+'11.3. ДА Базова година'!L36</f>
        <v>0</v>
      </c>
      <c r="M33" s="1247">
        <f>L33+SUMIF('11.1.Амортиз.нови активи'!$B$12:$B$59,$B33,'11.1.Амортиз.нови активи'!M$12:M$59)+('9.Инвестиционна програма'!H$131*SUMIF('11.1.Амортиз.нови активи'!$B$12:$B$59,$B33,'11.1.Амортиз.нови активи'!AO$12:AO$59))</f>
        <v>0</v>
      </c>
      <c r="N33" s="1243">
        <f>M33+SUMIF('11.1.Амортиз.нови активи'!$B$12:$B$59,$B33,'11.1.Амортиз.нови активи'!N$12:N$59)+('9.Инвестиционна програма'!I$131*SUMIF('11.1.Амортиз.нови активи'!$B$12:$B$59,$B33,'11.1.Амортиз.нови активи'!AP$12:AP$59))</f>
        <v>0</v>
      </c>
      <c r="O33" s="1243">
        <f>N33+SUMIF('11.1.Амортиз.нови активи'!$B$12:$B$59,$B33,'11.1.Амортиз.нови активи'!O$12:O$59)+('9.Инвестиционна програма'!J$131*SUMIF('11.1.Амортиз.нови активи'!$B$12:$B$59,$B33,'11.1.Амортиз.нови активи'!AQ$12:AQ$59))</f>
        <v>0</v>
      </c>
      <c r="P33" s="1243">
        <f>O33+SUMIF('11.1.Амортиз.нови активи'!$B$12:$B$59,$B33,'11.1.Амортиз.нови активи'!P$12:P$59)+('9.Инвестиционна програма'!K$131*SUMIF('11.1.Амортиз.нови активи'!$B$12:$B$59,$B33,'11.1.Амортиз.нови активи'!AR$12:AR$59))</f>
        <v>0</v>
      </c>
      <c r="Q33" s="1243">
        <f>P33+SUMIF('11.1.Амортиз.нови активи'!$B$12:$B$59,$B33,'11.1.Амортиз.нови активи'!Q$12:Q$59)+('9.Инвестиционна програма'!L$131*SUMIF('11.1.Амортиз.нови активи'!$B$12:$B$59,$B33,'11.1.Амортиз.нови активи'!AS$12:AS$59))</f>
        <v>0</v>
      </c>
      <c r="R33" s="1248">
        <f>Q33+SUMIF('11.1.Амортиз.нови активи'!$B$12:$B$59,$B33,'11.1.Амортиз.нови активи'!R$12:R$59)+('9.Инвестиционна програма'!M$131*SUMIF('11.1.Амортиз.нови активи'!$B$12:$B$59,$B33,'11.1.Амортиз.нови активи'!AT$12:AT$59))</f>
        <v>0</v>
      </c>
      <c r="S33" s="4738">
        <f>+'11.3. ДА Базова година'!P36</f>
        <v>0</v>
      </c>
      <c r="T33" s="1247">
        <f>S33+SUMIF('11.1.Амортиз.нови активи'!$B$12:$B$59,$B33,'11.1.Амортиз.нови активи'!T$12:T$59)+('9.Инвестиционна програма'!H$132*SUMIF('11.1.Амортиз.нови активи'!$B$12:$B$59,$B33,'11.1.Амортиз.нови активи'!AO$12:AO$59))</f>
        <v>0</v>
      </c>
      <c r="U33" s="1243">
        <f>T33+SUMIF('11.1.Амортиз.нови активи'!$B$12:$B$59,$B33,'11.1.Амортиз.нови активи'!U$12:U$59)+('9.Инвестиционна програма'!I$132*SUMIF('11.1.Амортиз.нови активи'!$B$12:$B$59,$B33,'11.1.Амортиз.нови активи'!AP$12:AP$59))</f>
        <v>0</v>
      </c>
      <c r="V33" s="1243">
        <f>U33+SUMIF('11.1.Амортиз.нови активи'!$B$12:$B$59,$B33,'11.1.Амортиз.нови активи'!V$12:V$59)+('9.Инвестиционна програма'!J$132*SUMIF('11.1.Амортиз.нови активи'!$B$12:$B$59,$B33,'11.1.Амортиз.нови активи'!AQ$12:AQ$59))</f>
        <v>0</v>
      </c>
      <c r="W33" s="1243">
        <f>V33+SUMIF('11.1.Амортиз.нови активи'!$B$12:$B$59,$B33,'11.1.Амортиз.нови активи'!W$12:W$59)+('9.Инвестиционна програма'!K$132*SUMIF('11.1.Амортиз.нови активи'!$B$12:$B$59,$B33,'11.1.Амортиз.нови активи'!AR$12:AR$59))</f>
        <v>0</v>
      </c>
      <c r="X33" s="1243">
        <f>W33+SUMIF('11.1.Амортиз.нови активи'!$B$12:$B$59,$B33,'11.1.Амортиз.нови активи'!X$12:X$59)+('9.Инвестиционна програма'!L$132*SUMIF('11.1.Амортиз.нови активи'!$B$12:$B$59,$B33,'11.1.Амортиз.нови активи'!AS$12:AS$59))</f>
        <v>0</v>
      </c>
      <c r="Y33" s="1248">
        <f>X33+SUMIF('11.1.Амортиз.нови активи'!$B$12:$B$59,$B33,'11.1.Амортиз.нови активи'!Y$12:Y$59)+('9.Инвестиционна програма'!M$132*SUMIF('11.1.Амортиз.нови активи'!$B$12:$B$59,$B33,'11.1.Амортиз.нови активи'!AT$12:AT$59))</f>
        <v>0</v>
      </c>
      <c r="Z33" s="4738">
        <f>+'11.3. ДА Базова година'!T36</f>
        <v>0</v>
      </c>
      <c r="AA33" s="1247">
        <f>Z33+SUMIF('11.1.Амортиз.нови активи'!$B$12:$B$59,$B33,'11.1.Амортиз.нови активи'!AA$12:AA$59)</f>
        <v>0</v>
      </c>
      <c r="AB33" s="1243">
        <f>AA33+SUMIF('11.1.Амортиз.нови активи'!$B$12:$B$59,$B33,'11.1.Амортиз.нови активи'!AB$12:AB$59)</f>
        <v>0</v>
      </c>
      <c r="AC33" s="1243">
        <f>AB33+SUMIF('11.1.Амортиз.нови активи'!$B$12:$B$59,$B33,'11.1.Амортиз.нови активи'!AC$12:AC$59)</f>
        <v>0</v>
      </c>
      <c r="AD33" s="1243">
        <f>AC33+SUMIF('11.1.Амортиз.нови активи'!$B$12:$B$59,$B33,'11.1.Амортиз.нови активи'!AD$12:AD$59)</f>
        <v>0</v>
      </c>
      <c r="AE33" s="1243">
        <f>AD33+SUMIF('11.1.Амортиз.нови активи'!$B$12:$B$59,$B33,'11.1.Амортиз.нови активи'!AE$12:AE$59)</f>
        <v>0</v>
      </c>
      <c r="AF33" s="1248">
        <f>AE33+SUMIF('11.1.Амортиз.нови активи'!$B$12:$B$59,$B33,'11.1.Амортиз.нови активи'!AF$12:AF$59)</f>
        <v>0</v>
      </c>
      <c r="AG33" s="4738">
        <f>+'11.3. ДА Базова година'!X36</f>
        <v>0</v>
      </c>
      <c r="AH33" s="1247">
        <f>AG33+SUMIF('11.1.Амортиз.нови активи'!$B$12:$B$59,$B33,'11.1.Амортиз.нови активи'!AH$12:AH$59)</f>
        <v>0</v>
      </c>
      <c r="AI33" s="1243">
        <f>AH33+SUMIF('11.1.Амортиз.нови активи'!$B$12:$B$59,$B33,'11.1.Амортиз.нови активи'!AI$12:AI$59)</f>
        <v>0</v>
      </c>
      <c r="AJ33" s="1243">
        <f>AI33+SUMIF('11.1.Амортиз.нови активи'!$B$12:$B$59,$B33,'11.1.Амортиз.нови активи'!AJ$12:AJ$59)</f>
        <v>0</v>
      </c>
      <c r="AK33" s="1243">
        <f>AJ33+SUMIF('11.1.Амортиз.нови активи'!$B$12:$B$59,$B33,'11.1.Амортиз.нови активи'!AK$12:AK$59)</f>
        <v>0</v>
      </c>
      <c r="AL33" s="1243">
        <f>AK33+SUMIF('11.1.Амортиз.нови активи'!$B$12:$B$59,$B33,'11.1.Амортиз.нови активи'!AL$12:AL$59)</f>
        <v>0</v>
      </c>
      <c r="AM33" s="1248">
        <f>AL33+SUMIF('11.1.Амортиз.нови активи'!$B$12:$B$59,$B33,'11.1.Амортиз.нови активи'!AM$12:AM$59)</f>
        <v>0</v>
      </c>
      <c r="AN33" s="2681"/>
      <c r="AO33" s="2689"/>
      <c r="AP33" s="4775"/>
      <c r="AQ33" s="4794">
        <f t="shared" si="31"/>
        <v>0</v>
      </c>
      <c r="AR33" s="4794">
        <f t="shared" si="32"/>
        <v>0</v>
      </c>
      <c r="AS33" s="4794">
        <f t="shared" si="33"/>
        <v>0</v>
      </c>
      <c r="AT33" s="4794">
        <f t="shared" si="34"/>
        <v>0</v>
      </c>
      <c r="AU33" s="4794">
        <f t="shared" si="35"/>
        <v>0</v>
      </c>
      <c r="AV33" s="4794">
        <f t="shared" si="36"/>
        <v>0</v>
      </c>
      <c r="AW33" s="4794">
        <f t="shared" si="37"/>
        <v>0</v>
      </c>
      <c r="AX33" s="4794">
        <f t="shared" si="38"/>
        <v>0</v>
      </c>
      <c r="AY33" s="4794">
        <f t="shared" si="39"/>
        <v>0</v>
      </c>
      <c r="AZ33" s="4794">
        <f t="shared" si="40"/>
        <v>0</v>
      </c>
      <c r="BA33" s="4794">
        <f t="shared" si="41"/>
        <v>0</v>
      </c>
      <c r="BB33" s="4794">
        <f t="shared" si="42"/>
        <v>0</v>
      </c>
      <c r="BC33" s="4794">
        <f t="shared" si="43"/>
        <v>0</v>
      </c>
      <c r="BD33" s="4794">
        <f t="shared" si="44"/>
        <v>0</v>
      </c>
      <c r="BE33" s="4794">
        <f t="shared" si="45"/>
        <v>0</v>
      </c>
      <c r="BF33" s="4794">
        <f t="shared" si="46"/>
        <v>0</v>
      </c>
      <c r="BG33" s="4794">
        <f t="shared" si="47"/>
        <v>0</v>
      </c>
      <c r="BH33" s="4794">
        <f t="shared" si="48"/>
        <v>0</v>
      </c>
      <c r="BI33" s="4794">
        <f t="shared" si="49"/>
        <v>0</v>
      </c>
      <c r="BJ33" s="4794">
        <f t="shared" si="50"/>
        <v>0</v>
      </c>
      <c r="BK33" s="4794">
        <f t="shared" si="51"/>
        <v>0</v>
      </c>
      <c r="BL33" s="4794">
        <f t="shared" si="52"/>
        <v>0</v>
      </c>
      <c r="BM33" s="4794">
        <f t="shared" si="53"/>
        <v>0</v>
      </c>
      <c r="BN33" s="4794">
        <f t="shared" si="54"/>
        <v>0</v>
      </c>
      <c r="BO33" s="4794">
        <f t="shared" si="55"/>
        <v>0</v>
      </c>
      <c r="BP33" s="4794">
        <f t="shared" si="56"/>
        <v>0</v>
      </c>
      <c r="BQ33" s="4794">
        <f t="shared" si="57"/>
        <v>0</v>
      </c>
      <c r="BR33" s="4794">
        <f t="shared" si="58"/>
        <v>0</v>
      </c>
      <c r="BS33" s="4794">
        <f t="shared" si="59"/>
        <v>0</v>
      </c>
      <c r="BT33" s="4794">
        <f t="shared" si="60"/>
        <v>0</v>
      </c>
      <c r="BU33" s="4794">
        <f t="shared" si="61"/>
        <v>0</v>
      </c>
      <c r="BV33" s="4794">
        <f t="shared" si="62"/>
        <v>0</v>
      </c>
      <c r="BW33" s="4794">
        <f t="shared" si="63"/>
        <v>0</v>
      </c>
      <c r="BX33" s="4794">
        <f t="shared" si="64"/>
        <v>0</v>
      </c>
      <c r="BY33" s="4794">
        <f t="shared" si="65"/>
        <v>0</v>
      </c>
    </row>
    <row r="34" spans="1:77" ht="13.5" thickBot="1">
      <c r="A34" s="2699">
        <v>16</v>
      </c>
      <c r="B34" s="2704">
        <v>219</v>
      </c>
      <c r="C34" s="2705">
        <v>0.1</v>
      </c>
      <c r="D34" s="2706" t="s">
        <v>216</v>
      </c>
      <c r="E34" s="4739">
        <f>+'11.3. ДА Базова година'!H39</f>
        <v>103</v>
      </c>
      <c r="F34" s="927">
        <f>E34+SUMIF('11.1.Амортиз.нови активи'!$B$12:$B$59,$B34,'11.1.Амортиз.нови активи'!F$12:F$59)+('9.Инвестиционна програма'!H$130*SUMIF('11.1.Амортиз.нови активи'!$B$12:$B$59,$B34,'11.1.Амортиз.нови активи'!AO$12:AO$59))</f>
        <v>103</v>
      </c>
      <c r="G34" s="1243">
        <f>F34+SUMIF('11.1.Амортиз.нови активи'!$B$12:$B$59,$B34,'11.1.Амортиз.нови активи'!G$12:G$59)+('9.Инвестиционна програма'!I$130*SUMIF('11.1.Амортиз.нови активи'!$B$12:$B$59,$B34,'11.1.Амортиз.нови активи'!AP$12:AP$59))</f>
        <v>103</v>
      </c>
      <c r="H34" s="1243">
        <f>G34+SUMIF('11.1.Амортиз.нови активи'!$B$12:$B$59,$B34,'11.1.Амортиз.нови активи'!H$12:H$59)+('9.Инвестиционна програма'!J$130*SUMIF('11.1.Амортиз.нови активи'!$B$12:$B$59,$B34,'11.1.Амортиз.нови активи'!AQ$12:AQ$59))</f>
        <v>103</v>
      </c>
      <c r="I34" s="1243">
        <f>H34+SUMIF('11.1.Амортиз.нови активи'!$B$12:$B$59,$B34,'11.1.Амортиз.нови активи'!I$12:I$59)+('9.Инвестиционна програма'!K$130*SUMIF('11.1.Амортиз.нови активи'!$B$12:$B$59,$B34,'11.1.Амортиз.нови активи'!AR$12:AR$59))</f>
        <v>103</v>
      </c>
      <c r="J34" s="1243">
        <f>I34+SUMIF('11.1.Амортиз.нови активи'!$B$12:$B$59,$B34,'11.1.Амортиз.нови активи'!J$12:J$59)+('9.Инвестиционна програма'!L$130*SUMIF('11.1.Амортиз.нови активи'!$B$12:$B$59,$B34,'11.1.Амортиз.нови активи'!AS$12:AS$59))</f>
        <v>103</v>
      </c>
      <c r="K34" s="1248">
        <f>J34+SUMIF('11.1.Амортиз.нови активи'!$B$12:$B$59,$B34,'11.1.Амортиз.нови активи'!K$12:K$59)+('9.Инвестиционна програма'!M$130*SUMIF('11.1.Амортиз.нови активи'!$B$12:$B$59,$B34,'11.1.Амортиз.нови активи'!AT$12:AT$59))</f>
        <v>103</v>
      </c>
      <c r="L34" s="4739">
        <f>+'11.3. ДА Базова година'!L39</f>
        <v>0</v>
      </c>
      <c r="M34" s="1247">
        <f>L34+SUMIF('11.1.Амортиз.нови активи'!$B$12:$B$59,$B34,'11.1.Амортиз.нови активи'!M$12:M$59)+('9.Инвестиционна програма'!H$131*SUMIF('11.1.Амортиз.нови активи'!$B$12:$B$59,$B34,'11.1.Амортиз.нови активи'!AO$12:AO$59))</f>
        <v>0</v>
      </c>
      <c r="N34" s="1243">
        <f>M34+SUMIF('11.1.Амортиз.нови активи'!$B$12:$B$59,$B34,'11.1.Амортиз.нови активи'!N$12:N$59)+('9.Инвестиционна програма'!I$131*SUMIF('11.1.Амортиз.нови активи'!$B$12:$B$59,$B34,'11.1.Амортиз.нови активи'!AP$12:AP$59))</f>
        <v>0</v>
      </c>
      <c r="O34" s="1243">
        <f>N34+SUMIF('11.1.Амортиз.нови активи'!$B$12:$B$59,$B34,'11.1.Амортиз.нови активи'!O$12:O$59)+('9.Инвестиционна програма'!J$131*SUMIF('11.1.Амортиз.нови активи'!$B$12:$B$59,$B34,'11.1.Амортиз.нови активи'!AQ$12:AQ$59))</f>
        <v>0</v>
      </c>
      <c r="P34" s="1243">
        <f>O34+SUMIF('11.1.Амортиз.нови активи'!$B$12:$B$59,$B34,'11.1.Амортиз.нови активи'!P$12:P$59)+('9.Инвестиционна програма'!K$131*SUMIF('11.1.Амортиз.нови активи'!$B$12:$B$59,$B34,'11.1.Амортиз.нови активи'!AR$12:AR$59))</f>
        <v>0</v>
      </c>
      <c r="Q34" s="1243">
        <f>P34+SUMIF('11.1.Амортиз.нови активи'!$B$12:$B$59,$B34,'11.1.Амортиз.нови активи'!Q$12:Q$59)+('9.Инвестиционна програма'!L$131*SUMIF('11.1.Амортиз.нови активи'!$B$12:$B$59,$B34,'11.1.Амортиз.нови активи'!AS$12:AS$59))</f>
        <v>0</v>
      </c>
      <c r="R34" s="1248">
        <f>Q34+SUMIF('11.1.Амортиз.нови активи'!$B$12:$B$59,$B34,'11.1.Амортиз.нови активи'!R$12:R$59)+('9.Инвестиционна програма'!M$131*SUMIF('11.1.Амортиз.нови активи'!$B$12:$B$59,$B34,'11.1.Амортиз.нови активи'!AT$12:AT$59))</f>
        <v>0</v>
      </c>
      <c r="S34" s="4739">
        <f>+'11.3. ДА Базова година'!P39</f>
        <v>0</v>
      </c>
      <c r="T34" s="1247">
        <f>S34+SUMIF('11.1.Амортиз.нови активи'!$B$12:$B$59,$B34,'11.1.Амортиз.нови активи'!T$12:T$59)+('9.Инвестиционна програма'!H$132*SUMIF('11.1.Амортиз.нови активи'!$B$12:$B$59,$B34,'11.1.Амортиз.нови активи'!AO$12:AO$59))</f>
        <v>0</v>
      </c>
      <c r="U34" s="1243">
        <f>T34+SUMIF('11.1.Амортиз.нови активи'!$B$12:$B$59,$B34,'11.1.Амортиз.нови активи'!U$12:U$59)+('9.Инвестиционна програма'!I$132*SUMIF('11.1.Амортиз.нови активи'!$B$12:$B$59,$B34,'11.1.Амортиз.нови активи'!AP$12:AP$59))</f>
        <v>0</v>
      </c>
      <c r="V34" s="1243">
        <f>U34+SUMIF('11.1.Амортиз.нови активи'!$B$12:$B$59,$B34,'11.1.Амортиз.нови активи'!V$12:V$59)+('9.Инвестиционна програма'!J$132*SUMIF('11.1.Амортиз.нови активи'!$B$12:$B$59,$B34,'11.1.Амортиз.нови активи'!AQ$12:AQ$59))</f>
        <v>0</v>
      </c>
      <c r="W34" s="1243">
        <f>V34+SUMIF('11.1.Амортиз.нови активи'!$B$12:$B$59,$B34,'11.1.Амортиз.нови активи'!W$12:W$59)+('9.Инвестиционна програма'!K$132*SUMIF('11.1.Амортиз.нови активи'!$B$12:$B$59,$B34,'11.1.Амортиз.нови активи'!AR$12:AR$59))</f>
        <v>0</v>
      </c>
      <c r="X34" s="1243">
        <f>W34+SUMIF('11.1.Амортиз.нови активи'!$B$12:$B$59,$B34,'11.1.Амортиз.нови активи'!X$12:X$59)+('9.Инвестиционна програма'!L$132*SUMIF('11.1.Амортиз.нови активи'!$B$12:$B$59,$B34,'11.1.Амортиз.нови активи'!AS$12:AS$59))</f>
        <v>0</v>
      </c>
      <c r="Y34" s="1248">
        <f>X34+SUMIF('11.1.Амортиз.нови активи'!$B$12:$B$59,$B34,'11.1.Амортиз.нови активи'!Y$12:Y$59)+('9.Инвестиционна програма'!M$132*SUMIF('11.1.Амортиз.нови активи'!$B$12:$B$59,$B34,'11.1.Амортиз.нови активи'!AT$12:AT$59))</f>
        <v>0</v>
      </c>
      <c r="Z34" s="4739">
        <f>+'11.3. ДА Базова година'!T39</f>
        <v>0</v>
      </c>
      <c r="AA34" s="1247">
        <f>Z34+SUMIF('11.1.Амортиз.нови активи'!$B$12:$B$59,$B34,'11.1.Амортиз.нови активи'!AA$12:AA$59)</f>
        <v>0</v>
      </c>
      <c r="AB34" s="1243">
        <f>AA34+SUMIF('11.1.Амортиз.нови активи'!$B$12:$B$59,$B34,'11.1.Амортиз.нови активи'!AB$12:AB$59)</f>
        <v>0</v>
      </c>
      <c r="AC34" s="1243">
        <f>AB34+SUMIF('11.1.Амортиз.нови активи'!$B$12:$B$59,$B34,'11.1.Амортиз.нови активи'!AC$12:AC$59)</f>
        <v>0</v>
      </c>
      <c r="AD34" s="1243">
        <f>AC34+SUMIF('11.1.Амортиз.нови активи'!$B$12:$B$59,$B34,'11.1.Амортиз.нови активи'!AD$12:AD$59)</f>
        <v>0</v>
      </c>
      <c r="AE34" s="1243">
        <f>AD34+SUMIF('11.1.Амортиз.нови активи'!$B$12:$B$59,$B34,'11.1.Амортиз.нови активи'!AE$12:AE$59)</f>
        <v>0</v>
      </c>
      <c r="AF34" s="1248">
        <f>AE34+SUMIF('11.1.Амортиз.нови активи'!$B$12:$B$59,$B34,'11.1.Амортиз.нови активи'!AF$12:AF$59)</f>
        <v>0</v>
      </c>
      <c r="AG34" s="4739">
        <f>+'11.3. ДА Базова година'!X39</f>
        <v>0</v>
      </c>
      <c r="AH34" s="1247">
        <f>AG34+SUMIF('11.1.Амортиз.нови активи'!$B$12:$B$59,$B34,'11.1.Амортиз.нови активи'!AH$12:AH$59)</f>
        <v>0</v>
      </c>
      <c r="AI34" s="1243">
        <f>AH34+SUMIF('11.1.Амортиз.нови активи'!$B$12:$B$59,$B34,'11.1.Амортиз.нови активи'!AI$12:AI$59)</f>
        <v>0</v>
      </c>
      <c r="AJ34" s="1243">
        <f>AI34+SUMIF('11.1.Амортиз.нови активи'!$B$12:$B$59,$B34,'11.1.Амортиз.нови активи'!AJ$12:AJ$59)</f>
        <v>0</v>
      </c>
      <c r="AK34" s="1243">
        <f>AJ34+SUMIF('11.1.Амортиз.нови активи'!$B$12:$B$59,$B34,'11.1.Амортиз.нови активи'!AK$12:AK$59)</f>
        <v>0</v>
      </c>
      <c r="AL34" s="1243">
        <f>AK34+SUMIF('11.1.Амортиз.нови активи'!$B$12:$B$59,$B34,'11.1.Амортиз.нови активи'!AL$12:AL$59)</f>
        <v>0</v>
      </c>
      <c r="AM34" s="1248">
        <f>AL34+SUMIF('11.1.Амортиз.нови активи'!$B$12:$B$59,$B34,'11.1.Амортиз.нови активи'!AM$12:AM$59)</f>
        <v>0</v>
      </c>
      <c r="AN34" s="2681"/>
      <c r="AO34" s="2689"/>
      <c r="AP34" s="4775"/>
      <c r="AQ34" s="4794">
        <f t="shared" si="31"/>
        <v>52.663063763210502</v>
      </c>
      <c r="AR34" s="4794">
        <f t="shared" si="32"/>
        <v>52.663063763210502</v>
      </c>
      <c r="AS34" s="4794">
        <f t="shared" si="33"/>
        <v>52.663063763210502</v>
      </c>
      <c r="AT34" s="4794">
        <f t="shared" si="34"/>
        <v>52.663063763210502</v>
      </c>
      <c r="AU34" s="4794">
        <f t="shared" si="35"/>
        <v>52.663063763210502</v>
      </c>
      <c r="AV34" s="4794">
        <f t="shared" si="36"/>
        <v>52.663063763210502</v>
      </c>
      <c r="AW34" s="4794">
        <f t="shared" si="37"/>
        <v>52.663063763210502</v>
      </c>
      <c r="AX34" s="4794">
        <f t="shared" si="38"/>
        <v>0</v>
      </c>
      <c r="AY34" s="4794">
        <f t="shared" si="39"/>
        <v>0</v>
      </c>
      <c r="AZ34" s="4794">
        <f t="shared" si="40"/>
        <v>0</v>
      </c>
      <c r="BA34" s="4794">
        <f t="shared" si="41"/>
        <v>0</v>
      </c>
      <c r="BB34" s="4794">
        <f t="shared" si="42"/>
        <v>0</v>
      </c>
      <c r="BC34" s="4794">
        <f t="shared" si="43"/>
        <v>0</v>
      </c>
      <c r="BD34" s="4794">
        <f t="shared" si="44"/>
        <v>0</v>
      </c>
      <c r="BE34" s="4794">
        <f t="shared" si="45"/>
        <v>0</v>
      </c>
      <c r="BF34" s="4794">
        <f t="shared" si="46"/>
        <v>0</v>
      </c>
      <c r="BG34" s="4794">
        <f t="shared" si="47"/>
        <v>0</v>
      </c>
      <c r="BH34" s="4794">
        <f t="shared" si="48"/>
        <v>0</v>
      </c>
      <c r="BI34" s="4794">
        <f t="shared" si="49"/>
        <v>0</v>
      </c>
      <c r="BJ34" s="4794">
        <f t="shared" si="50"/>
        <v>0</v>
      </c>
      <c r="BK34" s="4794">
        <f t="shared" si="51"/>
        <v>0</v>
      </c>
      <c r="BL34" s="4794">
        <f t="shared" si="52"/>
        <v>0</v>
      </c>
      <c r="BM34" s="4794">
        <f t="shared" si="53"/>
        <v>0</v>
      </c>
      <c r="BN34" s="4794">
        <f t="shared" si="54"/>
        <v>0</v>
      </c>
      <c r="BO34" s="4794">
        <f t="shared" si="55"/>
        <v>0</v>
      </c>
      <c r="BP34" s="4794">
        <f t="shared" si="56"/>
        <v>0</v>
      </c>
      <c r="BQ34" s="4794">
        <f t="shared" si="57"/>
        <v>0</v>
      </c>
      <c r="BR34" s="4794">
        <f t="shared" si="58"/>
        <v>0</v>
      </c>
      <c r="BS34" s="4794">
        <f t="shared" si="59"/>
        <v>0</v>
      </c>
      <c r="BT34" s="4794">
        <f t="shared" si="60"/>
        <v>0</v>
      </c>
      <c r="BU34" s="4794">
        <f t="shared" si="61"/>
        <v>0</v>
      </c>
      <c r="BV34" s="4794">
        <f t="shared" si="62"/>
        <v>0</v>
      </c>
      <c r="BW34" s="4794">
        <f t="shared" si="63"/>
        <v>0</v>
      </c>
      <c r="BX34" s="4794">
        <f t="shared" si="64"/>
        <v>0</v>
      </c>
      <c r="BY34" s="4794">
        <f t="shared" si="65"/>
        <v>0</v>
      </c>
    </row>
    <row r="35" spans="1:77" ht="13.5" thickBot="1">
      <c r="A35" s="3951" t="s">
        <v>206</v>
      </c>
      <c r="B35" s="2707"/>
      <c r="C35" s="2707"/>
      <c r="D35" s="2670" t="s">
        <v>218</v>
      </c>
      <c r="E35" s="2675">
        <f t="shared" ref="E35" si="74">SUM(E36:E59)-E38-E44</f>
        <v>556</v>
      </c>
      <c r="F35" s="2672">
        <f t="shared" ref="F35:Z35" si="75">SUM(F36:F59)-F38-F44</f>
        <v>733.07125718666134</v>
      </c>
      <c r="G35" s="2673">
        <f t="shared" si="75"/>
        <v>763.25164772727271</v>
      </c>
      <c r="H35" s="2673">
        <f t="shared" si="75"/>
        <v>781.06350185610768</v>
      </c>
      <c r="I35" s="2673">
        <f t="shared" si="75"/>
        <v>809.27877905423452</v>
      </c>
      <c r="J35" s="2673">
        <f t="shared" si="75"/>
        <v>853.98049372471746</v>
      </c>
      <c r="K35" s="2674">
        <f t="shared" si="75"/>
        <v>884.81187553427912</v>
      </c>
      <c r="L35" s="2675">
        <f t="shared" si="75"/>
        <v>182</v>
      </c>
      <c r="M35" s="2672">
        <f t="shared" si="75"/>
        <v>204.88231123035652</v>
      </c>
      <c r="N35" s="2673">
        <f t="shared" si="75"/>
        <v>206.8127840909091</v>
      </c>
      <c r="O35" s="2673">
        <f t="shared" si="75"/>
        <v>208.66735902421775</v>
      </c>
      <c r="P35" s="2673">
        <f t="shared" si="75"/>
        <v>210.58336895538346</v>
      </c>
      <c r="Q35" s="2673">
        <f t="shared" si="75"/>
        <v>212.35432527746084</v>
      </c>
      <c r="R35" s="2674">
        <f t="shared" si="75"/>
        <v>213.75640280389814</v>
      </c>
      <c r="S35" s="2675">
        <f t="shared" si="75"/>
        <v>83</v>
      </c>
      <c r="T35" s="2672">
        <f t="shared" si="75"/>
        <v>86.786431582982004</v>
      </c>
      <c r="U35" s="2673">
        <f t="shared" si="75"/>
        <v>92.725568181818176</v>
      </c>
      <c r="V35" s="2673">
        <f t="shared" si="75"/>
        <v>100.10913911967475</v>
      </c>
      <c r="W35" s="2673">
        <f t="shared" si="75"/>
        <v>106.47785199038205</v>
      </c>
      <c r="X35" s="2673">
        <f t="shared" si="75"/>
        <v>113.7551809978218</v>
      </c>
      <c r="Y35" s="2674">
        <f t="shared" si="75"/>
        <v>120.27172166182253</v>
      </c>
      <c r="Z35" s="2675">
        <f t="shared" si="75"/>
        <v>0</v>
      </c>
      <c r="AA35" s="2672">
        <f t="shared" ref="AA35:AM35" si="76">SUM(AA36:AA59)-AA38-AA44</f>
        <v>0</v>
      </c>
      <c r="AB35" s="2673">
        <f t="shared" si="76"/>
        <v>0</v>
      </c>
      <c r="AC35" s="2673">
        <f t="shared" si="76"/>
        <v>0</v>
      </c>
      <c r="AD35" s="2673">
        <f t="shared" si="76"/>
        <v>0</v>
      </c>
      <c r="AE35" s="2673">
        <f t="shared" si="76"/>
        <v>0</v>
      </c>
      <c r="AF35" s="2674">
        <f t="shared" si="76"/>
        <v>0</v>
      </c>
      <c r="AG35" s="2675">
        <f t="shared" si="76"/>
        <v>0</v>
      </c>
      <c r="AH35" s="2672">
        <f t="shared" si="76"/>
        <v>0</v>
      </c>
      <c r="AI35" s="2673">
        <f t="shared" si="76"/>
        <v>0</v>
      </c>
      <c r="AJ35" s="2673">
        <f t="shared" si="76"/>
        <v>0</v>
      </c>
      <c r="AK35" s="2673">
        <f t="shared" si="76"/>
        <v>0</v>
      </c>
      <c r="AL35" s="2673">
        <f t="shared" si="76"/>
        <v>0</v>
      </c>
      <c r="AM35" s="2674">
        <f t="shared" si="76"/>
        <v>0</v>
      </c>
      <c r="AN35" s="2676"/>
      <c r="AO35" s="2708">
        <f>(SUM(F$35:Y$35)-L$35-S$35)+(SUM(F$131:Y$131)-L$131-S$131)+(SUM(F$214:Y$214)-L$214-S$214)-((K$60-E$60)+(R$60-L$60)+(Y$60-S$60)+(K$151-E$151)+(R$151-L$151)+(Y$151-S$151)+(K$236-E$236)+(R$236-L$236)+(Y$236-S$236))</f>
        <v>0</v>
      </c>
      <c r="AP35" s="4775"/>
      <c r="AQ35" s="4794">
        <f t="shared" si="31"/>
        <v>284.27828594509748</v>
      </c>
      <c r="AR35" s="4794">
        <f t="shared" si="32"/>
        <v>374.813382137845</v>
      </c>
      <c r="AS35" s="4794">
        <f t="shared" si="33"/>
        <v>390.24437079259076</v>
      </c>
      <c r="AT35" s="4794">
        <f t="shared" si="34"/>
        <v>399.3514271977154</v>
      </c>
      <c r="AU35" s="4794">
        <f t="shared" si="35"/>
        <v>413.77766935481844</v>
      </c>
      <c r="AV35" s="4794">
        <f t="shared" si="36"/>
        <v>436.63329314138628</v>
      </c>
      <c r="AW35" s="4794">
        <f t="shared" si="37"/>
        <v>452.39712834667591</v>
      </c>
      <c r="AX35" s="4794">
        <f t="shared" si="38"/>
        <v>93.055122377711768</v>
      </c>
      <c r="AY35" s="4794">
        <f t="shared" si="39"/>
        <v>104.75466233279811</v>
      </c>
      <c r="AZ35" s="4794">
        <f t="shared" si="40"/>
        <v>105.74169743326829</v>
      </c>
      <c r="BA35" s="4794">
        <f t="shared" si="41"/>
        <v>106.68992653973901</v>
      </c>
      <c r="BB35" s="4794">
        <f t="shared" si="42"/>
        <v>107.66956686183536</v>
      </c>
      <c r="BC35" s="4794">
        <f t="shared" si="43"/>
        <v>108.57504245126665</v>
      </c>
      <c r="BD35" s="4794">
        <f t="shared" si="44"/>
        <v>109.29191330734172</v>
      </c>
      <c r="BE35" s="4794">
        <f t="shared" si="45"/>
        <v>42.437226139286132</v>
      </c>
      <c r="BF35" s="4794">
        <f t="shared" si="46"/>
        <v>44.373197866369779</v>
      </c>
      <c r="BG35" s="4794">
        <f t="shared" si="47"/>
        <v>47.409830190670036</v>
      </c>
      <c r="BH35" s="4794">
        <f t="shared" si="48"/>
        <v>51.184990065432451</v>
      </c>
      <c r="BI35" s="4794">
        <f t="shared" si="49"/>
        <v>54.441261249894957</v>
      </c>
      <c r="BJ35" s="4794">
        <f t="shared" si="50"/>
        <v>58.162100488192635</v>
      </c>
      <c r="BK35" s="4794">
        <f t="shared" si="51"/>
        <v>61.49395482318122</v>
      </c>
      <c r="BL35" s="4794">
        <f t="shared" si="52"/>
        <v>0</v>
      </c>
      <c r="BM35" s="4794">
        <f t="shared" si="53"/>
        <v>0</v>
      </c>
      <c r="BN35" s="4794">
        <f t="shared" si="54"/>
        <v>0</v>
      </c>
      <c r="BO35" s="4794">
        <f t="shared" si="55"/>
        <v>0</v>
      </c>
      <c r="BP35" s="4794">
        <f t="shared" si="56"/>
        <v>0</v>
      </c>
      <c r="BQ35" s="4794">
        <f t="shared" si="57"/>
        <v>0</v>
      </c>
      <c r="BR35" s="4794">
        <f t="shared" si="58"/>
        <v>0</v>
      </c>
      <c r="BS35" s="4794">
        <f t="shared" si="59"/>
        <v>0</v>
      </c>
      <c r="BT35" s="4794">
        <f t="shared" si="60"/>
        <v>0</v>
      </c>
      <c r="BU35" s="4794">
        <f t="shared" si="61"/>
        <v>0</v>
      </c>
      <c r="BV35" s="4794">
        <f t="shared" si="62"/>
        <v>0</v>
      </c>
      <c r="BW35" s="4794">
        <f t="shared" si="63"/>
        <v>0</v>
      </c>
      <c r="BX35" s="4794">
        <f t="shared" si="64"/>
        <v>0</v>
      </c>
      <c r="BY35" s="4794">
        <f t="shared" si="65"/>
        <v>0</v>
      </c>
    </row>
    <row r="36" spans="1:77">
      <c r="A36" s="2677">
        <v>1</v>
      </c>
      <c r="B36" s="2709">
        <v>20101</v>
      </c>
      <c r="C36" s="2679">
        <v>0</v>
      </c>
      <c r="D36" s="2710" t="s">
        <v>556</v>
      </c>
      <c r="E36" s="4738">
        <f>+'11.3. ДА Базова година'!F41</f>
        <v>0</v>
      </c>
      <c r="F36" s="2789">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164">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164">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164">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164">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790">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738">
        <f>+'11.3. ДА Базова година'!J41</f>
        <v>0</v>
      </c>
      <c r="M36" s="2789">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164">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164">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164">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164">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790">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738">
        <f>+'11.3. ДА Базова година'!N41</f>
        <v>0</v>
      </c>
      <c r="T36" s="2789">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164">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164">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164">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164">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790">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738">
        <f>+'11.3. ДА Базова година'!R41</f>
        <v>0</v>
      </c>
      <c r="AA36" s="2789">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164">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164">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164">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164">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790">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738">
        <f>+'11.3. ДА Базова година'!V41</f>
        <v>0</v>
      </c>
      <c r="AH36" s="2789">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164">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164">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164">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164">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790">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711"/>
      <c r="AO36" s="2712"/>
      <c r="AP36" s="4775"/>
      <c r="AQ36" s="4794">
        <f t="shared" si="31"/>
        <v>0</v>
      </c>
      <c r="AR36" s="4794">
        <f t="shared" si="32"/>
        <v>0</v>
      </c>
      <c r="AS36" s="4794">
        <f t="shared" si="33"/>
        <v>0</v>
      </c>
      <c r="AT36" s="4794">
        <f t="shared" si="34"/>
        <v>0</v>
      </c>
      <c r="AU36" s="4794">
        <f t="shared" si="35"/>
        <v>0</v>
      </c>
      <c r="AV36" s="4794">
        <f t="shared" si="36"/>
        <v>0</v>
      </c>
      <c r="AW36" s="4794">
        <f t="shared" si="37"/>
        <v>0</v>
      </c>
      <c r="AX36" s="4794">
        <f t="shared" si="38"/>
        <v>0</v>
      </c>
      <c r="AY36" s="4794">
        <f t="shared" si="39"/>
        <v>0</v>
      </c>
      <c r="AZ36" s="4794">
        <f t="shared" si="40"/>
        <v>0</v>
      </c>
      <c r="BA36" s="4794">
        <f t="shared" si="41"/>
        <v>0</v>
      </c>
      <c r="BB36" s="4794">
        <f t="shared" si="42"/>
        <v>0</v>
      </c>
      <c r="BC36" s="4794">
        <f t="shared" si="43"/>
        <v>0</v>
      </c>
      <c r="BD36" s="4794">
        <f t="shared" si="44"/>
        <v>0</v>
      </c>
      <c r="BE36" s="4794">
        <f t="shared" si="45"/>
        <v>0</v>
      </c>
      <c r="BF36" s="4794">
        <f t="shared" si="46"/>
        <v>0</v>
      </c>
      <c r="BG36" s="4794">
        <f t="shared" si="47"/>
        <v>0</v>
      </c>
      <c r="BH36" s="4794">
        <f t="shared" si="48"/>
        <v>0</v>
      </c>
      <c r="BI36" s="4794">
        <f t="shared" si="49"/>
        <v>0</v>
      </c>
      <c r="BJ36" s="4794">
        <f t="shared" si="50"/>
        <v>0</v>
      </c>
      <c r="BK36" s="4794">
        <f t="shared" si="51"/>
        <v>0</v>
      </c>
      <c r="BL36" s="4794">
        <f t="shared" si="52"/>
        <v>0</v>
      </c>
      <c r="BM36" s="4794">
        <f t="shared" si="53"/>
        <v>0</v>
      </c>
      <c r="BN36" s="4794">
        <f t="shared" si="54"/>
        <v>0</v>
      </c>
      <c r="BO36" s="4794">
        <f t="shared" si="55"/>
        <v>0</v>
      </c>
      <c r="BP36" s="4794">
        <f t="shared" si="56"/>
        <v>0</v>
      </c>
      <c r="BQ36" s="4794">
        <f t="shared" si="57"/>
        <v>0</v>
      </c>
      <c r="BR36" s="4794">
        <f t="shared" si="58"/>
        <v>0</v>
      </c>
      <c r="BS36" s="4794">
        <f t="shared" si="59"/>
        <v>0</v>
      </c>
      <c r="BT36" s="4794">
        <f t="shared" si="60"/>
        <v>0</v>
      </c>
      <c r="BU36" s="4794">
        <f t="shared" si="61"/>
        <v>0</v>
      </c>
      <c r="BV36" s="4794">
        <f t="shared" si="62"/>
        <v>0</v>
      </c>
      <c r="BW36" s="4794">
        <f t="shared" si="63"/>
        <v>0</v>
      </c>
      <c r="BX36" s="4794">
        <f t="shared" si="64"/>
        <v>0</v>
      </c>
      <c r="BY36" s="4794">
        <f t="shared" si="65"/>
        <v>0</v>
      </c>
    </row>
    <row r="37" spans="1:77">
      <c r="A37" s="2683">
        <v>2</v>
      </c>
      <c r="B37" s="2713">
        <v>20201</v>
      </c>
      <c r="C37" s="2685">
        <v>0.03</v>
      </c>
      <c r="D37" s="2714" t="s">
        <v>425</v>
      </c>
      <c r="E37" s="2816">
        <f>+'11.3. ДА Базова година'!F42</f>
        <v>35</v>
      </c>
      <c r="F37" s="2792">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35.695956305097738</v>
      </c>
      <c r="G37" s="1155">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37.311972402597405</v>
      </c>
      <c r="H37" s="1155">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38.862480113134168</v>
      </c>
      <c r="I37" s="1155">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40.156064654020838</v>
      </c>
      <c r="J37" s="1155">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40.805891505030601</v>
      </c>
      <c r="K37" s="2793">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41.451513079158829</v>
      </c>
      <c r="L37" s="2816">
        <f>+'11.3. ДА Базова година'!J42</f>
        <v>12</v>
      </c>
      <c r="M37" s="2792">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12.019547719432733</v>
      </c>
      <c r="N37" s="1155">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12.079342532467532</v>
      </c>
      <c r="O37" s="1155">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12.156867597666608</v>
      </c>
      <c r="P37" s="1155">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12.225060112209457</v>
      </c>
      <c r="Q37" s="1155">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12.253293226843688</v>
      </c>
      <c r="R37" s="2793">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12.282740639425542</v>
      </c>
      <c r="S37" s="2816">
        <f>+'11.3. ДА Базова година'!N42</f>
        <v>5</v>
      </c>
      <c r="T37" s="2792">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5.0344959754695289</v>
      </c>
      <c r="U37" s="1155">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5.1586850649350646</v>
      </c>
      <c r="V37" s="1155">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5.3306522891992225</v>
      </c>
      <c r="W37" s="1155">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5.4688752337697037</v>
      </c>
      <c r="X37" s="1155">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5.540815268125713</v>
      </c>
      <c r="Y37" s="2793">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5.6157462814156265</v>
      </c>
      <c r="Z37" s="2816">
        <f>+'11.3. ДА Базова година'!R42</f>
        <v>0</v>
      </c>
      <c r="AA37" s="2792">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155">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155">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155">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155">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793">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816">
        <f>+'11.3. ДА Базова година'!V42</f>
        <v>0</v>
      </c>
      <c r="AH37" s="2792">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155">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155">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155">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155">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793">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711"/>
      <c r="AO37" s="2687"/>
      <c r="AP37" s="4775"/>
      <c r="AQ37" s="4794">
        <f t="shared" si="31"/>
        <v>17.895215841867646</v>
      </c>
      <c r="AR37" s="4794">
        <f t="shared" si="32"/>
        <v>18.251052650331438</v>
      </c>
      <c r="AS37" s="4794">
        <f t="shared" si="33"/>
        <v>19.077308560865415</v>
      </c>
      <c r="AT37" s="4794">
        <f t="shared" si="34"/>
        <v>19.870070564995</v>
      </c>
      <c r="AU37" s="4794">
        <f t="shared" si="35"/>
        <v>20.531469838391292</v>
      </c>
      <c r="AV37" s="4794">
        <f t="shared" si="36"/>
        <v>20.863721031495889</v>
      </c>
      <c r="AW37" s="4794">
        <f t="shared" si="37"/>
        <v>21.193822100672772</v>
      </c>
      <c r="AX37" s="4794">
        <f t="shared" si="38"/>
        <v>6.1355025743546223</v>
      </c>
      <c r="AY37" s="4794">
        <f t="shared" si="39"/>
        <v>6.1454971645964802</v>
      </c>
      <c r="AZ37" s="4794">
        <f t="shared" si="40"/>
        <v>6.1760697670388183</v>
      </c>
      <c r="BA37" s="4794">
        <f t="shared" si="41"/>
        <v>6.2157077034643136</v>
      </c>
      <c r="BB37" s="4794">
        <f t="shared" si="42"/>
        <v>6.2505739825084268</v>
      </c>
      <c r="BC37" s="4794">
        <f t="shared" si="43"/>
        <v>6.2650093448017916</v>
      </c>
      <c r="BD37" s="4794">
        <f t="shared" si="44"/>
        <v>6.2800655677771289</v>
      </c>
      <c r="BE37" s="4794">
        <f t="shared" si="45"/>
        <v>2.5564594059810926</v>
      </c>
      <c r="BF37" s="4794">
        <f t="shared" si="46"/>
        <v>2.5740969181726063</v>
      </c>
      <c r="BG37" s="4794">
        <f t="shared" si="47"/>
        <v>2.6375937913494858</v>
      </c>
      <c r="BH37" s="4794">
        <f t="shared" si="48"/>
        <v>2.7255192369475991</v>
      </c>
      <c r="BI37" s="4794">
        <f t="shared" si="49"/>
        <v>2.796191506301521</v>
      </c>
      <c r="BJ37" s="4794">
        <f t="shared" si="50"/>
        <v>2.8329738618007254</v>
      </c>
      <c r="BK37" s="4794">
        <f t="shared" si="51"/>
        <v>2.8712854805456645</v>
      </c>
      <c r="BL37" s="4794">
        <f t="shared" si="52"/>
        <v>0</v>
      </c>
      <c r="BM37" s="4794">
        <f t="shared" si="53"/>
        <v>0</v>
      </c>
      <c r="BN37" s="4794">
        <f t="shared" si="54"/>
        <v>0</v>
      </c>
      <c r="BO37" s="4794">
        <f t="shared" si="55"/>
        <v>0</v>
      </c>
      <c r="BP37" s="4794">
        <f t="shared" si="56"/>
        <v>0</v>
      </c>
      <c r="BQ37" s="4794">
        <f t="shared" si="57"/>
        <v>0</v>
      </c>
      <c r="BR37" s="4794">
        <f t="shared" si="58"/>
        <v>0</v>
      </c>
      <c r="BS37" s="4794">
        <f t="shared" si="59"/>
        <v>0</v>
      </c>
      <c r="BT37" s="4794">
        <f t="shared" si="60"/>
        <v>0</v>
      </c>
      <c r="BU37" s="4794">
        <f t="shared" si="61"/>
        <v>0</v>
      </c>
      <c r="BV37" s="4794">
        <f t="shared" si="62"/>
        <v>0</v>
      </c>
      <c r="BW37" s="4794">
        <f t="shared" si="63"/>
        <v>0</v>
      </c>
      <c r="BX37" s="4794">
        <f t="shared" si="64"/>
        <v>0</v>
      </c>
      <c r="BY37" s="4794">
        <f t="shared" si="65"/>
        <v>0</v>
      </c>
    </row>
    <row r="38" spans="1:77" ht="24">
      <c r="A38" s="2683">
        <v>3</v>
      </c>
      <c r="B38" s="2713">
        <v>203</v>
      </c>
      <c r="C38" s="2679"/>
      <c r="D38" s="2715" t="s">
        <v>405</v>
      </c>
      <c r="E38" s="4361">
        <f>SUM(E39:E42)</f>
        <v>322</v>
      </c>
      <c r="F38" s="2782">
        <f t="shared" ref="F38:Y38" si="77">SUM(F39:F42)</f>
        <v>390.1</v>
      </c>
      <c r="G38" s="2783">
        <f t="shared" si="77"/>
        <v>402.6</v>
      </c>
      <c r="H38" s="2783">
        <f t="shared" si="77"/>
        <v>410.1</v>
      </c>
      <c r="I38" s="2783">
        <f t="shared" si="77"/>
        <v>420.1</v>
      </c>
      <c r="J38" s="2783">
        <f t="shared" si="77"/>
        <v>435.1</v>
      </c>
      <c r="K38" s="2783">
        <f t="shared" si="77"/>
        <v>445.1</v>
      </c>
      <c r="L38" s="4361">
        <f>SUM(L39:L42)</f>
        <v>134</v>
      </c>
      <c r="M38" s="2782">
        <f t="shared" si="77"/>
        <v>153.4</v>
      </c>
      <c r="N38" s="2783">
        <f t="shared" si="77"/>
        <v>154.65</v>
      </c>
      <c r="O38" s="2783">
        <f t="shared" si="77"/>
        <v>155.9</v>
      </c>
      <c r="P38" s="2783">
        <f t="shared" si="77"/>
        <v>156.9</v>
      </c>
      <c r="Q38" s="2783">
        <f t="shared" si="77"/>
        <v>157.9</v>
      </c>
      <c r="R38" s="2783">
        <f t="shared" si="77"/>
        <v>158.9</v>
      </c>
      <c r="S38" s="4361">
        <f>SUM(S39:S42)</f>
        <v>50</v>
      </c>
      <c r="T38" s="2795">
        <f t="shared" si="77"/>
        <v>51.699999999999996</v>
      </c>
      <c r="U38" s="2783">
        <f t="shared" si="77"/>
        <v>56.199999999999996</v>
      </c>
      <c r="V38" s="2783">
        <f t="shared" si="77"/>
        <v>62.199999999999996</v>
      </c>
      <c r="W38" s="2783">
        <f t="shared" si="77"/>
        <v>66.699999999999989</v>
      </c>
      <c r="X38" s="2783">
        <f t="shared" si="77"/>
        <v>72.199999999999989</v>
      </c>
      <c r="Y38" s="2784">
        <f t="shared" si="77"/>
        <v>77.699999999999989</v>
      </c>
      <c r="Z38" s="4361">
        <f>SUM(Z39:Z42)</f>
        <v>0</v>
      </c>
      <c r="AA38" s="2795">
        <f t="shared" ref="AA38:AF38" si="78">SUM(AA39:AA42)</f>
        <v>0</v>
      </c>
      <c r="AB38" s="2783">
        <f t="shared" si="78"/>
        <v>0</v>
      </c>
      <c r="AC38" s="2783">
        <f t="shared" si="78"/>
        <v>0</v>
      </c>
      <c r="AD38" s="2783">
        <f t="shared" si="78"/>
        <v>0</v>
      </c>
      <c r="AE38" s="2783">
        <f t="shared" si="78"/>
        <v>0</v>
      </c>
      <c r="AF38" s="2784">
        <f t="shared" si="78"/>
        <v>0</v>
      </c>
      <c r="AG38" s="4361">
        <f>SUM(AG39:AG42)</f>
        <v>0</v>
      </c>
      <c r="AH38" s="2795">
        <f t="shared" ref="AH38:AM38" si="79">SUM(AH39:AH42)</f>
        <v>0</v>
      </c>
      <c r="AI38" s="2783">
        <f t="shared" si="79"/>
        <v>0</v>
      </c>
      <c r="AJ38" s="2783">
        <f t="shared" si="79"/>
        <v>0</v>
      </c>
      <c r="AK38" s="2783">
        <f t="shared" si="79"/>
        <v>0</v>
      </c>
      <c r="AL38" s="2783">
        <f t="shared" si="79"/>
        <v>0</v>
      </c>
      <c r="AM38" s="2784">
        <f t="shared" si="79"/>
        <v>0</v>
      </c>
      <c r="AN38" s="2716"/>
      <c r="AO38" s="2717"/>
      <c r="AP38" s="4775"/>
      <c r="AQ38" s="4794">
        <f t="shared" si="31"/>
        <v>164.63598574518235</v>
      </c>
      <c r="AR38" s="4794">
        <f t="shared" si="32"/>
        <v>199.45496285464483</v>
      </c>
      <c r="AS38" s="4794">
        <f t="shared" si="33"/>
        <v>205.84611136959757</v>
      </c>
      <c r="AT38" s="4794">
        <f t="shared" si="34"/>
        <v>209.68080047856921</v>
      </c>
      <c r="AU38" s="4794">
        <f t="shared" si="35"/>
        <v>214.79371929053141</v>
      </c>
      <c r="AV38" s="4794">
        <f t="shared" si="36"/>
        <v>222.46309750847468</v>
      </c>
      <c r="AW38" s="4794">
        <f t="shared" si="37"/>
        <v>227.57601632043688</v>
      </c>
      <c r="AX38" s="4794">
        <f t="shared" si="38"/>
        <v>68.513112080293283</v>
      </c>
      <c r="AY38" s="4794">
        <f t="shared" si="39"/>
        <v>78.432174575499914</v>
      </c>
      <c r="AZ38" s="4794">
        <f t="shared" si="40"/>
        <v>79.071289426995193</v>
      </c>
      <c r="BA38" s="4794">
        <f t="shared" si="41"/>
        <v>79.710404278490472</v>
      </c>
      <c r="BB38" s="4794">
        <f t="shared" si="42"/>
        <v>80.221696159686687</v>
      </c>
      <c r="BC38" s="4794">
        <f t="shared" si="43"/>
        <v>80.732988040882901</v>
      </c>
      <c r="BD38" s="4794">
        <f t="shared" si="44"/>
        <v>81.244279922079116</v>
      </c>
      <c r="BE38" s="4794">
        <f t="shared" si="45"/>
        <v>25.564594059810926</v>
      </c>
      <c r="BF38" s="4794">
        <f t="shared" si="46"/>
        <v>26.433790257844493</v>
      </c>
      <c r="BG38" s="4794">
        <f t="shared" si="47"/>
        <v>28.734603723227476</v>
      </c>
      <c r="BH38" s="4794">
        <f t="shared" si="48"/>
        <v>31.802355010404789</v>
      </c>
      <c r="BI38" s="4794">
        <f t="shared" si="49"/>
        <v>34.103168475787768</v>
      </c>
      <c r="BJ38" s="4794">
        <f t="shared" si="50"/>
        <v>36.91527382236697</v>
      </c>
      <c r="BK38" s="4794">
        <f t="shared" si="51"/>
        <v>39.727379168946172</v>
      </c>
      <c r="BL38" s="4794">
        <f t="shared" si="52"/>
        <v>0</v>
      </c>
      <c r="BM38" s="4794">
        <f t="shared" si="53"/>
        <v>0</v>
      </c>
      <c r="BN38" s="4794">
        <f t="shared" si="54"/>
        <v>0</v>
      </c>
      <c r="BO38" s="4794">
        <f t="shared" si="55"/>
        <v>0</v>
      </c>
      <c r="BP38" s="4794">
        <f t="shared" si="56"/>
        <v>0</v>
      </c>
      <c r="BQ38" s="4794">
        <f t="shared" si="57"/>
        <v>0</v>
      </c>
      <c r="BR38" s="4794">
        <f t="shared" si="58"/>
        <v>0</v>
      </c>
      <c r="BS38" s="4794">
        <f t="shared" si="59"/>
        <v>0</v>
      </c>
      <c r="BT38" s="4794">
        <f t="shared" si="60"/>
        <v>0</v>
      </c>
      <c r="BU38" s="4794">
        <f t="shared" si="61"/>
        <v>0</v>
      </c>
      <c r="BV38" s="4794">
        <f t="shared" si="62"/>
        <v>0</v>
      </c>
      <c r="BW38" s="4794">
        <f t="shared" si="63"/>
        <v>0</v>
      </c>
      <c r="BX38" s="4794">
        <f t="shared" si="64"/>
        <v>0</v>
      </c>
      <c r="BY38" s="4794">
        <f t="shared" si="65"/>
        <v>0</v>
      </c>
    </row>
    <row r="39" spans="1:77">
      <c r="A39" s="2683"/>
      <c r="B39" s="2684">
        <v>20301</v>
      </c>
      <c r="C39" s="2690">
        <v>0.1</v>
      </c>
      <c r="D39" s="2718" t="s">
        <v>427</v>
      </c>
      <c r="E39" s="2816">
        <f>+'11.3. ДА Базова година'!F44</f>
        <v>52</v>
      </c>
      <c r="F39" s="2792">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57.550000000000004</v>
      </c>
      <c r="G39" s="1155">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57.550000000000004</v>
      </c>
      <c r="H39" s="1155">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57.550000000000004</v>
      </c>
      <c r="I39" s="1155">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57.550000000000004</v>
      </c>
      <c r="J39" s="1155">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57.550000000000004</v>
      </c>
      <c r="K39" s="2793">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57.550000000000004</v>
      </c>
      <c r="L39" s="2816">
        <f>+'11.3. ДА Базова година'!J44</f>
        <v>9</v>
      </c>
      <c r="M39" s="2792">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10</v>
      </c>
      <c r="N39" s="1155">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10</v>
      </c>
      <c r="O39" s="1155">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10</v>
      </c>
      <c r="P39" s="1155">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10</v>
      </c>
      <c r="Q39" s="1155">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10</v>
      </c>
      <c r="R39" s="2793">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10</v>
      </c>
      <c r="S39" s="2816">
        <f>+'11.3. ДА Базова година'!N44</f>
        <v>37</v>
      </c>
      <c r="T39" s="2792">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37.449999999999996</v>
      </c>
      <c r="U39" s="1155">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37.449999999999996</v>
      </c>
      <c r="V39" s="1155">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37.449999999999996</v>
      </c>
      <c r="W39" s="1155">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37.449999999999996</v>
      </c>
      <c r="X39" s="1155">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37.449999999999996</v>
      </c>
      <c r="Y39" s="2793">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37.449999999999996</v>
      </c>
      <c r="Z39" s="4738">
        <f>+'11.3. ДА Базова година'!R44</f>
        <v>0</v>
      </c>
      <c r="AA39" s="2792">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155">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155">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155">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155">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793">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816">
        <f>+'11.3. ДА Базова година'!V44</f>
        <v>0</v>
      </c>
      <c r="AH39" s="2792">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155">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155">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155">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155">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793">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681"/>
      <c r="AO39" s="2717"/>
      <c r="AP39" s="4775"/>
      <c r="AQ39" s="4794">
        <f t="shared" si="31"/>
        <v>26.587177822203362</v>
      </c>
      <c r="AR39" s="4794">
        <f t="shared" si="32"/>
        <v>29.424847762842376</v>
      </c>
      <c r="AS39" s="4794">
        <f t="shared" si="33"/>
        <v>29.424847762842376</v>
      </c>
      <c r="AT39" s="4794">
        <f t="shared" si="34"/>
        <v>29.424847762842376</v>
      </c>
      <c r="AU39" s="4794">
        <f t="shared" si="35"/>
        <v>29.424847762842376</v>
      </c>
      <c r="AV39" s="4794">
        <f t="shared" si="36"/>
        <v>29.424847762842376</v>
      </c>
      <c r="AW39" s="4794">
        <f t="shared" si="37"/>
        <v>29.424847762842376</v>
      </c>
      <c r="AX39" s="4794">
        <f t="shared" si="38"/>
        <v>4.6016269307659661</v>
      </c>
      <c r="AY39" s="4794">
        <f t="shared" si="39"/>
        <v>5.1129188119621851</v>
      </c>
      <c r="AZ39" s="4794">
        <f t="shared" si="40"/>
        <v>5.1129188119621851</v>
      </c>
      <c r="BA39" s="4794">
        <f t="shared" si="41"/>
        <v>5.1129188119621851</v>
      </c>
      <c r="BB39" s="4794">
        <f t="shared" si="42"/>
        <v>5.1129188119621851</v>
      </c>
      <c r="BC39" s="4794">
        <f t="shared" si="43"/>
        <v>5.1129188119621851</v>
      </c>
      <c r="BD39" s="4794">
        <f t="shared" si="44"/>
        <v>5.1129188119621851</v>
      </c>
      <c r="BE39" s="4794">
        <f t="shared" si="45"/>
        <v>18.917799604260086</v>
      </c>
      <c r="BF39" s="4794">
        <f t="shared" si="46"/>
        <v>19.147880950798381</v>
      </c>
      <c r="BG39" s="4794">
        <f t="shared" si="47"/>
        <v>19.147880950798381</v>
      </c>
      <c r="BH39" s="4794">
        <f t="shared" si="48"/>
        <v>19.147880950798381</v>
      </c>
      <c r="BI39" s="4794">
        <f t="shared" si="49"/>
        <v>19.147880950798381</v>
      </c>
      <c r="BJ39" s="4794">
        <f t="shared" si="50"/>
        <v>19.147880950798381</v>
      </c>
      <c r="BK39" s="4794">
        <f t="shared" si="51"/>
        <v>19.147880950798381</v>
      </c>
      <c r="BL39" s="4794">
        <f t="shared" si="52"/>
        <v>0</v>
      </c>
      <c r="BM39" s="4794">
        <f t="shared" si="53"/>
        <v>0</v>
      </c>
      <c r="BN39" s="4794">
        <f t="shared" si="54"/>
        <v>0</v>
      </c>
      <c r="BO39" s="4794">
        <f t="shared" si="55"/>
        <v>0</v>
      </c>
      <c r="BP39" s="4794">
        <f t="shared" si="56"/>
        <v>0</v>
      </c>
      <c r="BQ39" s="4794">
        <f t="shared" si="57"/>
        <v>0</v>
      </c>
      <c r="BR39" s="4794">
        <f t="shared" si="58"/>
        <v>0</v>
      </c>
      <c r="BS39" s="4794">
        <f t="shared" si="59"/>
        <v>0</v>
      </c>
      <c r="BT39" s="4794">
        <f t="shared" si="60"/>
        <v>0</v>
      </c>
      <c r="BU39" s="4794">
        <f t="shared" si="61"/>
        <v>0</v>
      </c>
      <c r="BV39" s="4794">
        <f t="shared" si="62"/>
        <v>0</v>
      </c>
      <c r="BW39" s="4794">
        <f t="shared" si="63"/>
        <v>0</v>
      </c>
      <c r="BX39" s="4794">
        <f t="shared" si="64"/>
        <v>0</v>
      </c>
      <c r="BY39" s="4794">
        <f t="shared" si="65"/>
        <v>0</v>
      </c>
    </row>
    <row r="40" spans="1:77">
      <c r="A40" s="2683"/>
      <c r="B40" s="2684">
        <v>20302</v>
      </c>
      <c r="C40" s="2690">
        <v>0.1</v>
      </c>
      <c r="D40" s="2718" t="s">
        <v>428</v>
      </c>
      <c r="E40" s="2816">
        <f>+'11.3. ДА Базова година'!F45</f>
        <v>9</v>
      </c>
      <c r="F40" s="2792">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10.050000000000001</v>
      </c>
      <c r="G40" s="1155">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10.050000000000001</v>
      </c>
      <c r="H40" s="1155">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10.050000000000001</v>
      </c>
      <c r="I40" s="1155">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10.050000000000001</v>
      </c>
      <c r="J40" s="1155">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10.050000000000001</v>
      </c>
      <c r="K40" s="2793">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10.050000000000001</v>
      </c>
      <c r="L40" s="2816">
        <f>+'11.3. ДА Базова година'!J45</f>
        <v>0</v>
      </c>
      <c r="M40" s="2792">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155">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155">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155">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155">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793">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816">
        <f>+'11.3. ДА Базова година'!N45</f>
        <v>1</v>
      </c>
      <c r="T40" s="2792">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v>
      </c>
      <c r="U40" s="1155">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2</v>
      </c>
      <c r="V40" s="1155">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4</v>
      </c>
      <c r="W40" s="1155">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6</v>
      </c>
      <c r="X40" s="1155">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8</v>
      </c>
      <c r="Y40" s="2793">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10</v>
      </c>
      <c r="Z40" s="4738">
        <f>+'11.3. ДА Базова година'!R45</f>
        <v>0</v>
      </c>
      <c r="AA40" s="2792">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155">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155">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155">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155">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793">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816">
        <f>+'11.3. ДА Базова година'!V45</f>
        <v>0</v>
      </c>
      <c r="AH40" s="2792">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155">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155">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155">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155">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793">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681"/>
      <c r="AO40" s="2717"/>
      <c r="AP40" s="4775"/>
      <c r="AQ40" s="4794">
        <f t="shared" si="31"/>
        <v>4.6016269307659661</v>
      </c>
      <c r="AR40" s="4794">
        <f t="shared" si="32"/>
        <v>5.1384834060219964</v>
      </c>
      <c r="AS40" s="4794">
        <f t="shared" si="33"/>
        <v>5.1384834060219964</v>
      </c>
      <c r="AT40" s="4794">
        <f t="shared" si="34"/>
        <v>5.1384834060219964</v>
      </c>
      <c r="AU40" s="4794">
        <f t="shared" si="35"/>
        <v>5.1384834060219964</v>
      </c>
      <c r="AV40" s="4794">
        <f t="shared" si="36"/>
        <v>5.1384834060219964</v>
      </c>
      <c r="AW40" s="4794">
        <f t="shared" si="37"/>
        <v>5.1384834060219964</v>
      </c>
      <c r="AX40" s="4794">
        <f t="shared" si="38"/>
        <v>0</v>
      </c>
      <c r="AY40" s="4794">
        <f t="shared" si="39"/>
        <v>0</v>
      </c>
      <c r="AZ40" s="4794">
        <f t="shared" si="40"/>
        <v>0</v>
      </c>
      <c r="BA40" s="4794">
        <f t="shared" si="41"/>
        <v>0</v>
      </c>
      <c r="BB40" s="4794">
        <f t="shared" si="42"/>
        <v>0</v>
      </c>
      <c r="BC40" s="4794">
        <f t="shared" si="43"/>
        <v>0</v>
      </c>
      <c r="BD40" s="4794">
        <f t="shared" si="44"/>
        <v>0</v>
      </c>
      <c r="BE40" s="4794">
        <f t="shared" si="45"/>
        <v>0.51129188119621849</v>
      </c>
      <c r="BF40" s="4794">
        <f t="shared" si="46"/>
        <v>0.51129188119621849</v>
      </c>
      <c r="BG40" s="4794">
        <f t="shared" si="47"/>
        <v>1.022583762392437</v>
      </c>
      <c r="BH40" s="4794">
        <f t="shared" si="48"/>
        <v>2.045167524784874</v>
      </c>
      <c r="BI40" s="4794">
        <f t="shared" si="49"/>
        <v>3.0677512871773112</v>
      </c>
      <c r="BJ40" s="4794">
        <f t="shared" si="50"/>
        <v>4.0903350495697479</v>
      </c>
      <c r="BK40" s="4794">
        <f t="shared" si="51"/>
        <v>5.1129188119621851</v>
      </c>
      <c r="BL40" s="4794">
        <f t="shared" si="52"/>
        <v>0</v>
      </c>
      <c r="BM40" s="4794">
        <f t="shared" si="53"/>
        <v>0</v>
      </c>
      <c r="BN40" s="4794">
        <f t="shared" si="54"/>
        <v>0</v>
      </c>
      <c r="BO40" s="4794">
        <f t="shared" si="55"/>
        <v>0</v>
      </c>
      <c r="BP40" s="4794">
        <f t="shared" si="56"/>
        <v>0</v>
      </c>
      <c r="BQ40" s="4794">
        <f t="shared" si="57"/>
        <v>0</v>
      </c>
      <c r="BR40" s="4794">
        <f t="shared" si="58"/>
        <v>0</v>
      </c>
      <c r="BS40" s="4794">
        <f t="shared" si="59"/>
        <v>0</v>
      </c>
      <c r="BT40" s="4794">
        <f t="shared" si="60"/>
        <v>0</v>
      </c>
      <c r="BU40" s="4794">
        <f t="shared" si="61"/>
        <v>0</v>
      </c>
      <c r="BV40" s="4794">
        <f t="shared" si="62"/>
        <v>0</v>
      </c>
      <c r="BW40" s="4794">
        <f t="shared" si="63"/>
        <v>0</v>
      </c>
      <c r="BX40" s="4794">
        <f t="shared" si="64"/>
        <v>0</v>
      </c>
      <c r="BY40" s="4794">
        <f t="shared" si="65"/>
        <v>0</v>
      </c>
    </row>
    <row r="41" spans="1:77">
      <c r="A41" s="2683"/>
      <c r="B41" s="2713">
        <v>20303</v>
      </c>
      <c r="C41" s="2679">
        <v>0.1</v>
      </c>
      <c r="D41" s="2718" t="s">
        <v>406</v>
      </c>
      <c r="E41" s="2816">
        <f>+'11.3. ДА Базова година'!F46</f>
        <v>246</v>
      </c>
      <c r="F41" s="2792">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294.60000000000002</v>
      </c>
      <c r="G41" s="1155">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294.60000000000002</v>
      </c>
      <c r="H41" s="1155">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294.60000000000002</v>
      </c>
      <c r="I41" s="1155">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299.60000000000002</v>
      </c>
      <c r="J41" s="1155">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309.60000000000002</v>
      </c>
      <c r="K41" s="2793">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314.60000000000002</v>
      </c>
      <c r="L41" s="2816">
        <f>+'11.3. ДА Базова година'!J46</f>
        <v>121</v>
      </c>
      <c r="M41" s="2792">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138.9</v>
      </c>
      <c r="N41" s="1155">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138.9</v>
      </c>
      <c r="O41" s="1155">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138.9</v>
      </c>
      <c r="P41" s="1155">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138.9</v>
      </c>
      <c r="Q41" s="1155">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138.9</v>
      </c>
      <c r="R41" s="2793">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138.9</v>
      </c>
      <c r="S41" s="2816">
        <f>+'11.3. ДА Базова година'!N46</f>
        <v>7</v>
      </c>
      <c r="T41" s="2792">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7.1499999999999995</v>
      </c>
      <c r="U41" s="1155">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7.1499999999999995</v>
      </c>
      <c r="V41" s="1155">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7.1499999999999995</v>
      </c>
      <c r="W41" s="1155">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7.1499999999999995</v>
      </c>
      <c r="X41" s="1155">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7.1499999999999995</v>
      </c>
      <c r="Y41" s="2793">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7.1499999999999995</v>
      </c>
      <c r="Z41" s="4738">
        <f>+'11.3. ДА Базова година'!R46</f>
        <v>0</v>
      </c>
      <c r="AA41" s="2792">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155">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155">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155">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155">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793">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816">
        <f>+'11.3. ДА Базова година'!V46</f>
        <v>0</v>
      </c>
      <c r="AH41" s="2792">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155">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155">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155">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155">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793">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681"/>
      <c r="AO41" s="2717"/>
      <c r="AP41" s="4775"/>
      <c r="AQ41" s="4794">
        <f t="shared" si="31"/>
        <v>125.77780277426974</v>
      </c>
      <c r="AR41" s="4794">
        <f t="shared" si="32"/>
        <v>150.62658820040599</v>
      </c>
      <c r="AS41" s="4794">
        <f t="shared" si="33"/>
        <v>150.62658820040599</v>
      </c>
      <c r="AT41" s="4794">
        <f t="shared" si="34"/>
        <v>150.62658820040599</v>
      </c>
      <c r="AU41" s="4794">
        <f t="shared" si="35"/>
        <v>153.18304760638708</v>
      </c>
      <c r="AV41" s="4794">
        <f t="shared" si="36"/>
        <v>158.29596641834925</v>
      </c>
      <c r="AW41" s="4794">
        <f t="shared" si="37"/>
        <v>160.85242582433034</v>
      </c>
      <c r="AX41" s="4794">
        <f t="shared" si="38"/>
        <v>61.866317624742436</v>
      </c>
      <c r="AY41" s="4794">
        <f t="shared" si="39"/>
        <v>71.018442298154753</v>
      </c>
      <c r="AZ41" s="4794">
        <f t="shared" si="40"/>
        <v>71.018442298154753</v>
      </c>
      <c r="BA41" s="4794">
        <f t="shared" si="41"/>
        <v>71.018442298154753</v>
      </c>
      <c r="BB41" s="4794">
        <f t="shared" si="42"/>
        <v>71.018442298154753</v>
      </c>
      <c r="BC41" s="4794">
        <f t="shared" si="43"/>
        <v>71.018442298154753</v>
      </c>
      <c r="BD41" s="4794">
        <f t="shared" si="44"/>
        <v>71.018442298154753</v>
      </c>
      <c r="BE41" s="4794">
        <f t="shared" si="45"/>
        <v>3.5790431683735293</v>
      </c>
      <c r="BF41" s="4794">
        <f t="shared" si="46"/>
        <v>3.6557369505529618</v>
      </c>
      <c r="BG41" s="4794">
        <f t="shared" si="47"/>
        <v>3.6557369505529618</v>
      </c>
      <c r="BH41" s="4794">
        <f t="shared" si="48"/>
        <v>3.6557369505529618</v>
      </c>
      <c r="BI41" s="4794">
        <f t="shared" si="49"/>
        <v>3.6557369505529618</v>
      </c>
      <c r="BJ41" s="4794">
        <f t="shared" si="50"/>
        <v>3.6557369505529618</v>
      </c>
      <c r="BK41" s="4794">
        <f t="shared" si="51"/>
        <v>3.6557369505529618</v>
      </c>
      <c r="BL41" s="4794">
        <f t="shared" si="52"/>
        <v>0</v>
      </c>
      <c r="BM41" s="4794">
        <f t="shared" si="53"/>
        <v>0</v>
      </c>
      <c r="BN41" s="4794">
        <f t="shared" si="54"/>
        <v>0</v>
      </c>
      <c r="BO41" s="4794">
        <f t="shared" si="55"/>
        <v>0</v>
      </c>
      <c r="BP41" s="4794">
        <f t="shared" si="56"/>
        <v>0</v>
      </c>
      <c r="BQ41" s="4794">
        <f t="shared" si="57"/>
        <v>0</v>
      </c>
      <c r="BR41" s="4794">
        <f t="shared" si="58"/>
        <v>0</v>
      </c>
      <c r="BS41" s="4794">
        <f t="shared" si="59"/>
        <v>0</v>
      </c>
      <c r="BT41" s="4794">
        <f t="shared" si="60"/>
        <v>0</v>
      </c>
      <c r="BU41" s="4794">
        <f t="shared" si="61"/>
        <v>0</v>
      </c>
      <c r="BV41" s="4794">
        <f t="shared" si="62"/>
        <v>0</v>
      </c>
      <c r="BW41" s="4794">
        <f t="shared" si="63"/>
        <v>0</v>
      </c>
      <c r="BX41" s="4794">
        <f t="shared" si="64"/>
        <v>0</v>
      </c>
      <c r="BY41" s="4794">
        <f t="shared" si="65"/>
        <v>0</v>
      </c>
    </row>
    <row r="42" spans="1:77">
      <c r="A42" s="2683"/>
      <c r="B42" s="2713">
        <v>20306</v>
      </c>
      <c r="C42" s="2679">
        <v>0.1</v>
      </c>
      <c r="D42" s="2718" t="s">
        <v>409</v>
      </c>
      <c r="E42" s="2816">
        <f>+'11.3. ДА Базова година'!F47</f>
        <v>15</v>
      </c>
      <c r="F42" s="2792">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27.9</v>
      </c>
      <c r="G42" s="1155">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40.4</v>
      </c>
      <c r="H42" s="1155">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47.9</v>
      </c>
      <c r="I42" s="1155">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52.9</v>
      </c>
      <c r="J42" s="1155">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57.9</v>
      </c>
      <c r="K42" s="2793">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62.9</v>
      </c>
      <c r="L42" s="2816">
        <f>+'11.3. ДА Базова година'!J47</f>
        <v>4</v>
      </c>
      <c r="M42" s="2792">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4.5</v>
      </c>
      <c r="N42" s="1155">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5.75</v>
      </c>
      <c r="O42" s="1155">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7</v>
      </c>
      <c r="P42" s="1155">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8</v>
      </c>
      <c r="Q42" s="1155">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9</v>
      </c>
      <c r="R42" s="2793">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10</v>
      </c>
      <c r="S42" s="2816">
        <f>+'11.3. ДА Базова година'!N47</f>
        <v>5</v>
      </c>
      <c r="T42" s="2792">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6.1000000000000005</v>
      </c>
      <c r="U42" s="1155">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9.6000000000000014</v>
      </c>
      <c r="V42" s="1155">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13.600000000000001</v>
      </c>
      <c r="W42" s="1155">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16.100000000000001</v>
      </c>
      <c r="X42" s="1155">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19.600000000000001</v>
      </c>
      <c r="Y42" s="2793">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23.1</v>
      </c>
      <c r="Z42" s="4738">
        <f>+'11.3. ДА Базова година'!R47</f>
        <v>0</v>
      </c>
      <c r="AA42" s="2792">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155">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155">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155">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155">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793">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816">
        <f>+'11.3. ДА Базова година'!V47</f>
        <v>0</v>
      </c>
      <c r="AH42" s="2792">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155">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155">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155">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155">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793">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681"/>
      <c r="AO42" s="2719"/>
      <c r="AP42" s="4775"/>
      <c r="AQ42" s="4794">
        <f t="shared" si="31"/>
        <v>7.6693782179432777</v>
      </c>
      <c r="AR42" s="4794">
        <f t="shared" si="32"/>
        <v>14.265043485374495</v>
      </c>
      <c r="AS42" s="4794">
        <f t="shared" si="33"/>
        <v>20.656192000327227</v>
      </c>
      <c r="AT42" s="4794">
        <f t="shared" si="34"/>
        <v>24.490881109298865</v>
      </c>
      <c r="AU42" s="4794">
        <f t="shared" si="35"/>
        <v>27.047340515279959</v>
      </c>
      <c r="AV42" s="4794">
        <f t="shared" si="36"/>
        <v>29.60379992126105</v>
      </c>
      <c r="AW42" s="4794">
        <f t="shared" si="37"/>
        <v>32.160259327242144</v>
      </c>
      <c r="AX42" s="4794">
        <f t="shared" si="38"/>
        <v>2.045167524784874</v>
      </c>
      <c r="AY42" s="4794">
        <f t="shared" si="39"/>
        <v>2.300813465382983</v>
      </c>
      <c r="AZ42" s="4794">
        <f t="shared" si="40"/>
        <v>2.9399283168782562</v>
      </c>
      <c r="BA42" s="4794">
        <f t="shared" si="41"/>
        <v>3.5790431683735293</v>
      </c>
      <c r="BB42" s="4794">
        <f t="shared" si="42"/>
        <v>4.0903350495697479</v>
      </c>
      <c r="BC42" s="4794">
        <f t="shared" si="43"/>
        <v>4.6016269307659661</v>
      </c>
      <c r="BD42" s="4794">
        <f t="shared" si="44"/>
        <v>5.1129188119621851</v>
      </c>
      <c r="BE42" s="4794">
        <f t="shared" si="45"/>
        <v>2.5564594059810926</v>
      </c>
      <c r="BF42" s="4794">
        <f t="shared" si="46"/>
        <v>3.1188804752969332</v>
      </c>
      <c r="BG42" s="4794">
        <f t="shared" si="47"/>
        <v>4.9084020594836986</v>
      </c>
      <c r="BH42" s="4794">
        <f t="shared" si="48"/>
        <v>6.9535695842685721</v>
      </c>
      <c r="BI42" s="4794">
        <f t="shared" si="49"/>
        <v>8.2317992872591184</v>
      </c>
      <c r="BJ42" s="4794">
        <f t="shared" si="50"/>
        <v>10.021320871445884</v>
      </c>
      <c r="BK42" s="4794">
        <f t="shared" si="51"/>
        <v>11.810842455632647</v>
      </c>
      <c r="BL42" s="4794">
        <f t="shared" si="52"/>
        <v>0</v>
      </c>
      <c r="BM42" s="4794">
        <f t="shared" si="53"/>
        <v>0</v>
      </c>
      <c r="BN42" s="4794">
        <f t="shared" si="54"/>
        <v>0</v>
      </c>
      <c r="BO42" s="4794">
        <f t="shared" si="55"/>
        <v>0</v>
      </c>
      <c r="BP42" s="4794">
        <f t="shared" si="56"/>
        <v>0</v>
      </c>
      <c r="BQ42" s="4794">
        <f t="shared" si="57"/>
        <v>0</v>
      </c>
      <c r="BR42" s="4794">
        <f t="shared" si="58"/>
        <v>0</v>
      </c>
      <c r="BS42" s="4794">
        <f t="shared" si="59"/>
        <v>0</v>
      </c>
      <c r="BT42" s="4794">
        <f t="shared" si="60"/>
        <v>0</v>
      </c>
      <c r="BU42" s="4794">
        <f t="shared" si="61"/>
        <v>0</v>
      </c>
      <c r="BV42" s="4794">
        <f t="shared" si="62"/>
        <v>0</v>
      </c>
      <c r="BW42" s="4794">
        <f t="shared" si="63"/>
        <v>0</v>
      </c>
      <c r="BX42" s="4794">
        <f t="shared" si="64"/>
        <v>0</v>
      </c>
      <c r="BY42" s="4794">
        <f t="shared" si="65"/>
        <v>0</v>
      </c>
    </row>
    <row r="43" spans="1:77">
      <c r="A43" s="2683">
        <v>4</v>
      </c>
      <c r="B43" s="2684">
        <v>20403</v>
      </c>
      <c r="C43" s="2690">
        <v>0.04</v>
      </c>
      <c r="D43" s="2720" t="s">
        <v>434</v>
      </c>
      <c r="E43" s="2816">
        <f>+'11.3. ДА Базова година'!F48</f>
        <v>4</v>
      </c>
      <c r="F43" s="2792">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4</v>
      </c>
      <c r="G43" s="1155">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4</v>
      </c>
      <c r="H43" s="1155">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4</v>
      </c>
      <c r="I43" s="1155">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4</v>
      </c>
      <c r="J43" s="1155">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4</v>
      </c>
      <c r="K43" s="2793">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4</v>
      </c>
      <c r="L43" s="2816">
        <f>+'11.3. ДА Базова година'!J48</f>
        <v>0</v>
      </c>
      <c r="M43" s="2792">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155">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155">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155">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155">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793">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816">
        <f>+'11.3. ДА Базова година'!N48</f>
        <v>0</v>
      </c>
      <c r="T43" s="2792">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155">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155">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155">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155">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793">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738">
        <f>+'11.3. ДА Базова година'!R48</f>
        <v>0</v>
      </c>
      <c r="AA43" s="2792">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155">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155">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155">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155">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793">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816">
        <f>+'11.3. ДА Базова година'!V48</f>
        <v>0</v>
      </c>
      <c r="AH43" s="2792">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155">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155">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155">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155">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793">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681"/>
      <c r="AO43" s="2719"/>
      <c r="AP43" s="4775"/>
      <c r="AQ43" s="4794">
        <f t="shared" si="31"/>
        <v>2.045167524784874</v>
      </c>
      <c r="AR43" s="4794">
        <f t="shared" si="32"/>
        <v>2.045167524784874</v>
      </c>
      <c r="AS43" s="4794">
        <f t="shared" si="33"/>
        <v>2.045167524784874</v>
      </c>
      <c r="AT43" s="4794">
        <f t="shared" si="34"/>
        <v>2.045167524784874</v>
      </c>
      <c r="AU43" s="4794">
        <f t="shared" si="35"/>
        <v>2.045167524784874</v>
      </c>
      <c r="AV43" s="4794">
        <f t="shared" si="36"/>
        <v>2.045167524784874</v>
      </c>
      <c r="AW43" s="4794">
        <f t="shared" si="37"/>
        <v>2.045167524784874</v>
      </c>
      <c r="AX43" s="4794">
        <f t="shared" si="38"/>
        <v>0</v>
      </c>
      <c r="AY43" s="4794">
        <f t="shared" si="39"/>
        <v>0</v>
      </c>
      <c r="AZ43" s="4794">
        <f t="shared" si="40"/>
        <v>0</v>
      </c>
      <c r="BA43" s="4794">
        <f t="shared" si="41"/>
        <v>0</v>
      </c>
      <c r="BB43" s="4794">
        <f t="shared" si="42"/>
        <v>0</v>
      </c>
      <c r="BC43" s="4794">
        <f t="shared" si="43"/>
        <v>0</v>
      </c>
      <c r="BD43" s="4794">
        <f t="shared" si="44"/>
        <v>0</v>
      </c>
      <c r="BE43" s="4794">
        <f t="shared" si="45"/>
        <v>0</v>
      </c>
      <c r="BF43" s="4794">
        <f t="shared" si="46"/>
        <v>0</v>
      </c>
      <c r="BG43" s="4794">
        <f t="shared" si="47"/>
        <v>0</v>
      </c>
      <c r="BH43" s="4794">
        <f t="shared" si="48"/>
        <v>0</v>
      </c>
      <c r="BI43" s="4794">
        <f t="shared" si="49"/>
        <v>0</v>
      </c>
      <c r="BJ43" s="4794">
        <f t="shared" si="50"/>
        <v>0</v>
      </c>
      <c r="BK43" s="4794">
        <f t="shared" si="51"/>
        <v>0</v>
      </c>
      <c r="BL43" s="4794">
        <f t="shared" si="52"/>
        <v>0</v>
      </c>
      <c r="BM43" s="4794">
        <f t="shared" si="53"/>
        <v>0</v>
      </c>
      <c r="BN43" s="4794">
        <f t="shared" si="54"/>
        <v>0</v>
      </c>
      <c r="BO43" s="4794">
        <f t="shared" si="55"/>
        <v>0</v>
      </c>
      <c r="BP43" s="4794">
        <f t="shared" si="56"/>
        <v>0</v>
      </c>
      <c r="BQ43" s="4794">
        <f t="shared" si="57"/>
        <v>0</v>
      </c>
      <c r="BR43" s="4794">
        <f t="shared" si="58"/>
        <v>0</v>
      </c>
      <c r="BS43" s="4794">
        <f t="shared" si="59"/>
        <v>0</v>
      </c>
      <c r="BT43" s="4794">
        <f t="shared" si="60"/>
        <v>0</v>
      </c>
      <c r="BU43" s="4794">
        <f t="shared" si="61"/>
        <v>0</v>
      </c>
      <c r="BV43" s="4794">
        <f t="shared" si="62"/>
        <v>0</v>
      </c>
      <c r="BW43" s="4794">
        <f t="shared" si="63"/>
        <v>0</v>
      </c>
      <c r="BX43" s="4794">
        <f t="shared" si="64"/>
        <v>0</v>
      </c>
      <c r="BY43" s="4794">
        <f t="shared" si="65"/>
        <v>0</v>
      </c>
    </row>
    <row r="44" spans="1:77">
      <c r="A44" s="2683">
        <v>5</v>
      </c>
      <c r="B44" s="2713">
        <v>205</v>
      </c>
      <c r="C44" s="2679"/>
      <c r="D44" s="2715" t="s">
        <v>212</v>
      </c>
      <c r="E44" s="4361">
        <f>SUM(E45:E48)</f>
        <v>114</v>
      </c>
      <c r="F44" s="2786">
        <f>SUM(F45:F48)</f>
        <v>200.64000000000001</v>
      </c>
      <c r="G44" s="2787">
        <f>SUM(G45:G48)</f>
        <v>200.64000000000001</v>
      </c>
      <c r="H44" s="2787">
        <f>SUM(H45:H48)</f>
        <v>200.64000000000001</v>
      </c>
      <c r="I44" s="2787">
        <f>SUM(I45:I48)</f>
        <v>207.25033930002672</v>
      </c>
      <c r="J44" s="2787">
        <f t="shared" ref="J44:K44" si="80">SUM(J45:J48)</f>
        <v>225.83520796597867</v>
      </c>
      <c r="K44" s="2787">
        <f t="shared" si="80"/>
        <v>237.80635322277314</v>
      </c>
      <c r="L44" s="4361">
        <f>SUM(L45:L48)</f>
        <v>15</v>
      </c>
      <c r="M44" s="2786">
        <f>SUM(M45:M48)</f>
        <v>15</v>
      </c>
      <c r="N44" s="2787">
        <f>SUM(N45:N48)</f>
        <v>15</v>
      </c>
      <c r="O44" s="2787">
        <f t="shared" ref="O44:R44" si="81">SUM(O45:O48)</f>
        <v>15</v>
      </c>
      <c r="P44" s="2787">
        <f t="shared" si="81"/>
        <v>15.288538605396742</v>
      </c>
      <c r="Q44" s="2787">
        <f t="shared" si="81"/>
        <v>15.575666424644746</v>
      </c>
      <c r="R44" s="2787">
        <f t="shared" si="81"/>
        <v>15.577021713113353</v>
      </c>
      <c r="S44" s="4361">
        <f>SUM(S45:S48)</f>
        <v>18</v>
      </c>
      <c r="T44" s="2786">
        <f>SUM(T45:T48)</f>
        <v>18</v>
      </c>
      <c r="U44" s="2787">
        <f>SUM(U45:U48)</f>
        <v>18</v>
      </c>
      <c r="V44" s="2787">
        <f t="shared" ref="V44:Y44" si="82">SUM(V45:V48)</f>
        <v>18</v>
      </c>
      <c r="W44" s="2787">
        <f t="shared" si="82"/>
        <v>18.601122094576542</v>
      </c>
      <c r="X44" s="2787">
        <f t="shared" si="82"/>
        <v>19.22912560937662</v>
      </c>
      <c r="Y44" s="2788">
        <f t="shared" si="82"/>
        <v>19.256625064113521</v>
      </c>
      <c r="Z44" s="4361">
        <f>SUM(Z45:Z48)</f>
        <v>0</v>
      </c>
      <c r="AA44" s="2786">
        <f>SUM(AA45:AA48)</f>
        <v>0</v>
      </c>
      <c r="AB44" s="2787">
        <f>SUM(AB45:AB48)</f>
        <v>0</v>
      </c>
      <c r="AC44" s="2787">
        <f t="shared" ref="AC44:AF44" si="83">SUM(AC45:AC48)</f>
        <v>0</v>
      </c>
      <c r="AD44" s="2787">
        <f t="shared" si="83"/>
        <v>0</v>
      </c>
      <c r="AE44" s="2787">
        <f t="shared" si="83"/>
        <v>0</v>
      </c>
      <c r="AF44" s="2788">
        <f t="shared" si="83"/>
        <v>0</v>
      </c>
      <c r="AG44" s="4361">
        <f>SUM(AG45:AG48)</f>
        <v>0</v>
      </c>
      <c r="AH44" s="2786">
        <f>SUM(AH45:AH48)</f>
        <v>0</v>
      </c>
      <c r="AI44" s="2787">
        <f>SUM(AI45:AI48)</f>
        <v>0</v>
      </c>
      <c r="AJ44" s="2787">
        <f t="shared" ref="AJ44:AM44" si="84">SUM(AJ45:AJ48)</f>
        <v>0</v>
      </c>
      <c r="AK44" s="2787">
        <f t="shared" si="84"/>
        <v>0</v>
      </c>
      <c r="AL44" s="2787">
        <f t="shared" si="84"/>
        <v>0</v>
      </c>
      <c r="AM44" s="2788">
        <f t="shared" si="84"/>
        <v>0</v>
      </c>
      <c r="AN44" s="2681"/>
      <c r="AO44" s="2719"/>
      <c r="AP44" s="4775"/>
      <c r="AQ44" s="4794">
        <f t="shared" si="31"/>
        <v>58.287274456368905</v>
      </c>
      <c r="AR44" s="4794">
        <f t="shared" si="32"/>
        <v>102.58560304320929</v>
      </c>
      <c r="AS44" s="4794">
        <f t="shared" si="33"/>
        <v>102.58560304320929</v>
      </c>
      <c r="AT44" s="4794">
        <f t="shared" si="34"/>
        <v>102.58560304320929</v>
      </c>
      <c r="AU44" s="4794">
        <f t="shared" si="35"/>
        <v>105.96541585926524</v>
      </c>
      <c r="AV44" s="4794">
        <f t="shared" si="36"/>
        <v>115.46770832126447</v>
      </c>
      <c r="AW44" s="4794">
        <f t="shared" si="37"/>
        <v>121.5884576996841</v>
      </c>
      <c r="AX44" s="4794">
        <f t="shared" si="38"/>
        <v>7.6693782179432777</v>
      </c>
      <c r="AY44" s="4794">
        <f t="shared" si="39"/>
        <v>7.6693782179432777</v>
      </c>
      <c r="AZ44" s="4794">
        <f t="shared" si="40"/>
        <v>7.6693782179432777</v>
      </c>
      <c r="BA44" s="4794">
        <f t="shared" si="41"/>
        <v>7.6693782179432777</v>
      </c>
      <c r="BB44" s="4794">
        <f t="shared" si="42"/>
        <v>7.8169056642943104</v>
      </c>
      <c r="BC44" s="4794">
        <f t="shared" si="43"/>
        <v>7.9637117871413912</v>
      </c>
      <c r="BD44" s="4794">
        <f t="shared" si="44"/>
        <v>7.964404735132069</v>
      </c>
      <c r="BE44" s="4794">
        <f t="shared" si="45"/>
        <v>9.2032538615319321</v>
      </c>
      <c r="BF44" s="4794">
        <f t="shared" si="46"/>
        <v>9.2032538615319321</v>
      </c>
      <c r="BG44" s="4794">
        <f t="shared" si="47"/>
        <v>9.2032538615319321</v>
      </c>
      <c r="BH44" s="4794">
        <f t="shared" si="48"/>
        <v>9.2032538615319321</v>
      </c>
      <c r="BI44" s="4794">
        <f t="shared" si="49"/>
        <v>9.5106027080965845</v>
      </c>
      <c r="BJ44" s="4794">
        <f t="shared" si="50"/>
        <v>9.831695806576553</v>
      </c>
      <c r="BK44" s="4794">
        <f t="shared" si="51"/>
        <v>9.8457560545208533</v>
      </c>
      <c r="BL44" s="4794">
        <f t="shared" si="52"/>
        <v>0</v>
      </c>
      <c r="BM44" s="4794">
        <f t="shared" si="53"/>
        <v>0</v>
      </c>
      <c r="BN44" s="4794">
        <f t="shared" si="54"/>
        <v>0</v>
      </c>
      <c r="BO44" s="4794">
        <f t="shared" si="55"/>
        <v>0</v>
      </c>
      <c r="BP44" s="4794">
        <f t="shared" si="56"/>
        <v>0</v>
      </c>
      <c r="BQ44" s="4794">
        <f t="shared" si="57"/>
        <v>0</v>
      </c>
      <c r="BR44" s="4794">
        <f t="shared" si="58"/>
        <v>0</v>
      </c>
      <c r="BS44" s="4794">
        <f t="shared" si="59"/>
        <v>0</v>
      </c>
      <c r="BT44" s="4794">
        <f t="shared" si="60"/>
        <v>0</v>
      </c>
      <c r="BU44" s="4794">
        <f t="shared" si="61"/>
        <v>0</v>
      </c>
      <c r="BV44" s="4794">
        <f t="shared" si="62"/>
        <v>0</v>
      </c>
      <c r="BW44" s="4794">
        <f t="shared" si="63"/>
        <v>0</v>
      </c>
      <c r="BX44" s="4794">
        <f t="shared" si="64"/>
        <v>0</v>
      </c>
      <c r="BY44" s="4794">
        <f t="shared" si="65"/>
        <v>0</v>
      </c>
    </row>
    <row r="45" spans="1:77">
      <c r="A45" s="2694"/>
      <c r="B45" s="2698">
        <v>20501</v>
      </c>
      <c r="C45" s="2679">
        <v>0.08</v>
      </c>
      <c r="D45" s="2721" t="s">
        <v>410</v>
      </c>
      <c r="E45" s="2816">
        <f>+'11.3. ДА Базова година'!F50</f>
        <v>49</v>
      </c>
      <c r="F45" s="2792">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90.240000000000009</v>
      </c>
      <c r="G45" s="1155">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90.240000000000009</v>
      </c>
      <c r="H45" s="1155">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90.240000000000009</v>
      </c>
      <c r="I45" s="1155">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90.240000000000009</v>
      </c>
      <c r="J45" s="1155">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102.24000000000001</v>
      </c>
      <c r="K45" s="2793">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114.24000000000001</v>
      </c>
      <c r="L45" s="2816">
        <f>+'11.3. ДА Базова година'!J50</f>
        <v>13</v>
      </c>
      <c r="M45" s="2792">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13</v>
      </c>
      <c r="N45" s="1155">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13</v>
      </c>
      <c r="O45" s="1155">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13</v>
      </c>
      <c r="P45" s="1155">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13</v>
      </c>
      <c r="Q45" s="1155">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13</v>
      </c>
      <c r="R45" s="2793">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13</v>
      </c>
      <c r="S45" s="2816">
        <f>+'11.3. ДА Базова година'!N50</f>
        <v>4</v>
      </c>
      <c r="T45" s="2792">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4</v>
      </c>
      <c r="U45" s="1155">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4</v>
      </c>
      <c r="V45" s="1155">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4</v>
      </c>
      <c r="W45" s="1155">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4</v>
      </c>
      <c r="X45" s="1155">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4</v>
      </c>
      <c r="Y45" s="2793">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4</v>
      </c>
      <c r="Z45" s="4738">
        <f>+'11.3. ДА Базова година'!R50</f>
        <v>0</v>
      </c>
      <c r="AA45" s="2792">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155">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155">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155">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155">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793">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816">
        <f>+'11.3. ДА Базова година'!V50</f>
        <v>0</v>
      </c>
      <c r="AH45" s="2792">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155">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155">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155">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155">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793">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681"/>
      <c r="AO45" s="2719"/>
      <c r="AP45" s="4775"/>
      <c r="AQ45" s="4794">
        <f t="shared" si="31"/>
        <v>25.053302178614707</v>
      </c>
      <c r="AR45" s="4794">
        <f t="shared" si="32"/>
        <v>46.138979359146759</v>
      </c>
      <c r="AS45" s="4794">
        <f t="shared" si="33"/>
        <v>46.138979359146759</v>
      </c>
      <c r="AT45" s="4794">
        <f t="shared" si="34"/>
        <v>46.138979359146759</v>
      </c>
      <c r="AU45" s="4794">
        <f t="shared" si="35"/>
        <v>46.138979359146759</v>
      </c>
      <c r="AV45" s="4794">
        <f t="shared" si="36"/>
        <v>52.274481933501384</v>
      </c>
      <c r="AW45" s="4794">
        <f t="shared" si="37"/>
        <v>58.409984507856002</v>
      </c>
      <c r="AX45" s="4794">
        <f t="shared" si="38"/>
        <v>6.6467944555508405</v>
      </c>
      <c r="AY45" s="4794">
        <f t="shared" si="39"/>
        <v>6.6467944555508405</v>
      </c>
      <c r="AZ45" s="4794">
        <f t="shared" si="40"/>
        <v>6.6467944555508405</v>
      </c>
      <c r="BA45" s="4794">
        <f t="shared" si="41"/>
        <v>6.6467944555508405</v>
      </c>
      <c r="BB45" s="4794">
        <f t="shared" si="42"/>
        <v>6.6467944555508405</v>
      </c>
      <c r="BC45" s="4794">
        <f t="shared" si="43"/>
        <v>6.6467944555508405</v>
      </c>
      <c r="BD45" s="4794">
        <f t="shared" si="44"/>
        <v>6.6467944555508405</v>
      </c>
      <c r="BE45" s="4794">
        <f t="shared" si="45"/>
        <v>2.045167524784874</v>
      </c>
      <c r="BF45" s="4794">
        <f t="shared" si="46"/>
        <v>2.045167524784874</v>
      </c>
      <c r="BG45" s="4794">
        <f t="shared" si="47"/>
        <v>2.045167524784874</v>
      </c>
      <c r="BH45" s="4794">
        <f t="shared" si="48"/>
        <v>2.045167524784874</v>
      </c>
      <c r="BI45" s="4794">
        <f t="shared" si="49"/>
        <v>2.045167524784874</v>
      </c>
      <c r="BJ45" s="4794">
        <f t="shared" si="50"/>
        <v>2.045167524784874</v>
      </c>
      <c r="BK45" s="4794">
        <f t="shared" si="51"/>
        <v>2.045167524784874</v>
      </c>
      <c r="BL45" s="4794">
        <f t="shared" si="52"/>
        <v>0</v>
      </c>
      <c r="BM45" s="4794">
        <f t="shared" si="53"/>
        <v>0</v>
      </c>
      <c r="BN45" s="4794">
        <f t="shared" si="54"/>
        <v>0</v>
      </c>
      <c r="BO45" s="4794">
        <f t="shared" si="55"/>
        <v>0</v>
      </c>
      <c r="BP45" s="4794">
        <f t="shared" si="56"/>
        <v>0</v>
      </c>
      <c r="BQ45" s="4794">
        <f t="shared" si="57"/>
        <v>0</v>
      </c>
      <c r="BR45" s="4794">
        <f t="shared" si="58"/>
        <v>0</v>
      </c>
      <c r="BS45" s="4794">
        <f t="shared" si="59"/>
        <v>0</v>
      </c>
      <c r="BT45" s="4794">
        <f t="shared" si="60"/>
        <v>0</v>
      </c>
      <c r="BU45" s="4794">
        <f t="shared" si="61"/>
        <v>0</v>
      </c>
      <c r="BV45" s="4794">
        <f t="shared" si="62"/>
        <v>0</v>
      </c>
      <c r="BW45" s="4794">
        <f t="shared" si="63"/>
        <v>0</v>
      </c>
      <c r="BX45" s="4794">
        <f t="shared" si="64"/>
        <v>0</v>
      </c>
      <c r="BY45" s="4794">
        <f t="shared" si="65"/>
        <v>0</v>
      </c>
    </row>
    <row r="46" spans="1:77">
      <c r="A46" s="2694"/>
      <c r="B46" s="2698">
        <v>20502</v>
      </c>
      <c r="C46" s="2679">
        <v>0.1</v>
      </c>
      <c r="D46" s="2721" t="s">
        <v>411</v>
      </c>
      <c r="E46" s="2816">
        <f>+'11.3. ДА Базова година'!F51</f>
        <v>57</v>
      </c>
      <c r="F46" s="2792">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102.4</v>
      </c>
      <c r="G46" s="1155">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102.4</v>
      </c>
      <c r="H46" s="1155">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102.4</v>
      </c>
      <c r="I46" s="1155">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109.01033930002673</v>
      </c>
      <c r="J46" s="1155">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115.59520796597864</v>
      </c>
      <c r="K46" s="2793">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115.56635322277313</v>
      </c>
      <c r="L46" s="2816">
        <f>+'11.3. ДА Базова година'!J51</f>
        <v>2</v>
      </c>
      <c r="M46" s="2792">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2</v>
      </c>
      <c r="N46" s="1155">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2</v>
      </c>
      <c r="O46" s="1155">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2</v>
      </c>
      <c r="P46" s="1155">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2.2885386053967407</v>
      </c>
      <c r="Q46" s="1155">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2.5756664246447465</v>
      </c>
      <c r="R46" s="2793">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2.5770217131133526</v>
      </c>
      <c r="S46" s="2816">
        <f>+'11.3. ДА Базова година'!N51</f>
        <v>12</v>
      </c>
      <c r="T46" s="2792">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12</v>
      </c>
      <c r="U46" s="1155">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12</v>
      </c>
      <c r="V46" s="1155">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12</v>
      </c>
      <c r="W46" s="1155">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12.601122094576542</v>
      </c>
      <c r="X46" s="1155">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13.22912560937662</v>
      </c>
      <c r="Y46" s="2793">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13.256625064113523</v>
      </c>
      <c r="Z46" s="4738">
        <f>+'11.3. ДА Базова година'!R51</f>
        <v>0</v>
      </c>
      <c r="AA46" s="2792">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155">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155">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155">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155">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793">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816">
        <f>+'11.3. ДА Базова година'!V51</f>
        <v>0</v>
      </c>
      <c r="AH46" s="2792">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155">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155">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155">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155">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793">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681"/>
      <c r="AO46" s="2719"/>
      <c r="AP46" s="4775"/>
      <c r="AQ46" s="4794">
        <f t="shared" si="31"/>
        <v>29.143637228184453</v>
      </c>
      <c r="AR46" s="4794">
        <f t="shared" si="32"/>
        <v>52.356288634492778</v>
      </c>
      <c r="AS46" s="4794">
        <f t="shared" si="33"/>
        <v>52.356288634492778</v>
      </c>
      <c r="AT46" s="4794">
        <f t="shared" si="34"/>
        <v>52.356288634492778</v>
      </c>
      <c r="AU46" s="4794">
        <f t="shared" si="35"/>
        <v>55.736101450548738</v>
      </c>
      <c r="AV46" s="4794">
        <f t="shared" si="36"/>
        <v>59.102891338193324</v>
      </c>
      <c r="AW46" s="4794">
        <f t="shared" si="37"/>
        <v>59.088138142258344</v>
      </c>
      <c r="AX46" s="4794">
        <f t="shared" si="38"/>
        <v>1.022583762392437</v>
      </c>
      <c r="AY46" s="4794">
        <f t="shared" si="39"/>
        <v>1.022583762392437</v>
      </c>
      <c r="AZ46" s="4794">
        <f t="shared" si="40"/>
        <v>1.022583762392437</v>
      </c>
      <c r="BA46" s="4794">
        <f t="shared" si="41"/>
        <v>1.022583762392437</v>
      </c>
      <c r="BB46" s="4794">
        <f t="shared" si="42"/>
        <v>1.17011120874347</v>
      </c>
      <c r="BC46" s="4794">
        <f t="shared" si="43"/>
        <v>1.3169173315905507</v>
      </c>
      <c r="BD46" s="4794">
        <f t="shared" si="44"/>
        <v>1.3176102795812277</v>
      </c>
      <c r="BE46" s="4794">
        <f t="shared" si="45"/>
        <v>6.1355025743546223</v>
      </c>
      <c r="BF46" s="4794">
        <f t="shared" si="46"/>
        <v>6.1355025743546223</v>
      </c>
      <c r="BG46" s="4794">
        <f t="shared" si="47"/>
        <v>6.1355025743546223</v>
      </c>
      <c r="BH46" s="4794">
        <f t="shared" si="48"/>
        <v>6.1355025743546223</v>
      </c>
      <c r="BI46" s="4794">
        <f t="shared" si="49"/>
        <v>6.4428514209192738</v>
      </c>
      <c r="BJ46" s="4794">
        <f t="shared" si="50"/>
        <v>6.7639445193992422</v>
      </c>
      <c r="BK46" s="4794">
        <f t="shared" si="51"/>
        <v>6.7780047673435435</v>
      </c>
      <c r="BL46" s="4794">
        <f t="shared" si="52"/>
        <v>0</v>
      </c>
      <c r="BM46" s="4794">
        <f t="shared" si="53"/>
        <v>0</v>
      </c>
      <c r="BN46" s="4794">
        <f t="shared" si="54"/>
        <v>0</v>
      </c>
      <c r="BO46" s="4794">
        <f t="shared" si="55"/>
        <v>0</v>
      </c>
      <c r="BP46" s="4794">
        <f t="shared" si="56"/>
        <v>0</v>
      </c>
      <c r="BQ46" s="4794">
        <f t="shared" si="57"/>
        <v>0</v>
      </c>
      <c r="BR46" s="4794">
        <f t="shared" si="58"/>
        <v>0</v>
      </c>
      <c r="BS46" s="4794">
        <f t="shared" si="59"/>
        <v>0</v>
      </c>
      <c r="BT46" s="4794">
        <f t="shared" si="60"/>
        <v>0</v>
      </c>
      <c r="BU46" s="4794">
        <f t="shared" si="61"/>
        <v>0</v>
      </c>
      <c r="BV46" s="4794">
        <f t="shared" si="62"/>
        <v>0</v>
      </c>
      <c r="BW46" s="4794">
        <f t="shared" si="63"/>
        <v>0</v>
      </c>
      <c r="BX46" s="4794">
        <f t="shared" si="64"/>
        <v>0</v>
      </c>
      <c r="BY46" s="4794">
        <f t="shared" si="65"/>
        <v>0</v>
      </c>
    </row>
    <row r="47" spans="1:77">
      <c r="A47" s="2694"/>
      <c r="B47" s="2698">
        <v>20503</v>
      </c>
      <c r="C47" s="2679">
        <v>0.1</v>
      </c>
      <c r="D47" s="2718" t="s">
        <v>412</v>
      </c>
      <c r="E47" s="2816">
        <f>+'11.3. ДА Базова година'!F52</f>
        <v>6</v>
      </c>
      <c r="F47" s="2792">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6</v>
      </c>
      <c r="G47" s="1155">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6</v>
      </c>
      <c r="H47" s="1155">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6</v>
      </c>
      <c r="I47" s="1155">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6</v>
      </c>
      <c r="J47" s="1155">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6</v>
      </c>
      <c r="K47" s="2793">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6</v>
      </c>
      <c r="L47" s="2816">
        <f>+'11.3. ДА Базова година'!J52</f>
        <v>0</v>
      </c>
      <c r="M47" s="2792">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155">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155">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155">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155">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2793">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2816">
        <f>+'11.3. ДА Базова година'!N52</f>
        <v>1</v>
      </c>
      <c r="T47" s="2792">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1</v>
      </c>
      <c r="U47" s="1155">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1</v>
      </c>
      <c r="V47" s="1155">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1</v>
      </c>
      <c r="W47" s="1155">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1</v>
      </c>
      <c r="X47" s="1155">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1</v>
      </c>
      <c r="Y47" s="2793">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1</v>
      </c>
      <c r="Z47" s="4738">
        <f>+'11.3. ДА Базова година'!R52</f>
        <v>0</v>
      </c>
      <c r="AA47" s="2792">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155">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155">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155">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155">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793">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816">
        <f>+'11.3. ДА Базова година'!V52</f>
        <v>0</v>
      </c>
      <c r="AH47" s="2792">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155">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155">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155">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155">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793">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681"/>
      <c r="AO47" s="2719"/>
      <c r="AP47" s="4775"/>
      <c r="AQ47" s="4794">
        <f t="shared" si="31"/>
        <v>3.0677512871773112</v>
      </c>
      <c r="AR47" s="4794">
        <f t="shared" si="32"/>
        <v>3.0677512871773112</v>
      </c>
      <c r="AS47" s="4794">
        <f t="shared" si="33"/>
        <v>3.0677512871773112</v>
      </c>
      <c r="AT47" s="4794">
        <f t="shared" si="34"/>
        <v>3.0677512871773112</v>
      </c>
      <c r="AU47" s="4794">
        <f t="shared" si="35"/>
        <v>3.0677512871773112</v>
      </c>
      <c r="AV47" s="4794">
        <f t="shared" si="36"/>
        <v>3.0677512871773112</v>
      </c>
      <c r="AW47" s="4794">
        <f t="shared" si="37"/>
        <v>3.0677512871773112</v>
      </c>
      <c r="AX47" s="4794">
        <f t="shared" si="38"/>
        <v>0</v>
      </c>
      <c r="AY47" s="4794">
        <f t="shared" si="39"/>
        <v>0</v>
      </c>
      <c r="AZ47" s="4794">
        <f t="shared" si="40"/>
        <v>0</v>
      </c>
      <c r="BA47" s="4794">
        <f t="shared" si="41"/>
        <v>0</v>
      </c>
      <c r="BB47" s="4794">
        <f t="shared" si="42"/>
        <v>0</v>
      </c>
      <c r="BC47" s="4794">
        <f t="shared" si="43"/>
        <v>0</v>
      </c>
      <c r="BD47" s="4794">
        <f t="shared" si="44"/>
        <v>0</v>
      </c>
      <c r="BE47" s="4794">
        <f t="shared" si="45"/>
        <v>0.51129188119621849</v>
      </c>
      <c r="BF47" s="4794">
        <f t="shared" si="46"/>
        <v>0.51129188119621849</v>
      </c>
      <c r="BG47" s="4794">
        <f t="shared" si="47"/>
        <v>0.51129188119621849</v>
      </c>
      <c r="BH47" s="4794">
        <f t="shared" si="48"/>
        <v>0.51129188119621849</v>
      </c>
      <c r="BI47" s="4794">
        <f t="shared" si="49"/>
        <v>0.51129188119621849</v>
      </c>
      <c r="BJ47" s="4794">
        <f t="shared" si="50"/>
        <v>0.51129188119621849</v>
      </c>
      <c r="BK47" s="4794">
        <f t="shared" si="51"/>
        <v>0.51129188119621849</v>
      </c>
      <c r="BL47" s="4794">
        <f t="shared" si="52"/>
        <v>0</v>
      </c>
      <c r="BM47" s="4794">
        <f t="shared" si="53"/>
        <v>0</v>
      </c>
      <c r="BN47" s="4794">
        <f t="shared" si="54"/>
        <v>0</v>
      </c>
      <c r="BO47" s="4794">
        <f t="shared" si="55"/>
        <v>0</v>
      </c>
      <c r="BP47" s="4794">
        <f t="shared" si="56"/>
        <v>0</v>
      </c>
      <c r="BQ47" s="4794">
        <f t="shared" si="57"/>
        <v>0</v>
      </c>
      <c r="BR47" s="4794">
        <f t="shared" si="58"/>
        <v>0</v>
      </c>
      <c r="BS47" s="4794">
        <f t="shared" si="59"/>
        <v>0</v>
      </c>
      <c r="BT47" s="4794">
        <f t="shared" si="60"/>
        <v>0</v>
      </c>
      <c r="BU47" s="4794">
        <f t="shared" si="61"/>
        <v>0</v>
      </c>
      <c r="BV47" s="4794">
        <f t="shared" si="62"/>
        <v>0</v>
      </c>
      <c r="BW47" s="4794">
        <f t="shared" si="63"/>
        <v>0</v>
      </c>
      <c r="BX47" s="4794">
        <f t="shared" si="64"/>
        <v>0</v>
      </c>
      <c r="BY47" s="4794">
        <f t="shared" si="65"/>
        <v>0</v>
      </c>
    </row>
    <row r="48" spans="1:77">
      <c r="A48" s="2694"/>
      <c r="B48" s="2698">
        <v>20504</v>
      </c>
      <c r="C48" s="2679">
        <v>0.1</v>
      </c>
      <c r="D48" s="2718" t="s">
        <v>557</v>
      </c>
      <c r="E48" s="2816">
        <f>+'11.3. ДА Базова година'!F53</f>
        <v>2</v>
      </c>
      <c r="F48" s="2792">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2</v>
      </c>
      <c r="G48" s="1155">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2</v>
      </c>
      <c r="H48" s="1155">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2</v>
      </c>
      <c r="I48" s="1155">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2</v>
      </c>
      <c r="J48" s="1155">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2</v>
      </c>
      <c r="K48" s="2793">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2</v>
      </c>
      <c r="L48" s="2816">
        <f>+'11.3. ДА Базова година'!J53</f>
        <v>0</v>
      </c>
      <c r="M48" s="2792">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155">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155">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155">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155">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793">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816">
        <f>+'11.3. ДА Базова година'!N53</f>
        <v>1</v>
      </c>
      <c r="T48" s="2792">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1</v>
      </c>
      <c r="U48" s="1155">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1</v>
      </c>
      <c r="V48" s="1155">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1</v>
      </c>
      <c r="W48" s="1155">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1</v>
      </c>
      <c r="X48" s="1155">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1</v>
      </c>
      <c r="Y48" s="2793">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1</v>
      </c>
      <c r="Z48" s="4738">
        <f>+'11.3. ДА Базова година'!R53</f>
        <v>0</v>
      </c>
      <c r="AA48" s="2792">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155">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155">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155">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155">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793">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816">
        <f>+'11.3. ДА Базова година'!V53</f>
        <v>0</v>
      </c>
      <c r="AH48" s="2792">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155">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155">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155">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155">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793">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681"/>
      <c r="AO48" s="2719"/>
      <c r="AP48" s="4775"/>
      <c r="AQ48" s="4794">
        <f t="shared" si="31"/>
        <v>1.022583762392437</v>
      </c>
      <c r="AR48" s="4794">
        <f t="shared" si="32"/>
        <v>1.022583762392437</v>
      </c>
      <c r="AS48" s="4794">
        <f t="shared" si="33"/>
        <v>1.022583762392437</v>
      </c>
      <c r="AT48" s="4794">
        <f t="shared" si="34"/>
        <v>1.022583762392437</v>
      </c>
      <c r="AU48" s="4794">
        <f t="shared" si="35"/>
        <v>1.022583762392437</v>
      </c>
      <c r="AV48" s="4794">
        <f t="shared" si="36"/>
        <v>1.022583762392437</v>
      </c>
      <c r="AW48" s="4794">
        <f t="shared" si="37"/>
        <v>1.022583762392437</v>
      </c>
      <c r="AX48" s="4794">
        <f t="shared" si="38"/>
        <v>0</v>
      </c>
      <c r="AY48" s="4794">
        <f t="shared" si="39"/>
        <v>0</v>
      </c>
      <c r="AZ48" s="4794">
        <f t="shared" si="40"/>
        <v>0</v>
      </c>
      <c r="BA48" s="4794">
        <f t="shared" si="41"/>
        <v>0</v>
      </c>
      <c r="BB48" s="4794">
        <f t="shared" si="42"/>
        <v>0</v>
      </c>
      <c r="BC48" s="4794">
        <f t="shared" si="43"/>
        <v>0</v>
      </c>
      <c r="BD48" s="4794">
        <f t="shared" si="44"/>
        <v>0</v>
      </c>
      <c r="BE48" s="4794">
        <f t="shared" si="45"/>
        <v>0.51129188119621849</v>
      </c>
      <c r="BF48" s="4794">
        <f t="shared" si="46"/>
        <v>0.51129188119621849</v>
      </c>
      <c r="BG48" s="4794">
        <f t="shared" si="47"/>
        <v>0.51129188119621849</v>
      </c>
      <c r="BH48" s="4794">
        <f t="shared" si="48"/>
        <v>0.51129188119621849</v>
      </c>
      <c r="BI48" s="4794">
        <f t="shared" si="49"/>
        <v>0.51129188119621849</v>
      </c>
      <c r="BJ48" s="4794">
        <f t="shared" si="50"/>
        <v>0.51129188119621849</v>
      </c>
      <c r="BK48" s="4794">
        <f t="shared" si="51"/>
        <v>0.51129188119621849</v>
      </c>
      <c r="BL48" s="4794">
        <f t="shared" si="52"/>
        <v>0</v>
      </c>
      <c r="BM48" s="4794">
        <f t="shared" si="53"/>
        <v>0</v>
      </c>
      <c r="BN48" s="4794">
        <f t="shared" si="54"/>
        <v>0</v>
      </c>
      <c r="BO48" s="4794">
        <f t="shared" si="55"/>
        <v>0</v>
      </c>
      <c r="BP48" s="4794">
        <f t="shared" si="56"/>
        <v>0</v>
      </c>
      <c r="BQ48" s="4794">
        <f t="shared" si="57"/>
        <v>0</v>
      </c>
      <c r="BR48" s="4794">
        <f t="shared" si="58"/>
        <v>0</v>
      </c>
      <c r="BS48" s="4794">
        <f t="shared" si="59"/>
        <v>0</v>
      </c>
      <c r="BT48" s="4794">
        <f t="shared" si="60"/>
        <v>0</v>
      </c>
      <c r="BU48" s="4794">
        <f t="shared" si="61"/>
        <v>0</v>
      </c>
      <c r="BV48" s="4794">
        <f t="shared" si="62"/>
        <v>0</v>
      </c>
      <c r="BW48" s="4794">
        <f t="shared" si="63"/>
        <v>0</v>
      </c>
      <c r="BX48" s="4794">
        <f t="shared" si="64"/>
        <v>0</v>
      </c>
      <c r="BY48" s="4794">
        <f t="shared" si="65"/>
        <v>0</v>
      </c>
    </row>
    <row r="49" spans="1:77">
      <c r="A49" s="2694">
        <v>6</v>
      </c>
      <c r="B49" s="2698">
        <v>208</v>
      </c>
      <c r="C49" s="2679">
        <v>0.2</v>
      </c>
      <c r="D49" s="2720" t="s">
        <v>413</v>
      </c>
      <c r="E49" s="2816">
        <f>+'11.3. ДА Базова година'!F54</f>
        <v>13</v>
      </c>
      <c r="F49" s="2792">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16.455883480260638</v>
      </c>
      <c r="G49" s="1155">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20.039935064935065</v>
      </c>
      <c r="H49" s="1155">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23.479264627894644</v>
      </c>
      <c r="I49" s="1155">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26.939300026716538</v>
      </c>
      <c r="J49" s="1155">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30.434249559174361</v>
      </c>
      <c r="K49" s="2793">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33.910651393400585</v>
      </c>
      <c r="L49" s="2816">
        <f>+'11.3. ДА Базова година'!J54</f>
        <v>7</v>
      </c>
      <c r="M49" s="2792">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7.252127251820621</v>
      </c>
      <c r="N49" s="1155">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7.386688311688312</v>
      </c>
      <c r="O49" s="1155">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7.5606151670496731</v>
      </c>
      <c r="P49" s="1155">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7.7386053967405823</v>
      </c>
      <c r="Q49" s="1155">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7.8907997095736961</v>
      </c>
      <c r="R49" s="2793">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8.0462985125662509</v>
      </c>
      <c r="S49" s="2816">
        <f>+'11.3. ДА Базова година'!N54</f>
        <v>2</v>
      </c>
      <c r="T49" s="2792">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2.2919892679187428</v>
      </c>
      <c r="U49" s="1155">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2.5733766233766238</v>
      </c>
      <c r="V49" s="1155">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2.9601202050556834</v>
      </c>
      <c r="W49" s="1155">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3.32209457654288</v>
      </c>
      <c r="X49" s="1155">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3.6749507312519452</v>
      </c>
      <c r="Y49" s="2793">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4.043050094033168</v>
      </c>
      <c r="Z49" s="4738">
        <f>+'11.3. ДА Базова година'!R54</f>
        <v>0</v>
      </c>
      <c r="AA49" s="2792">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155">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155">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155">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155">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793">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816">
        <f>+'11.3. ДА Базова година'!V54</f>
        <v>0</v>
      </c>
      <c r="AH49" s="2792">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155">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155">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155">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155">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793">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681"/>
      <c r="AO49" s="2719"/>
      <c r="AP49" s="4775"/>
      <c r="AQ49" s="4794">
        <f t="shared" si="31"/>
        <v>6.6467944555508405</v>
      </c>
      <c r="AR49" s="4794">
        <f t="shared" si="32"/>
        <v>8.4137596213682375</v>
      </c>
      <c r="AS49" s="4794">
        <f t="shared" si="33"/>
        <v>10.246256098400712</v>
      </c>
      <c r="AT49" s="4794">
        <f t="shared" si="34"/>
        <v>12.004757380700083</v>
      </c>
      <c r="AU49" s="4794">
        <f t="shared" si="35"/>
        <v>13.773845388769237</v>
      </c>
      <c r="AV49" s="4794">
        <f t="shared" si="36"/>
        <v>15.560784709905443</v>
      </c>
      <c r="AW49" s="4794">
        <f t="shared" si="37"/>
        <v>17.338240743520952</v>
      </c>
      <c r="AX49" s="4794">
        <f t="shared" si="38"/>
        <v>3.5790431683735293</v>
      </c>
      <c r="AY49" s="4794">
        <f t="shared" si="39"/>
        <v>3.7079537852577276</v>
      </c>
      <c r="AZ49" s="4794">
        <f t="shared" si="40"/>
        <v>3.7767537626932364</v>
      </c>
      <c r="BA49" s="4794">
        <f t="shared" si="41"/>
        <v>3.8656811517614891</v>
      </c>
      <c r="BB49" s="4794">
        <f t="shared" si="42"/>
        <v>3.9566861111347009</v>
      </c>
      <c r="BC49" s="4794">
        <f t="shared" si="43"/>
        <v>4.0345018276505096</v>
      </c>
      <c r="BD49" s="4794">
        <f t="shared" si="44"/>
        <v>4.1140071031563332</v>
      </c>
      <c r="BE49" s="4794">
        <f t="shared" si="45"/>
        <v>1.022583762392437</v>
      </c>
      <c r="BF49" s="4794">
        <f t="shared" si="46"/>
        <v>1.1718755044757176</v>
      </c>
      <c r="BG49" s="4794">
        <f t="shared" si="47"/>
        <v>1.3157465747926067</v>
      </c>
      <c r="BH49" s="4794">
        <f t="shared" si="48"/>
        <v>1.5134854282098564</v>
      </c>
      <c r="BI49" s="4794">
        <f t="shared" si="49"/>
        <v>1.6985599855523641</v>
      </c>
      <c r="BJ49" s="4794">
        <f t="shared" si="50"/>
        <v>1.8789724726852259</v>
      </c>
      <c r="BK49" s="4794">
        <f t="shared" si="51"/>
        <v>2.0671786883487666</v>
      </c>
      <c r="BL49" s="4794">
        <f t="shared" si="52"/>
        <v>0</v>
      </c>
      <c r="BM49" s="4794">
        <f t="shared" si="53"/>
        <v>0</v>
      </c>
      <c r="BN49" s="4794">
        <f t="shared" si="54"/>
        <v>0</v>
      </c>
      <c r="BO49" s="4794">
        <f t="shared" si="55"/>
        <v>0</v>
      </c>
      <c r="BP49" s="4794">
        <f t="shared" si="56"/>
        <v>0</v>
      </c>
      <c r="BQ49" s="4794">
        <f t="shared" si="57"/>
        <v>0</v>
      </c>
      <c r="BR49" s="4794">
        <f t="shared" si="58"/>
        <v>0</v>
      </c>
      <c r="BS49" s="4794">
        <f t="shared" si="59"/>
        <v>0</v>
      </c>
      <c r="BT49" s="4794">
        <f t="shared" si="60"/>
        <v>0</v>
      </c>
      <c r="BU49" s="4794">
        <f t="shared" si="61"/>
        <v>0</v>
      </c>
      <c r="BV49" s="4794">
        <f t="shared" si="62"/>
        <v>0</v>
      </c>
      <c r="BW49" s="4794">
        <f t="shared" si="63"/>
        <v>0</v>
      </c>
      <c r="BX49" s="4794">
        <f t="shared" si="64"/>
        <v>0</v>
      </c>
      <c r="BY49" s="4794">
        <f t="shared" si="65"/>
        <v>0</v>
      </c>
    </row>
    <row r="50" spans="1:77">
      <c r="A50" s="2694">
        <v>7</v>
      </c>
      <c r="B50" s="2698">
        <v>20601</v>
      </c>
      <c r="C50" s="2690">
        <v>0.1</v>
      </c>
      <c r="D50" s="2720" t="s">
        <v>564</v>
      </c>
      <c r="E50" s="2816">
        <f>+'11.3. ДА Базова година'!F55</f>
        <v>21</v>
      </c>
      <c r="F50" s="2792">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28.23970870065159</v>
      </c>
      <c r="G50" s="1155">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36.293181818181814</v>
      </c>
      <c r="H50" s="1155">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41.802492487184011</v>
      </c>
      <c r="I50" s="1155">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46.515842906759289</v>
      </c>
      <c r="J50" s="1155">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51.30993672855513</v>
      </c>
      <c r="K50" s="2793">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56.07700461617371</v>
      </c>
      <c r="L50" s="2816">
        <f>+'11.3. ДА Базова година'!J55</f>
        <v>8</v>
      </c>
      <c r="M50" s="2792">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8.7803181295515529</v>
      </c>
      <c r="N50" s="1155">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9.0856060606060609</v>
      </c>
      <c r="O50" s="1155">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9.3892610924518305</v>
      </c>
      <c r="P50" s="1155">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9.650267165375368</v>
      </c>
      <c r="Q50" s="1155">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9.8588994917539683</v>
      </c>
      <c r="R50" s="2793">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10.073320225679604</v>
      </c>
      <c r="S50" s="2816">
        <f>+'11.3. ДА Базова година'!N55</f>
        <v>2</v>
      </c>
      <c r="T50" s="2792">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2.679973169796857</v>
      </c>
      <c r="U50" s="1155">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3.3212121212121213</v>
      </c>
      <c r="V50" s="1155">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4.0082464203641504</v>
      </c>
      <c r="W50" s="1155">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4.5338899278653493</v>
      </c>
      <c r="X50" s="1155">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5.0311637796909032</v>
      </c>
      <c r="Y50" s="2793">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5.549675158146691</v>
      </c>
      <c r="Z50" s="4738">
        <f>+'11.3. ДА Базова година'!R55</f>
        <v>0</v>
      </c>
      <c r="AA50" s="2792">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155">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155">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155">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155">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793">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816">
        <f>+'11.3. ДА Базова година'!V55</f>
        <v>0</v>
      </c>
      <c r="AH50" s="2792">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155">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155">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155">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155">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793">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681"/>
      <c r="AO50" s="2719"/>
      <c r="AP50" s="4775"/>
      <c r="AQ50" s="4794">
        <f t="shared" si="31"/>
        <v>10.737129505120588</v>
      </c>
      <c r="AR50" s="4794">
        <f t="shared" si="32"/>
        <v>14.438733785989371</v>
      </c>
      <c r="AS50" s="4794">
        <f t="shared" si="33"/>
        <v>18.556409206414575</v>
      </c>
      <c r="AT50" s="4794">
        <f t="shared" si="34"/>
        <v>21.373275022463105</v>
      </c>
      <c r="AU50" s="4794">
        <f t="shared" si="35"/>
        <v>23.783172825224732</v>
      </c>
      <c r="AV50" s="4794">
        <f t="shared" si="36"/>
        <v>26.234354074001896</v>
      </c>
      <c r="AW50" s="4794">
        <f t="shared" si="37"/>
        <v>28.671717182052486</v>
      </c>
      <c r="AX50" s="4794">
        <f t="shared" si="38"/>
        <v>4.0903350495697479</v>
      </c>
      <c r="AY50" s="4794">
        <f t="shared" si="39"/>
        <v>4.4893053739596755</v>
      </c>
      <c r="AZ50" s="4794">
        <f t="shared" si="40"/>
        <v>4.6453966145350369</v>
      </c>
      <c r="BA50" s="4794">
        <f t="shared" si="41"/>
        <v>4.8006529670021578</v>
      </c>
      <c r="BB50" s="4794">
        <f t="shared" si="42"/>
        <v>4.9341032530308713</v>
      </c>
      <c r="BC50" s="4794">
        <f t="shared" si="43"/>
        <v>5.0407752676633288</v>
      </c>
      <c r="BD50" s="4794">
        <f t="shared" si="44"/>
        <v>5.1504068480796406</v>
      </c>
      <c r="BE50" s="4794">
        <f t="shared" si="45"/>
        <v>1.022583762392437</v>
      </c>
      <c r="BF50" s="4794">
        <f t="shared" si="46"/>
        <v>1.3702485235408277</v>
      </c>
      <c r="BG50" s="4794">
        <f t="shared" si="47"/>
        <v>1.6981087933062287</v>
      </c>
      <c r="BH50" s="4794">
        <f t="shared" si="48"/>
        <v>2.0493838525659953</v>
      </c>
      <c r="BI50" s="4794">
        <f t="shared" si="49"/>
        <v>2.3181411103548619</v>
      </c>
      <c r="BJ50" s="4794">
        <f t="shared" si="50"/>
        <v>2.5723931935244391</v>
      </c>
      <c r="BK50" s="4794">
        <f t="shared" si="51"/>
        <v>2.8375038516367432</v>
      </c>
      <c r="BL50" s="4794">
        <f t="shared" si="52"/>
        <v>0</v>
      </c>
      <c r="BM50" s="4794">
        <f t="shared" si="53"/>
        <v>0</v>
      </c>
      <c r="BN50" s="4794">
        <f t="shared" si="54"/>
        <v>0</v>
      </c>
      <c r="BO50" s="4794">
        <f t="shared" si="55"/>
        <v>0</v>
      </c>
      <c r="BP50" s="4794">
        <f t="shared" si="56"/>
        <v>0</v>
      </c>
      <c r="BQ50" s="4794">
        <f t="shared" si="57"/>
        <v>0</v>
      </c>
      <c r="BR50" s="4794">
        <f t="shared" si="58"/>
        <v>0</v>
      </c>
      <c r="BS50" s="4794">
        <f t="shared" si="59"/>
        <v>0</v>
      </c>
      <c r="BT50" s="4794">
        <f t="shared" si="60"/>
        <v>0</v>
      </c>
      <c r="BU50" s="4794">
        <f t="shared" si="61"/>
        <v>0</v>
      </c>
      <c r="BV50" s="4794">
        <f t="shared" si="62"/>
        <v>0</v>
      </c>
      <c r="BW50" s="4794">
        <f t="shared" si="63"/>
        <v>0</v>
      </c>
      <c r="BX50" s="4794">
        <f t="shared" si="64"/>
        <v>0</v>
      </c>
      <c r="BY50" s="4794">
        <f t="shared" si="65"/>
        <v>0</v>
      </c>
    </row>
    <row r="51" spans="1:77">
      <c r="A51" s="2699">
        <v>8</v>
      </c>
      <c r="B51" s="2698">
        <v>20602</v>
      </c>
      <c r="C51" s="2690">
        <v>0.1</v>
      </c>
      <c r="D51" s="2720" t="s">
        <v>435</v>
      </c>
      <c r="E51" s="2816">
        <f>+'11.3. ДА Базова година'!F56</f>
        <v>5</v>
      </c>
      <c r="F51" s="2792">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5.3500000000000005</v>
      </c>
      <c r="G51" s="1155">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5.3500000000000005</v>
      </c>
      <c r="H51" s="1155">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5.3500000000000005</v>
      </c>
      <c r="I51" s="1155">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5.3500000000000005</v>
      </c>
      <c r="J51" s="1155">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5.3500000000000005</v>
      </c>
      <c r="K51" s="2793">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5.3500000000000005</v>
      </c>
      <c r="L51" s="2816">
        <f>+'11.3. ДА Базова година'!J56</f>
        <v>1</v>
      </c>
      <c r="M51" s="2792">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1.1000000000000001</v>
      </c>
      <c r="N51" s="1155">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1.1000000000000001</v>
      </c>
      <c r="O51" s="1155">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1.1000000000000001</v>
      </c>
      <c r="P51" s="1155">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1.1000000000000001</v>
      </c>
      <c r="Q51" s="1155">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1.1000000000000001</v>
      </c>
      <c r="R51" s="2793">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1.1000000000000001</v>
      </c>
      <c r="S51" s="2816">
        <f>+'11.3. ДА Базова година'!N56</f>
        <v>1</v>
      </c>
      <c r="T51" s="2792">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1.05</v>
      </c>
      <c r="U51" s="1155">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1.05</v>
      </c>
      <c r="V51" s="1155">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1.05</v>
      </c>
      <c r="W51" s="1155">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1.05</v>
      </c>
      <c r="X51" s="1155">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1.05</v>
      </c>
      <c r="Y51" s="2793">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1.05</v>
      </c>
      <c r="Z51" s="4738">
        <f>+'11.3. ДА Базова година'!R56</f>
        <v>0</v>
      </c>
      <c r="AA51" s="2792">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155">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155">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155">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155">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793">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816">
        <f>+'11.3. ДА Базова година'!V56</f>
        <v>0</v>
      </c>
      <c r="AH51" s="2792">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155">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155">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155">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155">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793">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681"/>
      <c r="AO51" s="2719"/>
      <c r="AP51" s="4775"/>
      <c r="AQ51" s="4794">
        <f t="shared" si="31"/>
        <v>2.5564594059810926</v>
      </c>
      <c r="AR51" s="4794">
        <f t="shared" si="32"/>
        <v>2.7354115643997692</v>
      </c>
      <c r="AS51" s="4794">
        <f t="shared" si="33"/>
        <v>2.7354115643997692</v>
      </c>
      <c r="AT51" s="4794">
        <f t="shared" si="34"/>
        <v>2.7354115643997692</v>
      </c>
      <c r="AU51" s="4794">
        <f t="shared" si="35"/>
        <v>2.7354115643997692</v>
      </c>
      <c r="AV51" s="4794">
        <f t="shared" si="36"/>
        <v>2.7354115643997692</v>
      </c>
      <c r="AW51" s="4794">
        <f t="shared" si="37"/>
        <v>2.7354115643997692</v>
      </c>
      <c r="AX51" s="4794">
        <f t="shared" si="38"/>
        <v>0.51129188119621849</v>
      </c>
      <c r="AY51" s="4794">
        <f t="shared" si="39"/>
        <v>0.56242106931584035</v>
      </c>
      <c r="AZ51" s="4794">
        <f t="shared" si="40"/>
        <v>0.56242106931584035</v>
      </c>
      <c r="BA51" s="4794">
        <f t="shared" si="41"/>
        <v>0.56242106931584035</v>
      </c>
      <c r="BB51" s="4794">
        <f t="shared" si="42"/>
        <v>0.56242106931584035</v>
      </c>
      <c r="BC51" s="4794">
        <f t="shared" si="43"/>
        <v>0.56242106931584035</v>
      </c>
      <c r="BD51" s="4794">
        <f t="shared" si="44"/>
        <v>0.56242106931584035</v>
      </c>
      <c r="BE51" s="4794">
        <f t="shared" si="45"/>
        <v>0.51129188119621849</v>
      </c>
      <c r="BF51" s="4794">
        <f t="shared" si="46"/>
        <v>0.53685647525602942</v>
      </c>
      <c r="BG51" s="4794">
        <f t="shared" si="47"/>
        <v>0.53685647525602942</v>
      </c>
      <c r="BH51" s="4794">
        <f t="shared" si="48"/>
        <v>0.53685647525602942</v>
      </c>
      <c r="BI51" s="4794">
        <f t="shared" si="49"/>
        <v>0.53685647525602942</v>
      </c>
      <c r="BJ51" s="4794">
        <f t="shared" si="50"/>
        <v>0.53685647525602942</v>
      </c>
      <c r="BK51" s="4794">
        <f t="shared" si="51"/>
        <v>0.53685647525602942</v>
      </c>
      <c r="BL51" s="4794">
        <f t="shared" si="52"/>
        <v>0</v>
      </c>
      <c r="BM51" s="4794">
        <f t="shared" si="53"/>
        <v>0</v>
      </c>
      <c r="BN51" s="4794">
        <f t="shared" si="54"/>
        <v>0</v>
      </c>
      <c r="BO51" s="4794">
        <f t="shared" si="55"/>
        <v>0</v>
      </c>
      <c r="BP51" s="4794">
        <f t="shared" si="56"/>
        <v>0</v>
      </c>
      <c r="BQ51" s="4794">
        <f t="shared" si="57"/>
        <v>0</v>
      </c>
      <c r="BR51" s="4794">
        <f t="shared" si="58"/>
        <v>0</v>
      </c>
      <c r="BS51" s="4794">
        <f t="shared" si="59"/>
        <v>0</v>
      </c>
      <c r="BT51" s="4794">
        <f t="shared" si="60"/>
        <v>0</v>
      </c>
      <c r="BU51" s="4794">
        <f t="shared" si="61"/>
        <v>0</v>
      </c>
      <c r="BV51" s="4794">
        <f t="shared" si="62"/>
        <v>0</v>
      </c>
      <c r="BW51" s="4794">
        <f t="shared" si="63"/>
        <v>0</v>
      </c>
      <c r="BX51" s="4794">
        <f t="shared" si="64"/>
        <v>0</v>
      </c>
      <c r="BY51" s="4794">
        <f t="shared" si="65"/>
        <v>0</v>
      </c>
    </row>
    <row r="52" spans="1:77">
      <c r="A52" s="2699">
        <v>9</v>
      </c>
      <c r="B52" s="2695">
        <v>20603</v>
      </c>
      <c r="C52" s="2690">
        <v>0.5</v>
      </c>
      <c r="D52" s="2720" t="s">
        <v>1015</v>
      </c>
      <c r="E52" s="2816">
        <f>+'11.3. ДА Базова година'!F57</f>
        <v>0</v>
      </c>
      <c r="F52" s="2792">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0.25</v>
      </c>
      <c r="G52" s="1155">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0.25</v>
      </c>
      <c r="H52" s="1155">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0.25</v>
      </c>
      <c r="I52" s="1155">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0.25</v>
      </c>
      <c r="J52" s="1155">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0.25</v>
      </c>
      <c r="K52" s="2793">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0.25</v>
      </c>
      <c r="L52" s="2816">
        <f>+'11.3. ДА Базова година'!J57</f>
        <v>0</v>
      </c>
      <c r="M52" s="2792">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155">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155">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155">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155">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793">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816">
        <f>+'11.3. ДА Базова година'!N57</f>
        <v>0</v>
      </c>
      <c r="T52" s="2792">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155">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155">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155">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155">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793">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738">
        <f>+'11.3. ДА Базова година'!R57</f>
        <v>0</v>
      </c>
      <c r="AA52" s="2792">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155">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155">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155">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155">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793">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816">
        <f>+'11.3. ДА Базова година'!V57</f>
        <v>0</v>
      </c>
      <c r="AH52" s="2792">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155">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155">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155">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155">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793">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681"/>
      <c r="AO52" s="2719"/>
      <c r="AP52" s="4775"/>
      <c r="AQ52" s="4794">
        <f t="shared" si="31"/>
        <v>0</v>
      </c>
      <c r="AR52" s="4794">
        <f t="shared" si="32"/>
        <v>0.12782297029905462</v>
      </c>
      <c r="AS52" s="4794">
        <f t="shared" si="33"/>
        <v>0.12782297029905462</v>
      </c>
      <c r="AT52" s="4794">
        <f t="shared" si="34"/>
        <v>0.12782297029905462</v>
      </c>
      <c r="AU52" s="4794">
        <f t="shared" si="35"/>
        <v>0.12782297029905462</v>
      </c>
      <c r="AV52" s="4794">
        <f t="shared" si="36"/>
        <v>0.12782297029905462</v>
      </c>
      <c r="AW52" s="4794">
        <f t="shared" si="37"/>
        <v>0.12782297029905462</v>
      </c>
      <c r="AX52" s="4794">
        <f t="shared" si="38"/>
        <v>0</v>
      </c>
      <c r="AY52" s="4794">
        <f t="shared" si="39"/>
        <v>0</v>
      </c>
      <c r="AZ52" s="4794">
        <f t="shared" si="40"/>
        <v>0</v>
      </c>
      <c r="BA52" s="4794">
        <f t="shared" si="41"/>
        <v>0</v>
      </c>
      <c r="BB52" s="4794">
        <f t="shared" si="42"/>
        <v>0</v>
      </c>
      <c r="BC52" s="4794">
        <f t="shared" si="43"/>
        <v>0</v>
      </c>
      <c r="BD52" s="4794">
        <f t="shared" si="44"/>
        <v>0</v>
      </c>
      <c r="BE52" s="4794">
        <f t="shared" si="45"/>
        <v>0</v>
      </c>
      <c r="BF52" s="4794">
        <f t="shared" si="46"/>
        <v>0</v>
      </c>
      <c r="BG52" s="4794">
        <f t="shared" si="47"/>
        <v>0</v>
      </c>
      <c r="BH52" s="4794">
        <f t="shared" si="48"/>
        <v>0</v>
      </c>
      <c r="BI52" s="4794">
        <f t="shared" si="49"/>
        <v>0</v>
      </c>
      <c r="BJ52" s="4794">
        <f t="shared" si="50"/>
        <v>0</v>
      </c>
      <c r="BK52" s="4794">
        <f t="shared" si="51"/>
        <v>0</v>
      </c>
      <c r="BL52" s="4794">
        <f t="shared" si="52"/>
        <v>0</v>
      </c>
      <c r="BM52" s="4794">
        <f t="shared" si="53"/>
        <v>0</v>
      </c>
      <c r="BN52" s="4794">
        <f t="shared" si="54"/>
        <v>0</v>
      </c>
      <c r="BO52" s="4794">
        <f t="shared" si="55"/>
        <v>0</v>
      </c>
      <c r="BP52" s="4794">
        <f t="shared" si="56"/>
        <v>0</v>
      </c>
      <c r="BQ52" s="4794">
        <f t="shared" si="57"/>
        <v>0</v>
      </c>
      <c r="BR52" s="4794">
        <f t="shared" si="58"/>
        <v>0</v>
      </c>
      <c r="BS52" s="4794">
        <f t="shared" si="59"/>
        <v>0</v>
      </c>
      <c r="BT52" s="4794">
        <f t="shared" si="60"/>
        <v>0</v>
      </c>
      <c r="BU52" s="4794">
        <f t="shared" si="61"/>
        <v>0</v>
      </c>
      <c r="BV52" s="4794">
        <f t="shared" si="62"/>
        <v>0</v>
      </c>
      <c r="BW52" s="4794">
        <f t="shared" si="63"/>
        <v>0</v>
      </c>
      <c r="BX52" s="4794">
        <f t="shared" si="64"/>
        <v>0</v>
      </c>
      <c r="BY52" s="4794">
        <f t="shared" si="65"/>
        <v>0</v>
      </c>
    </row>
    <row r="53" spans="1:77">
      <c r="A53" s="2699">
        <v>10</v>
      </c>
      <c r="B53" s="2698">
        <v>209</v>
      </c>
      <c r="C53" s="2679">
        <v>0.1</v>
      </c>
      <c r="D53" s="2720" t="s">
        <v>213</v>
      </c>
      <c r="E53" s="2816">
        <f>+'11.3. ДА Базова година'!F58</f>
        <v>0</v>
      </c>
      <c r="F53" s="2792">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155">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155">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155">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155">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793">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816">
        <f>+'11.3. ДА Базова година'!J58</f>
        <v>0</v>
      </c>
      <c r="M53" s="2792">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155">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155">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155">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155">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793">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816">
        <f>+'11.3. ДА Базова година'!N58</f>
        <v>0</v>
      </c>
      <c r="T53" s="2792">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155">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155">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155">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155">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793">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738">
        <f>+'11.3. ДА Базова година'!R58</f>
        <v>0</v>
      </c>
      <c r="AA53" s="2792">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155">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155">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155">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155">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793">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816">
        <f>+'11.3. ДА Базова година'!V58</f>
        <v>0</v>
      </c>
      <c r="AH53" s="2792">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155">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155">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155">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155">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793">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681"/>
      <c r="AO53" s="2719"/>
      <c r="AP53" s="4775"/>
      <c r="AQ53" s="4794">
        <f t="shared" si="31"/>
        <v>0</v>
      </c>
      <c r="AR53" s="4794">
        <f t="shared" si="32"/>
        <v>0</v>
      </c>
      <c r="AS53" s="4794">
        <f t="shared" si="33"/>
        <v>0</v>
      </c>
      <c r="AT53" s="4794">
        <f t="shared" si="34"/>
        <v>0</v>
      </c>
      <c r="AU53" s="4794">
        <f t="shared" si="35"/>
        <v>0</v>
      </c>
      <c r="AV53" s="4794">
        <f t="shared" si="36"/>
        <v>0</v>
      </c>
      <c r="AW53" s="4794">
        <f t="shared" si="37"/>
        <v>0</v>
      </c>
      <c r="AX53" s="4794">
        <f t="shared" si="38"/>
        <v>0</v>
      </c>
      <c r="AY53" s="4794">
        <f t="shared" si="39"/>
        <v>0</v>
      </c>
      <c r="AZ53" s="4794">
        <f t="shared" si="40"/>
        <v>0</v>
      </c>
      <c r="BA53" s="4794">
        <f t="shared" si="41"/>
        <v>0</v>
      </c>
      <c r="BB53" s="4794">
        <f t="shared" si="42"/>
        <v>0</v>
      </c>
      <c r="BC53" s="4794">
        <f t="shared" si="43"/>
        <v>0</v>
      </c>
      <c r="BD53" s="4794">
        <f t="shared" si="44"/>
        <v>0</v>
      </c>
      <c r="BE53" s="4794">
        <f t="shared" si="45"/>
        <v>0</v>
      </c>
      <c r="BF53" s="4794">
        <f t="shared" si="46"/>
        <v>0</v>
      </c>
      <c r="BG53" s="4794">
        <f t="shared" si="47"/>
        <v>0</v>
      </c>
      <c r="BH53" s="4794">
        <f t="shared" si="48"/>
        <v>0</v>
      </c>
      <c r="BI53" s="4794">
        <f t="shared" si="49"/>
        <v>0</v>
      </c>
      <c r="BJ53" s="4794">
        <f t="shared" si="50"/>
        <v>0</v>
      </c>
      <c r="BK53" s="4794">
        <f t="shared" si="51"/>
        <v>0</v>
      </c>
      <c r="BL53" s="4794">
        <f t="shared" si="52"/>
        <v>0</v>
      </c>
      <c r="BM53" s="4794">
        <f t="shared" si="53"/>
        <v>0</v>
      </c>
      <c r="BN53" s="4794">
        <f t="shared" si="54"/>
        <v>0</v>
      </c>
      <c r="BO53" s="4794">
        <f t="shared" si="55"/>
        <v>0</v>
      </c>
      <c r="BP53" s="4794">
        <f t="shared" si="56"/>
        <v>0</v>
      </c>
      <c r="BQ53" s="4794">
        <f t="shared" si="57"/>
        <v>0</v>
      </c>
      <c r="BR53" s="4794">
        <f t="shared" si="58"/>
        <v>0</v>
      </c>
      <c r="BS53" s="4794">
        <f t="shared" si="59"/>
        <v>0</v>
      </c>
      <c r="BT53" s="4794">
        <f t="shared" si="60"/>
        <v>0</v>
      </c>
      <c r="BU53" s="4794">
        <f t="shared" si="61"/>
        <v>0</v>
      </c>
      <c r="BV53" s="4794">
        <f t="shared" si="62"/>
        <v>0</v>
      </c>
      <c r="BW53" s="4794">
        <f t="shared" si="63"/>
        <v>0</v>
      </c>
      <c r="BX53" s="4794">
        <f t="shared" si="64"/>
        <v>0</v>
      </c>
      <c r="BY53" s="4794">
        <f t="shared" si="65"/>
        <v>0</v>
      </c>
    </row>
    <row r="54" spans="1:77" ht="24">
      <c r="A54" s="2699">
        <v>11</v>
      </c>
      <c r="B54" s="2698">
        <v>207</v>
      </c>
      <c r="C54" s="2679" t="s">
        <v>313</v>
      </c>
      <c r="D54" s="2720" t="s">
        <v>414</v>
      </c>
      <c r="E54" s="4738">
        <f>+'11.3. ДА Базова година'!F59</f>
        <v>0</v>
      </c>
      <c r="F54" s="2792">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155">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155">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155">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155">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793">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738">
        <f>+'11.3. ДА Базова година'!J59</f>
        <v>0</v>
      </c>
      <c r="M54" s="2792">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155">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155">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155">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155">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793">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738">
        <f>+'11.3. ДА Базова година'!N59</f>
        <v>0</v>
      </c>
      <c r="T54" s="2792">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155">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155">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155">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155">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793">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738">
        <f>+'11.3. ДА Базова година'!R59</f>
        <v>0</v>
      </c>
      <c r="AA54" s="2792">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155">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155">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155">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155">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793">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738">
        <f>+'11.3. ДА Базова година'!V59</f>
        <v>0</v>
      </c>
      <c r="AH54" s="2792">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155">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155">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155">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155">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793">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681"/>
      <c r="AO54" s="2719"/>
      <c r="AP54" s="4775"/>
      <c r="AQ54" s="4794">
        <f t="shared" si="31"/>
        <v>0</v>
      </c>
      <c r="AR54" s="4794">
        <f t="shared" si="32"/>
        <v>0</v>
      </c>
      <c r="AS54" s="4794">
        <f t="shared" si="33"/>
        <v>0</v>
      </c>
      <c r="AT54" s="4794">
        <f t="shared" si="34"/>
        <v>0</v>
      </c>
      <c r="AU54" s="4794">
        <f t="shared" si="35"/>
        <v>0</v>
      </c>
      <c r="AV54" s="4794">
        <f t="shared" si="36"/>
        <v>0</v>
      </c>
      <c r="AW54" s="4794">
        <f t="shared" si="37"/>
        <v>0</v>
      </c>
      <c r="AX54" s="4794">
        <f t="shared" si="38"/>
        <v>0</v>
      </c>
      <c r="AY54" s="4794">
        <f t="shared" si="39"/>
        <v>0</v>
      </c>
      <c r="AZ54" s="4794">
        <f t="shared" si="40"/>
        <v>0</v>
      </c>
      <c r="BA54" s="4794">
        <f t="shared" si="41"/>
        <v>0</v>
      </c>
      <c r="BB54" s="4794">
        <f t="shared" si="42"/>
        <v>0</v>
      </c>
      <c r="BC54" s="4794">
        <f t="shared" si="43"/>
        <v>0</v>
      </c>
      <c r="BD54" s="4794">
        <f t="shared" si="44"/>
        <v>0</v>
      </c>
      <c r="BE54" s="4794">
        <f t="shared" si="45"/>
        <v>0</v>
      </c>
      <c r="BF54" s="4794">
        <f t="shared" si="46"/>
        <v>0</v>
      </c>
      <c r="BG54" s="4794">
        <f t="shared" si="47"/>
        <v>0</v>
      </c>
      <c r="BH54" s="4794">
        <f t="shared" si="48"/>
        <v>0</v>
      </c>
      <c r="BI54" s="4794">
        <f t="shared" si="49"/>
        <v>0</v>
      </c>
      <c r="BJ54" s="4794">
        <f t="shared" si="50"/>
        <v>0</v>
      </c>
      <c r="BK54" s="4794">
        <f t="shared" si="51"/>
        <v>0</v>
      </c>
      <c r="BL54" s="4794">
        <f t="shared" si="52"/>
        <v>0</v>
      </c>
      <c r="BM54" s="4794">
        <f t="shared" si="53"/>
        <v>0</v>
      </c>
      <c r="BN54" s="4794">
        <f t="shared" si="54"/>
        <v>0</v>
      </c>
      <c r="BO54" s="4794">
        <f t="shared" si="55"/>
        <v>0</v>
      </c>
      <c r="BP54" s="4794">
        <f t="shared" si="56"/>
        <v>0</v>
      </c>
      <c r="BQ54" s="4794">
        <f t="shared" si="57"/>
        <v>0</v>
      </c>
      <c r="BR54" s="4794">
        <f t="shared" si="58"/>
        <v>0</v>
      </c>
      <c r="BS54" s="4794">
        <f t="shared" si="59"/>
        <v>0</v>
      </c>
      <c r="BT54" s="4794">
        <f t="shared" si="60"/>
        <v>0</v>
      </c>
      <c r="BU54" s="4794">
        <f t="shared" si="61"/>
        <v>0</v>
      </c>
      <c r="BV54" s="4794">
        <f t="shared" si="62"/>
        <v>0</v>
      </c>
      <c r="BW54" s="4794">
        <f t="shared" si="63"/>
        <v>0</v>
      </c>
      <c r="BX54" s="4794">
        <f t="shared" si="64"/>
        <v>0</v>
      </c>
      <c r="BY54" s="4794">
        <f t="shared" si="65"/>
        <v>0</v>
      </c>
    </row>
    <row r="55" spans="1:77">
      <c r="A55" s="2699">
        <v>12</v>
      </c>
      <c r="B55" s="2695">
        <v>212</v>
      </c>
      <c r="C55" s="2690">
        <v>0.2</v>
      </c>
      <c r="D55" s="2722" t="s">
        <v>214</v>
      </c>
      <c r="E55" s="2816">
        <f>+'11.3. ДА Базова година'!F60</f>
        <v>42</v>
      </c>
      <c r="F55" s="2792">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52.339708700651585</v>
      </c>
      <c r="G55" s="1155">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56.766558441558438</v>
      </c>
      <c r="H55" s="1155">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56.579264627894638</v>
      </c>
      <c r="I55" s="1155">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58.717232166711192</v>
      </c>
      <c r="J55" s="1155">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60.895207965978628</v>
      </c>
      <c r="K55" s="2793">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60.866353222773121</v>
      </c>
      <c r="L55" s="2816">
        <f>+'11.3. ДА Базова година'!J60</f>
        <v>5</v>
      </c>
      <c r="M55" s="2792">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7.3303181295515527</v>
      </c>
      <c r="N55" s="1155">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7.5111471861471859</v>
      </c>
      <c r="O55" s="1155">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7.5606151670496731</v>
      </c>
      <c r="P55" s="1155">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7.6808976756612344</v>
      </c>
      <c r="Q55" s="1155">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7.7756664246447462</v>
      </c>
      <c r="R55" s="2793">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7.7770217131133528</v>
      </c>
      <c r="S55" s="2816">
        <f>+'11.3. ДА Базова година'!N60</f>
        <v>5</v>
      </c>
      <c r="T55" s="2792">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6.0299731697968575</v>
      </c>
      <c r="U55" s="1155">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6.4222943722943731</v>
      </c>
      <c r="V55" s="1155">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6.5601202050556839</v>
      </c>
      <c r="W55" s="1155">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6.8018701576275724</v>
      </c>
      <c r="X55" s="1155">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7.0291256093766208</v>
      </c>
      <c r="Y55" s="2793">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7.0566250641135237</v>
      </c>
      <c r="Z55" s="4738">
        <f>+'11.3. ДА Базова година'!R60</f>
        <v>0</v>
      </c>
      <c r="AA55" s="2792">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155">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155">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155">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155">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793">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816">
        <f>+'11.3. ДА Базова година'!V60</f>
        <v>0</v>
      </c>
      <c r="AH55" s="2792">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155">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155">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155">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155">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793">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681"/>
      <c r="AO55" s="2719"/>
      <c r="AP55" s="4775"/>
      <c r="AQ55" s="4794">
        <f t="shared" si="31"/>
        <v>21.474259010241177</v>
      </c>
      <c r="AR55" s="4794">
        <f t="shared" si="32"/>
        <v>26.760868122818234</v>
      </c>
      <c r="AS55" s="4794">
        <f t="shared" si="33"/>
        <v>29.02428045461949</v>
      </c>
      <c r="AT55" s="4794">
        <f t="shared" si="34"/>
        <v>28.928518648294911</v>
      </c>
      <c r="AU55" s="4794">
        <f t="shared" si="35"/>
        <v>30.021644093152879</v>
      </c>
      <c r="AV55" s="4794">
        <f t="shared" si="36"/>
        <v>31.135225436760162</v>
      </c>
      <c r="AW55" s="4794">
        <f t="shared" si="37"/>
        <v>31.120472240825187</v>
      </c>
      <c r="AX55" s="4794">
        <f t="shared" si="38"/>
        <v>2.5564594059810926</v>
      </c>
      <c r="AY55" s="4794">
        <f t="shared" si="39"/>
        <v>3.7479321462251591</v>
      </c>
      <c r="AZ55" s="4794">
        <f t="shared" si="40"/>
        <v>3.840388574746878</v>
      </c>
      <c r="BA55" s="4794">
        <f t="shared" si="41"/>
        <v>3.8656811517614891</v>
      </c>
      <c r="BB55" s="4794">
        <f t="shared" si="42"/>
        <v>3.9271806218644945</v>
      </c>
      <c r="BC55" s="4794">
        <f t="shared" si="43"/>
        <v>3.9756351138108865</v>
      </c>
      <c r="BD55" s="4794">
        <f t="shared" si="44"/>
        <v>3.976328061801564</v>
      </c>
      <c r="BE55" s="4794">
        <f t="shared" si="45"/>
        <v>2.5564594059810926</v>
      </c>
      <c r="BF55" s="4794">
        <f t="shared" si="46"/>
        <v>3.0830763255481601</v>
      </c>
      <c r="BG55" s="4794">
        <f t="shared" si="47"/>
        <v>3.2836669712062774</v>
      </c>
      <c r="BH55" s="4794">
        <f t="shared" si="48"/>
        <v>3.3541362005162432</v>
      </c>
      <c r="BI55" s="4794">
        <f t="shared" si="49"/>
        <v>3.4777409885458206</v>
      </c>
      <c r="BJ55" s="4794">
        <f t="shared" si="50"/>
        <v>3.5939348559826882</v>
      </c>
      <c r="BK55" s="4794">
        <f t="shared" si="51"/>
        <v>3.6079951039269895</v>
      </c>
      <c r="BL55" s="4794">
        <f t="shared" si="52"/>
        <v>0</v>
      </c>
      <c r="BM55" s="4794">
        <f t="shared" si="53"/>
        <v>0</v>
      </c>
      <c r="BN55" s="4794">
        <f t="shared" si="54"/>
        <v>0</v>
      </c>
      <c r="BO55" s="4794">
        <f t="shared" si="55"/>
        <v>0</v>
      </c>
      <c r="BP55" s="4794">
        <f t="shared" si="56"/>
        <v>0</v>
      </c>
      <c r="BQ55" s="4794">
        <f t="shared" si="57"/>
        <v>0</v>
      </c>
      <c r="BR55" s="4794">
        <f t="shared" si="58"/>
        <v>0</v>
      </c>
      <c r="BS55" s="4794">
        <f t="shared" si="59"/>
        <v>0</v>
      </c>
      <c r="BT55" s="4794">
        <f t="shared" si="60"/>
        <v>0</v>
      </c>
      <c r="BU55" s="4794">
        <f t="shared" si="61"/>
        <v>0</v>
      </c>
      <c r="BV55" s="4794">
        <f t="shared" si="62"/>
        <v>0</v>
      </c>
      <c r="BW55" s="4794">
        <f t="shared" si="63"/>
        <v>0</v>
      </c>
      <c r="BX55" s="4794">
        <f t="shared" si="64"/>
        <v>0</v>
      </c>
      <c r="BY55" s="4794">
        <f t="shared" si="65"/>
        <v>0</v>
      </c>
    </row>
    <row r="56" spans="1:77">
      <c r="A56" s="2699">
        <v>13</v>
      </c>
      <c r="B56" s="2694">
        <v>213</v>
      </c>
      <c r="C56" s="2701">
        <v>0.2</v>
      </c>
      <c r="D56" s="2723" t="s">
        <v>215</v>
      </c>
      <c r="E56" s="2816">
        <f>+'11.3. ДА Базова година'!F61</f>
        <v>0</v>
      </c>
      <c r="F56" s="2792">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155">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155">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155">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155">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793">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738">
        <f>+'11.3. ДА Базова година'!J61</f>
        <v>0</v>
      </c>
      <c r="M56" s="2792">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155">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155">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155">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155">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793">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738">
        <f>+'11.3. ДА Базова година'!N61</f>
        <v>0</v>
      </c>
      <c r="T56" s="2792">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155">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155">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155">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155">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793">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738">
        <f>+'11.3. ДА Базова година'!R61</f>
        <v>0</v>
      </c>
      <c r="AA56" s="2792">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155">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155">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155">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155">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793">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738">
        <f>+'11.3. ДА Базова година'!V61</f>
        <v>0</v>
      </c>
      <c r="AH56" s="2792">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155">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155">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155">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155">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793">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681"/>
      <c r="AO56" s="2719"/>
      <c r="AP56" s="4775"/>
      <c r="AQ56" s="4794">
        <f t="shared" si="31"/>
        <v>0</v>
      </c>
      <c r="AR56" s="4794">
        <f t="shared" si="32"/>
        <v>0</v>
      </c>
      <c r="AS56" s="4794">
        <f t="shared" si="33"/>
        <v>0</v>
      </c>
      <c r="AT56" s="4794">
        <f t="shared" si="34"/>
        <v>0</v>
      </c>
      <c r="AU56" s="4794">
        <f t="shared" si="35"/>
        <v>0</v>
      </c>
      <c r="AV56" s="4794">
        <f t="shared" si="36"/>
        <v>0</v>
      </c>
      <c r="AW56" s="4794">
        <f t="shared" si="37"/>
        <v>0</v>
      </c>
      <c r="AX56" s="4794">
        <f t="shared" si="38"/>
        <v>0</v>
      </c>
      <c r="AY56" s="4794">
        <f t="shared" si="39"/>
        <v>0</v>
      </c>
      <c r="AZ56" s="4794">
        <f t="shared" si="40"/>
        <v>0</v>
      </c>
      <c r="BA56" s="4794">
        <f t="shared" si="41"/>
        <v>0</v>
      </c>
      <c r="BB56" s="4794">
        <f t="shared" si="42"/>
        <v>0</v>
      </c>
      <c r="BC56" s="4794">
        <f t="shared" si="43"/>
        <v>0</v>
      </c>
      <c r="BD56" s="4794">
        <f t="shared" si="44"/>
        <v>0</v>
      </c>
      <c r="BE56" s="4794">
        <f t="shared" si="45"/>
        <v>0</v>
      </c>
      <c r="BF56" s="4794">
        <f t="shared" si="46"/>
        <v>0</v>
      </c>
      <c r="BG56" s="4794">
        <f t="shared" si="47"/>
        <v>0</v>
      </c>
      <c r="BH56" s="4794">
        <f t="shared" si="48"/>
        <v>0</v>
      </c>
      <c r="BI56" s="4794">
        <f t="shared" si="49"/>
        <v>0</v>
      </c>
      <c r="BJ56" s="4794">
        <f t="shared" si="50"/>
        <v>0</v>
      </c>
      <c r="BK56" s="4794">
        <f t="shared" si="51"/>
        <v>0</v>
      </c>
      <c r="BL56" s="4794">
        <f t="shared" si="52"/>
        <v>0</v>
      </c>
      <c r="BM56" s="4794">
        <f t="shared" si="53"/>
        <v>0</v>
      </c>
      <c r="BN56" s="4794">
        <f t="shared" si="54"/>
        <v>0</v>
      </c>
      <c r="BO56" s="4794">
        <f t="shared" si="55"/>
        <v>0</v>
      </c>
      <c r="BP56" s="4794">
        <f t="shared" si="56"/>
        <v>0</v>
      </c>
      <c r="BQ56" s="4794">
        <f t="shared" si="57"/>
        <v>0</v>
      </c>
      <c r="BR56" s="4794">
        <f t="shared" si="58"/>
        <v>0</v>
      </c>
      <c r="BS56" s="4794">
        <f t="shared" si="59"/>
        <v>0</v>
      </c>
      <c r="BT56" s="4794">
        <f t="shared" si="60"/>
        <v>0</v>
      </c>
      <c r="BU56" s="4794">
        <f t="shared" si="61"/>
        <v>0</v>
      </c>
      <c r="BV56" s="4794">
        <f t="shared" si="62"/>
        <v>0</v>
      </c>
      <c r="BW56" s="4794">
        <f t="shared" si="63"/>
        <v>0</v>
      </c>
      <c r="BX56" s="4794">
        <f t="shared" si="64"/>
        <v>0</v>
      </c>
      <c r="BY56" s="4794">
        <f t="shared" si="65"/>
        <v>0</v>
      </c>
    </row>
    <row r="57" spans="1:77">
      <c r="A57" s="2699">
        <v>14</v>
      </c>
      <c r="B57" s="2775"/>
      <c r="C57" s="2775"/>
      <c r="D57" s="2724" t="s">
        <v>628</v>
      </c>
      <c r="E57" s="2816">
        <f>+'11.3. ДА Базова година'!F62</f>
        <v>0</v>
      </c>
      <c r="F57" s="2792">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155">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155">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155">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155">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793">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738">
        <f>+'11.3. ДА Базова година'!J62</f>
        <v>0</v>
      </c>
      <c r="M57" s="2792">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155">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155">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155">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155">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793">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738">
        <f>+'11.3. ДА Базова година'!N62</f>
        <v>0</v>
      </c>
      <c r="T57" s="2792">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155">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155">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155">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155">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793">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738">
        <f>+'11.3. ДА Базова година'!R62</f>
        <v>0</v>
      </c>
      <c r="AA57" s="2792">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155">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155">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155">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155">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793">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738">
        <f>+'11.3. ДА Базова година'!V62</f>
        <v>0</v>
      </c>
      <c r="AH57" s="2792">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155">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155">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155">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155">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793">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681"/>
      <c r="AO57" s="2689"/>
      <c r="AP57" s="4775"/>
      <c r="AQ57" s="4794">
        <f t="shared" si="31"/>
        <v>0</v>
      </c>
      <c r="AR57" s="4794">
        <f t="shared" si="32"/>
        <v>0</v>
      </c>
      <c r="AS57" s="4794">
        <f t="shared" si="33"/>
        <v>0</v>
      </c>
      <c r="AT57" s="4794">
        <f t="shared" si="34"/>
        <v>0</v>
      </c>
      <c r="AU57" s="4794">
        <f t="shared" si="35"/>
        <v>0</v>
      </c>
      <c r="AV57" s="4794">
        <f t="shared" si="36"/>
        <v>0</v>
      </c>
      <c r="AW57" s="4794">
        <f t="shared" si="37"/>
        <v>0</v>
      </c>
      <c r="AX57" s="4794">
        <f t="shared" si="38"/>
        <v>0</v>
      </c>
      <c r="AY57" s="4794">
        <f t="shared" si="39"/>
        <v>0</v>
      </c>
      <c r="AZ57" s="4794">
        <f t="shared" si="40"/>
        <v>0</v>
      </c>
      <c r="BA57" s="4794">
        <f t="shared" si="41"/>
        <v>0</v>
      </c>
      <c r="BB57" s="4794">
        <f t="shared" si="42"/>
        <v>0</v>
      </c>
      <c r="BC57" s="4794">
        <f t="shared" si="43"/>
        <v>0</v>
      </c>
      <c r="BD57" s="4794">
        <f t="shared" si="44"/>
        <v>0</v>
      </c>
      <c r="BE57" s="4794">
        <f t="shared" si="45"/>
        <v>0</v>
      </c>
      <c r="BF57" s="4794">
        <f t="shared" si="46"/>
        <v>0</v>
      </c>
      <c r="BG57" s="4794">
        <f t="shared" si="47"/>
        <v>0</v>
      </c>
      <c r="BH57" s="4794">
        <f t="shared" si="48"/>
        <v>0</v>
      </c>
      <c r="BI57" s="4794">
        <f t="shared" si="49"/>
        <v>0</v>
      </c>
      <c r="BJ57" s="4794">
        <f t="shared" si="50"/>
        <v>0</v>
      </c>
      <c r="BK57" s="4794">
        <f t="shared" si="51"/>
        <v>0</v>
      </c>
      <c r="BL57" s="4794">
        <f t="shared" si="52"/>
        <v>0</v>
      </c>
      <c r="BM57" s="4794">
        <f t="shared" si="53"/>
        <v>0</v>
      </c>
      <c r="BN57" s="4794">
        <f t="shared" si="54"/>
        <v>0</v>
      </c>
      <c r="BO57" s="4794">
        <f t="shared" si="55"/>
        <v>0</v>
      </c>
      <c r="BP57" s="4794">
        <f t="shared" si="56"/>
        <v>0</v>
      </c>
      <c r="BQ57" s="4794">
        <f t="shared" si="57"/>
        <v>0</v>
      </c>
      <c r="BR57" s="4794">
        <f t="shared" si="58"/>
        <v>0</v>
      </c>
      <c r="BS57" s="4794">
        <f t="shared" si="59"/>
        <v>0</v>
      </c>
      <c r="BT57" s="4794">
        <f t="shared" si="60"/>
        <v>0</v>
      </c>
      <c r="BU57" s="4794">
        <f t="shared" si="61"/>
        <v>0</v>
      </c>
      <c r="BV57" s="4794">
        <f t="shared" si="62"/>
        <v>0</v>
      </c>
      <c r="BW57" s="4794">
        <f t="shared" si="63"/>
        <v>0</v>
      </c>
      <c r="BX57" s="4794">
        <f t="shared" si="64"/>
        <v>0</v>
      </c>
      <c r="BY57" s="4794">
        <f t="shared" si="65"/>
        <v>0</v>
      </c>
    </row>
    <row r="58" spans="1:77" ht="24">
      <c r="A58" s="2699">
        <v>15</v>
      </c>
      <c r="B58" s="2725">
        <v>207</v>
      </c>
      <c r="C58" s="2726" t="s">
        <v>313</v>
      </c>
      <c r="D58" s="2723" t="s">
        <v>415</v>
      </c>
      <c r="E58" s="2816">
        <f>+'11.3. ДА Базова година'!F63</f>
        <v>0</v>
      </c>
      <c r="F58" s="2792">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155">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155">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155">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155">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793">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738">
        <f>+'11.3. ДА Базова година'!J63</f>
        <v>0</v>
      </c>
      <c r="M58" s="2792">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155">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155">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155">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155">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793">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738">
        <f>+'11.3. ДА Базова година'!N63</f>
        <v>0</v>
      </c>
      <c r="T58" s="2792">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155">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155">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155">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155">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793">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738">
        <f>+'11.3. ДА Базова година'!R63</f>
        <v>0</v>
      </c>
      <c r="AA58" s="2792">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155">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155">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155">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155">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793">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738">
        <f>+'11.3. ДА Базова година'!V63</f>
        <v>0</v>
      </c>
      <c r="AH58" s="2792">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155">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155">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155">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155">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793">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681"/>
      <c r="AO58" s="2719"/>
      <c r="AP58" s="4775"/>
      <c r="AQ58" s="4794">
        <f t="shared" si="31"/>
        <v>0</v>
      </c>
      <c r="AR58" s="4794">
        <f t="shared" si="32"/>
        <v>0</v>
      </c>
      <c r="AS58" s="4794">
        <f t="shared" si="33"/>
        <v>0</v>
      </c>
      <c r="AT58" s="4794">
        <f t="shared" si="34"/>
        <v>0</v>
      </c>
      <c r="AU58" s="4794">
        <f t="shared" si="35"/>
        <v>0</v>
      </c>
      <c r="AV58" s="4794">
        <f t="shared" si="36"/>
        <v>0</v>
      </c>
      <c r="AW58" s="4794">
        <f t="shared" si="37"/>
        <v>0</v>
      </c>
      <c r="AX58" s="4794">
        <f t="shared" si="38"/>
        <v>0</v>
      </c>
      <c r="AY58" s="4794">
        <f t="shared" si="39"/>
        <v>0</v>
      </c>
      <c r="AZ58" s="4794">
        <f t="shared" si="40"/>
        <v>0</v>
      </c>
      <c r="BA58" s="4794">
        <f t="shared" si="41"/>
        <v>0</v>
      </c>
      <c r="BB58" s="4794">
        <f t="shared" si="42"/>
        <v>0</v>
      </c>
      <c r="BC58" s="4794">
        <f t="shared" si="43"/>
        <v>0</v>
      </c>
      <c r="BD58" s="4794">
        <f t="shared" si="44"/>
        <v>0</v>
      </c>
      <c r="BE58" s="4794">
        <f t="shared" si="45"/>
        <v>0</v>
      </c>
      <c r="BF58" s="4794">
        <f t="shared" si="46"/>
        <v>0</v>
      </c>
      <c r="BG58" s="4794">
        <f t="shared" si="47"/>
        <v>0</v>
      </c>
      <c r="BH58" s="4794">
        <f t="shared" si="48"/>
        <v>0</v>
      </c>
      <c r="BI58" s="4794">
        <f t="shared" si="49"/>
        <v>0</v>
      </c>
      <c r="BJ58" s="4794">
        <f t="shared" si="50"/>
        <v>0</v>
      </c>
      <c r="BK58" s="4794">
        <f t="shared" si="51"/>
        <v>0</v>
      </c>
      <c r="BL58" s="4794">
        <f t="shared" si="52"/>
        <v>0</v>
      </c>
      <c r="BM58" s="4794">
        <f t="shared" si="53"/>
        <v>0</v>
      </c>
      <c r="BN58" s="4794">
        <f t="shared" si="54"/>
        <v>0</v>
      </c>
      <c r="BO58" s="4794">
        <f t="shared" si="55"/>
        <v>0</v>
      </c>
      <c r="BP58" s="4794">
        <f t="shared" si="56"/>
        <v>0</v>
      </c>
      <c r="BQ58" s="4794">
        <f t="shared" si="57"/>
        <v>0</v>
      </c>
      <c r="BR58" s="4794">
        <f t="shared" si="58"/>
        <v>0</v>
      </c>
      <c r="BS58" s="4794">
        <f t="shared" si="59"/>
        <v>0</v>
      </c>
      <c r="BT58" s="4794">
        <f t="shared" si="60"/>
        <v>0</v>
      </c>
      <c r="BU58" s="4794">
        <f t="shared" si="61"/>
        <v>0</v>
      </c>
      <c r="BV58" s="4794">
        <f t="shared" si="62"/>
        <v>0</v>
      </c>
      <c r="BW58" s="4794">
        <f t="shared" si="63"/>
        <v>0</v>
      </c>
      <c r="BX58" s="4794">
        <f t="shared" si="64"/>
        <v>0</v>
      </c>
      <c r="BY58" s="4794">
        <f t="shared" si="65"/>
        <v>0</v>
      </c>
    </row>
    <row r="59" spans="1:77" ht="13.5" thickBot="1">
      <c r="A59" s="2699">
        <v>16</v>
      </c>
      <c r="B59" s="2727">
        <v>219</v>
      </c>
      <c r="C59" s="2726">
        <v>0.1</v>
      </c>
      <c r="D59" s="2728" t="s">
        <v>216</v>
      </c>
      <c r="E59" s="2816">
        <f>+'11.3. ДА Базова година'!F64</f>
        <v>0</v>
      </c>
      <c r="F59" s="2792">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155">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155">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155">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155">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793">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739">
        <f>+'11.3. ДА Базова година'!J64</f>
        <v>0</v>
      </c>
      <c r="M59" s="2792">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155">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155">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155">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155">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793">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739">
        <f>+'11.3. ДА Базова година'!N64</f>
        <v>0</v>
      </c>
      <c r="T59" s="2792">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155">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155">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155">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155">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793">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739">
        <f>+'11.3. ДА Базова година'!R64</f>
        <v>0</v>
      </c>
      <c r="AA59" s="2792">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155">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155">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155">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155">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793">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739">
        <f>+'11.3. ДА Базова година'!V64</f>
        <v>0</v>
      </c>
      <c r="AH59" s="2792">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155">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155">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155">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155">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793">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681"/>
      <c r="AO59" s="2719"/>
      <c r="AP59" s="4775"/>
      <c r="AQ59" s="4794">
        <f t="shared" si="31"/>
        <v>0</v>
      </c>
      <c r="AR59" s="4794">
        <f t="shared" si="32"/>
        <v>0</v>
      </c>
      <c r="AS59" s="4794">
        <f t="shared" si="33"/>
        <v>0</v>
      </c>
      <c r="AT59" s="4794">
        <f t="shared" si="34"/>
        <v>0</v>
      </c>
      <c r="AU59" s="4794">
        <f t="shared" si="35"/>
        <v>0</v>
      </c>
      <c r="AV59" s="4794">
        <f t="shared" si="36"/>
        <v>0</v>
      </c>
      <c r="AW59" s="4794">
        <f t="shared" si="37"/>
        <v>0</v>
      </c>
      <c r="AX59" s="4794">
        <f t="shared" si="38"/>
        <v>0</v>
      </c>
      <c r="AY59" s="4794">
        <f t="shared" si="39"/>
        <v>0</v>
      </c>
      <c r="AZ59" s="4794">
        <f t="shared" si="40"/>
        <v>0</v>
      </c>
      <c r="BA59" s="4794">
        <f t="shared" si="41"/>
        <v>0</v>
      </c>
      <c r="BB59" s="4794">
        <f t="shared" si="42"/>
        <v>0</v>
      </c>
      <c r="BC59" s="4794">
        <f t="shared" si="43"/>
        <v>0</v>
      </c>
      <c r="BD59" s="4794">
        <f t="shared" si="44"/>
        <v>0</v>
      </c>
      <c r="BE59" s="4794">
        <f t="shared" si="45"/>
        <v>0</v>
      </c>
      <c r="BF59" s="4794">
        <f t="shared" si="46"/>
        <v>0</v>
      </c>
      <c r="BG59" s="4794">
        <f t="shared" si="47"/>
        <v>0</v>
      </c>
      <c r="BH59" s="4794">
        <f t="shared" si="48"/>
        <v>0</v>
      </c>
      <c r="BI59" s="4794">
        <f t="shared" si="49"/>
        <v>0</v>
      </c>
      <c r="BJ59" s="4794">
        <f t="shared" si="50"/>
        <v>0</v>
      </c>
      <c r="BK59" s="4794">
        <f t="shared" si="51"/>
        <v>0</v>
      </c>
      <c r="BL59" s="4794">
        <f t="shared" si="52"/>
        <v>0</v>
      </c>
      <c r="BM59" s="4794">
        <f t="shared" si="53"/>
        <v>0</v>
      </c>
      <c r="BN59" s="4794">
        <f t="shared" si="54"/>
        <v>0</v>
      </c>
      <c r="BO59" s="4794">
        <f t="shared" si="55"/>
        <v>0</v>
      </c>
      <c r="BP59" s="4794">
        <f t="shared" si="56"/>
        <v>0</v>
      </c>
      <c r="BQ59" s="4794">
        <f t="shared" si="57"/>
        <v>0</v>
      </c>
      <c r="BR59" s="4794">
        <f t="shared" si="58"/>
        <v>0</v>
      </c>
      <c r="BS59" s="4794">
        <f t="shared" si="59"/>
        <v>0</v>
      </c>
      <c r="BT59" s="4794">
        <f t="shared" si="60"/>
        <v>0</v>
      </c>
      <c r="BU59" s="4794">
        <f t="shared" si="61"/>
        <v>0</v>
      </c>
      <c r="BV59" s="4794">
        <f t="shared" si="62"/>
        <v>0</v>
      </c>
      <c r="BW59" s="4794">
        <f t="shared" si="63"/>
        <v>0</v>
      </c>
      <c r="BX59" s="4794">
        <f t="shared" si="64"/>
        <v>0</v>
      </c>
      <c r="BY59" s="4794">
        <f t="shared" si="65"/>
        <v>0</v>
      </c>
    </row>
    <row r="60" spans="1:77" ht="13.5" thickBot="1">
      <c r="A60" s="3951" t="s">
        <v>219</v>
      </c>
      <c r="B60" s="2707"/>
      <c r="C60" s="2707"/>
      <c r="D60" s="2670" t="s">
        <v>220</v>
      </c>
      <c r="E60" s="2675">
        <f t="shared" ref="E60" si="85">SUM(E61:E84)-E63-E69</f>
        <v>6625.5000000000009</v>
      </c>
      <c r="F60" s="2672">
        <f t="shared" ref="F60:Z60" si="86">SUM(F61:F84)-F63-F69</f>
        <v>7358.5712571866643</v>
      </c>
      <c r="G60" s="2673">
        <f t="shared" si="86"/>
        <v>8121.8229049139363</v>
      </c>
      <c r="H60" s="2673">
        <f t="shared" si="86"/>
        <v>8902.8864067700433</v>
      </c>
      <c r="I60" s="2673">
        <f t="shared" si="86"/>
        <v>9712.1651858242712</v>
      </c>
      <c r="J60" s="2673">
        <f t="shared" si="86"/>
        <v>10566.145679548994</v>
      </c>
      <c r="K60" s="2674">
        <f t="shared" si="86"/>
        <v>11450.957555083267</v>
      </c>
      <c r="L60" s="2675">
        <f t="shared" si="86"/>
        <v>2742</v>
      </c>
      <c r="M60" s="2672">
        <f t="shared" si="86"/>
        <v>2946.8823112303567</v>
      </c>
      <c r="N60" s="2673">
        <f t="shared" si="86"/>
        <v>3153.6950953212654</v>
      </c>
      <c r="O60" s="2673">
        <f t="shared" si="86"/>
        <v>3362.3624543454839</v>
      </c>
      <c r="P60" s="2673">
        <f t="shared" si="86"/>
        <v>3572.9458233008663</v>
      </c>
      <c r="Q60" s="2673">
        <f t="shared" si="86"/>
        <v>3785.3001485783288</v>
      </c>
      <c r="R60" s="2674">
        <f t="shared" si="86"/>
        <v>3999.0565513822271</v>
      </c>
      <c r="S60" s="2675">
        <f t="shared" si="86"/>
        <v>2304</v>
      </c>
      <c r="T60" s="2672">
        <f t="shared" si="86"/>
        <v>2390.7864315829829</v>
      </c>
      <c r="U60" s="2673">
        <f t="shared" si="86"/>
        <v>2483.5119997648003</v>
      </c>
      <c r="V60" s="2673">
        <f t="shared" si="86"/>
        <v>2583.6211388844745</v>
      </c>
      <c r="W60" s="2673">
        <f t="shared" si="86"/>
        <v>2690.098990874857</v>
      </c>
      <c r="X60" s="2673">
        <f t="shared" si="86"/>
        <v>2803.8541718726792</v>
      </c>
      <c r="Y60" s="2674">
        <f t="shared" si="86"/>
        <v>2924.1258935345018</v>
      </c>
      <c r="Z60" s="2675">
        <f t="shared" si="86"/>
        <v>0</v>
      </c>
      <c r="AA60" s="2672">
        <f t="shared" ref="AA60:AM60" si="87">SUM(AA61:AA84)-AA63-AA69</f>
        <v>0</v>
      </c>
      <c r="AB60" s="2673">
        <f t="shared" si="87"/>
        <v>0</v>
      </c>
      <c r="AC60" s="2673">
        <f t="shared" si="87"/>
        <v>0</v>
      </c>
      <c r="AD60" s="2673">
        <f t="shared" si="87"/>
        <v>0</v>
      </c>
      <c r="AE60" s="2673">
        <f t="shared" si="87"/>
        <v>0</v>
      </c>
      <c r="AF60" s="2674">
        <f t="shared" si="87"/>
        <v>0</v>
      </c>
      <c r="AG60" s="2675">
        <f t="shared" si="87"/>
        <v>0</v>
      </c>
      <c r="AH60" s="2672">
        <f t="shared" si="87"/>
        <v>0</v>
      </c>
      <c r="AI60" s="2673">
        <f t="shared" si="87"/>
        <v>0</v>
      </c>
      <c r="AJ60" s="2673">
        <f t="shared" si="87"/>
        <v>0</v>
      </c>
      <c r="AK60" s="2673">
        <f t="shared" si="87"/>
        <v>0</v>
      </c>
      <c r="AL60" s="2673">
        <f t="shared" si="87"/>
        <v>0</v>
      </c>
      <c r="AM60" s="2674">
        <f t="shared" si="87"/>
        <v>0</v>
      </c>
      <c r="AN60" s="2676"/>
      <c r="AO60" s="2708"/>
      <c r="AP60" s="4775"/>
      <c r="AQ60" s="4794">
        <f t="shared" si="31"/>
        <v>3387.5643588655462</v>
      </c>
      <c r="AR60" s="4794">
        <f t="shared" si="32"/>
        <v>3762.3777410033922</v>
      </c>
      <c r="AS60" s="4794">
        <f t="shared" si="33"/>
        <v>4152.6221117959822</v>
      </c>
      <c r="AT60" s="4794">
        <f t="shared" si="34"/>
        <v>4551.9735389936977</v>
      </c>
      <c r="AU60" s="4794">
        <f t="shared" si="35"/>
        <v>4965.7512083485126</v>
      </c>
      <c r="AV60" s="4794">
        <f t="shared" si="36"/>
        <v>5402.3845014899016</v>
      </c>
      <c r="AW60" s="4794">
        <f t="shared" si="37"/>
        <v>5854.7816298365742</v>
      </c>
      <c r="AX60" s="4794">
        <f t="shared" si="38"/>
        <v>1401.9623382400312</v>
      </c>
      <c r="AY60" s="4794">
        <f t="shared" si="39"/>
        <v>1506.7170005728292</v>
      </c>
      <c r="AZ60" s="4794">
        <f t="shared" si="40"/>
        <v>1612.4586980060974</v>
      </c>
      <c r="BA60" s="4794">
        <f t="shared" si="41"/>
        <v>1719.1486245458368</v>
      </c>
      <c r="BB60" s="4794">
        <f t="shared" si="42"/>
        <v>1826.8181914076715</v>
      </c>
      <c r="BC60" s="4794">
        <f t="shared" si="43"/>
        <v>1935.3932338589391</v>
      </c>
      <c r="BD60" s="4794">
        <f t="shared" si="44"/>
        <v>2044.685147166281</v>
      </c>
      <c r="BE60" s="4794">
        <f t="shared" si="45"/>
        <v>1178.0164942760873</v>
      </c>
      <c r="BF60" s="4794">
        <f t="shared" si="46"/>
        <v>1222.3896921424578</v>
      </c>
      <c r="BG60" s="4794">
        <f t="shared" si="47"/>
        <v>1269.7995223331272</v>
      </c>
      <c r="BH60" s="4794">
        <f t="shared" si="48"/>
        <v>1320.9845123985594</v>
      </c>
      <c r="BI60" s="4794">
        <f t="shared" si="49"/>
        <v>1375.4257736484547</v>
      </c>
      <c r="BJ60" s="4794">
        <f t="shared" si="50"/>
        <v>1433.5878741366475</v>
      </c>
      <c r="BK60" s="4794">
        <f t="shared" si="51"/>
        <v>1495.0818289598287</v>
      </c>
      <c r="BL60" s="4794">
        <f t="shared" si="52"/>
        <v>0</v>
      </c>
      <c r="BM60" s="4794">
        <f t="shared" si="53"/>
        <v>0</v>
      </c>
      <c r="BN60" s="4794">
        <f t="shared" si="54"/>
        <v>0</v>
      </c>
      <c r="BO60" s="4794">
        <f t="shared" si="55"/>
        <v>0</v>
      </c>
      <c r="BP60" s="4794">
        <f t="shared" si="56"/>
        <v>0</v>
      </c>
      <c r="BQ60" s="4794">
        <f t="shared" si="57"/>
        <v>0</v>
      </c>
      <c r="BR60" s="4794">
        <f t="shared" si="58"/>
        <v>0</v>
      </c>
      <c r="BS60" s="4794">
        <f t="shared" si="59"/>
        <v>0</v>
      </c>
      <c r="BT60" s="4794">
        <f t="shared" si="60"/>
        <v>0</v>
      </c>
      <c r="BU60" s="4794">
        <f t="shared" si="61"/>
        <v>0</v>
      </c>
      <c r="BV60" s="4794">
        <f t="shared" si="62"/>
        <v>0</v>
      </c>
      <c r="BW60" s="4794">
        <f t="shared" si="63"/>
        <v>0</v>
      </c>
      <c r="BX60" s="4794">
        <f t="shared" si="64"/>
        <v>0</v>
      </c>
      <c r="BY60" s="4794">
        <f t="shared" si="65"/>
        <v>0</v>
      </c>
    </row>
    <row r="61" spans="1:77">
      <c r="A61" s="2677">
        <v>1</v>
      </c>
      <c r="B61" s="2677">
        <v>20101</v>
      </c>
      <c r="C61" s="2726">
        <v>0</v>
      </c>
      <c r="D61" s="2729" t="s">
        <v>556</v>
      </c>
      <c r="E61" s="4738">
        <f>+'11.3. ДА Базова година'!H41</f>
        <v>0</v>
      </c>
      <c r="F61" s="2780">
        <f t="shared" ref="F61:K62" si="88">E61+F36</f>
        <v>0</v>
      </c>
      <c r="G61" s="2778">
        <f t="shared" si="88"/>
        <v>0</v>
      </c>
      <c r="H61" s="2778">
        <f t="shared" si="88"/>
        <v>0</v>
      </c>
      <c r="I61" s="2778">
        <f t="shared" si="88"/>
        <v>0</v>
      </c>
      <c r="J61" s="2778">
        <f t="shared" si="88"/>
        <v>0</v>
      </c>
      <c r="K61" s="2779">
        <f t="shared" si="88"/>
        <v>0</v>
      </c>
      <c r="L61" s="4738">
        <f>+'11.3. ДА Базова година'!L41</f>
        <v>0</v>
      </c>
      <c r="M61" s="2780">
        <f t="shared" ref="M61:R62" si="89">L61+M36</f>
        <v>0</v>
      </c>
      <c r="N61" s="2778">
        <f t="shared" si="89"/>
        <v>0</v>
      </c>
      <c r="O61" s="2778">
        <f t="shared" si="89"/>
        <v>0</v>
      </c>
      <c r="P61" s="2778">
        <f t="shared" si="89"/>
        <v>0</v>
      </c>
      <c r="Q61" s="2778">
        <f t="shared" si="89"/>
        <v>0</v>
      </c>
      <c r="R61" s="2779">
        <f t="shared" si="89"/>
        <v>0</v>
      </c>
      <c r="S61" s="4738">
        <f>+'11.3. ДА Базова година'!P41</f>
        <v>0</v>
      </c>
      <c r="T61" s="2780">
        <f t="shared" ref="T61:Y62" si="90">S61+T36</f>
        <v>0</v>
      </c>
      <c r="U61" s="2778">
        <f t="shared" si="90"/>
        <v>0</v>
      </c>
      <c r="V61" s="2778">
        <f t="shared" si="90"/>
        <v>0</v>
      </c>
      <c r="W61" s="2778">
        <f t="shared" si="90"/>
        <v>0</v>
      </c>
      <c r="X61" s="2778">
        <f t="shared" si="90"/>
        <v>0</v>
      </c>
      <c r="Y61" s="2779">
        <f t="shared" si="90"/>
        <v>0</v>
      </c>
      <c r="Z61" s="4738">
        <f>+'11.3. ДА Базова година'!T41</f>
        <v>0</v>
      </c>
      <c r="AA61" s="2780">
        <f t="shared" ref="AA61:AF62" si="91">Z61+AA36</f>
        <v>0</v>
      </c>
      <c r="AB61" s="2778">
        <f t="shared" si="91"/>
        <v>0</v>
      </c>
      <c r="AC61" s="2778">
        <f t="shared" si="91"/>
        <v>0</v>
      </c>
      <c r="AD61" s="2778">
        <f t="shared" si="91"/>
        <v>0</v>
      </c>
      <c r="AE61" s="2778">
        <f t="shared" si="91"/>
        <v>0</v>
      </c>
      <c r="AF61" s="2779">
        <f t="shared" si="91"/>
        <v>0</v>
      </c>
      <c r="AG61" s="4738">
        <f>+'11.3. ДА Базова година'!X41</f>
        <v>0</v>
      </c>
      <c r="AH61" s="2780">
        <f t="shared" ref="AH61:AM62" si="92">AG61+AH36</f>
        <v>0</v>
      </c>
      <c r="AI61" s="2778">
        <f t="shared" si="92"/>
        <v>0</v>
      </c>
      <c r="AJ61" s="2778">
        <f t="shared" si="92"/>
        <v>0</v>
      </c>
      <c r="AK61" s="2778">
        <f t="shared" si="92"/>
        <v>0</v>
      </c>
      <c r="AL61" s="2778">
        <f t="shared" si="92"/>
        <v>0</v>
      </c>
      <c r="AM61" s="2779">
        <f t="shared" si="92"/>
        <v>0</v>
      </c>
      <c r="AN61" s="2681"/>
      <c r="AO61" s="2682"/>
      <c r="AP61" s="4775"/>
      <c r="AQ61" s="4794">
        <f t="shared" si="31"/>
        <v>0</v>
      </c>
      <c r="AR61" s="4794">
        <f t="shared" si="32"/>
        <v>0</v>
      </c>
      <c r="AS61" s="4794">
        <f t="shared" si="33"/>
        <v>0</v>
      </c>
      <c r="AT61" s="4794">
        <f t="shared" si="34"/>
        <v>0</v>
      </c>
      <c r="AU61" s="4794">
        <f t="shared" si="35"/>
        <v>0</v>
      </c>
      <c r="AV61" s="4794">
        <f t="shared" si="36"/>
        <v>0</v>
      </c>
      <c r="AW61" s="4794">
        <f t="shared" si="37"/>
        <v>0</v>
      </c>
      <c r="AX61" s="4794">
        <f t="shared" si="38"/>
        <v>0</v>
      </c>
      <c r="AY61" s="4794">
        <f t="shared" si="39"/>
        <v>0</v>
      </c>
      <c r="AZ61" s="4794">
        <f t="shared" si="40"/>
        <v>0</v>
      </c>
      <c r="BA61" s="4794">
        <f t="shared" si="41"/>
        <v>0</v>
      </c>
      <c r="BB61" s="4794">
        <f t="shared" si="42"/>
        <v>0</v>
      </c>
      <c r="BC61" s="4794">
        <f t="shared" si="43"/>
        <v>0</v>
      </c>
      <c r="BD61" s="4794">
        <f t="shared" si="44"/>
        <v>0</v>
      </c>
      <c r="BE61" s="4794">
        <f t="shared" si="45"/>
        <v>0</v>
      </c>
      <c r="BF61" s="4794">
        <f t="shared" si="46"/>
        <v>0</v>
      </c>
      <c r="BG61" s="4794">
        <f t="shared" si="47"/>
        <v>0</v>
      </c>
      <c r="BH61" s="4794">
        <f t="shared" si="48"/>
        <v>0</v>
      </c>
      <c r="BI61" s="4794">
        <f t="shared" si="49"/>
        <v>0</v>
      </c>
      <c r="BJ61" s="4794">
        <f t="shared" si="50"/>
        <v>0</v>
      </c>
      <c r="BK61" s="4794">
        <f t="shared" si="51"/>
        <v>0</v>
      </c>
      <c r="BL61" s="4794">
        <f t="shared" si="52"/>
        <v>0</v>
      </c>
      <c r="BM61" s="4794">
        <f t="shared" si="53"/>
        <v>0</v>
      </c>
      <c r="BN61" s="4794">
        <f t="shared" si="54"/>
        <v>0</v>
      </c>
      <c r="BO61" s="4794">
        <f t="shared" si="55"/>
        <v>0</v>
      </c>
      <c r="BP61" s="4794">
        <f t="shared" si="56"/>
        <v>0</v>
      </c>
      <c r="BQ61" s="4794">
        <f t="shared" si="57"/>
        <v>0</v>
      </c>
      <c r="BR61" s="4794">
        <f t="shared" si="58"/>
        <v>0</v>
      </c>
      <c r="BS61" s="4794">
        <f t="shared" si="59"/>
        <v>0</v>
      </c>
      <c r="BT61" s="4794">
        <f t="shared" si="60"/>
        <v>0</v>
      </c>
      <c r="BU61" s="4794">
        <f t="shared" si="61"/>
        <v>0</v>
      </c>
      <c r="BV61" s="4794">
        <f t="shared" si="62"/>
        <v>0</v>
      </c>
      <c r="BW61" s="4794">
        <f t="shared" si="63"/>
        <v>0</v>
      </c>
      <c r="BX61" s="4794">
        <f t="shared" si="64"/>
        <v>0</v>
      </c>
      <c r="BY61" s="4794">
        <f t="shared" si="65"/>
        <v>0</v>
      </c>
    </row>
    <row r="62" spans="1:77">
      <c r="A62" s="2683">
        <v>2</v>
      </c>
      <c r="B62" s="2683">
        <v>20201</v>
      </c>
      <c r="C62" s="2730">
        <v>0.03</v>
      </c>
      <c r="D62" s="2731" t="s">
        <v>425</v>
      </c>
      <c r="E62" s="2816">
        <f>+'11.3. ДА Базова година'!H42</f>
        <v>755</v>
      </c>
      <c r="F62" s="1247">
        <f t="shared" si="88"/>
        <v>790.69595630509775</v>
      </c>
      <c r="G62" s="1243">
        <f t="shared" si="88"/>
        <v>828.0079287076951</v>
      </c>
      <c r="H62" s="1243">
        <f t="shared" si="88"/>
        <v>866.87040882082931</v>
      </c>
      <c r="I62" s="1243">
        <f t="shared" si="88"/>
        <v>907.02647347485015</v>
      </c>
      <c r="J62" s="1243">
        <f t="shared" si="88"/>
        <v>947.83236497988071</v>
      </c>
      <c r="K62" s="1248">
        <f t="shared" si="88"/>
        <v>989.28387805903958</v>
      </c>
      <c r="L62" s="2816">
        <f>+'11.3. ДА Базова година'!L42</f>
        <v>323</v>
      </c>
      <c r="M62" s="1247">
        <f t="shared" si="89"/>
        <v>335.01954771943275</v>
      </c>
      <c r="N62" s="1243">
        <f t="shared" si="89"/>
        <v>347.09889025190029</v>
      </c>
      <c r="O62" s="1243">
        <f t="shared" si="89"/>
        <v>359.25575784956692</v>
      </c>
      <c r="P62" s="1243">
        <f t="shared" si="89"/>
        <v>371.48081796177638</v>
      </c>
      <c r="Q62" s="1243">
        <f t="shared" si="89"/>
        <v>383.73411118862009</v>
      </c>
      <c r="R62" s="1248">
        <f t="shared" si="89"/>
        <v>396.01685182804562</v>
      </c>
      <c r="S62" s="2816">
        <f>+'11.3. ДА Базова година'!P42</f>
        <v>254</v>
      </c>
      <c r="T62" s="1247">
        <f t="shared" si="90"/>
        <v>259.03449597546955</v>
      </c>
      <c r="U62" s="1243">
        <f t="shared" si="90"/>
        <v>264.19318104040462</v>
      </c>
      <c r="V62" s="1243">
        <f t="shared" si="90"/>
        <v>269.52383332960386</v>
      </c>
      <c r="W62" s="1243">
        <f t="shared" si="90"/>
        <v>274.99270856337358</v>
      </c>
      <c r="X62" s="1243">
        <f t="shared" si="90"/>
        <v>280.53352383149928</v>
      </c>
      <c r="Y62" s="1248">
        <f t="shared" si="90"/>
        <v>286.14927011291491</v>
      </c>
      <c r="Z62" s="2816">
        <f>+'11.3. ДА Базова година'!T42</f>
        <v>0</v>
      </c>
      <c r="AA62" s="1247">
        <f t="shared" si="91"/>
        <v>0</v>
      </c>
      <c r="AB62" s="1243">
        <f t="shared" si="91"/>
        <v>0</v>
      </c>
      <c r="AC62" s="1243">
        <f t="shared" si="91"/>
        <v>0</v>
      </c>
      <c r="AD62" s="1243">
        <f t="shared" si="91"/>
        <v>0</v>
      </c>
      <c r="AE62" s="1243">
        <f t="shared" si="91"/>
        <v>0</v>
      </c>
      <c r="AF62" s="1248">
        <f t="shared" si="91"/>
        <v>0</v>
      </c>
      <c r="AG62" s="2816">
        <f>+'11.3. ДА Базова година'!X42</f>
        <v>0</v>
      </c>
      <c r="AH62" s="1247">
        <f t="shared" si="92"/>
        <v>0</v>
      </c>
      <c r="AI62" s="1243">
        <f t="shared" si="92"/>
        <v>0</v>
      </c>
      <c r="AJ62" s="1243">
        <f t="shared" si="92"/>
        <v>0</v>
      </c>
      <c r="AK62" s="1243">
        <f t="shared" si="92"/>
        <v>0</v>
      </c>
      <c r="AL62" s="1243">
        <f t="shared" si="92"/>
        <v>0</v>
      </c>
      <c r="AM62" s="1248">
        <f t="shared" si="92"/>
        <v>0</v>
      </c>
      <c r="AN62" s="2681"/>
      <c r="AO62" s="2687"/>
      <c r="AP62" s="4775"/>
      <c r="AQ62" s="4794">
        <f t="shared" si="31"/>
        <v>386.02537030314494</v>
      </c>
      <c r="AR62" s="4794">
        <f t="shared" si="32"/>
        <v>404.27642295347641</v>
      </c>
      <c r="AS62" s="4794">
        <f t="shared" si="33"/>
        <v>423.3537315143418</v>
      </c>
      <c r="AT62" s="4794">
        <f t="shared" si="34"/>
        <v>443.22380207933679</v>
      </c>
      <c r="AU62" s="4794">
        <f t="shared" si="35"/>
        <v>463.75527191772812</v>
      </c>
      <c r="AV62" s="4794">
        <f t="shared" si="36"/>
        <v>484.61899294922398</v>
      </c>
      <c r="AW62" s="4794">
        <f t="shared" si="37"/>
        <v>505.81281504989676</v>
      </c>
      <c r="AX62" s="4794">
        <f t="shared" si="38"/>
        <v>165.14727762637858</v>
      </c>
      <c r="AY62" s="4794">
        <f t="shared" si="39"/>
        <v>171.29277479097507</v>
      </c>
      <c r="AZ62" s="4794">
        <f t="shared" si="40"/>
        <v>177.46884455801387</v>
      </c>
      <c r="BA62" s="4794">
        <f t="shared" si="41"/>
        <v>183.68455226147822</v>
      </c>
      <c r="BB62" s="4794">
        <f t="shared" si="42"/>
        <v>189.93512624398664</v>
      </c>
      <c r="BC62" s="4794">
        <f t="shared" si="43"/>
        <v>196.20013558878844</v>
      </c>
      <c r="BD62" s="4794">
        <f t="shared" si="44"/>
        <v>202.48020115656556</v>
      </c>
      <c r="BE62" s="4794">
        <f t="shared" si="45"/>
        <v>129.8681378238395</v>
      </c>
      <c r="BF62" s="4794">
        <f t="shared" si="46"/>
        <v>132.44223474201212</v>
      </c>
      <c r="BG62" s="4794">
        <f t="shared" si="47"/>
        <v>135.07982853336159</v>
      </c>
      <c r="BH62" s="4794">
        <f t="shared" si="48"/>
        <v>137.80534777030923</v>
      </c>
      <c r="BI62" s="4794">
        <f t="shared" si="49"/>
        <v>140.60153927661074</v>
      </c>
      <c r="BJ62" s="4794">
        <f t="shared" si="50"/>
        <v>143.43451313841146</v>
      </c>
      <c r="BK62" s="4794">
        <f t="shared" si="51"/>
        <v>146.30579861895711</v>
      </c>
      <c r="BL62" s="4794">
        <f t="shared" si="52"/>
        <v>0</v>
      </c>
      <c r="BM62" s="4794">
        <f t="shared" si="53"/>
        <v>0</v>
      </c>
      <c r="BN62" s="4794">
        <f t="shared" si="54"/>
        <v>0</v>
      </c>
      <c r="BO62" s="4794">
        <f t="shared" si="55"/>
        <v>0</v>
      </c>
      <c r="BP62" s="4794">
        <f t="shared" si="56"/>
        <v>0</v>
      </c>
      <c r="BQ62" s="4794">
        <f t="shared" si="57"/>
        <v>0</v>
      </c>
      <c r="BR62" s="4794">
        <f t="shared" si="58"/>
        <v>0</v>
      </c>
      <c r="BS62" s="4794">
        <f t="shared" si="59"/>
        <v>0</v>
      </c>
      <c r="BT62" s="4794">
        <f t="shared" si="60"/>
        <v>0</v>
      </c>
      <c r="BU62" s="4794">
        <f t="shared" si="61"/>
        <v>0</v>
      </c>
      <c r="BV62" s="4794">
        <f t="shared" si="62"/>
        <v>0</v>
      </c>
      <c r="BW62" s="4794">
        <f t="shared" si="63"/>
        <v>0</v>
      </c>
      <c r="BX62" s="4794">
        <f t="shared" si="64"/>
        <v>0</v>
      </c>
      <c r="BY62" s="4794">
        <f t="shared" si="65"/>
        <v>0</v>
      </c>
    </row>
    <row r="63" spans="1:77" ht="24">
      <c r="A63" s="2683">
        <v>3</v>
      </c>
      <c r="B63" s="2684">
        <v>203</v>
      </c>
      <c r="C63" s="2679"/>
      <c r="D63" s="2715" t="s">
        <v>405</v>
      </c>
      <c r="E63" s="4361">
        <f>SUM(E64:E67)</f>
        <v>2460.3000000000002</v>
      </c>
      <c r="F63" s="2782">
        <f t="shared" ref="F63:Y63" si="93">SUM(F64:F67)</f>
        <v>2850.4</v>
      </c>
      <c r="G63" s="2783">
        <f t="shared" si="93"/>
        <v>3253</v>
      </c>
      <c r="H63" s="2783">
        <f t="shared" si="93"/>
        <v>3663.0999999999995</v>
      </c>
      <c r="I63" s="2783">
        <f t="shared" si="93"/>
        <v>4083.2</v>
      </c>
      <c r="J63" s="2783">
        <f t="shared" si="93"/>
        <v>4518.2999999999993</v>
      </c>
      <c r="K63" s="2783">
        <f t="shared" si="93"/>
        <v>4963.3999999999996</v>
      </c>
      <c r="L63" s="4361">
        <f>SUM(L64:L67)</f>
        <v>1366</v>
      </c>
      <c r="M63" s="2782">
        <f t="shared" si="93"/>
        <v>1519.4</v>
      </c>
      <c r="N63" s="2783">
        <f t="shared" si="93"/>
        <v>1674.0500000000002</v>
      </c>
      <c r="O63" s="2783">
        <f t="shared" si="93"/>
        <v>1829.9500000000003</v>
      </c>
      <c r="P63" s="2783">
        <f t="shared" si="93"/>
        <v>1986.8500000000004</v>
      </c>
      <c r="Q63" s="2783">
        <f t="shared" si="93"/>
        <v>2144.7500000000005</v>
      </c>
      <c r="R63" s="2783">
        <f t="shared" si="93"/>
        <v>2303.6500000000005</v>
      </c>
      <c r="S63" s="2794">
        <f>SUM(S64:S67)</f>
        <v>486</v>
      </c>
      <c r="T63" s="2782">
        <f t="shared" si="93"/>
        <v>537.70000000000005</v>
      </c>
      <c r="U63" s="2783">
        <f t="shared" si="93"/>
        <v>593.9</v>
      </c>
      <c r="V63" s="2783">
        <f t="shared" si="93"/>
        <v>656.09999999999991</v>
      </c>
      <c r="W63" s="2783">
        <f t="shared" si="93"/>
        <v>722.8</v>
      </c>
      <c r="X63" s="2783">
        <f t="shared" si="93"/>
        <v>795</v>
      </c>
      <c r="Y63" s="2784">
        <f t="shared" si="93"/>
        <v>872.69999999999982</v>
      </c>
      <c r="Z63" s="2794">
        <f>SUM(Z64:Z67)</f>
        <v>0</v>
      </c>
      <c r="AA63" s="2782">
        <f t="shared" ref="AA63:AF63" si="94">SUM(AA64:AA67)</f>
        <v>0</v>
      </c>
      <c r="AB63" s="2783">
        <f t="shared" si="94"/>
        <v>0</v>
      </c>
      <c r="AC63" s="2783">
        <f t="shared" si="94"/>
        <v>0</v>
      </c>
      <c r="AD63" s="2783">
        <f t="shared" si="94"/>
        <v>0</v>
      </c>
      <c r="AE63" s="2783">
        <f t="shared" si="94"/>
        <v>0</v>
      </c>
      <c r="AF63" s="2784">
        <f t="shared" si="94"/>
        <v>0</v>
      </c>
      <c r="AG63" s="2794">
        <f>SUM(AG64:AG67)</f>
        <v>0</v>
      </c>
      <c r="AH63" s="2782">
        <f t="shared" ref="AH63:AM63" si="95">SUM(AH64:AH67)</f>
        <v>0</v>
      </c>
      <c r="AI63" s="2783">
        <f t="shared" si="95"/>
        <v>0</v>
      </c>
      <c r="AJ63" s="2783">
        <f t="shared" si="95"/>
        <v>0</v>
      </c>
      <c r="AK63" s="2783">
        <f t="shared" si="95"/>
        <v>0</v>
      </c>
      <c r="AL63" s="2783">
        <f t="shared" si="95"/>
        <v>0</v>
      </c>
      <c r="AM63" s="2784">
        <f t="shared" si="95"/>
        <v>0</v>
      </c>
      <c r="AN63" s="2681"/>
      <c r="AO63" s="2717"/>
      <c r="AP63" s="4775"/>
      <c r="AQ63" s="4794">
        <f t="shared" si="31"/>
        <v>1257.9314153070566</v>
      </c>
      <c r="AR63" s="4794">
        <f t="shared" si="32"/>
        <v>1457.3863781617013</v>
      </c>
      <c r="AS63" s="4794">
        <f t="shared" si="33"/>
        <v>1663.2324895312988</v>
      </c>
      <c r="AT63" s="4794">
        <f t="shared" si="34"/>
        <v>1872.9132900098678</v>
      </c>
      <c r="AU63" s="4794">
        <f t="shared" si="35"/>
        <v>2087.7070093003995</v>
      </c>
      <c r="AV63" s="4794">
        <f t="shared" si="36"/>
        <v>2310.1701068088737</v>
      </c>
      <c r="AW63" s="4794">
        <f t="shared" si="37"/>
        <v>2537.7461231293105</v>
      </c>
      <c r="AX63" s="4794">
        <f t="shared" si="38"/>
        <v>698.42470971403452</v>
      </c>
      <c r="AY63" s="4794">
        <f t="shared" si="39"/>
        <v>776.85688428953438</v>
      </c>
      <c r="AZ63" s="4794">
        <f t="shared" si="40"/>
        <v>855.92817371652961</v>
      </c>
      <c r="BA63" s="4794">
        <f t="shared" si="41"/>
        <v>935.63857799502023</v>
      </c>
      <c r="BB63" s="4794">
        <f t="shared" si="42"/>
        <v>1015.8602741547069</v>
      </c>
      <c r="BC63" s="4794">
        <f t="shared" si="43"/>
        <v>1096.5932621955899</v>
      </c>
      <c r="BD63" s="4794">
        <f t="shared" si="44"/>
        <v>1177.837542117669</v>
      </c>
      <c r="BE63" s="4794">
        <f t="shared" si="45"/>
        <v>248.4878542613622</v>
      </c>
      <c r="BF63" s="4794">
        <f t="shared" si="46"/>
        <v>274.92164451920672</v>
      </c>
      <c r="BG63" s="4794">
        <f t="shared" si="47"/>
        <v>303.65624824243417</v>
      </c>
      <c r="BH63" s="4794">
        <f t="shared" si="48"/>
        <v>335.45860325283888</v>
      </c>
      <c r="BI63" s="4794">
        <f t="shared" si="49"/>
        <v>369.5617717286267</v>
      </c>
      <c r="BJ63" s="4794">
        <f t="shared" si="50"/>
        <v>406.47704555099369</v>
      </c>
      <c r="BK63" s="4794">
        <f t="shared" si="51"/>
        <v>446.20442471993977</v>
      </c>
      <c r="BL63" s="4794">
        <f t="shared" si="52"/>
        <v>0</v>
      </c>
      <c r="BM63" s="4794">
        <f t="shared" si="53"/>
        <v>0</v>
      </c>
      <c r="BN63" s="4794">
        <f t="shared" si="54"/>
        <v>0</v>
      </c>
      <c r="BO63" s="4794">
        <f t="shared" si="55"/>
        <v>0</v>
      </c>
      <c r="BP63" s="4794">
        <f t="shared" si="56"/>
        <v>0</v>
      </c>
      <c r="BQ63" s="4794">
        <f t="shared" si="57"/>
        <v>0</v>
      </c>
      <c r="BR63" s="4794">
        <f t="shared" si="58"/>
        <v>0</v>
      </c>
      <c r="BS63" s="4794">
        <f t="shared" si="59"/>
        <v>0</v>
      </c>
      <c r="BT63" s="4794">
        <f t="shared" si="60"/>
        <v>0</v>
      </c>
      <c r="BU63" s="4794">
        <f t="shared" si="61"/>
        <v>0</v>
      </c>
      <c r="BV63" s="4794">
        <f t="shared" si="62"/>
        <v>0</v>
      </c>
      <c r="BW63" s="4794">
        <f t="shared" si="63"/>
        <v>0</v>
      </c>
      <c r="BX63" s="4794">
        <f t="shared" si="64"/>
        <v>0</v>
      </c>
      <c r="BY63" s="4794">
        <f t="shared" si="65"/>
        <v>0</v>
      </c>
    </row>
    <row r="64" spans="1:77">
      <c r="A64" s="2683"/>
      <c r="B64" s="2684">
        <v>20301</v>
      </c>
      <c r="C64" s="2690">
        <v>0.1</v>
      </c>
      <c r="D64" s="2718" t="s">
        <v>427</v>
      </c>
      <c r="E64" s="4738">
        <f>+'11.3. ДА Базова година'!H44</f>
        <v>436</v>
      </c>
      <c r="F64" s="1247">
        <f t="shared" ref="F64:K68" si="96">E64+F39</f>
        <v>493.55</v>
      </c>
      <c r="G64" s="1243">
        <f t="shared" si="96"/>
        <v>551.1</v>
      </c>
      <c r="H64" s="1243">
        <f t="shared" si="96"/>
        <v>608.65</v>
      </c>
      <c r="I64" s="1243">
        <f t="shared" si="96"/>
        <v>666.19999999999993</v>
      </c>
      <c r="J64" s="1243">
        <f t="shared" si="96"/>
        <v>723.74999999999989</v>
      </c>
      <c r="K64" s="1248">
        <f t="shared" si="96"/>
        <v>781.29999999999984</v>
      </c>
      <c r="L64" s="2816">
        <f>+'11.3. ДА Базова година'!L44</f>
        <v>65</v>
      </c>
      <c r="M64" s="1247">
        <f t="shared" ref="M64:R68" si="97">L64+M39</f>
        <v>75</v>
      </c>
      <c r="N64" s="1243">
        <f t="shared" si="97"/>
        <v>85</v>
      </c>
      <c r="O64" s="1243">
        <f t="shared" si="97"/>
        <v>95</v>
      </c>
      <c r="P64" s="1243">
        <f t="shared" si="97"/>
        <v>105</v>
      </c>
      <c r="Q64" s="1243">
        <f t="shared" si="97"/>
        <v>115</v>
      </c>
      <c r="R64" s="1248">
        <f t="shared" si="97"/>
        <v>125</v>
      </c>
      <c r="S64" s="2816">
        <f>+'11.3. ДА Базова година'!P44</f>
        <v>186</v>
      </c>
      <c r="T64" s="1247">
        <f t="shared" ref="T64:Y68" si="98">S64+T39</f>
        <v>223.45</v>
      </c>
      <c r="U64" s="1243">
        <f t="shared" si="98"/>
        <v>260.89999999999998</v>
      </c>
      <c r="V64" s="1243">
        <f t="shared" si="98"/>
        <v>298.34999999999997</v>
      </c>
      <c r="W64" s="1243">
        <f t="shared" si="98"/>
        <v>335.79999999999995</v>
      </c>
      <c r="X64" s="1243">
        <f t="shared" si="98"/>
        <v>373.24999999999994</v>
      </c>
      <c r="Y64" s="1248">
        <f t="shared" si="98"/>
        <v>410.69999999999993</v>
      </c>
      <c r="Z64" s="4738">
        <f>+'11.3. ДА Базова година'!T44</f>
        <v>0</v>
      </c>
      <c r="AA64" s="1247">
        <f t="shared" ref="AA64:AF68" si="99">Z64+AA39</f>
        <v>0</v>
      </c>
      <c r="AB64" s="1243">
        <f t="shared" si="99"/>
        <v>0</v>
      </c>
      <c r="AC64" s="1243">
        <f t="shared" si="99"/>
        <v>0</v>
      </c>
      <c r="AD64" s="1243">
        <f t="shared" si="99"/>
        <v>0</v>
      </c>
      <c r="AE64" s="1243">
        <f t="shared" si="99"/>
        <v>0</v>
      </c>
      <c r="AF64" s="1248">
        <f t="shared" si="99"/>
        <v>0</v>
      </c>
      <c r="AG64" s="2816">
        <f>+'11.3. ДА Базова година'!X44</f>
        <v>0</v>
      </c>
      <c r="AH64" s="1247">
        <f t="shared" ref="AH64:AM68" si="100">AG64+AH39</f>
        <v>0</v>
      </c>
      <c r="AI64" s="1243">
        <f t="shared" si="100"/>
        <v>0</v>
      </c>
      <c r="AJ64" s="1243">
        <f t="shared" si="100"/>
        <v>0</v>
      </c>
      <c r="AK64" s="1243">
        <f t="shared" si="100"/>
        <v>0</v>
      </c>
      <c r="AL64" s="1243">
        <f t="shared" si="100"/>
        <v>0</v>
      </c>
      <c r="AM64" s="1248">
        <f t="shared" si="100"/>
        <v>0</v>
      </c>
      <c r="AN64" s="2681"/>
      <c r="AO64" s="2717"/>
      <c r="AP64" s="4775"/>
      <c r="AQ64" s="4794">
        <f t="shared" si="31"/>
        <v>222.92326020155127</v>
      </c>
      <c r="AR64" s="4794">
        <f t="shared" si="32"/>
        <v>252.34810796439365</v>
      </c>
      <c r="AS64" s="4794">
        <f t="shared" si="33"/>
        <v>281.77295572723602</v>
      </c>
      <c r="AT64" s="4794">
        <f t="shared" si="34"/>
        <v>311.1978034900784</v>
      </c>
      <c r="AU64" s="4794">
        <f t="shared" si="35"/>
        <v>340.62265125292072</v>
      </c>
      <c r="AV64" s="4794">
        <f t="shared" si="36"/>
        <v>370.04749901576309</v>
      </c>
      <c r="AW64" s="4794">
        <f t="shared" si="37"/>
        <v>399.47234677860541</v>
      </c>
      <c r="AX64" s="4794">
        <f t="shared" si="38"/>
        <v>33.233972277754205</v>
      </c>
      <c r="AY64" s="4794">
        <f t="shared" si="39"/>
        <v>38.346891089716387</v>
      </c>
      <c r="AZ64" s="4794">
        <f t="shared" si="40"/>
        <v>43.459809901678575</v>
      </c>
      <c r="BA64" s="4794">
        <f t="shared" si="41"/>
        <v>48.572728713640757</v>
      </c>
      <c r="BB64" s="4794">
        <f t="shared" si="42"/>
        <v>53.685647525602946</v>
      </c>
      <c r="BC64" s="4794">
        <f t="shared" si="43"/>
        <v>58.798566337565127</v>
      </c>
      <c r="BD64" s="4794">
        <f t="shared" si="44"/>
        <v>63.911485149527309</v>
      </c>
      <c r="BE64" s="4794">
        <f t="shared" si="45"/>
        <v>95.100289902496641</v>
      </c>
      <c r="BF64" s="4794">
        <f t="shared" si="46"/>
        <v>114.24817085329502</v>
      </c>
      <c r="BG64" s="4794">
        <f t="shared" si="47"/>
        <v>133.39605180409339</v>
      </c>
      <c r="BH64" s="4794">
        <f t="shared" si="48"/>
        <v>152.54393275489178</v>
      </c>
      <c r="BI64" s="4794">
        <f t="shared" si="49"/>
        <v>171.69181370569015</v>
      </c>
      <c r="BJ64" s="4794">
        <f t="shared" si="50"/>
        <v>190.83969465648852</v>
      </c>
      <c r="BK64" s="4794">
        <f t="shared" si="51"/>
        <v>209.98757560728691</v>
      </c>
      <c r="BL64" s="4794">
        <f t="shared" si="52"/>
        <v>0</v>
      </c>
      <c r="BM64" s="4794">
        <f t="shared" si="53"/>
        <v>0</v>
      </c>
      <c r="BN64" s="4794">
        <f t="shared" si="54"/>
        <v>0</v>
      </c>
      <c r="BO64" s="4794">
        <f t="shared" si="55"/>
        <v>0</v>
      </c>
      <c r="BP64" s="4794">
        <f t="shared" si="56"/>
        <v>0</v>
      </c>
      <c r="BQ64" s="4794">
        <f t="shared" si="57"/>
        <v>0</v>
      </c>
      <c r="BR64" s="4794">
        <f t="shared" si="58"/>
        <v>0</v>
      </c>
      <c r="BS64" s="4794">
        <f t="shared" si="59"/>
        <v>0</v>
      </c>
      <c r="BT64" s="4794">
        <f t="shared" si="60"/>
        <v>0</v>
      </c>
      <c r="BU64" s="4794">
        <f t="shared" si="61"/>
        <v>0</v>
      </c>
      <c r="BV64" s="4794">
        <f t="shared" si="62"/>
        <v>0</v>
      </c>
      <c r="BW64" s="4794">
        <f t="shared" si="63"/>
        <v>0</v>
      </c>
      <c r="BX64" s="4794">
        <f t="shared" si="64"/>
        <v>0</v>
      </c>
      <c r="BY64" s="4794">
        <f t="shared" si="65"/>
        <v>0</v>
      </c>
    </row>
    <row r="65" spans="1:77">
      <c r="A65" s="2683"/>
      <c r="B65" s="2684">
        <v>20302</v>
      </c>
      <c r="C65" s="2690">
        <v>0.1</v>
      </c>
      <c r="D65" s="2718" t="s">
        <v>428</v>
      </c>
      <c r="E65" s="4738">
        <f>+'11.3. ДА Базова година'!H45</f>
        <v>103</v>
      </c>
      <c r="F65" s="1247">
        <f t="shared" si="96"/>
        <v>113.05</v>
      </c>
      <c r="G65" s="1243">
        <f t="shared" si="96"/>
        <v>123.1</v>
      </c>
      <c r="H65" s="1243">
        <f t="shared" si="96"/>
        <v>133.15</v>
      </c>
      <c r="I65" s="1243">
        <f t="shared" si="96"/>
        <v>143.20000000000002</v>
      </c>
      <c r="J65" s="1243">
        <f t="shared" si="96"/>
        <v>153.25000000000003</v>
      </c>
      <c r="K65" s="1248">
        <f t="shared" si="96"/>
        <v>163.30000000000004</v>
      </c>
      <c r="L65" s="2816">
        <f>+'11.3. ДА Базова година'!L45</f>
        <v>27</v>
      </c>
      <c r="M65" s="1247">
        <f t="shared" si="97"/>
        <v>27</v>
      </c>
      <c r="N65" s="1243">
        <f t="shared" si="97"/>
        <v>27</v>
      </c>
      <c r="O65" s="1243">
        <f t="shared" si="97"/>
        <v>27</v>
      </c>
      <c r="P65" s="1243">
        <f t="shared" si="97"/>
        <v>27</v>
      </c>
      <c r="Q65" s="1243">
        <f t="shared" si="97"/>
        <v>27</v>
      </c>
      <c r="R65" s="1248">
        <f t="shared" si="97"/>
        <v>27</v>
      </c>
      <c r="S65" s="2816">
        <f>+'11.3. ДА Базова година'!P45</f>
        <v>28</v>
      </c>
      <c r="T65" s="1247">
        <f t="shared" si="98"/>
        <v>29</v>
      </c>
      <c r="U65" s="1243">
        <f t="shared" si="98"/>
        <v>31</v>
      </c>
      <c r="V65" s="1243">
        <f t="shared" si="98"/>
        <v>35</v>
      </c>
      <c r="W65" s="1243">
        <f t="shared" si="98"/>
        <v>41</v>
      </c>
      <c r="X65" s="1243">
        <f t="shared" si="98"/>
        <v>49</v>
      </c>
      <c r="Y65" s="1248">
        <f t="shared" si="98"/>
        <v>59</v>
      </c>
      <c r="Z65" s="4738">
        <f>+'11.3. ДА Базова година'!T45</f>
        <v>0</v>
      </c>
      <c r="AA65" s="1247">
        <f t="shared" si="99"/>
        <v>0</v>
      </c>
      <c r="AB65" s="1243">
        <f t="shared" si="99"/>
        <v>0</v>
      </c>
      <c r="AC65" s="1243">
        <f t="shared" si="99"/>
        <v>0</v>
      </c>
      <c r="AD65" s="1243">
        <f t="shared" si="99"/>
        <v>0</v>
      </c>
      <c r="AE65" s="1243">
        <f t="shared" si="99"/>
        <v>0</v>
      </c>
      <c r="AF65" s="1248">
        <f t="shared" si="99"/>
        <v>0</v>
      </c>
      <c r="AG65" s="2816">
        <f>+'11.3. ДА Базова година'!X45</f>
        <v>0</v>
      </c>
      <c r="AH65" s="1247">
        <f t="shared" si="100"/>
        <v>0</v>
      </c>
      <c r="AI65" s="1243">
        <f t="shared" si="100"/>
        <v>0</v>
      </c>
      <c r="AJ65" s="1243">
        <f t="shared" si="100"/>
        <v>0</v>
      </c>
      <c r="AK65" s="1243">
        <f t="shared" si="100"/>
        <v>0</v>
      </c>
      <c r="AL65" s="1243">
        <f t="shared" si="100"/>
        <v>0</v>
      </c>
      <c r="AM65" s="1248">
        <f t="shared" si="100"/>
        <v>0</v>
      </c>
      <c r="AN65" s="2681"/>
      <c r="AO65" s="2717"/>
      <c r="AP65" s="4775"/>
      <c r="AQ65" s="4794">
        <f t="shared" si="31"/>
        <v>52.663063763210502</v>
      </c>
      <c r="AR65" s="4794">
        <f t="shared" si="32"/>
        <v>57.801547169232499</v>
      </c>
      <c r="AS65" s="4794">
        <f t="shared" si="33"/>
        <v>62.940030575254497</v>
      </c>
      <c r="AT65" s="4794">
        <f t="shared" si="34"/>
        <v>68.078513981276501</v>
      </c>
      <c r="AU65" s="4794">
        <f t="shared" si="35"/>
        <v>73.216997387298491</v>
      </c>
      <c r="AV65" s="4794">
        <f t="shared" si="36"/>
        <v>78.355480793320496</v>
      </c>
      <c r="AW65" s="4794">
        <f t="shared" si="37"/>
        <v>83.4939641993425</v>
      </c>
      <c r="AX65" s="4794">
        <f t="shared" si="38"/>
        <v>13.804880792297899</v>
      </c>
      <c r="AY65" s="4794">
        <f t="shared" si="39"/>
        <v>13.804880792297899</v>
      </c>
      <c r="AZ65" s="4794">
        <f t="shared" si="40"/>
        <v>13.804880792297899</v>
      </c>
      <c r="BA65" s="4794">
        <f t="shared" si="41"/>
        <v>13.804880792297899</v>
      </c>
      <c r="BB65" s="4794">
        <f t="shared" si="42"/>
        <v>13.804880792297899</v>
      </c>
      <c r="BC65" s="4794">
        <f t="shared" si="43"/>
        <v>13.804880792297899</v>
      </c>
      <c r="BD65" s="4794">
        <f t="shared" si="44"/>
        <v>13.804880792297899</v>
      </c>
      <c r="BE65" s="4794">
        <f t="shared" si="45"/>
        <v>14.316172673494117</v>
      </c>
      <c r="BF65" s="4794">
        <f t="shared" si="46"/>
        <v>14.827464554690337</v>
      </c>
      <c r="BG65" s="4794">
        <f t="shared" si="47"/>
        <v>15.850048317082774</v>
      </c>
      <c r="BH65" s="4794">
        <f t="shared" si="48"/>
        <v>17.895215841867646</v>
      </c>
      <c r="BI65" s="4794">
        <f t="shared" si="49"/>
        <v>20.962967129044959</v>
      </c>
      <c r="BJ65" s="4794">
        <f t="shared" si="50"/>
        <v>25.053302178614707</v>
      </c>
      <c r="BK65" s="4794">
        <f t="shared" si="51"/>
        <v>30.166220990576893</v>
      </c>
      <c r="BL65" s="4794">
        <f t="shared" si="52"/>
        <v>0</v>
      </c>
      <c r="BM65" s="4794">
        <f t="shared" si="53"/>
        <v>0</v>
      </c>
      <c r="BN65" s="4794">
        <f t="shared" si="54"/>
        <v>0</v>
      </c>
      <c r="BO65" s="4794">
        <f t="shared" si="55"/>
        <v>0</v>
      </c>
      <c r="BP65" s="4794">
        <f t="shared" si="56"/>
        <v>0</v>
      </c>
      <c r="BQ65" s="4794">
        <f t="shared" si="57"/>
        <v>0</v>
      </c>
      <c r="BR65" s="4794">
        <f t="shared" si="58"/>
        <v>0</v>
      </c>
      <c r="BS65" s="4794">
        <f t="shared" si="59"/>
        <v>0</v>
      </c>
      <c r="BT65" s="4794">
        <f t="shared" si="60"/>
        <v>0</v>
      </c>
      <c r="BU65" s="4794">
        <f t="shared" si="61"/>
        <v>0</v>
      </c>
      <c r="BV65" s="4794">
        <f t="shared" si="62"/>
        <v>0</v>
      </c>
      <c r="BW65" s="4794">
        <f t="shared" si="63"/>
        <v>0</v>
      </c>
      <c r="BX65" s="4794">
        <f t="shared" si="64"/>
        <v>0</v>
      </c>
      <c r="BY65" s="4794">
        <f t="shared" si="65"/>
        <v>0</v>
      </c>
    </row>
    <row r="66" spans="1:77">
      <c r="A66" s="2683"/>
      <c r="B66" s="2684">
        <v>20303</v>
      </c>
      <c r="C66" s="2679">
        <v>0.1</v>
      </c>
      <c r="D66" s="2718" t="s">
        <v>406</v>
      </c>
      <c r="E66" s="4738">
        <f>+'11.3. ДА Базова година'!H46</f>
        <v>1758.3</v>
      </c>
      <c r="F66" s="1247">
        <f t="shared" si="96"/>
        <v>2052.9</v>
      </c>
      <c r="G66" s="1243">
        <f t="shared" si="96"/>
        <v>2347.5</v>
      </c>
      <c r="H66" s="1243">
        <f t="shared" si="96"/>
        <v>2642.1</v>
      </c>
      <c r="I66" s="1243">
        <f t="shared" si="96"/>
        <v>2941.7</v>
      </c>
      <c r="J66" s="1243">
        <f t="shared" si="96"/>
        <v>3251.2999999999997</v>
      </c>
      <c r="K66" s="1248">
        <f t="shared" si="96"/>
        <v>3565.8999999999996</v>
      </c>
      <c r="L66" s="2816">
        <f>+'11.3. ДА Базова година'!L46</f>
        <v>1186</v>
      </c>
      <c r="M66" s="1247">
        <f t="shared" si="97"/>
        <v>1324.9</v>
      </c>
      <c r="N66" s="1243">
        <f t="shared" si="97"/>
        <v>1463.8000000000002</v>
      </c>
      <c r="O66" s="1243">
        <f t="shared" si="97"/>
        <v>1602.7000000000003</v>
      </c>
      <c r="P66" s="1243">
        <f t="shared" si="97"/>
        <v>1741.6000000000004</v>
      </c>
      <c r="Q66" s="1243">
        <f t="shared" si="97"/>
        <v>1880.5000000000005</v>
      </c>
      <c r="R66" s="1248">
        <f t="shared" si="97"/>
        <v>2019.4000000000005</v>
      </c>
      <c r="S66" s="2816">
        <f>+'11.3. ДА Базова година'!P46</f>
        <v>191</v>
      </c>
      <c r="T66" s="1247">
        <f t="shared" si="98"/>
        <v>198.15</v>
      </c>
      <c r="U66" s="1243">
        <f t="shared" si="98"/>
        <v>205.3</v>
      </c>
      <c r="V66" s="1243">
        <f t="shared" si="98"/>
        <v>212.45000000000002</v>
      </c>
      <c r="W66" s="1243">
        <f t="shared" si="98"/>
        <v>219.60000000000002</v>
      </c>
      <c r="X66" s="1243">
        <f t="shared" si="98"/>
        <v>226.75000000000003</v>
      </c>
      <c r="Y66" s="1248">
        <f t="shared" si="98"/>
        <v>233.90000000000003</v>
      </c>
      <c r="Z66" s="4738">
        <f>+'11.3. ДА Базова година'!T46</f>
        <v>0</v>
      </c>
      <c r="AA66" s="1247">
        <f t="shared" si="99"/>
        <v>0</v>
      </c>
      <c r="AB66" s="1243">
        <f t="shared" si="99"/>
        <v>0</v>
      </c>
      <c r="AC66" s="1243">
        <f t="shared" si="99"/>
        <v>0</v>
      </c>
      <c r="AD66" s="1243">
        <f t="shared" si="99"/>
        <v>0</v>
      </c>
      <c r="AE66" s="1243">
        <f t="shared" si="99"/>
        <v>0</v>
      </c>
      <c r="AF66" s="1248">
        <f t="shared" si="99"/>
        <v>0</v>
      </c>
      <c r="AG66" s="2816">
        <f>+'11.3. ДА Базова година'!X46</f>
        <v>0</v>
      </c>
      <c r="AH66" s="1247">
        <f t="shared" si="100"/>
        <v>0</v>
      </c>
      <c r="AI66" s="1243">
        <f t="shared" si="100"/>
        <v>0</v>
      </c>
      <c r="AJ66" s="1243">
        <f t="shared" si="100"/>
        <v>0</v>
      </c>
      <c r="AK66" s="1243">
        <f t="shared" si="100"/>
        <v>0</v>
      </c>
      <c r="AL66" s="1243">
        <f t="shared" si="100"/>
        <v>0</v>
      </c>
      <c r="AM66" s="1248">
        <f t="shared" si="100"/>
        <v>0</v>
      </c>
      <c r="AN66" s="2681"/>
      <c r="AO66" s="2717"/>
      <c r="AP66" s="4775"/>
      <c r="AQ66" s="4794">
        <f t="shared" si="31"/>
        <v>899.00451470731093</v>
      </c>
      <c r="AR66" s="4794">
        <f t="shared" si="32"/>
        <v>1049.6311029077169</v>
      </c>
      <c r="AS66" s="4794">
        <f t="shared" si="33"/>
        <v>1200.257691108123</v>
      </c>
      <c r="AT66" s="4794">
        <f t="shared" si="34"/>
        <v>1350.8842793085289</v>
      </c>
      <c r="AU66" s="4794">
        <f t="shared" si="35"/>
        <v>1504.0673269149158</v>
      </c>
      <c r="AV66" s="4794">
        <f t="shared" si="36"/>
        <v>1662.3632933332651</v>
      </c>
      <c r="AW66" s="4794">
        <f t="shared" si="37"/>
        <v>1823.2157191575955</v>
      </c>
      <c r="AX66" s="4794">
        <f t="shared" si="38"/>
        <v>606.39217109871515</v>
      </c>
      <c r="AY66" s="4794">
        <f t="shared" si="39"/>
        <v>677.41061339686996</v>
      </c>
      <c r="AZ66" s="4794">
        <f t="shared" si="40"/>
        <v>748.42905569502477</v>
      </c>
      <c r="BA66" s="4794">
        <f t="shared" si="41"/>
        <v>819.44749799317947</v>
      </c>
      <c r="BB66" s="4794">
        <f t="shared" si="42"/>
        <v>890.46594029133428</v>
      </c>
      <c r="BC66" s="4794">
        <f t="shared" si="43"/>
        <v>961.48438258948909</v>
      </c>
      <c r="BD66" s="4794">
        <f t="shared" si="44"/>
        <v>1032.502824887644</v>
      </c>
      <c r="BE66" s="4794">
        <f t="shared" si="45"/>
        <v>97.656749308477728</v>
      </c>
      <c r="BF66" s="4794">
        <f t="shared" si="46"/>
        <v>101.31248625903069</v>
      </c>
      <c r="BG66" s="4794">
        <f t="shared" si="47"/>
        <v>104.96822320958367</v>
      </c>
      <c r="BH66" s="4794">
        <f t="shared" si="48"/>
        <v>108.62396016013663</v>
      </c>
      <c r="BI66" s="4794">
        <f t="shared" si="49"/>
        <v>112.2796971106896</v>
      </c>
      <c r="BJ66" s="4794">
        <f t="shared" si="50"/>
        <v>115.93543406124256</v>
      </c>
      <c r="BK66" s="4794">
        <f t="shared" si="51"/>
        <v>119.59117101179552</v>
      </c>
      <c r="BL66" s="4794">
        <f t="shared" si="52"/>
        <v>0</v>
      </c>
      <c r="BM66" s="4794">
        <f t="shared" si="53"/>
        <v>0</v>
      </c>
      <c r="BN66" s="4794">
        <f t="shared" si="54"/>
        <v>0</v>
      </c>
      <c r="BO66" s="4794">
        <f t="shared" si="55"/>
        <v>0</v>
      </c>
      <c r="BP66" s="4794">
        <f t="shared" si="56"/>
        <v>0</v>
      </c>
      <c r="BQ66" s="4794">
        <f t="shared" si="57"/>
        <v>0</v>
      </c>
      <c r="BR66" s="4794">
        <f t="shared" si="58"/>
        <v>0</v>
      </c>
      <c r="BS66" s="4794">
        <f t="shared" si="59"/>
        <v>0</v>
      </c>
      <c r="BT66" s="4794">
        <f t="shared" si="60"/>
        <v>0</v>
      </c>
      <c r="BU66" s="4794">
        <f t="shared" si="61"/>
        <v>0</v>
      </c>
      <c r="BV66" s="4794">
        <f t="shared" si="62"/>
        <v>0</v>
      </c>
      <c r="BW66" s="4794">
        <f t="shared" si="63"/>
        <v>0</v>
      </c>
      <c r="BX66" s="4794">
        <f t="shared" si="64"/>
        <v>0</v>
      </c>
      <c r="BY66" s="4794">
        <f t="shared" si="65"/>
        <v>0</v>
      </c>
    </row>
    <row r="67" spans="1:77">
      <c r="A67" s="2683"/>
      <c r="B67" s="2684">
        <v>20306</v>
      </c>
      <c r="C67" s="2679">
        <v>0.1</v>
      </c>
      <c r="D67" s="2718" t="s">
        <v>409</v>
      </c>
      <c r="E67" s="4738">
        <f>+'11.3. ДА Базова година'!H47</f>
        <v>163</v>
      </c>
      <c r="F67" s="1247">
        <f t="shared" si="96"/>
        <v>190.9</v>
      </c>
      <c r="G67" s="1243">
        <f t="shared" si="96"/>
        <v>231.3</v>
      </c>
      <c r="H67" s="1243">
        <f t="shared" si="96"/>
        <v>279.2</v>
      </c>
      <c r="I67" s="1243">
        <f t="shared" si="96"/>
        <v>332.09999999999997</v>
      </c>
      <c r="J67" s="1243">
        <f t="shared" si="96"/>
        <v>389.99999999999994</v>
      </c>
      <c r="K67" s="1248">
        <f t="shared" si="96"/>
        <v>452.89999999999992</v>
      </c>
      <c r="L67" s="2816">
        <f>+'11.3. ДА Базова година'!L47</f>
        <v>88</v>
      </c>
      <c r="M67" s="1247">
        <f t="shared" si="97"/>
        <v>92.5</v>
      </c>
      <c r="N67" s="1243">
        <f t="shared" si="97"/>
        <v>98.25</v>
      </c>
      <c r="O67" s="1243">
        <f t="shared" si="97"/>
        <v>105.25</v>
      </c>
      <c r="P67" s="1243">
        <f t="shared" si="97"/>
        <v>113.25</v>
      </c>
      <c r="Q67" s="1243">
        <f t="shared" si="97"/>
        <v>122.25</v>
      </c>
      <c r="R67" s="1248">
        <f t="shared" si="97"/>
        <v>132.25</v>
      </c>
      <c r="S67" s="2816">
        <f>+'11.3. ДА Базова година'!P47</f>
        <v>81</v>
      </c>
      <c r="T67" s="1247">
        <f t="shared" si="98"/>
        <v>87.1</v>
      </c>
      <c r="U67" s="1243">
        <f t="shared" si="98"/>
        <v>96.699999999999989</v>
      </c>
      <c r="V67" s="1243">
        <f t="shared" si="98"/>
        <v>110.29999999999998</v>
      </c>
      <c r="W67" s="1243">
        <f t="shared" si="98"/>
        <v>126.39999999999998</v>
      </c>
      <c r="X67" s="1243">
        <f t="shared" si="98"/>
        <v>145.99999999999997</v>
      </c>
      <c r="Y67" s="1248">
        <f t="shared" si="98"/>
        <v>169.09999999999997</v>
      </c>
      <c r="Z67" s="4738">
        <f>+'11.3. ДА Базова година'!T47</f>
        <v>0</v>
      </c>
      <c r="AA67" s="1247">
        <f t="shared" si="99"/>
        <v>0</v>
      </c>
      <c r="AB67" s="1243">
        <f t="shared" si="99"/>
        <v>0</v>
      </c>
      <c r="AC67" s="1243">
        <f t="shared" si="99"/>
        <v>0</v>
      </c>
      <c r="AD67" s="1243">
        <f t="shared" si="99"/>
        <v>0</v>
      </c>
      <c r="AE67" s="1243">
        <f t="shared" si="99"/>
        <v>0</v>
      </c>
      <c r="AF67" s="1248">
        <f t="shared" si="99"/>
        <v>0</v>
      </c>
      <c r="AG67" s="2816">
        <f>+'11.3. ДА Базова година'!X47</f>
        <v>0</v>
      </c>
      <c r="AH67" s="1247">
        <f t="shared" si="100"/>
        <v>0</v>
      </c>
      <c r="AI67" s="1243">
        <f t="shared" si="100"/>
        <v>0</v>
      </c>
      <c r="AJ67" s="1243">
        <f t="shared" si="100"/>
        <v>0</v>
      </c>
      <c r="AK67" s="1243">
        <f t="shared" si="100"/>
        <v>0</v>
      </c>
      <c r="AL67" s="1243">
        <f t="shared" si="100"/>
        <v>0</v>
      </c>
      <c r="AM67" s="1248">
        <f t="shared" si="100"/>
        <v>0</v>
      </c>
      <c r="AN67" s="2681"/>
      <c r="AO67" s="2719"/>
      <c r="AP67" s="4775"/>
      <c r="AQ67" s="4794">
        <f t="shared" si="31"/>
        <v>83.34057663498362</v>
      </c>
      <c r="AR67" s="4794">
        <f t="shared" si="32"/>
        <v>97.605620120358111</v>
      </c>
      <c r="AS67" s="4794">
        <f t="shared" si="33"/>
        <v>118.26181212068535</v>
      </c>
      <c r="AT67" s="4794">
        <f t="shared" si="34"/>
        <v>142.7526932299842</v>
      </c>
      <c r="AU67" s="4794">
        <f t="shared" si="35"/>
        <v>169.80003374526416</v>
      </c>
      <c r="AV67" s="4794">
        <f t="shared" si="36"/>
        <v>199.40383366652517</v>
      </c>
      <c r="AW67" s="4794">
        <f t="shared" si="37"/>
        <v>231.5640929937673</v>
      </c>
      <c r="AX67" s="4794">
        <f t="shared" si="38"/>
        <v>44.993685545267226</v>
      </c>
      <c r="AY67" s="4794">
        <f t="shared" si="39"/>
        <v>47.294499010650213</v>
      </c>
      <c r="AZ67" s="4794">
        <f t="shared" si="40"/>
        <v>50.234427327528465</v>
      </c>
      <c r="BA67" s="4794">
        <f t="shared" si="41"/>
        <v>53.813470495901996</v>
      </c>
      <c r="BB67" s="4794">
        <f t="shared" si="42"/>
        <v>57.903805545471748</v>
      </c>
      <c r="BC67" s="4794">
        <f t="shared" si="43"/>
        <v>62.505432476237708</v>
      </c>
      <c r="BD67" s="4794">
        <f t="shared" si="44"/>
        <v>67.618351288199889</v>
      </c>
      <c r="BE67" s="4794">
        <f t="shared" si="45"/>
        <v>41.414642376893696</v>
      </c>
      <c r="BF67" s="4794">
        <f t="shared" si="46"/>
        <v>44.533522852190629</v>
      </c>
      <c r="BG67" s="4794">
        <f t="shared" si="47"/>
        <v>49.44192491167432</v>
      </c>
      <c r="BH67" s="4794">
        <f t="shared" si="48"/>
        <v>56.395494495942891</v>
      </c>
      <c r="BI67" s="4794">
        <f t="shared" si="49"/>
        <v>64.627293783202006</v>
      </c>
      <c r="BJ67" s="4794">
        <f t="shared" si="50"/>
        <v>74.648614654647886</v>
      </c>
      <c r="BK67" s="4794">
        <f t="shared" si="51"/>
        <v>86.459457110280525</v>
      </c>
      <c r="BL67" s="4794">
        <f t="shared" si="52"/>
        <v>0</v>
      </c>
      <c r="BM67" s="4794">
        <f t="shared" si="53"/>
        <v>0</v>
      </c>
      <c r="BN67" s="4794">
        <f t="shared" si="54"/>
        <v>0</v>
      </c>
      <c r="BO67" s="4794">
        <f t="shared" si="55"/>
        <v>0</v>
      </c>
      <c r="BP67" s="4794">
        <f t="shared" si="56"/>
        <v>0</v>
      </c>
      <c r="BQ67" s="4794">
        <f t="shared" si="57"/>
        <v>0</v>
      </c>
      <c r="BR67" s="4794">
        <f t="shared" si="58"/>
        <v>0</v>
      </c>
      <c r="BS67" s="4794">
        <f t="shared" si="59"/>
        <v>0</v>
      </c>
      <c r="BT67" s="4794">
        <f t="shared" si="60"/>
        <v>0</v>
      </c>
      <c r="BU67" s="4794">
        <f t="shared" si="61"/>
        <v>0</v>
      </c>
      <c r="BV67" s="4794">
        <f t="shared" si="62"/>
        <v>0</v>
      </c>
      <c r="BW67" s="4794">
        <f t="shared" si="63"/>
        <v>0</v>
      </c>
      <c r="BX67" s="4794">
        <f t="shared" si="64"/>
        <v>0</v>
      </c>
      <c r="BY67" s="4794">
        <f t="shared" si="65"/>
        <v>0</v>
      </c>
    </row>
    <row r="68" spans="1:77">
      <c r="A68" s="2683">
        <v>4</v>
      </c>
      <c r="B68" s="2684">
        <v>20403</v>
      </c>
      <c r="C68" s="2690">
        <v>0.04</v>
      </c>
      <c r="D68" s="2720" t="s">
        <v>434</v>
      </c>
      <c r="E68" s="4738">
        <f>+'11.3. ДА Базова година'!H48</f>
        <v>52</v>
      </c>
      <c r="F68" s="1247">
        <f t="shared" si="96"/>
        <v>56</v>
      </c>
      <c r="G68" s="1243">
        <f t="shared" si="96"/>
        <v>60</v>
      </c>
      <c r="H68" s="1243">
        <f t="shared" si="96"/>
        <v>64</v>
      </c>
      <c r="I68" s="1243">
        <f t="shared" si="96"/>
        <v>68</v>
      </c>
      <c r="J68" s="1243">
        <f t="shared" si="96"/>
        <v>72</v>
      </c>
      <c r="K68" s="1248">
        <f t="shared" si="96"/>
        <v>76</v>
      </c>
      <c r="L68" s="2816">
        <f>+'11.3. ДА Базова година'!L48</f>
        <v>0</v>
      </c>
      <c r="M68" s="1247">
        <f t="shared" si="97"/>
        <v>0</v>
      </c>
      <c r="N68" s="1243">
        <f t="shared" si="97"/>
        <v>0</v>
      </c>
      <c r="O68" s="1243">
        <f t="shared" si="97"/>
        <v>0</v>
      </c>
      <c r="P68" s="1243">
        <f t="shared" si="97"/>
        <v>0</v>
      </c>
      <c r="Q68" s="1243">
        <f t="shared" si="97"/>
        <v>0</v>
      </c>
      <c r="R68" s="1248">
        <f t="shared" si="97"/>
        <v>0</v>
      </c>
      <c r="S68" s="2816">
        <f>+'11.3. ДА Базова година'!P48</f>
        <v>1</v>
      </c>
      <c r="T68" s="1247">
        <f t="shared" si="98"/>
        <v>1</v>
      </c>
      <c r="U68" s="1243">
        <f t="shared" si="98"/>
        <v>1</v>
      </c>
      <c r="V68" s="1243">
        <f t="shared" si="98"/>
        <v>1</v>
      </c>
      <c r="W68" s="1243">
        <f t="shared" si="98"/>
        <v>1</v>
      </c>
      <c r="X68" s="1243">
        <f t="shared" si="98"/>
        <v>1</v>
      </c>
      <c r="Y68" s="1248">
        <f t="shared" si="98"/>
        <v>1</v>
      </c>
      <c r="Z68" s="4738">
        <f>+'11.3. ДА Базова година'!T48</f>
        <v>0</v>
      </c>
      <c r="AA68" s="1247">
        <f t="shared" si="99"/>
        <v>0</v>
      </c>
      <c r="AB68" s="1243">
        <f t="shared" si="99"/>
        <v>0</v>
      </c>
      <c r="AC68" s="1243">
        <f t="shared" si="99"/>
        <v>0</v>
      </c>
      <c r="AD68" s="1243">
        <f t="shared" si="99"/>
        <v>0</v>
      </c>
      <c r="AE68" s="1243">
        <f t="shared" si="99"/>
        <v>0</v>
      </c>
      <c r="AF68" s="1248">
        <f t="shared" si="99"/>
        <v>0</v>
      </c>
      <c r="AG68" s="2816">
        <f>+'11.3. ДА Базова година'!X48</f>
        <v>0</v>
      </c>
      <c r="AH68" s="1247">
        <f t="shared" si="100"/>
        <v>0</v>
      </c>
      <c r="AI68" s="1243">
        <f t="shared" si="100"/>
        <v>0</v>
      </c>
      <c r="AJ68" s="1243">
        <f t="shared" si="100"/>
        <v>0</v>
      </c>
      <c r="AK68" s="1243">
        <f t="shared" si="100"/>
        <v>0</v>
      </c>
      <c r="AL68" s="1243">
        <f t="shared" si="100"/>
        <v>0</v>
      </c>
      <c r="AM68" s="1248">
        <f t="shared" si="100"/>
        <v>0</v>
      </c>
      <c r="AN68" s="2681"/>
      <c r="AO68" s="2719"/>
      <c r="AP68" s="4775"/>
      <c r="AQ68" s="4794">
        <f t="shared" si="31"/>
        <v>26.587177822203362</v>
      </c>
      <c r="AR68" s="4794">
        <f t="shared" si="32"/>
        <v>28.632345346988235</v>
      </c>
      <c r="AS68" s="4794">
        <f t="shared" si="33"/>
        <v>30.677512871773111</v>
      </c>
      <c r="AT68" s="4794">
        <f t="shared" si="34"/>
        <v>32.722680396557983</v>
      </c>
      <c r="AU68" s="4794">
        <f t="shared" si="35"/>
        <v>34.767847921342856</v>
      </c>
      <c r="AV68" s="4794">
        <f t="shared" si="36"/>
        <v>36.813015446127729</v>
      </c>
      <c r="AW68" s="4794">
        <f t="shared" si="37"/>
        <v>38.858182970912608</v>
      </c>
      <c r="AX68" s="4794">
        <f t="shared" si="38"/>
        <v>0</v>
      </c>
      <c r="AY68" s="4794">
        <f t="shared" si="39"/>
        <v>0</v>
      </c>
      <c r="AZ68" s="4794">
        <f t="shared" si="40"/>
        <v>0</v>
      </c>
      <c r="BA68" s="4794">
        <f t="shared" si="41"/>
        <v>0</v>
      </c>
      <c r="BB68" s="4794">
        <f t="shared" si="42"/>
        <v>0</v>
      </c>
      <c r="BC68" s="4794">
        <f t="shared" si="43"/>
        <v>0</v>
      </c>
      <c r="BD68" s="4794">
        <f t="shared" si="44"/>
        <v>0</v>
      </c>
      <c r="BE68" s="4794">
        <f t="shared" si="45"/>
        <v>0.51129188119621849</v>
      </c>
      <c r="BF68" s="4794">
        <f t="shared" si="46"/>
        <v>0.51129188119621849</v>
      </c>
      <c r="BG68" s="4794">
        <f t="shared" si="47"/>
        <v>0.51129188119621849</v>
      </c>
      <c r="BH68" s="4794">
        <f t="shared" si="48"/>
        <v>0.51129188119621849</v>
      </c>
      <c r="BI68" s="4794">
        <f t="shared" si="49"/>
        <v>0.51129188119621849</v>
      </c>
      <c r="BJ68" s="4794">
        <f t="shared" si="50"/>
        <v>0.51129188119621849</v>
      </c>
      <c r="BK68" s="4794">
        <f t="shared" si="51"/>
        <v>0.51129188119621849</v>
      </c>
      <c r="BL68" s="4794">
        <f t="shared" si="52"/>
        <v>0</v>
      </c>
      <c r="BM68" s="4794">
        <f t="shared" si="53"/>
        <v>0</v>
      </c>
      <c r="BN68" s="4794">
        <f t="shared" si="54"/>
        <v>0</v>
      </c>
      <c r="BO68" s="4794">
        <f t="shared" si="55"/>
        <v>0</v>
      </c>
      <c r="BP68" s="4794">
        <f t="shared" si="56"/>
        <v>0</v>
      </c>
      <c r="BQ68" s="4794">
        <f t="shared" si="57"/>
        <v>0</v>
      </c>
      <c r="BR68" s="4794">
        <f t="shared" si="58"/>
        <v>0</v>
      </c>
      <c r="BS68" s="4794">
        <f t="shared" si="59"/>
        <v>0</v>
      </c>
      <c r="BT68" s="4794">
        <f t="shared" si="60"/>
        <v>0</v>
      </c>
      <c r="BU68" s="4794">
        <f t="shared" si="61"/>
        <v>0</v>
      </c>
      <c r="BV68" s="4794">
        <f t="shared" si="62"/>
        <v>0</v>
      </c>
      <c r="BW68" s="4794">
        <f t="shared" si="63"/>
        <v>0</v>
      </c>
      <c r="BX68" s="4794">
        <f t="shared" si="64"/>
        <v>0</v>
      </c>
      <c r="BY68" s="4794">
        <f t="shared" si="65"/>
        <v>0</v>
      </c>
    </row>
    <row r="69" spans="1:77">
      <c r="A69" s="2683">
        <v>5</v>
      </c>
      <c r="B69" s="2684">
        <v>205</v>
      </c>
      <c r="C69" s="2679"/>
      <c r="D69" s="2715" t="s">
        <v>212</v>
      </c>
      <c r="E69" s="4361">
        <f>SUM(E70:E73)</f>
        <v>2487.1999999999998</v>
      </c>
      <c r="F69" s="2782">
        <f>SUM(F70:F73)</f>
        <v>2687.84</v>
      </c>
      <c r="G69" s="2783">
        <f>SUM(G70:G73)</f>
        <v>2888.4800000000005</v>
      </c>
      <c r="H69" s="2783">
        <f t="shared" ref="H69:K69" si="101">SUM(H70:H73)</f>
        <v>3089.1200000000003</v>
      </c>
      <c r="I69" s="2783">
        <f t="shared" si="101"/>
        <v>3296.3703393000269</v>
      </c>
      <c r="J69" s="2783">
        <f t="shared" si="101"/>
        <v>3522.2055472660059</v>
      </c>
      <c r="K69" s="2783">
        <f t="shared" si="101"/>
        <v>3760.0119004887792</v>
      </c>
      <c r="L69" s="4361">
        <f>SUM(L70:L73)</f>
        <v>638</v>
      </c>
      <c r="M69" s="2782">
        <f>SUM(M70:M73)</f>
        <v>653</v>
      </c>
      <c r="N69" s="2783">
        <f>SUM(N70:N73)</f>
        <v>668</v>
      </c>
      <c r="O69" s="2783">
        <f t="shared" ref="O69:R69" si="102">SUM(O70:O73)</f>
        <v>683</v>
      </c>
      <c r="P69" s="2783">
        <f t="shared" si="102"/>
        <v>698.28853860539675</v>
      </c>
      <c r="Q69" s="2783">
        <f t="shared" si="102"/>
        <v>713.86420503004149</v>
      </c>
      <c r="R69" s="2783">
        <f t="shared" si="102"/>
        <v>729.44122674315486</v>
      </c>
      <c r="S69" s="2785">
        <f>SUM(S70:S73)</f>
        <v>1208</v>
      </c>
      <c r="T69" s="2782">
        <f>SUM(T70:T73)</f>
        <v>1226</v>
      </c>
      <c r="U69" s="2783">
        <f>SUM(U70:U73)</f>
        <v>1244</v>
      </c>
      <c r="V69" s="2783">
        <f t="shared" ref="V69:Y69" si="103">SUM(V70:V73)</f>
        <v>1262</v>
      </c>
      <c r="W69" s="2783">
        <f t="shared" si="103"/>
        <v>1280.6011220945766</v>
      </c>
      <c r="X69" s="2783">
        <f t="shared" si="103"/>
        <v>1299.8302477039533</v>
      </c>
      <c r="Y69" s="2784">
        <f t="shared" si="103"/>
        <v>1319.0868727680668</v>
      </c>
      <c r="Z69" s="2785">
        <f>SUM(Z70:Z73)</f>
        <v>0</v>
      </c>
      <c r="AA69" s="2782">
        <f>SUM(AA70:AA73)</f>
        <v>0</v>
      </c>
      <c r="AB69" s="2783">
        <f>SUM(AB70:AB73)</f>
        <v>0</v>
      </c>
      <c r="AC69" s="2783">
        <f t="shared" ref="AC69:AF69" si="104">SUM(AC70:AC73)</f>
        <v>0</v>
      </c>
      <c r="AD69" s="2783">
        <f t="shared" si="104"/>
        <v>0</v>
      </c>
      <c r="AE69" s="2783">
        <f t="shared" si="104"/>
        <v>0</v>
      </c>
      <c r="AF69" s="2784">
        <f t="shared" si="104"/>
        <v>0</v>
      </c>
      <c r="AG69" s="2785">
        <f>SUM(AG70:AG73)</f>
        <v>0</v>
      </c>
      <c r="AH69" s="2782">
        <f>SUM(AH70:AH73)</f>
        <v>0</v>
      </c>
      <c r="AI69" s="2783">
        <f>SUM(AI70:AI73)</f>
        <v>0</v>
      </c>
      <c r="AJ69" s="2783">
        <f t="shared" ref="AJ69:AM69" si="105">SUM(AJ70:AJ73)</f>
        <v>0</v>
      </c>
      <c r="AK69" s="2783">
        <f t="shared" si="105"/>
        <v>0</v>
      </c>
      <c r="AL69" s="2783">
        <f t="shared" si="105"/>
        <v>0</v>
      </c>
      <c r="AM69" s="2784">
        <f t="shared" si="105"/>
        <v>0</v>
      </c>
      <c r="AN69" s="2681"/>
      <c r="AO69" s="2719"/>
      <c r="AP69" s="4775"/>
      <c r="AQ69" s="4794">
        <f t="shared" si="31"/>
        <v>1271.6851669112345</v>
      </c>
      <c r="AR69" s="4794">
        <f t="shared" si="32"/>
        <v>1374.2707699544439</v>
      </c>
      <c r="AS69" s="4794">
        <f t="shared" si="33"/>
        <v>1476.8563729976534</v>
      </c>
      <c r="AT69" s="4794">
        <f t="shared" si="34"/>
        <v>1579.4419760408628</v>
      </c>
      <c r="AU69" s="4794">
        <f t="shared" si="35"/>
        <v>1685.4073919001278</v>
      </c>
      <c r="AV69" s="4794">
        <f t="shared" si="36"/>
        <v>1800.8751002213924</v>
      </c>
      <c r="AW69" s="4794">
        <f t="shared" si="37"/>
        <v>1922.4635579210767</v>
      </c>
      <c r="AX69" s="4794">
        <f t="shared" si="38"/>
        <v>326.20422020318739</v>
      </c>
      <c r="AY69" s="4794">
        <f t="shared" si="39"/>
        <v>333.87359842113068</v>
      </c>
      <c r="AZ69" s="4794">
        <f t="shared" si="40"/>
        <v>341.54297663907397</v>
      </c>
      <c r="BA69" s="4794">
        <f t="shared" si="41"/>
        <v>349.21235485701726</v>
      </c>
      <c r="BB69" s="4794">
        <f t="shared" si="42"/>
        <v>357.02926052131153</v>
      </c>
      <c r="BC69" s="4794">
        <f t="shared" si="43"/>
        <v>364.99297230845292</v>
      </c>
      <c r="BD69" s="4794">
        <f t="shared" si="44"/>
        <v>372.95737704358498</v>
      </c>
      <c r="BE69" s="4794">
        <f t="shared" si="45"/>
        <v>617.6405924850319</v>
      </c>
      <c r="BF69" s="4794">
        <f t="shared" si="46"/>
        <v>626.84384634656385</v>
      </c>
      <c r="BG69" s="4794">
        <f t="shared" si="47"/>
        <v>636.0471002080958</v>
      </c>
      <c r="BH69" s="4794">
        <f t="shared" si="48"/>
        <v>645.25035406962775</v>
      </c>
      <c r="BI69" s="4794">
        <f t="shared" si="49"/>
        <v>654.76095677772435</v>
      </c>
      <c r="BJ69" s="4794">
        <f t="shared" si="50"/>
        <v>664.59265258430094</v>
      </c>
      <c r="BK69" s="4794">
        <f t="shared" si="51"/>
        <v>674.43840863882178</v>
      </c>
      <c r="BL69" s="4794">
        <f t="shared" si="52"/>
        <v>0</v>
      </c>
      <c r="BM69" s="4794">
        <f t="shared" si="53"/>
        <v>0</v>
      </c>
      <c r="BN69" s="4794">
        <f t="shared" si="54"/>
        <v>0</v>
      </c>
      <c r="BO69" s="4794">
        <f t="shared" si="55"/>
        <v>0</v>
      </c>
      <c r="BP69" s="4794">
        <f t="shared" si="56"/>
        <v>0</v>
      </c>
      <c r="BQ69" s="4794">
        <f t="shared" si="57"/>
        <v>0</v>
      </c>
      <c r="BR69" s="4794">
        <f t="shared" si="58"/>
        <v>0</v>
      </c>
      <c r="BS69" s="4794">
        <f t="shared" si="59"/>
        <v>0</v>
      </c>
      <c r="BT69" s="4794">
        <f t="shared" si="60"/>
        <v>0</v>
      </c>
      <c r="BU69" s="4794">
        <f t="shared" si="61"/>
        <v>0</v>
      </c>
      <c r="BV69" s="4794">
        <f t="shared" si="62"/>
        <v>0</v>
      </c>
      <c r="BW69" s="4794">
        <f t="shared" si="63"/>
        <v>0</v>
      </c>
      <c r="BX69" s="4794">
        <f t="shared" si="64"/>
        <v>0</v>
      </c>
      <c r="BY69" s="4794">
        <f t="shared" si="65"/>
        <v>0</v>
      </c>
    </row>
    <row r="70" spans="1:77">
      <c r="A70" s="2694"/>
      <c r="B70" s="2695">
        <v>20501</v>
      </c>
      <c r="C70" s="2679">
        <v>0.08</v>
      </c>
      <c r="D70" s="2721" t="s">
        <v>410</v>
      </c>
      <c r="E70" s="4738">
        <f>+'11.3. ДА Базова година'!H50</f>
        <v>1346.2</v>
      </c>
      <c r="F70" s="1247">
        <f t="shared" ref="F70:K76" si="106">E70+F45</f>
        <v>1436.44</v>
      </c>
      <c r="G70" s="1243">
        <f t="shared" si="106"/>
        <v>1526.68</v>
      </c>
      <c r="H70" s="1243">
        <f t="shared" si="106"/>
        <v>1616.92</v>
      </c>
      <c r="I70" s="1243">
        <f t="shared" si="106"/>
        <v>1707.16</v>
      </c>
      <c r="J70" s="1243">
        <f t="shared" si="106"/>
        <v>1809.4</v>
      </c>
      <c r="K70" s="1248">
        <f t="shared" si="106"/>
        <v>1923.64</v>
      </c>
      <c r="L70" s="2816">
        <f>+'11.3. ДА Базова година'!L50</f>
        <v>282</v>
      </c>
      <c r="M70" s="1247">
        <f t="shared" ref="M70:R77" si="107">L70+M45</f>
        <v>295</v>
      </c>
      <c r="N70" s="1243">
        <f t="shared" si="107"/>
        <v>308</v>
      </c>
      <c r="O70" s="1243">
        <f t="shared" si="107"/>
        <v>321</v>
      </c>
      <c r="P70" s="1243">
        <f t="shared" si="107"/>
        <v>334</v>
      </c>
      <c r="Q70" s="1243">
        <f t="shared" si="107"/>
        <v>347</v>
      </c>
      <c r="R70" s="1248">
        <f t="shared" si="107"/>
        <v>360</v>
      </c>
      <c r="S70" s="2816">
        <f>+'11.3. ДА Базова година'!P50</f>
        <v>911</v>
      </c>
      <c r="T70" s="1247">
        <f t="shared" ref="T70:Y84" si="108">S70+T45</f>
        <v>915</v>
      </c>
      <c r="U70" s="1243">
        <f t="shared" si="108"/>
        <v>919</v>
      </c>
      <c r="V70" s="1243">
        <f t="shared" si="108"/>
        <v>923</v>
      </c>
      <c r="W70" s="1243">
        <f t="shared" si="108"/>
        <v>927</v>
      </c>
      <c r="X70" s="1243">
        <f t="shared" si="108"/>
        <v>931</v>
      </c>
      <c r="Y70" s="1248">
        <f t="shared" si="108"/>
        <v>935</v>
      </c>
      <c r="Z70" s="4738">
        <f>+'11.3. ДА Базова година'!T50</f>
        <v>0</v>
      </c>
      <c r="AA70" s="1247">
        <f t="shared" ref="AA70:AF84" si="109">Z70+AA45</f>
        <v>0</v>
      </c>
      <c r="AB70" s="1243">
        <f t="shared" si="109"/>
        <v>0</v>
      </c>
      <c r="AC70" s="1243">
        <f t="shared" si="109"/>
        <v>0</v>
      </c>
      <c r="AD70" s="1243">
        <f t="shared" si="109"/>
        <v>0</v>
      </c>
      <c r="AE70" s="1243">
        <f t="shared" si="109"/>
        <v>0</v>
      </c>
      <c r="AF70" s="1248">
        <f t="shared" si="109"/>
        <v>0</v>
      </c>
      <c r="AG70" s="2816">
        <f>+'11.3. ДА Базова година'!X50</f>
        <v>0</v>
      </c>
      <c r="AH70" s="1247">
        <f t="shared" ref="AH70:AM84" si="110">AG70+AH45</f>
        <v>0</v>
      </c>
      <c r="AI70" s="1243">
        <f t="shared" si="110"/>
        <v>0</v>
      </c>
      <c r="AJ70" s="1243">
        <f t="shared" si="110"/>
        <v>0</v>
      </c>
      <c r="AK70" s="1243">
        <f t="shared" si="110"/>
        <v>0</v>
      </c>
      <c r="AL70" s="1243">
        <f t="shared" si="110"/>
        <v>0</v>
      </c>
      <c r="AM70" s="1248">
        <f t="shared" si="110"/>
        <v>0</v>
      </c>
      <c r="AN70" s="2681"/>
      <c r="AO70" s="2719"/>
      <c r="AP70" s="4775"/>
      <c r="AQ70" s="4794">
        <f t="shared" si="31"/>
        <v>688.30113046634938</v>
      </c>
      <c r="AR70" s="4794">
        <f t="shared" si="32"/>
        <v>734.44010982549617</v>
      </c>
      <c r="AS70" s="4794">
        <f t="shared" si="33"/>
        <v>780.57908918464284</v>
      </c>
      <c r="AT70" s="4794">
        <f t="shared" si="34"/>
        <v>826.71806854378963</v>
      </c>
      <c r="AU70" s="4794">
        <f t="shared" si="35"/>
        <v>872.85704790293642</v>
      </c>
      <c r="AV70" s="4794">
        <f t="shared" si="36"/>
        <v>925.13152983643784</v>
      </c>
      <c r="AW70" s="4794">
        <f t="shared" si="37"/>
        <v>983.54151434429377</v>
      </c>
      <c r="AX70" s="4794">
        <f t="shared" si="38"/>
        <v>144.18431049733363</v>
      </c>
      <c r="AY70" s="4794">
        <f t="shared" si="39"/>
        <v>150.83110495288446</v>
      </c>
      <c r="AZ70" s="4794">
        <f t="shared" si="40"/>
        <v>157.47789940843529</v>
      </c>
      <c r="BA70" s="4794">
        <f t="shared" si="41"/>
        <v>164.12469386398612</v>
      </c>
      <c r="BB70" s="4794">
        <f t="shared" si="42"/>
        <v>170.77148831953699</v>
      </c>
      <c r="BC70" s="4794">
        <f t="shared" si="43"/>
        <v>177.41828277508782</v>
      </c>
      <c r="BD70" s="4794">
        <f t="shared" si="44"/>
        <v>184.06507723063865</v>
      </c>
      <c r="BE70" s="4794">
        <f t="shared" si="45"/>
        <v>465.78690376975504</v>
      </c>
      <c r="BF70" s="4794">
        <f t="shared" si="46"/>
        <v>467.8320712945399</v>
      </c>
      <c r="BG70" s="4794">
        <f t="shared" si="47"/>
        <v>469.87723881932482</v>
      </c>
      <c r="BH70" s="4794">
        <f t="shared" si="48"/>
        <v>471.92240634410967</v>
      </c>
      <c r="BI70" s="4794">
        <f t="shared" si="49"/>
        <v>473.96757386889453</v>
      </c>
      <c r="BJ70" s="4794">
        <f t="shared" si="50"/>
        <v>476.01274139367945</v>
      </c>
      <c r="BK70" s="4794">
        <f t="shared" si="51"/>
        <v>478.05790891846431</v>
      </c>
      <c r="BL70" s="4794">
        <f t="shared" si="52"/>
        <v>0</v>
      </c>
      <c r="BM70" s="4794">
        <f t="shared" si="53"/>
        <v>0</v>
      </c>
      <c r="BN70" s="4794">
        <f t="shared" si="54"/>
        <v>0</v>
      </c>
      <c r="BO70" s="4794">
        <f t="shared" si="55"/>
        <v>0</v>
      </c>
      <c r="BP70" s="4794">
        <f t="shared" si="56"/>
        <v>0</v>
      </c>
      <c r="BQ70" s="4794">
        <f t="shared" si="57"/>
        <v>0</v>
      </c>
      <c r="BR70" s="4794">
        <f t="shared" si="58"/>
        <v>0</v>
      </c>
      <c r="BS70" s="4794">
        <f t="shared" si="59"/>
        <v>0</v>
      </c>
      <c r="BT70" s="4794">
        <f t="shared" si="60"/>
        <v>0</v>
      </c>
      <c r="BU70" s="4794">
        <f t="shared" si="61"/>
        <v>0</v>
      </c>
      <c r="BV70" s="4794">
        <f t="shared" si="62"/>
        <v>0</v>
      </c>
      <c r="BW70" s="4794">
        <f t="shared" si="63"/>
        <v>0</v>
      </c>
      <c r="BX70" s="4794">
        <f t="shared" si="64"/>
        <v>0</v>
      </c>
      <c r="BY70" s="4794">
        <f t="shared" si="65"/>
        <v>0</v>
      </c>
    </row>
    <row r="71" spans="1:77">
      <c r="A71" s="2694"/>
      <c r="B71" s="2695">
        <v>20502</v>
      </c>
      <c r="C71" s="2679">
        <v>0.1</v>
      </c>
      <c r="D71" s="2721" t="s">
        <v>411</v>
      </c>
      <c r="E71" s="4738">
        <f>+'11.3. ДА Базова година'!H51</f>
        <v>1012</v>
      </c>
      <c r="F71" s="1247">
        <f t="shared" si="106"/>
        <v>1114.4000000000001</v>
      </c>
      <c r="G71" s="1243">
        <f t="shared" si="106"/>
        <v>1216.8000000000002</v>
      </c>
      <c r="H71" s="1243">
        <f t="shared" si="106"/>
        <v>1319.2000000000003</v>
      </c>
      <c r="I71" s="1243">
        <f t="shared" si="106"/>
        <v>1428.210339300027</v>
      </c>
      <c r="J71" s="1243">
        <f t="shared" si="106"/>
        <v>1543.8055472660058</v>
      </c>
      <c r="K71" s="1248">
        <f t="shared" si="106"/>
        <v>1659.3719004887789</v>
      </c>
      <c r="L71" s="2816">
        <f>+'11.3. ДА Базова година'!L51</f>
        <v>300</v>
      </c>
      <c r="M71" s="1247">
        <f t="shared" si="107"/>
        <v>302</v>
      </c>
      <c r="N71" s="1243">
        <f t="shared" si="107"/>
        <v>304</v>
      </c>
      <c r="O71" s="1243">
        <f t="shared" si="107"/>
        <v>306</v>
      </c>
      <c r="P71" s="1243">
        <f t="shared" si="107"/>
        <v>308.28853860539675</v>
      </c>
      <c r="Q71" s="1243">
        <f t="shared" si="107"/>
        <v>310.86420503004149</v>
      </c>
      <c r="R71" s="1248">
        <f t="shared" si="107"/>
        <v>313.44122674315486</v>
      </c>
      <c r="S71" s="2816">
        <f>+'11.3. ДА Базова година'!P51</f>
        <v>257</v>
      </c>
      <c r="T71" s="1247">
        <f t="shared" si="108"/>
        <v>269</v>
      </c>
      <c r="U71" s="1243">
        <f t="shared" si="108"/>
        <v>281</v>
      </c>
      <c r="V71" s="1243">
        <f t="shared" si="108"/>
        <v>293</v>
      </c>
      <c r="W71" s="1243">
        <f t="shared" si="108"/>
        <v>305.60112209457657</v>
      </c>
      <c r="X71" s="1243">
        <f t="shared" si="108"/>
        <v>318.83024770395321</v>
      </c>
      <c r="Y71" s="1248">
        <f t="shared" si="108"/>
        <v>332.08687276806671</v>
      </c>
      <c r="Z71" s="4738">
        <f>+'11.3. ДА Базова година'!T51</f>
        <v>0</v>
      </c>
      <c r="AA71" s="1247">
        <f t="shared" si="109"/>
        <v>0</v>
      </c>
      <c r="AB71" s="1243">
        <f t="shared" si="109"/>
        <v>0</v>
      </c>
      <c r="AC71" s="1243">
        <f t="shared" si="109"/>
        <v>0</v>
      </c>
      <c r="AD71" s="1243">
        <f t="shared" si="109"/>
        <v>0</v>
      </c>
      <c r="AE71" s="1243">
        <f t="shared" si="109"/>
        <v>0</v>
      </c>
      <c r="AF71" s="1248">
        <f t="shared" si="109"/>
        <v>0</v>
      </c>
      <c r="AG71" s="2816">
        <f>+'11.3. ДА Базова година'!X51</f>
        <v>0</v>
      </c>
      <c r="AH71" s="1247">
        <f t="shared" si="110"/>
        <v>0</v>
      </c>
      <c r="AI71" s="1243">
        <f t="shared" si="110"/>
        <v>0</v>
      </c>
      <c r="AJ71" s="1243">
        <f t="shared" si="110"/>
        <v>0</v>
      </c>
      <c r="AK71" s="1243">
        <f t="shared" si="110"/>
        <v>0</v>
      </c>
      <c r="AL71" s="1243">
        <f t="shared" si="110"/>
        <v>0</v>
      </c>
      <c r="AM71" s="1248">
        <f t="shared" si="110"/>
        <v>0</v>
      </c>
      <c r="AN71" s="2681"/>
      <c r="AO71" s="2719"/>
      <c r="AP71" s="4775"/>
      <c r="AQ71" s="4794">
        <f t="shared" si="31"/>
        <v>517.4273837705731</v>
      </c>
      <c r="AR71" s="4794">
        <f t="shared" si="32"/>
        <v>569.78367240506589</v>
      </c>
      <c r="AS71" s="4794">
        <f t="shared" si="33"/>
        <v>622.13996103955878</v>
      </c>
      <c r="AT71" s="4794">
        <f t="shared" si="34"/>
        <v>674.49624967405157</v>
      </c>
      <c r="AU71" s="4794">
        <f t="shared" si="35"/>
        <v>730.23235112460031</v>
      </c>
      <c r="AV71" s="4794">
        <f t="shared" si="36"/>
        <v>789.33524246279364</v>
      </c>
      <c r="AW71" s="4794">
        <f t="shared" si="37"/>
        <v>848.4233806050521</v>
      </c>
      <c r="AX71" s="4794">
        <f t="shared" si="38"/>
        <v>153.38756435886555</v>
      </c>
      <c r="AY71" s="4794">
        <f t="shared" si="39"/>
        <v>154.41014812125798</v>
      </c>
      <c r="AZ71" s="4794">
        <f t="shared" si="40"/>
        <v>155.43273188365043</v>
      </c>
      <c r="BA71" s="4794">
        <f t="shared" si="41"/>
        <v>156.45531564604286</v>
      </c>
      <c r="BB71" s="4794">
        <f t="shared" si="42"/>
        <v>157.62542685478633</v>
      </c>
      <c r="BC71" s="4794">
        <f t="shared" si="43"/>
        <v>158.94234418637689</v>
      </c>
      <c r="BD71" s="4794">
        <f t="shared" si="44"/>
        <v>160.25995446595812</v>
      </c>
      <c r="BE71" s="4794">
        <f t="shared" si="45"/>
        <v>131.40201346742816</v>
      </c>
      <c r="BF71" s="4794">
        <f t="shared" si="46"/>
        <v>137.53751604178277</v>
      </c>
      <c r="BG71" s="4794">
        <f t="shared" si="47"/>
        <v>143.6730186161374</v>
      </c>
      <c r="BH71" s="4794">
        <f t="shared" si="48"/>
        <v>149.80852119049203</v>
      </c>
      <c r="BI71" s="4794">
        <f t="shared" si="49"/>
        <v>156.25137261141131</v>
      </c>
      <c r="BJ71" s="4794">
        <f t="shared" si="50"/>
        <v>163.01531713081056</v>
      </c>
      <c r="BK71" s="4794">
        <f t="shared" si="51"/>
        <v>169.79332189815409</v>
      </c>
      <c r="BL71" s="4794">
        <f t="shared" si="52"/>
        <v>0</v>
      </c>
      <c r="BM71" s="4794">
        <f t="shared" si="53"/>
        <v>0</v>
      </c>
      <c r="BN71" s="4794">
        <f t="shared" si="54"/>
        <v>0</v>
      </c>
      <c r="BO71" s="4794">
        <f t="shared" si="55"/>
        <v>0</v>
      </c>
      <c r="BP71" s="4794">
        <f t="shared" si="56"/>
        <v>0</v>
      </c>
      <c r="BQ71" s="4794">
        <f t="shared" si="57"/>
        <v>0</v>
      </c>
      <c r="BR71" s="4794">
        <f t="shared" si="58"/>
        <v>0</v>
      </c>
      <c r="BS71" s="4794">
        <f t="shared" si="59"/>
        <v>0</v>
      </c>
      <c r="BT71" s="4794">
        <f t="shared" si="60"/>
        <v>0</v>
      </c>
      <c r="BU71" s="4794">
        <f t="shared" si="61"/>
        <v>0</v>
      </c>
      <c r="BV71" s="4794">
        <f t="shared" si="62"/>
        <v>0</v>
      </c>
      <c r="BW71" s="4794">
        <f t="shared" si="63"/>
        <v>0</v>
      </c>
      <c r="BX71" s="4794">
        <f t="shared" si="64"/>
        <v>0</v>
      </c>
      <c r="BY71" s="4794">
        <f t="shared" si="65"/>
        <v>0</v>
      </c>
    </row>
    <row r="72" spans="1:77">
      <c r="A72" s="2694"/>
      <c r="B72" s="2695">
        <v>20503</v>
      </c>
      <c r="C72" s="2679">
        <v>0.1</v>
      </c>
      <c r="D72" s="2718" t="s">
        <v>412</v>
      </c>
      <c r="E72" s="4738">
        <f>+'11.3. ДА Базова година'!H52</f>
        <v>60</v>
      </c>
      <c r="F72" s="1247">
        <f t="shared" si="106"/>
        <v>66</v>
      </c>
      <c r="G72" s="1243">
        <f t="shared" si="106"/>
        <v>72</v>
      </c>
      <c r="H72" s="1243">
        <f t="shared" si="106"/>
        <v>78</v>
      </c>
      <c r="I72" s="1243">
        <f t="shared" si="106"/>
        <v>84</v>
      </c>
      <c r="J72" s="1243">
        <f t="shared" si="106"/>
        <v>90</v>
      </c>
      <c r="K72" s="1248">
        <f t="shared" si="106"/>
        <v>96</v>
      </c>
      <c r="L72" s="2816">
        <f>+'11.3. ДА Базова година'!L52</f>
        <v>33</v>
      </c>
      <c r="M72" s="1247">
        <f t="shared" si="107"/>
        <v>33</v>
      </c>
      <c r="N72" s="1243">
        <f t="shared" si="107"/>
        <v>33</v>
      </c>
      <c r="O72" s="1243">
        <f t="shared" si="107"/>
        <v>33</v>
      </c>
      <c r="P72" s="1243">
        <f t="shared" si="107"/>
        <v>33</v>
      </c>
      <c r="Q72" s="1243">
        <f t="shared" si="107"/>
        <v>33</v>
      </c>
      <c r="R72" s="1248">
        <f t="shared" si="107"/>
        <v>33</v>
      </c>
      <c r="S72" s="2816">
        <f>+'11.3. ДА Базова година'!P52</f>
        <v>27</v>
      </c>
      <c r="T72" s="1247">
        <f t="shared" si="108"/>
        <v>28</v>
      </c>
      <c r="U72" s="1243">
        <f t="shared" si="108"/>
        <v>29</v>
      </c>
      <c r="V72" s="1243">
        <f t="shared" si="108"/>
        <v>30</v>
      </c>
      <c r="W72" s="1243">
        <f t="shared" si="108"/>
        <v>31</v>
      </c>
      <c r="X72" s="1243">
        <f t="shared" si="108"/>
        <v>32</v>
      </c>
      <c r="Y72" s="1248">
        <f t="shared" si="108"/>
        <v>33</v>
      </c>
      <c r="Z72" s="4738">
        <f>+'11.3. ДА Базова година'!T52</f>
        <v>0</v>
      </c>
      <c r="AA72" s="1247">
        <f t="shared" si="109"/>
        <v>0</v>
      </c>
      <c r="AB72" s="1243">
        <f t="shared" si="109"/>
        <v>0</v>
      </c>
      <c r="AC72" s="1243">
        <f t="shared" si="109"/>
        <v>0</v>
      </c>
      <c r="AD72" s="1243">
        <f t="shared" si="109"/>
        <v>0</v>
      </c>
      <c r="AE72" s="1243">
        <f t="shared" si="109"/>
        <v>0</v>
      </c>
      <c r="AF72" s="1248">
        <f t="shared" si="109"/>
        <v>0</v>
      </c>
      <c r="AG72" s="2816">
        <f>+'11.3. ДА Базова година'!X52</f>
        <v>0</v>
      </c>
      <c r="AH72" s="1247">
        <f t="shared" si="110"/>
        <v>0</v>
      </c>
      <c r="AI72" s="1243">
        <f t="shared" si="110"/>
        <v>0</v>
      </c>
      <c r="AJ72" s="1243">
        <f t="shared" si="110"/>
        <v>0</v>
      </c>
      <c r="AK72" s="1243">
        <f t="shared" si="110"/>
        <v>0</v>
      </c>
      <c r="AL72" s="1243">
        <f t="shared" si="110"/>
        <v>0</v>
      </c>
      <c r="AM72" s="1248">
        <f t="shared" si="110"/>
        <v>0</v>
      </c>
      <c r="AN72" s="2681"/>
      <c r="AO72" s="2719"/>
      <c r="AP72" s="4775"/>
      <c r="AQ72" s="4794">
        <f t="shared" si="31"/>
        <v>30.677512871773111</v>
      </c>
      <c r="AR72" s="4794">
        <f t="shared" si="32"/>
        <v>33.74526415895042</v>
      </c>
      <c r="AS72" s="4794">
        <f t="shared" si="33"/>
        <v>36.813015446127729</v>
      </c>
      <c r="AT72" s="4794">
        <f t="shared" si="34"/>
        <v>39.880766733305045</v>
      </c>
      <c r="AU72" s="4794">
        <f t="shared" si="35"/>
        <v>42.948518020482354</v>
      </c>
      <c r="AV72" s="4794">
        <f t="shared" si="36"/>
        <v>46.016269307659663</v>
      </c>
      <c r="AW72" s="4794">
        <f t="shared" si="37"/>
        <v>49.084020594836979</v>
      </c>
      <c r="AX72" s="4794">
        <f t="shared" si="38"/>
        <v>16.87263207947521</v>
      </c>
      <c r="AY72" s="4794">
        <f t="shared" si="39"/>
        <v>16.87263207947521</v>
      </c>
      <c r="AZ72" s="4794">
        <f t="shared" si="40"/>
        <v>16.87263207947521</v>
      </c>
      <c r="BA72" s="4794">
        <f t="shared" si="41"/>
        <v>16.87263207947521</v>
      </c>
      <c r="BB72" s="4794">
        <f t="shared" si="42"/>
        <v>16.87263207947521</v>
      </c>
      <c r="BC72" s="4794">
        <f t="shared" si="43"/>
        <v>16.87263207947521</v>
      </c>
      <c r="BD72" s="4794">
        <f t="shared" si="44"/>
        <v>16.87263207947521</v>
      </c>
      <c r="BE72" s="4794">
        <f t="shared" si="45"/>
        <v>13.804880792297899</v>
      </c>
      <c r="BF72" s="4794">
        <f t="shared" si="46"/>
        <v>14.316172673494117</v>
      </c>
      <c r="BG72" s="4794">
        <f t="shared" si="47"/>
        <v>14.827464554690337</v>
      </c>
      <c r="BH72" s="4794">
        <f t="shared" si="48"/>
        <v>15.338756435886555</v>
      </c>
      <c r="BI72" s="4794">
        <f t="shared" si="49"/>
        <v>15.850048317082774</v>
      </c>
      <c r="BJ72" s="4794">
        <f t="shared" si="50"/>
        <v>16.361340198278992</v>
      </c>
      <c r="BK72" s="4794">
        <f t="shared" si="51"/>
        <v>16.87263207947521</v>
      </c>
      <c r="BL72" s="4794">
        <f t="shared" si="52"/>
        <v>0</v>
      </c>
      <c r="BM72" s="4794">
        <f t="shared" si="53"/>
        <v>0</v>
      </c>
      <c r="BN72" s="4794">
        <f t="shared" si="54"/>
        <v>0</v>
      </c>
      <c r="BO72" s="4794">
        <f t="shared" si="55"/>
        <v>0</v>
      </c>
      <c r="BP72" s="4794">
        <f t="shared" si="56"/>
        <v>0</v>
      </c>
      <c r="BQ72" s="4794">
        <f t="shared" si="57"/>
        <v>0</v>
      </c>
      <c r="BR72" s="4794">
        <f t="shared" si="58"/>
        <v>0</v>
      </c>
      <c r="BS72" s="4794">
        <f t="shared" si="59"/>
        <v>0</v>
      </c>
      <c r="BT72" s="4794">
        <f t="shared" si="60"/>
        <v>0</v>
      </c>
      <c r="BU72" s="4794">
        <f t="shared" si="61"/>
        <v>0</v>
      </c>
      <c r="BV72" s="4794">
        <f t="shared" si="62"/>
        <v>0</v>
      </c>
      <c r="BW72" s="4794">
        <f t="shared" si="63"/>
        <v>0</v>
      </c>
      <c r="BX72" s="4794">
        <f t="shared" si="64"/>
        <v>0</v>
      </c>
      <c r="BY72" s="4794">
        <f t="shared" si="65"/>
        <v>0</v>
      </c>
    </row>
    <row r="73" spans="1:77">
      <c r="A73" s="2694"/>
      <c r="B73" s="2695">
        <v>20504</v>
      </c>
      <c r="C73" s="2679">
        <v>0.1</v>
      </c>
      <c r="D73" s="2718" t="s">
        <v>557</v>
      </c>
      <c r="E73" s="4738">
        <f>+'11.3. ДА Базова година'!H53</f>
        <v>69</v>
      </c>
      <c r="F73" s="1247">
        <f t="shared" si="106"/>
        <v>71</v>
      </c>
      <c r="G73" s="1243">
        <f t="shared" si="106"/>
        <v>73</v>
      </c>
      <c r="H73" s="1243">
        <f t="shared" si="106"/>
        <v>75</v>
      </c>
      <c r="I73" s="1243">
        <f t="shared" si="106"/>
        <v>77</v>
      </c>
      <c r="J73" s="1243">
        <f t="shared" si="106"/>
        <v>79</v>
      </c>
      <c r="K73" s="1248">
        <f t="shared" si="106"/>
        <v>81</v>
      </c>
      <c r="L73" s="2816">
        <f>+'11.3. ДА Базова година'!L53</f>
        <v>23</v>
      </c>
      <c r="M73" s="1247">
        <f t="shared" si="107"/>
        <v>23</v>
      </c>
      <c r="N73" s="1243">
        <f t="shared" si="107"/>
        <v>23</v>
      </c>
      <c r="O73" s="1243">
        <f t="shared" si="107"/>
        <v>23</v>
      </c>
      <c r="P73" s="1243">
        <f t="shared" si="107"/>
        <v>23</v>
      </c>
      <c r="Q73" s="1243">
        <f t="shared" si="107"/>
        <v>23</v>
      </c>
      <c r="R73" s="1248">
        <f t="shared" si="107"/>
        <v>23</v>
      </c>
      <c r="S73" s="2816">
        <f>+'11.3. ДА Базова година'!P53</f>
        <v>13</v>
      </c>
      <c r="T73" s="1247">
        <f t="shared" si="108"/>
        <v>14</v>
      </c>
      <c r="U73" s="1243">
        <f t="shared" si="108"/>
        <v>15</v>
      </c>
      <c r="V73" s="1243">
        <f t="shared" si="108"/>
        <v>16</v>
      </c>
      <c r="W73" s="1243">
        <f t="shared" si="108"/>
        <v>17</v>
      </c>
      <c r="X73" s="1243">
        <f t="shared" si="108"/>
        <v>18</v>
      </c>
      <c r="Y73" s="1248">
        <f t="shared" si="108"/>
        <v>19</v>
      </c>
      <c r="Z73" s="4738">
        <f>+'11.3. ДА Базова година'!T53</f>
        <v>0</v>
      </c>
      <c r="AA73" s="1247">
        <f t="shared" si="109"/>
        <v>0</v>
      </c>
      <c r="AB73" s="1243">
        <f t="shared" si="109"/>
        <v>0</v>
      </c>
      <c r="AC73" s="1243">
        <f t="shared" si="109"/>
        <v>0</v>
      </c>
      <c r="AD73" s="1243">
        <f t="shared" si="109"/>
        <v>0</v>
      </c>
      <c r="AE73" s="1243">
        <f t="shared" si="109"/>
        <v>0</v>
      </c>
      <c r="AF73" s="1248">
        <f t="shared" si="109"/>
        <v>0</v>
      </c>
      <c r="AG73" s="2816">
        <f>+'11.3. ДА Базова година'!X53</f>
        <v>0</v>
      </c>
      <c r="AH73" s="1247">
        <f t="shared" si="110"/>
        <v>0</v>
      </c>
      <c r="AI73" s="1243">
        <f t="shared" si="110"/>
        <v>0</v>
      </c>
      <c r="AJ73" s="1243">
        <f t="shared" si="110"/>
        <v>0</v>
      </c>
      <c r="AK73" s="1243">
        <f t="shared" si="110"/>
        <v>0</v>
      </c>
      <c r="AL73" s="1243">
        <f t="shared" si="110"/>
        <v>0</v>
      </c>
      <c r="AM73" s="1248">
        <f t="shared" si="110"/>
        <v>0</v>
      </c>
      <c r="AN73" s="2681"/>
      <c r="AO73" s="2719"/>
      <c r="AP73" s="4775"/>
      <c r="AQ73" s="4794">
        <f t="shared" si="31"/>
        <v>35.279139802539078</v>
      </c>
      <c r="AR73" s="4794">
        <f t="shared" si="32"/>
        <v>36.301723564931514</v>
      </c>
      <c r="AS73" s="4794">
        <f t="shared" si="33"/>
        <v>37.32430732732395</v>
      </c>
      <c r="AT73" s="4794">
        <f t="shared" si="34"/>
        <v>38.346891089716387</v>
      </c>
      <c r="AU73" s="4794">
        <f t="shared" si="35"/>
        <v>39.369474852108823</v>
      </c>
      <c r="AV73" s="4794">
        <f t="shared" si="36"/>
        <v>40.392058614501259</v>
      </c>
      <c r="AW73" s="4794">
        <f t="shared" si="37"/>
        <v>41.414642376893696</v>
      </c>
      <c r="AX73" s="4794">
        <f t="shared" si="38"/>
        <v>11.759713267513025</v>
      </c>
      <c r="AY73" s="4794">
        <f t="shared" si="39"/>
        <v>11.759713267513025</v>
      </c>
      <c r="AZ73" s="4794">
        <f t="shared" si="40"/>
        <v>11.759713267513025</v>
      </c>
      <c r="BA73" s="4794">
        <f t="shared" si="41"/>
        <v>11.759713267513025</v>
      </c>
      <c r="BB73" s="4794">
        <f t="shared" si="42"/>
        <v>11.759713267513025</v>
      </c>
      <c r="BC73" s="4794">
        <f t="shared" si="43"/>
        <v>11.759713267513025</v>
      </c>
      <c r="BD73" s="4794">
        <f t="shared" si="44"/>
        <v>11.759713267513025</v>
      </c>
      <c r="BE73" s="4794">
        <f t="shared" si="45"/>
        <v>6.6467944555508405</v>
      </c>
      <c r="BF73" s="4794">
        <f t="shared" si="46"/>
        <v>7.1580863367470586</v>
      </c>
      <c r="BG73" s="4794">
        <f t="shared" si="47"/>
        <v>7.6693782179432777</v>
      </c>
      <c r="BH73" s="4794">
        <f t="shared" si="48"/>
        <v>8.1806700991394958</v>
      </c>
      <c r="BI73" s="4794">
        <f t="shared" si="49"/>
        <v>8.691961980335714</v>
      </c>
      <c r="BJ73" s="4794">
        <f t="shared" si="50"/>
        <v>9.2032538615319321</v>
      </c>
      <c r="BK73" s="4794">
        <f t="shared" si="51"/>
        <v>9.7145457427281521</v>
      </c>
      <c r="BL73" s="4794">
        <f t="shared" si="52"/>
        <v>0</v>
      </c>
      <c r="BM73" s="4794">
        <f t="shared" si="53"/>
        <v>0</v>
      </c>
      <c r="BN73" s="4794">
        <f t="shared" si="54"/>
        <v>0</v>
      </c>
      <c r="BO73" s="4794">
        <f t="shared" si="55"/>
        <v>0</v>
      </c>
      <c r="BP73" s="4794">
        <f t="shared" si="56"/>
        <v>0</v>
      </c>
      <c r="BQ73" s="4794">
        <f t="shared" si="57"/>
        <v>0</v>
      </c>
      <c r="BR73" s="4794">
        <f t="shared" si="58"/>
        <v>0</v>
      </c>
      <c r="BS73" s="4794">
        <f t="shared" si="59"/>
        <v>0</v>
      </c>
      <c r="BT73" s="4794">
        <f t="shared" si="60"/>
        <v>0</v>
      </c>
      <c r="BU73" s="4794">
        <f t="shared" si="61"/>
        <v>0</v>
      </c>
      <c r="BV73" s="4794">
        <f t="shared" si="62"/>
        <v>0</v>
      </c>
      <c r="BW73" s="4794">
        <f t="shared" si="63"/>
        <v>0</v>
      </c>
      <c r="BX73" s="4794">
        <f t="shared" si="64"/>
        <v>0</v>
      </c>
      <c r="BY73" s="4794">
        <f t="shared" si="65"/>
        <v>0</v>
      </c>
    </row>
    <row r="74" spans="1:77">
      <c r="A74" s="2694">
        <v>6</v>
      </c>
      <c r="B74" s="2695">
        <v>208</v>
      </c>
      <c r="C74" s="2679">
        <v>0.2</v>
      </c>
      <c r="D74" s="2720" t="s">
        <v>413</v>
      </c>
      <c r="E74" s="4738">
        <f>+'11.3. ДА Базова година'!H54</f>
        <v>141</v>
      </c>
      <c r="F74" s="1247">
        <f t="shared" si="106"/>
        <v>157.45588348026064</v>
      </c>
      <c r="G74" s="1243">
        <f t="shared" si="106"/>
        <v>177.4958185451957</v>
      </c>
      <c r="H74" s="1243">
        <f t="shared" si="106"/>
        <v>200.97508317309035</v>
      </c>
      <c r="I74" s="1243">
        <f t="shared" si="106"/>
        <v>227.91438319980688</v>
      </c>
      <c r="J74" s="1243">
        <f t="shared" si="106"/>
        <v>258.34863275898124</v>
      </c>
      <c r="K74" s="1248">
        <f t="shared" si="106"/>
        <v>292.25928415238184</v>
      </c>
      <c r="L74" s="2816">
        <f>+'11.3. ДА Базова година'!L54</f>
        <v>79</v>
      </c>
      <c r="M74" s="1247">
        <f t="shared" si="107"/>
        <v>86.252127251820625</v>
      </c>
      <c r="N74" s="1243">
        <f t="shared" si="107"/>
        <v>93.638815563508942</v>
      </c>
      <c r="O74" s="1243">
        <f t="shared" si="107"/>
        <v>101.19943073055862</v>
      </c>
      <c r="P74" s="1243">
        <f t="shared" si="107"/>
        <v>108.9380361272992</v>
      </c>
      <c r="Q74" s="1243">
        <f t="shared" si="107"/>
        <v>116.8288358368729</v>
      </c>
      <c r="R74" s="1248">
        <f t="shared" si="107"/>
        <v>124.87513434943915</v>
      </c>
      <c r="S74" s="2816">
        <f>+'11.3. ДА Базова година'!P54</f>
        <v>81</v>
      </c>
      <c r="T74" s="1247">
        <f t="shared" si="108"/>
        <v>83.291989267918737</v>
      </c>
      <c r="U74" s="1243">
        <f t="shared" si="108"/>
        <v>85.865365891295355</v>
      </c>
      <c r="V74" s="1243">
        <f t="shared" si="108"/>
        <v>88.825486096351042</v>
      </c>
      <c r="W74" s="1243">
        <f t="shared" si="108"/>
        <v>92.147580672893923</v>
      </c>
      <c r="X74" s="1243">
        <f t="shared" si="108"/>
        <v>95.822531404145863</v>
      </c>
      <c r="Y74" s="1248">
        <f t="shared" si="108"/>
        <v>99.865581498179026</v>
      </c>
      <c r="Z74" s="4738">
        <f>+'11.3. ДА Базова година'!T54</f>
        <v>0</v>
      </c>
      <c r="AA74" s="1247">
        <f t="shared" si="109"/>
        <v>0</v>
      </c>
      <c r="AB74" s="1243">
        <f t="shared" si="109"/>
        <v>0</v>
      </c>
      <c r="AC74" s="1243">
        <f t="shared" si="109"/>
        <v>0</v>
      </c>
      <c r="AD74" s="1243">
        <f t="shared" si="109"/>
        <v>0</v>
      </c>
      <c r="AE74" s="1243">
        <f t="shared" si="109"/>
        <v>0</v>
      </c>
      <c r="AF74" s="1248">
        <f t="shared" si="109"/>
        <v>0</v>
      </c>
      <c r="AG74" s="2816">
        <f>+'11.3. ДА Базова година'!X54</f>
        <v>0</v>
      </c>
      <c r="AH74" s="1247">
        <f t="shared" si="110"/>
        <v>0</v>
      </c>
      <c r="AI74" s="1243">
        <f t="shared" si="110"/>
        <v>0</v>
      </c>
      <c r="AJ74" s="1243">
        <f t="shared" si="110"/>
        <v>0</v>
      </c>
      <c r="AK74" s="1243">
        <f t="shared" si="110"/>
        <v>0</v>
      </c>
      <c r="AL74" s="1243">
        <f t="shared" si="110"/>
        <v>0</v>
      </c>
      <c r="AM74" s="1248">
        <f t="shared" si="110"/>
        <v>0</v>
      </c>
      <c r="AN74" s="2681"/>
      <c r="AO74" s="2719"/>
      <c r="AP74" s="4775"/>
      <c r="AQ74" s="4794">
        <f t="shared" si="31"/>
        <v>72.092155248666813</v>
      </c>
      <c r="AR74" s="4794">
        <f t="shared" si="32"/>
        <v>80.505914870035042</v>
      </c>
      <c r="AS74" s="4794">
        <f t="shared" si="33"/>
        <v>90.752170968435763</v>
      </c>
      <c r="AT74" s="4794">
        <f t="shared" si="34"/>
        <v>102.75692834913585</v>
      </c>
      <c r="AU74" s="4794">
        <f t="shared" si="35"/>
        <v>116.53077373790508</v>
      </c>
      <c r="AV74" s="4794">
        <f t="shared" si="36"/>
        <v>132.09155844781051</v>
      </c>
      <c r="AW74" s="4794">
        <f t="shared" si="37"/>
        <v>149.42979919133148</v>
      </c>
      <c r="AX74" s="4794">
        <f t="shared" si="38"/>
        <v>40.392058614501259</v>
      </c>
      <c r="AY74" s="4794">
        <f t="shared" si="39"/>
        <v>44.100012399758988</v>
      </c>
      <c r="AZ74" s="4794">
        <f t="shared" si="40"/>
        <v>47.876766162452228</v>
      </c>
      <c r="BA74" s="4794">
        <f t="shared" si="41"/>
        <v>51.74244731421372</v>
      </c>
      <c r="BB74" s="4794">
        <f t="shared" si="42"/>
        <v>55.699133425348421</v>
      </c>
      <c r="BC74" s="4794">
        <f t="shared" si="43"/>
        <v>59.73363525299893</v>
      </c>
      <c r="BD74" s="4794">
        <f t="shared" si="44"/>
        <v>63.847642356155262</v>
      </c>
      <c r="BE74" s="4794">
        <f t="shared" si="45"/>
        <v>41.414642376893696</v>
      </c>
      <c r="BF74" s="4794">
        <f t="shared" si="46"/>
        <v>42.58651788136941</v>
      </c>
      <c r="BG74" s="4794">
        <f t="shared" si="47"/>
        <v>43.902264456162015</v>
      </c>
      <c r="BH74" s="4794">
        <f t="shared" si="48"/>
        <v>45.415749884371877</v>
      </c>
      <c r="BI74" s="4794">
        <f t="shared" si="49"/>
        <v>47.114309869924242</v>
      </c>
      <c r="BJ74" s="4794">
        <f t="shared" si="50"/>
        <v>48.993282342609461</v>
      </c>
      <c r="BK74" s="4794">
        <f t="shared" si="51"/>
        <v>51.06046103095823</v>
      </c>
      <c r="BL74" s="4794">
        <f t="shared" si="52"/>
        <v>0</v>
      </c>
      <c r="BM74" s="4794">
        <f t="shared" si="53"/>
        <v>0</v>
      </c>
      <c r="BN74" s="4794">
        <f t="shared" si="54"/>
        <v>0</v>
      </c>
      <c r="BO74" s="4794">
        <f t="shared" si="55"/>
        <v>0</v>
      </c>
      <c r="BP74" s="4794">
        <f t="shared" si="56"/>
        <v>0</v>
      </c>
      <c r="BQ74" s="4794">
        <f t="shared" si="57"/>
        <v>0</v>
      </c>
      <c r="BR74" s="4794">
        <f t="shared" si="58"/>
        <v>0</v>
      </c>
      <c r="BS74" s="4794">
        <f t="shared" si="59"/>
        <v>0</v>
      </c>
      <c r="BT74" s="4794">
        <f t="shared" si="60"/>
        <v>0</v>
      </c>
      <c r="BU74" s="4794">
        <f t="shared" si="61"/>
        <v>0</v>
      </c>
      <c r="BV74" s="4794">
        <f t="shared" si="62"/>
        <v>0</v>
      </c>
      <c r="BW74" s="4794">
        <f t="shared" si="63"/>
        <v>0</v>
      </c>
      <c r="BX74" s="4794">
        <f t="shared" si="64"/>
        <v>0</v>
      </c>
      <c r="BY74" s="4794">
        <f t="shared" si="65"/>
        <v>0</v>
      </c>
    </row>
    <row r="75" spans="1:77">
      <c r="A75" s="2694">
        <v>7</v>
      </c>
      <c r="B75" s="2698">
        <v>20601</v>
      </c>
      <c r="C75" s="2690">
        <v>0.1</v>
      </c>
      <c r="D75" s="2720" t="s">
        <v>564</v>
      </c>
      <c r="E75" s="4738">
        <f>+'11.3. ДА Базова година'!H55</f>
        <v>130</v>
      </c>
      <c r="F75" s="1247">
        <f>E75+F50</f>
        <v>158.23970870065159</v>
      </c>
      <c r="G75" s="1243">
        <f t="shared" si="106"/>
        <v>194.5328905188334</v>
      </c>
      <c r="H75" s="1243">
        <f t="shared" si="106"/>
        <v>236.33538300601742</v>
      </c>
      <c r="I75" s="1243">
        <f t="shared" si="106"/>
        <v>282.85122591277673</v>
      </c>
      <c r="J75" s="1243">
        <f t="shared" si="106"/>
        <v>334.16116264133188</v>
      </c>
      <c r="K75" s="1248">
        <f t="shared" si="106"/>
        <v>390.23816725750561</v>
      </c>
      <c r="L75" s="2816">
        <f>+'11.3. ДА Базова година'!L55</f>
        <v>59</v>
      </c>
      <c r="M75" s="1247">
        <f t="shared" si="107"/>
        <v>67.780318129551546</v>
      </c>
      <c r="N75" s="1243">
        <f t="shared" si="107"/>
        <v>76.865924190157614</v>
      </c>
      <c r="O75" s="1243">
        <f t="shared" si="107"/>
        <v>86.255185282609446</v>
      </c>
      <c r="P75" s="1243">
        <f t="shared" si="107"/>
        <v>95.905452447984814</v>
      </c>
      <c r="Q75" s="1243">
        <f t="shared" si="107"/>
        <v>105.76435193973879</v>
      </c>
      <c r="R75" s="1248">
        <f t="shared" si="107"/>
        <v>115.8376721654184</v>
      </c>
      <c r="S75" s="2816">
        <f>+'11.3. ДА Базова година'!P55</f>
        <v>51</v>
      </c>
      <c r="T75" s="1247">
        <f t="shared" si="108"/>
        <v>53.67997316979686</v>
      </c>
      <c r="U75" s="1243">
        <f t="shared" si="108"/>
        <v>57.00118529100898</v>
      </c>
      <c r="V75" s="1243">
        <f t="shared" si="108"/>
        <v>61.009431711373132</v>
      </c>
      <c r="W75" s="1243">
        <f t="shared" si="108"/>
        <v>65.543321639238485</v>
      </c>
      <c r="X75" s="1243">
        <f t="shared" si="108"/>
        <v>70.574485418929385</v>
      </c>
      <c r="Y75" s="1248">
        <f t="shared" si="108"/>
        <v>76.124160577076083</v>
      </c>
      <c r="Z75" s="4738">
        <f>+'11.3. ДА Базова година'!T55</f>
        <v>0</v>
      </c>
      <c r="AA75" s="1247">
        <f t="shared" si="109"/>
        <v>0</v>
      </c>
      <c r="AB75" s="1243">
        <f t="shared" si="109"/>
        <v>0</v>
      </c>
      <c r="AC75" s="1243">
        <f t="shared" si="109"/>
        <v>0</v>
      </c>
      <c r="AD75" s="1243">
        <f t="shared" si="109"/>
        <v>0</v>
      </c>
      <c r="AE75" s="1243">
        <f t="shared" si="109"/>
        <v>0</v>
      </c>
      <c r="AF75" s="1248">
        <f t="shared" si="109"/>
        <v>0</v>
      </c>
      <c r="AG75" s="2816">
        <f>+'11.3. ДА Базова година'!X55</f>
        <v>0</v>
      </c>
      <c r="AH75" s="1247">
        <f t="shared" si="110"/>
        <v>0</v>
      </c>
      <c r="AI75" s="1243">
        <f t="shared" si="110"/>
        <v>0</v>
      </c>
      <c r="AJ75" s="1243">
        <f t="shared" si="110"/>
        <v>0</v>
      </c>
      <c r="AK75" s="1243">
        <f t="shared" si="110"/>
        <v>0</v>
      </c>
      <c r="AL75" s="1243">
        <f t="shared" si="110"/>
        <v>0</v>
      </c>
      <c r="AM75" s="1248">
        <f t="shared" si="110"/>
        <v>0</v>
      </c>
      <c r="AN75" s="2681"/>
      <c r="AO75" s="2719"/>
      <c r="AP75" s="4775"/>
      <c r="AQ75" s="4794">
        <f t="shared" ref="AQ75:AQ109" si="111">IFERROR(E75/$D$1,0)</f>
        <v>66.46794455550841</v>
      </c>
      <c r="AR75" s="4794">
        <f t="shared" ref="AR75:AR109" si="112">IFERROR(F75/$D$1,0)</f>
        <v>80.906678341497781</v>
      </c>
      <c r="AS75" s="4794">
        <f t="shared" ref="AS75:AS109" si="113">IFERROR(G75/$D$1,0)</f>
        <v>99.463087547912352</v>
      </c>
      <c r="AT75" s="4794">
        <f t="shared" ref="AT75:AT109" si="114">IFERROR(H75/$D$1,0)</f>
        <v>120.83636257037546</v>
      </c>
      <c r="AU75" s="4794">
        <f t="shared" ref="AU75:AU109" si="115">IFERROR(I75/$D$1,0)</f>
        <v>144.6195353956002</v>
      </c>
      <c r="AV75" s="4794">
        <f t="shared" ref="AV75:AV109" si="116">IFERROR(J75/$D$1,0)</f>
        <v>170.85388946960211</v>
      </c>
      <c r="AW75" s="4794">
        <f t="shared" ref="AW75:AW109" si="117">IFERROR(K75/$D$1,0)</f>
        <v>199.52560665165461</v>
      </c>
      <c r="AX75" s="4794">
        <f t="shared" ref="AX75:AX109" si="118">IFERROR(L75/$D$1,0)</f>
        <v>30.166220990576893</v>
      </c>
      <c r="AY75" s="4794">
        <f t="shared" ref="AY75:AY109" si="119">IFERROR(M75/$D$1,0)</f>
        <v>34.655526364536563</v>
      </c>
      <c r="AZ75" s="4794">
        <f t="shared" ref="AZ75:AZ109" si="120">IFERROR(N75/$D$1,0)</f>
        <v>39.300922979071601</v>
      </c>
      <c r="BA75" s="4794">
        <f t="shared" ref="BA75:BA109" si="121">IFERROR(O75/$D$1,0)</f>
        <v>44.101575946073766</v>
      </c>
      <c r="BB75" s="4794">
        <f t="shared" ref="BB75:BB109" si="122">IFERROR(P75/$D$1,0)</f>
        <v>49.035679199104635</v>
      </c>
      <c r="BC75" s="4794">
        <f t="shared" ref="BC75:BC109" si="123">IFERROR(Q75/$D$1,0)</f>
        <v>54.076454466767963</v>
      </c>
      <c r="BD75" s="4794">
        <f t="shared" ref="BD75:BD109" si="124">IFERROR(R75/$D$1,0)</f>
        <v>59.226861314847611</v>
      </c>
      <c r="BE75" s="4794">
        <f t="shared" ref="BE75:BE109" si="125">IFERROR(S75/$D$1,0)</f>
        <v>26.075885941007144</v>
      </c>
      <c r="BF75" s="4794">
        <f t="shared" ref="BF75:BF109" si="126">IFERROR(T75/$D$1,0)</f>
        <v>27.446134464547974</v>
      </c>
      <c r="BG75" s="4794">
        <f t="shared" ref="BG75:BG109" si="127">IFERROR(U75/$D$1,0)</f>
        <v>29.1442432578542</v>
      </c>
      <c r="BH75" s="4794">
        <f t="shared" ref="BH75:BH109" si="128">IFERROR(V75/$D$1,0)</f>
        <v>31.193627110420199</v>
      </c>
      <c r="BI75" s="4794">
        <f t="shared" ref="BI75:BI109" si="129">IFERROR(W75/$D$1,0)</f>
        <v>33.51176822077506</v>
      </c>
      <c r="BJ75" s="4794">
        <f t="shared" ref="BJ75:BJ109" si="130">IFERROR(X75/$D$1,0)</f>
        <v>36.084161414299494</v>
      </c>
      <c r="BK75" s="4794">
        <f t="shared" ref="BK75:BK109" si="131">IFERROR(Y75/$D$1,0)</f>
        <v>38.921665265936241</v>
      </c>
      <c r="BL75" s="4794">
        <f t="shared" ref="BL75:BL109" si="132">IFERROR(Z75/$D$1,0)</f>
        <v>0</v>
      </c>
      <c r="BM75" s="4794">
        <f t="shared" ref="BM75:BM109" si="133">IFERROR(AA75/$D$1,0)</f>
        <v>0</v>
      </c>
      <c r="BN75" s="4794">
        <f t="shared" ref="BN75:BN109" si="134">IFERROR(AB75/$D$1,0)</f>
        <v>0</v>
      </c>
      <c r="BO75" s="4794">
        <f t="shared" ref="BO75:BO109" si="135">IFERROR(AC75/$D$1,0)</f>
        <v>0</v>
      </c>
      <c r="BP75" s="4794">
        <f t="shared" ref="BP75:BP109" si="136">IFERROR(AD75/$D$1,0)</f>
        <v>0</v>
      </c>
      <c r="BQ75" s="4794">
        <f t="shared" ref="BQ75:BQ109" si="137">IFERROR(AE75/$D$1,0)</f>
        <v>0</v>
      </c>
      <c r="BR75" s="4794">
        <f t="shared" ref="BR75:BR109" si="138">IFERROR(AF75/$D$1,0)</f>
        <v>0</v>
      </c>
      <c r="BS75" s="4794">
        <f t="shared" ref="BS75:BS109" si="139">IFERROR(AG75/$D$1,0)</f>
        <v>0</v>
      </c>
      <c r="BT75" s="4794">
        <f t="shared" ref="BT75:BT109" si="140">IFERROR(AH75/$D$1,0)</f>
        <v>0</v>
      </c>
      <c r="BU75" s="4794">
        <f t="shared" ref="BU75:BU109" si="141">IFERROR(AI75/$D$1,0)</f>
        <v>0</v>
      </c>
      <c r="BV75" s="4794">
        <f t="shared" ref="BV75:BV109" si="142">IFERROR(AJ75/$D$1,0)</f>
        <v>0</v>
      </c>
      <c r="BW75" s="4794">
        <f t="shared" ref="BW75:BW109" si="143">IFERROR(AK75/$D$1,0)</f>
        <v>0</v>
      </c>
      <c r="BX75" s="4794">
        <f t="shared" ref="BX75:BX109" si="144">IFERROR(AL75/$D$1,0)</f>
        <v>0</v>
      </c>
      <c r="BY75" s="4794">
        <f t="shared" ref="BY75:BY109" si="145">IFERROR(AM75/$D$1,0)</f>
        <v>0</v>
      </c>
    </row>
    <row r="76" spans="1:77">
      <c r="A76" s="2699">
        <v>8</v>
      </c>
      <c r="B76" s="2698">
        <v>20602</v>
      </c>
      <c r="C76" s="2690">
        <v>0.1</v>
      </c>
      <c r="D76" s="2720" t="s">
        <v>435</v>
      </c>
      <c r="E76" s="4738">
        <f>+'11.3. ДА Базова година'!H56</f>
        <v>90</v>
      </c>
      <c r="F76" s="1247">
        <f>E76+F51</f>
        <v>95.35</v>
      </c>
      <c r="G76" s="1243">
        <f t="shared" si="106"/>
        <v>100.69999999999999</v>
      </c>
      <c r="H76" s="1243">
        <f t="shared" si="106"/>
        <v>106.04999999999998</v>
      </c>
      <c r="I76" s="1243">
        <f t="shared" si="106"/>
        <v>111.39999999999998</v>
      </c>
      <c r="J76" s="1243">
        <f t="shared" si="106"/>
        <v>116.74999999999997</v>
      </c>
      <c r="K76" s="1248">
        <f t="shared" si="106"/>
        <v>122.09999999999997</v>
      </c>
      <c r="L76" s="2816">
        <f>+'11.3. ДА Базова година'!L56</f>
        <v>48</v>
      </c>
      <c r="M76" s="1247">
        <f t="shared" si="107"/>
        <v>49.1</v>
      </c>
      <c r="N76" s="1243">
        <f t="shared" si="107"/>
        <v>50.2</v>
      </c>
      <c r="O76" s="1243">
        <f t="shared" si="107"/>
        <v>51.300000000000004</v>
      </c>
      <c r="P76" s="1243">
        <f t="shared" si="107"/>
        <v>52.400000000000006</v>
      </c>
      <c r="Q76" s="1243">
        <f t="shared" si="107"/>
        <v>53.500000000000007</v>
      </c>
      <c r="R76" s="1248">
        <f t="shared" si="107"/>
        <v>54.600000000000009</v>
      </c>
      <c r="S76" s="2816">
        <f>+'11.3. ДА Базова година'!P56</f>
        <v>42</v>
      </c>
      <c r="T76" s="1247">
        <f t="shared" si="108"/>
        <v>43.05</v>
      </c>
      <c r="U76" s="1243">
        <f>T76+U51</f>
        <v>44.099999999999994</v>
      </c>
      <c r="V76" s="1243">
        <f t="shared" si="108"/>
        <v>45.149999999999991</v>
      </c>
      <c r="W76" s="1243">
        <f t="shared" si="108"/>
        <v>46.199999999999989</v>
      </c>
      <c r="X76" s="1243">
        <f t="shared" si="108"/>
        <v>47.249999999999986</v>
      </c>
      <c r="Y76" s="1248">
        <f t="shared" si="108"/>
        <v>48.299999999999983</v>
      </c>
      <c r="Z76" s="4738">
        <f>+'11.3. ДА Базова година'!T56</f>
        <v>0</v>
      </c>
      <c r="AA76" s="1247">
        <f t="shared" si="109"/>
        <v>0</v>
      </c>
      <c r="AB76" s="1243">
        <f>AA76+AB51</f>
        <v>0</v>
      </c>
      <c r="AC76" s="1243">
        <f t="shared" si="109"/>
        <v>0</v>
      </c>
      <c r="AD76" s="1243">
        <f t="shared" si="109"/>
        <v>0</v>
      </c>
      <c r="AE76" s="1243">
        <f t="shared" si="109"/>
        <v>0</v>
      </c>
      <c r="AF76" s="1248">
        <f t="shared" si="109"/>
        <v>0</v>
      </c>
      <c r="AG76" s="2816">
        <f>+'11.3. ДА Базова година'!X56</f>
        <v>0</v>
      </c>
      <c r="AH76" s="1247">
        <f t="shared" si="110"/>
        <v>0</v>
      </c>
      <c r="AI76" s="1243">
        <f>AH76+AI51</f>
        <v>0</v>
      </c>
      <c r="AJ76" s="1243">
        <f t="shared" si="110"/>
        <v>0</v>
      </c>
      <c r="AK76" s="1243">
        <f t="shared" si="110"/>
        <v>0</v>
      </c>
      <c r="AL76" s="1243">
        <f t="shared" si="110"/>
        <v>0</v>
      </c>
      <c r="AM76" s="1248">
        <f t="shared" si="110"/>
        <v>0</v>
      </c>
      <c r="AN76" s="2681"/>
      <c r="AO76" s="2719"/>
      <c r="AP76" s="4775"/>
      <c r="AQ76" s="4794">
        <f t="shared" si="111"/>
        <v>46.016269307659663</v>
      </c>
      <c r="AR76" s="4794">
        <f t="shared" si="112"/>
        <v>48.751680872059431</v>
      </c>
      <c r="AS76" s="4794">
        <f t="shared" si="113"/>
        <v>51.4870924364592</v>
      </c>
      <c r="AT76" s="4794">
        <f t="shared" si="114"/>
        <v>54.222504000858962</v>
      </c>
      <c r="AU76" s="4794">
        <f t="shared" si="115"/>
        <v>56.95791556525873</v>
      </c>
      <c r="AV76" s="4794">
        <f t="shared" si="116"/>
        <v>59.693327129658492</v>
      </c>
      <c r="AW76" s="4794">
        <f t="shared" si="117"/>
        <v>62.428738694058261</v>
      </c>
      <c r="AX76" s="4794">
        <f t="shared" si="118"/>
        <v>24.542010297418489</v>
      </c>
      <c r="AY76" s="4794">
        <f t="shared" si="119"/>
        <v>25.104431366734328</v>
      </c>
      <c r="AZ76" s="4794">
        <f t="shared" si="120"/>
        <v>25.666852436050171</v>
      </c>
      <c r="BA76" s="4794">
        <f t="shared" si="121"/>
        <v>26.22927350536601</v>
      </c>
      <c r="BB76" s="4794">
        <f t="shared" si="122"/>
        <v>26.791694574681852</v>
      </c>
      <c r="BC76" s="4794">
        <f t="shared" si="123"/>
        <v>27.354115643997694</v>
      </c>
      <c r="BD76" s="4794">
        <f t="shared" si="124"/>
        <v>27.916536713313533</v>
      </c>
      <c r="BE76" s="4794">
        <f t="shared" si="125"/>
        <v>21.474259010241177</v>
      </c>
      <c r="BF76" s="4794">
        <f t="shared" si="126"/>
        <v>22.011115485497204</v>
      </c>
      <c r="BG76" s="4794">
        <f t="shared" si="127"/>
        <v>22.547971960753234</v>
      </c>
      <c r="BH76" s="4794">
        <f t="shared" si="128"/>
        <v>23.084828436009261</v>
      </c>
      <c r="BI76" s="4794">
        <f t="shared" si="129"/>
        <v>23.621684911265287</v>
      </c>
      <c r="BJ76" s="4794">
        <f t="shared" si="130"/>
        <v>24.158541386521318</v>
      </c>
      <c r="BK76" s="4794">
        <f t="shared" si="131"/>
        <v>24.695397861777344</v>
      </c>
      <c r="BL76" s="4794">
        <f t="shared" si="132"/>
        <v>0</v>
      </c>
      <c r="BM76" s="4794">
        <f t="shared" si="133"/>
        <v>0</v>
      </c>
      <c r="BN76" s="4794">
        <f t="shared" si="134"/>
        <v>0</v>
      </c>
      <c r="BO76" s="4794">
        <f t="shared" si="135"/>
        <v>0</v>
      </c>
      <c r="BP76" s="4794">
        <f t="shared" si="136"/>
        <v>0</v>
      </c>
      <c r="BQ76" s="4794">
        <f t="shared" si="137"/>
        <v>0</v>
      </c>
      <c r="BR76" s="4794">
        <f t="shared" si="138"/>
        <v>0</v>
      </c>
      <c r="BS76" s="4794">
        <f t="shared" si="139"/>
        <v>0</v>
      </c>
      <c r="BT76" s="4794">
        <f t="shared" si="140"/>
        <v>0</v>
      </c>
      <c r="BU76" s="4794">
        <f t="shared" si="141"/>
        <v>0</v>
      </c>
      <c r="BV76" s="4794">
        <f t="shared" si="142"/>
        <v>0</v>
      </c>
      <c r="BW76" s="4794">
        <f t="shared" si="143"/>
        <v>0</v>
      </c>
      <c r="BX76" s="4794">
        <f t="shared" si="144"/>
        <v>0</v>
      </c>
      <c r="BY76" s="4794">
        <f t="shared" si="145"/>
        <v>0</v>
      </c>
    </row>
    <row r="77" spans="1:77">
      <c r="A77" s="2699">
        <v>9</v>
      </c>
      <c r="B77" s="2695">
        <v>20603</v>
      </c>
      <c r="C77" s="2690">
        <v>0.5</v>
      </c>
      <c r="D77" s="2720" t="s">
        <v>1015</v>
      </c>
      <c r="E77" s="4738">
        <f>+'11.3. ДА Базова година'!H57</f>
        <v>0</v>
      </c>
      <c r="F77" s="1247">
        <f t="shared" ref="F77:K84" si="146">E77+F52</f>
        <v>0.25</v>
      </c>
      <c r="G77" s="1243">
        <f t="shared" si="146"/>
        <v>0.5</v>
      </c>
      <c r="H77" s="1243">
        <f t="shared" si="146"/>
        <v>0.75</v>
      </c>
      <c r="I77" s="1243">
        <f t="shared" si="146"/>
        <v>1</v>
      </c>
      <c r="J77" s="1243">
        <f t="shared" si="146"/>
        <v>1.25</v>
      </c>
      <c r="K77" s="1248">
        <f t="shared" si="146"/>
        <v>1.5</v>
      </c>
      <c r="L77" s="2816">
        <f>+'11.3. ДА Базова година'!L57</f>
        <v>0</v>
      </c>
      <c r="M77" s="1247">
        <f>L77+M52</f>
        <v>0</v>
      </c>
      <c r="N77" s="1243">
        <f t="shared" si="107"/>
        <v>0</v>
      </c>
      <c r="O77" s="1243">
        <f t="shared" si="107"/>
        <v>0</v>
      </c>
      <c r="P77" s="1243">
        <f t="shared" si="107"/>
        <v>0</v>
      </c>
      <c r="Q77" s="1243">
        <f t="shared" si="107"/>
        <v>0</v>
      </c>
      <c r="R77" s="1248">
        <f t="shared" si="107"/>
        <v>0</v>
      </c>
      <c r="S77" s="2816">
        <f>+'11.3. ДА Базова година'!P57</f>
        <v>0</v>
      </c>
      <c r="T77" s="1247">
        <f t="shared" si="108"/>
        <v>0</v>
      </c>
      <c r="U77" s="1243">
        <f t="shared" si="108"/>
        <v>0</v>
      </c>
      <c r="V77" s="1243">
        <f t="shared" si="108"/>
        <v>0</v>
      </c>
      <c r="W77" s="1243">
        <f t="shared" si="108"/>
        <v>0</v>
      </c>
      <c r="X77" s="1243">
        <f t="shared" si="108"/>
        <v>0</v>
      </c>
      <c r="Y77" s="1248">
        <f t="shared" si="108"/>
        <v>0</v>
      </c>
      <c r="Z77" s="4738">
        <f>+'11.3. ДА Базова година'!T57</f>
        <v>0</v>
      </c>
      <c r="AA77" s="1247">
        <f t="shared" si="109"/>
        <v>0</v>
      </c>
      <c r="AB77" s="1243">
        <f t="shared" si="109"/>
        <v>0</v>
      </c>
      <c r="AC77" s="1243">
        <f t="shared" si="109"/>
        <v>0</v>
      </c>
      <c r="AD77" s="1243">
        <f t="shared" si="109"/>
        <v>0</v>
      </c>
      <c r="AE77" s="1243">
        <f t="shared" si="109"/>
        <v>0</v>
      </c>
      <c r="AF77" s="1248">
        <f t="shared" si="109"/>
        <v>0</v>
      </c>
      <c r="AG77" s="2816">
        <f>+'11.3. ДА Базова година'!X57</f>
        <v>0</v>
      </c>
      <c r="AH77" s="1247">
        <f t="shared" si="110"/>
        <v>0</v>
      </c>
      <c r="AI77" s="1243">
        <f t="shared" si="110"/>
        <v>0</v>
      </c>
      <c r="AJ77" s="1243">
        <f t="shared" si="110"/>
        <v>0</v>
      </c>
      <c r="AK77" s="1243">
        <f t="shared" si="110"/>
        <v>0</v>
      </c>
      <c r="AL77" s="1243">
        <f t="shared" si="110"/>
        <v>0</v>
      </c>
      <c r="AM77" s="1248">
        <f t="shared" si="110"/>
        <v>0</v>
      </c>
      <c r="AN77" s="2681"/>
      <c r="AO77" s="2719"/>
      <c r="AP77" s="4775"/>
      <c r="AQ77" s="4794">
        <f t="shared" si="111"/>
        <v>0</v>
      </c>
      <c r="AR77" s="4794">
        <f t="shared" si="112"/>
        <v>0.12782297029905462</v>
      </c>
      <c r="AS77" s="4794">
        <f t="shared" si="113"/>
        <v>0.25564594059810924</v>
      </c>
      <c r="AT77" s="4794">
        <f t="shared" si="114"/>
        <v>0.38346891089716389</v>
      </c>
      <c r="AU77" s="4794">
        <f t="shared" si="115"/>
        <v>0.51129188119621849</v>
      </c>
      <c r="AV77" s="4794">
        <f t="shared" si="116"/>
        <v>0.63911485149527314</v>
      </c>
      <c r="AW77" s="4794">
        <f t="shared" si="117"/>
        <v>0.76693782179432779</v>
      </c>
      <c r="AX77" s="4794">
        <f t="shared" si="118"/>
        <v>0</v>
      </c>
      <c r="AY77" s="4794">
        <f t="shared" si="119"/>
        <v>0</v>
      </c>
      <c r="AZ77" s="4794">
        <f t="shared" si="120"/>
        <v>0</v>
      </c>
      <c r="BA77" s="4794">
        <f t="shared" si="121"/>
        <v>0</v>
      </c>
      <c r="BB77" s="4794">
        <f t="shared" si="122"/>
        <v>0</v>
      </c>
      <c r="BC77" s="4794">
        <f t="shared" si="123"/>
        <v>0</v>
      </c>
      <c r="BD77" s="4794">
        <f t="shared" si="124"/>
        <v>0</v>
      </c>
      <c r="BE77" s="4794">
        <f t="shared" si="125"/>
        <v>0</v>
      </c>
      <c r="BF77" s="4794">
        <f t="shared" si="126"/>
        <v>0</v>
      </c>
      <c r="BG77" s="4794">
        <f t="shared" si="127"/>
        <v>0</v>
      </c>
      <c r="BH77" s="4794">
        <f t="shared" si="128"/>
        <v>0</v>
      </c>
      <c r="BI77" s="4794">
        <f t="shared" si="129"/>
        <v>0</v>
      </c>
      <c r="BJ77" s="4794">
        <f t="shared" si="130"/>
        <v>0</v>
      </c>
      <c r="BK77" s="4794">
        <f t="shared" si="131"/>
        <v>0</v>
      </c>
      <c r="BL77" s="4794">
        <f t="shared" si="132"/>
        <v>0</v>
      </c>
      <c r="BM77" s="4794">
        <f t="shared" si="133"/>
        <v>0</v>
      </c>
      <c r="BN77" s="4794">
        <f t="shared" si="134"/>
        <v>0</v>
      </c>
      <c r="BO77" s="4794">
        <f t="shared" si="135"/>
        <v>0</v>
      </c>
      <c r="BP77" s="4794">
        <f t="shared" si="136"/>
        <v>0</v>
      </c>
      <c r="BQ77" s="4794">
        <f t="shared" si="137"/>
        <v>0</v>
      </c>
      <c r="BR77" s="4794">
        <f t="shared" si="138"/>
        <v>0</v>
      </c>
      <c r="BS77" s="4794">
        <f t="shared" si="139"/>
        <v>0</v>
      </c>
      <c r="BT77" s="4794">
        <f t="shared" si="140"/>
        <v>0</v>
      </c>
      <c r="BU77" s="4794">
        <f t="shared" si="141"/>
        <v>0</v>
      </c>
      <c r="BV77" s="4794">
        <f t="shared" si="142"/>
        <v>0</v>
      </c>
      <c r="BW77" s="4794">
        <f t="shared" si="143"/>
        <v>0</v>
      </c>
      <c r="BX77" s="4794">
        <f t="shared" si="144"/>
        <v>0</v>
      </c>
      <c r="BY77" s="4794">
        <f t="shared" si="145"/>
        <v>0</v>
      </c>
    </row>
    <row r="78" spans="1:77">
      <c r="A78" s="2699">
        <v>10</v>
      </c>
      <c r="B78" s="2695">
        <v>209</v>
      </c>
      <c r="C78" s="2679">
        <v>0.1</v>
      </c>
      <c r="D78" s="2720" t="s">
        <v>213</v>
      </c>
      <c r="E78" s="4738">
        <f>+'11.3. ДА Базова година'!H58</f>
        <v>68</v>
      </c>
      <c r="F78" s="1247">
        <f t="shared" si="146"/>
        <v>68</v>
      </c>
      <c r="G78" s="1243">
        <f t="shared" si="146"/>
        <v>68</v>
      </c>
      <c r="H78" s="1243">
        <f t="shared" si="146"/>
        <v>68</v>
      </c>
      <c r="I78" s="1243">
        <f t="shared" si="146"/>
        <v>68</v>
      </c>
      <c r="J78" s="1243">
        <f t="shared" si="146"/>
        <v>68</v>
      </c>
      <c r="K78" s="1248">
        <f t="shared" si="146"/>
        <v>68</v>
      </c>
      <c r="L78" s="2816">
        <f>+'11.3. ДА Базова година'!L58</f>
        <v>43</v>
      </c>
      <c r="M78" s="1247">
        <f t="shared" ref="M78:R84" si="147">L78+M53</f>
        <v>43</v>
      </c>
      <c r="N78" s="1243">
        <f t="shared" si="147"/>
        <v>43</v>
      </c>
      <c r="O78" s="1243">
        <f t="shared" si="147"/>
        <v>43</v>
      </c>
      <c r="P78" s="1243">
        <f t="shared" si="147"/>
        <v>43</v>
      </c>
      <c r="Q78" s="1243">
        <f t="shared" si="147"/>
        <v>43</v>
      </c>
      <c r="R78" s="1248">
        <f t="shared" si="147"/>
        <v>43</v>
      </c>
      <c r="S78" s="2816">
        <f>+'11.3. ДА Базова година'!P58</f>
        <v>35</v>
      </c>
      <c r="T78" s="1247">
        <f t="shared" si="108"/>
        <v>35</v>
      </c>
      <c r="U78" s="1243">
        <f t="shared" si="108"/>
        <v>35</v>
      </c>
      <c r="V78" s="1243">
        <f t="shared" si="108"/>
        <v>35</v>
      </c>
      <c r="W78" s="1243">
        <f t="shared" si="108"/>
        <v>35</v>
      </c>
      <c r="X78" s="1243">
        <f t="shared" si="108"/>
        <v>35</v>
      </c>
      <c r="Y78" s="1248">
        <f t="shared" si="108"/>
        <v>35</v>
      </c>
      <c r="Z78" s="4738">
        <f>+'11.3. ДА Базова година'!T58</f>
        <v>0</v>
      </c>
      <c r="AA78" s="1247">
        <f t="shared" si="109"/>
        <v>0</v>
      </c>
      <c r="AB78" s="1243">
        <f t="shared" si="109"/>
        <v>0</v>
      </c>
      <c r="AC78" s="1243">
        <f t="shared" si="109"/>
        <v>0</v>
      </c>
      <c r="AD78" s="1243">
        <f t="shared" si="109"/>
        <v>0</v>
      </c>
      <c r="AE78" s="1243">
        <f t="shared" si="109"/>
        <v>0</v>
      </c>
      <c r="AF78" s="1248">
        <f t="shared" si="109"/>
        <v>0</v>
      </c>
      <c r="AG78" s="2816">
        <f>+'11.3. ДА Базова година'!X58</f>
        <v>0</v>
      </c>
      <c r="AH78" s="1247">
        <f t="shared" si="110"/>
        <v>0</v>
      </c>
      <c r="AI78" s="1243">
        <f t="shared" si="110"/>
        <v>0</v>
      </c>
      <c r="AJ78" s="1243">
        <f t="shared" si="110"/>
        <v>0</v>
      </c>
      <c r="AK78" s="1243">
        <f t="shared" si="110"/>
        <v>0</v>
      </c>
      <c r="AL78" s="1243">
        <f t="shared" si="110"/>
        <v>0</v>
      </c>
      <c r="AM78" s="1248">
        <f t="shared" si="110"/>
        <v>0</v>
      </c>
      <c r="AN78" s="2681"/>
      <c r="AO78" s="2719"/>
      <c r="AP78" s="4775"/>
      <c r="AQ78" s="4794">
        <f t="shared" si="111"/>
        <v>34.767847921342856</v>
      </c>
      <c r="AR78" s="4794">
        <f t="shared" si="112"/>
        <v>34.767847921342856</v>
      </c>
      <c r="AS78" s="4794">
        <f t="shared" si="113"/>
        <v>34.767847921342856</v>
      </c>
      <c r="AT78" s="4794">
        <f t="shared" si="114"/>
        <v>34.767847921342856</v>
      </c>
      <c r="AU78" s="4794">
        <f t="shared" si="115"/>
        <v>34.767847921342856</v>
      </c>
      <c r="AV78" s="4794">
        <f t="shared" si="116"/>
        <v>34.767847921342856</v>
      </c>
      <c r="AW78" s="4794">
        <f t="shared" si="117"/>
        <v>34.767847921342856</v>
      </c>
      <c r="AX78" s="4794">
        <f t="shared" si="118"/>
        <v>21.985550891437395</v>
      </c>
      <c r="AY78" s="4794">
        <f t="shared" si="119"/>
        <v>21.985550891437395</v>
      </c>
      <c r="AZ78" s="4794">
        <f t="shared" si="120"/>
        <v>21.985550891437395</v>
      </c>
      <c r="BA78" s="4794">
        <f t="shared" si="121"/>
        <v>21.985550891437395</v>
      </c>
      <c r="BB78" s="4794">
        <f t="shared" si="122"/>
        <v>21.985550891437395</v>
      </c>
      <c r="BC78" s="4794">
        <f t="shared" si="123"/>
        <v>21.985550891437395</v>
      </c>
      <c r="BD78" s="4794">
        <f t="shared" si="124"/>
        <v>21.985550891437395</v>
      </c>
      <c r="BE78" s="4794">
        <f t="shared" si="125"/>
        <v>17.895215841867646</v>
      </c>
      <c r="BF78" s="4794">
        <f t="shared" si="126"/>
        <v>17.895215841867646</v>
      </c>
      <c r="BG78" s="4794">
        <f t="shared" si="127"/>
        <v>17.895215841867646</v>
      </c>
      <c r="BH78" s="4794">
        <f t="shared" si="128"/>
        <v>17.895215841867646</v>
      </c>
      <c r="BI78" s="4794">
        <f t="shared" si="129"/>
        <v>17.895215841867646</v>
      </c>
      <c r="BJ78" s="4794">
        <f t="shared" si="130"/>
        <v>17.895215841867646</v>
      </c>
      <c r="BK78" s="4794">
        <f t="shared" si="131"/>
        <v>17.895215841867646</v>
      </c>
      <c r="BL78" s="4794">
        <f t="shared" si="132"/>
        <v>0</v>
      </c>
      <c r="BM78" s="4794">
        <f t="shared" si="133"/>
        <v>0</v>
      </c>
      <c r="BN78" s="4794">
        <f t="shared" si="134"/>
        <v>0</v>
      </c>
      <c r="BO78" s="4794">
        <f t="shared" si="135"/>
        <v>0</v>
      </c>
      <c r="BP78" s="4794">
        <f t="shared" si="136"/>
        <v>0</v>
      </c>
      <c r="BQ78" s="4794">
        <f t="shared" si="137"/>
        <v>0</v>
      </c>
      <c r="BR78" s="4794">
        <f t="shared" si="138"/>
        <v>0</v>
      </c>
      <c r="BS78" s="4794">
        <f t="shared" si="139"/>
        <v>0</v>
      </c>
      <c r="BT78" s="4794">
        <f t="shared" si="140"/>
        <v>0</v>
      </c>
      <c r="BU78" s="4794">
        <f t="shared" si="141"/>
        <v>0</v>
      </c>
      <c r="BV78" s="4794">
        <f t="shared" si="142"/>
        <v>0</v>
      </c>
      <c r="BW78" s="4794">
        <f t="shared" si="143"/>
        <v>0</v>
      </c>
      <c r="BX78" s="4794">
        <f t="shared" si="144"/>
        <v>0</v>
      </c>
      <c r="BY78" s="4794">
        <f t="shared" si="145"/>
        <v>0</v>
      </c>
    </row>
    <row r="79" spans="1:77" ht="24">
      <c r="A79" s="2699">
        <v>11</v>
      </c>
      <c r="B79" s="2695">
        <v>207</v>
      </c>
      <c r="C79" s="2679" t="s">
        <v>313</v>
      </c>
      <c r="D79" s="2720" t="s">
        <v>414</v>
      </c>
      <c r="E79" s="4738">
        <f>+'11.3. ДА Базова година'!H59</f>
        <v>0</v>
      </c>
      <c r="F79" s="1247">
        <f t="shared" si="146"/>
        <v>0</v>
      </c>
      <c r="G79" s="1243">
        <f t="shared" si="146"/>
        <v>0</v>
      </c>
      <c r="H79" s="1243">
        <f t="shared" si="146"/>
        <v>0</v>
      </c>
      <c r="I79" s="1243">
        <f t="shared" si="146"/>
        <v>0</v>
      </c>
      <c r="J79" s="1243">
        <f t="shared" si="146"/>
        <v>0</v>
      </c>
      <c r="K79" s="1248">
        <f t="shared" si="146"/>
        <v>0</v>
      </c>
      <c r="L79" s="2816">
        <f>+'11.3. ДА Базова година'!L59</f>
        <v>0</v>
      </c>
      <c r="M79" s="1247">
        <f t="shared" si="147"/>
        <v>0</v>
      </c>
      <c r="N79" s="1243">
        <f t="shared" si="147"/>
        <v>0</v>
      </c>
      <c r="O79" s="1243">
        <f t="shared" si="147"/>
        <v>0</v>
      </c>
      <c r="P79" s="1243">
        <f t="shared" si="147"/>
        <v>0</v>
      </c>
      <c r="Q79" s="1243">
        <f t="shared" si="147"/>
        <v>0</v>
      </c>
      <c r="R79" s="1248">
        <f t="shared" si="147"/>
        <v>0</v>
      </c>
      <c r="S79" s="2816">
        <f>+'11.3. ДА Базова година'!P59</f>
        <v>0</v>
      </c>
      <c r="T79" s="1247">
        <f t="shared" si="108"/>
        <v>0</v>
      </c>
      <c r="U79" s="1243">
        <f t="shared" si="108"/>
        <v>0</v>
      </c>
      <c r="V79" s="1243">
        <f t="shared" si="108"/>
        <v>0</v>
      </c>
      <c r="W79" s="1243">
        <f t="shared" si="108"/>
        <v>0</v>
      </c>
      <c r="X79" s="1243">
        <f t="shared" si="108"/>
        <v>0</v>
      </c>
      <c r="Y79" s="1248">
        <f t="shared" si="108"/>
        <v>0</v>
      </c>
      <c r="Z79" s="4738">
        <f>+'11.3. ДА Базова година'!T59</f>
        <v>0</v>
      </c>
      <c r="AA79" s="1247">
        <f t="shared" si="109"/>
        <v>0</v>
      </c>
      <c r="AB79" s="1243">
        <f t="shared" si="109"/>
        <v>0</v>
      </c>
      <c r="AC79" s="1243">
        <f t="shared" si="109"/>
        <v>0</v>
      </c>
      <c r="AD79" s="1243">
        <f t="shared" si="109"/>
        <v>0</v>
      </c>
      <c r="AE79" s="1243">
        <f t="shared" si="109"/>
        <v>0</v>
      </c>
      <c r="AF79" s="1248">
        <f t="shared" si="109"/>
        <v>0</v>
      </c>
      <c r="AG79" s="4738">
        <f>+'11.3. ДА Базова година'!X59</f>
        <v>0</v>
      </c>
      <c r="AH79" s="1247">
        <f t="shared" si="110"/>
        <v>0</v>
      </c>
      <c r="AI79" s="1243">
        <f t="shared" si="110"/>
        <v>0</v>
      </c>
      <c r="AJ79" s="1243">
        <f t="shared" si="110"/>
        <v>0</v>
      </c>
      <c r="AK79" s="1243">
        <f t="shared" si="110"/>
        <v>0</v>
      </c>
      <c r="AL79" s="1243">
        <f t="shared" si="110"/>
        <v>0</v>
      </c>
      <c r="AM79" s="1248">
        <f t="shared" si="110"/>
        <v>0</v>
      </c>
      <c r="AN79" s="2681"/>
      <c r="AO79" s="2719"/>
      <c r="AP79" s="4775"/>
      <c r="AQ79" s="4794">
        <f t="shared" si="111"/>
        <v>0</v>
      </c>
      <c r="AR79" s="4794">
        <f t="shared" si="112"/>
        <v>0</v>
      </c>
      <c r="AS79" s="4794">
        <f t="shared" si="113"/>
        <v>0</v>
      </c>
      <c r="AT79" s="4794">
        <f t="shared" si="114"/>
        <v>0</v>
      </c>
      <c r="AU79" s="4794">
        <f t="shared" si="115"/>
        <v>0</v>
      </c>
      <c r="AV79" s="4794">
        <f t="shared" si="116"/>
        <v>0</v>
      </c>
      <c r="AW79" s="4794">
        <f t="shared" si="117"/>
        <v>0</v>
      </c>
      <c r="AX79" s="4794">
        <f t="shared" si="118"/>
        <v>0</v>
      </c>
      <c r="AY79" s="4794">
        <f t="shared" si="119"/>
        <v>0</v>
      </c>
      <c r="AZ79" s="4794">
        <f t="shared" si="120"/>
        <v>0</v>
      </c>
      <c r="BA79" s="4794">
        <f t="shared" si="121"/>
        <v>0</v>
      </c>
      <c r="BB79" s="4794">
        <f t="shared" si="122"/>
        <v>0</v>
      </c>
      <c r="BC79" s="4794">
        <f t="shared" si="123"/>
        <v>0</v>
      </c>
      <c r="BD79" s="4794">
        <f t="shared" si="124"/>
        <v>0</v>
      </c>
      <c r="BE79" s="4794">
        <f t="shared" si="125"/>
        <v>0</v>
      </c>
      <c r="BF79" s="4794">
        <f t="shared" si="126"/>
        <v>0</v>
      </c>
      <c r="BG79" s="4794">
        <f t="shared" si="127"/>
        <v>0</v>
      </c>
      <c r="BH79" s="4794">
        <f t="shared" si="128"/>
        <v>0</v>
      </c>
      <c r="BI79" s="4794">
        <f t="shared" si="129"/>
        <v>0</v>
      </c>
      <c r="BJ79" s="4794">
        <f t="shared" si="130"/>
        <v>0</v>
      </c>
      <c r="BK79" s="4794">
        <f t="shared" si="131"/>
        <v>0</v>
      </c>
      <c r="BL79" s="4794">
        <f t="shared" si="132"/>
        <v>0</v>
      </c>
      <c r="BM79" s="4794">
        <f t="shared" si="133"/>
        <v>0</v>
      </c>
      <c r="BN79" s="4794">
        <f t="shared" si="134"/>
        <v>0</v>
      </c>
      <c r="BO79" s="4794">
        <f t="shared" si="135"/>
        <v>0</v>
      </c>
      <c r="BP79" s="4794">
        <f t="shared" si="136"/>
        <v>0</v>
      </c>
      <c r="BQ79" s="4794">
        <f t="shared" si="137"/>
        <v>0</v>
      </c>
      <c r="BR79" s="4794">
        <f t="shared" si="138"/>
        <v>0</v>
      </c>
      <c r="BS79" s="4794">
        <f t="shared" si="139"/>
        <v>0</v>
      </c>
      <c r="BT79" s="4794">
        <f t="shared" si="140"/>
        <v>0</v>
      </c>
      <c r="BU79" s="4794">
        <f t="shared" si="141"/>
        <v>0</v>
      </c>
      <c r="BV79" s="4794">
        <f t="shared" si="142"/>
        <v>0</v>
      </c>
      <c r="BW79" s="4794">
        <f t="shared" si="143"/>
        <v>0</v>
      </c>
      <c r="BX79" s="4794">
        <f t="shared" si="144"/>
        <v>0</v>
      </c>
      <c r="BY79" s="4794">
        <f t="shared" si="145"/>
        <v>0</v>
      </c>
    </row>
    <row r="80" spans="1:77">
      <c r="A80" s="2699">
        <v>12</v>
      </c>
      <c r="B80" s="2695">
        <v>212</v>
      </c>
      <c r="C80" s="2690">
        <v>0.2</v>
      </c>
      <c r="D80" s="2722" t="s">
        <v>214</v>
      </c>
      <c r="E80" s="4738">
        <f>+'11.3. ДА Базова година'!H60</f>
        <v>339</v>
      </c>
      <c r="F80" s="1247">
        <f t="shared" si="146"/>
        <v>391.33970870065161</v>
      </c>
      <c r="G80" s="1243">
        <f t="shared" si="146"/>
        <v>448.10626714221007</v>
      </c>
      <c r="H80" s="1243">
        <f t="shared" si="146"/>
        <v>504.68553177010472</v>
      </c>
      <c r="I80" s="1243">
        <f t="shared" si="146"/>
        <v>563.40276393681586</v>
      </c>
      <c r="J80" s="1243">
        <f t="shared" si="146"/>
        <v>624.29797190279453</v>
      </c>
      <c r="K80" s="1248">
        <f t="shared" si="146"/>
        <v>685.16432512556764</v>
      </c>
      <c r="L80" s="2816">
        <f>+'11.3. ДА Базова година'!L60</f>
        <v>186</v>
      </c>
      <c r="M80" s="1247">
        <f t="shared" si="147"/>
        <v>193.33031812955156</v>
      </c>
      <c r="N80" s="1243">
        <f t="shared" si="147"/>
        <v>200.84146531569874</v>
      </c>
      <c r="O80" s="1243">
        <f t="shared" si="147"/>
        <v>208.4020804827484</v>
      </c>
      <c r="P80" s="1243">
        <f t="shared" si="147"/>
        <v>216.08297815840965</v>
      </c>
      <c r="Q80" s="1243">
        <f t="shared" si="147"/>
        <v>223.8586445830544</v>
      </c>
      <c r="R80" s="1248">
        <f t="shared" si="147"/>
        <v>231.63566629616776</v>
      </c>
      <c r="S80" s="2816">
        <f>+'11.3. ДА Базова година'!P60</f>
        <v>146</v>
      </c>
      <c r="T80" s="1247">
        <f>S80+T55</f>
        <v>152.02997316979685</v>
      </c>
      <c r="U80" s="1243">
        <f t="shared" si="108"/>
        <v>158.45226754209122</v>
      </c>
      <c r="V80" s="1243">
        <f t="shared" si="108"/>
        <v>165.0123877471469</v>
      </c>
      <c r="W80" s="1243">
        <f t="shared" si="108"/>
        <v>171.81425790477448</v>
      </c>
      <c r="X80" s="1243">
        <f t="shared" si="108"/>
        <v>178.8433835141511</v>
      </c>
      <c r="Y80" s="1248">
        <f t="shared" si="108"/>
        <v>185.90000857826462</v>
      </c>
      <c r="Z80" s="4738">
        <f>+'11.3. ДА Базова година'!T60</f>
        <v>0</v>
      </c>
      <c r="AA80" s="1247">
        <f>Z80+AA55</f>
        <v>0</v>
      </c>
      <c r="AB80" s="1243">
        <f t="shared" si="109"/>
        <v>0</v>
      </c>
      <c r="AC80" s="1243">
        <f t="shared" si="109"/>
        <v>0</v>
      </c>
      <c r="AD80" s="1243">
        <f t="shared" si="109"/>
        <v>0</v>
      </c>
      <c r="AE80" s="1243">
        <f t="shared" si="109"/>
        <v>0</v>
      </c>
      <c r="AF80" s="1248">
        <f t="shared" si="109"/>
        <v>0</v>
      </c>
      <c r="AG80" s="4738">
        <f>+'11.3. ДА Базова година'!X60</f>
        <v>0</v>
      </c>
      <c r="AH80" s="1247">
        <f>AG80+AH55</f>
        <v>0</v>
      </c>
      <c r="AI80" s="1243">
        <f t="shared" si="110"/>
        <v>0</v>
      </c>
      <c r="AJ80" s="1243">
        <f t="shared" si="110"/>
        <v>0</v>
      </c>
      <c r="AK80" s="1243">
        <f t="shared" si="110"/>
        <v>0</v>
      </c>
      <c r="AL80" s="1243">
        <f t="shared" si="110"/>
        <v>0</v>
      </c>
      <c r="AM80" s="1248">
        <f t="shared" si="110"/>
        <v>0</v>
      </c>
      <c r="AN80" s="2681"/>
      <c r="AO80" s="2719"/>
      <c r="AP80" s="4775"/>
      <c r="AQ80" s="4794">
        <f t="shared" si="111"/>
        <v>173.32794772551807</v>
      </c>
      <c r="AR80" s="4794">
        <f t="shared" si="112"/>
        <v>200.08881584833631</v>
      </c>
      <c r="AS80" s="4794">
        <f t="shared" si="113"/>
        <v>229.11309630295582</v>
      </c>
      <c r="AT80" s="4794">
        <f t="shared" si="114"/>
        <v>258.04161495125072</v>
      </c>
      <c r="AU80" s="4794">
        <f t="shared" si="115"/>
        <v>288.06325904440359</v>
      </c>
      <c r="AV80" s="4794">
        <f t="shared" si="116"/>
        <v>319.19848448116375</v>
      </c>
      <c r="AW80" s="4794">
        <f t="shared" si="117"/>
        <v>350.31895672198897</v>
      </c>
      <c r="AX80" s="4794">
        <f t="shared" si="118"/>
        <v>95.100289902496641</v>
      </c>
      <c r="AY80" s="4794">
        <f t="shared" si="119"/>
        <v>98.848222048721809</v>
      </c>
      <c r="AZ80" s="4794">
        <f t="shared" si="120"/>
        <v>102.68861062346868</v>
      </c>
      <c r="BA80" s="4794">
        <f t="shared" si="121"/>
        <v>106.55429177523015</v>
      </c>
      <c r="BB80" s="4794">
        <f t="shared" si="122"/>
        <v>110.48147239709466</v>
      </c>
      <c r="BC80" s="4794">
        <f t="shared" si="123"/>
        <v>114.45710751090554</v>
      </c>
      <c r="BD80" s="4794">
        <f t="shared" si="124"/>
        <v>118.43343557270711</v>
      </c>
      <c r="BE80" s="4794">
        <f t="shared" si="125"/>
        <v>74.648614654647901</v>
      </c>
      <c r="BF80" s="4794">
        <f t="shared" si="126"/>
        <v>77.731690980196049</v>
      </c>
      <c r="BG80" s="4794">
        <f t="shared" si="127"/>
        <v>81.015357951402336</v>
      </c>
      <c r="BH80" s="4794">
        <f t="shared" si="128"/>
        <v>84.369494151918573</v>
      </c>
      <c r="BI80" s="4794">
        <f t="shared" si="129"/>
        <v>87.847235140464392</v>
      </c>
      <c r="BJ80" s="4794">
        <f t="shared" si="130"/>
        <v>91.441169996447087</v>
      </c>
      <c r="BK80" s="4794">
        <f t="shared" si="131"/>
        <v>95.049165100374069</v>
      </c>
      <c r="BL80" s="4794">
        <f t="shared" si="132"/>
        <v>0</v>
      </c>
      <c r="BM80" s="4794">
        <f t="shared" si="133"/>
        <v>0</v>
      </c>
      <c r="BN80" s="4794">
        <f t="shared" si="134"/>
        <v>0</v>
      </c>
      <c r="BO80" s="4794">
        <f t="shared" si="135"/>
        <v>0</v>
      </c>
      <c r="BP80" s="4794">
        <f t="shared" si="136"/>
        <v>0</v>
      </c>
      <c r="BQ80" s="4794">
        <f t="shared" si="137"/>
        <v>0</v>
      </c>
      <c r="BR80" s="4794">
        <f t="shared" si="138"/>
        <v>0</v>
      </c>
      <c r="BS80" s="4794">
        <f t="shared" si="139"/>
        <v>0</v>
      </c>
      <c r="BT80" s="4794">
        <f t="shared" si="140"/>
        <v>0</v>
      </c>
      <c r="BU80" s="4794">
        <f t="shared" si="141"/>
        <v>0</v>
      </c>
      <c r="BV80" s="4794">
        <f t="shared" si="142"/>
        <v>0</v>
      </c>
      <c r="BW80" s="4794">
        <f t="shared" si="143"/>
        <v>0</v>
      </c>
      <c r="BX80" s="4794">
        <f t="shared" si="144"/>
        <v>0</v>
      </c>
      <c r="BY80" s="4794">
        <f t="shared" si="145"/>
        <v>0</v>
      </c>
    </row>
    <row r="81" spans="1:77">
      <c r="A81" s="2699">
        <v>13</v>
      </c>
      <c r="B81" s="2694">
        <v>213</v>
      </c>
      <c r="C81" s="2701">
        <v>0.2</v>
      </c>
      <c r="D81" s="2723" t="s">
        <v>215</v>
      </c>
      <c r="E81" s="4738">
        <f>+'11.3. ДА Базова година'!H61</f>
        <v>0</v>
      </c>
      <c r="F81" s="1247">
        <f t="shared" si="146"/>
        <v>0</v>
      </c>
      <c r="G81" s="1243">
        <f t="shared" si="146"/>
        <v>0</v>
      </c>
      <c r="H81" s="1243">
        <f t="shared" si="146"/>
        <v>0</v>
      </c>
      <c r="I81" s="1243">
        <f t="shared" si="146"/>
        <v>0</v>
      </c>
      <c r="J81" s="1243">
        <f t="shared" si="146"/>
        <v>0</v>
      </c>
      <c r="K81" s="1248">
        <f t="shared" si="146"/>
        <v>0</v>
      </c>
      <c r="L81" s="4738">
        <f>+'11.3. ДА Базова година'!L61</f>
        <v>0</v>
      </c>
      <c r="M81" s="1247">
        <f t="shared" si="147"/>
        <v>0</v>
      </c>
      <c r="N81" s="1243">
        <f t="shared" si="147"/>
        <v>0</v>
      </c>
      <c r="O81" s="1243">
        <f t="shared" si="147"/>
        <v>0</v>
      </c>
      <c r="P81" s="1243">
        <f t="shared" si="147"/>
        <v>0</v>
      </c>
      <c r="Q81" s="1243">
        <f t="shared" si="147"/>
        <v>0</v>
      </c>
      <c r="R81" s="1248">
        <f t="shared" si="147"/>
        <v>0</v>
      </c>
      <c r="S81" s="4738">
        <f>+'11.3. ДА Базова година'!P61</f>
        <v>0</v>
      </c>
      <c r="T81" s="1247">
        <f>S81+T56</f>
        <v>0</v>
      </c>
      <c r="U81" s="1243">
        <f t="shared" si="108"/>
        <v>0</v>
      </c>
      <c r="V81" s="1243">
        <f t="shared" si="108"/>
        <v>0</v>
      </c>
      <c r="W81" s="1243">
        <f t="shared" si="108"/>
        <v>0</v>
      </c>
      <c r="X81" s="1243">
        <f t="shared" si="108"/>
        <v>0</v>
      </c>
      <c r="Y81" s="1248">
        <f t="shared" si="108"/>
        <v>0</v>
      </c>
      <c r="Z81" s="4738">
        <f>+'11.3. ДА Базова година'!T61</f>
        <v>0</v>
      </c>
      <c r="AA81" s="1247">
        <f>Z81+AA56</f>
        <v>0</v>
      </c>
      <c r="AB81" s="1243">
        <f t="shared" si="109"/>
        <v>0</v>
      </c>
      <c r="AC81" s="1243">
        <f t="shared" si="109"/>
        <v>0</v>
      </c>
      <c r="AD81" s="1243">
        <f t="shared" si="109"/>
        <v>0</v>
      </c>
      <c r="AE81" s="1243">
        <f t="shared" si="109"/>
        <v>0</v>
      </c>
      <c r="AF81" s="1248">
        <f t="shared" si="109"/>
        <v>0</v>
      </c>
      <c r="AG81" s="4738">
        <f>+'11.3. ДА Базова година'!X61</f>
        <v>0</v>
      </c>
      <c r="AH81" s="1247">
        <f>AG81+AH56</f>
        <v>0</v>
      </c>
      <c r="AI81" s="1243">
        <f t="shared" si="110"/>
        <v>0</v>
      </c>
      <c r="AJ81" s="1243">
        <f t="shared" si="110"/>
        <v>0</v>
      </c>
      <c r="AK81" s="1243">
        <f t="shared" si="110"/>
        <v>0</v>
      </c>
      <c r="AL81" s="1243">
        <f t="shared" si="110"/>
        <v>0</v>
      </c>
      <c r="AM81" s="1248">
        <f t="shared" si="110"/>
        <v>0</v>
      </c>
      <c r="AN81" s="2681"/>
      <c r="AO81" s="2689"/>
      <c r="AP81" s="4775"/>
      <c r="AQ81" s="4794">
        <f t="shared" si="111"/>
        <v>0</v>
      </c>
      <c r="AR81" s="4794">
        <f t="shared" si="112"/>
        <v>0</v>
      </c>
      <c r="AS81" s="4794">
        <f t="shared" si="113"/>
        <v>0</v>
      </c>
      <c r="AT81" s="4794">
        <f t="shared" si="114"/>
        <v>0</v>
      </c>
      <c r="AU81" s="4794">
        <f t="shared" si="115"/>
        <v>0</v>
      </c>
      <c r="AV81" s="4794">
        <f t="shared" si="116"/>
        <v>0</v>
      </c>
      <c r="AW81" s="4794">
        <f t="shared" si="117"/>
        <v>0</v>
      </c>
      <c r="AX81" s="4794">
        <f t="shared" si="118"/>
        <v>0</v>
      </c>
      <c r="AY81" s="4794">
        <f t="shared" si="119"/>
        <v>0</v>
      </c>
      <c r="AZ81" s="4794">
        <f t="shared" si="120"/>
        <v>0</v>
      </c>
      <c r="BA81" s="4794">
        <f t="shared" si="121"/>
        <v>0</v>
      </c>
      <c r="BB81" s="4794">
        <f t="shared" si="122"/>
        <v>0</v>
      </c>
      <c r="BC81" s="4794">
        <f t="shared" si="123"/>
        <v>0</v>
      </c>
      <c r="BD81" s="4794">
        <f t="shared" si="124"/>
        <v>0</v>
      </c>
      <c r="BE81" s="4794">
        <f t="shared" si="125"/>
        <v>0</v>
      </c>
      <c r="BF81" s="4794">
        <f t="shared" si="126"/>
        <v>0</v>
      </c>
      <c r="BG81" s="4794">
        <f t="shared" si="127"/>
        <v>0</v>
      </c>
      <c r="BH81" s="4794">
        <f t="shared" si="128"/>
        <v>0</v>
      </c>
      <c r="BI81" s="4794">
        <f t="shared" si="129"/>
        <v>0</v>
      </c>
      <c r="BJ81" s="4794">
        <f t="shared" si="130"/>
        <v>0</v>
      </c>
      <c r="BK81" s="4794">
        <f t="shared" si="131"/>
        <v>0</v>
      </c>
      <c r="BL81" s="4794">
        <f t="shared" si="132"/>
        <v>0</v>
      </c>
      <c r="BM81" s="4794">
        <f t="shared" si="133"/>
        <v>0</v>
      </c>
      <c r="BN81" s="4794">
        <f t="shared" si="134"/>
        <v>0</v>
      </c>
      <c r="BO81" s="4794">
        <f t="shared" si="135"/>
        <v>0</v>
      </c>
      <c r="BP81" s="4794">
        <f t="shared" si="136"/>
        <v>0</v>
      </c>
      <c r="BQ81" s="4794">
        <f t="shared" si="137"/>
        <v>0</v>
      </c>
      <c r="BR81" s="4794">
        <f t="shared" si="138"/>
        <v>0</v>
      </c>
      <c r="BS81" s="4794">
        <f t="shared" si="139"/>
        <v>0</v>
      </c>
      <c r="BT81" s="4794">
        <f t="shared" si="140"/>
        <v>0</v>
      </c>
      <c r="BU81" s="4794">
        <f t="shared" si="141"/>
        <v>0</v>
      </c>
      <c r="BV81" s="4794">
        <f t="shared" si="142"/>
        <v>0</v>
      </c>
      <c r="BW81" s="4794">
        <f t="shared" si="143"/>
        <v>0</v>
      </c>
      <c r="BX81" s="4794">
        <f t="shared" si="144"/>
        <v>0</v>
      </c>
      <c r="BY81" s="4794">
        <f t="shared" si="145"/>
        <v>0</v>
      </c>
    </row>
    <row r="82" spans="1:77">
      <c r="A82" s="2699">
        <v>14</v>
      </c>
      <c r="B82" s="2775"/>
      <c r="C82" s="2775"/>
      <c r="D82" s="2724" t="s">
        <v>628</v>
      </c>
      <c r="E82" s="4738">
        <f>+'11.3. ДА Базова година'!H62</f>
        <v>0</v>
      </c>
      <c r="F82" s="1247">
        <f t="shared" si="146"/>
        <v>0</v>
      </c>
      <c r="G82" s="1243">
        <f t="shared" si="146"/>
        <v>0</v>
      </c>
      <c r="H82" s="1243">
        <f t="shared" si="146"/>
        <v>0</v>
      </c>
      <c r="I82" s="1243">
        <f t="shared" si="146"/>
        <v>0</v>
      </c>
      <c r="J82" s="1243">
        <f t="shared" si="146"/>
        <v>0</v>
      </c>
      <c r="K82" s="1248">
        <f t="shared" si="146"/>
        <v>0</v>
      </c>
      <c r="L82" s="4738">
        <f>+'11.3. ДА Базова година'!L62</f>
        <v>0</v>
      </c>
      <c r="M82" s="1247">
        <f t="shared" si="147"/>
        <v>0</v>
      </c>
      <c r="N82" s="1243">
        <f t="shared" si="147"/>
        <v>0</v>
      </c>
      <c r="O82" s="1243">
        <f t="shared" si="147"/>
        <v>0</v>
      </c>
      <c r="P82" s="1243">
        <f t="shared" si="147"/>
        <v>0</v>
      </c>
      <c r="Q82" s="1243">
        <f t="shared" si="147"/>
        <v>0</v>
      </c>
      <c r="R82" s="1248">
        <f t="shared" si="147"/>
        <v>0</v>
      </c>
      <c r="S82" s="4738">
        <f>+'11.3. ДА Базова година'!P62</f>
        <v>0</v>
      </c>
      <c r="T82" s="1247">
        <f>S82+T57</f>
        <v>0</v>
      </c>
      <c r="U82" s="1243">
        <f t="shared" si="108"/>
        <v>0</v>
      </c>
      <c r="V82" s="1243">
        <f t="shared" si="108"/>
        <v>0</v>
      </c>
      <c r="W82" s="1243">
        <f t="shared" si="108"/>
        <v>0</v>
      </c>
      <c r="X82" s="1243">
        <f t="shared" si="108"/>
        <v>0</v>
      </c>
      <c r="Y82" s="1248">
        <f t="shared" si="108"/>
        <v>0</v>
      </c>
      <c r="Z82" s="4738">
        <f>+'11.3. ДА Базова година'!T62</f>
        <v>0</v>
      </c>
      <c r="AA82" s="1247">
        <f>Z82+AA57</f>
        <v>0</v>
      </c>
      <c r="AB82" s="1243">
        <f t="shared" si="109"/>
        <v>0</v>
      </c>
      <c r="AC82" s="1243">
        <f t="shared" si="109"/>
        <v>0</v>
      </c>
      <c r="AD82" s="1243">
        <f t="shared" si="109"/>
        <v>0</v>
      </c>
      <c r="AE82" s="1243">
        <f t="shared" si="109"/>
        <v>0</v>
      </c>
      <c r="AF82" s="1248">
        <f t="shared" si="109"/>
        <v>0</v>
      </c>
      <c r="AG82" s="4738">
        <f>+'11.3. ДА Базова година'!X62</f>
        <v>0</v>
      </c>
      <c r="AH82" s="1247">
        <f>AG82+AH57</f>
        <v>0</v>
      </c>
      <c r="AI82" s="1243">
        <f t="shared" si="110"/>
        <v>0</v>
      </c>
      <c r="AJ82" s="1243">
        <f t="shared" si="110"/>
        <v>0</v>
      </c>
      <c r="AK82" s="1243">
        <f t="shared" si="110"/>
        <v>0</v>
      </c>
      <c r="AL82" s="1243">
        <f t="shared" si="110"/>
        <v>0</v>
      </c>
      <c r="AM82" s="1248">
        <f t="shared" si="110"/>
        <v>0</v>
      </c>
      <c r="AN82" s="2681"/>
      <c r="AO82" s="2719"/>
      <c r="AP82" s="4775"/>
      <c r="AQ82" s="4794">
        <f t="shared" si="111"/>
        <v>0</v>
      </c>
      <c r="AR82" s="4794">
        <f t="shared" si="112"/>
        <v>0</v>
      </c>
      <c r="AS82" s="4794">
        <f t="shared" si="113"/>
        <v>0</v>
      </c>
      <c r="AT82" s="4794">
        <f t="shared" si="114"/>
        <v>0</v>
      </c>
      <c r="AU82" s="4794">
        <f t="shared" si="115"/>
        <v>0</v>
      </c>
      <c r="AV82" s="4794">
        <f t="shared" si="116"/>
        <v>0</v>
      </c>
      <c r="AW82" s="4794">
        <f t="shared" si="117"/>
        <v>0</v>
      </c>
      <c r="AX82" s="4794">
        <f t="shared" si="118"/>
        <v>0</v>
      </c>
      <c r="AY82" s="4794">
        <f t="shared" si="119"/>
        <v>0</v>
      </c>
      <c r="AZ82" s="4794">
        <f t="shared" si="120"/>
        <v>0</v>
      </c>
      <c r="BA82" s="4794">
        <f t="shared" si="121"/>
        <v>0</v>
      </c>
      <c r="BB82" s="4794">
        <f t="shared" si="122"/>
        <v>0</v>
      </c>
      <c r="BC82" s="4794">
        <f t="shared" si="123"/>
        <v>0</v>
      </c>
      <c r="BD82" s="4794">
        <f t="shared" si="124"/>
        <v>0</v>
      </c>
      <c r="BE82" s="4794">
        <f t="shared" si="125"/>
        <v>0</v>
      </c>
      <c r="BF82" s="4794">
        <f t="shared" si="126"/>
        <v>0</v>
      </c>
      <c r="BG82" s="4794">
        <f t="shared" si="127"/>
        <v>0</v>
      </c>
      <c r="BH82" s="4794">
        <f t="shared" si="128"/>
        <v>0</v>
      </c>
      <c r="BI82" s="4794">
        <f t="shared" si="129"/>
        <v>0</v>
      </c>
      <c r="BJ82" s="4794">
        <f t="shared" si="130"/>
        <v>0</v>
      </c>
      <c r="BK82" s="4794">
        <f t="shared" si="131"/>
        <v>0</v>
      </c>
      <c r="BL82" s="4794">
        <f t="shared" si="132"/>
        <v>0</v>
      </c>
      <c r="BM82" s="4794">
        <f t="shared" si="133"/>
        <v>0</v>
      </c>
      <c r="BN82" s="4794">
        <f t="shared" si="134"/>
        <v>0</v>
      </c>
      <c r="BO82" s="4794">
        <f t="shared" si="135"/>
        <v>0</v>
      </c>
      <c r="BP82" s="4794">
        <f t="shared" si="136"/>
        <v>0</v>
      </c>
      <c r="BQ82" s="4794">
        <f t="shared" si="137"/>
        <v>0</v>
      </c>
      <c r="BR82" s="4794">
        <f t="shared" si="138"/>
        <v>0</v>
      </c>
      <c r="BS82" s="4794">
        <f t="shared" si="139"/>
        <v>0</v>
      </c>
      <c r="BT82" s="4794">
        <f t="shared" si="140"/>
        <v>0</v>
      </c>
      <c r="BU82" s="4794">
        <f t="shared" si="141"/>
        <v>0</v>
      </c>
      <c r="BV82" s="4794">
        <f t="shared" si="142"/>
        <v>0</v>
      </c>
      <c r="BW82" s="4794">
        <f t="shared" si="143"/>
        <v>0</v>
      </c>
      <c r="BX82" s="4794">
        <f t="shared" si="144"/>
        <v>0</v>
      </c>
      <c r="BY82" s="4794">
        <f t="shared" si="145"/>
        <v>0</v>
      </c>
    </row>
    <row r="83" spans="1:77" ht="24">
      <c r="A83" s="2699">
        <v>15</v>
      </c>
      <c r="B83" s="2694">
        <v>207</v>
      </c>
      <c r="C83" s="2726" t="s">
        <v>313</v>
      </c>
      <c r="D83" s="2723" t="s">
        <v>415</v>
      </c>
      <c r="E83" s="4738">
        <f>+'11.3. ДА Базова година'!H63</f>
        <v>0</v>
      </c>
      <c r="F83" s="1247">
        <f t="shared" si="146"/>
        <v>0</v>
      </c>
      <c r="G83" s="1243">
        <f t="shared" si="146"/>
        <v>0</v>
      </c>
      <c r="H83" s="1243">
        <f t="shared" si="146"/>
        <v>0</v>
      </c>
      <c r="I83" s="1243">
        <f t="shared" si="146"/>
        <v>0</v>
      </c>
      <c r="J83" s="1243">
        <f t="shared" si="146"/>
        <v>0</v>
      </c>
      <c r="K83" s="1248">
        <f t="shared" si="146"/>
        <v>0</v>
      </c>
      <c r="L83" s="4738">
        <f>+'11.3. ДА Базова година'!L63</f>
        <v>0</v>
      </c>
      <c r="M83" s="1247">
        <f t="shared" si="147"/>
        <v>0</v>
      </c>
      <c r="N83" s="1243">
        <f t="shared" si="147"/>
        <v>0</v>
      </c>
      <c r="O83" s="1243">
        <f t="shared" si="147"/>
        <v>0</v>
      </c>
      <c r="P83" s="1243">
        <f t="shared" si="147"/>
        <v>0</v>
      </c>
      <c r="Q83" s="1243">
        <f t="shared" si="147"/>
        <v>0</v>
      </c>
      <c r="R83" s="1248">
        <f t="shared" si="147"/>
        <v>0</v>
      </c>
      <c r="S83" s="4738">
        <f>+'11.3. ДА Базова година'!P63</f>
        <v>0</v>
      </c>
      <c r="T83" s="1247">
        <f>S83+T58</f>
        <v>0</v>
      </c>
      <c r="U83" s="1243">
        <f t="shared" si="108"/>
        <v>0</v>
      </c>
      <c r="V83" s="1243">
        <f t="shared" si="108"/>
        <v>0</v>
      </c>
      <c r="W83" s="1243">
        <f t="shared" si="108"/>
        <v>0</v>
      </c>
      <c r="X83" s="1243">
        <f t="shared" si="108"/>
        <v>0</v>
      </c>
      <c r="Y83" s="1248">
        <f t="shared" si="108"/>
        <v>0</v>
      </c>
      <c r="Z83" s="4738">
        <f>+'11.3. ДА Базова година'!T63</f>
        <v>0</v>
      </c>
      <c r="AA83" s="1247">
        <f>Z83+AA58</f>
        <v>0</v>
      </c>
      <c r="AB83" s="1243">
        <f t="shared" si="109"/>
        <v>0</v>
      </c>
      <c r="AC83" s="1243">
        <f t="shared" si="109"/>
        <v>0</v>
      </c>
      <c r="AD83" s="1243">
        <f t="shared" si="109"/>
        <v>0</v>
      </c>
      <c r="AE83" s="1243">
        <f t="shared" si="109"/>
        <v>0</v>
      </c>
      <c r="AF83" s="1248">
        <f t="shared" si="109"/>
        <v>0</v>
      </c>
      <c r="AG83" s="4738">
        <f>+'11.3. ДА Базова година'!X63</f>
        <v>0</v>
      </c>
      <c r="AH83" s="1247">
        <f>AG83+AH58</f>
        <v>0</v>
      </c>
      <c r="AI83" s="1243">
        <f t="shared" si="110"/>
        <v>0</v>
      </c>
      <c r="AJ83" s="1243">
        <f t="shared" si="110"/>
        <v>0</v>
      </c>
      <c r="AK83" s="1243">
        <f t="shared" si="110"/>
        <v>0</v>
      </c>
      <c r="AL83" s="1243">
        <f t="shared" si="110"/>
        <v>0</v>
      </c>
      <c r="AM83" s="1248">
        <f t="shared" si="110"/>
        <v>0</v>
      </c>
      <c r="AN83" s="2681"/>
      <c r="AO83" s="2719"/>
      <c r="AP83" s="4775"/>
      <c r="AQ83" s="4794">
        <f t="shared" si="111"/>
        <v>0</v>
      </c>
      <c r="AR83" s="4794">
        <f t="shared" si="112"/>
        <v>0</v>
      </c>
      <c r="AS83" s="4794">
        <f t="shared" si="113"/>
        <v>0</v>
      </c>
      <c r="AT83" s="4794">
        <f t="shared" si="114"/>
        <v>0</v>
      </c>
      <c r="AU83" s="4794">
        <f t="shared" si="115"/>
        <v>0</v>
      </c>
      <c r="AV83" s="4794">
        <f t="shared" si="116"/>
        <v>0</v>
      </c>
      <c r="AW83" s="4794">
        <f t="shared" si="117"/>
        <v>0</v>
      </c>
      <c r="AX83" s="4794">
        <f t="shared" si="118"/>
        <v>0</v>
      </c>
      <c r="AY83" s="4794">
        <f t="shared" si="119"/>
        <v>0</v>
      </c>
      <c r="AZ83" s="4794">
        <f t="shared" si="120"/>
        <v>0</v>
      </c>
      <c r="BA83" s="4794">
        <f t="shared" si="121"/>
        <v>0</v>
      </c>
      <c r="BB83" s="4794">
        <f t="shared" si="122"/>
        <v>0</v>
      </c>
      <c r="BC83" s="4794">
        <f t="shared" si="123"/>
        <v>0</v>
      </c>
      <c r="BD83" s="4794">
        <f t="shared" si="124"/>
        <v>0</v>
      </c>
      <c r="BE83" s="4794">
        <f t="shared" si="125"/>
        <v>0</v>
      </c>
      <c r="BF83" s="4794">
        <f t="shared" si="126"/>
        <v>0</v>
      </c>
      <c r="BG83" s="4794">
        <f t="shared" si="127"/>
        <v>0</v>
      </c>
      <c r="BH83" s="4794">
        <f t="shared" si="128"/>
        <v>0</v>
      </c>
      <c r="BI83" s="4794">
        <f t="shared" si="129"/>
        <v>0</v>
      </c>
      <c r="BJ83" s="4794">
        <f t="shared" si="130"/>
        <v>0</v>
      </c>
      <c r="BK83" s="4794">
        <f t="shared" si="131"/>
        <v>0</v>
      </c>
      <c r="BL83" s="4794">
        <f t="shared" si="132"/>
        <v>0</v>
      </c>
      <c r="BM83" s="4794">
        <f t="shared" si="133"/>
        <v>0</v>
      </c>
      <c r="BN83" s="4794">
        <f t="shared" si="134"/>
        <v>0</v>
      </c>
      <c r="BO83" s="4794">
        <f t="shared" si="135"/>
        <v>0</v>
      </c>
      <c r="BP83" s="4794">
        <f t="shared" si="136"/>
        <v>0</v>
      </c>
      <c r="BQ83" s="4794">
        <f t="shared" si="137"/>
        <v>0</v>
      </c>
      <c r="BR83" s="4794">
        <f t="shared" si="138"/>
        <v>0</v>
      </c>
      <c r="BS83" s="4794">
        <f t="shared" si="139"/>
        <v>0</v>
      </c>
      <c r="BT83" s="4794">
        <f t="shared" si="140"/>
        <v>0</v>
      </c>
      <c r="BU83" s="4794">
        <f t="shared" si="141"/>
        <v>0</v>
      </c>
      <c r="BV83" s="4794">
        <f t="shared" si="142"/>
        <v>0</v>
      </c>
      <c r="BW83" s="4794">
        <f t="shared" si="143"/>
        <v>0</v>
      </c>
      <c r="BX83" s="4794">
        <f t="shared" si="144"/>
        <v>0</v>
      </c>
      <c r="BY83" s="4794">
        <f t="shared" si="145"/>
        <v>0</v>
      </c>
    </row>
    <row r="84" spans="1:77" ht="13.5" thickBot="1">
      <c r="A84" s="2699">
        <v>16</v>
      </c>
      <c r="B84" s="2704">
        <v>219</v>
      </c>
      <c r="C84" s="2732">
        <v>0.1</v>
      </c>
      <c r="D84" s="2728" t="s">
        <v>216</v>
      </c>
      <c r="E84" s="4739">
        <f>+'11.3. ДА Базова година'!H64</f>
        <v>103</v>
      </c>
      <c r="F84" s="1247">
        <f t="shared" si="146"/>
        <v>103</v>
      </c>
      <c r="G84" s="1243">
        <f t="shared" si="146"/>
        <v>103</v>
      </c>
      <c r="H84" s="1243">
        <f t="shared" si="146"/>
        <v>103</v>
      </c>
      <c r="I84" s="1243">
        <f t="shared" si="146"/>
        <v>103</v>
      </c>
      <c r="J84" s="1243">
        <f t="shared" si="146"/>
        <v>103</v>
      </c>
      <c r="K84" s="1248">
        <f t="shared" si="146"/>
        <v>103</v>
      </c>
      <c r="L84" s="4739">
        <f>+'11.3. ДА Базова година'!L64</f>
        <v>0</v>
      </c>
      <c r="M84" s="1247">
        <f t="shared" si="147"/>
        <v>0</v>
      </c>
      <c r="N84" s="1243">
        <f t="shared" si="147"/>
        <v>0</v>
      </c>
      <c r="O84" s="1243">
        <f t="shared" si="147"/>
        <v>0</v>
      </c>
      <c r="P84" s="1243">
        <f t="shared" si="147"/>
        <v>0</v>
      </c>
      <c r="Q84" s="1243">
        <f t="shared" si="147"/>
        <v>0</v>
      </c>
      <c r="R84" s="1248">
        <f t="shared" si="147"/>
        <v>0</v>
      </c>
      <c r="S84" s="4739">
        <f>+'11.3. ДА Базова година'!P64</f>
        <v>0</v>
      </c>
      <c r="T84" s="1247">
        <f>S84+T59</f>
        <v>0</v>
      </c>
      <c r="U84" s="1243">
        <f t="shared" si="108"/>
        <v>0</v>
      </c>
      <c r="V84" s="1243">
        <f t="shared" si="108"/>
        <v>0</v>
      </c>
      <c r="W84" s="1243">
        <f t="shared" si="108"/>
        <v>0</v>
      </c>
      <c r="X84" s="1243">
        <f t="shared" si="108"/>
        <v>0</v>
      </c>
      <c r="Y84" s="1248">
        <f t="shared" si="108"/>
        <v>0</v>
      </c>
      <c r="Z84" s="4739">
        <f>+'11.3. ДА Базова година'!T64</f>
        <v>0</v>
      </c>
      <c r="AA84" s="1247">
        <f>Z84+AA59</f>
        <v>0</v>
      </c>
      <c r="AB84" s="1243">
        <f t="shared" si="109"/>
        <v>0</v>
      </c>
      <c r="AC84" s="1243">
        <f t="shared" si="109"/>
        <v>0</v>
      </c>
      <c r="AD84" s="1243">
        <f t="shared" si="109"/>
        <v>0</v>
      </c>
      <c r="AE84" s="1243">
        <f t="shared" si="109"/>
        <v>0</v>
      </c>
      <c r="AF84" s="1248">
        <f t="shared" si="109"/>
        <v>0</v>
      </c>
      <c r="AG84" s="4739">
        <f>+'11.3. ДА Базова година'!X64</f>
        <v>0</v>
      </c>
      <c r="AH84" s="1247">
        <f>AG84+AH59</f>
        <v>0</v>
      </c>
      <c r="AI84" s="1243">
        <f t="shared" si="110"/>
        <v>0</v>
      </c>
      <c r="AJ84" s="1243">
        <f t="shared" si="110"/>
        <v>0</v>
      </c>
      <c r="AK84" s="1243">
        <f t="shared" si="110"/>
        <v>0</v>
      </c>
      <c r="AL84" s="1243">
        <f t="shared" si="110"/>
        <v>0</v>
      </c>
      <c r="AM84" s="1248">
        <f t="shared" si="110"/>
        <v>0</v>
      </c>
      <c r="AN84" s="2681"/>
      <c r="AO84" s="2719"/>
      <c r="AP84" s="4775"/>
      <c r="AQ84" s="4794">
        <f t="shared" si="111"/>
        <v>52.663063763210502</v>
      </c>
      <c r="AR84" s="4794">
        <f t="shared" si="112"/>
        <v>52.663063763210502</v>
      </c>
      <c r="AS84" s="4794">
        <f t="shared" si="113"/>
        <v>52.663063763210502</v>
      </c>
      <c r="AT84" s="4794">
        <f t="shared" si="114"/>
        <v>52.663063763210502</v>
      </c>
      <c r="AU84" s="4794">
        <f t="shared" si="115"/>
        <v>52.663063763210502</v>
      </c>
      <c r="AV84" s="4794">
        <f t="shared" si="116"/>
        <v>52.663063763210502</v>
      </c>
      <c r="AW84" s="4794">
        <f t="shared" si="117"/>
        <v>52.663063763210502</v>
      </c>
      <c r="AX84" s="4794">
        <f t="shared" si="118"/>
        <v>0</v>
      </c>
      <c r="AY84" s="4794">
        <f t="shared" si="119"/>
        <v>0</v>
      </c>
      <c r="AZ84" s="4794">
        <f t="shared" si="120"/>
        <v>0</v>
      </c>
      <c r="BA84" s="4794">
        <f t="shared" si="121"/>
        <v>0</v>
      </c>
      <c r="BB84" s="4794">
        <f t="shared" si="122"/>
        <v>0</v>
      </c>
      <c r="BC84" s="4794">
        <f t="shared" si="123"/>
        <v>0</v>
      </c>
      <c r="BD84" s="4794">
        <f t="shared" si="124"/>
        <v>0</v>
      </c>
      <c r="BE84" s="4794">
        <f t="shared" si="125"/>
        <v>0</v>
      </c>
      <c r="BF84" s="4794">
        <f t="shared" si="126"/>
        <v>0</v>
      </c>
      <c r="BG84" s="4794">
        <f t="shared" si="127"/>
        <v>0</v>
      </c>
      <c r="BH84" s="4794">
        <f t="shared" si="128"/>
        <v>0</v>
      </c>
      <c r="BI84" s="4794">
        <f t="shared" si="129"/>
        <v>0</v>
      </c>
      <c r="BJ84" s="4794">
        <f t="shared" si="130"/>
        <v>0</v>
      </c>
      <c r="BK84" s="4794">
        <f t="shared" si="131"/>
        <v>0</v>
      </c>
      <c r="BL84" s="4794">
        <f t="shared" si="132"/>
        <v>0</v>
      </c>
      <c r="BM84" s="4794">
        <f t="shared" si="133"/>
        <v>0</v>
      </c>
      <c r="BN84" s="4794">
        <f t="shared" si="134"/>
        <v>0</v>
      </c>
      <c r="BO84" s="4794">
        <f t="shared" si="135"/>
        <v>0</v>
      </c>
      <c r="BP84" s="4794">
        <f t="shared" si="136"/>
        <v>0</v>
      </c>
      <c r="BQ84" s="4794">
        <f t="shared" si="137"/>
        <v>0</v>
      </c>
      <c r="BR84" s="4794">
        <f t="shared" si="138"/>
        <v>0</v>
      </c>
      <c r="BS84" s="4794">
        <f t="shared" si="139"/>
        <v>0</v>
      </c>
      <c r="BT84" s="4794">
        <f t="shared" si="140"/>
        <v>0</v>
      </c>
      <c r="BU84" s="4794">
        <f t="shared" si="141"/>
        <v>0</v>
      </c>
      <c r="BV84" s="4794">
        <f t="shared" si="142"/>
        <v>0</v>
      </c>
      <c r="BW84" s="4794">
        <f t="shared" si="143"/>
        <v>0</v>
      </c>
      <c r="BX84" s="4794">
        <f t="shared" si="144"/>
        <v>0</v>
      </c>
      <c r="BY84" s="4794">
        <f t="shared" si="145"/>
        <v>0</v>
      </c>
    </row>
    <row r="85" spans="1:77" ht="13.5" thickBot="1">
      <c r="A85" s="3951" t="s">
        <v>221</v>
      </c>
      <c r="B85" s="2707"/>
      <c r="C85" s="2707"/>
      <c r="D85" s="2670" t="s">
        <v>222</v>
      </c>
      <c r="E85" s="2675">
        <f t="shared" ref="E85" si="148">SUM(E86:E109)-E88-E94</f>
        <v>10647.5</v>
      </c>
      <c r="F85" s="2672">
        <f t="shared" ref="F85:AM85" si="149">SUM(F86:F109)-F88-F94</f>
        <v>10137.762076146671</v>
      </c>
      <c r="G85" s="2673">
        <f t="shared" si="149"/>
        <v>9531.1770950860646</v>
      </c>
      <c r="H85" s="2673">
        <f t="shared" si="149"/>
        <v>8840.1135932299567</v>
      </c>
      <c r="I85" s="2673">
        <f t="shared" si="149"/>
        <v>8282.5014808423894</v>
      </c>
      <c r="J85" s="2673">
        <f t="shared" si="149"/>
        <v>7901.8543204510052</v>
      </c>
      <c r="K85" s="2674">
        <f t="shared" si="149"/>
        <v>7110.3757782500606</v>
      </c>
      <c r="L85" s="2675">
        <f t="shared" si="149"/>
        <v>1387</v>
      </c>
      <c r="M85" s="2672">
        <f t="shared" si="149"/>
        <v>1265.4510221029768</v>
      </c>
      <c r="N85" s="2673">
        <f t="shared" si="149"/>
        <v>1130.3049046787344</v>
      </c>
      <c r="O85" s="2673">
        <f t="shared" si="149"/>
        <v>971.63754565451632</v>
      </c>
      <c r="P85" s="2673">
        <f t="shared" si="149"/>
        <v>872.72084336579951</v>
      </c>
      <c r="Q85" s="2673">
        <f t="shared" si="149"/>
        <v>693.69985142167172</v>
      </c>
      <c r="R85" s="2674">
        <f t="shared" si="149"/>
        <v>533.27678195110684</v>
      </c>
      <c r="S85" s="2675">
        <f t="shared" si="149"/>
        <v>954</v>
      </c>
      <c r="T85" s="2672">
        <f t="shared" si="149"/>
        <v>960.54690175035148</v>
      </c>
      <c r="U85" s="2673">
        <f t="shared" si="149"/>
        <v>994.48800023519971</v>
      </c>
      <c r="V85" s="2673">
        <f t="shared" si="149"/>
        <v>984.37886111552484</v>
      </c>
      <c r="W85" s="2673">
        <f t="shared" si="149"/>
        <v>1019.5676757918095</v>
      </c>
      <c r="X85" s="2673">
        <f t="shared" si="149"/>
        <v>999.14582812732112</v>
      </c>
      <c r="Y85" s="2674">
        <f t="shared" si="149"/>
        <v>962.20743979883218</v>
      </c>
      <c r="Z85" s="2675">
        <f t="shared" si="149"/>
        <v>0</v>
      </c>
      <c r="AA85" s="2672">
        <f t="shared" si="149"/>
        <v>0</v>
      </c>
      <c r="AB85" s="2673">
        <f t="shared" si="149"/>
        <v>0</v>
      </c>
      <c r="AC85" s="2673">
        <f t="shared" si="149"/>
        <v>0</v>
      </c>
      <c r="AD85" s="2673">
        <f t="shared" si="149"/>
        <v>0</v>
      </c>
      <c r="AE85" s="2673">
        <f t="shared" si="149"/>
        <v>0</v>
      </c>
      <c r="AF85" s="2674">
        <f t="shared" si="149"/>
        <v>0</v>
      </c>
      <c r="AG85" s="2675">
        <f t="shared" si="149"/>
        <v>0</v>
      </c>
      <c r="AH85" s="2672">
        <f t="shared" si="149"/>
        <v>0</v>
      </c>
      <c r="AI85" s="2673">
        <f t="shared" si="149"/>
        <v>0</v>
      </c>
      <c r="AJ85" s="2673">
        <f t="shared" si="149"/>
        <v>0</v>
      </c>
      <c r="AK85" s="2673">
        <f t="shared" si="149"/>
        <v>0</v>
      </c>
      <c r="AL85" s="2673">
        <f t="shared" si="149"/>
        <v>0</v>
      </c>
      <c r="AM85" s="2674">
        <f t="shared" si="149"/>
        <v>0</v>
      </c>
      <c r="AN85" s="2676"/>
      <c r="AO85" s="2733">
        <f>-(K85+R85+Y85+K171+R171+Y171+K258+R258+Y258)+((K10+R10+Y10+K111+R111+Y111+K192+R192+Y192)-(K60+R60+Y60+K151+R151+Y151+K236+R236+Y236))</f>
        <v>0</v>
      </c>
      <c r="AP85" s="4775"/>
      <c r="AQ85" s="4794">
        <f t="shared" si="111"/>
        <v>5443.9803050367364</v>
      </c>
      <c r="AR85" s="4794">
        <f t="shared" si="112"/>
        <v>5183.3554430327131</v>
      </c>
      <c r="AS85" s="4794">
        <f t="shared" si="113"/>
        <v>4873.2134669608631</v>
      </c>
      <c r="AT85" s="4794">
        <f t="shared" si="114"/>
        <v>4519.8783090708075</v>
      </c>
      <c r="AU85" s="4794">
        <f t="shared" si="115"/>
        <v>4234.7757631503709</v>
      </c>
      <c r="AV85" s="4794">
        <f t="shared" si="116"/>
        <v>4040.1539604418613</v>
      </c>
      <c r="AW85" s="4794">
        <f t="shared" si="117"/>
        <v>3635.4774076734998</v>
      </c>
      <c r="AX85" s="4794">
        <f t="shared" si="118"/>
        <v>709.16183921915501</v>
      </c>
      <c r="AY85" s="4794">
        <f t="shared" si="119"/>
        <v>647.01483365270849</v>
      </c>
      <c r="AZ85" s="4794">
        <f t="shared" si="120"/>
        <v>577.91572103850251</v>
      </c>
      <c r="BA85" s="4794">
        <f t="shared" si="121"/>
        <v>496.79038855857431</v>
      </c>
      <c r="BB85" s="4794">
        <f t="shared" si="122"/>
        <v>446.21508176364995</v>
      </c>
      <c r="BC85" s="4794">
        <f t="shared" si="123"/>
        <v>354.68310201892382</v>
      </c>
      <c r="BD85" s="4794">
        <f t="shared" si="124"/>
        <v>272.66008904204705</v>
      </c>
      <c r="BE85" s="4794">
        <f t="shared" si="125"/>
        <v>487.77245466119246</v>
      </c>
      <c r="BF85" s="4794">
        <f t="shared" si="126"/>
        <v>491.11983237313649</v>
      </c>
      <c r="BG85" s="4794">
        <f t="shared" si="127"/>
        <v>508.47364046732065</v>
      </c>
      <c r="BH85" s="4794">
        <f t="shared" si="128"/>
        <v>503.30491970954779</v>
      </c>
      <c r="BI85" s="4794">
        <f t="shared" si="129"/>
        <v>521.29667496245054</v>
      </c>
      <c r="BJ85" s="4794">
        <f t="shared" si="130"/>
        <v>510.85515005257162</v>
      </c>
      <c r="BK85" s="4794">
        <f t="shared" si="131"/>
        <v>491.96885199574206</v>
      </c>
      <c r="BL85" s="4794">
        <f t="shared" si="132"/>
        <v>0</v>
      </c>
      <c r="BM85" s="4794">
        <f t="shared" si="133"/>
        <v>0</v>
      </c>
      <c r="BN85" s="4794">
        <f t="shared" si="134"/>
        <v>0</v>
      </c>
      <c r="BO85" s="4794">
        <f t="shared" si="135"/>
        <v>0</v>
      </c>
      <c r="BP85" s="4794">
        <f t="shared" si="136"/>
        <v>0</v>
      </c>
      <c r="BQ85" s="4794">
        <f t="shared" si="137"/>
        <v>0</v>
      </c>
      <c r="BR85" s="4794">
        <f t="shared" si="138"/>
        <v>0</v>
      </c>
      <c r="BS85" s="4794">
        <f t="shared" si="139"/>
        <v>0</v>
      </c>
      <c r="BT85" s="4794">
        <f t="shared" si="140"/>
        <v>0</v>
      </c>
      <c r="BU85" s="4794">
        <f t="shared" si="141"/>
        <v>0</v>
      </c>
      <c r="BV85" s="4794">
        <f t="shared" si="142"/>
        <v>0</v>
      </c>
      <c r="BW85" s="4794">
        <f t="shared" si="143"/>
        <v>0</v>
      </c>
      <c r="BX85" s="4794">
        <f t="shared" si="144"/>
        <v>0</v>
      </c>
      <c r="BY85" s="4794">
        <f t="shared" si="145"/>
        <v>0</v>
      </c>
    </row>
    <row r="86" spans="1:77">
      <c r="A86" s="2677">
        <v>1</v>
      </c>
      <c r="B86" s="2677">
        <v>20101</v>
      </c>
      <c r="C86" s="2701">
        <v>0</v>
      </c>
      <c r="D86" s="2729" t="s">
        <v>556</v>
      </c>
      <c r="E86" s="2796">
        <f>E11-E61</f>
        <v>287</v>
      </c>
      <c r="F86" s="2777">
        <f t="shared" ref="F86:AM87" si="150">F11-F61</f>
        <v>287</v>
      </c>
      <c r="G86" s="2778">
        <f t="shared" si="150"/>
        <v>287</v>
      </c>
      <c r="H86" s="2778">
        <f t="shared" si="150"/>
        <v>287</v>
      </c>
      <c r="I86" s="2778">
        <f t="shared" si="150"/>
        <v>287</v>
      </c>
      <c r="J86" s="2778">
        <f t="shared" si="150"/>
        <v>287</v>
      </c>
      <c r="K86" s="2797">
        <f t="shared" si="150"/>
        <v>287</v>
      </c>
      <c r="L86" s="2796">
        <f t="shared" si="150"/>
        <v>181</v>
      </c>
      <c r="M86" s="2777">
        <f t="shared" si="150"/>
        <v>181</v>
      </c>
      <c r="N86" s="2778">
        <f t="shared" si="150"/>
        <v>181</v>
      </c>
      <c r="O86" s="2778">
        <f t="shared" si="150"/>
        <v>181</v>
      </c>
      <c r="P86" s="2778">
        <f t="shared" si="150"/>
        <v>181</v>
      </c>
      <c r="Q86" s="2778">
        <f t="shared" si="150"/>
        <v>181</v>
      </c>
      <c r="R86" s="2797">
        <f t="shared" si="150"/>
        <v>181</v>
      </c>
      <c r="S86" s="2796">
        <f t="shared" si="150"/>
        <v>147</v>
      </c>
      <c r="T86" s="2780">
        <f t="shared" si="150"/>
        <v>147</v>
      </c>
      <c r="U86" s="2778">
        <f t="shared" si="150"/>
        <v>147</v>
      </c>
      <c r="V86" s="2778">
        <f t="shared" si="150"/>
        <v>147</v>
      </c>
      <c r="W86" s="2778">
        <f t="shared" si="150"/>
        <v>147</v>
      </c>
      <c r="X86" s="2778">
        <f t="shared" si="150"/>
        <v>147</v>
      </c>
      <c r="Y86" s="2779">
        <f t="shared" si="150"/>
        <v>147</v>
      </c>
      <c r="Z86" s="2796">
        <f t="shared" si="150"/>
        <v>0</v>
      </c>
      <c r="AA86" s="2780">
        <f t="shared" si="150"/>
        <v>0</v>
      </c>
      <c r="AB86" s="2778">
        <f t="shared" si="150"/>
        <v>0</v>
      </c>
      <c r="AC86" s="2778">
        <f t="shared" si="150"/>
        <v>0</v>
      </c>
      <c r="AD86" s="2778">
        <f t="shared" si="150"/>
        <v>0</v>
      </c>
      <c r="AE86" s="2778">
        <f t="shared" si="150"/>
        <v>0</v>
      </c>
      <c r="AF86" s="2779">
        <f t="shared" si="150"/>
        <v>0</v>
      </c>
      <c r="AG86" s="2796">
        <f t="shared" si="150"/>
        <v>0</v>
      </c>
      <c r="AH86" s="2780">
        <f t="shared" si="150"/>
        <v>0</v>
      </c>
      <c r="AI86" s="2778">
        <f t="shared" si="150"/>
        <v>0</v>
      </c>
      <c r="AJ86" s="2778">
        <f t="shared" si="150"/>
        <v>0</v>
      </c>
      <c r="AK86" s="2778">
        <f t="shared" si="150"/>
        <v>0</v>
      </c>
      <c r="AL86" s="2778">
        <f t="shared" si="150"/>
        <v>0</v>
      </c>
      <c r="AM86" s="2779">
        <f t="shared" si="150"/>
        <v>0</v>
      </c>
      <c r="AN86" s="2681"/>
      <c r="AO86" s="2682"/>
      <c r="AP86" s="4775"/>
      <c r="AQ86" s="4794">
        <f t="shared" si="111"/>
        <v>146.74076990331471</v>
      </c>
      <c r="AR86" s="4794">
        <f t="shared" si="112"/>
        <v>146.74076990331471</v>
      </c>
      <c r="AS86" s="4794">
        <f t="shared" si="113"/>
        <v>146.74076990331471</v>
      </c>
      <c r="AT86" s="4794">
        <f t="shared" si="114"/>
        <v>146.74076990331471</v>
      </c>
      <c r="AU86" s="4794">
        <f t="shared" si="115"/>
        <v>146.74076990331471</v>
      </c>
      <c r="AV86" s="4794">
        <f t="shared" si="116"/>
        <v>146.74076990331471</v>
      </c>
      <c r="AW86" s="4794">
        <f t="shared" si="117"/>
        <v>146.74076990331471</v>
      </c>
      <c r="AX86" s="4794">
        <f t="shared" si="118"/>
        <v>92.543830496515554</v>
      </c>
      <c r="AY86" s="4794">
        <f t="shared" si="119"/>
        <v>92.543830496515554</v>
      </c>
      <c r="AZ86" s="4794">
        <f t="shared" si="120"/>
        <v>92.543830496515554</v>
      </c>
      <c r="BA86" s="4794">
        <f t="shared" si="121"/>
        <v>92.543830496515554</v>
      </c>
      <c r="BB86" s="4794">
        <f t="shared" si="122"/>
        <v>92.543830496515554</v>
      </c>
      <c r="BC86" s="4794">
        <f t="shared" si="123"/>
        <v>92.543830496515554</v>
      </c>
      <c r="BD86" s="4794">
        <f t="shared" si="124"/>
        <v>92.543830496515554</v>
      </c>
      <c r="BE86" s="4794">
        <f t="shared" si="125"/>
        <v>75.159906535844115</v>
      </c>
      <c r="BF86" s="4794">
        <f t="shared" si="126"/>
        <v>75.159906535844115</v>
      </c>
      <c r="BG86" s="4794">
        <f t="shared" si="127"/>
        <v>75.159906535844115</v>
      </c>
      <c r="BH86" s="4794">
        <f t="shared" si="128"/>
        <v>75.159906535844115</v>
      </c>
      <c r="BI86" s="4794">
        <f t="shared" si="129"/>
        <v>75.159906535844115</v>
      </c>
      <c r="BJ86" s="4794">
        <f t="shared" si="130"/>
        <v>75.159906535844115</v>
      </c>
      <c r="BK86" s="4794">
        <f t="shared" si="131"/>
        <v>75.159906535844115</v>
      </c>
      <c r="BL86" s="4794">
        <f t="shared" si="132"/>
        <v>0</v>
      </c>
      <c r="BM86" s="4794">
        <f t="shared" si="133"/>
        <v>0</v>
      </c>
      <c r="BN86" s="4794">
        <f t="shared" si="134"/>
        <v>0</v>
      </c>
      <c r="BO86" s="4794">
        <f t="shared" si="135"/>
        <v>0</v>
      </c>
      <c r="BP86" s="4794">
        <f t="shared" si="136"/>
        <v>0</v>
      </c>
      <c r="BQ86" s="4794">
        <f t="shared" si="137"/>
        <v>0</v>
      </c>
      <c r="BR86" s="4794">
        <f t="shared" si="138"/>
        <v>0</v>
      </c>
      <c r="BS86" s="4794">
        <f t="shared" si="139"/>
        <v>0</v>
      </c>
      <c r="BT86" s="4794">
        <f t="shared" si="140"/>
        <v>0</v>
      </c>
      <c r="BU86" s="4794">
        <f t="shared" si="141"/>
        <v>0</v>
      </c>
      <c r="BV86" s="4794">
        <f t="shared" si="142"/>
        <v>0</v>
      </c>
      <c r="BW86" s="4794">
        <f t="shared" si="143"/>
        <v>0</v>
      </c>
      <c r="BX86" s="4794">
        <f t="shared" si="144"/>
        <v>0</v>
      </c>
      <c r="BY86" s="4794">
        <f t="shared" si="145"/>
        <v>0</v>
      </c>
    </row>
    <row r="87" spans="1:77">
      <c r="A87" s="2683">
        <v>2</v>
      </c>
      <c r="B87" s="2683">
        <v>20201</v>
      </c>
      <c r="C87" s="2730">
        <v>0.03</v>
      </c>
      <c r="D87" s="2731" t="s">
        <v>425</v>
      </c>
      <c r="E87" s="1136">
        <f t="shared" ref="E87" si="151">E12-E62</f>
        <v>434</v>
      </c>
      <c r="F87" s="927">
        <f t="shared" si="150"/>
        <v>414.97071036156899</v>
      </c>
      <c r="G87" s="1243">
        <f t="shared" si="150"/>
        <v>400.9920712923049</v>
      </c>
      <c r="H87" s="1243">
        <f t="shared" si="150"/>
        <v>378.79625784583743</v>
      </c>
      <c r="I87" s="1243">
        <f t="shared" si="150"/>
        <v>355.30685985848334</v>
      </c>
      <c r="J87" s="1243">
        <f t="shared" si="150"/>
        <v>314.50096835345278</v>
      </c>
      <c r="K87" s="2798">
        <f t="shared" si="150"/>
        <v>289.71612194096065</v>
      </c>
      <c r="L87" s="1136">
        <f t="shared" si="150"/>
        <v>291</v>
      </c>
      <c r="M87" s="927">
        <f t="shared" si="150"/>
        <v>295.64711894723388</v>
      </c>
      <c r="N87" s="1243">
        <f t="shared" si="150"/>
        <v>306.90110974809971</v>
      </c>
      <c r="O87" s="1243">
        <f t="shared" si="150"/>
        <v>311.41090881709971</v>
      </c>
      <c r="P87" s="1243">
        <f t="shared" si="150"/>
        <v>315.85251537155688</v>
      </c>
      <c r="Q87" s="1243">
        <f t="shared" si="150"/>
        <v>303.59922214471317</v>
      </c>
      <c r="R87" s="2798">
        <f t="shared" si="150"/>
        <v>307.98314817195427</v>
      </c>
      <c r="S87" s="1136">
        <f t="shared" si="150"/>
        <v>244</v>
      </c>
      <c r="T87" s="1247">
        <f t="shared" si="150"/>
        <v>255.63217069119708</v>
      </c>
      <c r="U87" s="1243">
        <f t="shared" si="150"/>
        <v>273.80681895959538</v>
      </c>
      <c r="V87" s="1243">
        <f t="shared" si="150"/>
        <v>285.14283333706277</v>
      </c>
      <c r="W87" s="1243">
        <f t="shared" si="150"/>
        <v>296.34062476995967</v>
      </c>
      <c r="X87" s="1243">
        <f t="shared" si="150"/>
        <v>290.79980950183398</v>
      </c>
      <c r="Y87" s="1248">
        <f t="shared" si="150"/>
        <v>301.85072988708498</v>
      </c>
      <c r="Z87" s="1136">
        <f t="shared" si="150"/>
        <v>0</v>
      </c>
      <c r="AA87" s="1247">
        <f t="shared" si="150"/>
        <v>0</v>
      </c>
      <c r="AB87" s="1243">
        <f t="shared" si="150"/>
        <v>0</v>
      </c>
      <c r="AC87" s="1243">
        <f t="shared" si="150"/>
        <v>0</v>
      </c>
      <c r="AD87" s="1243">
        <f t="shared" si="150"/>
        <v>0</v>
      </c>
      <c r="AE87" s="1243">
        <f t="shared" si="150"/>
        <v>0</v>
      </c>
      <c r="AF87" s="1248">
        <f t="shared" si="150"/>
        <v>0</v>
      </c>
      <c r="AG87" s="1136">
        <f t="shared" si="150"/>
        <v>0</v>
      </c>
      <c r="AH87" s="1247">
        <f t="shared" si="150"/>
        <v>0</v>
      </c>
      <c r="AI87" s="1243">
        <f t="shared" si="150"/>
        <v>0</v>
      </c>
      <c r="AJ87" s="1243">
        <f t="shared" si="150"/>
        <v>0</v>
      </c>
      <c r="AK87" s="1243">
        <f t="shared" si="150"/>
        <v>0</v>
      </c>
      <c r="AL87" s="1243">
        <f t="shared" si="150"/>
        <v>0</v>
      </c>
      <c r="AM87" s="1248">
        <f t="shared" si="150"/>
        <v>0</v>
      </c>
      <c r="AN87" s="2681"/>
      <c r="AO87" s="2734"/>
      <c r="AP87" s="4775"/>
      <c r="AQ87" s="4794">
        <f t="shared" si="111"/>
        <v>221.90067643915881</v>
      </c>
      <c r="AR87" s="4794">
        <f t="shared" si="112"/>
        <v>212.17115514209772</v>
      </c>
      <c r="AS87" s="4794">
        <f t="shared" si="113"/>
        <v>205.02399047581073</v>
      </c>
      <c r="AT87" s="4794">
        <f t="shared" si="114"/>
        <v>193.67545126408606</v>
      </c>
      <c r="AU87" s="4794">
        <f t="shared" si="115"/>
        <v>181.66551277896511</v>
      </c>
      <c r="AV87" s="4794">
        <f t="shared" si="116"/>
        <v>160.80179174746925</v>
      </c>
      <c r="AW87" s="4794">
        <f t="shared" si="117"/>
        <v>148.1295010000668</v>
      </c>
      <c r="AX87" s="4794">
        <f t="shared" si="118"/>
        <v>148.78593742809957</v>
      </c>
      <c r="AY87" s="4794">
        <f t="shared" si="119"/>
        <v>151.16197161677337</v>
      </c>
      <c r="AZ87" s="4794">
        <f t="shared" si="120"/>
        <v>156.91604574431301</v>
      </c>
      <c r="BA87" s="4794">
        <f t="shared" si="121"/>
        <v>159.22186939411898</v>
      </c>
      <c r="BB87" s="4794">
        <f t="shared" si="122"/>
        <v>161.49282676488085</v>
      </c>
      <c r="BC87" s="4794">
        <f t="shared" si="123"/>
        <v>155.22781742007902</v>
      </c>
      <c r="BD87" s="4794">
        <f t="shared" si="124"/>
        <v>157.4692832055722</v>
      </c>
      <c r="BE87" s="4794">
        <f t="shared" si="125"/>
        <v>124.75521901187732</v>
      </c>
      <c r="BF87" s="4794">
        <f t="shared" si="126"/>
        <v>130.70265344697498</v>
      </c>
      <c r="BG87" s="4794">
        <f t="shared" si="127"/>
        <v>139.99520355020394</v>
      </c>
      <c r="BH87" s="4794">
        <f t="shared" si="128"/>
        <v>145.79121566652663</v>
      </c>
      <c r="BI87" s="4794">
        <f t="shared" si="129"/>
        <v>151.51655551349538</v>
      </c>
      <c r="BJ87" s="4794">
        <f t="shared" si="130"/>
        <v>148.68358165169468</v>
      </c>
      <c r="BK87" s="4794">
        <f t="shared" si="131"/>
        <v>154.33382752441929</v>
      </c>
      <c r="BL87" s="4794">
        <f t="shared" si="132"/>
        <v>0</v>
      </c>
      <c r="BM87" s="4794">
        <f t="shared" si="133"/>
        <v>0</v>
      </c>
      <c r="BN87" s="4794">
        <f t="shared" si="134"/>
        <v>0</v>
      </c>
      <c r="BO87" s="4794">
        <f t="shared" si="135"/>
        <v>0</v>
      </c>
      <c r="BP87" s="4794">
        <f t="shared" si="136"/>
        <v>0</v>
      </c>
      <c r="BQ87" s="4794">
        <f t="shared" si="137"/>
        <v>0</v>
      </c>
      <c r="BR87" s="4794">
        <f t="shared" si="138"/>
        <v>0</v>
      </c>
      <c r="BS87" s="4794">
        <f t="shared" si="139"/>
        <v>0</v>
      </c>
      <c r="BT87" s="4794">
        <f t="shared" si="140"/>
        <v>0</v>
      </c>
      <c r="BU87" s="4794">
        <f t="shared" si="141"/>
        <v>0</v>
      </c>
      <c r="BV87" s="4794">
        <f t="shared" si="142"/>
        <v>0</v>
      </c>
      <c r="BW87" s="4794">
        <f t="shared" si="143"/>
        <v>0</v>
      </c>
      <c r="BX87" s="4794">
        <f t="shared" si="144"/>
        <v>0</v>
      </c>
      <c r="BY87" s="4794">
        <f t="shared" si="145"/>
        <v>0</v>
      </c>
    </row>
    <row r="88" spans="1:77" ht="24">
      <c r="A88" s="2683">
        <v>3</v>
      </c>
      <c r="B88" s="2684">
        <v>203</v>
      </c>
      <c r="C88" s="2690"/>
      <c r="D88" s="2715" t="s">
        <v>405</v>
      </c>
      <c r="E88" s="2781">
        <f t="shared" ref="E88" si="152">SUM(E89:E92)</f>
        <v>2256.6999999999998</v>
      </c>
      <c r="F88" s="2799">
        <f t="shared" ref="F88:AM88" si="153">SUM(F89:F92)</f>
        <v>2016.6</v>
      </c>
      <c r="G88" s="2800">
        <f t="shared" si="153"/>
        <v>1714</v>
      </c>
      <c r="H88" s="2800">
        <f t="shared" si="153"/>
        <v>1353.9</v>
      </c>
      <c r="I88" s="2800">
        <f t="shared" si="153"/>
        <v>1083.8000000000002</v>
      </c>
      <c r="J88" s="2800">
        <f t="shared" si="153"/>
        <v>798.7000000000005</v>
      </c>
      <c r="K88" s="2801">
        <f t="shared" si="153"/>
        <v>403.60000000000059</v>
      </c>
      <c r="L88" s="2781">
        <f t="shared" si="153"/>
        <v>611</v>
      </c>
      <c r="M88" s="2799">
        <f t="shared" si="153"/>
        <v>467.59999999999991</v>
      </c>
      <c r="N88" s="2800">
        <f t="shared" si="153"/>
        <v>327.94999999999982</v>
      </c>
      <c r="O88" s="2800">
        <f t="shared" si="153"/>
        <v>182.04999999999973</v>
      </c>
      <c r="P88" s="2800">
        <f t="shared" si="153"/>
        <v>35.149999999999636</v>
      </c>
      <c r="Q88" s="2800">
        <f t="shared" si="153"/>
        <v>-112.75000000000045</v>
      </c>
      <c r="R88" s="2801">
        <f t="shared" si="153"/>
        <v>-261.65000000000055</v>
      </c>
      <c r="S88" s="2781">
        <f t="shared" si="153"/>
        <v>307</v>
      </c>
      <c r="T88" s="2795">
        <f t="shared" si="153"/>
        <v>275.3</v>
      </c>
      <c r="U88" s="2783">
        <f t="shared" si="153"/>
        <v>289.10000000000002</v>
      </c>
      <c r="V88" s="2783">
        <f t="shared" si="153"/>
        <v>276.90000000000003</v>
      </c>
      <c r="W88" s="2783">
        <f t="shared" si="153"/>
        <v>250.20000000000005</v>
      </c>
      <c r="X88" s="2783">
        <f t="shared" si="153"/>
        <v>248.00000000000006</v>
      </c>
      <c r="Y88" s="2784">
        <f t="shared" si="153"/>
        <v>210.30000000000007</v>
      </c>
      <c r="Z88" s="2781">
        <f t="shared" si="153"/>
        <v>0</v>
      </c>
      <c r="AA88" s="2795">
        <f t="shared" si="153"/>
        <v>0</v>
      </c>
      <c r="AB88" s="2783">
        <f t="shared" si="153"/>
        <v>0</v>
      </c>
      <c r="AC88" s="2783">
        <f t="shared" si="153"/>
        <v>0</v>
      </c>
      <c r="AD88" s="2783">
        <f t="shared" si="153"/>
        <v>0</v>
      </c>
      <c r="AE88" s="2783">
        <f t="shared" si="153"/>
        <v>0</v>
      </c>
      <c r="AF88" s="2784">
        <f t="shared" si="153"/>
        <v>0</v>
      </c>
      <c r="AG88" s="2781">
        <f t="shared" si="153"/>
        <v>0</v>
      </c>
      <c r="AH88" s="2795">
        <f t="shared" si="153"/>
        <v>0</v>
      </c>
      <c r="AI88" s="2783">
        <f t="shared" si="153"/>
        <v>0</v>
      </c>
      <c r="AJ88" s="2783">
        <f t="shared" si="153"/>
        <v>0</v>
      </c>
      <c r="AK88" s="2783">
        <f t="shared" si="153"/>
        <v>0</v>
      </c>
      <c r="AL88" s="2783">
        <f t="shared" si="153"/>
        <v>0</v>
      </c>
      <c r="AM88" s="2784">
        <f t="shared" si="153"/>
        <v>0</v>
      </c>
      <c r="AN88" s="2681"/>
      <c r="AO88" s="2719"/>
      <c r="AP88" s="4775"/>
      <c r="AQ88" s="4794">
        <f t="shared" si="111"/>
        <v>1153.8323882955062</v>
      </c>
      <c r="AR88" s="4794">
        <f t="shared" si="112"/>
        <v>1031.0712076202942</v>
      </c>
      <c r="AS88" s="4794">
        <f t="shared" si="113"/>
        <v>876.35428437031851</v>
      </c>
      <c r="AT88" s="4794">
        <f t="shared" si="114"/>
        <v>692.23807795156029</v>
      </c>
      <c r="AU88" s="4794">
        <f t="shared" si="115"/>
        <v>554.13814084046169</v>
      </c>
      <c r="AV88" s="4794">
        <f t="shared" si="116"/>
        <v>408.36882551141997</v>
      </c>
      <c r="AW88" s="4794">
        <f t="shared" si="117"/>
        <v>206.35740325079408</v>
      </c>
      <c r="AX88" s="4794">
        <f t="shared" si="118"/>
        <v>312.39933941088952</v>
      </c>
      <c r="AY88" s="4794">
        <f t="shared" si="119"/>
        <v>239.08008364735173</v>
      </c>
      <c r="AZ88" s="4794">
        <f t="shared" si="120"/>
        <v>167.67817243829975</v>
      </c>
      <c r="BA88" s="4794">
        <f t="shared" si="121"/>
        <v>93.080686971771442</v>
      </c>
      <c r="BB88" s="4794">
        <f t="shared" si="122"/>
        <v>17.971909624046894</v>
      </c>
      <c r="BC88" s="4794">
        <f t="shared" si="123"/>
        <v>-57.648159604873868</v>
      </c>
      <c r="BD88" s="4794">
        <f t="shared" si="124"/>
        <v>-133.77952071499084</v>
      </c>
      <c r="BE88" s="4794">
        <f t="shared" si="125"/>
        <v>156.96660752723909</v>
      </c>
      <c r="BF88" s="4794">
        <f t="shared" si="126"/>
        <v>140.75865489331895</v>
      </c>
      <c r="BG88" s="4794">
        <f t="shared" si="127"/>
        <v>147.81448285382677</v>
      </c>
      <c r="BH88" s="4794">
        <f t="shared" si="128"/>
        <v>141.57672190323291</v>
      </c>
      <c r="BI88" s="4794">
        <f t="shared" si="129"/>
        <v>127.92522867529389</v>
      </c>
      <c r="BJ88" s="4794">
        <f t="shared" si="130"/>
        <v>126.80038653666222</v>
      </c>
      <c r="BK88" s="4794">
        <f t="shared" si="131"/>
        <v>107.52468261556479</v>
      </c>
      <c r="BL88" s="4794">
        <f t="shared" si="132"/>
        <v>0</v>
      </c>
      <c r="BM88" s="4794">
        <f t="shared" si="133"/>
        <v>0</v>
      </c>
      <c r="BN88" s="4794">
        <f t="shared" si="134"/>
        <v>0</v>
      </c>
      <c r="BO88" s="4794">
        <f t="shared" si="135"/>
        <v>0</v>
      </c>
      <c r="BP88" s="4794">
        <f t="shared" si="136"/>
        <v>0</v>
      </c>
      <c r="BQ88" s="4794">
        <f t="shared" si="137"/>
        <v>0</v>
      </c>
      <c r="BR88" s="4794">
        <f t="shared" si="138"/>
        <v>0</v>
      </c>
      <c r="BS88" s="4794">
        <f t="shared" si="139"/>
        <v>0</v>
      </c>
      <c r="BT88" s="4794">
        <f t="shared" si="140"/>
        <v>0</v>
      </c>
      <c r="BU88" s="4794">
        <f t="shared" si="141"/>
        <v>0</v>
      </c>
      <c r="BV88" s="4794">
        <f t="shared" si="142"/>
        <v>0</v>
      </c>
      <c r="BW88" s="4794">
        <f t="shared" si="143"/>
        <v>0</v>
      </c>
      <c r="BX88" s="4794">
        <f t="shared" si="144"/>
        <v>0</v>
      </c>
      <c r="BY88" s="4794">
        <f t="shared" si="145"/>
        <v>0</v>
      </c>
    </row>
    <row r="89" spans="1:77">
      <c r="A89" s="2683"/>
      <c r="B89" s="2684">
        <v>20301</v>
      </c>
      <c r="C89" s="2690">
        <v>0.1</v>
      </c>
      <c r="D89" s="2718" t="s">
        <v>427</v>
      </c>
      <c r="E89" s="1136">
        <f t="shared" ref="E89:E93" si="154">E14-E64</f>
        <v>250</v>
      </c>
      <c r="F89" s="927">
        <f t="shared" ref="F89:AM93" si="155">F14-F64</f>
        <v>192.45</v>
      </c>
      <c r="G89" s="1243">
        <f t="shared" si="155"/>
        <v>134.89999999999998</v>
      </c>
      <c r="H89" s="1243">
        <f t="shared" si="155"/>
        <v>77.350000000000023</v>
      </c>
      <c r="I89" s="1243">
        <f t="shared" si="155"/>
        <v>19.800000000000068</v>
      </c>
      <c r="J89" s="1243">
        <f t="shared" si="155"/>
        <v>-37.749999999999886</v>
      </c>
      <c r="K89" s="2798">
        <f t="shared" si="155"/>
        <v>-95.299999999999841</v>
      </c>
      <c r="L89" s="1136">
        <f t="shared" si="155"/>
        <v>67</v>
      </c>
      <c r="M89" s="927">
        <f t="shared" si="155"/>
        <v>57</v>
      </c>
      <c r="N89" s="1243">
        <f t="shared" si="155"/>
        <v>47</v>
      </c>
      <c r="O89" s="1243">
        <f t="shared" si="155"/>
        <v>37</v>
      </c>
      <c r="P89" s="1243">
        <f t="shared" si="155"/>
        <v>27</v>
      </c>
      <c r="Q89" s="1243">
        <f t="shared" si="155"/>
        <v>17</v>
      </c>
      <c r="R89" s="2798">
        <f t="shared" si="155"/>
        <v>7</v>
      </c>
      <c r="S89" s="1136">
        <f t="shared" si="155"/>
        <v>251</v>
      </c>
      <c r="T89" s="1247">
        <f t="shared" si="155"/>
        <v>213.55</v>
      </c>
      <c r="U89" s="1243">
        <f t="shared" si="155"/>
        <v>176.10000000000002</v>
      </c>
      <c r="V89" s="1243">
        <f t="shared" si="155"/>
        <v>138.65000000000003</v>
      </c>
      <c r="W89" s="1243">
        <f t="shared" si="155"/>
        <v>101.20000000000005</v>
      </c>
      <c r="X89" s="1243">
        <f t="shared" si="155"/>
        <v>63.750000000000057</v>
      </c>
      <c r="Y89" s="1248">
        <f t="shared" si="155"/>
        <v>26.300000000000068</v>
      </c>
      <c r="Z89" s="1136">
        <f t="shared" si="155"/>
        <v>0</v>
      </c>
      <c r="AA89" s="1247">
        <f t="shared" si="155"/>
        <v>0</v>
      </c>
      <c r="AB89" s="1243">
        <f t="shared" si="155"/>
        <v>0</v>
      </c>
      <c r="AC89" s="1243">
        <f t="shared" si="155"/>
        <v>0</v>
      </c>
      <c r="AD89" s="1243">
        <f t="shared" si="155"/>
        <v>0</v>
      </c>
      <c r="AE89" s="1243">
        <f t="shared" si="155"/>
        <v>0</v>
      </c>
      <c r="AF89" s="1248">
        <f t="shared" si="155"/>
        <v>0</v>
      </c>
      <c r="AG89" s="1136">
        <f t="shared" si="155"/>
        <v>0</v>
      </c>
      <c r="AH89" s="1247">
        <f t="shared" si="155"/>
        <v>0</v>
      </c>
      <c r="AI89" s="1243">
        <f t="shared" si="155"/>
        <v>0</v>
      </c>
      <c r="AJ89" s="1243">
        <f t="shared" si="155"/>
        <v>0</v>
      </c>
      <c r="AK89" s="1243">
        <f t="shared" si="155"/>
        <v>0</v>
      </c>
      <c r="AL89" s="1243">
        <f t="shared" si="155"/>
        <v>0</v>
      </c>
      <c r="AM89" s="1248">
        <f t="shared" si="155"/>
        <v>0</v>
      </c>
      <c r="AN89" s="2681"/>
      <c r="AO89" s="2719"/>
      <c r="AP89" s="4775"/>
      <c r="AQ89" s="4794">
        <f t="shared" si="111"/>
        <v>127.82297029905462</v>
      </c>
      <c r="AR89" s="4794">
        <f t="shared" si="112"/>
        <v>98.398122536212242</v>
      </c>
      <c r="AS89" s="4794">
        <f t="shared" si="113"/>
        <v>68.973274773369866</v>
      </c>
      <c r="AT89" s="4794">
        <f t="shared" si="114"/>
        <v>39.548427010527512</v>
      </c>
      <c r="AU89" s="4794">
        <f t="shared" si="115"/>
        <v>10.123579247685161</v>
      </c>
      <c r="AV89" s="4794">
        <f t="shared" si="116"/>
        <v>-19.30126851515719</v>
      </c>
      <c r="AW89" s="4794">
        <f t="shared" si="117"/>
        <v>-48.726116277999544</v>
      </c>
      <c r="AX89" s="4794">
        <f t="shared" si="118"/>
        <v>34.256556040146641</v>
      </c>
      <c r="AY89" s="4794">
        <f t="shared" si="119"/>
        <v>29.143637228184453</v>
      </c>
      <c r="AZ89" s="4794">
        <f t="shared" si="120"/>
        <v>24.030718416222268</v>
      </c>
      <c r="BA89" s="4794">
        <f t="shared" si="121"/>
        <v>18.917799604260086</v>
      </c>
      <c r="BB89" s="4794">
        <f t="shared" si="122"/>
        <v>13.804880792297899</v>
      </c>
      <c r="BC89" s="4794">
        <f t="shared" si="123"/>
        <v>8.691961980335714</v>
      </c>
      <c r="BD89" s="4794">
        <f t="shared" si="124"/>
        <v>3.5790431683735293</v>
      </c>
      <c r="BE89" s="4794">
        <f t="shared" si="125"/>
        <v>128.33426218025085</v>
      </c>
      <c r="BF89" s="4794">
        <f t="shared" si="126"/>
        <v>109.18638122945246</v>
      </c>
      <c r="BG89" s="4794">
        <f t="shared" si="127"/>
        <v>90.038500278654084</v>
      </c>
      <c r="BH89" s="4794">
        <f t="shared" si="128"/>
        <v>70.890619327855717</v>
      </c>
      <c r="BI89" s="4794">
        <f t="shared" si="129"/>
        <v>51.742738377057336</v>
      </c>
      <c r="BJ89" s="4794">
        <f t="shared" si="130"/>
        <v>32.594857426258962</v>
      </c>
      <c r="BK89" s="4794">
        <f t="shared" si="131"/>
        <v>13.446976475460581</v>
      </c>
      <c r="BL89" s="4794">
        <f t="shared" si="132"/>
        <v>0</v>
      </c>
      <c r="BM89" s="4794">
        <f t="shared" si="133"/>
        <v>0</v>
      </c>
      <c r="BN89" s="4794">
        <f t="shared" si="134"/>
        <v>0</v>
      </c>
      <c r="BO89" s="4794">
        <f t="shared" si="135"/>
        <v>0</v>
      </c>
      <c r="BP89" s="4794">
        <f t="shared" si="136"/>
        <v>0</v>
      </c>
      <c r="BQ89" s="4794">
        <f t="shared" si="137"/>
        <v>0</v>
      </c>
      <c r="BR89" s="4794">
        <f t="shared" si="138"/>
        <v>0</v>
      </c>
      <c r="BS89" s="4794">
        <f t="shared" si="139"/>
        <v>0</v>
      </c>
      <c r="BT89" s="4794">
        <f t="shared" si="140"/>
        <v>0</v>
      </c>
      <c r="BU89" s="4794">
        <f t="shared" si="141"/>
        <v>0</v>
      </c>
      <c r="BV89" s="4794">
        <f t="shared" si="142"/>
        <v>0</v>
      </c>
      <c r="BW89" s="4794">
        <f t="shared" si="143"/>
        <v>0</v>
      </c>
      <c r="BX89" s="4794">
        <f t="shared" si="144"/>
        <v>0</v>
      </c>
      <c r="BY89" s="4794">
        <f t="shared" si="145"/>
        <v>0</v>
      </c>
    </row>
    <row r="90" spans="1:77">
      <c r="A90" s="2683"/>
      <c r="B90" s="2684">
        <v>20302</v>
      </c>
      <c r="C90" s="2690">
        <v>0.1</v>
      </c>
      <c r="D90" s="2718" t="s">
        <v>428</v>
      </c>
      <c r="E90" s="1136">
        <f t="shared" si="154"/>
        <v>48</v>
      </c>
      <c r="F90" s="927">
        <f t="shared" si="155"/>
        <v>37.950000000000003</v>
      </c>
      <c r="G90" s="1243">
        <f t="shared" si="155"/>
        <v>27.900000000000006</v>
      </c>
      <c r="H90" s="1243">
        <f t="shared" si="155"/>
        <v>17.849999999999994</v>
      </c>
      <c r="I90" s="1243">
        <f t="shared" si="155"/>
        <v>7.7999999999999829</v>
      </c>
      <c r="J90" s="1243">
        <f t="shared" si="155"/>
        <v>-2.2500000000000284</v>
      </c>
      <c r="K90" s="2798">
        <f t="shared" si="155"/>
        <v>-12.30000000000004</v>
      </c>
      <c r="L90" s="1136">
        <f t="shared" si="155"/>
        <v>1</v>
      </c>
      <c r="M90" s="927">
        <f t="shared" si="155"/>
        <v>1</v>
      </c>
      <c r="N90" s="1243">
        <f t="shared" si="155"/>
        <v>1</v>
      </c>
      <c r="O90" s="1243">
        <f t="shared" si="155"/>
        <v>1</v>
      </c>
      <c r="P90" s="1243">
        <f t="shared" si="155"/>
        <v>1</v>
      </c>
      <c r="Q90" s="1243">
        <f t="shared" si="155"/>
        <v>1</v>
      </c>
      <c r="R90" s="2798">
        <f t="shared" si="155"/>
        <v>1</v>
      </c>
      <c r="S90" s="1136">
        <f t="shared" si="155"/>
        <v>2</v>
      </c>
      <c r="T90" s="1247">
        <f t="shared" si="155"/>
        <v>1</v>
      </c>
      <c r="U90" s="1243">
        <f t="shared" si="155"/>
        <v>19</v>
      </c>
      <c r="V90" s="1243">
        <f t="shared" si="155"/>
        <v>35</v>
      </c>
      <c r="W90" s="1243">
        <f t="shared" si="155"/>
        <v>49</v>
      </c>
      <c r="X90" s="1243">
        <f t="shared" si="155"/>
        <v>61</v>
      </c>
      <c r="Y90" s="1248">
        <f t="shared" si="155"/>
        <v>71</v>
      </c>
      <c r="Z90" s="1136">
        <f t="shared" si="155"/>
        <v>0</v>
      </c>
      <c r="AA90" s="1247">
        <f t="shared" si="155"/>
        <v>0</v>
      </c>
      <c r="AB90" s="1243">
        <f t="shared" si="155"/>
        <v>0</v>
      </c>
      <c r="AC90" s="1243">
        <f t="shared" si="155"/>
        <v>0</v>
      </c>
      <c r="AD90" s="1243">
        <f t="shared" si="155"/>
        <v>0</v>
      </c>
      <c r="AE90" s="1243">
        <f t="shared" si="155"/>
        <v>0</v>
      </c>
      <c r="AF90" s="1248">
        <f t="shared" si="155"/>
        <v>0</v>
      </c>
      <c r="AG90" s="1136">
        <f t="shared" si="155"/>
        <v>0</v>
      </c>
      <c r="AH90" s="1247">
        <f t="shared" si="155"/>
        <v>0</v>
      </c>
      <c r="AI90" s="1243">
        <f t="shared" si="155"/>
        <v>0</v>
      </c>
      <c r="AJ90" s="1243">
        <f t="shared" si="155"/>
        <v>0</v>
      </c>
      <c r="AK90" s="1243">
        <f t="shared" si="155"/>
        <v>0</v>
      </c>
      <c r="AL90" s="1243">
        <f t="shared" si="155"/>
        <v>0</v>
      </c>
      <c r="AM90" s="1248">
        <f t="shared" si="155"/>
        <v>0</v>
      </c>
      <c r="AN90" s="2681"/>
      <c r="AO90" s="2719"/>
      <c r="AP90" s="4775"/>
      <c r="AQ90" s="4794">
        <f t="shared" si="111"/>
        <v>24.542010297418489</v>
      </c>
      <c r="AR90" s="4794">
        <f t="shared" si="112"/>
        <v>19.403526891396492</v>
      </c>
      <c r="AS90" s="4794">
        <f t="shared" si="113"/>
        <v>14.265043485374498</v>
      </c>
      <c r="AT90" s="4794">
        <f t="shared" si="114"/>
        <v>9.1265600793524975</v>
      </c>
      <c r="AU90" s="4794">
        <f t="shared" si="115"/>
        <v>3.9880766733304958</v>
      </c>
      <c r="AV90" s="4794">
        <f t="shared" si="116"/>
        <v>-1.1504067326915062</v>
      </c>
      <c r="AW90" s="4794">
        <f t="shared" si="117"/>
        <v>-6.2888901387135077</v>
      </c>
      <c r="AX90" s="4794">
        <f t="shared" si="118"/>
        <v>0.51129188119621849</v>
      </c>
      <c r="AY90" s="4794">
        <f t="shared" si="119"/>
        <v>0.51129188119621849</v>
      </c>
      <c r="AZ90" s="4794">
        <f t="shared" si="120"/>
        <v>0.51129188119621849</v>
      </c>
      <c r="BA90" s="4794">
        <f t="shared" si="121"/>
        <v>0.51129188119621849</v>
      </c>
      <c r="BB90" s="4794">
        <f t="shared" si="122"/>
        <v>0.51129188119621849</v>
      </c>
      <c r="BC90" s="4794">
        <f t="shared" si="123"/>
        <v>0.51129188119621849</v>
      </c>
      <c r="BD90" s="4794">
        <f t="shared" si="124"/>
        <v>0.51129188119621849</v>
      </c>
      <c r="BE90" s="4794">
        <f t="shared" si="125"/>
        <v>1.022583762392437</v>
      </c>
      <c r="BF90" s="4794">
        <f t="shared" si="126"/>
        <v>0.51129188119621849</v>
      </c>
      <c r="BG90" s="4794">
        <f t="shared" si="127"/>
        <v>9.7145457427281521</v>
      </c>
      <c r="BH90" s="4794">
        <f t="shared" si="128"/>
        <v>17.895215841867646</v>
      </c>
      <c r="BI90" s="4794">
        <f t="shared" si="129"/>
        <v>25.053302178614707</v>
      </c>
      <c r="BJ90" s="4794">
        <f t="shared" si="130"/>
        <v>31.188804752969329</v>
      </c>
      <c r="BK90" s="4794">
        <f t="shared" si="131"/>
        <v>36.301723564931514</v>
      </c>
      <c r="BL90" s="4794">
        <f t="shared" si="132"/>
        <v>0</v>
      </c>
      <c r="BM90" s="4794">
        <f t="shared" si="133"/>
        <v>0</v>
      </c>
      <c r="BN90" s="4794">
        <f t="shared" si="134"/>
        <v>0</v>
      </c>
      <c r="BO90" s="4794">
        <f t="shared" si="135"/>
        <v>0</v>
      </c>
      <c r="BP90" s="4794">
        <f t="shared" si="136"/>
        <v>0</v>
      </c>
      <c r="BQ90" s="4794">
        <f t="shared" si="137"/>
        <v>0</v>
      </c>
      <c r="BR90" s="4794">
        <f t="shared" si="138"/>
        <v>0</v>
      </c>
      <c r="BS90" s="4794">
        <f t="shared" si="139"/>
        <v>0</v>
      </c>
      <c r="BT90" s="4794">
        <f t="shared" si="140"/>
        <v>0</v>
      </c>
      <c r="BU90" s="4794">
        <f t="shared" si="141"/>
        <v>0</v>
      </c>
      <c r="BV90" s="4794">
        <f t="shared" si="142"/>
        <v>0</v>
      </c>
      <c r="BW90" s="4794">
        <f t="shared" si="143"/>
        <v>0</v>
      </c>
      <c r="BX90" s="4794">
        <f t="shared" si="144"/>
        <v>0</v>
      </c>
      <c r="BY90" s="4794">
        <f t="shared" si="145"/>
        <v>0</v>
      </c>
    </row>
    <row r="91" spans="1:77" ht="18.75" customHeight="1">
      <c r="A91" s="2683"/>
      <c r="B91" s="2684">
        <v>20303</v>
      </c>
      <c r="C91" s="2690">
        <v>0.1</v>
      </c>
      <c r="D91" s="2718" t="s">
        <v>406</v>
      </c>
      <c r="E91" s="1136">
        <f t="shared" si="154"/>
        <v>1804.7</v>
      </c>
      <c r="F91" s="927">
        <f t="shared" si="155"/>
        <v>1510.1</v>
      </c>
      <c r="G91" s="1243">
        <f t="shared" si="155"/>
        <v>1215.5</v>
      </c>
      <c r="H91" s="1243">
        <f t="shared" si="155"/>
        <v>920.90000000000009</v>
      </c>
      <c r="I91" s="1243">
        <f t="shared" si="155"/>
        <v>721.30000000000018</v>
      </c>
      <c r="J91" s="1243">
        <f t="shared" si="155"/>
        <v>511.70000000000027</v>
      </c>
      <c r="K91" s="2798">
        <f t="shared" si="155"/>
        <v>197.10000000000036</v>
      </c>
      <c r="L91" s="1136">
        <f t="shared" si="155"/>
        <v>516</v>
      </c>
      <c r="M91" s="927">
        <f t="shared" si="155"/>
        <v>377.09999999999991</v>
      </c>
      <c r="N91" s="1243">
        <f t="shared" si="155"/>
        <v>238.19999999999982</v>
      </c>
      <c r="O91" s="1243">
        <f t="shared" si="155"/>
        <v>99.299999999999727</v>
      </c>
      <c r="P91" s="1243">
        <f t="shared" si="155"/>
        <v>-39.600000000000364</v>
      </c>
      <c r="Q91" s="1243">
        <f t="shared" si="155"/>
        <v>-178.50000000000045</v>
      </c>
      <c r="R91" s="2798">
        <f t="shared" si="155"/>
        <v>-317.40000000000055</v>
      </c>
      <c r="S91" s="1136">
        <f t="shared" si="155"/>
        <v>13</v>
      </c>
      <c r="T91" s="1247">
        <f t="shared" si="155"/>
        <v>5.8499999999999943</v>
      </c>
      <c r="U91" s="1243">
        <f t="shared" si="155"/>
        <v>-1.3000000000000114</v>
      </c>
      <c r="V91" s="1243">
        <f t="shared" si="155"/>
        <v>-8.4500000000000171</v>
      </c>
      <c r="W91" s="1243">
        <f t="shared" si="155"/>
        <v>-15.600000000000023</v>
      </c>
      <c r="X91" s="1243">
        <f t="shared" si="155"/>
        <v>-22.750000000000028</v>
      </c>
      <c r="Y91" s="1248">
        <f t="shared" si="155"/>
        <v>-29.900000000000034</v>
      </c>
      <c r="Z91" s="1136">
        <f t="shared" si="155"/>
        <v>0</v>
      </c>
      <c r="AA91" s="1247">
        <f t="shared" si="155"/>
        <v>0</v>
      </c>
      <c r="AB91" s="1243">
        <f t="shared" si="155"/>
        <v>0</v>
      </c>
      <c r="AC91" s="1243">
        <f t="shared" si="155"/>
        <v>0</v>
      </c>
      <c r="AD91" s="1243">
        <f t="shared" si="155"/>
        <v>0</v>
      </c>
      <c r="AE91" s="1243">
        <f t="shared" si="155"/>
        <v>0</v>
      </c>
      <c r="AF91" s="1248">
        <f t="shared" si="155"/>
        <v>0</v>
      </c>
      <c r="AG91" s="1136">
        <f t="shared" si="155"/>
        <v>0</v>
      </c>
      <c r="AH91" s="1247">
        <f t="shared" si="155"/>
        <v>0</v>
      </c>
      <c r="AI91" s="1243">
        <f t="shared" si="155"/>
        <v>0</v>
      </c>
      <c r="AJ91" s="1243">
        <f t="shared" si="155"/>
        <v>0</v>
      </c>
      <c r="AK91" s="1243">
        <f t="shared" si="155"/>
        <v>0</v>
      </c>
      <c r="AL91" s="1243">
        <f t="shared" si="155"/>
        <v>0</v>
      </c>
      <c r="AM91" s="1248">
        <f t="shared" si="155"/>
        <v>0</v>
      </c>
      <c r="AN91" s="2681"/>
      <c r="AO91" s="2719"/>
      <c r="AP91" s="4775"/>
      <c r="AQ91" s="4794">
        <f t="shared" si="111"/>
        <v>922.72845799481559</v>
      </c>
      <c r="AR91" s="4794">
        <f t="shared" si="112"/>
        <v>772.10186979440948</v>
      </c>
      <c r="AS91" s="4794">
        <f t="shared" si="113"/>
        <v>621.4752815940036</v>
      </c>
      <c r="AT91" s="4794">
        <f t="shared" si="114"/>
        <v>470.84869339359767</v>
      </c>
      <c r="AU91" s="4794">
        <f t="shared" si="115"/>
        <v>368.79483390683248</v>
      </c>
      <c r="AV91" s="4794">
        <f t="shared" si="116"/>
        <v>261.62805560810517</v>
      </c>
      <c r="AW91" s="4794">
        <f t="shared" si="117"/>
        <v>100.77562978377485</v>
      </c>
      <c r="AX91" s="4794">
        <f t="shared" si="118"/>
        <v>263.82661069724873</v>
      </c>
      <c r="AY91" s="4794">
        <f t="shared" si="119"/>
        <v>192.80816839909394</v>
      </c>
      <c r="AZ91" s="4794">
        <f t="shared" si="120"/>
        <v>121.78972610093915</v>
      </c>
      <c r="BA91" s="4794">
        <f t="shared" si="121"/>
        <v>50.77128380278436</v>
      </c>
      <c r="BB91" s="4794">
        <f t="shared" si="122"/>
        <v>-20.247158495370439</v>
      </c>
      <c r="BC91" s="4794">
        <f t="shared" si="123"/>
        <v>-91.265600793525238</v>
      </c>
      <c r="BD91" s="4794">
        <f t="shared" si="124"/>
        <v>-162.28404309168002</v>
      </c>
      <c r="BE91" s="4794">
        <f t="shared" si="125"/>
        <v>6.6467944555508405</v>
      </c>
      <c r="BF91" s="4794">
        <f t="shared" si="126"/>
        <v>2.9910575049978751</v>
      </c>
      <c r="BG91" s="4794">
        <f t="shared" si="127"/>
        <v>-0.66467944555508984</v>
      </c>
      <c r="BH91" s="4794">
        <f t="shared" si="128"/>
        <v>-4.3204163961080546</v>
      </c>
      <c r="BI91" s="4794">
        <f t="shared" si="129"/>
        <v>-7.9761533466610199</v>
      </c>
      <c r="BJ91" s="4794">
        <f t="shared" si="130"/>
        <v>-11.631890297213985</v>
      </c>
      <c r="BK91" s="4794">
        <f t="shared" si="131"/>
        <v>-15.287627247766951</v>
      </c>
      <c r="BL91" s="4794">
        <f t="shared" si="132"/>
        <v>0</v>
      </c>
      <c r="BM91" s="4794">
        <f t="shared" si="133"/>
        <v>0</v>
      </c>
      <c r="BN91" s="4794">
        <f t="shared" si="134"/>
        <v>0</v>
      </c>
      <c r="BO91" s="4794">
        <f t="shared" si="135"/>
        <v>0</v>
      </c>
      <c r="BP91" s="4794">
        <f t="shared" si="136"/>
        <v>0</v>
      </c>
      <c r="BQ91" s="4794">
        <f t="shared" si="137"/>
        <v>0</v>
      </c>
      <c r="BR91" s="4794">
        <f t="shared" si="138"/>
        <v>0</v>
      </c>
      <c r="BS91" s="4794">
        <f t="shared" si="139"/>
        <v>0</v>
      </c>
      <c r="BT91" s="4794">
        <f t="shared" si="140"/>
        <v>0</v>
      </c>
      <c r="BU91" s="4794">
        <f t="shared" si="141"/>
        <v>0</v>
      </c>
      <c r="BV91" s="4794">
        <f t="shared" si="142"/>
        <v>0</v>
      </c>
      <c r="BW91" s="4794">
        <f t="shared" si="143"/>
        <v>0</v>
      </c>
      <c r="BX91" s="4794">
        <f t="shared" si="144"/>
        <v>0</v>
      </c>
      <c r="BY91" s="4794">
        <f t="shared" si="145"/>
        <v>0</v>
      </c>
    </row>
    <row r="92" spans="1:77">
      <c r="A92" s="2683"/>
      <c r="B92" s="2684">
        <v>20306</v>
      </c>
      <c r="C92" s="2690">
        <v>0.1</v>
      </c>
      <c r="D92" s="2718" t="s">
        <v>409</v>
      </c>
      <c r="E92" s="1136">
        <f t="shared" si="154"/>
        <v>154</v>
      </c>
      <c r="F92" s="927">
        <f t="shared" si="155"/>
        <v>276.10000000000002</v>
      </c>
      <c r="G92" s="1243">
        <f t="shared" si="155"/>
        <v>335.7</v>
      </c>
      <c r="H92" s="1243">
        <f t="shared" si="155"/>
        <v>337.8</v>
      </c>
      <c r="I92" s="1243">
        <f t="shared" si="155"/>
        <v>334.90000000000003</v>
      </c>
      <c r="J92" s="1243">
        <f t="shared" si="155"/>
        <v>327.00000000000006</v>
      </c>
      <c r="K92" s="2798">
        <f t="shared" si="155"/>
        <v>314.10000000000008</v>
      </c>
      <c r="L92" s="1136">
        <f t="shared" si="155"/>
        <v>27</v>
      </c>
      <c r="M92" s="927">
        <f t="shared" si="155"/>
        <v>32.5</v>
      </c>
      <c r="N92" s="1243">
        <f t="shared" si="155"/>
        <v>41.75</v>
      </c>
      <c r="O92" s="1243">
        <f t="shared" si="155"/>
        <v>44.75</v>
      </c>
      <c r="P92" s="1243">
        <f t="shared" si="155"/>
        <v>46.75</v>
      </c>
      <c r="Q92" s="1243">
        <f t="shared" si="155"/>
        <v>47.75</v>
      </c>
      <c r="R92" s="2798">
        <f t="shared" si="155"/>
        <v>47.75</v>
      </c>
      <c r="S92" s="1136">
        <f t="shared" si="155"/>
        <v>41</v>
      </c>
      <c r="T92" s="1247">
        <f t="shared" si="155"/>
        <v>54.900000000000006</v>
      </c>
      <c r="U92" s="1243">
        <f t="shared" si="155"/>
        <v>95.300000000000011</v>
      </c>
      <c r="V92" s="1243">
        <f t="shared" si="155"/>
        <v>111.70000000000002</v>
      </c>
      <c r="W92" s="1243">
        <f t="shared" si="155"/>
        <v>115.60000000000002</v>
      </c>
      <c r="X92" s="1243">
        <f t="shared" si="155"/>
        <v>146.00000000000003</v>
      </c>
      <c r="Y92" s="1248">
        <f t="shared" si="155"/>
        <v>142.90000000000003</v>
      </c>
      <c r="Z92" s="1136">
        <f t="shared" si="155"/>
        <v>0</v>
      </c>
      <c r="AA92" s="1247">
        <f t="shared" si="155"/>
        <v>0</v>
      </c>
      <c r="AB92" s="1243">
        <f t="shared" si="155"/>
        <v>0</v>
      </c>
      <c r="AC92" s="1243">
        <f t="shared" si="155"/>
        <v>0</v>
      </c>
      <c r="AD92" s="1243">
        <f t="shared" si="155"/>
        <v>0</v>
      </c>
      <c r="AE92" s="1243">
        <f t="shared" si="155"/>
        <v>0</v>
      </c>
      <c r="AF92" s="1248">
        <f t="shared" si="155"/>
        <v>0</v>
      </c>
      <c r="AG92" s="1136">
        <f t="shared" si="155"/>
        <v>0</v>
      </c>
      <c r="AH92" s="1247">
        <f t="shared" si="155"/>
        <v>0</v>
      </c>
      <c r="AI92" s="1243">
        <f t="shared" si="155"/>
        <v>0</v>
      </c>
      <c r="AJ92" s="1243">
        <f t="shared" si="155"/>
        <v>0</v>
      </c>
      <c r="AK92" s="1243">
        <f t="shared" si="155"/>
        <v>0</v>
      </c>
      <c r="AL92" s="1243">
        <f t="shared" si="155"/>
        <v>0</v>
      </c>
      <c r="AM92" s="1248">
        <f t="shared" si="155"/>
        <v>0</v>
      </c>
      <c r="AN92" s="2681"/>
      <c r="AO92" s="2719"/>
      <c r="AP92" s="4775"/>
      <c r="AQ92" s="4794">
        <f t="shared" si="111"/>
        <v>78.738949704217646</v>
      </c>
      <c r="AR92" s="4794">
        <f t="shared" si="112"/>
        <v>141.16768839827594</v>
      </c>
      <c r="AS92" s="4794">
        <f t="shared" si="113"/>
        <v>171.64068451757055</v>
      </c>
      <c r="AT92" s="4794">
        <f t="shared" si="114"/>
        <v>172.71439746808261</v>
      </c>
      <c r="AU92" s="4794">
        <f t="shared" si="115"/>
        <v>171.23165101261358</v>
      </c>
      <c r="AV92" s="4794">
        <f t="shared" si="116"/>
        <v>167.19244515116347</v>
      </c>
      <c r="AW92" s="4794">
        <f t="shared" si="117"/>
        <v>160.59677988373227</v>
      </c>
      <c r="AX92" s="4794">
        <f t="shared" si="118"/>
        <v>13.804880792297899</v>
      </c>
      <c r="AY92" s="4794">
        <f t="shared" si="119"/>
        <v>16.616986138877103</v>
      </c>
      <c r="AZ92" s="4794">
        <f t="shared" si="120"/>
        <v>21.346436039942123</v>
      </c>
      <c r="BA92" s="4794">
        <f t="shared" si="121"/>
        <v>22.880311683530778</v>
      </c>
      <c r="BB92" s="4794">
        <f t="shared" si="122"/>
        <v>23.902895445923214</v>
      </c>
      <c r="BC92" s="4794">
        <f t="shared" si="123"/>
        <v>24.414187327119432</v>
      </c>
      <c r="BD92" s="4794">
        <f t="shared" si="124"/>
        <v>24.414187327119432</v>
      </c>
      <c r="BE92" s="4794">
        <f t="shared" si="125"/>
        <v>20.962967129044959</v>
      </c>
      <c r="BF92" s="4794">
        <f t="shared" si="126"/>
        <v>28.069924277672399</v>
      </c>
      <c r="BG92" s="4794">
        <f t="shared" si="127"/>
        <v>48.72611627799963</v>
      </c>
      <c r="BH92" s="4794">
        <f t="shared" si="128"/>
        <v>57.111303129617617</v>
      </c>
      <c r="BI92" s="4794">
        <f t="shared" si="129"/>
        <v>59.105341466282873</v>
      </c>
      <c r="BJ92" s="4794">
        <f t="shared" si="130"/>
        <v>74.648614654647915</v>
      </c>
      <c r="BK92" s="4794">
        <f t="shared" si="131"/>
        <v>73.06360982293964</v>
      </c>
      <c r="BL92" s="4794">
        <f t="shared" si="132"/>
        <v>0</v>
      </c>
      <c r="BM92" s="4794">
        <f t="shared" si="133"/>
        <v>0</v>
      </c>
      <c r="BN92" s="4794">
        <f t="shared" si="134"/>
        <v>0</v>
      </c>
      <c r="BO92" s="4794">
        <f t="shared" si="135"/>
        <v>0</v>
      </c>
      <c r="BP92" s="4794">
        <f t="shared" si="136"/>
        <v>0</v>
      </c>
      <c r="BQ92" s="4794">
        <f t="shared" si="137"/>
        <v>0</v>
      </c>
      <c r="BR92" s="4794">
        <f t="shared" si="138"/>
        <v>0</v>
      </c>
      <c r="BS92" s="4794">
        <f t="shared" si="139"/>
        <v>0</v>
      </c>
      <c r="BT92" s="4794">
        <f t="shared" si="140"/>
        <v>0</v>
      </c>
      <c r="BU92" s="4794">
        <f t="shared" si="141"/>
        <v>0</v>
      </c>
      <c r="BV92" s="4794">
        <f t="shared" si="142"/>
        <v>0</v>
      </c>
      <c r="BW92" s="4794">
        <f t="shared" si="143"/>
        <v>0</v>
      </c>
      <c r="BX92" s="4794">
        <f t="shared" si="144"/>
        <v>0</v>
      </c>
      <c r="BY92" s="4794">
        <f t="shared" si="145"/>
        <v>0</v>
      </c>
    </row>
    <row r="93" spans="1:77">
      <c r="A93" s="2683">
        <v>4</v>
      </c>
      <c r="B93" s="2684">
        <v>20403</v>
      </c>
      <c r="C93" s="2690">
        <v>0.04</v>
      </c>
      <c r="D93" s="2720" t="s">
        <v>434</v>
      </c>
      <c r="E93" s="1136">
        <f t="shared" si="154"/>
        <v>52</v>
      </c>
      <c r="F93" s="927">
        <f t="shared" si="155"/>
        <v>48</v>
      </c>
      <c r="G93" s="1243">
        <f t="shared" si="155"/>
        <v>44</v>
      </c>
      <c r="H93" s="1243">
        <f t="shared" si="155"/>
        <v>40</v>
      </c>
      <c r="I93" s="1243">
        <f t="shared" si="155"/>
        <v>36</v>
      </c>
      <c r="J93" s="1243">
        <f t="shared" si="155"/>
        <v>32</v>
      </c>
      <c r="K93" s="2798">
        <f t="shared" si="155"/>
        <v>28</v>
      </c>
      <c r="L93" s="1136">
        <f t="shared" si="155"/>
        <v>4</v>
      </c>
      <c r="M93" s="927">
        <f t="shared" si="155"/>
        <v>4</v>
      </c>
      <c r="N93" s="1243">
        <f t="shared" si="155"/>
        <v>4</v>
      </c>
      <c r="O93" s="1243">
        <f t="shared" si="155"/>
        <v>4</v>
      </c>
      <c r="P93" s="1243">
        <f t="shared" si="155"/>
        <v>4</v>
      </c>
      <c r="Q93" s="1243">
        <f t="shared" si="155"/>
        <v>4</v>
      </c>
      <c r="R93" s="2798">
        <f t="shared" si="155"/>
        <v>4</v>
      </c>
      <c r="S93" s="1136">
        <f t="shared" si="155"/>
        <v>7</v>
      </c>
      <c r="T93" s="1247">
        <f t="shared" si="155"/>
        <v>7</v>
      </c>
      <c r="U93" s="1243">
        <f t="shared" si="155"/>
        <v>7</v>
      </c>
      <c r="V93" s="1243">
        <f t="shared" si="155"/>
        <v>7</v>
      </c>
      <c r="W93" s="1243">
        <f t="shared" si="155"/>
        <v>7</v>
      </c>
      <c r="X93" s="1243">
        <f t="shared" si="155"/>
        <v>7</v>
      </c>
      <c r="Y93" s="1248">
        <f t="shared" si="155"/>
        <v>7</v>
      </c>
      <c r="Z93" s="1136">
        <f t="shared" si="155"/>
        <v>0</v>
      </c>
      <c r="AA93" s="1247">
        <f t="shared" si="155"/>
        <v>0</v>
      </c>
      <c r="AB93" s="1243">
        <f t="shared" si="155"/>
        <v>0</v>
      </c>
      <c r="AC93" s="1243">
        <f t="shared" si="155"/>
        <v>0</v>
      </c>
      <c r="AD93" s="1243">
        <f t="shared" si="155"/>
        <v>0</v>
      </c>
      <c r="AE93" s="1243">
        <f t="shared" si="155"/>
        <v>0</v>
      </c>
      <c r="AF93" s="1248">
        <f t="shared" si="155"/>
        <v>0</v>
      </c>
      <c r="AG93" s="1136">
        <f t="shared" si="155"/>
        <v>0</v>
      </c>
      <c r="AH93" s="1247">
        <f t="shared" si="155"/>
        <v>0</v>
      </c>
      <c r="AI93" s="1243">
        <f t="shared" si="155"/>
        <v>0</v>
      </c>
      <c r="AJ93" s="1243">
        <f t="shared" si="155"/>
        <v>0</v>
      </c>
      <c r="AK93" s="1243">
        <f t="shared" si="155"/>
        <v>0</v>
      </c>
      <c r="AL93" s="1243">
        <f t="shared" si="155"/>
        <v>0</v>
      </c>
      <c r="AM93" s="1248">
        <f t="shared" si="155"/>
        <v>0</v>
      </c>
      <c r="AN93" s="2681"/>
      <c r="AO93" s="2719"/>
      <c r="AP93" s="4775"/>
      <c r="AQ93" s="4794">
        <f t="shared" si="111"/>
        <v>26.587177822203362</v>
      </c>
      <c r="AR93" s="4794">
        <f t="shared" si="112"/>
        <v>24.542010297418489</v>
      </c>
      <c r="AS93" s="4794">
        <f t="shared" si="113"/>
        <v>22.496842772633613</v>
      </c>
      <c r="AT93" s="4794">
        <f t="shared" si="114"/>
        <v>20.45167524784874</v>
      </c>
      <c r="AU93" s="4794">
        <f t="shared" si="115"/>
        <v>18.406507723063864</v>
      </c>
      <c r="AV93" s="4794">
        <f t="shared" si="116"/>
        <v>16.361340198278992</v>
      </c>
      <c r="AW93" s="4794">
        <f t="shared" si="117"/>
        <v>14.316172673494117</v>
      </c>
      <c r="AX93" s="4794">
        <f t="shared" si="118"/>
        <v>2.045167524784874</v>
      </c>
      <c r="AY93" s="4794">
        <f t="shared" si="119"/>
        <v>2.045167524784874</v>
      </c>
      <c r="AZ93" s="4794">
        <f t="shared" si="120"/>
        <v>2.045167524784874</v>
      </c>
      <c r="BA93" s="4794">
        <f t="shared" si="121"/>
        <v>2.045167524784874</v>
      </c>
      <c r="BB93" s="4794">
        <f t="shared" si="122"/>
        <v>2.045167524784874</v>
      </c>
      <c r="BC93" s="4794">
        <f t="shared" si="123"/>
        <v>2.045167524784874</v>
      </c>
      <c r="BD93" s="4794">
        <f t="shared" si="124"/>
        <v>2.045167524784874</v>
      </c>
      <c r="BE93" s="4794">
        <f t="shared" si="125"/>
        <v>3.5790431683735293</v>
      </c>
      <c r="BF93" s="4794">
        <f t="shared" si="126"/>
        <v>3.5790431683735293</v>
      </c>
      <c r="BG93" s="4794">
        <f t="shared" si="127"/>
        <v>3.5790431683735293</v>
      </c>
      <c r="BH93" s="4794">
        <f t="shared" si="128"/>
        <v>3.5790431683735293</v>
      </c>
      <c r="BI93" s="4794">
        <f t="shared" si="129"/>
        <v>3.5790431683735293</v>
      </c>
      <c r="BJ93" s="4794">
        <f t="shared" si="130"/>
        <v>3.5790431683735293</v>
      </c>
      <c r="BK93" s="4794">
        <f t="shared" si="131"/>
        <v>3.5790431683735293</v>
      </c>
      <c r="BL93" s="4794">
        <f t="shared" si="132"/>
        <v>0</v>
      </c>
      <c r="BM93" s="4794">
        <f t="shared" si="133"/>
        <v>0</v>
      </c>
      <c r="BN93" s="4794">
        <f t="shared" si="134"/>
        <v>0</v>
      </c>
      <c r="BO93" s="4794">
        <f t="shared" si="135"/>
        <v>0</v>
      </c>
      <c r="BP93" s="4794">
        <f t="shared" si="136"/>
        <v>0</v>
      </c>
      <c r="BQ93" s="4794">
        <f t="shared" si="137"/>
        <v>0</v>
      </c>
      <c r="BR93" s="4794">
        <f t="shared" si="138"/>
        <v>0</v>
      </c>
      <c r="BS93" s="4794">
        <f t="shared" si="139"/>
        <v>0</v>
      </c>
      <c r="BT93" s="4794">
        <f t="shared" si="140"/>
        <v>0</v>
      </c>
      <c r="BU93" s="4794">
        <f t="shared" si="141"/>
        <v>0</v>
      </c>
      <c r="BV93" s="4794">
        <f t="shared" si="142"/>
        <v>0</v>
      </c>
      <c r="BW93" s="4794">
        <f t="shared" si="143"/>
        <v>0</v>
      </c>
      <c r="BX93" s="4794">
        <f t="shared" si="144"/>
        <v>0</v>
      </c>
      <c r="BY93" s="4794">
        <f t="shared" si="145"/>
        <v>0</v>
      </c>
    </row>
    <row r="94" spans="1:77">
      <c r="A94" s="2683">
        <v>5</v>
      </c>
      <c r="B94" s="2684">
        <v>205</v>
      </c>
      <c r="C94" s="2690"/>
      <c r="D94" s="2715" t="s">
        <v>212</v>
      </c>
      <c r="E94" s="2794">
        <f>SUM(E95:E98)</f>
        <v>2245.8000000000002</v>
      </c>
      <c r="F94" s="2782">
        <f>SUM(F95:F98)</f>
        <v>2045.1599999999999</v>
      </c>
      <c r="G94" s="2783">
        <f>SUM(G95:G98)</f>
        <v>1844.5199999999998</v>
      </c>
      <c r="H94" s="2783">
        <f t="shared" ref="H94:K94" si="156">SUM(H95:H98)</f>
        <v>1643.8799999999997</v>
      </c>
      <c r="I94" s="2783">
        <f t="shared" si="156"/>
        <v>1486.6296606999729</v>
      </c>
      <c r="J94" s="2783">
        <f t="shared" si="156"/>
        <v>1560.7944527339941</v>
      </c>
      <c r="K94" s="2802">
        <f t="shared" si="156"/>
        <v>1322.988099511221</v>
      </c>
      <c r="L94" s="2794">
        <f>SUM(L95:L98)</f>
        <v>170</v>
      </c>
      <c r="M94" s="2782">
        <f>SUM(M95:M98)</f>
        <v>155</v>
      </c>
      <c r="N94" s="2783">
        <f>SUM(N95:N98)</f>
        <v>140</v>
      </c>
      <c r="O94" s="2783">
        <f t="shared" ref="O94:R94" si="157">SUM(O95:O98)</f>
        <v>125</v>
      </c>
      <c r="P94" s="2783">
        <f t="shared" si="157"/>
        <v>159.71146139460325</v>
      </c>
      <c r="Q94" s="2783">
        <f t="shared" si="157"/>
        <v>144.13579496995851</v>
      </c>
      <c r="R94" s="2802">
        <f t="shared" si="157"/>
        <v>128.55877325684514</v>
      </c>
      <c r="S94" s="2794">
        <f>SUM(S95:S98)</f>
        <v>147</v>
      </c>
      <c r="T94" s="2795">
        <f>SUM(T95:T98)</f>
        <v>129</v>
      </c>
      <c r="U94" s="2783">
        <f>SUM(U95:U98)</f>
        <v>111</v>
      </c>
      <c r="V94" s="2783">
        <f t="shared" ref="V94:Y94" si="158">SUM(V95:V98)</f>
        <v>93</v>
      </c>
      <c r="W94" s="2783">
        <f t="shared" si="158"/>
        <v>124.39887790542343</v>
      </c>
      <c r="X94" s="2783">
        <f t="shared" si="158"/>
        <v>105.16975229604679</v>
      </c>
      <c r="Y94" s="2784">
        <f t="shared" si="158"/>
        <v>85.913127231933288</v>
      </c>
      <c r="Z94" s="2794">
        <f>SUM(Z95:Z98)</f>
        <v>0</v>
      </c>
      <c r="AA94" s="2795">
        <f>SUM(AA95:AA98)</f>
        <v>0</v>
      </c>
      <c r="AB94" s="2783">
        <f>SUM(AB95:AB98)</f>
        <v>0</v>
      </c>
      <c r="AC94" s="2783">
        <f t="shared" ref="AC94:AF94" si="159">SUM(AC95:AC98)</f>
        <v>0</v>
      </c>
      <c r="AD94" s="2783">
        <f t="shared" si="159"/>
        <v>0</v>
      </c>
      <c r="AE94" s="2783">
        <f t="shared" si="159"/>
        <v>0</v>
      </c>
      <c r="AF94" s="2784">
        <f t="shared" si="159"/>
        <v>0</v>
      </c>
      <c r="AG94" s="2794">
        <f>SUM(AG95:AG98)</f>
        <v>0</v>
      </c>
      <c r="AH94" s="2795">
        <f>SUM(AH95:AH98)</f>
        <v>0</v>
      </c>
      <c r="AI94" s="2783">
        <f>SUM(AI95:AI98)</f>
        <v>0</v>
      </c>
      <c r="AJ94" s="2783">
        <f t="shared" ref="AJ94:AM94" si="160">SUM(AJ95:AJ98)</f>
        <v>0</v>
      </c>
      <c r="AK94" s="2783">
        <f t="shared" si="160"/>
        <v>0</v>
      </c>
      <c r="AL94" s="2783">
        <f t="shared" si="160"/>
        <v>0</v>
      </c>
      <c r="AM94" s="2784">
        <f t="shared" si="160"/>
        <v>0</v>
      </c>
      <c r="AN94" s="2681"/>
      <c r="AO94" s="2719"/>
      <c r="AP94" s="4775"/>
      <c r="AQ94" s="4794">
        <f t="shared" si="111"/>
        <v>1148.2593067904677</v>
      </c>
      <c r="AR94" s="4794">
        <f t="shared" si="112"/>
        <v>1045.6737037472581</v>
      </c>
      <c r="AS94" s="4794">
        <f t="shared" si="113"/>
        <v>943.08810070404877</v>
      </c>
      <c r="AT94" s="4794">
        <f t="shared" si="114"/>
        <v>840.50249766083948</v>
      </c>
      <c r="AU94" s="4794">
        <f t="shared" si="115"/>
        <v>760.10167586138516</v>
      </c>
      <c r="AV94" s="4794">
        <f t="shared" si="116"/>
        <v>798.02153189898615</v>
      </c>
      <c r="AW94" s="4794">
        <f t="shared" si="117"/>
        <v>676.43307419930204</v>
      </c>
      <c r="AX94" s="4794">
        <f t="shared" si="118"/>
        <v>86.919619803357151</v>
      </c>
      <c r="AY94" s="4794">
        <f t="shared" si="119"/>
        <v>79.25024158541386</v>
      </c>
      <c r="AZ94" s="4794">
        <f t="shared" si="120"/>
        <v>71.580863367470585</v>
      </c>
      <c r="BA94" s="4794">
        <f t="shared" si="121"/>
        <v>63.911485149527309</v>
      </c>
      <c r="BB94" s="4794">
        <f t="shared" si="122"/>
        <v>81.659173545043927</v>
      </c>
      <c r="BC94" s="4794">
        <f t="shared" si="123"/>
        <v>73.695461757902535</v>
      </c>
      <c r="BD94" s="4794">
        <f t="shared" si="124"/>
        <v>65.731057022770457</v>
      </c>
      <c r="BE94" s="4794">
        <f t="shared" si="125"/>
        <v>75.159906535844115</v>
      </c>
      <c r="BF94" s="4794">
        <f t="shared" si="126"/>
        <v>65.956652674312181</v>
      </c>
      <c r="BG94" s="4794">
        <f t="shared" si="127"/>
        <v>56.753398812780254</v>
      </c>
      <c r="BH94" s="4794">
        <f t="shared" si="128"/>
        <v>47.550144951248321</v>
      </c>
      <c r="BI94" s="4794">
        <f t="shared" si="129"/>
        <v>63.604136302962651</v>
      </c>
      <c r="BJ94" s="4794">
        <f t="shared" si="130"/>
        <v>53.772440496386082</v>
      </c>
      <c r="BK94" s="4794">
        <f t="shared" si="131"/>
        <v>43.926684441865241</v>
      </c>
      <c r="BL94" s="4794">
        <f t="shared" si="132"/>
        <v>0</v>
      </c>
      <c r="BM94" s="4794">
        <f t="shared" si="133"/>
        <v>0</v>
      </c>
      <c r="BN94" s="4794">
        <f t="shared" si="134"/>
        <v>0</v>
      </c>
      <c r="BO94" s="4794">
        <f t="shared" si="135"/>
        <v>0</v>
      </c>
      <c r="BP94" s="4794">
        <f t="shared" si="136"/>
        <v>0</v>
      </c>
      <c r="BQ94" s="4794">
        <f t="shared" si="137"/>
        <v>0</v>
      </c>
      <c r="BR94" s="4794">
        <f t="shared" si="138"/>
        <v>0</v>
      </c>
      <c r="BS94" s="4794">
        <f t="shared" si="139"/>
        <v>0</v>
      </c>
      <c r="BT94" s="4794">
        <f t="shared" si="140"/>
        <v>0</v>
      </c>
      <c r="BU94" s="4794">
        <f t="shared" si="141"/>
        <v>0</v>
      </c>
      <c r="BV94" s="4794">
        <f t="shared" si="142"/>
        <v>0</v>
      </c>
      <c r="BW94" s="4794">
        <f t="shared" si="143"/>
        <v>0</v>
      </c>
      <c r="BX94" s="4794">
        <f t="shared" si="144"/>
        <v>0</v>
      </c>
      <c r="BY94" s="4794">
        <f t="shared" si="145"/>
        <v>0</v>
      </c>
    </row>
    <row r="95" spans="1:77">
      <c r="A95" s="2694"/>
      <c r="B95" s="2695">
        <v>20501</v>
      </c>
      <c r="C95" s="2690">
        <v>0.08</v>
      </c>
      <c r="D95" s="2721" t="s">
        <v>410</v>
      </c>
      <c r="E95" s="1136">
        <f t="shared" ref="E95:E100" si="161">E20-E70</f>
        <v>1202.8</v>
      </c>
      <c r="F95" s="927">
        <f t="shared" ref="F95:AM102" si="162">F20-F70</f>
        <v>1112.56</v>
      </c>
      <c r="G95" s="1243">
        <f t="shared" si="162"/>
        <v>1022.3199999999999</v>
      </c>
      <c r="H95" s="1243">
        <f t="shared" si="162"/>
        <v>932.07999999999993</v>
      </c>
      <c r="I95" s="1243">
        <f t="shared" si="162"/>
        <v>841.83999999999992</v>
      </c>
      <c r="J95" s="1243">
        <f t="shared" si="162"/>
        <v>1039.5999999999999</v>
      </c>
      <c r="K95" s="2798">
        <f t="shared" si="162"/>
        <v>925.3599999999999</v>
      </c>
      <c r="L95" s="1136">
        <f t="shared" ref="L95:L101" si="163">L20-L70</f>
        <v>41</v>
      </c>
      <c r="M95" s="927">
        <f t="shared" si="162"/>
        <v>28</v>
      </c>
      <c r="N95" s="1243">
        <f t="shared" si="162"/>
        <v>15</v>
      </c>
      <c r="O95" s="1243">
        <f t="shared" si="162"/>
        <v>2</v>
      </c>
      <c r="P95" s="1243">
        <f t="shared" si="162"/>
        <v>-11</v>
      </c>
      <c r="Q95" s="1243">
        <f t="shared" si="162"/>
        <v>-24</v>
      </c>
      <c r="R95" s="2798">
        <f t="shared" si="162"/>
        <v>-37</v>
      </c>
      <c r="S95" s="1136">
        <f t="shared" ref="S95:S101" si="164">S20-S70</f>
        <v>43</v>
      </c>
      <c r="T95" s="1247">
        <f t="shared" si="162"/>
        <v>39</v>
      </c>
      <c r="U95" s="1243">
        <f t="shared" si="162"/>
        <v>35</v>
      </c>
      <c r="V95" s="1243">
        <f t="shared" si="162"/>
        <v>31</v>
      </c>
      <c r="W95" s="1243">
        <f t="shared" si="162"/>
        <v>27</v>
      </c>
      <c r="X95" s="1243">
        <f t="shared" si="162"/>
        <v>23</v>
      </c>
      <c r="Y95" s="1248">
        <f t="shared" si="162"/>
        <v>19</v>
      </c>
      <c r="Z95" s="1136">
        <f t="shared" ref="Z95:Z101" si="165">Z20-Z70</f>
        <v>0</v>
      </c>
      <c r="AA95" s="1247">
        <f t="shared" si="162"/>
        <v>0</v>
      </c>
      <c r="AB95" s="1243">
        <f t="shared" si="162"/>
        <v>0</v>
      </c>
      <c r="AC95" s="1243">
        <f t="shared" si="162"/>
        <v>0</v>
      </c>
      <c r="AD95" s="1243">
        <f t="shared" si="162"/>
        <v>0</v>
      </c>
      <c r="AE95" s="1243">
        <f t="shared" si="162"/>
        <v>0</v>
      </c>
      <c r="AF95" s="1248">
        <f t="shared" si="162"/>
        <v>0</v>
      </c>
      <c r="AG95" s="1136">
        <f t="shared" ref="AG95:AG101" si="166">AG20-AG70</f>
        <v>0</v>
      </c>
      <c r="AH95" s="1247">
        <f t="shared" si="162"/>
        <v>0</v>
      </c>
      <c r="AI95" s="1243">
        <f t="shared" si="162"/>
        <v>0</v>
      </c>
      <c r="AJ95" s="1243">
        <f t="shared" si="162"/>
        <v>0</v>
      </c>
      <c r="AK95" s="1243">
        <f t="shared" si="162"/>
        <v>0</v>
      </c>
      <c r="AL95" s="1243">
        <f t="shared" si="162"/>
        <v>0</v>
      </c>
      <c r="AM95" s="1248">
        <f t="shared" si="162"/>
        <v>0</v>
      </c>
      <c r="AN95" s="2681"/>
      <c r="AO95" s="2719"/>
      <c r="AP95" s="4775"/>
      <c r="AQ95" s="4794">
        <f t="shared" si="111"/>
        <v>614.98187470281164</v>
      </c>
      <c r="AR95" s="4794">
        <f t="shared" si="112"/>
        <v>568.84289534366485</v>
      </c>
      <c r="AS95" s="4794">
        <f t="shared" si="113"/>
        <v>522.70391598451806</v>
      </c>
      <c r="AT95" s="4794">
        <f t="shared" si="114"/>
        <v>476.56493662537127</v>
      </c>
      <c r="AU95" s="4794">
        <f t="shared" si="115"/>
        <v>430.42595726622454</v>
      </c>
      <c r="AV95" s="4794">
        <f t="shared" si="116"/>
        <v>531.53903969158875</v>
      </c>
      <c r="AW95" s="4794">
        <f t="shared" si="117"/>
        <v>473.1290551837327</v>
      </c>
      <c r="AX95" s="4794">
        <f t="shared" si="118"/>
        <v>20.962967129044959</v>
      </c>
      <c r="AY95" s="4794">
        <f t="shared" si="119"/>
        <v>14.316172673494117</v>
      </c>
      <c r="AZ95" s="4794">
        <f t="shared" si="120"/>
        <v>7.6693782179432777</v>
      </c>
      <c r="BA95" s="4794">
        <f t="shared" si="121"/>
        <v>1.022583762392437</v>
      </c>
      <c r="BB95" s="4794">
        <f t="shared" si="122"/>
        <v>-5.6242106931584033</v>
      </c>
      <c r="BC95" s="4794">
        <f t="shared" si="123"/>
        <v>-12.271005148709245</v>
      </c>
      <c r="BD95" s="4794">
        <f t="shared" si="124"/>
        <v>-18.917799604260086</v>
      </c>
      <c r="BE95" s="4794">
        <f t="shared" si="125"/>
        <v>21.985550891437395</v>
      </c>
      <c r="BF95" s="4794">
        <f t="shared" si="126"/>
        <v>19.940383366652522</v>
      </c>
      <c r="BG95" s="4794">
        <f t="shared" si="127"/>
        <v>17.895215841867646</v>
      </c>
      <c r="BH95" s="4794">
        <f t="shared" si="128"/>
        <v>15.850048317082774</v>
      </c>
      <c r="BI95" s="4794">
        <f t="shared" si="129"/>
        <v>13.804880792297899</v>
      </c>
      <c r="BJ95" s="4794">
        <f t="shared" si="130"/>
        <v>11.759713267513025</v>
      </c>
      <c r="BK95" s="4794">
        <f t="shared" si="131"/>
        <v>9.7145457427281521</v>
      </c>
      <c r="BL95" s="4794">
        <f t="shared" si="132"/>
        <v>0</v>
      </c>
      <c r="BM95" s="4794">
        <f t="shared" si="133"/>
        <v>0</v>
      </c>
      <c r="BN95" s="4794">
        <f t="shared" si="134"/>
        <v>0</v>
      </c>
      <c r="BO95" s="4794">
        <f t="shared" si="135"/>
        <v>0</v>
      </c>
      <c r="BP95" s="4794">
        <f t="shared" si="136"/>
        <v>0</v>
      </c>
      <c r="BQ95" s="4794">
        <f t="shared" si="137"/>
        <v>0</v>
      </c>
      <c r="BR95" s="4794">
        <f t="shared" si="138"/>
        <v>0</v>
      </c>
      <c r="BS95" s="4794">
        <f t="shared" si="139"/>
        <v>0</v>
      </c>
      <c r="BT95" s="4794">
        <f t="shared" si="140"/>
        <v>0</v>
      </c>
      <c r="BU95" s="4794">
        <f t="shared" si="141"/>
        <v>0</v>
      </c>
      <c r="BV95" s="4794">
        <f t="shared" si="142"/>
        <v>0</v>
      </c>
      <c r="BW95" s="4794">
        <f t="shared" si="143"/>
        <v>0</v>
      </c>
      <c r="BX95" s="4794">
        <f t="shared" si="144"/>
        <v>0</v>
      </c>
      <c r="BY95" s="4794">
        <f t="shared" si="145"/>
        <v>0</v>
      </c>
    </row>
    <row r="96" spans="1:77">
      <c r="A96" s="2694"/>
      <c r="B96" s="2695">
        <v>20502</v>
      </c>
      <c r="C96" s="2690">
        <v>0.1</v>
      </c>
      <c r="D96" s="2721" t="s">
        <v>411</v>
      </c>
      <c r="E96" s="1136">
        <f t="shared" si="161"/>
        <v>1036</v>
      </c>
      <c r="F96" s="927">
        <f t="shared" si="162"/>
        <v>933.59999999999991</v>
      </c>
      <c r="G96" s="1243">
        <f t="shared" si="162"/>
        <v>831.19999999999982</v>
      </c>
      <c r="H96" s="1243">
        <f t="shared" si="162"/>
        <v>728.79999999999973</v>
      </c>
      <c r="I96" s="1243">
        <f t="shared" si="162"/>
        <v>669.78966069997296</v>
      </c>
      <c r="J96" s="1243">
        <f t="shared" si="162"/>
        <v>554.19445273399424</v>
      </c>
      <c r="K96" s="2798">
        <f t="shared" si="162"/>
        <v>438.62809951122108</v>
      </c>
      <c r="L96" s="1136">
        <f t="shared" si="163"/>
        <v>119</v>
      </c>
      <c r="M96" s="927">
        <f t="shared" si="162"/>
        <v>117</v>
      </c>
      <c r="N96" s="1243">
        <f t="shared" si="162"/>
        <v>115</v>
      </c>
      <c r="O96" s="1243">
        <f t="shared" si="162"/>
        <v>113</v>
      </c>
      <c r="P96" s="1243">
        <f t="shared" si="162"/>
        <v>160.71146139460325</v>
      </c>
      <c r="Q96" s="1243">
        <f t="shared" si="162"/>
        <v>158.13579496995851</v>
      </c>
      <c r="R96" s="2798">
        <f t="shared" si="162"/>
        <v>155.55877325684514</v>
      </c>
      <c r="S96" s="1136">
        <f t="shared" si="164"/>
        <v>96</v>
      </c>
      <c r="T96" s="1247">
        <f t="shared" si="162"/>
        <v>84</v>
      </c>
      <c r="U96" s="1243">
        <f t="shared" si="162"/>
        <v>72</v>
      </c>
      <c r="V96" s="1243">
        <f t="shared" si="162"/>
        <v>60</v>
      </c>
      <c r="W96" s="1243">
        <f t="shared" si="162"/>
        <v>97.398877905423433</v>
      </c>
      <c r="X96" s="1243">
        <f t="shared" si="162"/>
        <v>84.169752296046795</v>
      </c>
      <c r="Y96" s="1248">
        <f t="shared" si="162"/>
        <v>70.913127231933288</v>
      </c>
      <c r="Z96" s="1136">
        <f t="shared" si="165"/>
        <v>0</v>
      </c>
      <c r="AA96" s="1247">
        <f t="shared" si="162"/>
        <v>0</v>
      </c>
      <c r="AB96" s="1243">
        <f t="shared" si="162"/>
        <v>0</v>
      </c>
      <c r="AC96" s="1243">
        <f t="shared" si="162"/>
        <v>0</v>
      </c>
      <c r="AD96" s="1243">
        <f t="shared" si="162"/>
        <v>0</v>
      </c>
      <c r="AE96" s="1243">
        <f t="shared" si="162"/>
        <v>0</v>
      </c>
      <c r="AF96" s="1248">
        <f t="shared" si="162"/>
        <v>0</v>
      </c>
      <c r="AG96" s="1136">
        <f t="shared" si="166"/>
        <v>0</v>
      </c>
      <c r="AH96" s="1247">
        <f t="shared" si="162"/>
        <v>0</v>
      </c>
      <c r="AI96" s="1243">
        <f t="shared" si="162"/>
        <v>0</v>
      </c>
      <c r="AJ96" s="1243">
        <f t="shared" si="162"/>
        <v>0</v>
      </c>
      <c r="AK96" s="1243">
        <f t="shared" si="162"/>
        <v>0</v>
      </c>
      <c r="AL96" s="1243">
        <f t="shared" si="162"/>
        <v>0</v>
      </c>
      <c r="AM96" s="1248">
        <f t="shared" si="162"/>
        <v>0</v>
      </c>
      <c r="AN96" s="2681"/>
      <c r="AO96" s="2719"/>
      <c r="AP96" s="4775"/>
      <c r="AQ96" s="4794">
        <f t="shared" si="111"/>
        <v>529.69838891928237</v>
      </c>
      <c r="AR96" s="4794">
        <f t="shared" si="112"/>
        <v>477.34210028478952</v>
      </c>
      <c r="AS96" s="4794">
        <f t="shared" si="113"/>
        <v>424.98581165029674</v>
      </c>
      <c r="AT96" s="4794">
        <f t="shared" si="114"/>
        <v>372.6295230158039</v>
      </c>
      <c r="AU96" s="4794">
        <f t="shared" si="115"/>
        <v>342.45801562506608</v>
      </c>
      <c r="AV96" s="4794">
        <f t="shared" si="116"/>
        <v>283.35512428687269</v>
      </c>
      <c r="AW96" s="4794">
        <f t="shared" si="117"/>
        <v>224.26698614461435</v>
      </c>
      <c r="AX96" s="4794">
        <f t="shared" si="118"/>
        <v>60.84373386235</v>
      </c>
      <c r="AY96" s="4794">
        <f t="shared" si="119"/>
        <v>59.821150099957563</v>
      </c>
      <c r="AZ96" s="4794">
        <f t="shared" si="120"/>
        <v>58.798566337565127</v>
      </c>
      <c r="BA96" s="4794">
        <f t="shared" si="121"/>
        <v>57.775982575172691</v>
      </c>
      <c r="BB96" s="4794">
        <f t="shared" si="122"/>
        <v>82.170465426240142</v>
      </c>
      <c r="BC96" s="4794">
        <f t="shared" si="123"/>
        <v>80.853548094649597</v>
      </c>
      <c r="BD96" s="4794">
        <f t="shared" si="124"/>
        <v>79.535937815068351</v>
      </c>
      <c r="BE96" s="4794">
        <f t="shared" si="125"/>
        <v>49.084020594836979</v>
      </c>
      <c r="BF96" s="4794">
        <f t="shared" si="126"/>
        <v>42.948518020482354</v>
      </c>
      <c r="BG96" s="4794">
        <f t="shared" si="127"/>
        <v>36.813015446127729</v>
      </c>
      <c r="BH96" s="4794">
        <f t="shared" si="128"/>
        <v>30.677512871773111</v>
      </c>
      <c r="BI96" s="4794">
        <f t="shared" si="129"/>
        <v>49.79925551066475</v>
      </c>
      <c r="BJ96" s="4794">
        <f t="shared" si="130"/>
        <v>43.035310991265497</v>
      </c>
      <c r="BK96" s="4794">
        <f t="shared" si="131"/>
        <v>36.257306223921958</v>
      </c>
      <c r="BL96" s="4794">
        <f t="shared" si="132"/>
        <v>0</v>
      </c>
      <c r="BM96" s="4794">
        <f t="shared" si="133"/>
        <v>0</v>
      </c>
      <c r="BN96" s="4794">
        <f t="shared" si="134"/>
        <v>0</v>
      </c>
      <c r="BO96" s="4794">
        <f t="shared" si="135"/>
        <v>0</v>
      </c>
      <c r="BP96" s="4794">
        <f t="shared" si="136"/>
        <v>0</v>
      </c>
      <c r="BQ96" s="4794">
        <f t="shared" si="137"/>
        <v>0</v>
      </c>
      <c r="BR96" s="4794">
        <f t="shared" si="138"/>
        <v>0</v>
      </c>
      <c r="BS96" s="4794">
        <f t="shared" si="139"/>
        <v>0</v>
      </c>
      <c r="BT96" s="4794">
        <f t="shared" si="140"/>
        <v>0</v>
      </c>
      <c r="BU96" s="4794">
        <f t="shared" si="141"/>
        <v>0</v>
      </c>
      <c r="BV96" s="4794">
        <f t="shared" si="142"/>
        <v>0</v>
      </c>
      <c r="BW96" s="4794">
        <f t="shared" si="143"/>
        <v>0</v>
      </c>
      <c r="BX96" s="4794">
        <f t="shared" si="144"/>
        <v>0</v>
      </c>
      <c r="BY96" s="4794">
        <f t="shared" si="145"/>
        <v>0</v>
      </c>
    </row>
    <row r="97" spans="1:77">
      <c r="A97" s="2694"/>
      <c r="B97" s="2695">
        <v>20503</v>
      </c>
      <c r="C97" s="2690">
        <v>0.1</v>
      </c>
      <c r="D97" s="2718" t="s">
        <v>412</v>
      </c>
      <c r="E97" s="1136">
        <f t="shared" si="161"/>
        <v>7</v>
      </c>
      <c r="F97" s="927">
        <f t="shared" si="162"/>
        <v>1</v>
      </c>
      <c r="G97" s="1243">
        <f t="shared" si="162"/>
        <v>-5</v>
      </c>
      <c r="H97" s="1243">
        <f t="shared" si="162"/>
        <v>-11</v>
      </c>
      <c r="I97" s="1243">
        <f t="shared" si="162"/>
        <v>-17</v>
      </c>
      <c r="J97" s="1243">
        <f t="shared" si="162"/>
        <v>-23</v>
      </c>
      <c r="K97" s="2798">
        <f t="shared" si="162"/>
        <v>-29</v>
      </c>
      <c r="L97" s="1136">
        <f t="shared" si="163"/>
        <v>9</v>
      </c>
      <c r="M97" s="927">
        <f t="shared" si="162"/>
        <v>9</v>
      </c>
      <c r="N97" s="1243">
        <f t="shared" si="162"/>
        <v>9</v>
      </c>
      <c r="O97" s="1243">
        <f t="shared" si="162"/>
        <v>9</v>
      </c>
      <c r="P97" s="1243">
        <f t="shared" si="162"/>
        <v>9</v>
      </c>
      <c r="Q97" s="1243">
        <f t="shared" si="162"/>
        <v>9</v>
      </c>
      <c r="R97" s="2798">
        <f t="shared" si="162"/>
        <v>9</v>
      </c>
      <c r="S97" s="1136">
        <f t="shared" si="164"/>
        <v>7</v>
      </c>
      <c r="T97" s="1247">
        <f t="shared" si="162"/>
        <v>6</v>
      </c>
      <c r="U97" s="1243">
        <f t="shared" si="162"/>
        <v>5</v>
      </c>
      <c r="V97" s="1243">
        <f t="shared" si="162"/>
        <v>4</v>
      </c>
      <c r="W97" s="1243">
        <f t="shared" si="162"/>
        <v>3</v>
      </c>
      <c r="X97" s="1243">
        <f t="shared" si="162"/>
        <v>2</v>
      </c>
      <c r="Y97" s="1248">
        <f t="shared" si="162"/>
        <v>1</v>
      </c>
      <c r="Z97" s="1136">
        <f t="shared" si="165"/>
        <v>0</v>
      </c>
      <c r="AA97" s="1247">
        <f t="shared" si="162"/>
        <v>0</v>
      </c>
      <c r="AB97" s="1243">
        <f t="shared" si="162"/>
        <v>0</v>
      </c>
      <c r="AC97" s="1243">
        <f t="shared" si="162"/>
        <v>0</v>
      </c>
      <c r="AD97" s="1243">
        <f t="shared" si="162"/>
        <v>0</v>
      </c>
      <c r="AE97" s="1243">
        <f t="shared" si="162"/>
        <v>0</v>
      </c>
      <c r="AF97" s="1248">
        <f t="shared" si="162"/>
        <v>0</v>
      </c>
      <c r="AG97" s="1136">
        <f t="shared" si="166"/>
        <v>0</v>
      </c>
      <c r="AH97" s="1247">
        <f t="shared" si="162"/>
        <v>0</v>
      </c>
      <c r="AI97" s="1243">
        <f t="shared" si="162"/>
        <v>0</v>
      </c>
      <c r="AJ97" s="1243">
        <f t="shared" si="162"/>
        <v>0</v>
      </c>
      <c r="AK97" s="1243">
        <f t="shared" si="162"/>
        <v>0</v>
      </c>
      <c r="AL97" s="1243">
        <f t="shared" si="162"/>
        <v>0</v>
      </c>
      <c r="AM97" s="1248">
        <f t="shared" si="162"/>
        <v>0</v>
      </c>
      <c r="AN97" s="2681"/>
      <c r="AO97" s="2719"/>
      <c r="AP97" s="4775"/>
      <c r="AQ97" s="4794">
        <f t="shared" si="111"/>
        <v>3.5790431683735293</v>
      </c>
      <c r="AR97" s="4794">
        <f t="shared" si="112"/>
        <v>0.51129188119621849</v>
      </c>
      <c r="AS97" s="4794">
        <f t="shared" si="113"/>
        <v>-2.5564594059810926</v>
      </c>
      <c r="AT97" s="4794">
        <f t="shared" si="114"/>
        <v>-5.6242106931584033</v>
      </c>
      <c r="AU97" s="4794">
        <f t="shared" si="115"/>
        <v>-8.691961980335714</v>
      </c>
      <c r="AV97" s="4794">
        <f t="shared" si="116"/>
        <v>-11.759713267513025</v>
      </c>
      <c r="AW97" s="4794">
        <f t="shared" si="117"/>
        <v>-14.827464554690337</v>
      </c>
      <c r="AX97" s="4794">
        <f t="shared" si="118"/>
        <v>4.6016269307659661</v>
      </c>
      <c r="AY97" s="4794">
        <f t="shared" si="119"/>
        <v>4.6016269307659661</v>
      </c>
      <c r="AZ97" s="4794">
        <f t="shared" si="120"/>
        <v>4.6016269307659661</v>
      </c>
      <c r="BA97" s="4794">
        <f t="shared" si="121"/>
        <v>4.6016269307659661</v>
      </c>
      <c r="BB97" s="4794">
        <f t="shared" si="122"/>
        <v>4.6016269307659661</v>
      </c>
      <c r="BC97" s="4794">
        <f t="shared" si="123"/>
        <v>4.6016269307659661</v>
      </c>
      <c r="BD97" s="4794">
        <f t="shared" si="124"/>
        <v>4.6016269307659661</v>
      </c>
      <c r="BE97" s="4794">
        <f t="shared" si="125"/>
        <v>3.5790431683735293</v>
      </c>
      <c r="BF97" s="4794">
        <f t="shared" si="126"/>
        <v>3.0677512871773112</v>
      </c>
      <c r="BG97" s="4794">
        <f t="shared" si="127"/>
        <v>2.5564594059810926</v>
      </c>
      <c r="BH97" s="4794">
        <f t="shared" si="128"/>
        <v>2.045167524784874</v>
      </c>
      <c r="BI97" s="4794">
        <f t="shared" si="129"/>
        <v>1.5338756435886556</v>
      </c>
      <c r="BJ97" s="4794">
        <f t="shared" si="130"/>
        <v>1.022583762392437</v>
      </c>
      <c r="BK97" s="4794">
        <f t="shared" si="131"/>
        <v>0.51129188119621849</v>
      </c>
      <c r="BL97" s="4794">
        <f t="shared" si="132"/>
        <v>0</v>
      </c>
      <c r="BM97" s="4794">
        <f t="shared" si="133"/>
        <v>0</v>
      </c>
      <c r="BN97" s="4794">
        <f t="shared" si="134"/>
        <v>0</v>
      </c>
      <c r="BO97" s="4794">
        <f t="shared" si="135"/>
        <v>0</v>
      </c>
      <c r="BP97" s="4794">
        <f t="shared" si="136"/>
        <v>0</v>
      </c>
      <c r="BQ97" s="4794">
        <f t="shared" si="137"/>
        <v>0</v>
      </c>
      <c r="BR97" s="4794">
        <f t="shared" si="138"/>
        <v>0</v>
      </c>
      <c r="BS97" s="4794">
        <f t="shared" si="139"/>
        <v>0</v>
      </c>
      <c r="BT97" s="4794">
        <f t="shared" si="140"/>
        <v>0</v>
      </c>
      <c r="BU97" s="4794">
        <f t="shared" si="141"/>
        <v>0</v>
      </c>
      <c r="BV97" s="4794">
        <f t="shared" si="142"/>
        <v>0</v>
      </c>
      <c r="BW97" s="4794">
        <f t="shared" si="143"/>
        <v>0</v>
      </c>
      <c r="BX97" s="4794">
        <f t="shared" si="144"/>
        <v>0</v>
      </c>
      <c r="BY97" s="4794">
        <f t="shared" si="145"/>
        <v>0</v>
      </c>
    </row>
    <row r="98" spans="1:77">
      <c r="A98" s="2694"/>
      <c r="B98" s="2695">
        <v>20504</v>
      </c>
      <c r="C98" s="2690">
        <v>0.1</v>
      </c>
      <c r="D98" s="2718" t="s">
        <v>557</v>
      </c>
      <c r="E98" s="1136">
        <f t="shared" si="161"/>
        <v>0</v>
      </c>
      <c r="F98" s="927">
        <f t="shared" si="162"/>
        <v>-2</v>
      </c>
      <c r="G98" s="1243">
        <f t="shared" si="162"/>
        <v>-4</v>
      </c>
      <c r="H98" s="1243">
        <f t="shared" si="162"/>
        <v>-6</v>
      </c>
      <c r="I98" s="1243">
        <f t="shared" si="162"/>
        <v>-8</v>
      </c>
      <c r="J98" s="1243">
        <f t="shared" si="162"/>
        <v>-10</v>
      </c>
      <c r="K98" s="2798">
        <f t="shared" si="162"/>
        <v>-12</v>
      </c>
      <c r="L98" s="1136">
        <f t="shared" si="163"/>
        <v>1</v>
      </c>
      <c r="M98" s="927">
        <f t="shared" si="162"/>
        <v>1</v>
      </c>
      <c r="N98" s="1243">
        <f t="shared" si="162"/>
        <v>1</v>
      </c>
      <c r="O98" s="1243">
        <f t="shared" si="162"/>
        <v>1</v>
      </c>
      <c r="P98" s="1243">
        <f t="shared" si="162"/>
        <v>1</v>
      </c>
      <c r="Q98" s="1243">
        <f t="shared" si="162"/>
        <v>1</v>
      </c>
      <c r="R98" s="2798">
        <f t="shared" si="162"/>
        <v>1</v>
      </c>
      <c r="S98" s="1136">
        <f t="shared" si="164"/>
        <v>1</v>
      </c>
      <c r="T98" s="1247">
        <f t="shared" si="162"/>
        <v>0</v>
      </c>
      <c r="U98" s="1243">
        <f t="shared" si="162"/>
        <v>-1</v>
      </c>
      <c r="V98" s="1243">
        <f t="shared" si="162"/>
        <v>-2</v>
      </c>
      <c r="W98" s="1243">
        <f t="shared" si="162"/>
        <v>-3</v>
      </c>
      <c r="X98" s="1243">
        <f t="shared" si="162"/>
        <v>-4</v>
      </c>
      <c r="Y98" s="1248">
        <f t="shared" si="162"/>
        <v>-5</v>
      </c>
      <c r="Z98" s="1136">
        <f t="shared" si="165"/>
        <v>0</v>
      </c>
      <c r="AA98" s="1247">
        <f t="shared" si="162"/>
        <v>0</v>
      </c>
      <c r="AB98" s="1243">
        <f t="shared" si="162"/>
        <v>0</v>
      </c>
      <c r="AC98" s="1243">
        <f t="shared" si="162"/>
        <v>0</v>
      </c>
      <c r="AD98" s="1243">
        <f t="shared" si="162"/>
        <v>0</v>
      </c>
      <c r="AE98" s="1243">
        <f t="shared" si="162"/>
        <v>0</v>
      </c>
      <c r="AF98" s="1248">
        <f t="shared" si="162"/>
        <v>0</v>
      </c>
      <c r="AG98" s="1136">
        <f t="shared" si="166"/>
        <v>0</v>
      </c>
      <c r="AH98" s="1247">
        <f t="shared" si="162"/>
        <v>0</v>
      </c>
      <c r="AI98" s="1243">
        <f t="shared" si="162"/>
        <v>0</v>
      </c>
      <c r="AJ98" s="1243">
        <f t="shared" si="162"/>
        <v>0</v>
      </c>
      <c r="AK98" s="1243">
        <f t="shared" si="162"/>
        <v>0</v>
      </c>
      <c r="AL98" s="1243">
        <f t="shared" si="162"/>
        <v>0</v>
      </c>
      <c r="AM98" s="1248">
        <f t="shared" si="162"/>
        <v>0</v>
      </c>
      <c r="AN98" s="2681"/>
      <c r="AO98" s="2719"/>
      <c r="AP98" s="4775"/>
      <c r="AQ98" s="4794">
        <f t="shared" si="111"/>
        <v>0</v>
      </c>
      <c r="AR98" s="4794">
        <f t="shared" si="112"/>
        <v>-1.022583762392437</v>
      </c>
      <c r="AS98" s="4794">
        <f t="shared" si="113"/>
        <v>-2.045167524784874</v>
      </c>
      <c r="AT98" s="4794">
        <f t="shared" si="114"/>
        <v>-3.0677512871773112</v>
      </c>
      <c r="AU98" s="4794">
        <f t="shared" si="115"/>
        <v>-4.0903350495697479</v>
      </c>
      <c r="AV98" s="4794">
        <f t="shared" si="116"/>
        <v>-5.1129188119621851</v>
      </c>
      <c r="AW98" s="4794">
        <f t="shared" si="117"/>
        <v>-6.1355025743546223</v>
      </c>
      <c r="AX98" s="4794">
        <f t="shared" si="118"/>
        <v>0.51129188119621849</v>
      </c>
      <c r="AY98" s="4794">
        <f t="shared" si="119"/>
        <v>0.51129188119621849</v>
      </c>
      <c r="AZ98" s="4794">
        <f t="shared" si="120"/>
        <v>0.51129188119621849</v>
      </c>
      <c r="BA98" s="4794">
        <f t="shared" si="121"/>
        <v>0.51129188119621849</v>
      </c>
      <c r="BB98" s="4794">
        <f t="shared" si="122"/>
        <v>0.51129188119621849</v>
      </c>
      <c r="BC98" s="4794">
        <f t="shared" si="123"/>
        <v>0.51129188119621849</v>
      </c>
      <c r="BD98" s="4794">
        <f t="shared" si="124"/>
        <v>0.51129188119621849</v>
      </c>
      <c r="BE98" s="4794">
        <f t="shared" si="125"/>
        <v>0.51129188119621849</v>
      </c>
      <c r="BF98" s="4794">
        <f t="shared" si="126"/>
        <v>0</v>
      </c>
      <c r="BG98" s="4794">
        <f t="shared" si="127"/>
        <v>-0.51129188119621849</v>
      </c>
      <c r="BH98" s="4794">
        <f t="shared" si="128"/>
        <v>-1.022583762392437</v>
      </c>
      <c r="BI98" s="4794">
        <f t="shared" si="129"/>
        <v>-1.5338756435886556</v>
      </c>
      <c r="BJ98" s="4794">
        <f t="shared" si="130"/>
        <v>-2.045167524784874</v>
      </c>
      <c r="BK98" s="4794">
        <f t="shared" si="131"/>
        <v>-2.5564594059810926</v>
      </c>
      <c r="BL98" s="4794">
        <f t="shared" si="132"/>
        <v>0</v>
      </c>
      <c r="BM98" s="4794">
        <f t="shared" si="133"/>
        <v>0</v>
      </c>
      <c r="BN98" s="4794">
        <f t="shared" si="134"/>
        <v>0</v>
      </c>
      <c r="BO98" s="4794">
        <f t="shared" si="135"/>
        <v>0</v>
      </c>
      <c r="BP98" s="4794">
        <f t="shared" si="136"/>
        <v>0</v>
      </c>
      <c r="BQ98" s="4794">
        <f t="shared" si="137"/>
        <v>0</v>
      </c>
      <c r="BR98" s="4794">
        <f t="shared" si="138"/>
        <v>0</v>
      </c>
      <c r="BS98" s="4794">
        <f t="shared" si="139"/>
        <v>0</v>
      </c>
      <c r="BT98" s="4794">
        <f t="shared" si="140"/>
        <v>0</v>
      </c>
      <c r="BU98" s="4794">
        <f t="shared" si="141"/>
        <v>0</v>
      </c>
      <c r="BV98" s="4794">
        <f t="shared" si="142"/>
        <v>0</v>
      </c>
      <c r="BW98" s="4794">
        <f t="shared" si="143"/>
        <v>0</v>
      </c>
      <c r="BX98" s="4794">
        <f t="shared" si="144"/>
        <v>0</v>
      </c>
      <c r="BY98" s="4794">
        <f t="shared" si="145"/>
        <v>0</v>
      </c>
    </row>
    <row r="99" spans="1:77">
      <c r="A99" s="2694">
        <v>6</v>
      </c>
      <c r="B99" s="2695">
        <v>208</v>
      </c>
      <c r="C99" s="2690">
        <v>0.2</v>
      </c>
      <c r="D99" s="2720" t="s">
        <v>413</v>
      </c>
      <c r="E99" s="1136">
        <f t="shared" si="161"/>
        <v>36</v>
      </c>
      <c r="F99" s="927">
        <f t="shared" si="162"/>
        <v>26.210783186406019</v>
      </c>
      <c r="G99" s="1243">
        <f t="shared" si="162"/>
        <v>12.837514788137611</v>
      </c>
      <c r="H99" s="1243">
        <f t="shared" si="162"/>
        <v>-3.9750831730903826</v>
      </c>
      <c r="I99" s="1243">
        <f t="shared" si="162"/>
        <v>-24.247716533140249</v>
      </c>
      <c r="J99" s="1243">
        <f t="shared" si="162"/>
        <v>-48.015299425647953</v>
      </c>
      <c r="K99" s="2798">
        <f t="shared" si="162"/>
        <v>-75.259284152381895</v>
      </c>
      <c r="L99" s="1136">
        <f t="shared" si="163"/>
        <v>16</v>
      </c>
      <c r="M99" s="927">
        <f t="shared" si="162"/>
        <v>15.414539414846047</v>
      </c>
      <c r="N99" s="1243">
        <f t="shared" si="162"/>
        <v>14.694517769824401</v>
      </c>
      <c r="O99" s="1243">
        <f t="shared" si="162"/>
        <v>13.800569269441397</v>
      </c>
      <c r="P99" s="1243">
        <f t="shared" si="162"/>
        <v>12.728630539367487</v>
      </c>
      <c r="Q99" s="1243">
        <f t="shared" si="162"/>
        <v>11.504497496460445</v>
      </c>
      <c r="R99" s="2798">
        <f t="shared" si="162"/>
        <v>10.124865650560849</v>
      </c>
      <c r="S99" s="1136">
        <f t="shared" si="164"/>
        <v>15</v>
      </c>
      <c r="T99" s="1247">
        <f t="shared" si="162"/>
        <v>19.374677398747934</v>
      </c>
      <c r="U99" s="1243">
        <f t="shared" si="162"/>
        <v>23.467967442037988</v>
      </c>
      <c r="V99" s="1243">
        <f t="shared" si="162"/>
        <v>27.174513903648972</v>
      </c>
      <c r="W99" s="1243">
        <f t="shared" si="162"/>
        <v>30.519085993772762</v>
      </c>
      <c r="X99" s="1243">
        <f t="shared" si="162"/>
        <v>33.51080192918748</v>
      </c>
      <c r="Y99" s="1248">
        <f t="shared" si="162"/>
        <v>36.134418501820974</v>
      </c>
      <c r="Z99" s="1136">
        <f t="shared" si="165"/>
        <v>0</v>
      </c>
      <c r="AA99" s="1247">
        <f t="shared" si="162"/>
        <v>0</v>
      </c>
      <c r="AB99" s="1243">
        <f t="shared" si="162"/>
        <v>0</v>
      </c>
      <c r="AC99" s="1243">
        <f t="shared" si="162"/>
        <v>0</v>
      </c>
      <c r="AD99" s="1243">
        <f t="shared" si="162"/>
        <v>0</v>
      </c>
      <c r="AE99" s="1243">
        <f t="shared" si="162"/>
        <v>0</v>
      </c>
      <c r="AF99" s="1248">
        <f t="shared" si="162"/>
        <v>0</v>
      </c>
      <c r="AG99" s="1136">
        <f t="shared" si="166"/>
        <v>0</v>
      </c>
      <c r="AH99" s="1247">
        <f t="shared" si="162"/>
        <v>0</v>
      </c>
      <c r="AI99" s="1243">
        <f t="shared" si="162"/>
        <v>0</v>
      </c>
      <c r="AJ99" s="1243">
        <f t="shared" si="162"/>
        <v>0</v>
      </c>
      <c r="AK99" s="1243">
        <f t="shared" si="162"/>
        <v>0</v>
      </c>
      <c r="AL99" s="1243">
        <f t="shared" si="162"/>
        <v>0</v>
      </c>
      <c r="AM99" s="1248">
        <f t="shared" si="162"/>
        <v>0</v>
      </c>
      <c r="AN99" s="2681"/>
      <c r="AO99" s="2719"/>
      <c r="AP99" s="4775"/>
      <c r="AQ99" s="4794">
        <f t="shared" si="111"/>
        <v>18.406507723063864</v>
      </c>
      <c r="AR99" s="4794">
        <f t="shared" si="112"/>
        <v>13.401360643003747</v>
      </c>
      <c r="AS99" s="4794">
        <f t="shared" si="113"/>
        <v>6.5637170859111533</v>
      </c>
      <c r="AT99" s="4794">
        <f t="shared" si="114"/>
        <v>-2.0324277534808153</v>
      </c>
      <c r="AU99" s="4794">
        <f t="shared" si="115"/>
        <v>-12.397660600941927</v>
      </c>
      <c r="AV99" s="4794">
        <f t="shared" si="116"/>
        <v>-24.54983276953925</v>
      </c>
      <c r="AW99" s="4794">
        <f t="shared" si="117"/>
        <v>-38.47946097175209</v>
      </c>
      <c r="AX99" s="4794">
        <f t="shared" si="118"/>
        <v>8.1806700991394958</v>
      </c>
      <c r="AY99" s="4794">
        <f t="shared" si="119"/>
        <v>7.8813288551898921</v>
      </c>
      <c r="AZ99" s="4794">
        <f t="shared" si="120"/>
        <v>7.5131876338047796</v>
      </c>
      <c r="BA99" s="4794">
        <f t="shared" si="121"/>
        <v>7.0561190233514148</v>
      </c>
      <c r="BB99" s="4794">
        <f t="shared" si="122"/>
        <v>6.5080454535248391</v>
      </c>
      <c r="BC99" s="4794">
        <f t="shared" si="123"/>
        <v>5.8821561671824467</v>
      </c>
      <c r="BD99" s="4794">
        <f t="shared" si="124"/>
        <v>5.1767616053342316</v>
      </c>
      <c r="BE99" s="4794">
        <f t="shared" si="125"/>
        <v>7.6693782179432777</v>
      </c>
      <c r="BF99" s="4794">
        <f t="shared" si="126"/>
        <v>9.9061152547756883</v>
      </c>
      <c r="BG99" s="4794">
        <f t="shared" si="127"/>
        <v>11.99898122129121</v>
      </c>
      <c r="BH99" s="4794">
        <f t="shared" si="128"/>
        <v>13.894108334389477</v>
      </c>
      <c r="BI99" s="4794">
        <f t="shared" si="129"/>
        <v>15.60416089014524</v>
      </c>
      <c r="BJ99" s="4794">
        <f t="shared" si="130"/>
        <v>17.133800958768134</v>
      </c>
      <c r="BK99" s="4794">
        <f t="shared" si="131"/>
        <v>18.475234811727489</v>
      </c>
      <c r="BL99" s="4794">
        <f t="shared" si="132"/>
        <v>0</v>
      </c>
      <c r="BM99" s="4794">
        <f t="shared" si="133"/>
        <v>0</v>
      </c>
      <c r="BN99" s="4794">
        <f t="shared" si="134"/>
        <v>0</v>
      </c>
      <c r="BO99" s="4794">
        <f t="shared" si="135"/>
        <v>0</v>
      </c>
      <c r="BP99" s="4794">
        <f t="shared" si="136"/>
        <v>0</v>
      </c>
      <c r="BQ99" s="4794">
        <f t="shared" si="137"/>
        <v>0</v>
      </c>
      <c r="BR99" s="4794">
        <f t="shared" si="138"/>
        <v>0</v>
      </c>
      <c r="BS99" s="4794">
        <f t="shared" si="139"/>
        <v>0</v>
      </c>
      <c r="BT99" s="4794">
        <f t="shared" si="140"/>
        <v>0</v>
      </c>
      <c r="BU99" s="4794">
        <f t="shared" si="141"/>
        <v>0</v>
      </c>
      <c r="BV99" s="4794">
        <f t="shared" si="142"/>
        <v>0</v>
      </c>
      <c r="BW99" s="4794">
        <f t="shared" si="143"/>
        <v>0</v>
      </c>
      <c r="BX99" s="4794">
        <f t="shared" si="144"/>
        <v>0</v>
      </c>
      <c r="BY99" s="4794">
        <f t="shared" si="145"/>
        <v>0</v>
      </c>
    </row>
    <row r="100" spans="1:77">
      <c r="A100" s="2694">
        <v>7</v>
      </c>
      <c r="B100" s="2698">
        <v>20601</v>
      </c>
      <c r="C100" s="2690">
        <v>0.1</v>
      </c>
      <c r="D100" s="2720" t="s">
        <v>564</v>
      </c>
      <c r="E100" s="1136">
        <f t="shared" si="161"/>
        <v>142</v>
      </c>
      <c r="F100" s="927">
        <f t="shared" si="162"/>
        <v>147.09362463268172</v>
      </c>
      <c r="G100" s="1243">
        <f>G25-G75</f>
        <v>137.4671094811666</v>
      </c>
      <c r="H100" s="1243">
        <f t="shared" si="162"/>
        <v>112.33128366064926</v>
      </c>
      <c r="I100" s="1243">
        <f t="shared" si="162"/>
        <v>85.815440753889959</v>
      </c>
      <c r="J100" s="1243">
        <f t="shared" si="162"/>
        <v>51.172170692001487</v>
      </c>
      <c r="K100" s="2798">
        <f t="shared" si="162"/>
        <v>15.095166075827763</v>
      </c>
      <c r="L100" s="1136">
        <f t="shared" si="163"/>
        <v>54</v>
      </c>
      <c r="M100" s="927">
        <f t="shared" si="162"/>
        <v>78.553015203781769</v>
      </c>
      <c r="N100" s="1243">
        <f t="shared" si="162"/>
        <v>96.134075809842358</v>
      </c>
      <c r="O100" s="1243">
        <f t="shared" si="162"/>
        <v>103.41148138405718</v>
      </c>
      <c r="P100" s="1243">
        <f t="shared" si="162"/>
        <v>113.76121421868181</v>
      </c>
      <c r="Q100" s="1243">
        <f t="shared" si="162"/>
        <v>120.5689813935945</v>
      </c>
      <c r="R100" s="2798">
        <f t="shared" si="162"/>
        <v>130.49566116791488</v>
      </c>
      <c r="S100" s="1136">
        <f t="shared" si="164"/>
        <v>45</v>
      </c>
      <c r="T100" s="1247">
        <f t="shared" si="162"/>
        <v>75.653360163536462</v>
      </c>
      <c r="U100" s="1243">
        <f t="shared" si="162"/>
        <v>98.998814708990992</v>
      </c>
      <c r="V100" s="1243">
        <f t="shared" si="162"/>
        <v>111.65723495529349</v>
      </c>
      <c r="W100" s="1243">
        <f t="shared" si="162"/>
        <v>127.12334502742814</v>
      </c>
      <c r="X100" s="1243">
        <f t="shared" si="162"/>
        <v>138.7588479144039</v>
      </c>
      <c r="Y100" s="1248">
        <f t="shared" si="162"/>
        <v>153.2091727562572</v>
      </c>
      <c r="Z100" s="1136">
        <f t="shared" si="165"/>
        <v>0</v>
      </c>
      <c r="AA100" s="1247">
        <f t="shared" si="162"/>
        <v>0</v>
      </c>
      <c r="AB100" s="1243">
        <f t="shared" si="162"/>
        <v>0</v>
      </c>
      <c r="AC100" s="1243">
        <f t="shared" si="162"/>
        <v>0</v>
      </c>
      <c r="AD100" s="1243">
        <f t="shared" si="162"/>
        <v>0</v>
      </c>
      <c r="AE100" s="1243">
        <f t="shared" si="162"/>
        <v>0</v>
      </c>
      <c r="AF100" s="1248">
        <f t="shared" si="162"/>
        <v>0</v>
      </c>
      <c r="AG100" s="1136">
        <f t="shared" si="166"/>
        <v>0</v>
      </c>
      <c r="AH100" s="1247">
        <f t="shared" si="162"/>
        <v>0</v>
      </c>
      <c r="AI100" s="1243">
        <f t="shared" si="162"/>
        <v>0</v>
      </c>
      <c r="AJ100" s="1243">
        <f t="shared" si="162"/>
        <v>0</v>
      </c>
      <c r="AK100" s="1243">
        <f t="shared" si="162"/>
        <v>0</v>
      </c>
      <c r="AL100" s="1243">
        <f t="shared" si="162"/>
        <v>0</v>
      </c>
      <c r="AM100" s="1248">
        <f t="shared" si="162"/>
        <v>0</v>
      </c>
      <c r="AN100" s="2681"/>
      <c r="AO100" s="2719"/>
      <c r="AP100" s="4775"/>
      <c r="AQ100" s="4794">
        <f t="shared" si="111"/>
        <v>72.603447129863028</v>
      </c>
      <c r="AR100" s="4794">
        <f t="shared" si="112"/>
        <v>75.207776050414267</v>
      </c>
      <c r="AS100" s="4794">
        <f t="shared" si="113"/>
        <v>70.28581700923219</v>
      </c>
      <c r="AT100" s="4794">
        <f t="shared" si="114"/>
        <v>57.434073340039404</v>
      </c>
      <c r="AU100" s="4794">
        <f t="shared" si="115"/>
        <v>43.876738138739029</v>
      </c>
      <c r="AV100" s="4794">
        <f t="shared" si="116"/>
        <v>26.163915418007438</v>
      </c>
      <c r="AW100" s="4794">
        <f t="shared" si="117"/>
        <v>7.7180358598793157</v>
      </c>
      <c r="AX100" s="4794">
        <f t="shared" si="118"/>
        <v>27.609761584595798</v>
      </c>
      <c r="AY100" s="4794">
        <f t="shared" si="119"/>
        <v>40.163518917176731</v>
      </c>
      <c r="AZ100" s="4794">
        <f t="shared" si="120"/>
        <v>49.15257246787418</v>
      </c>
      <c r="BA100" s="4794">
        <f t="shared" si="121"/>
        <v>52.873450854142327</v>
      </c>
      <c r="BB100" s="4794">
        <f t="shared" si="122"/>
        <v>58.165185225035827</v>
      </c>
      <c r="BC100" s="4794">
        <f t="shared" si="123"/>
        <v>61.645941310642797</v>
      </c>
      <c r="BD100" s="4794">
        <f t="shared" si="124"/>
        <v>66.72137208648752</v>
      </c>
      <c r="BE100" s="4794">
        <f t="shared" si="125"/>
        <v>23.008134653829831</v>
      </c>
      <c r="BF100" s="4794">
        <f t="shared" si="126"/>
        <v>38.680948836829614</v>
      </c>
      <c r="BG100" s="4794">
        <f t="shared" si="127"/>
        <v>50.617290208755868</v>
      </c>
      <c r="BH100" s="4794">
        <f t="shared" si="128"/>
        <v>57.089437709460171</v>
      </c>
      <c r="BI100" s="4794">
        <f t="shared" si="129"/>
        <v>64.99713422302969</v>
      </c>
      <c r="BJ100" s="4794">
        <f t="shared" si="130"/>
        <v>70.946272382775547</v>
      </c>
      <c r="BK100" s="4794">
        <f t="shared" si="131"/>
        <v>78.33460615506317</v>
      </c>
      <c r="BL100" s="4794">
        <f t="shared" si="132"/>
        <v>0</v>
      </c>
      <c r="BM100" s="4794">
        <f t="shared" si="133"/>
        <v>0</v>
      </c>
      <c r="BN100" s="4794">
        <f t="shared" si="134"/>
        <v>0</v>
      </c>
      <c r="BO100" s="4794">
        <f t="shared" si="135"/>
        <v>0</v>
      </c>
      <c r="BP100" s="4794">
        <f t="shared" si="136"/>
        <v>0</v>
      </c>
      <c r="BQ100" s="4794">
        <f t="shared" si="137"/>
        <v>0</v>
      </c>
      <c r="BR100" s="4794">
        <f t="shared" si="138"/>
        <v>0</v>
      </c>
      <c r="BS100" s="4794">
        <f t="shared" si="139"/>
        <v>0</v>
      </c>
      <c r="BT100" s="4794">
        <f t="shared" si="140"/>
        <v>0</v>
      </c>
      <c r="BU100" s="4794">
        <f t="shared" si="141"/>
        <v>0</v>
      </c>
      <c r="BV100" s="4794">
        <f t="shared" si="142"/>
        <v>0</v>
      </c>
      <c r="BW100" s="4794">
        <f t="shared" si="143"/>
        <v>0</v>
      </c>
      <c r="BX100" s="4794">
        <f t="shared" si="144"/>
        <v>0</v>
      </c>
      <c r="BY100" s="4794">
        <f t="shared" si="145"/>
        <v>0</v>
      </c>
    </row>
    <row r="101" spans="1:77">
      <c r="A101" s="2699">
        <v>8</v>
      </c>
      <c r="B101" s="2698">
        <v>20602</v>
      </c>
      <c r="C101" s="2690">
        <v>0.1</v>
      </c>
      <c r="D101" s="2720" t="s">
        <v>435</v>
      </c>
      <c r="E101" s="1136">
        <f>E26-E76</f>
        <v>25</v>
      </c>
      <c r="F101" s="927">
        <f>F26-F76</f>
        <v>19.650000000000006</v>
      </c>
      <c r="G101" s="1243">
        <f t="shared" ref="G101:K101" si="167">G26-G76</f>
        <v>14.300000000000011</v>
      </c>
      <c r="H101" s="1243">
        <f t="shared" si="167"/>
        <v>8.9500000000000171</v>
      </c>
      <c r="I101" s="1243">
        <f t="shared" si="167"/>
        <v>3.6000000000000227</v>
      </c>
      <c r="J101" s="1243">
        <f t="shared" si="167"/>
        <v>-1.7499999999999716</v>
      </c>
      <c r="K101" s="2798">
        <f t="shared" si="167"/>
        <v>-7.0999999999999659</v>
      </c>
      <c r="L101" s="1136">
        <f t="shared" si="163"/>
        <v>12</v>
      </c>
      <c r="M101" s="927">
        <f t="shared" si="162"/>
        <v>10.899999999999999</v>
      </c>
      <c r="N101" s="1243">
        <f t="shared" si="162"/>
        <v>9.7999999999999972</v>
      </c>
      <c r="O101" s="1243">
        <f t="shared" si="162"/>
        <v>8.6999999999999957</v>
      </c>
      <c r="P101" s="1243">
        <f t="shared" si="162"/>
        <v>7.5999999999999943</v>
      </c>
      <c r="Q101" s="1243">
        <f t="shared" si="162"/>
        <v>6.4999999999999929</v>
      </c>
      <c r="R101" s="2798">
        <f t="shared" si="162"/>
        <v>5.3999999999999915</v>
      </c>
      <c r="S101" s="1136">
        <f t="shared" si="164"/>
        <v>10</v>
      </c>
      <c r="T101" s="1247">
        <f t="shared" si="162"/>
        <v>8.9500000000000028</v>
      </c>
      <c r="U101" s="1243">
        <f t="shared" si="162"/>
        <v>7.9000000000000057</v>
      </c>
      <c r="V101" s="1243">
        <f t="shared" si="162"/>
        <v>6.8500000000000085</v>
      </c>
      <c r="W101" s="1243">
        <f t="shared" si="162"/>
        <v>5.8000000000000114</v>
      </c>
      <c r="X101" s="1243">
        <f t="shared" si="162"/>
        <v>4.7500000000000142</v>
      </c>
      <c r="Y101" s="1248">
        <f t="shared" si="162"/>
        <v>3.7000000000000171</v>
      </c>
      <c r="Z101" s="1136">
        <f t="shared" si="165"/>
        <v>0</v>
      </c>
      <c r="AA101" s="1247">
        <f t="shared" si="162"/>
        <v>0</v>
      </c>
      <c r="AB101" s="1243">
        <f t="shared" si="162"/>
        <v>0</v>
      </c>
      <c r="AC101" s="1243">
        <f t="shared" si="162"/>
        <v>0</v>
      </c>
      <c r="AD101" s="1243">
        <f t="shared" si="162"/>
        <v>0</v>
      </c>
      <c r="AE101" s="1243">
        <f t="shared" si="162"/>
        <v>0</v>
      </c>
      <c r="AF101" s="1248">
        <f t="shared" si="162"/>
        <v>0</v>
      </c>
      <c r="AG101" s="1136">
        <f t="shared" si="166"/>
        <v>0</v>
      </c>
      <c r="AH101" s="1247">
        <f t="shared" si="162"/>
        <v>0</v>
      </c>
      <c r="AI101" s="1243">
        <f t="shared" si="162"/>
        <v>0</v>
      </c>
      <c r="AJ101" s="1243">
        <f t="shared" si="162"/>
        <v>0</v>
      </c>
      <c r="AK101" s="1243">
        <f t="shared" si="162"/>
        <v>0</v>
      </c>
      <c r="AL101" s="1243">
        <f t="shared" si="162"/>
        <v>0</v>
      </c>
      <c r="AM101" s="1248">
        <f t="shared" si="162"/>
        <v>0</v>
      </c>
      <c r="AN101" s="2681"/>
      <c r="AO101" s="2719"/>
      <c r="AP101" s="4775"/>
      <c r="AQ101" s="4794">
        <f t="shared" si="111"/>
        <v>12.782297029905463</v>
      </c>
      <c r="AR101" s="4794">
        <f t="shared" si="112"/>
        <v>10.046885465505696</v>
      </c>
      <c r="AS101" s="4794">
        <f t="shared" si="113"/>
        <v>7.3114739011059307</v>
      </c>
      <c r="AT101" s="4794">
        <f t="shared" si="114"/>
        <v>4.5760623367061646</v>
      </c>
      <c r="AU101" s="4794">
        <f t="shared" si="115"/>
        <v>1.8406507723063983</v>
      </c>
      <c r="AV101" s="4794">
        <f t="shared" si="116"/>
        <v>-0.89476079209336778</v>
      </c>
      <c r="AW101" s="4794">
        <f t="shared" si="117"/>
        <v>-3.6301723564931341</v>
      </c>
      <c r="AX101" s="4794">
        <f t="shared" si="118"/>
        <v>6.1355025743546223</v>
      </c>
      <c r="AY101" s="4794">
        <f t="shared" si="119"/>
        <v>5.5730815050387807</v>
      </c>
      <c r="AZ101" s="4794">
        <f t="shared" si="120"/>
        <v>5.0106604357229401</v>
      </c>
      <c r="BA101" s="4794">
        <f t="shared" si="121"/>
        <v>4.4482393664070985</v>
      </c>
      <c r="BB101" s="4794">
        <f t="shared" si="122"/>
        <v>3.8858182970912578</v>
      </c>
      <c r="BC101" s="4794">
        <f t="shared" si="123"/>
        <v>3.3233972277754167</v>
      </c>
      <c r="BD101" s="4794">
        <f t="shared" si="124"/>
        <v>2.7609761584595756</v>
      </c>
      <c r="BE101" s="4794">
        <f t="shared" si="125"/>
        <v>5.1129188119621851</v>
      </c>
      <c r="BF101" s="4794">
        <f t="shared" si="126"/>
        <v>4.5760623367061566</v>
      </c>
      <c r="BG101" s="4794">
        <f t="shared" si="127"/>
        <v>4.0392058614501289</v>
      </c>
      <c r="BH101" s="4794">
        <f t="shared" si="128"/>
        <v>3.5023493861941009</v>
      </c>
      <c r="BI101" s="4794">
        <f t="shared" si="129"/>
        <v>2.9654929109380732</v>
      </c>
      <c r="BJ101" s="4794">
        <f t="shared" si="130"/>
        <v>2.4286364356820451</v>
      </c>
      <c r="BK101" s="4794">
        <f t="shared" si="131"/>
        <v>1.8917799604260173</v>
      </c>
      <c r="BL101" s="4794">
        <f t="shared" si="132"/>
        <v>0</v>
      </c>
      <c r="BM101" s="4794">
        <f t="shared" si="133"/>
        <v>0</v>
      </c>
      <c r="BN101" s="4794">
        <f t="shared" si="134"/>
        <v>0</v>
      </c>
      <c r="BO101" s="4794">
        <f t="shared" si="135"/>
        <v>0</v>
      </c>
      <c r="BP101" s="4794">
        <f t="shared" si="136"/>
        <v>0</v>
      </c>
      <c r="BQ101" s="4794">
        <f t="shared" si="137"/>
        <v>0</v>
      </c>
      <c r="BR101" s="4794">
        <f t="shared" si="138"/>
        <v>0</v>
      </c>
      <c r="BS101" s="4794">
        <f t="shared" si="139"/>
        <v>0</v>
      </c>
      <c r="BT101" s="4794">
        <f t="shared" si="140"/>
        <v>0</v>
      </c>
      <c r="BU101" s="4794">
        <f t="shared" si="141"/>
        <v>0</v>
      </c>
      <c r="BV101" s="4794">
        <f t="shared" si="142"/>
        <v>0</v>
      </c>
      <c r="BW101" s="4794">
        <f t="shared" si="143"/>
        <v>0</v>
      </c>
      <c r="BX101" s="4794">
        <f t="shared" si="144"/>
        <v>0</v>
      </c>
      <c r="BY101" s="4794">
        <f t="shared" si="145"/>
        <v>0</v>
      </c>
    </row>
    <row r="102" spans="1:77">
      <c r="A102" s="2699">
        <v>9</v>
      </c>
      <c r="B102" s="2695">
        <v>20603</v>
      </c>
      <c r="C102" s="2690">
        <v>0.5</v>
      </c>
      <c r="D102" s="2720" t="s">
        <v>1015</v>
      </c>
      <c r="E102" s="1136">
        <f t="shared" ref="E102:E109" si="168">E27-E77</f>
        <v>2</v>
      </c>
      <c r="F102" s="927">
        <f t="shared" ref="F102:T109" si="169">F27-F77</f>
        <v>1.75</v>
      </c>
      <c r="G102" s="1243">
        <f t="shared" si="169"/>
        <v>1.5</v>
      </c>
      <c r="H102" s="1243">
        <f t="shared" si="169"/>
        <v>1.25</v>
      </c>
      <c r="I102" s="1243">
        <f t="shared" si="169"/>
        <v>1</v>
      </c>
      <c r="J102" s="1243">
        <f t="shared" si="169"/>
        <v>0.75</v>
      </c>
      <c r="K102" s="2798">
        <f t="shared" si="169"/>
        <v>0.5</v>
      </c>
      <c r="L102" s="1136">
        <f>L27-L77</f>
        <v>0</v>
      </c>
      <c r="M102" s="927">
        <f>M27-M77</f>
        <v>0</v>
      </c>
      <c r="N102" s="1243">
        <f t="shared" si="162"/>
        <v>0</v>
      </c>
      <c r="O102" s="1243">
        <f t="shared" si="162"/>
        <v>0</v>
      </c>
      <c r="P102" s="1243">
        <f t="shared" si="162"/>
        <v>0</v>
      </c>
      <c r="Q102" s="1243">
        <f t="shared" si="162"/>
        <v>0</v>
      </c>
      <c r="R102" s="2798">
        <f t="shared" si="162"/>
        <v>0</v>
      </c>
      <c r="S102" s="1136">
        <f>S27-S77</f>
        <v>0</v>
      </c>
      <c r="T102" s="1247">
        <f t="shared" si="162"/>
        <v>0</v>
      </c>
      <c r="U102" s="1243">
        <f t="shared" si="162"/>
        <v>0</v>
      </c>
      <c r="V102" s="1243">
        <f t="shared" si="162"/>
        <v>0</v>
      </c>
      <c r="W102" s="1243">
        <f t="shared" si="162"/>
        <v>0</v>
      </c>
      <c r="X102" s="1243">
        <f t="shared" si="162"/>
        <v>0</v>
      </c>
      <c r="Y102" s="1248">
        <f t="shared" si="162"/>
        <v>0</v>
      </c>
      <c r="Z102" s="1136">
        <f>Z27-Z77</f>
        <v>0</v>
      </c>
      <c r="AA102" s="1247">
        <f t="shared" si="162"/>
        <v>0</v>
      </c>
      <c r="AB102" s="1243">
        <f t="shared" si="162"/>
        <v>0</v>
      </c>
      <c r="AC102" s="1243">
        <f t="shared" si="162"/>
        <v>0</v>
      </c>
      <c r="AD102" s="1243">
        <f t="shared" si="162"/>
        <v>0</v>
      </c>
      <c r="AE102" s="1243">
        <f t="shared" si="162"/>
        <v>0</v>
      </c>
      <c r="AF102" s="1248">
        <f t="shared" si="162"/>
        <v>0</v>
      </c>
      <c r="AG102" s="1136">
        <f>AG27-AG77</f>
        <v>0</v>
      </c>
      <c r="AH102" s="1247">
        <f t="shared" si="162"/>
        <v>0</v>
      </c>
      <c r="AI102" s="1243">
        <f t="shared" si="162"/>
        <v>0</v>
      </c>
      <c r="AJ102" s="1243">
        <f t="shared" ref="AJ102:AM102" si="170">AJ27-AJ77</f>
        <v>0</v>
      </c>
      <c r="AK102" s="1243">
        <f t="shared" si="170"/>
        <v>0</v>
      </c>
      <c r="AL102" s="1243">
        <f t="shared" si="170"/>
        <v>0</v>
      </c>
      <c r="AM102" s="1248">
        <f t="shared" si="170"/>
        <v>0</v>
      </c>
      <c r="AN102" s="2681"/>
      <c r="AO102" s="2719"/>
      <c r="AP102" s="4775"/>
      <c r="AQ102" s="4794">
        <f t="shared" si="111"/>
        <v>1.022583762392437</v>
      </c>
      <c r="AR102" s="4794">
        <f t="shared" si="112"/>
        <v>0.89476079209338233</v>
      </c>
      <c r="AS102" s="4794">
        <f t="shared" si="113"/>
        <v>0.76693782179432779</v>
      </c>
      <c r="AT102" s="4794">
        <f t="shared" si="114"/>
        <v>0.63911485149527314</v>
      </c>
      <c r="AU102" s="4794">
        <f t="shared" si="115"/>
        <v>0.51129188119621849</v>
      </c>
      <c r="AV102" s="4794">
        <f t="shared" si="116"/>
        <v>0.38346891089716389</v>
      </c>
      <c r="AW102" s="4794">
        <f t="shared" si="117"/>
        <v>0.25564594059810924</v>
      </c>
      <c r="AX102" s="4794">
        <f t="shared" si="118"/>
        <v>0</v>
      </c>
      <c r="AY102" s="4794">
        <f t="shared" si="119"/>
        <v>0</v>
      </c>
      <c r="AZ102" s="4794">
        <f t="shared" si="120"/>
        <v>0</v>
      </c>
      <c r="BA102" s="4794">
        <f t="shared" si="121"/>
        <v>0</v>
      </c>
      <c r="BB102" s="4794">
        <f t="shared" si="122"/>
        <v>0</v>
      </c>
      <c r="BC102" s="4794">
        <f t="shared" si="123"/>
        <v>0</v>
      </c>
      <c r="BD102" s="4794">
        <f t="shared" si="124"/>
        <v>0</v>
      </c>
      <c r="BE102" s="4794">
        <f t="shared" si="125"/>
        <v>0</v>
      </c>
      <c r="BF102" s="4794">
        <f t="shared" si="126"/>
        <v>0</v>
      </c>
      <c r="BG102" s="4794">
        <f t="shared" si="127"/>
        <v>0</v>
      </c>
      <c r="BH102" s="4794">
        <f t="shared" si="128"/>
        <v>0</v>
      </c>
      <c r="BI102" s="4794">
        <f t="shared" si="129"/>
        <v>0</v>
      </c>
      <c r="BJ102" s="4794">
        <f t="shared" si="130"/>
        <v>0</v>
      </c>
      <c r="BK102" s="4794">
        <f t="shared" si="131"/>
        <v>0</v>
      </c>
      <c r="BL102" s="4794">
        <f t="shared" si="132"/>
        <v>0</v>
      </c>
      <c r="BM102" s="4794">
        <f t="shared" si="133"/>
        <v>0</v>
      </c>
      <c r="BN102" s="4794">
        <f t="shared" si="134"/>
        <v>0</v>
      </c>
      <c r="BO102" s="4794">
        <f t="shared" si="135"/>
        <v>0</v>
      </c>
      <c r="BP102" s="4794">
        <f t="shared" si="136"/>
        <v>0</v>
      </c>
      <c r="BQ102" s="4794">
        <f t="shared" si="137"/>
        <v>0</v>
      </c>
      <c r="BR102" s="4794">
        <f t="shared" si="138"/>
        <v>0</v>
      </c>
      <c r="BS102" s="4794">
        <f t="shared" si="139"/>
        <v>0</v>
      </c>
      <c r="BT102" s="4794">
        <f t="shared" si="140"/>
        <v>0</v>
      </c>
      <c r="BU102" s="4794">
        <f t="shared" si="141"/>
        <v>0</v>
      </c>
      <c r="BV102" s="4794">
        <f t="shared" si="142"/>
        <v>0</v>
      </c>
      <c r="BW102" s="4794">
        <f t="shared" si="143"/>
        <v>0</v>
      </c>
      <c r="BX102" s="4794">
        <f t="shared" si="144"/>
        <v>0</v>
      </c>
      <c r="BY102" s="4794">
        <f t="shared" si="145"/>
        <v>0</v>
      </c>
    </row>
    <row r="103" spans="1:77">
      <c r="A103" s="2699">
        <v>10</v>
      </c>
      <c r="B103" s="2695">
        <v>209</v>
      </c>
      <c r="C103" s="2690">
        <v>0.1</v>
      </c>
      <c r="D103" s="2720" t="s">
        <v>213</v>
      </c>
      <c r="E103" s="1136">
        <f t="shared" si="168"/>
        <v>0</v>
      </c>
      <c r="F103" s="927">
        <f t="shared" si="169"/>
        <v>0</v>
      </c>
      <c r="G103" s="1243">
        <f>G28-G78</f>
        <v>0</v>
      </c>
      <c r="H103" s="1243">
        <f t="shared" si="169"/>
        <v>0</v>
      </c>
      <c r="I103" s="1243">
        <f t="shared" si="169"/>
        <v>0</v>
      </c>
      <c r="J103" s="1243">
        <f t="shared" si="169"/>
        <v>0</v>
      </c>
      <c r="K103" s="2798">
        <f t="shared" si="169"/>
        <v>0</v>
      </c>
      <c r="L103" s="1136">
        <f t="shared" si="169"/>
        <v>0</v>
      </c>
      <c r="M103" s="927">
        <f t="shared" si="169"/>
        <v>0</v>
      </c>
      <c r="N103" s="1243">
        <f t="shared" si="169"/>
        <v>0</v>
      </c>
      <c r="O103" s="1243">
        <f t="shared" si="169"/>
        <v>0</v>
      </c>
      <c r="P103" s="1243">
        <f t="shared" si="169"/>
        <v>0</v>
      </c>
      <c r="Q103" s="1243">
        <f t="shared" si="169"/>
        <v>0</v>
      </c>
      <c r="R103" s="2798">
        <f t="shared" si="169"/>
        <v>0</v>
      </c>
      <c r="S103" s="1136">
        <f t="shared" si="169"/>
        <v>0</v>
      </c>
      <c r="T103" s="1247">
        <f t="shared" si="169"/>
        <v>0</v>
      </c>
      <c r="U103" s="1243">
        <f t="shared" ref="U103:AM109" si="171">U28-U78</f>
        <v>0</v>
      </c>
      <c r="V103" s="1243">
        <f t="shared" si="171"/>
        <v>0</v>
      </c>
      <c r="W103" s="1243">
        <f t="shared" si="171"/>
        <v>0</v>
      </c>
      <c r="X103" s="1243">
        <f t="shared" si="171"/>
        <v>0</v>
      </c>
      <c r="Y103" s="1248">
        <f t="shared" si="171"/>
        <v>0</v>
      </c>
      <c r="Z103" s="1136">
        <f t="shared" si="171"/>
        <v>0</v>
      </c>
      <c r="AA103" s="1247">
        <f t="shared" si="171"/>
        <v>0</v>
      </c>
      <c r="AB103" s="1243">
        <f t="shared" si="171"/>
        <v>0</v>
      </c>
      <c r="AC103" s="1243">
        <f t="shared" si="171"/>
        <v>0</v>
      </c>
      <c r="AD103" s="1243">
        <f t="shared" si="171"/>
        <v>0</v>
      </c>
      <c r="AE103" s="1243">
        <f t="shared" si="171"/>
        <v>0</v>
      </c>
      <c r="AF103" s="1248">
        <f t="shared" si="171"/>
        <v>0</v>
      </c>
      <c r="AG103" s="1136">
        <f t="shared" si="171"/>
        <v>0</v>
      </c>
      <c r="AH103" s="1247">
        <f t="shared" si="171"/>
        <v>0</v>
      </c>
      <c r="AI103" s="1243">
        <f t="shared" si="171"/>
        <v>0</v>
      </c>
      <c r="AJ103" s="1243">
        <f t="shared" si="171"/>
        <v>0</v>
      </c>
      <c r="AK103" s="1243">
        <f t="shared" si="171"/>
        <v>0</v>
      </c>
      <c r="AL103" s="1243">
        <f t="shared" si="171"/>
        <v>0</v>
      </c>
      <c r="AM103" s="1248">
        <f t="shared" si="171"/>
        <v>0</v>
      </c>
      <c r="AN103" s="2681"/>
      <c r="AO103" s="2719"/>
      <c r="AP103" s="4775"/>
      <c r="AQ103" s="4794">
        <f t="shared" si="111"/>
        <v>0</v>
      </c>
      <c r="AR103" s="4794">
        <f t="shared" si="112"/>
        <v>0</v>
      </c>
      <c r="AS103" s="4794">
        <f t="shared" si="113"/>
        <v>0</v>
      </c>
      <c r="AT103" s="4794">
        <f t="shared" si="114"/>
        <v>0</v>
      </c>
      <c r="AU103" s="4794">
        <f t="shared" si="115"/>
        <v>0</v>
      </c>
      <c r="AV103" s="4794">
        <f t="shared" si="116"/>
        <v>0</v>
      </c>
      <c r="AW103" s="4794">
        <f t="shared" si="117"/>
        <v>0</v>
      </c>
      <c r="AX103" s="4794">
        <f t="shared" si="118"/>
        <v>0</v>
      </c>
      <c r="AY103" s="4794">
        <f t="shared" si="119"/>
        <v>0</v>
      </c>
      <c r="AZ103" s="4794">
        <f t="shared" si="120"/>
        <v>0</v>
      </c>
      <c r="BA103" s="4794">
        <f t="shared" si="121"/>
        <v>0</v>
      </c>
      <c r="BB103" s="4794">
        <f t="shared" si="122"/>
        <v>0</v>
      </c>
      <c r="BC103" s="4794">
        <f t="shared" si="123"/>
        <v>0</v>
      </c>
      <c r="BD103" s="4794">
        <f t="shared" si="124"/>
        <v>0</v>
      </c>
      <c r="BE103" s="4794">
        <f t="shared" si="125"/>
        <v>0</v>
      </c>
      <c r="BF103" s="4794">
        <f t="shared" si="126"/>
        <v>0</v>
      </c>
      <c r="BG103" s="4794">
        <f t="shared" si="127"/>
        <v>0</v>
      </c>
      <c r="BH103" s="4794">
        <f t="shared" si="128"/>
        <v>0</v>
      </c>
      <c r="BI103" s="4794">
        <f t="shared" si="129"/>
        <v>0</v>
      </c>
      <c r="BJ103" s="4794">
        <f t="shared" si="130"/>
        <v>0</v>
      </c>
      <c r="BK103" s="4794">
        <f t="shared" si="131"/>
        <v>0</v>
      </c>
      <c r="BL103" s="4794">
        <f t="shared" si="132"/>
        <v>0</v>
      </c>
      <c r="BM103" s="4794">
        <f t="shared" si="133"/>
        <v>0</v>
      </c>
      <c r="BN103" s="4794">
        <f t="shared" si="134"/>
        <v>0</v>
      </c>
      <c r="BO103" s="4794">
        <f t="shared" si="135"/>
        <v>0</v>
      </c>
      <c r="BP103" s="4794">
        <f t="shared" si="136"/>
        <v>0</v>
      </c>
      <c r="BQ103" s="4794">
        <f t="shared" si="137"/>
        <v>0</v>
      </c>
      <c r="BR103" s="4794">
        <f t="shared" si="138"/>
        <v>0</v>
      </c>
      <c r="BS103" s="4794">
        <f t="shared" si="139"/>
        <v>0</v>
      </c>
      <c r="BT103" s="4794">
        <f t="shared" si="140"/>
        <v>0</v>
      </c>
      <c r="BU103" s="4794">
        <f t="shared" si="141"/>
        <v>0</v>
      </c>
      <c r="BV103" s="4794">
        <f t="shared" si="142"/>
        <v>0</v>
      </c>
      <c r="BW103" s="4794">
        <f t="shared" si="143"/>
        <v>0</v>
      </c>
      <c r="BX103" s="4794">
        <f t="shared" si="144"/>
        <v>0</v>
      </c>
      <c r="BY103" s="4794">
        <f t="shared" si="145"/>
        <v>0</v>
      </c>
    </row>
    <row r="104" spans="1:77" ht="24">
      <c r="A104" s="2699">
        <v>11</v>
      </c>
      <c r="B104" s="2695">
        <v>207</v>
      </c>
      <c r="C104" s="2690" t="s">
        <v>313</v>
      </c>
      <c r="D104" s="2720" t="s">
        <v>414</v>
      </c>
      <c r="E104" s="1136">
        <f t="shared" si="168"/>
        <v>5105</v>
      </c>
      <c r="F104" s="927">
        <f t="shared" si="169"/>
        <v>5105</v>
      </c>
      <c r="G104" s="1243">
        <f t="shared" si="169"/>
        <v>5105</v>
      </c>
      <c r="H104" s="1243">
        <f t="shared" si="169"/>
        <v>5105</v>
      </c>
      <c r="I104" s="1243">
        <f t="shared" si="169"/>
        <v>5105</v>
      </c>
      <c r="J104" s="1243">
        <f t="shared" si="169"/>
        <v>5105</v>
      </c>
      <c r="K104" s="2798">
        <f t="shared" si="169"/>
        <v>5105</v>
      </c>
      <c r="L104" s="1136">
        <f t="shared" si="169"/>
        <v>0</v>
      </c>
      <c r="M104" s="927">
        <f t="shared" si="169"/>
        <v>0</v>
      </c>
      <c r="N104" s="1243">
        <f t="shared" si="169"/>
        <v>0</v>
      </c>
      <c r="O104" s="1243">
        <f t="shared" si="169"/>
        <v>0</v>
      </c>
      <c r="P104" s="1243">
        <f t="shared" si="169"/>
        <v>0</v>
      </c>
      <c r="Q104" s="1243">
        <f t="shared" si="169"/>
        <v>0</v>
      </c>
      <c r="R104" s="2798">
        <f t="shared" si="169"/>
        <v>0</v>
      </c>
      <c r="S104" s="1136">
        <f t="shared" si="169"/>
        <v>0</v>
      </c>
      <c r="T104" s="1247">
        <f t="shared" si="169"/>
        <v>0</v>
      </c>
      <c r="U104" s="1243">
        <f t="shared" si="171"/>
        <v>0</v>
      </c>
      <c r="V104" s="1243">
        <f t="shared" si="171"/>
        <v>0</v>
      </c>
      <c r="W104" s="1243">
        <f t="shared" si="171"/>
        <v>0</v>
      </c>
      <c r="X104" s="1243">
        <f t="shared" si="171"/>
        <v>0</v>
      </c>
      <c r="Y104" s="1248">
        <f t="shared" si="171"/>
        <v>0</v>
      </c>
      <c r="Z104" s="1136">
        <f t="shared" si="171"/>
        <v>0</v>
      </c>
      <c r="AA104" s="1247">
        <f t="shared" si="171"/>
        <v>0</v>
      </c>
      <c r="AB104" s="1243">
        <f t="shared" si="171"/>
        <v>0</v>
      </c>
      <c r="AC104" s="1243">
        <f t="shared" si="171"/>
        <v>0</v>
      </c>
      <c r="AD104" s="1243">
        <f t="shared" si="171"/>
        <v>0</v>
      </c>
      <c r="AE104" s="1243">
        <f t="shared" si="171"/>
        <v>0</v>
      </c>
      <c r="AF104" s="1248">
        <f t="shared" si="171"/>
        <v>0</v>
      </c>
      <c r="AG104" s="1136">
        <f t="shared" si="171"/>
        <v>0</v>
      </c>
      <c r="AH104" s="1247">
        <f t="shared" si="171"/>
        <v>0</v>
      </c>
      <c r="AI104" s="1243">
        <f t="shared" si="171"/>
        <v>0</v>
      </c>
      <c r="AJ104" s="1243">
        <f t="shared" si="171"/>
        <v>0</v>
      </c>
      <c r="AK104" s="1243">
        <f t="shared" si="171"/>
        <v>0</v>
      </c>
      <c r="AL104" s="1243">
        <f t="shared" si="171"/>
        <v>0</v>
      </c>
      <c r="AM104" s="1248">
        <f t="shared" si="171"/>
        <v>0</v>
      </c>
      <c r="AN104" s="2681"/>
      <c r="AO104" s="2689"/>
      <c r="AP104" s="4775"/>
      <c r="AQ104" s="4794">
        <f t="shared" si="111"/>
        <v>2610.1450535066956</v>
      </c>
      <c r="AR104" s="4794">
        <f t="shared" si="112"/>
        <v>2610.1450535066956</v>
      </c>
      <c r="AS104" s="4794">
        <f t="shared" si="113"/>
        <v>2610.1450535066956</v>
      </c>
      <c r="AT104" s="4794">
        <f t="shared" si="114"/>
        <v>2610.1450535066956</v>
      </c>
      <c r="AU104" s="4794">
        <f t="shared" si="115"/>
        <v>2610.1450535066956</v>
      </c>
      <c r="AV104" s="4794">
        <f t="shared" si="116"/>
        <v>2610.1450535066956</v>
      </c>
      <c r="AW104" s="4794">
        <f t="shared" si="117"/>
        <v>2610.1450535066956</v>
      </c>
      <c r="AX104" s="4794">
        <f t="shared" si="118"/>
        <v>0</v>
      </c>
      <c r="AY104" s="4794">
        <f t="shared" si="119"/>
        <v>0</v>
      </c>
      <c r="AZ104" s="4794">
        <f t="shared" si="120"/>
        <v>0</v>
      </c>
      <c r="BA104" s="4794">
        <f t="shared" si="121"/>
        <v>0</v>
      </c>
      <c r="BB104" s="4794">
        <f t="shared" si="122"/>
        <v>0</v>
      </c>
      <c r="BC104" s="4794">
        <f t="shared" si="123"/>
        <v>0</v>
      </c>
      <c r="BD104" s="4794">
        <f t="shared" si="124"/>
        <v>0</v>
      </c>
      <c r="BE104" s="4794">
        <f t="shared" si="125"/>
        <v>0</v>
      </c>
      <c r="BF104" s="4794">
        <f t="shared" si="126"/>
        <v>0</v>
      </c>
      <c r="BG104" s="4794">
        <f t="shared" si="127"/>
        <v>0</v>
      </c>
      <c r="BH104" s="4794">
        <f t="shared" si="128"/>
        <v>0</v>
      </c>
      <c r="BI104" s="4794">
        <f t="shared" si="129"/>
        <v>0</v>
      </c>
      <c r="BJ104" s="4794">
        <f t="shared" si="130"/>
        <v>0</v>
      </c>
      <c r="BK104" s="4794">
        <f t="shared" si="131"/>
        <v>0</v>
      </c>
      <c r="BL104" s="4794">
        <f t="shared" si="132"/>
        <v>0</v>
      </c>
      <c r="BM104" s="4794">
        <f t="shared" si="133"/>
        <v>0</v>
      </c>
      <c r="BN104" s="4794">
        <f t="shared" si="134"/>
        <v>0</v>
      </c>
      <c r="BO104" s="4794">
        <f t="shared" si="135"/>
        <v>0</v>
      </c>
      <c r="BP104" s="4794">
        <f t="shared" si="136"/>
        <v>0</v>
      </c>
      <c r="BQ104" s="4794">
        <f t="shared" si="137"/>
        <v>0</v>
      </c>
      <c r="BR104" s="4794">
        <f t="shared" si="138"/>
        <v>0</v>
      </c>
      <c r="BS104" s="4794">
        <f t="shared" si="139"/>
        <v>0</v>
      </c>
      <c r="BT104" s="4794">
        <f t="shared" si="140"/>
        <v>0</v>
      </c>
      <c r="BU104" s="4794">
        <f t="shared" si="141"/>
        <v>0</v>
      </c>
      <c r="BV104" s="4794">
        <f t="shared" si="142"/>
        <v>0</v>
      </c>
      <c r="BW104" s="4794">
        <f t="shared" si="143"/>
        <v>0</v>
      </c>
      <c r="BX104" s="4794">
        <f t="shared" si="144"/>
        <v>0</v>
      </c>
      <c r="BY104" s="4794">
        <f t="shared" si="145"/>
        <v>0</v>
      </c>
    </row>
    <row r="105" spans="1:77">
      <c r="A105" s="2699">
        <v>12</v>
      </c>
      <c r="B105" s="2695">
        <v>212</v>
      </c>
      <c r="C105" s="2690">
        <v>0.2</v>
      </c>
      <c r="D105" s="2722" t="s">
        <v>214</v>
      </c>
      <c r="E105" s="1136">
        <f t="shared" si="168"/>
        <v>62</v>
      </c>
      <c r="F105" s="927">
        <f t="shared" si="169"/>
        <v>26.326957966015073</v>
      </c>
      <c r="G105" s="1243">
        <f t="shared" si="169"/>
        <v>-30.439600475543386</v>
      </c>
      <c r="H105" s="1243">
        <f t="shared" si="169"/>
        <v>-87.018865103438031</v>
      </c>
      <c r="I105" s="1243">
        <f t="shared" si="169"/>
        <v>-137.40276393681586</v>
      </c>
      <c r="J105" s="1243">
        <f t="shared" si="169"/>
        <v>-198.29797190279453</v>
      </c>
      <c r="K105" s="2798">
        <f t="shared" si="169"/>
        <v>-259.16432512556764</v>
      </c>
      <c r="L105" s="1136">
        <f t="shared" si="169"/>
        <v>48</v>
      </c>
      <c r="M105" s="927">
        <f t="shared" si="169"/>
        <v>57.3363485371151</v>
      </c>
      <c r="N105" s="1243">
        <f t="shared" si="169"/>
        <v>49.825201350967916</v>
      </c>
      <c r="O105" s="1243">
        <f t="shared" si="169"/>
        <v>42.264586183918254</v>
      </c>
      <c r="P105" s="1243">
        <f t="shared" si="169"/>
        <v>42.917021841590355</v>
      </c>
      <c r="Q105" s="1243">
        <f t="shared" si="169"/>
        <v>35.141355416945601</v>
      </c>
      <c r="R105" s="2798">
        <f t="shared" si="169"/>
        <v>27.364333703832244</v>
      </c>
      <c r="S105" s="1136">
        <f t="shared" si="169"/>
        <v>32</v>
      </c>
      <c r="T105" s="1247">
        <f t="shared" si="169"/>
        <v>42.63669349686981</v>
      </c>
      <c r="U105" s="1243">
        <f t="shared" si="171"/>
        <v>36.214399124575436</v>
      </c>
      <c r="V105" s="1243">
        <f t="shared" si="171"/>
        <v>29.654278919519754</v>
      </c>
      <c r="W105" s="1243">
        <f t="shared" si="171"/>
        <v>31.185742095225521</v>
      </c>
      <c r="X105" s="1243">
        <f t="shared" si="171"/>
        <v>24.1566164858489</v>
      </c>
      <c r="Y105" s="1248">
        <f t="shared" si="171"/>
        <v>17.099991421735382</v>
      </c>
      <c r="Z105" s="1136">
        <f t="shared" si="171"/>
        <v>0</v>
      </c>
      <c r="AA105" s="1247">
        <f t="shared" si="171"/>
        <v>0</v>
      </c>
      <c r="AB105" s="1243">
        <f t="shared" si="171"/>
        <v>0</v>
      </c>
      <c r="AC105" s="1243">
        <f t="shared" si="171"/>
        <v>0</v>
      </c>
      <c r="AD105" s="1243">
        <f t="shared" si="171"/>
        <v>0</v>
      </c>
      <c r="AE105" s="1243">
        <f t="shared" si="171"/>
        <v>0</v>
      </c>
      <c r="AF105" s="1248">
        <f t="shared" si="171"/>
        <v>0</v>
      </c>
      <c r="AG105" s="1136">
        <f t="shared" si="171"/>
        <v>0</v>
      </c>
      <c r="AH105" s="1247">
        <f t="shared" si="171"/>
        <v>0</v>
      </c>
      <c r="AI105" s="1243">
        <f t="shared" si="171"/>
        <v>0</v>
      </c>
      <c r="AJ105" s="1243">
        <f t="shared" si="171"/>
        <v>0</v>
      </c>
      <c r="AK105" s="1243">
        <f t="shared" si="171"/>
        <v>0</v>
      </c>
      <c r="AL105" s="1243">
        <f t="shared" si="171"/>
        <v>0</v>
      </c>
      <c r="AM105" s="1248">
        <f t="shared" si="171"/>
        <v>0</v>
      </c>
      <c r="AN105" s="2681"/>
      <c r="AO105" s="2719"/>
      <c r="AP105" s="4775"/>
      <c r="AQ105" s="4794">
        <f t="shared" si="111"/>
        <v>31.700096634165547</v>
      </c>
      <c r="AR105" s="4794">
        <f t="shared" si="112"/>
        <v>13.460759864617616</v>
      </c>
      <c r="AS105" s="4794">
        <f t="shared" si="113"/>
        <v>-15.563520590001886</v>
      </c>
      <c r="AT105" s="4794">
        <f t="shared" si="114"/>
        <v>-44.492039238296805</v>
      </c>
      <c r="AU105" s="4794">
        <f t="shared" si="115"/>
        <v>-70.25291765481451</v>
      </c>
      <c r="AV105" s="4794">
        <f t="shared" si="116"/>
        <v>-101.38814309157469</v>
      </c>
      <c r="AW105" s="4794">
        <f t="shared" si="117"/>
        <v>-132.50861533239987</v>
      </c>
      <c r="AX105" s="4794">
        <f t="shared" si="118"/>
        <v>24.542010297418489</v>
      </c>
      <c r="AY105" s="4794">
        <f t="shared" si="119"/>
        <v>29.31560950446363</v>
      </c>
      <c r="AZ105" s="4794">
        <f t="shared" si="120"/>
        <v>25.475220929716752</v>
      </c>
      <c r="BA105" s="4794">
        <f t="shared" si="121"/>
        <v>21.60953977795527</v>
      </c>
      <c r="BB105" s="4794">
        <f t="shared" si="122"/>
        <v>21.943124832725928</v>
      </c>
      <c r="BC105" s="4794">
        <f t="shared" si="123"/>
        <v>17.96748971891504</v>
      </c>
      <c r="BD105" s="4794">
        <f t="shared" si="124"/>
        <v>13.991161657113473</v>
      </c>
      <c r="BE105" s="4794">
        <f t="shared" si="125"/>
        <v>16.361340198278992</v>
      </c>
      <c r="BF105" s="4794">
        <f t="shared" si="126"/>
        <v>21.799795226001141</v>
      </c>
      <c r="BG105" s="4794">
        <f t="shared" si="127"/>
        <v>18.516128254794864</v>
      </c>
      <c r="BH105" s="4794">
        <f t="shared" si="128"/>
        <v>15.16199205427862</v>
      </c>
      <c r="BI105" s="4794">
        <f t="shared" si="129"/>
        <v>15.945016742367958</v>
      </c>
      <c r="BJ105" s="4794">
        <f t="shared" si="130"/>
        <v>12.35108188638527</v>
      </c>
      <c r="BK105" s="4794">
        <f t="shared" si="131"/>
        <v>8.743086782458283</v>
      </c>
      <c r="BL105" s="4794">
        <f t="shared" si="132"/>
        <v>0</v>
      </c>
      <c r="BM105" s="4794">
        <f t="shared" si="133"/>
        <v>0</v>
      </c>
      <c r="BN105" s="4794">
        <f t="shared" si="134"/>
        <v>0</v>
      </c>
      <c r="BO105" s="4794">
        <f t="shared" si="135"/>
        <v>0</v>
      </c>
      <c r="BP105" s="4794">
        <f t="shared" si="136"/>
        <v>0</v>
      </c>
      <c r="BQ105" s="4794">
        <f t="shared" si="137"/>
        <v>0</v>
      </c>
      <c r="BR105" s="4794">
        <f t="shared" si="138"/>
        <v>0</v>
      </c>
      <c r="BS105" s="4794">
        <f t="shared" si="139"/>
        <v>0</v>
      </c>
      <c r="BT105" s="4794">
        <f t="shared" si="140"/>
        <v>0</v>
      </c>
      <c r="BU105" s="4794">
        <f t="shared" si="141"/>
        <v>0</v>
      </c>
      <c r="BV105" s="4794">
        <f t="shared" si="142"/>
        <v>0</v>
      </c>
      <c r="BW105" s="4794">
        <f t="shared" si="143"/>
        <v>0</v>
      </c>
      <c r="BX105" s="4794">
        <f t="shared" si="144"/>
        <v>0</v>
      </c>
      <c r="BY105" s="4794">
        <f t="shared" si="145"/>
        <v>0</v>
      </c>
    </row>
    <row r="106" spans="1:77">
      <c r="A106" s="2699">
        <v>13</v>
      </c>
      <c r="B106" s="2694">
        <v>213</v>
      </c>
      <c r="C106" s="2701">
        <v>0.2</v>
      </c>
      <c r="D106" s="2723" t="s">
        <v>215</v>
      </c>
      <c r="E106" s="1136">
        <f t="shared" si="168"/>
        <v>0</v>
      </c>
      <c r="F106" s="927">
        <f t="shared" si="169"/>
        <v>0</v>
      </c>
      <c r="G106" s="1243">
        <f t="shared" si="169"/>
        <v>0</v>
      </c>
      <c r="H106" s="1243">
        <f t="shared" si="169"/>
        <v>0</v>
      </c>
      <c r="I106" s="1243">
        <f t="shared" si="169"/>
        <v>0</v>
      </c>
      <c r="J106" s="1243">
        <f t="shared" si="169"/>
        <v>0</v>
      </c>
      <c r="K106" s="2798">
        <f t="shared" si="169"/>
        <v>0</v>
      </c>
      <c r="L106" s="1136">
        <f t="shared" si="169"/>
        <v>0</v>
      </c>
      <c r="M106" s="927">
        <f t="shared" si="169"/>
        <v>0</v>
      </c>
      <c r="N106" s="1243">
        <f t="shared" si="169"/>
        <v>0</v>
      </c>
      <c r="O106" s="1243">
        <f t="shared" si="169"/>
        <v>0</v>
      </c>
      <c r="P106" s="1243">
        <f t="shared" si="169"/>
        <v>0</v>
      </c>
      <c r="Q106" s="1243">
        <f t="shared" si="169"/>
        <v>0</v>
      </c>
      <c r="R106" s="2798">
        <f t="shared" si="169"/>
        <v>0</v>
      </c>
      <c r="S106" s="1136">
        <f t="shared" si="169"/>
        <v>0</v>
      </c>
      <c r="T106" s="1247">
        <f t="shared" si="169"/>
        <v>0</v>
      </c>
      <c r="U106" s="1243">
        <f t="shared" si="171"/>
        <v>0</v>
      </c>
      <c r="V106" s="1243">
        <f t="shared" si="171"/>
        <v>0</v>
      </c>
      <c r="W106" s="1243">
        <f t="shared" si="171"/>
        <v>0</v>
      </c>
      <c r="X106" s="1243">
        <f t="shared" si="171"/>
        <v>0</v>
      </c>
      <c r="Y106" s="1248">
        <f t="shared" si="171"/>
        <v>0</v>
      </c>
      <c r="Z106" s="1136">
        <f t="shared" si="171"/>
        <v>0</v>
      </c>
      <c r="AA106" s="1247">
        <f t="shared" si="171"/>
        <v>0</v>
      </c>
      <c r="AB106" s="1243">
        <f t="shared" si="171"/>
        <v>0</v>
      </c>
      <c r="AC106" s="1243">
        <f t="shared" si="171"/>
        <v>0</v>
      </c>
      <c r="AD106" s="1243">
        <f t="shared" si="171"/>
        <v>0</v>
      </c>
      <c r="AE106" s="1243">
        <f t="shared" si="171"/>
        <v>0</v>
      </c>
      <c r="AF106" s="1248">
        <f t="shared" si="171"/>
        <v>0</v>
      </c>
      <c r="AG106" s="1136">
        <f t="shared" si="171"/>
        <v>0</v>
      </c>
      <c r="AH106" s="1247">
        <f t="shared" si="171"/>
        <v>0</v>
      </c>
      <c r="AI106" s="1243">
        <f t="shared" si="171"/>
        <v>0</v>
      </c>
      <c r="AJ106" s="1243">
        <f t="shared" si="171"/>
        <v>0</v>
      </c>
      <c r="AK106" s="1243">
        <f t="shared" si="171"/>
        <v>0</v>
      </c>
      <c r="AL106" s="1243">
        <f t="shared" si="171"/>
        <v>0</v>
      </c>
      <c r="AM106" s="1248">
        <f t="shared" si="171"/>
        <v>0</v>
      </c>
      <c r="AN106" s="2681"/>
      <c r="AO106" s="2719"/>
      <c r="AP106" s="4775"/>
      <c r="AQ106" s="4794">
        <f t="shared" si="111"/>
        <v>0</v>
      </c>
      <c r="AR106" s="4794">
        <f t="shared" si="112"/>
        <v>0</v>
      </c>
      <c r="AS106" s="4794">
        <f t="shared" si="113"/>
        <v>0</v>
      </c>
      <c r="AT106" s="4794">
        <f t="shared" si="114"/>
        <v>0</v>
      </c>
      <c r="AU106" s="4794">
        <f t="shared" si="115"/>
        <v>0</v>
      </c>
      <c r="AV106" s="4794">
        <f t="shared" si="116"/>
        <v>0</v>
      </c>
      <c r="AW106" s="4794">
        <f t="shared" si="117"/>
        <v>0</v>
      </c>
      <c r="AX106" s="4794">
        <f t="shared" si="118"/>
        <v>0</v>
      </c>
      <c r="AY106" s="4794">
        <f t="shared" si="119"/>
        <v>0</v>
      </c>
      <c r="AZ106" s="4794">
        <f t="shared" si="120"/>
        <v>0</v>
      </c>
      <c r="BA106" s="4794">
        <f t="shared" si="121"/>
        <v>0</v>
      </c>
      <c r="BB106" s="4794">
        <f t="shared" si="122"/>
        <v>0</v>
      </c>
      <c r="BC106" s="4794">
        <f t="shared" si="123"/>
        <v>0</v>
      </c>
      <c r="BD106" s="4794">
        <f t="shared" si="124"/>
        <v>0</v>
      </c>
      <c r="BE106" s="4794">
        <f t="shared" si="125"/>
        <v>0</v>
      </c>
      <c r="BF106" s="4794">
        <f t="shared" si="126"/>
        <v>0</v>
      </c>
      <c r="BG106" s="4794">
        <f t="shared" si="127"/>
        <v>0</v>
      </c>
      <c r="BH106" s="4794">
        <f t="shared" si="128"/>
        <v>0</v>
      </c>
      <c r="BI106" s="4794">
        <f t="shared" si="129"/>
        <v>0</v>
      </c>
      <c r="BJ106" s="4794">
        <f t="shared" si="130"/>
        <v>0</v>
      </c>
      <c r="BK106" s="4794">
        <f t="shared" si="131"/>
        <v>0</v>
      </c>
      <c r="BL106" s="4794">
        <f t="shared" si="132"/>
        <v>0</v>
      </c>
      <c r="BM106" s="4794">
        <f t="shared" si="133"/>
        <v>0</v>
      </c>
      <c r="BN106" s="4794">
        <f t="shared" si="134"/>
        <v>0</v>
      </c>
      <c r="BO106" s="4794">
        <f t="shared" si="135"/>
        <v>0</v>
      </c>
      <c r="BP106" s="4794">
        <f t="shared" si="136"/>
        <v>0</v>
      </c>
      <c r="BQ106" s="4794">
        <f t="shared" si="137"/>
        <v>0</v>
      </c>
      <c r="BR106" s="4794">
        <f t="shared" si="138"/>
        <v>0</v>
      </c>
      <c r="BS106" s="4794">
        <f t="shared" si="139"/>
        <v>0</v>
      </c>
      <c r="BT106" s="4794">
        <f t="shared" si="140"/>
        <v>0</v>
      </c>
      <c r="BU106" s="4794">
        <f t="shared" si="141"/>
        <v>0</v>
      </c>
      <c r="BV106" s="4794">
        <f t="shared" si="142"/>
        <v>0</v>
      </c>
      <c r="BW106" s="4794">
        <f t="shared" si="143"/>
        <v>0</v>
      </c>
      <c r="BX106" s="4794">
        <f t="shared" si="144"/>
        <v>0</v>
      </c>
      <c r="BY106" s="4794">
        <f t="shared" si="145"/>
        <v>0</v>
      </c>
    </row>
    <row r="107" spans="1:77">
      <c r="A107" s="2699">
        <v>14</v>
      </c>
      <c r="B107" s="2775"/>
      <c r="C107" s="2775"/>
      <c r="D107" s="2724" t="s">
        <v>628</v>
      </c>
      <c r="E107" s="1136">
        <f t="shared" si="168"/>
        <v>0</v>
      </c>
      <c r="F107" s="927">
        <f t="shared" si="169"/>
        <v>0</v>
      </c>
      <c r="G107" s="1243">
        <f t="shared" si="169"/>
        <v>0</v>
      </c>
      <c r="H107" s="1243">
        <f t="shared" si="169"/>
        <v>0</v>
      </c>
      <c r="I107" s="1243">
        <f t="shared" si="169"/>
        <v>0</v>
      </c>
      <c r="J107" s="1243">
        <f t="shared" si="169"/>
        <v>0</v>
      </c>
      <c r="K107" s="2798">
        <f t="shared" si="169"/>
        <v>0</v>
      </c>
      <c r="L107" s="1136">
        <f t="shared" si="169"/>
        <v>0</v>
      </c>
      <c r="M107" s="927">
        <f t="shared" si="169"/>
        <v>0</v>
      </c>
      <c r="N107" s="1243">
        <f t="shared" si="169"/>
        <v>0</v>
      </c>
      <c r="O107" s="1243">
        <f t="shared" si="169"/>
        <v>0</v>
      </c>
      <c r="P107" s="1243">
        <f t="shared" si="169"/>
        <v>0</v>
      </c>
      <c r="Q107" s="1243">
        <f t="shared" si="169"/>
        <v>0</v>
      </c>
      <c r="R107" s="2798">
        <f t="shared" si="169"/>
        <v>0</v>
      </c>
      <c r="S107" s="1136">
        <f t="shared" si="169"/>
        <v>0</v>
      </c>
      <c r="T107" s="1247">
        <f t="shared" si="169"/>
        <v>0</v>
      </c>
      <c r="U107" s="1243">
        <f t="shared" si="171"/>
        <v>0</v>
      </c>
      <c r="V107" s="1243">
        <f t="shared" si="171"/>
        <v>0</v>
      </c>
      <c r="W107" s="1243">
        <f t="shared" si="171"/>
        <v>0</v>
      </c>
      <c r="X107" s="1243">
        <f t="shared" si="171"/>
        <v>0</v>
      </c>
      <c r="Y107" s="1248">
        <f t="shared" si="171"/>
        <v>0</v>
      </c>
      <c r="Z107" s="1136">
        <f t="shared" si="171"/>
        <v>0</v>
      </c>
      <c r="AA107" s="1247">
        <f t="shared" si="171"/>
        <v>0</v>
      </c>
      <c r="AB107" s="1243">
        <f t="shared" si="171"/>
        <v>0</v>
      </c>
      <c r="AC107" s="1243">
        <f t="shared" si="171"/>
        <v>0</v>
      </c>
      <c r="AD107" s="1243">
        <f t="shared" si="171"/>
        <v>0</v>
      </c>
      <c r="AE107" s="1243">
        <f t="shared" si="171"/>
        <v>0</v>
      </c>
      <c r="AF107" s="1248">
        <f t="shared" si="171"/>
        <v>0</v>
      </c>
      <c r="AG107" s="1136">
        <f t="shared" si="171"/>
        <v>0</v>
      </c>
      <c r="AH107" s="1247">
        <f t="shared" si="171"/>
        <v>0</v>
      </c>
      <c r="AI107" s="1243">
        <f t="shared" si="171"/>
        <v>0</v>
      </c>
      <c r="AJ107" s="1243">
        <f t="shared" si="171"/>
        <v>0</v>
      </c>
      <c r="AK107" s="1243">
        <f t="shared" si="171"/>
        <v>0</v>
      </c>
      <c r="AL107" s="1243">
        <f t="shared" si="171"/>
        <v>0</v>
      </c>
      <c r="AM107" s="1248">
        <f t="shared" si="171"/>
        <v>0</v>
      </c>
      <c r="AN107" s="2681"/>
      <c r="AO107" s="2719"/>
      <c r="AP107" s="4775"/>
      <c r="AQ107" s="4794">
        <f t="shared" si="111"/>
        <v>0</v>
      </c>
      <c r="AR107" s="4794">
        <f t="shared" si="112"/>
        <v>0</v>
      </c>
      <c r="AS107" s="4794">
        <f t="shared" si="113"/>
        <v>0</v>
      </c>
      <c r="AT107" s="4794">
        <f t="shared" si="114"/>
        <v>0</v>
      </c>
      <c r="AU107" s="4794">
        <f t="shared" si="115"/>
        <v>0</v>
      </c>
      <c r="AV107" s="4794">
        <f t="shared" si="116"/>
        <v>0</v>
      </c>
      <c r="AW107" s="4794">
        <f t="shared" si="117"/>
        <v>0</v>
      </c>
      <c r="AX107" s="4794">
        <f t="shared" si="118"/>
        <v>0</v>
      </c>
      <c r="AY107" s="4794">
        <f t="shared" si="119"/>
        <v>0</v>
      </c>
      <c r="AZ107" s="4794">
        <f t="shared" si="120"/>
        <v>0</v>
      </c>
      <c r="BA107" s="4794">
        <f t="shared" si="121"/>
        <v>0</v>
      </c>
      <c r="BB107" s="4794">
        <f t="shared" si="122"/>
        <v>0</v>
      </c>
      <c r="BC107" s="4794">
        <f t="shared" si="123"/>
        <v>0</v>
      </c>
      <c r="BD107" s="4794">
        <f t="shared" si="124"/>
        <v>0</v>
      </c>
      <c r="BE107" s="4794">
        <f t="shared" si="125"/>
        <v>0</v>
      </c>
      <c r="BF107" s="4794">
        <f t="shared" si="126"/>
        <v>0</v>
      </c>
      <c r="BG107" s="4794">
        <f t="shared" si="127"/>
        <v>0</v>
      </c>
      <c r="BH107" s="4794">
        <f t="shared" si="128"/>
        <v>0</v>
      </c>
      <c r="BI107" s="4794">
        <f t="shared" si="129"/>
        <v>0</v>
      </c>
      <c r="BJ107" s="4794">
        <f t="shared" si="130"/>
        <v>0</v>
      </c>
      <c r="BK107" s="4794">
        <f t="shared" si="131"/>
        <v>0</v>
      </c>
      <c r="BL107" s="4794">
        <f t="shared" si="132"/>
        <v>0</v>
      </c>
      <c r="BM107" s="4794">
        <f t="shared" si="133"/>
        <v>0</v>
      </c>
      <c r="BN107" s="4794">
        <f t="shared" si="134"/>
        <v>0</v>
      </c>
      <c r="BO107" s="4794">
        <f t="shared" si="135"/>
        <v>0</v>
      </c>
      <c r="BP107" s="4794">
        <f t="shared" si="136"/>
        <v>0</v>
      </c>
      <c r="BQ107" s="4794">
        <f t="shared" si="137"/>
        <v>0</v>
      </c>
      <c r="BR107" s="4794">
        <f t="shared" si="138"/>
        <v>0</v>
      </c>
      <c r="BS107" s="4794">
        <f t="shared" si="139"/>
        <v>0</v>
      </c>
      <c r="BT107" s="4794">
        <f t="shared" si="140"/>
        <v>0</v>
      </c>
      <c r="BU107" s="4794">
        <f t="shared" si="141"/>
        <v>0</v>
      </c>
      <c r="BV107" s="4794">
        <f t="shared" si="142"/>
        <v>0</v>
      </c>
      <c r="BW107" s="4794">
        <f t="shared" si="143"/>
        <v>0</v>
      </c>
      <c r="BX107" s="4794">
        <f t="shared" si="144"/>
        <v>0</v>
      </c>
      <c r="BY107" s="4794">
        <f t="shared" si="145"/>
        <v>0</v>
      </c>
    </row>
    <row r="108" spans="1:77" ht="24">
      <c r="A108" s="2699">
        <v>15</v>
      </c>
      <c r="B108" s="2694">
        <v>207</v>
      </c>
      <c r="C108" s="2694" t="s">
        <v>313</v>
      </c>
      <c r="D108" s="2723" t="s">
        <v>415</v>
      </c>
      <c r="E108" s="1136">
        <f t="shared" si="168"/>
        <v>0</v>
      </c>
      <c r="F108" s="927">
        <f t="shared" si="169"/>
        <v>0</v>
      </c>
      <c r="G108" s="1243">
        <f t="shared" si="169"/>
        <v>0</v>
      </c>
      <c r="H108" s="1243">
        <f t="shared" si="169"/>
        <v>0</v>
      </c>
      <c r="I108" s="1243">
        <f t="shared" si="169"/>
        <v>0</v>
      </c>
      <c r="J108" s="1243">
        <f t="shared" si="169"/>
        <v>0</v>
      </c>
      <c r="K108" s="2798">
        <f t="shared" si="169"/>
        <v>0</v>
      </c>
      <c r="L108" s="1136">
        <f t="shared" si="169"/>
        <v>0</v>
      </c>
      <c r="M108" s="927">
        <f t="shared" si="169"/>
        <v>0</v>
      </c>
      <c r="N108" s="1243">
        <f t="shared" si="169"/>
        <v>0</v>
      </c>
      <c r="O108" s="1243">
        <f t="shared" si="169"/>
        <v>0</v>
      </c>
      <c r="P108" s="1243">
        <f t="shared" si="169"/>
        <v>0</v>
      </c>
      <c r="Q108" s="1243">
        <f t="shared" si="169"/>
        <v>0</v>
      </c>
      <c r="R108" s="2798">
        <f t="shared" si="169"/>
        <v>0</v>
      </c>
      <c r="S108" s="1136">
        <f t="shared" si="169"/>
        <v>0</v>
      </c>
      <c r="T108" s="1247">
        <f t="shared" si="169"/>
        <v>0</v>
      </c>
      <c r="U108" s="1243">
        <f t="shared" si="171"/>
        <v>0</v>
      </c>
      <c r="V108" s="1243">
        <f t="shared" si="171"/>
        <v>0</v>
      </c>
      <c r="W108" s="1243">
        <f t="shared" si="171"/>
        <v>0</v>
      </c>
      <c r="X108" s="1243">
        <f t="shared" si="171"/>
        <v>0</v>
      </c>
      <c r="Y108" s="1248">
        <f t="shared" si="171"/>
        <v>0</v>
      </c>
      <c r="Z108" s="1136">
        <f t="shared" si="171"/>
        <v>0</v>
      </c>
      <c r="AA108" s="1247">
        <f t="shared" si="171"/>
        <v>0</v>
      </c>
      <c r="AB108" s="1243">
        <f t="shared" si="171"/>
        <v>0</v>
      </c>
      <c r="AC108" s="1243">
        <f t="shared" si="171"/>
        <v>0</v>
      </c>
      <c r="AD108" s="1243">
        <f t="shared" si="171"/>
        <v>0</v>
      </c>
      <c r="AE108" s="1243">
        <f t="shared" si="171"/>
        <v>0</v>
      </c>
      <c r="AF108" s="1248">
        <f t="shared" si="171"/>
        <v>0</v>
      </c>
      <c r="AG108" s="1136">
        <f t="shared" si="171"/>
        <v>0</v>
      </c>
      <c r="AH108" s="1247">
        <f t="shared" si="171"/>
        <v>0</v>
      </c>
      <c r="AI108" s="1243">
        <f t="shared" si="171"/>
        <v>0</v>
      </c>
      <c r="AJ108" s="1243">
        <f t="shared" si="171"/>
        <v>0</v>
      </c>
      <c r="AK108" s="1243">
        <f t="shared" si="171"/>
        <v>0</v>
      </c>
      <c r="AL108" s="1243">
        <f t="shared" si="171"/>
        <v>0</v>
      </c>
      <c r="AM108" s="1248">
        <f t="shared" si="171"/>
        <v>0</v>
      </c>
      <c r="AN108" s="2681"/>
      <c r="AO108" s="2719"/>
      <c r="AP108" s="4775"/>
      <c r="AQ108" s="4794">
        <f t="shared" si="111"/>
        <v>0</v>
      </c>
      <c r="AR108" s="4794">
        <f t="shared" si="112"/>
        <v>0</v>
      </c>
      <c r="AS108" s="4794">
        <f t="shared" si="113"/>
        <v>0</v>
      </c>
      <c r="AT108" s="4794">
        <f t="shared" si="114"/>
        <v>0</v>
      </c>
      <c r="AU108" s="4794">
        <f t="shared" si="115"/>
        <v>0</v>
      </c>
      <c r="AV108" s="4794">
        <f t="shared" si="116"/>
        <v>0</v>
      </c>
      <c r="AW108" s="4794">
        <f t="shared" si="117"/>
        <v>0</v>
      </c>
      <c r="AX108" s="4794">
        <f t="shared" si="118"/>
        <v>0</v>
      </c>
      <c r="AY108" s="4794">
        <f t="shared" si="119"/>
        <v>0</v>
      </c>
      <c r="AZ108" s="4794">
        <f t="shared" si="120"/>
        <v>0</v>
      </c>
      <c r="BA108" s="4794">
        <f t="shared" si="121"/>
        <v>0</v>
      </c>
      <c r="BB108" s="4794">
        <f t="shared" si="122"/>
        <v>0</v>
      </c>
      <c r="BC108" s="4794">
        <f t="shared" si="123"/>
        <v>0</v>
      </c>
      <c r="BD108" s="4794">
        <f t="shared" si="124"/>
        <v>0</v>
      </c>
      <c r="BE108" s="4794">
        <f t="shared" si="125"/>
        <v>0</v>
      </c>
      <c r="BF108" s="4794">
        <f t="shared" si="126"/>
        <v>0</v>
      </c>
      <c r="BG108" s="4794">
        <f t="shared" si="127"/>
        <v>0</v>
      </c>
      <c r="BH108" s="4794">
        <f t="shared" si="128"/>
        <v>0</v>
      </c>
      <c r="BI108" s="4794">
        <f t="shared" si="129"/>
        <v>0</v>
      </c>
      <c r="BJ108" s="4794">
        <f t="shared" si="130"/>
        <v>0</v>
      </c>
      <c r="BK108" s="4794">
        <f t="shared" si="131"/>
        <v>0</v>
      </c>
      <c r="BL108" s="4794">
        <f t="shared" si="132"/>
        <v>0</v>
      </c>
      <c r="BM108" s="4794">
        <f t="shared" si="133"/>
        <v>0</v>
      </c>
      <c r="BN108" s="4794">
        <f t="shared" si="134"/>
        <v>0</v>
      </c>
      <c r="BO108" s="4794">
        <f t="shared" si="135"/>
        <v>0</v>
      </c>
      <c r="BP108" s="4794">
        <f t="shared" si="136"/>
        <v>0</v>
      </c>
      <c r="BQ108" s="4794">
        <f t="shared" si="137"/>
        <v>0</v>
      </c>
      <c r="BR108" s="4794">
        <f t="shared" si="138"/>
        <v>0</v>
      </c>
      <c r="BS108" s="4794">
        <f t="shared" si="139"/>
        <v>0</v>
      </c>
      <c r="BT108" s="4794">
        <f t="shared" si="140"/>
        <v>0</v>
      </c>
      <c r="BU108" s="4794">
        <f t="shared" si="141"/>
        <v>0</v>
      </c>
      <c r="BV108" s="4794">
        <f t="shared" si="142"/>
        <v>0</v>
      </c>
      <c r="BW108" s="4794">
        <f t="shared" si="143"/>
        <v>0</v>
      </c>
      <c r="BX108" s="4794">
        <f t="shared" si="144"/>
        <v>0</v>
      </c>
      <c r="BY108" s="4794">
        <f t="shared" si="145"/>
        <v>0</v>
      </c>
    </row>
    <row r="109" spans="1:77" ht="13.5" thickBot="1">
      <c r="A109" s="2699">
        <v>16</v>
      </c>
      <c r="B109" s="2704">
        <v>219</v>
      </c>
      <c r="C109" s="2705">
        <v>0.1</v>
      </c>
      <c r="D109" s="2728" t="s">
        <v>216</v>
      </c>
      <c r="E109" s="2803">
        <f t="shared" si="168"/>
        <v>0</v>
      </c>
      <c r="F109" s="927">
        <f t="shared" si="169"/>
        <v>0</v>
      </c>
      <c r="G109" s="1243">
        <f t="shared" si="169"/>
        <v>0</v>
      </c>
      <c r="H109" s="1243">
        <f t="shared" si="169"/>
        <v>0</v>
      </c>
      <c r="I109" s="1243">
        <f t="shared" si="169"/>
        <v>0</v>
      </c>
      <c r="J109" s="1243">
        <f t="shared" si="169"/>
        <v>0</v>
      </c>
      <c r="K109" s="2798">
        <f t="shared" si="169"/>
        <v>0</v>
      </c>
      <c r="L109" s="2803">
        <f t="shared" si="169"/>
        <v>0</v>
      </c>
      <c r="M109" s="927">
        <f t="shared" si="169"/>
        <v>0</v>
      </c>
      <c r="N109" s="1243">
        <f t="shared" si="169"/>
        <v>0</v>
      </c>
      <c r="O109" s="1243">
        <f t="shared" si="169"/>
        <v>0</v>
      </c>
      <c r="P109" s="1243">
        <f t="shared" si="169"/>
        <v>0</v>
      </c>
      <c r="Q109" s="1243">
        <f t="shared" si="169"/>
        <v>0</v>
      </c>
      <c r="R109" s="2798">
        <f t="shared" si="169"/>
        <v>0</v>
      </c>
      <c r="S109" s="2803">
        <f t="shared" si="169"/>
        <v>0</v>
      </c>
      <c r="T109" s="1247">
        <f t="shared" si="169"/>
        <v>0</v>
      </c>
      <c r="U109" s="1243">
        <f t="shared" si="171"/>
        <v>0</v>
      </c>
      <c r="V109" s="1243">
        <f t="shared" si="171"/>
        <v>0</v>
      </c>
      <c r="W109" s="1243">
        <f t="shared" si="171"/>
        <v>0</v>
      </c>
      <c r="X109" s="1243">
        <f t="shared" si="171"/>
        <v>0</v>
      </c>
      <c r="Y109" s="1248">
        <f t="shared" si="171"/>
        <v>0</v>
      </c>
      <c r="Z109" s="2803">
        <f t="shared" si="171"/>
        <v>0</v>
      </c>
      <c r="AA109" s="1247">
        <f t="shared" si="171"/>
        <v>0</v>
      </c>
      <c r="AB109" s="1243">
        <f t="shared" si="171"/>
        <v>0</v>
      </c>
      <c r="AC109" s="1243">
        <f t="shared" si="171"/>
        <v>0</v>
      </c>
      <c r="AD109" s="1243">
        <f t="shared" si="171"/>
        <v>0</v>
      </c>
      <c r="AE109" s="1243">
        <f t="shared" si="171"/>
        <v>0</v>
      </c>
      <c r="AF109" s="1248">
        <f t="shared" si="171"/>
        <v>0</v>
      </c>
      <c r="AG109" s="2803">
        <f t="shared" si="171"/>
        <v>0</v>
      </c>
      <c r="AH109" s="1247">
        <f t="shared" si="171"/>
        <v>0</v>
      </c>
      <c r="AI109" s="1243">
        <f t="shared" si="171"/>
        <v>0</v>
      </c>
      <c r="AJ109" s="1243">
        <f t="shared" si="171"/>
        <v>0</v>
      </c>
      <c r="AK109" s="1243">
        <f t="shared" si="171"/>
        <v>0</v>
      </c>
      <c r="AL109" s="1243">
        <f t="shared" si="171"/>
        <v>0</v>
      </c>
      <c r="AM109" s="1248">
        <f t="shared" si="171"/>
        <v>0</v>
      </c>
      <c r="AN109" s="2735"/>
      <c r="AO109" s="2717"/>
      <c r="AP109" s="4775"/>
      <c r="AQ109" s="4794">
        <f t="shared" si="111"/>
        <v>0</v>
      </c>
      <c r="AR109" s="4794">
        <f t="shared" si="112"/>
        <v>0</v>
      </c>
      <c r="AS109" s="4794">
        <f t="shared" si="113"/>
        <v>0</v>
      </c>
      <c r="AT109" s="4794">
        <f t="shared" si="114"/>
        <v>0</v>
      </c>
      <c r="AU109" s="4794">
        <f t="shared" si="115"/>
        <v>0</v>
      </c>
      <c r="AV109" s="4794">
        <f t="shared" si="116"/>
        <v>0</v>
      </c>
      <c r="AW109" s="4794">
        <f t="shared" si="117"/>
        <v>0</v>
      </c>
      <c r="AX109" s="4794">
        <f t="shared" si="118"/>
        <v>0</v>
      </c>
      <c r="AY109" s="4794">
        <f t="shared" si="119"/>
        <v>0</v>
      </c>
      <c r="AZ109" s="4794">
        <f t="shared" si="120"/>
        <v>0</v>
      </c>
      <c r="BA109" s="4794">
        <f t="shared" si="121"/>
        <v>0</v>
      </c>
      <c r="BB109" s="4794">
        <f t="shared" si="122"/>
        <v>0</v>
      </c>
      <c r="BC109" s="4794">
        <f t="shared" si="123"/>
        <v>0</v>
      </c>
      <c r="BD109" s="4794">
        <f t="shared" si="124"/>
        <v>0</v>
      </c>
      <c r="BE109" s="4794">
        <f t="shared" si="125"/>
        <v>0</v>
      </c>
      <c r="BF109" s="4794">
        <f t="shared" si="126"/>
        <v>0</v>
      </c>
      <c r="BG109" s="4794">
        <f t="shared" si="127"/>
        <v>0</v>
      </c>
      <c r="BH109" s="4794">
        <f t="shared" si="128"/>
        <v>0</v>
      </c>
      <c r="BI109" s="4794">
        <f t="shared" si="129"/>
        <v>0</v>
      </c>
      <c r="BJ109" s="4794">
        <f t="shared" si="130"/>
        <v>0</v>
      </c>
      <c r="BK109" s="4794">
        <f t="shared" si="131"/>
        <v>0</v>
      </c>
      <c r="BL109" s="4794">
        <f t="shared" si="132"/>
        <v>0</v>
      </c>
      <c r="BM109" s="4794">
        <f t="shared" si="133"/>
        <v>0</v>
      </c>
      <c r="BN109" s="4794">
        <f t="shared" si="134"/>
        <v>0</v>
      </c>
      <c r="BO109" s="4794">
        <f t="shared" si="135"/>
        <v>0</v>
      </c>
      <c r="BP109" s="4794">
        <f t="shared" si="136"/>
        <v>0</v>
      </c>
      <c r="BQ109" s="4794">
        <f t="shared" si="137"/>
        <v>0</v>
      </c>
      <c r="BR109" s="4794">
        <f t="shared" si="138"/>
        <v>0</v>
      </c>
      <c r="BS109" s="4794">
        <f t="shared" si="139"/>
        <v>0</v>
      </c>
      <c r="BT109" s="4794">
        <f t="shared" si="140"/>
        <v>0</v>
      </c>
      <c r="BU109" s="4794">
        <f t="shared" si="141"/>
        <v>0</v>
      </c>
      <c r="BV109" s="4794">
        <f t="shared" si="142"/>
        <v>0</v>
      </c>
      <c r="BW109" s="4794">
        <f t="shared" si="143"/>
        <v>0</v>
      </c>
      <c r="BX109" s="4794">
        <f t="shared" si="144"/>
        <v>0</v>
      </c>
      <c r="BY109" s="4794">
        <f t="shared" si="145"/>
        <v>0</v>
      </c>
    </row>
    <row r="110" spans="1:77" ht="24.75" thickBot="1">
      <c r="A110" s="2736" t="s">
        <v>416</v>
      </c>
      <c r="B110" s="2736"/>
      <c r="C110" s="2736"/>
      <c r="D110" s="2737" t="s">
        <v>644</v>
      </c>
      <c r="E110" s="2804"/>
      <c r="F110" s="2805"/>
      <c r="G110" s="2663"/>
      <c r="H110" s="2663"/>
      <c r="I110" s="2663"/>
      <c r="J110" s="2663"/>
      <c r="K110" s="2806"/>
      <c r="L110" s="2804"/>
      <c r="M110" s="2805"/>
      <c r="N110" s="2663"/>
      <c r="O110" s="2663"/>
      <c r="P110" s="2663"/>
      <c r="Q110" s="2663"/>
      <c r="R110" s="2806"/>
      <c r="S110" s="2804"/>
      <c r="T110" s="2805"/>
      <c r="U110" s="2663"/>
      <c r="V110" s="2663"/>
      <c r="W110" s="2663"/>
      <c r="X110" s="2663"/>
      <c r="Y110" s="2806"/>
      <c r="Z110" s="2804"/>
      <c r="AA110" s="2805"/>
      <c r="AB110" s="2663"/>
      <c r="AC110" s="2663"/>
      <c r="AD110" s="2663"/>
      <c r="AE110" s="2663"/>
      <c r="AF110" s="2806"/>
      <c r="AG110" s="2804"/>
      <c r="AH110" s="2805"/>
      <c r="AI110" s="2663"/>
      <c r="AJ110" s="2663"/>
      <c r="AK110" s="2663"/>
      <c r="AL110" s="2663"/>
      <c r="AM110" s="2806"/>
      <c r="AN110" s="2738"/>
      <c r="AO110" s="2717"/>
      <c r="AP110" s="4775"/>
    </row>
    <row r="111" spans="1:77" s="1344" customFormat="1" ht="11.25" customHeight="1" thickBot="1">
      <c r="A111" s="2669" t="s">
        <v>205</v>
      </c>
      <c r="B111" s="2670"/>
      <c r="C111" s="2670"/>
      <c r="D111" s="2670" t="s">
        <v>334</v>
      </c>
      <c r="E111" s="1265">
        <f t="shared" ref="E111" si="172">SUM(E112:E130)</f>
        <v>23481</v>
      </c>
      <c r="F111" s="2807">
        <f t="shared" ref="F111:AM111" si="173">SUM(F112:F130)</f>
        <v>28101.333333333332</v>
      </c>
      <c r="G111" s="1166">
        <f t="shared" si="173"/>
        <v>31680</v>
      </c>
      <c r="H111" s="1166">
        <f t="shared" si="173"/>
        <v>34686.666666666672</v>
      </c>
      <c r="I111" s="1167">
        <f t="shared" si="173"/>
        <v>37628.333333333336</v>
      </c>
      <c r="J111" s="1166">
        <f t="shared" si="173"/>
        <v>40495</v>
      </c>
      <c r="K111" s="1166">
        <f t="shared" si="173"/>
        <v>43496.666666666664</v>
      </c>
      <c r="L111" s="1265">
        <f t="shared" si="173"/>
        <v>1512</v>
      </c>
      <c r="M111" s="2807">
        <f t="shared" si="173"/>
        <v>1665.3333333333333</v>
      </c>
      <c r="N111" s="1166">
        <f t="shared" si="173"/>
        <v>1852</v>
      </c>
      <c r="O111" s="1166">
        <f t="shared" si="173"/>
        <v>2038.6666666666667</v>
      </c>
      <c r="P111" s="1167">
        <f t="shared" si="173"/>
        <v>2225.3333333333335</v>
      </c>
      <c r="Q111" s="1166">
        <f t="shared" si="173"/>
        <v>2402</v>
      </c>
      <c r="R111" s="1166">
        <f t="shared" si="173"/>
        <v>2578.6666666666665</v>
      </c>
      <c r="S111" s="1265">
        <f t="shared" si="173"/>
        <v>1029</v>
      </c>
      <c r="T111" s="2807">
        <f t="shared" si="173"/>
        <v>1162.3333333333333</v>
      </c>
      <c r="U111" s="1166">
        <f t="shared" si="173"/>
        <v>1289</v>
      </c>
      <c r="V111" s="1166">
        <f t="shared" si="173"/>
        <v>1415.6666666666667</v>
      </c>
      <c r="W111" s="1167">
        <f t="shared" si="173"/>
        <v>1542.3333333333333</v>
      </c>
      <c r="X111" s="1166">
        <f t="shared" si="173"/>
        <v>1669</v>
      </c>
      <c r="Y111" s="2808">
        <f t="shared" si="173"/>
        <v>1795.6666666666665</v>
      </c>
      <c r="Z111" s="1265">
        <f t="shared" si="173"/>
        <v>0</v>
      </c>
      <c r="AA111" s="2807">
        <f t="shared" si="173"/>
        <v>0</v>
      </c>
      <c r="AB111" s="1166">
        <f t="shared" si="173"/>
        <v>0</v>
      </c>
      <c r="AC111" s="1166">
        <f t="shared" si="173"/>
        <v>0</v>
      </c>
      <c r="AD111" s="1167">
        <f t="shared" si="173"/>
        <v>0</v>
      </c>
      <c r="AE111" s="1166">
        <f t="shared" si="173"/>
        <v>0</v>
      </c>
      <c r="AF111" s="2808">
        <f t="shared" si="173"/>
        <v>0</v>
      </c>
      <c r="AG111" s="1265">
        <f t="shared" si="173"/>
        <v>0</v>
      </c>
      <c r="AH111" s="2807">
        <f t="shared" si="173"/>
        <v>0</v>
      </c>
      <c r="AI111" s="1166">
        <f t="shared" si="173"/>
        <v>0</v>
      </c>
      <c r="AJ111" s="1166">
        <f t="shared" si="173"/>
        <v>0</v>
      </c>
      <c r="AK111" s="1167">
        <f t="shared" si="173"/>
        <v>0</v>
      </c>
      <c r="AL111" s="1166">
        <f t="shared" si="173"/>
        <v>0</v>
      </c>
      <c r="AM111" s="2808">
        <f t="shared" si="173"/>
        <v>0</v>
      </c>
      <c r="AN111" s="2676"/>
      <c r="AO111" s="2719"/>
      <c r="AP111" s="4775"/>
      <c r="AQ111" s="4794">
        <f t="shared" ref="AQ111:AQ174" si="174">IFERROR(E111/$D$1,0)</f>
        <v>12005.644662368406</v>
      </c>
      <c r="AR111" s="4794">
        <f t="shared" ref="AR111:AR174" si="175">IFERROR(F111/$D$1,0)</f>
        <v>14367.983584122001</v>
      </c>
      <c r="AS111" s="4794">
        <f t="shared" ref="AS111:AS174" si="176">IFERROR(G111/$D$1,0)</f>
        <v>16197.726796296201</v>
      </c>
      <c r="AT111" s="4794">
        <f t="shared" ref="AT111:AT174" si="177">IFERROR(H111/$D$1,0)</f>
        <v>17735.011052426169</v>
      </c>
      <c r="AU111" s="4794">
        <f t="shared" ref="AU111:AU174" si="178">IFERROR(I111/$D$1,0)</f>
        <v>19239.061336278377</v>
      </c>
      <c r="AV111" s="4794">
        <f t="shared" ref="AV111:AV174" si="179">IFERROR(J111/$D$1,0)</f>
        <v>20704.764729040868</v>
      </c>
      <c r="AW111" s="4794">
        <f t="shared" ref="AW111:AW174" si="180">IFERROR(K111/$D$1,0)</f>
        <v>22239.49252576485</v>
      </c>
      <c r="AX111" s="4794">
        <f t="shared" ref="AX111:AX174" si="181">IFERROR(L111/$D$1,0)</f>
        <v>773.07332436868239</v>
      </c>
      <c r="AY111" s="4794">
        <f t="shared" ref="AY111:AY174" si="182">IFERROR(M111/$D$1,0)</f>
        <v>851.47141281876918</v>
      </c>
      <c r="AZ111" s="4794">
        <f t="shared" ref="AZ111:AZ174" si="183">IFERROR(N111/$D$1,0)</f>
        <v>946.91256397539667</v>
      </c>
      <c r="BA111" s="4794">
        <f t="shared" ref="BA111:BA174" si="184">IFERROR(O111/$D$1,0)</f>
        <v>1042.353715132024</v>
      </c>
      <c r="BB111" s="4794">
        <f t="shared" ref="BB111:BB174" si="185">IFERROR(P111/$D$1,0)</f>
        <v>1137.7948662886517</v>
      </c>
      <c r="BC111" s="4794">
        <f t="shared" ref="BC111:BC174" si="186">IFERROR(Q111/$D$1,0)</f>
        <v>1228.1230986333169</v>
      </c>
      <c r="BD111" s="4794">
        <f t="shared" ref="BD111:BD174" si="187">IFERROR(R111/$D$1,0)</f>
        <v>1318.451330977982</v>
      </c>
      <c r="BE111" s="4794">
        <f t="shared" ref="BE111:BE174" si="188">IFERROR(S111/$D$1,0)</f>
        <v>526.11934575090879</v>
      </c>
      <c r="BF111" s="4794">
        <f t="shared" ref="BF111:BF174" si="189">IFERROR(T111/$D$1,0)</f>
        <v>594.29159657707123</v>
      </c>
      <c r="BG111" s="4794">
        <f t="shared" ref="BG111:BG174" si="190">IFERROR(U111/$D$1,0)</f>
        <v>659.05523486192567</v>
      </c>
      <c r="BH111" s="4794">
        <f t="shared" ref="BH111:BH174" si="191">IFERROR(V111/$D$1,0)</f>
        <v>723.81887314677999</v>
      </c>
      <c r="BI111" s="4794">
        <f t="shared" ref="BI111:BI174" si="192">IFERROR(W111/$D$1,0)</f>
        <v>788.58251143163432</v>
      </c>
      <c r="BJ111" s="4794">
        <f t="shared" ref="BJ111:BJ174" si="193">IFERROR(X111/$D$1,0)</f>
        <v>853.34614971648864</v>
      </c>
      <c r="BK111" s="4794">
        <f t="shared" ref="BK111:BK174" si="194">IFERROR(Y111/$D$1,0)</f>
        <v>918.10978800134296</v>
      </c>
      <c r="BL111" s="4794">
        <f t="shared" ref="BL111:BL174" si="195">IFERROR(Z111/$D$1,0)</f>
        <v>0</v>
      </c>
      <c r="BM111" s="4794">
        <f t="shared" ref="BM111:BM174" si="196">IFERROR(AA111/$D$1,0)</f>
        <v>0</v>
      </c>
      <c r="BN111" s="4794">
        <f t="shared" ref="BN111:BN174" si="197">IFERROR(AB111/$D$1,0)</f>
        <v>0</v>
      </c>
      <c r="BO111" s="4794">
        <f t="shared" ref="BO111:BO174" si="198">IFERROR(AC111/$D$1,0)</f>
        <v>0</v>
      </c>
      <c r="BP111" s="4794">
        <f t="shared" ref="BP111:BP174" si="199">IFERROR(AD111/$D$1,0)</f>
        <v>0</v>
      </c>
      <c r="BQ111" s="4794">
        <f t="shared" ref="BQ111:BQ174" si="200">IFERROR(AE111/$D$1,0)</f>
        <v>0</v>
      </c>
      <c r="BR111" s="4794">
        <f t="shared" ref="BR111:BR174" si="201">IFERROR(AF111/$D$1,0)</f>
        <v>0</v>
      </c>
      <c r="BS111" s="4794">
        <f t="shared" ref="BS111:BS174" si="202">IFERROR(AG111/$D$1,0)</f>
        <v>0</v>
      </c>
      <c r="BT111" s="4794">
        <f t="shared" ref="BT111:BT174" si="203">IFERROR(AH111/$D$1,0)</f>
        <v>0</v>
      </c>
      <c r="BU111" s="4794">
        <f t="shared" ref="BU111:BU174" si="204">IFERROR(AI111/$D$1,0)</f>
        <v>0</v>
      </c>
      <c r="BV111" s="4794">
        <f t="shared" ref="BV111:BV174" si="205">IFERROR(AJ111/$D$1,0)</f>
        <v>0</v>
      </c>
      <c r="BW111" s="4794">
        <f t="shared" ref="BW111:BW174" si="206">IFERROR(AK111/$D$1,0)</f>
        <v>0</v>
      </c>
      <c r="BX111" s="4794">
        <f t="shared" ref="BX111:BX174" si="207">IFERROR(AL111/$D$1,0)</f>
        <v>0</v>
      </c>
      <c r="BY111" s="4794">
        <f t="shared" ref="BY111:BY174" si="208">IFERROR(AM111/$D$1,0)</f>
        <v>0</v>
      </c>
    </row>
    <row r="112" spans="1:77" s="1344" customFormat="1">
      <c r="A112" s="2683">
        <v>1</v>
      </c>
      <c r="B112" s="2677">
        <v>20102</v>
      </c>
      <c r="C112" s="2701">
        <v>0</v>
      </c>
      <c r="D112" s="2731" t="s">
        <v>558</v>
      </c>
      <c r="E112" s="4738">
        <f>+'11.3. ДА Базова година'!H92</f>
        <v>0</v>
      </c>
      <c r="F112" s="2789">
        <f>E112+SUMIF('11.1.Амортиз.нови активи'!$B$12:$B$59,$B112,'11.1.Амортиз.нови активи'!F$12:F$59)+('9.Инвестиционна програма'!H$130*SUMIF('11.1.Амортиз.нови активи'!$B$12:$B$59,$B112,'11.1.Амортиз.нови активи'!AO$12:AO$59))</f>
        <v>0</v>
      </c>
      <c r="G112" s="1159">
        <f>F112+SUMIF('11.1.Амортиз.нови активи'!$B$12:$B$59,$B112,'11.1.Амортиз.нови активи'!G$12:G$59)+('9.Инвестиционна програма'!I$130*SUMIF('11.1.Амортиз.нови активи'!$B$12:$B$59,$B112,'11.1.Амортиз.нови активи'!AP$12:AP$59))</f>
        <v>0</v>
      </c>
      <c r="H112" s="1164">
        <f>G112+SUMIF('11.1.Амортиз.нови активи'!$B$12:$B$59,$B112,'11.1.Амортиз.нови активи'!H$12:H$59)+('9.Инвестиционна програма'!J$130*SUMIF('11.1.Амортиз.нови активи'!$B$12:$B$59,$B112,'11.1.Амортиз.нови активи'!AQ$12:AQ$59))</f>
        <v>0</v>
      </c>
      <c r="I112" s="1164">
        <f>H112+SUMIF('11.1.Амортиз.нови активи'!$B$12:$B$59,$B112,'11.1.Амортиз.нови активи'!I$12:I$59)+('9.Инвестиционна програма'!K$130*SUMIF('11.1.Амортиз.нови активи'!$B$12:$B$59,$B112,'11.1.Амортиз.нови активи'!AR$12:AR$59))</f>
        <v>0</v>
      </c>
      <c r="J112" s="1164">
        <f>I112+SUMIF('11.1.Амортиз.нови активи'!$B$12:$B$59,$B112,'11.1.Амортиз.нови активи'!J$12:J$59)+('9.Инвестиционна програма'!L$130*SUMIF('11.1.Амортиз.нови активи'!$B$12:$B$59,$B112,'11.1.Амортиз.нови активи'!AS$12:AS$59))</f>
        <v>0</v>
      </c>
      <c r="K112" s="2790">
        <f>J112+SUMIF('11.1.Амортиз.нови активи'!$B$12:$B$59,$B112,'11.1.Амортиз.нови активи'!K$12:K$59)+('9.Инвестиционна програма'!M$130*SUMIF('11.1.Амортиз.нови активи'!$B$12:$B$59,$B112,'11.1.Амортиз.нови активи'!AT$12:AT$59))</f>
        <v>0</v>
      </c>
      <c r="L112" s="4738">
        <f>+'11.3. ДА Базова година'!L92</f>
        <v>0</v>
      </c>
      <c r="M112" s="2789">
        <f>L112+SUMIF('11.1.Амортиз.нови активи'!$B$12:$B$59,$B112,'11.1.Амортиз.нови активи'!M$12:M$59)+('9.Инвестиционна програма'!H$131*SUMIF('11.1.Амортиз.нови активи'!$B$12:$B$59,$B112,'11.1.Амортиз.нови активи'!AO$12:AO$59))</f>
        <v>0</v>
      </c>
      <c r="N112" s="1164">
        <f>M112+SUMIF('11.1.Амортиз.нови активи'!$B$12:$B$59,$B112,'11.1.Амортиз.нови активи'!N$12:N$59)+('9.Инвестиционна програма'!I$131*SUMIF('11.1.Амортиз.нови активи'!$B$12:$B$59,$B112,'11.1.Амортиз.нови активи'!AP$12:AP$59))</f>
        <v>0</v>
      </c>
      <c r="O112" s="1164">
        <f>N112+SUMIF('11.1.Амортиз.нови активи'!$B$12:$B$59,$B112,'11.1.Амортиз.нови активи'!O$12:O$59)+('9.Инвестиционна програма'!J$131*SUMIF('11.1.Амортиз.нови активи'!$B$12:$B$59,$B112,'11.1.Амортиз.нови активи'!AQ$12:AQ$59))</f>
        <v>0</v>
      </c>
      <c r="P112" s="1164">
        <f>O112+SUMIF('11.1.Амортиз.нови активи'!$B$12:$B$59,$B112,'11.1.Амортиз.нови активи'!P$12:P$59)+('9.Инвестиционна програма'!K$131*SUMIF('11.1.Амортиз.нови активи'!$B$12:$B$59,$B112,'11.1.Амортиз.нови активи'!AR$12:AR$59))</f>
        <v>0</v>
      </c>
      <c r="Q112" s="1164">
        <f>P112+SUMIF('11.1.Амортиз.нови активи'!$B$12:$B$59,$B112,'11.1.Амортиз.нови активи'!Q$12:Q$59)+('9.Инвестиционна програма'!L$131*SUMIF('11.1.Амортиз.нови активи'!$B$12:$B$59,$B112,'11.1.Амортиз.нови активи'!AS$12:AS$59))</f>
        <v>0</v>
      </c>
      <c r="R112" s="2790">
        <f>Q112+SUMIF('11.1.Амортиз.нови активи'!$B$12:$B$59,$B112,'11.1.Амортиз.нови активи'!R$12:R$59)+('9.Инвестиционна програма'!M$131*SUMIF('11.1.Амортиз.нови активи'!$B$12:$B$59,$B112,'11.1.Амортиз.нови активи'!AT$12:AT$59))</f>
        <v>0</v>
      </c>
      <c r="S112" s="4738">
        <f>+'11.3. ДА Базова година'!P92</f>
        <v>0</v>
      </c>
      <c r="T112" s="2789">
        <f>S112+SUMIF('11.1.Амортиз.нови активи'!$B$12:$B$59,$B112,'11.1.Амортиз.нови активи'!T$12:T$59)+('9.Инвестиционна програма'!H$132*SUMIF('11.1.Амортиз.нови активи'!$B$12:$B$59,$B112,'11.1.Амортиз.нови активи'!AO$12:AO$59))</f>
        <v>0</v>
      </c>
      <c r="U112" s="1164">
        <f>T112+SUMIF('11.1.Амортиз.нови активи'!$B$12:$B$59,$B112,'11.1.Амортиз.нови активи'!U$12:U$59)+('9.Инвестиционна програма'!I$132*SUMIF('11.1.Амортиз.нови активи'!$B$12:$B$59,$B112,'11.1.Амортиз.нови активи'!AP$12:AP$59))</f>
        <v>0</v>
      </c>
      <c r="V112" s="1164">
        <f>U112+SUMIF('11.1.Амортиз.нови активи'!$B$12:$B$59,$B112,'11.1.Амортиз.нови активи'!V$12:V$59)+('9.Инвестиционна програма'!J$132*SUMIF('11.1.Амортиз.нови активи'!$B$12:$B$59,$B112,'11.1.Амортиз.нови активи'!AQ$12:AQ$59))</f>
        <v>0</v>
      </c>
      <c r="W112" s="1164">
        <f>V112+SUMIF('11.1.Амортиз.нови активи'!$B$12:$B$59,$B112,'11.1.Амортиз.нови активи'!W$12:W$59)+('9.Инвестиционна програма'!K$132*SUMIF('11.1.Амортиз.нови активи'!$B$12:$B$59,$B112,'11.1.Амортиз.нови активи'!AR$12:AR$59))</f>
        <v>0</v>
      </c>
      <c r="X112" s="1164">
        <f>W112+SUMIF('11.1.Амортиз.нови активи'!$B$12:$B$59,$B112,'11.1.Амортиз.нови активи'!X$12:X$59)+('9.Инвестиционна програма'!L$132*SUMIF('11.1.Амортиз.нови активи'!$B$12:$B$59,$B112,'11.1.Амортиз.нови активи'!AS$12:AS$59))</f>
        <v>0</v>
      </c>
      <c r="Y112" s="2790">
        <f>X112+SUMIF('11.1.Амортиз.нови активи'!$B$12:$B$59,$B112,'11.1.Амортиз.нови активи'!Y$12:Y$59)+('9.Инвестиционна програма'!M$132*SUMIF('11.1.Амортиз.нови активи'!$B$12:$B$59,$B112,'11.1.Амортиз.нови активи'!AT$12:AT$59))</f>
        <v>0</v>
      </c>
      <c r="Z112" s="4738">
        <f>+'11.3. ДА Базова година'!T92</f>
        <v>0</v>
      </c>
      <c r="AA112" s="2789">
        <f>Z112+SUMIF('11.1.Амортиз.нови активи'!$B$12:$B$59,$B112,'11.1.Амортиз.нови активи'!AA$12:AA$59)</f>
        <v>0</v>
      </c>
      <c r="AB112" s="1164">
        <f>AA112+SUMIF('11.1.Амортиз.нови активи'!$B$12:$B$59,$B112,'11.1.Амортиз.нови активи'!AB$12:AB$59)</f>
        <v>0</v>
      </c>
      <c r="AC112" s="1164">
        <f>AB112+SUMIF('11.1.Амортиз.нови активи'!$B$12:$B$59,$B112,'11.1.Амортиз.нови активи'!AC$12:AC$59)</f>
        <v>0</v>
      </c>
      <c r="AD112" s="1164">
        <f>AC112+SUMIF('11.1.Амортиз.нови активи'!$B$12:$B$59,$B112,'11.1.Амортиз.нови активи'!AD$12:AD$59)</f>
        <v>0</v>
      </c>
      <c r="AE112" s="1164">
        <f>AD112+SUMIF('11.1.Амортиз.нови активи'!$B$12:$B$59,$B112,'11.1.Амортиз.нови активи'!AE$12:AE$59)</f>
        <v>0</v>
      </c>
      <c r="AF112" s="2790">
        <f>AE112+SUMIF('11.1.Амортиз.нови активи'!$B$12:$B$59,$B112,'11.1.Амортиз.нови активи'!AF$12:AF$59)</f>
        <v>0</v>
      </c>
      <c r="AG112" s="4738">
        <f>+'11.3. ДА Базова година'!X92</f>
        <v>0</v>
      </c>
      <c r="AH112" s="2789">
        <f>AG112+SUMIF('11.1.Амортиз.нови активи'!$B$12:$B$59,$B112,'11.1.Амортиз.нови активи'!AH$12:AH$59)</f>
        <v>0</v>
      </c>
      <c r="AI112" s="1164">
        <f>AH112+SUMIF('11.1.Амортиз.нови активи'!$B$12:$B$59,$B112,'11.1.Амортиз.нови активи'!AI$12:AI$59)</f>
        <v>0</v>
      </c>
      <c r="AJ112" s="1164">
        <f>AI112+SUMIF('11.1.Амортиз.нови активи'!$B$12:$B$59,$B112,'11.1.Амортиз.нови активи'!AJ$12:AJ$59)</f>
        <v>0</v>
      </c>
      <c r="AK112" s="1164">
        <f>AJ112+SUMIF('11.1.Амортиз.нови активи'!$B$12:$B$59,$B112,'11.1.Амортиз.нови активи'!AK$12:AK$59)</f>
        <v>0</v>
      </c>
      <c r="AL112" s="1164">
        <f>AK112+SUMIF('11.1.Амортиз.нови активи'!$B$12:$B$59,$B112,'11.1.Амортиз.нови активи'!AL$12:AL$59)</f>
        <v>0</v>
      </c>
      <c r="AM112" s="2790">
        <f>AL112+SUMIF('11.1.Амортиз.нови активи'!$B$12:$B$59,$B112,'11.1.Амортиз.нови активи'!AM$12:AM$59)</f>
        <v>0</v>
      </c>
      <c r="AN112" s="2681"/>
      <c r="AO112" s="2719"/>
      <c r="AP112" s="4775"/>
      <c r="AQ112" s="4794">
        <f t="shared" si="174"/>
        <v>0</v>
      </c>
      <c r="AR112" s="4794">
        <f t="shared" si="175"/>
        <v>0</v>
      </c>
      <c r="AS112" s="4794">
        <f t="shared" si="176"/>
        <v>0</v>
      </c>
      <c r="AT112" s="4794">
        <f t="shared" si="177"/>
        <v>0</v>
      </c>
      <c r="AU112" s="4794">
        <f t="shared" si="178"/>
        <v>0</v>
      </c>
      <c r="AV112" s="4794">
        <f t="shared" si="179"/>
        <v>0</v>
      </c>
      <c r="AW112" s="4794">
        <f t="shared" si="180"/>
        <v>0</v>
      </c>
      <c r="AX112" s="4794">
        <f t="shared" si="181"/>
        <v>0</v>
      </c>
      <c r="AY112" s="4794">
        <f t="shared" si="182"/>
        <v>0</v>
      </c>
      <c r="AZ112" s="4794">
        <f t="shared" si="183"/>
        <v>0</v>
      </c>
      <c r="BA112" s="4794">
        <f t="shared" si="184"/>
        <v>0</v>
      </c>
      <c r="BB112" s="4794">
        <f t="shared" si="185"/>
        <v>0</v>
      </c>
      <c r="BC112" s="4794">
        <f t="shared" si="186"/>
        <v>0</v>
      </c>
      <c r="BD112" s="4794">
        <f t="shared" si="187"/>
        <v>0</v>
      </c>
      <c r="BE112" s="4794">
        <f t="shared" si="188"/>
        <v>0</v>
      </c>
      <c r="BF112" s="4794">
        <f t="shared" si="189"/>
        <v>0</v>
      </c>
      <c r="BG112" s="4794">
        <f t="shared" si="190"/>
        <v>0</v>
      </c>
      <c r="BH112" s="4794">
        <f t="shared" si="191"/>
        <v>0</v>
      </c>
      <c r="BI112" s="4794">
        <f t="shared" si="192"/>
        <v>0</v>
      </c>
      <c r="BJ112" s="4794">
        <f t="shared" si="193"/>
        <v>0</v>
      </c>
      <c r="BK112" s="4794">
        <f t="shared" si="194"/>
        <v>0</v>
      </c>
      <c r="BL112" s="4794">
        <f t="shared" si="195"/>
        <v>0</v>
      </c>
      <c r="BM112" s="4794">
        <f t="shared" si="196"/>
        <v>0</v>
      </c>
      <c r="BN112" s="4794">
        <f t="shared" si="197"/>
        <v>0</v>
      </c>
      <c r="BO112" s="4794">
        <f t="shared" si="198"/>
        <v>0</v>
      </c>
      <c r="BP112" s="4794">
        <f t="shared" si="199"/>
        <v>0</v>
      </c>
      <c r="BQ112" s="4794">
        <f t="shared" si="200"/>
        <v>0</v>
      </c>
      <c r="BR112" s="4794">
        <f t="shared" si="201"/>
        <v>0</v>
      </c>
      <c r="BS112" s="4794">
        <f t="shared" si="202"/>
        <v>0</v>
      </c>
      <c r="BT112" s="4794">
        <f t="shared" si="203"/>
        <v>0</v>
      </c>
      <c r="BU112" s="4794">
        <f t="shared" si="204"/>
        <v>0</v>
      </c>
      <c r="BV112" s="4794">
        <f t="shared" si="205"/>
        <v>0</v>
      </c>
      <c r="BW112" s="4794">
        <f t="shared" si="206"/>
        <v>0</v>
      </c>
      <c r="BX112" s="4794">
        <f t="shared" si="207"/>
        <v>0</v>
      </c>
      <c r="BY112" s="4794">
        <f t="shared" si="208"/>
        <v>0</v>
      </c>
    </row>
    <row r="113" spans="1:77" s="1344" customFormat="1">
      <c r="A113" s="2683">
        <v>2</v>
      </c>
      <c r="B113" s="2684">
        <v>20202</v>
      </c>
      <c r="C113" s="2685">
        <v>0.03</v>
      </c>
      <c r="D113" s="2739" t="s">
        <v>426</v>
      </c>
      <c r="E113" s="4738">
        <f>+'11.3. ДА Базова година'!H93</f>
        <v>133</v>
      </c>
      <c r="F113" s="2792">
        <f>E113+SUMIF('11.1.Амортиз.нови активи'!$B$12:$B$59,$B113,'11.1.Амортиз.нови активи'!F$12:F$59)+('9.Инвестиционна програма'!H$130*SUMIF('11.1.Амортиз.нови активи'!$B$12:$B$59,$B113,'11.1.Амортиз.нови активи'!AO$12:AO$59))</f>
        <v>148</v>
      </c>
      <c r="G113" s="1155">
        <f>F113+SUMIF('11.1.Амортиз.нови активи'!$B$12:$B$59,$B113,'11.1.Амортиз.нови активи'!G$12:G$59)+('9.Инвестиционна програма'!I$130*SUMIF('11.1.Амортиз.нови активи'!$B$12:$B$59,$B113,'11.1.Амортиз.нови активи'!AP$12:AP$59))</f>
        <v>168</v>
      </c>
      <c r="H113" s="1155">
        <f>G113+SUMIF('11.1.Амортиз.нови активи'!$B$12:$B$59,$B113,'11.1.Амортиз.нови активи'!H$12:H$59)+('9.Инвестиционна програма'!J$130*SUMIF('11.1.Амортиз.нови активи'!$B$12:$B$59,$B113,'11.1.Амортиз.нови активи'!AQ$12:AQ$59))</f>
        <v>188</v>
      </c>
      <c r="I113" s="1155">
        <f>H113+SUMIF('11.1.Амортиз.нови активи'!$B$12:$B$59,$B113,'11.1.Амортиз.нови активи'!I$12:I$59)+('9.Инвестиционна програма'!K$130*SUMIF('11.1.Амортиз.нови активи'!$B$12:$B$59,$B113,'11.1.Амортиз.нови активи'!AR$12:AR$59))</f>
        <v>208</v>
      </c>
      <c r="J113" s="1155">
        <f>I113+SUMIF('11.1.Амортиз.нови активи'!$B$12:$B$59,$B113,'11.1.Амортиз.нови активи'!J$12:J$59)+('9.Инвестиционна програма'!L$130*SUMIF('11.1.Амортиз.нови активи'!$B$12:$B$59,$B113,'11.1.Амортиз.нови активи'!AS$12:AS$59))</f>
        <v>228</v>
      </c>
      <c r="K113" s="2793">
        <f>J113+SUMIF('11.1.Амортиз.нови активи'!$B$12:$B$59,$B113,'11.1.Амортиз.нови активи'!K$12:K$59)+('9.Инвестиционна програма'!M$130*SUMIF('11.1.Амортиз.нови активи'!$B$12:$B$59,$B113,'11.1.Амортиз.нови активи'!AT$12:AT$59))</f>
        <v>248</v>
      </c>
      <c r="L113" s="4738">
        <f>+'11.3. ДА Базова година'!L93</f>
        <v>0</v>
      </c>
      <c r="M113" s="2792">
        <f>L113+SUMIF('11.1.Амортиз.нови активи'!$B$12:$B$59,$B113,'11.1.Амортиз.нови активи'!M$12:M$59)+('9.Инвестиционна програма'!H$131*SUMIF('11.1.Амортиз.нови активи'!$B$12:$B$59,$B113,'11.1.Амортиз.нови активи'!AO$12:AO$59))</f>
        <v>0</v>
      </c>
      <c r="N113" s="1155">
        <f>M113+SUMIF('11.1.Амортиз.нови активи'!$B$12:$B$59,$B113,'11.1.Амортиз.нови активи'!N$12:N$59)+('9.Инвестиционна програма'!I$131*SUMIF('11.1.Амортиз.нови активи'!$B$12:$B$59,$B113,'11.1.Амортиз.нови активи'!AP$12:AP$59))</f>
        <v>0</v>
      </c>
      <c r="O113" s="1155">
        <f>N113+SUMIF('11.1.Амортиз.нови активи'!$B$12:$B$59,$B113,'11.1.Амортиз.нови активи'!O$12:O$59)+('9.Инвестиционна програма'!J$131*SUMIF('11.1.Амортиз.нови активи'!$B$12:$B$59,$B113,'11.1.Амортиз.нови активи'!AQ$12:AQ$59))</f>
        <v>0</v>
      </c>
      <c r="P113" s="1155">
        <f>O113+SUMIF('11.1.Амортиз.нови активи'!$B$12:$B$59,$B113,'11.1.Амортиз.нови активи'!P$12:P$59)+('9.Инвестиционна програма'!K$131*SUMIF('11.1.Амортиз.нови активи'!$B$12:$B$59,$B113,'11.1.Амортиз.нови активи'!AR$12:AR$59))</f>
        <v>0</v>
      </c>
      <c r="Q113" s="1155">
        <f>P113+SUMIF('11.1.Амортиз.нови активи'!$B$12:$B$59,$B113,'11.1.Амортиз.нови активи'!Q$12:Q$59)+('9.Инвестиционна програма'!L$131*SUMIF('11.1.Амортиз.нови активи'!$B$12:$B$59,$B113,'11.1.Амортиз.нови активи'!AS$12:AS$59))</f>
        <v>0</v>
      </c>
      <c r="R113" s="2793">
        <f>Q113+SUMIF('11.1.Амортиз.нови активи'!$B$12:$B$59,$B113,'11.1.Амортиз.нови активи'!R$12:R$59)+('9.Инвестиционна програма'!M$131*SUMIF('11.1.Амортиз.нови активи'!$B$12:$B$59,$B113,'11.1.Амортиз.нови активи'!AT$12:AT$59))</f>
        <v>0</v>
      </c>
      <c r="S113" s="4738">
        <f>+'11.3. ДА Базова година'!P93</f>
        <v>0</v>
      </c>
      <c r="T113" s="2792">
        <f>S113+SUMIF('11.1.Амортиз.нови активи'!$B$12:$B$59,$B113,'11.1.Амортиз.нови активи'!T$12:T$59)+('9.Инвестиционна програма'!H$132*SUMIF('11.1.Амортиз.нови активи'!$B$12:$B$59,$B113,'11.1.Амортиз.нови активи'!AO$12:AO$59))</f>
        <v>0</v>
      </c>
      <c r="U113" s="1155">
        <f>T113+SUMIF('11.1.Амортиз.нови активи'!$B$12:$B$59,$B113,'11.1.Амортиз.нови активи'!U$12:U$59)+('9.Инвестиционна програма'!I$132*SUMIF('11.1.Амортиз.нови активи'!$B$12:$B$59,$B113,'11.1.Амортиз.нови активи'!AP$12:AP$59))</f>
        <v>0</v>
      </c>
      <c r="V113" s="1155">
        <f>U113+SUMIF('11.1.Амортиз.нови активи'!$B$12:$B$59,$B113,'11.1.Амортиз.нови активи'!V$12:V$59)+('9.Инвестиционна програма'!J$132*SUMIF('11.1.Амортиз.нови активи'!$B$12:$B$59,$B113,'11.1.Амортиз.нови активи'!AQ$12:AQ$59))</f>
        <v>0</v>
      </c>
      <c r="W113" s="1155">
        <f>V113+SUMIF('11.1.Амортиз.нови активи'!$B$12:$B$59,$B113,'11.1.Амортиз.нови активи'!W$12:W$59)+('9.Инвестиционна програма'!K$132*SUMIF('11.1.Амортиз.нови активи'!$B$12:$B$59,$B113,'11.1.Амортиз.нови активи'!AR$12:AR$59))</f>
        <v>0</v>
      </c>
      <c r="X113" s="1155">
        <f>W113+SUMIF('11.1.Амортиз.нови активи'!$B$12:$B$59,$B113,'11.1.Амортиз.нови активи'!X$12:X$59)+('9.Инвестиционна програма'!L$132*SUMIF('11.1.Амортиз.нови активи'!$B$12:$B$59,$B113,'11.1.Амортиз.нови активи'!AS$12:AS$59))</f>
        <v>0</v>
      </c>
      <c r="Y113" s="2793">
        <f>X113+SUMIF('11.1.Амортиз.нови активи'!$B$12:$B$59,$B113,'11.1.Амортиз.нови активи'!Y$12:Y$59)+('9.Инвестиционна програма'!M$132*SUMIF('11.1.Амортиз.нови активи'!$B$12:$B$59,$B113,'11.1.Амортиз.нови активи'!AT$12:AT$59))</f>
        <v>0</v>
      </c>
      <c r="Z113" s="4738">
        <f>+'11.3. ДА Базова година'!T93</f>
        <v>0</v>
      </c>
      <c r="AA113" s="2792">
        <f>Z113+SUMIF('11.1.Амортиз.нови активи'!$B$12:$B$59,$B113,'11.1.Амортиз.нови активи'!AA$12:AA$59)</f>
        <v>0</v>
      </c>
      <c r="AB113" s="1155">
        <f>AA113+SUMIF('11.1.Амортиз.нови активи'!$B$12:$B$59,$B113,'11.1.Амортиз.нови активи'!AB$12:AB$59)</f>
        <v>0</v>
      </c>
      <c r="AC113" s="1155">
        <f>AB113+SUMIF('11.1.Амортиз.нови активи'!$B$12:$B$59,$B113,'11.1.Амортиз.нови активи'!AC$12:AC$59)</f>
        <v>0</v>
      </c>
      <c r="AD113" s="1155">
        <f>AC113+SUMIF('11.1.Амортиз.нови активи'!$B$12:$B$59,$B113,'11.1.Амортиз.нови активи'!AD$12:AD$59)</f>
        <v>0</v>
      </c>
      <c r="AE113" s="1155">
        <f>AD113+SUMIF('11.1.Амортиз.нови активи'!$B$12:$B$59,$B113,'11.1.Амортиз.нови активи'!AE$12:AE$59)</f>
        <v>0</v>
      </c>
      <c r="AF113" s="2793">
        <f>AE113+SUMIF('11.1.Амортиз.нови активи'!$B$12:$B$59,$B113,'11.1.Амортиз.нови активи'!AF$12:AF$59)</f>
        <v>0</v>
      </c>
      <c r="AG113" s="4738">
        <f>+'11.3. ДА Базова година'!X93</f>
        <v>0</v>
      </c>
      <c r="AH113" s="2792">
        <f>AG113+SUMIF('11.1.Амортиз.нови активи'!$B$12:$B$59,$B113,'11.1.Амортиз.нови активи'!AH$12:AH$59)</f>
        <v>0</v>
      </c>
      <c r="AI113" s="1155">
        <f>AH113+SUMIF('11.1.Амортиз.нови активи'!$B$12:$B$59,$B113,'11.1.Амортиз.нови активи'!AI$12:AI$59)</f>
        <v>0</v>
      </c>
      <c r="AJ113" s="1155">
        <f>AI113+SUMIF('11.1.Амортиз.нови активи'!$B$12:$B$59,$B113,'11.1.Амортиз.нови активи'!AJ$12:AJ$59)</f>
        <v>0</v>
      </c>
      <c r="AK113" s="1155">
        <f>AJ113+SUMIF('11.1.Амортиз.нови активи'!$B$12:$B$59,$B113,'11.1.Амортиз.нови активи'!AK$12:AK$59)</f>
        <v>0</v>
      </c>
      <c r="AL113" s="1155">
        <f>AK113+SUMIF('11.1.Амортиз.нови активи'!$B$12:$B$59,$B113,'11.1.Амортиз.нови активи'!AL$12:AL$59)</f>
        <v>0</v>
      </c>
      <c r="AM113" s="2793">
        <f>AL113+SUMIF('11.1.Амортиз.нови активи'!$B$12:$B$59,$B113,'11.1.Амортиз.нови активи'!AM$12:AM$59)</f>
        <v>0</v>
      </c>
      <c r="AN113" s="2681"/>
      <c r="AO113" s="2719"/>
      <c r="AP113" s="4775"/>
      <c r="AQ113" s="4794">
        <f t="shared" si="174"/>
        <v>68.001820199097054</v>
      </c>
      <c r="AR113" s="4794">
        <f t="shared" si="175"/>
        <v>75.671198417040344</v>
      </c>
      <c r="AS113" s="4794">
        <f t="shared" si="176"/>
        <v>85.897036040964707</v>
      </c>
      <c r="AT113" s="4794">
        <f t="shared" si="177"/>
        <v>96.12287366488907</v>
      </c>
      <c r="AU113" s="4794">
        <f t="shared" si="178"/>
        <v>106.34871128881345</v>
      </c>
      <c r="AV113" s="4794">
        <f t="shared" si="179"/>
        <v>116.57454891273781</v>
      </c>
      <c r="AW113" s="4794">
        <f t="shared" si="180"/>
        <v>126.80038653666219</v>
      </c>
      <c r="AX113" s="4794">
        <f t="shared" si="181"/>
        <v>0</v>
      </c>
      <c r="AY113" s="4794">
        <f t="shared" si="182"/>
        <v>0</v>
      </c>
      <c r="AZ113" s="4794">
        <f t="shared" si="183"/>
        <v>0</v>
      </c>
      <c r="BA113" s="4794">
        <f t="shared" si="184"/>
        <v>0</v>
      </c>
      <c r="BB113" s="4794">
        <f t="shared" si="185"/>
        <v>0</v>
      </c>
      <c r="BC113" s="4794">
        <f t="shared" si="186"/>
        <v>0</v>
      </c>
      <c r="BD113" s="4794">
        <f t="shared" si="187"/>
        <v>0</v>
      </c>
      <c r="BE113" s="4794">
        <f t="shared" si="188"/>
        <v>0</v>
      </c>
      <c r="BF113" s="4794">
        <f t="shared" si="189"/>
        <v>0</v>
      </c>
      <c r="BG113" s="4794">
        <f t="shared" si="190"/>
        <v>0</v>
      </c>
      <c r="BH113" s="4794">
        <f t="shared" si="191"/>
        <v>0</v>
      </c>
      <c r="BI113" s="4794">
        <f t="shared" si="192"/>
        <v>0</v>
      </c>
      <c r="BJ113" s="4794">
        <f t="shared" si="193"/>
        <v>0</v>
      </c>
      <c r="BK113" s="4794">
        <f t="shared" si="194"/>
        <v>0</v>
      </c>
      <c r="BL113" s="4794">
        <f t="shared" si="195"/>
        <v>0</v>
      </c>
      <c r="BM113" s="4794">
        <f t="shared" si="196"/>
        <v>0</v>
      </c>
      <c r="BN113" s="4794">
        <f t="shared" si="197"/>
        <v>0</v>
      </c>
      <c r="BO113" s="4794">
        <f t="shared" si="198"/>
        <v>0</v>
      </c>
      <c r="BP113" s="4794">
        <f t="shared" si="199"/>
        <v>0</v>
      </c>
      <c r="BQ113" s="4794">
        <f t="shared" si="200"/>
        <v>0</v>
      </c>
      <c r="BR113" s="4794">
        <f t="shared" si="201"/>
        <v>0</v>
      </c>
      <c r="BS113" s="4794">
        <f t="shared" si="202"/>
        <v>0</v>
      </c>
      <c r="BT113" s="4794">
        <f t="shared" si="203"/>
        <v>0</v>
      </c>
      <c r="BU113" s="4794">
        <f t="shared" si="204"/>
        <v>0</v>
      </c>
      <c r="BV113" s="4794">
        <f t="shared" si="205"/>
        <v>0</v>
      </c>
      <c r="BW113" s="4794">
        <f t="shared" si="206"/>
        <v>0</v>
      </c>
      <c r="BX113" s="4794">
        <f t="shared" si="207"/>
        <v>0</v>
      </c>
      <c r="BY113" s="4794">
        <f t="shared" si="208"/>
        <v>0</v>
      </c>
    </row>
    <row r="114" spans="1:77" s="1344" customFormat="1">
      <c r="A114" s="2683">
        <v>3</v>
      </c>
      <c r="B114" s="2684">
        <v>2030401</v>
      </c>
      <c r="C114" s="2690">
        <v>0.1</v>
      </c>
      <c r="D114" s="2720" t="s">
        <v>1031</v>
      </c>
      <c r="E114" s="4738">
        <f>+'11.3. ДА Базова година'!H94</f>
        <v>314</v>
      </c>
      <c r="F114" s="2792">
        <f>E114+SUMIF('11.1.Амортиз.нови активи'!$B$12:$B$59,$B114,'11.1.Амортиз.нови активи'!F$12:F$59)+('9.Инвестиционна програма'!H$130*SUMIF('11.1.Амортиз.нови активи'!$B$12:$B$59,$B114,'11.1.Амортиз.нови активи'!AO$12:AO$59))</f>
        <v>314</v>
      </c>
      <c r="G114" s="1155">
        <f>F114+SUMIF('11.1.Амортиз.нови активи'!$B$12:$B$59,$B114,'11.1.Амортиз.нови активи'!G$12:G$59)+('9.Инвестиционна програма'!I$130*SUMIF('11.1.Амортиз.нови активи'!$B$12:$B$59,$B114,'11.1.Амортиз.нови активи'!AP$12:AP$59))</f>
        <v>314</v>
      </c>
      <c r="H114" s="1155">
        <f>G114+SUMIF('11.1.Амортиз.нови активи'!$B$12:$B$59,$B114,'11.1.Амортиз.нови активи'!H$12:H$59)+('9.Инвестиционна програма'!J$130*SUMIF('11.1.Амортиз.нови активи'!$B$12:$B$59,$B114,'11.1.Амортиз.нови активи'!AQ$12:AQ$59))</f>
        <v>314</v>
      </c>
      <c r="I114" s="1155">
        <f>H114+SUMIF('11.1.Амортиз.нови активи'!$B$12:$B$59,$B114,'11.1.Амортиз.нови активи'!I$12:I$59)+('9.Инвестиционна програма'!K$130*SUMIF('11.1.Амортиз.нови активи'!$B$12:$B$59,$B114,'11.1.Амортиз.нови активи'!AR$12:AR$59))</f>
        <v>314</v>
      </c>
      <c r="J114" s="1155">
        <f>I114+SUMIF('11.1.Амортиз.нови активи'!$B$12:$B$59,$B114,'11.1.Амортиз.нови активи'!J$12:J$59)+('9.Инвестиционна програма'!L$130*SUMIF('11.1.Амортиз.нови активи'!$B$12:$B$59,$B114,'11.1.Амортиз.нови активи'!AS$12:AS$59))</f>
        <v>314</v>
      </c>
      <c r="K114" s="2793">
        <f>J114+SUMIF('11.1.Амортиз.нови активи'!$B$12:$B$59,$B114,'11.1.Амортиз.нови активи'!K$12:K$59)+('9.Инвестиционна програма'!M$130*SUMIF('11.1.Амортиз.нови активи'!$B$12:$B$59,$B114,'11.1.Амортиз.нови активи'!AT$12:AT$59))</f>
        <v>314</v>
      </c>
      <c r="L114" s="4738">
        <f>+'11.3. ДА Базова година'!L94</f>
        <v>0</v>
      </c>
      <c r="M114" s="2792">
        <f>L114+SUMIF('11.1.Амортиз.нови активи'!$B$12:$B$59,$B114,'11.1.Амортиз.нови активи'!M$12:M$59)+('9.Инвестиционна програма'!H$131*SUMIF('11.1.Амортиз.нови активи'!$B$12:$B$59,$B114,'11.1.Амортиз.нови активи'!AO$12:AO$59))</f>
        <v>0</v>
      </c>
      <c r="N114" s="1155">
        <f>M114+SUMIF('11.1.Амортиз.нови активи'!$B$12:$B$59,$B114,'11.1.Амортиз.нови активи'!N$12:N$59)+('9.Инвестиционна програма'!I$131*SUMIF('11.1.Амортиз.нови активи'!$B$12:$B$59,$B114,'11.1.Амортиз.нови активи'!AP$12:AP$59))</f>
        <v>0</v>
      </c>
      <c r="O114" s="1155">
        <f>N114+SUMIF('11.1.Амортиз.нови активи'!$B$12:$B$59,$B114,'11.1.Амортиз.нови активи'!O$12:O$59)+('9.Инвестиционна програма'!J$131*SUMIF('11.1.Амортиз.нови активи'!$B$12:$B$59,$B114,'11.1.Амортиз.нови активи'!AQ$12:AQ$59))</f>
        <v>0</v>
      </c>
      <c r="P114" s="1155">
        <f>O114+SUMIF('11.1.Амортиз.нови активи'!$B$12:$B$59,$B114,'11.1.Амортиз.нови активи'!P$12:P$59)+('9.Инвестиционна програма'!K$131*SUMIF('11.1.Амортиз.нови активи'!$B$12:$B$59,$B114,'11.1.Амортиз.нови активи'!AR$12:AR$59))</f>
        <v>0</v>
      </c>
      <c r="Q114" s="1155">
        <f>P114+SUMIF('11.1.Амортиз.нови активи'!$B$12:$B$59,$B114,'11.1.Амортиз.нови активи'!Q$12:Q$59)+('9.Инвестиционна програма'!L$131*SUMIF('11.1.Амортиз.нови активи'!$B$12:$B$59,$B114,'11.1.Амортиз.нови активи'!AS$12:AS$59))</f>
        <v>0</v>
      </c>
      <c r="R114" s="2793">
        <f>Q114+SUMIF('11.1.Амортиз.нови активи'!$B$12:$B$59,$B114,'11.1.Амортиз.нови активи'!R$12:R$59)+('9.Инвестиционна програма'!M$131*SUMIF('11.1.Амортиз.нови активи'!$B$12:$B$59,$B114,'11.1.Амортиз.нови активи'!AT$12:AT$59))</f>
        <v>0</v>
      </c>
      <c r="S114" s="4738">
        <f>+'11.3. ДА Базова година'!P94</f>
        <v>0</v>
      </c>
      <c r="T114" s="2792">
        <f>S114+SUMIF('11.1.Амортиз.нови активи'!$B$12:$B$59,$B114,'11.1.Амортиз.нови активи'!T$12:T$59)+('9.Инвестиционна програма'!H$132*SUMIF('11.1.Амортиз.нови активи'!$B$12:$B$59,$B114,'11.1.Амортиз.нови активи'!AO$12:AO$59))</f>
        <v>0</v>
      </c>
      <c r="U114" s="1155">
        <f>T114+SUMIF('11.1.Амортиз.нови активи'!$B$12:$B$59,$B114,'11.1.Амортиз.нови активи'!U$12:U$59)+('9.Инвестиционна програма'!I$132*SUMIF('11.1.Амортиз.нови активи'!$B$12:$B$59,$B114,'11.1.Амортиз.нови активи'!AP$12:AP$59))</f>
        <v>0</v>
      </c>
      <c r="V114" s="1155">
        <f>U114+SUMIF('11.1.Амортиз.нови активи'!$B$12:$B$59,$B114,'11.1.Амортиз.нови активи'!V$12:V$59)+('9.Инвестиционна програма'!J$132*SUMIF('11.1.Амортиз.нови активи'!$B$12:$B$59,$B114,'11.1.Амортиз.нови активи'!AQ$12:AQ$59))</f>
        <v>0</v>
      </c>
      <c r="W114" s="1155">
        <f>V114+SUMIF('11.1.Амортиз.нови активи'!$B$12:$B$59,$B114,'11.1.Амортиз.нови активи'!W$12:W$59)+('9.Инвестиционна програма'!K$132*SUMIF('11.1.Амортиз.нови активи'!$B$12:$B$59,$B114,'11.1.Амортиз.нови активи'!AR$12:AR$59))</f>
        <v>0</v>
      </c>
      <c r="X114" s="1155">
        <f>W114+SUMIF('11.1.Амортиз.нови активи'!$B$12:$B$59,$B114,'11.1.Амортиз.нови активи'!X$12:X$59)+('9.Инвестиционна програма'!L$132*SUMIF('11.1.Амортиз.нови активи'!$B$12:$B$59,$B114,'11.1.Амортиз.нови активи'!AS$12:AS$59))</f>
        <v>0</v>
      </c>
      <c r="Y114" s="2793">
        <f>X114+SUMIF('11.1.Амортиз.нови активи'!$B$12:$B$59,$B114,'11.1.Амортиз.нови активи'!Y$12:Y$59)+('9.Инвестиционна програма'!M$132*SUMIF('11.1.Амортиз.нови активи'!$B$12:$B$59,$B114,'11.1.Амортиз.нови активи'!AT$12:AT$59))</f>
        <v>0</v>
      </c>
      <c r="Z114" s="4738">
        <f>+'11.3. ДА Базова година'!T94</f>
        <v>0</v>
      </c>
      <c r="AA114" s="2792">
        <f>Z114+SUMIF('11.1.Амортиз.нови активи'!$B$12:$B$59,$B114,'11.1.Амортиз.нови активи'!AA$12:AA$59)</f>
        <v>0</v>
      </c>
      <c r="AB114" s="1155">
        <f>AA114+SUMIF('11.1.Амортиз.нови активи'!$B$12:$B$59,$B114,'11.1.Амортиз.нови активи'!AB$12:AB$59)</f>
        <v>0</v>
      </c>
      <c r="AC114" s="1155">
        <f>AB114+SUMIF('11.1.Амортиз.нови активи'!$B$12:$B$59,$B114,'11.1.Амортиз.нови активи'!AC$12:AC$59)</f>
        <v>0</v>
      </c>
      <c r="AD114" s="1155">
        <f>AC114+SUMIF('11.1.Амортиз.нови активи'!$B$12:$B$59,$B114,'11.1.Амортиз.нови активи'!AD$12:AD$59)</f>
        <v>0</v>
      </c>
      <c r="AE114" s="1155">
        <f>AD114+SUMIF('11.1.Амортиз.нови активи'!$B$12:$B$59,$B114,'11.1.Амортиз.нови активи'!AE$12:AE$59)</f>
        <v>0</v>
      </c>
      <c r="AF114" s="2793">
        <f>AE114+SUMIF('11.1.Амортиз.нови активи'!$B$12:$B$59,$B114,'11.1.Амортиз.нови активи'!AF$12:AF$59)</f>
        <v>0</v>
      </c>
      <c r="AG114" s="4738">
        <f>+'11.3. ДА Базова година'!X94</f>
        <v>0</v>
      </c>
      <c r="AH114" s="2792">
        <f>AG114+SUMIF('11.1.Амортиз.нови активи'!$B$12:$B$59,$B114,'11.1.Амортиз.нови активи'!AH$12:AH$59)</f>
        <v>0</v>
      </c>
      <c r="AI114" s="1155">
        <f>AH114+SUMIF('11.1.Амортиз.нови активи'!$B$12:$B$59,$B114,'11.1.Амортиз.нови активи'!AI$12:AI$59)</f>
        <v>0</v>
      </c>
      <c r="AJ114" s="1155">
        <f>AI114+SUMIF('11.1.Амортиз.нови активи'!$B$12:$B$59,$B114,'11.1.Амортиз.нови активи'!AJ$12:AJ$59)</f>
        <v>0</v>
      </c>
      <c r="AK114" s="1155">
        <f>AJ114+SUMIF('11.1.Амортиз.нови активи'!$B$12:$B$59,$B114,'11.1.Амортиз.нови активи'!AK$12:AK$59)</f>
        <v>0</v>
      </c>
      <c r="AL114" s="1155">
        <f>AK114+SUMIF('11.1.Амортиз.нови активи'!$B$12:$B$59,$B114,'11.1.Амортиз.нови активи'!AL$12:AL$59)</f>
        <v>0</v>
      </c>
      <c r="AM114" s="2793">
        <f>AL114+SUMIF('11.1.Амортиз.нови активи'!$B$12:$B$59,$B114,'11.1.Амортиз.нови активи'!AM$12:AM$59)</f>
        <v>0</v>
      </c>
      <c r="AN114" s="2681"/>
      <c r="AO114" s="2719"/>
      <c r="AP114" s="4775"/>
      <c r="AQ114" s="4794">
        <f t="shared" si="174"/>
        <v>160.54565069561261</v>
      </c>
      <c r="AR114" s="4794">
        <f t="shared" si="175"/>
        <v>160.54565069561261</v>
      </c>
      <c r="AS114" s="4794">
        <f t="shared" si="176"/>
        <v>160.54565069561261</v>
      </c>
      <c r="AT114" s="4794">
        <f t="shared" si="177"/>
        <v>160.54565069561261</v>
      </c>
      <c r="AU114" s="4794">
        <f t="shared" si="178"/>
        <v>160.54565069561261</v>
      </c>
      <c r="AV114" s="4794">
        <f t="shared" si="179"/>
        <v>160.54565069561261</v>
      </c>
      <c r="AW114" s="4794">
        <f t="shared" si="180"/>
        <v>160.54565069561261</v>
      </c>
      <c r="AX114" s="4794">
        <f t="shared" si="181"/>
        <v>0</v>
      </c>
      <c r="AY114" s="4794">
        <f t="shared" si="182"/>
        <v>0</v>
      </c>
      <c r="AZ114" s="4794">
        <f t="shared" si="183"/>
        <v>0</v>
      </c>
      <c r="BA114" s="4794">
        <f t="shared" si="184"/>
        <v>0</v>
      </c>
      <c r="BB114" s="4794">
        <f t="shared" si="185"/>
        <v>0</v>
      </c>
      <c r="BC114" s="4794">
        <f t="shared" si="186"/>
        <v>0</v>
      </c>
      <c r="BD114" s="4794">
        <f t="shared" si="187"/>
        <v>0</v>
      </c>
      <c r="BE114" s="4794">
        <f t="shared" si="188"/>
        <v>0</v>
      </c>
      <c r="BF114" s="4794">
        <f t="shared" si="189"/>
        <v>0</v>
      </c>
      <c r="BG114" s="4794">
        <f t="shared" si="190"/>
        <v>0</v>
      </c>
      <c r="BH114" s="4794">
        <f t="shared" si="191"/>
        <v>0</v>
      </c>
      <c r="BI114" s="4794">
        <f t="shared" si="192"/>
        <v>0</v>
      </c>
      <c r="BJ114" s="4794">
        <f t="shared" si="193"/>
        <v>0</v>
      </c>
      <c r="BK114" s="4794">
        <f t="shared" si="194"/>
        <v>0</v>
      </c>
      <c r="BL114" s="4794">
        <f t="shared" si="195"/>
        <v>0</v>
      </c>
      <c r="BM114" s="4794">
        <f t="shared" si="196"/>
        <v>0</v>
      </c>
      <c r="BN114" s="4794">
        <f t="shared" si="197"/>
        <v>0</v>
      </c>
      <c r="BO114" s="4794">
        <f t="shared" si="198"/>
        <v>0</v>
      </c>
      <c r="BP114" s="4794">
        <f t="shared" si="199"/>
        <v>0</v>
      </c>
      <c r="BQ114" s="4794">
        <f t="shared" si="200"/>
        <v>0</v>
      </c>
      <c r="BR114" s="4794">
        <f t="shared" si="201"/>
        <v>0</v>
      </c>
      <c r="BS114" s="4794">
        <f t="shared" si="202"/>
        <v>0</v>
      </c>
      <c r="BT114" s="4794">
        <f t="shared" si="203"/>
        <v>0</v>
      </c>
      <c r="BU114" s="4794">
        <f t="shared" si="204"/>
        <v>0</v>
      </c>
      <c r="BV114" s="4794">
        <f t="shared" si="205"/>
        <v>0</v>
      </c>
      <c r="BW114" s="4794">
        <f t="shared" si="206"/>
        <v>0</v>
      </c>
      <c r="BX114" s="4794">
        <f t="shared" si="207"/>
        <v>0</v>
      </c>
      <c r="BY114" s="4794">
        <f t="shared" si="208"/>
        <v>0</v>
      </c>
    </row>
    <row r="115" spans="1:77" s="1344" customFormat="1">
      <c r="A115" s="2683">
        <v>4</v>
      </c>
      <c r="B115" s="2684">
        <v>2030402</v>
      </c>
      <c r="C115" s="2690">
        <v>0.1</v>
      </c>
      <c r="D115" s="2720" t="s">
        <v>429</v>
      </c>
      <c r="E115" s="4738">
        <f>+'11.3. ДА Базова година'!H95</f>
        <v>0</v>
      </c>
      <c r="F115" s="2792">
        <f>E115+SUMIF('11.1.Амортиз.нови активи'!$B$12:$B$59,$B115,'11.1.Амортиз.нови активи'!F$12:F$59)+('9.Инвестиционна програма'!H$130*SUMIF('11.1.Амортиз.нови активи'!$B$12:$B$59,$B115,'11.1.Амортиз.нови активи'!AO$12:AO$59))</f>
        <v>0</v>
      </c>
      <c r="G115" s="1155">
        <f>F115+SUMIF('11.1.Амортиз.нови активи'!$B$12:$B$59,$B115,'11.1.Амортиз.нови активи'!G$12:G$59)+('9.Инвестиционна програма'!I$130*SUMIF('11.1.Амортиз.нови активи'!$B$12:$B$59,$B115,'11.1.Амортиз.нови активи'!AP$12:AP$59))</f>
        <v>0</v>
      </c>
      <c r="H115" s="1155">
        <f>G115+SUMIF('11.1.Амортиз.нови активи'!$B$12:$B$59,$B115,'11.1.Амортиз.нови активи'!H$12:H$59)+('9.Инвестиционна програма'!J$130*SUMIF('11.1.Амортиз.нови активи'!$B$12:$B$59,$B115,'11.1.Амортиз.нови активи'!AQ$12:AQ$59))</f>
        <v>0</v>
      </c>
      <c r="I115" s="1155">
        <f>H115+SUMIF('11.1.Амортиз.нови активи'!$B$12:$B$59,$B115,'11.1.Амортиз.нови активи'!I$12:I$59)+('9.Инвестиционна програма'!K$130*SUMIF('11.1.Амортиз.нови активи'!$B$12:$B$59,$B115,'11.1.Амортиз.нови активи'!AR$12:AR$59))</f>
        <v>0</v>
      </c>
      <c r="J115" s="1155">
        <f>I115+SUMIF('11.1.Амортиз.нови активи'!$B$12:$B$59,$B115,'11.1.Амортиз.нови активи'!J$12:J$59)+('9.Инвестиционна програма'!L$130*SUMIF('11.1.Амортиз.нови активи'!$B$12:$B$59,$B115,'11.1.Амортиз.нови активи'!AS$12:AS$59))</f>
        <v>0</v>
      </c>
      <c r="K115" s="2793">
        <f>J115+SUMIF('11.1.Амортиз.нови активи'!$B$12:$B$59,$B115,'11.1.Амортиз.нови активи'!K$12:K$59)+('9.Инвестиционна програма'!M$130*SUMIF('11.1.Амортиз.нови активи'!$B$12:$B$59,$B115,'11.1.Амортиз.нови активи'!AT$12:AT$59))</f>
        <v>0</v>
      </c>
      <c r="L115" s="4738">
        <f>+'11.3. ДА Базова година'!L95</f>
        <v>0</v>
      </c>
      <c r="M115" s="2792">
        <f>L115+SUMIF('11.1.Амортиз.нови активи'!$B$12:$B$59,$B115,'11.1.Амортиз.нови активи'!M$12:M$59)+('9.Инвестиционна програма'!H$131*SUMIF('11.1.Амортиз.нови активи'!$B$12:$B$59,$B115,'11.1.Амортиз.нови активи'!AO$12:AO$59))</f>
        <v>0</v>
      </c>
      <c r="N115" s="1155">
        <f>M115+SUMIF('11.1.Амортиз.нови активи'!$B$12:$B$59,$B115,'11.1.Амортиз.нови активи'!N$12:N$59)+('9.Инвестиционна програма'!I$131*SUMIF('11.1.Амортиз.нови активи'!$B$12:$B$59,$B115,'11.1.Амортиз.нови активи'!AP$12:AP$59))</f>
        <v>0</v>
      </c>
      <c r="O115" s="1155">
        <f>N115+SUMIF('11.1.Амортиз.нови активи'!$B$12:$B$59,$B115,'11.1.Амортиз.нови активи'!O$12:O$59)+('9.Инвестиционна програма'!J$131*SUMIF('11.1.Амортиз.нови активи'!$B$12:$B$59,$B115,'11.1.Амортиз.нови активи'!AQ$12:AQ$59))</f>
        <v>0</v>
      </c>
      <c r="P115" s="1155">
        <f>O115+SUMIF('11.1.Амортиз.нови активи'!$B$12:$B$59,$B115,'11.1.Амортиз.нови активи'!P$12:P$59)+('9.Инвестиционна програма'!K$131*SUMIF('11.1.Амортиз.нови активи'!$B$12:$B$59,$B115,'11.1.Амортиз.нови активи'!AR$12:AR$59))</f>
        <v>0</v>
      </c>
      <c r="Q115" s="1155">
        <f>P115+SUMIF('11.1.Амортиз.нови активи'!$B$12:$B$59,$B115,'11.1.Амортиз.нови активи'!Q$12:Q$59)+('9.Инвестиционна програма'!L$131*SUMIF('11.1.Амортиз.нови активи'!$B$12:$B$59,$B115,'11.1.Амортиз.нови активи'!AS$12:AS$59))</f>
        <v>0</v>
      </c>
      <c r="R115" s="2793">
        <f>Q115+SUMIF('11.1.Амортиз.нови активи'!$B$12:$B$59,$B115,'11.1.Амортиз.нови активи'!R$12:R$59)+('9.Инвестиционна програма'!M$131*SUMIF('11.1.Амортиз.нови активи'!$B$12:$B$59,$B115,'11.1.Амортиз.нови активи'!AT$12:AT$59))</f>
        <v>0</v>
      </c>
      <c r="S115" s="4738">
        <f>+'11.3. ДА Базова година'!P95</f>
        <v>0</v>
      </c>
      <c r="T115" s="2792">
        <f>S115+SUMIF('11.1.Амортиз.нови активи'!$B$12:$B$59,$B115,'11.1.Амортиз.нови активи'!T$12:T$59)+('9.Инвестиционна програма'!H$132*SUMIF('11.1.Амортиз.нови активи'!$B$12:$B$59,$B115,'11.1.Амортиз.нови активи'!AO$12:AO$59))</f>
        <v>0</v>
      </c>
      <c r="U115" s="1155">
        <f>T115+SUMIF('11.1.Амортиз.нови активи'!$B$12:$B$59,$B115,'11.1.Амортиз.нови активи'!U$12:U$59)+('9.Инвестиционна програма'!I$132*SUMIF('11.1.Амортиз.нови активи'!$B$12:$B$59,$B115,'11.1.Амортиз.нови активи'!AP$12:AP$59))</f>
        <v>0</v>
      </c>
      <c r="V115" s="1155">
        <f>U115+SUMIF('11.1.Амортиз.нови активи'!$B$12:$B$59,$B115,'11.1.Амортиз.нови активи'!V$12:V$59)+('9.Инвестиционна програма'!J$132*SUMIF('11.1.Амортиз.нови активи'!$B$12:$B$59,$B115,'11.1.Амортиз.нови активи'!AQ$12:AQ$59))</f>
        <v>0</v>
      </c>
      <c r="W115" s="1155">
        <f>V115+SUMIF('11.1.Амортиз.нови активи'!$B$12:$B$59,$B115,'11.1.Амортиз.нови активи'!W$12:W$59)+('9.Инвестиционна програма'!K$132*SUMIF('11.1.Амортиз.нови активи'!$B$12:$B$59,$B115,'11.1.Амортиз.нови активи'!AR$12:AR$59))</f>
        <v>0</v>
      </c>
      <c r="X115" s="1155">
        <f>W115+SUMIF('11.1.Амортиз.нови активи'!$B$12:$B$59,$B115,'11.1.Амортиз.нови активи'!X$12:X$59)+('9.Инвестиционна програма'!L$132*SUMIF('11.1.Амортиз.нови активи'!$B$12:$B$59,$B115,'11.1.Амортиз.нови активи'!AS$12:AS$59))</f>
        <v>0</v>
      </c>
      <c r="Y115" s="2793">
        <f>X115+SUMIF('11.1.Амортиз.нови активи'!$B$12:$B$59,$B115,'11.1.Амортиз.нови активи'!Y$12:Y$59)+('9.Инвестиционна програма'!M$132*SUMIF('11.1.Амортиз.нови активи'!$B$12:$B$59,$B115,'11.1.Амортиз.нови активи'!AT$12:AT$59))</f>
        <v>0</v>
      </c>
      <c r="Z115" s="4738">
        <f>+'11.3. ДА Базова година'!T95</f>
        <v>0</v>
      </c>
      <c r="AA115" s="2792">
        <f>Z115+SUMIF('11.1.Амортиз.нови активи'!$B$12:$B$59,$B115,'11.1.Амортиз.нови активи'!AA$12:AA$59)</f>
        <v>0</v>
      </c>
      <c r="AB115" s="1155">
        <f>AA115+SUMIF('11.1.Амортиз.нови активи'!$B$12:$B$59,$B115,'11.1.Амортиз.нови активи'!AB$12:AB$59)</f>
        <v>0</v>
      </c>
      <c r="AC115" s="1155">
        <f>AB115+SUMIF('11.1.Амортиз.нови активи'!$B$12:$B$59,$B115,'11.1.Амортиз.нови активи'!AC$12:AC$59)</f>
        <v>0</v>
      </c>
      <c r="AD115" s="1155">
        <f>AC115+SUMIF('11.1.Амортиз.нови активи'!$B$12:$B$59,$B115,'11.1.Амортиз.нови активи'!AD$12:AD$59)</f>
        <v>0</v>
      </c>
      <c r="AE115" s="1155">
        <f>AD115+SUMIF('11.1.Амортиз.нови активи'!$B$12:$B$59,$B115,'11.1.Амортиз.нови активи'!AE$12:AE$59)</f>
        <v>0</v>
      </c>
      <c r="AF115" s="2793">
        <f>AE115+SUMIF('11.1.Амортиз.нови активи'!$B$12:$B$59,$B115,'11.1.Амортиз.нови активи'!AF$12:AF$59)</f>
        <v>0</v>
      </c>
      <c r="AG115" s="4738">
        <f>+'11.3. ДА Базова година'!X95</f>
        <v>0</v>
      </c>
      <c r="AH115" s="2792">
        <f>AG115+SUMIF('11.1.Амортиз.нови активи'!$B$12:$B$59,$B115,'11.1.Амортиз.нови активи'!AH$12:AH$59)</f>
        <v>0</v>
      </c>
      <c r="AI115" s="1155">
        <f>AH115+SUMIF('11.1.Амортиз.нови активи'!$B$12:$B$59,$B115,'11.1.Амортиз.нови активи'!AI$12:AI$59)</f>
        <v>0</v>
      </c>
      <c r="AJ115" s="1155">
        <f>AI115+SUMIF('11.1.Амортиз.нови активи'!$B$12:$B$59,$B115,'11.1.Амортиз.нови активи'!AJ$12:AJ$59)</f>
        <v>0</v>
      </c>
      <c r="AK115" s="1155">
        <f>AJ115+SUMIF('11.1.Амортиз.нови активи'!$B$12:$B$59,$B115,'11.1.Амортиз.нови активи'!AK$12:AK$59)</f>
        <v>0</v>
      </c>
      <c r="AL115" s="1155">
        <f>AK115+SUMIF('11.1.Амортиз.нови активи'!$B$12:$B$59,$B115,'11.1.Амортиз.нови активи'!AL$12:AL$59)</f>
        <v>0</v>
      </c>
      <c r="AM115" s="2793">
        <f>AL115+SUMIF('11.1.Амортиз.нови активи'!$B$12:$B$59,$B115,'11.1.Амортиз.нови активи'!AM$12:AM$59)</f>
        <v>0</v>
      </c>
      <c r="AN115" s="2681"/>
      <c r="AO115" s="2719"/>
      <c r="AP115" s="4775"/>
      <c r="AQ115" s="4794">
        <f t="shared" si="174"/>
        <v>0</v>
      </c>
      <c r="AR115" s="4794">
        <f t="shared" si="175"/>
        <v>0</v>
      </c>
      <c r="AS115" s="4794">
        <f t="shared" si="176"/>
        <v>0</v>
      </c>
      <c r="AT115" s="4794">
        <f t="shared" si="177"/>
        <v>0</v>
      </c>
      <c r="AU115" s="4794">
        <f t="shared" si="178"/>
        <v>0</v>
      </c>
      <c r="AV115" s="4794">
        <f t="shared" si="179"/>
        <v>0</v>
      </c>
      <c r="AW115" s="4794">
        <f t="shared" si="180"/>
        <v>0</v>
      </c>
      <c r="AX115" s="4794">
        <f t="shared" si="181"/>
        <v>0</v>
      </c>
      <c r="AY115" s="4794">
        <f t="shared" si="182"/>
        <v>0</v>
      </c>
      <c r="AZ115" s="4794">
        <f t="shared" si="183"/>
        <v>0</v>
      </c>
      <c r="BA115" s="4794">
        <f t="shared" si="184"/>
        <v>0</v>
      </c>
      <c r="BB115" s="4794">
        <f t="shared" si="185"/>
        <v>0</v>
      </c>
      <c r="BC115" s="4794">
        <f t="shared" si="186"/>
        <v>0</v>
      </c>
      <c r="BD115" s="4794">
        <f t="shared" si="187"/>
        <v>0</v>
      </c>
      <c r="BE115" s="4794">
        <f t="shared" si="188"/>
        <v>0</v>
      </c>
      <c r="BF115" s="4794">
        <f t="shared" si="189"/>
        <v>0</v>
      </c>
      <c r="BG115" s="4794">
        <f t="shared" si="190"/>
        <v>0</v>
      </c>
      <c r="BH115" s="4794">
        <f t="shared" si="191"/>
        <v>0</v>
      </c>
      <c r="BI115" s="4794">
        <f t="shared" si="192"/>
        <v>0</v>
      </c>
      <c r="BJ115" s="4794">
        <f t="shared" si="193"/>
        <v>0</v>
      </c>
      <c r="BK115" s="4794">
        <f t="shared" si="194"/>
        <v>0</v>
      </c>
      <c r="BL115" s="4794">
        <f t="shared" si="195"/>
        <v>0</v>
      </c>
      <c r="BM115" s="4794">
        <f t="shared" si="196"/>
        <v>0</v>
      </c>
      <c r="BN115" s="4794">
        <f t="shared" si="197"/>
        <v>0</v>
      </c>
      <c r="BO115" s="4794">
        <f t="shared" si="198"/>
        <v>0</v>
      </c>
      <c r="BP115" s="4794">
        <f t="shared" si="199"/>
        <v>0</v>
      </c>
      <c r="BQ115" s="4794">
        <f t="shared" si="200"/>
        <v>0</v>
      </c>
      <c r="BR115" s="4794">
        <f t="shared" si="201"/>
        <v>0</v>
      </c>
      <c r="BS115" s="4794">
        <f t="shared" si="202"/>
        <v>0</v>
      </c>
      <c r="BT115" s="4794">
        <f t="shared" si="203"/>
        <v>0</v>
      </c>
      <c r="BU115" s="4794">
        <f t="shared" si="204"/>
        <v>0</v>
      </c>
      <c r="BV115" s="4794">
        <f t="shared" si="205"/>
        <v>0</v>
      </c>
      <c r="BW115" s="4794">
        <f t="shared" si="206"/>
        <v>0</v>
      </c>
      <c r="BX115" s="4794">
        <f t="shared" si="207"/>
        <v>0</v>
      </c>
      <c r="BY115" s="4794">
        <f t="shared" si="208"/>
        <v>0</v>
      </c>
    </row>
    <row r="116" spans="1:77" s="1344" customFormat="1">
      <c r="A116" s="2683">
        <v>5</v>
      </c>
      <c r="B116" s="2684">
        <v>2030501</v>
      </c>
      <c r="C116" s="2690">
        <v>0.1</v>
      </c>
      <c r="D116" s="2720" t="s">
        <v>1001</v>
      </c>
      <c r="E116" s="4738">
        <f>+'11.3. ДА Базова година'!H96</f>
        <v>1020</v>
      </c>
      <c r="F116" s="2792">
        <f>E116+SUMIF('11.1.Амортиз.нови активи'!$B$12:$B$59,$B116,'11.1.Амортиз.нови активи'!F$12:F$59)+('9.Инвестиционна програма'!H$130*SUMIF('11.1.Амортиз.нови активи'!$B$12:$B$59,$B116,'11.1.Амортиз.нови активи'!AO$12:AO$59))</f>
        <v>1115.3333333333333</v>
      </c>
      <c r="G116" s="1155">
        <f>F116+SUMIF('11.1.Амортиз.нови активи'!$B$12:$B$59,$B116,'11.1.Амортиз.нови активи'!G$12:G$59)+('9.Инвестиционна програма'!I$130*SUMIF('11.1.Амортиз.нови активи'!$B$12:$B$59,$B116,'11.1.Амортиз.нови активи'!AP$12:AP$59))</f>
        <v>1204</v>
      </c>
      <c r="H116" s="1155">
        <f>G116+SUMIF('11.1.Амортиз.нови активи'!$B$12:$B$59,$B116,'11.1.Амортиз.нови активи'!H$12:H$59)+('9.Инвестиционна програма'!J$130*SUMIF('11.1.Амортиз.нови активи'!$B$12:$B$59,$B116,'11.1.Амортиз.нови активи'!AQ$12:AQ$59))</f>
        <v>1270.6666666666667</v>
      </c>
      <c r="I116" s="1155">
        <f>H116+SUMIF('11.1.Амортиз.нови активи'!$B$12:$B$59,$B116,'11.1.Амортиз.нови активи'!I$12:I$59)+('9.Инвестиционна програма'!K$130*SUMIF('11.1.Амортиз.нови активи'!$B$12:$B$59,$B116,'11.1.Амортиз.нови активи'!AR$12:AR$59))</f>
        <v>1342.3333333333335</v>
      </c>
      <c r="J116" s="1155">
        <f>I116+SUMIF('11.1.Амортиз.нови активи'!$B$12:$B$59,$B116,'11.1.Амортиз.нови активи'!J$12:J$59)+('9.Инвестиционна програма'!L$130*SUMIF('11.1.Амортиз.нови активи'!$B$12:$B$59,$B116,'11.1.Амортиз.нови активи'!AS$12:AS$59))</f>
        <v>1404.0000000000002</v>
      </c>
      <c r="K116" s="2793">
        <f>J116+SUMIF('11.1.Амортиз.нови активи'!$B$12:$B$59,$B116,'11.1.Амортиз.нови активи'!K$12:K$59)+('9.Инвестиционна програма'!M$130*SUMIF('11.1.Амортиз.нови активи'!$B$12:$B$59,$B116,'11.1.Амортиз.нови активи'!AT$12:AT$59))</f>
        <v>1465.666666666667</v>
      </c>
      <c r="L116" s="4738">
        <f>+'11.3. ДА Базова година'!L96</f>
        <v>0</v>
      </c>
      <c r="M116" s="2792">
        <f>L116+SUMIF('11.1.Амортиз.нови активи'!$B$12:$B$59,$B116,'11.1.Амортиз.нови активи'!M$12:M$59)+('9.Инвестиционна програма'!H$131*SUMIF('11.1.Амортиз.нови активи'!$B$12:$B$59,$B116,'11.1.Амортиз.нови активи'!AO$12:AO$59))</f>
        <v>33.333333333333329</v>
      </c>
      <c r="N116" s="1155">
        <f>M116+SUMIF('11.1.Амортиз.нови активи'!$B$12:$B$59,$B116,'11.1.Амортиз.нови активи'!N$12:N$59)+('9.Инвестиционна програма'!I$131*SUMIF('11.1.Амортиз.нови активи'!$B$12:$B$59,$B116,'11.1.Амортиз.нови активи'!AP$12:AP$59))</f>
        <v>59.999999999999993</v>
      </c>
      <c r="O116" s="1155">
        <f>N116+SUMIF('11.1.Амортиз.нови активи'!$B$12:$B$59,$B116,'11.1.Амортиз.нови активи'!O$12:O$59)+('9.Инвестиционна програма'!J$131*SUMIF('11.1.Амортиз.нови активи'!$B$12:$B$59,$B116,'11.1.Амортиз.нови активи'!AQ$12:AQ$59))</f>
        <v>86.666666666666657</v>
      </c>
      <c r="P116" s="1155">
        <f>O116+SUMIF('11.1.Амортиз.нови активи'!$B$12:$B$59,$B116,'11.1.Амортиз.нови активи'!P$12:P$59)+('9.Инвестиционна програма'!K$131*SUMIF('11.1.Амортиз.нови активи'!$B$12:$B$59,$B116,'11.1.Амортиз.нови активи'!AR$12:AR$59))</f>
        <v>113.33333333333331</v>
      </c>
      <c r="Q116" s="1155">
        <f>P116+SUMIF('11.1.Амортиз.нови активи'!$B$12:$B$59,$B116,'11.1.Амортиз.нови активи'!Q$12:Q$59)+('9.Инвестиционна програма'!L$131*SUMIF('11.1.Амортиз.нови активи'!$B$12:$B$59,$B116,'11.1.Амортиз.нови активи'!AS$12:AS$59))</f>
        <v>139.99999999999997</v>
      </c>
      <c r="R116" s="2793">
        <f>Q116+SUMIF('11.1.Амортиз.нови активи'!$B$12:$B$59,$B116,'11.1.Амортиз.нови активи'!R$12:R$59)+('9.Инвестиционна програма'!M$131*SUMIF('11.1.Амортиз.нови активи'!$B$12:$B$59,$B116,'11.1.Амортиз.нови активи'!AT$12:AT$59))</f>
        <v>166.66666666666663</v>
      </c>
      <c r="S116" s="4738">
        <f>+'11.3. ДА Базова година'!P96</f>
        <v>75</v>
      </c>
      <c r="T116" s="2792">
        <f>S116+SUMIF('11.1.Амортиз.нови активи'!$B$12:$B$59,$B116,'11.1.Амортиз.нови активи'!T$12:T$59)+('9.Инвестиционна програма'!H$132*SUMIF('11.1.Амортиз.нови активи'!$B$12:$B$59,$B116,'11.1.Амортиз.нови активи'!AO$12:AO$59))</f>
        <v>108.33333333333333</v>
      </c>
      <c r="U116" s="1155">
        <f>T116+SUMIF('11.1.Амортиз.нови активи'!$B$12:$B$59,$B116,'11.1.Амортиз.нови активи'!U$12:U$59)+('9.Инвестиционна програма'!I$132*SUMIF('11.1.Амортиз.нови активи'!$B$12:$B$59,$B116,'11.1.Амортиз.нови активи'!AP$12:AP$59))</f>
        <v>135</v>
      </c>
      <c r="V116" s="1155">
        <f>U116+SUMIF('11.1.Амортиз.нови активи'!$B$12:$B$59,$B116,'11.1.Амортиз.нови активи'!V$12:V$59)+('9.Инвестиционна програма'!J$132*SUMIF('11.1.Амортиз.нови активи'!$B$12:$B$59,$B116,'11.1.Амортиз.нови активи'!AQ$12:AQ$59))</f>
        <v>161.66666666666666</v>
      </c>
      <c r="W116" s="1155">
        <f>V116+SUMIF('11.1.Амортиз.нови активи'!$B$12:$B$59,$B116,'11.1.Амортиз.нови активи'!W$12:W$59)+('9.Инвестиционна програма'!K$132*SUMIF('11.1.Амортиз.нови активи'!$B$12:$B$59,$B116,'11.1.Амортиз.нови активи'!AR$12:AR$59))</f>
        <v>188.33333333333331</v>
      </c>
      <c r="X116" s="1155">
        <f>W116+SUMIF('11.1.Амортиз.нови активи'!$B$12:$B$59,$B116,'11.1.Амортиз.нови активи'!X$12:X$59)+('9.Инвестиционна програма'!L$132*SUMIF('11.1.Амортиз.нови активи'!$B$12:$B$59,$B116,'11.1.Амортиз.нови активи'!AS$12:AS$59))</f>
        <v>214.99999999999997</v>
      </c>
      <c r="Y116" s="2793">
        <f>X116+SUMIF('11.1.Амортиз.нови активи'!$B$12:$B$59,$B116,'11.1.Амортиз.нови активи'!Y$12:Y$59)+('9.Инвестиционна програма'!M$132*SUMIF('11.1.Амортиз.нови активи'!$B$12:$B$59,$B116,'11.1.Амортиз.нови активи'!AT$12:AT$59))</f>
        <v>241.66666666666663</v>
      </c>
      <c r="Z116" s="4738">
        <f>+'11.3. ДА Базова година'!T96</f>
        <v>0</v>
      </c>
      <c r="AA116" s="2792">
        <f>Z116+SUMIF('11.1.Амортиз.нови активи'!$B$12:$B$59,$B116,'11.1.Амортиз.нови активи'!AA$12:AA$59)</f>
        <v>0</v>
      </c>
      <c r="AB116" s="1155">
        <f>AA116+SUMIF('11.1.Амортиз.нови активи'!$B$12:$B$59,$B116,'11.1.Амортиз.нови активи'!AB$12:AB$59)</f>
        <v>0</v>
      </c>
      <c r="AC116" s="1155">
        <f>AB116+SUMIF('11.1.Амортиз.нови активи'!$B$12:$B$59,$B116,'11.1.Амортиз.нови активи'!AC$12:AC$59)</f>
        <v>0</v>
      </c>
      <c r="AD116" s="1155">
        <f>AC116+SUMIF('11.1.Амортиз.нови активи'!$B$12:$B$59,$B116,'11.1.Амортиз.нови активи'!AD$12:AD$59)</f>
        <v>0</v>
      </c>
      <c r="AE116" s="1155">
        <f>AD116+SUMIF('11.1.Амортиз.нови активи'!$B$12:$B$59,$B116,'11.1.Амортиз.нови активи'!AE$12:AE$59)</f>
        <v>0</v>
      </c>
      <c r="AF116" s="2793">
        <f>AE116+SUMIF('11.1.Амортиз.нови активи'!$B$12:$B$59,$B116,'11.1.Амортиз.нови активи'!AF$12:AF$59)</f>
        <v>0</v>
      </c>
      <c r="AG116" s="4738">
        <f>+'11.3. ДА Базова година'!X96</f>
        <v>0</v>
      </c>
      <c r="AH116" s="2792">
        <f>AG116+SUMIF('11.1.Амортиз.нови активи'!$B$12:$B$59,$B116,'11.1.Амортиз.нови активи'!AH$12:AH$59)</f>
        <v>0</v>
      </c>
      <c r="AI116" s="1155">
        <f>AH116+SUMIF('11.1.Амортиз.нови активи'!$B$12:$B$59,$B116,'11.1.Амортиз.нови активи'!AI$12:AI$59)</f>
        <v>0</v>
      </c>
      <c r="AJ116" s="1155">
        <f>AI116+SUMIF('11.1.Амортиз.нови активи'!$B$12:$B$59,$B116,'11.1.Амортиз.нови активи'!AJ$12:AJ$59)</f>
        <v>0</v>
      </c>
      <c r="AK116" s="1155">
        <f>AJ116+SUMIF('11.1.Амортиз.нови активи'!$B$12:$B$59,$B116,'11.1.Амортиз.нови активи'!AK$12:AK$59)</f>
        <v>0</v>
      </c>
      <c r="AL116" s="1155">
        <f>AK116+SUMIF('11.1.Амортиз.нови активи'!$B$12:$B$59,$B116,'11.1.Амортиз.нови активи'!AL$12:AL$59)</f>
        <v>0</v>
      </c>
      <c r="AM116" s="2793">
        <f>AL116+SUMIF('11.1.Амортиз.нови активи'!$B$12:$B$59,$B116,'11.1.Амортиз.нови активи'!AM$12:AM$59)</f>
        <v>0</v>
      </c>
      <c r="AN116" s="2692"/>
      <c r="AO116" s="2719"/>
      <c r="AP116" s="4775"/>
      <c r="AQ116" s="4794">
        <f t="shared" si="174"/>
        <v>521.51771882014282</v>
      </c>
      <c r="AR116" s="4794">
        <f t="shared" si="175"/>
        <v>570.26087816084896</v>
      </c>
      <c r="AS116" s="4794">
        <f t="shared" si="176"/>
        <v>615.5954249602471</v>
      </c>
      <c r="AT116" s="4794">
        <f t="shared" si="177"/>
        <v>649.68155037332838</v>
      </c>
      <c r="AU116" s="4794">
        <f t="shared" si="178"/>
        <v>686.32413519239071</v>
      </c>
      <c r="AV116" s="4794">
        <f t="shared" si="179"/>
        <v>717.85380119949093</v>
      </c>
      <c r="AW116" s="4794">
        <f t="shared" si="180"/>
        <v>749.38346720659104</v>
      </c>
      <c r="AX116" s="4794">
        <f t="shared" si="181"/>
        <v>0</v>
      </c>
      <c r="AY116" s="4794">
        <f t="shared" si="182"/>
        <v>17.043062706540614</v>
      </c>
      <c r="AZ116" s="4794">
        <f t="shared" si="183"/>
        <v>30.677512871773107</v>
      </c>
      <c r="BA116" s="4794">
        <f t="shared" si="184"/>
        <v>44.311963037005597</v>
      </c>
      <c r="BB116" s="4794">
        <f t="shared" si="185"/>
        <v>57.946413202238084</v>
      </c>
      <c r="BC116" s="4794">
        <f t="shared" si="186"/>
        <v>71.58086336747057</v>
      </c>
      <c r="BD116" s="4794">
        <f t="shared" si="187"/>
        <v>85.215313532703064</v>
      </c>
      <c r="BE116" s="4794">
        <f t="shared" si="188"/>
        <v>38.346891089716387</v>
      </c>
      <c r="BF116" s="4794">
        <f t="shared" si="189"/>
        <v>55.389953796257004</v>
      </c>
      <c r="BG116" s="4794">
        <f t="shared" si="190"/>
        <v>69.024403961489497</v>
      </c>
      <c r="BH116" s="4794">
        <f t="shared" si="191"/>
        <v>82.658854126721991</v>
      </c>
      <c r="BI116" s="4794">
        <f t="shared" si="192"/>
        <v>96.29330429195447</v>
      </c>
      <c r="BJ116" s="4794">
        <f t="shared" si="193"/>
        <v>109.92775445718696</v>
      </c>
      <c r="BK116" s="4794">
        <f t="shared" si="194"/>
        <v>123.56220462241946</v>
      </c>
      <c r="BL116" s="4794">
        <f t="shared" si="195"/>
        <v>0</v>
      </c>
      <c r="BM116" s="4794">
        <f t="shared" si="196"/>
        <v>0</v>
      </c>
      <c r="BN116" s="4794">
        <f t="shared" si="197"/>
        <v>0</v>
      </c>
      <c r="BO116" s="4794">
        <f t="shared" si="198"/>
        <v>0</v>
      </c>
      <c r="BP116" s="4794">
        <f t="shared" si="199"/>
        <v>0</v>
      </c>
      <c r="BQ116" s="4794">
        <f t="shared" si="200"/>
        <v>0</v>
      </c>
      <c r="BR116" s="4794">
        <f t="shared" si="201"/>
        <v>0</v>
      </c>
      <c r="BS116" s="4794">
        <f t="shared" si="202"/>
        <v>0</v>
      </c>
      <c r="BT116" s="4794">
        <f t="shared" si="203"/>
        <v>0</v>
      </c>
      <c r="BU116" s="4794">
        <f t="shared" si="204"/>
        <v>0</v>
      </c>
      <c r="BV116" s="4794">
        <f t="shared" si="205"/>
        <v>0</v>
      </c>
      <c r="BW116" s="4794">
        <f t="shared" si="206"/>
        <v>0</v>
      </c>
      <c r="BX116" s="4794">
        <f t="shared" si="207"/>
        <v>0</v>
      </c>
      <c r="BY116" s="4794">
        <f t="shared" si="208"/>
        <v>0</v>
      </c>
    </row>
    <row r="117" spans="1:77" s="1344" customFormat="1" ht="24">
      <c r="A117" s="2683">
        <v>6</v>
      </c>
      <c r="B117" s="2684">
        <v>2030502</v>
      </c>
      <c r="C117" s="2690">
        <v>0.1</v>
      </c>
      <c r="D117" s="2720" t="s">
        <v>695</v>
      </c>
      <c r="E117" s="4738">
        <f>+'11.3. ДА Базова година'!H97</f>
        <v>352</v>
      </c>
      <c r="F117" s="2792">
        <f>E117+SUMIF('11.1.Амортиз.нови активи'!$B$12:$B$59,$B117,'11.1.Амортиз.нови активи'!F$12:F$59)+('9.Инвестиционна програма'!H$130*SUMIF('11.1.Амортиз.нови активи'!$B$12:$B$59,$B117,'11.1.Амортиз.нови активи'!AO$12:AO$59))</f>
        <v>392</v>
      </c>
      <c r="G117" s="1155">
        <f>F117+SUMIF('11.1.Амортиз.нови активи'!$B$12:$B$59,$B117,'11.1.Амортиз.нови активи'!G$12:G$59)+('9.Инвестиционна програма'!I$130*SUMIF('11.1.Амортиз.нови активи'!$B$12:$B$59,$B117,'11.1.Амортиз.нови активи'!AP$12:AP$59))</f>
        <v>422</v>
      </c>
      <c r="H117" s="1155">
        <f>G117+SUMIF('11.1.Амортиз.нови активи'!$B$12:$B$59,$B117,'11.1.Амортиз.нови активи'!H$12:H$59)+('9.Инвестиционна програма'!J$130*SUMIF('11.1.Амортиз.нови активи'!$B$12:$B$59,$B117,'11.1.Амортиз.нови активи'!AQ$12:AQ$59))</f>
        <v>452</v>
      </c>
      <c r="I117" s="1155">
        <f>H117+SUMIF('11.1.Амортиз.нови активи'!$B$12:$B$59,$B117,'11.1.Амортиз.нови активи'!I$12:I$59)+('9.Инвестиционна програма'!K$130*SUMIF('11.1.Амортиз.нови активи'!$B$12:$B$59,$B117,'11.1.Амортиз.нови активи'!AR$12:AR$59))</f>
        <v>482</v>
      </c>
      <c r="J117" s="1155">
        <f>I117+SUMIF('11.1.Амортиз.нови активи'!$B$12:$B$59,$B117,'11.1.Амортиз.нови активи'!J$12:J$59)+('9.Инвестиционна програма'!L$130*SUMIF('11.1.Амортиз.нови активи'!$B$12:$B$59,$B117,'11.1.Амортиз.нови активи'!AS$12:AS$59))</f>
        <v>512</v>
      </c>
      <c r="K117" s="2793">
        <f>J117+SUMIF('11.1.Амортиз.нови активи'!$B$12:$B$59,$B117,'11.1.Амортиз.нови активи'!K$12:K$59)+('9.Инвестиционна програма'!M$130*SUMIF('11.1.Амортиз.нови активи'!$B$12:$B$59,$B117,'11.1.Амортиз.нови активи'!AT$12:AT$59))</f>
        <v>542</v>
      </c>
      <c r="L117" s="4738">
        <f>+'11.3. ДА Базова година'!L97</f>
        <v>0</v>
      </c>
      <c r="M117" s="2792">
        <f>L117+SUMIF('11.1.Амортиз.нови активи'!$B$12:$B$59,$B117,'11.1.Амортиз.нови активи'!M$12:M$59)+('9.Инвестиционна програма'!H$131*SUMIF('11.1.Амортиз.нови активи'!$B$12:$B$59,$B117,'11.1.Амортиз.нови активи'!AO$12:AO$59))</f>
        <v>0</v>
      </c>
      <c r="N117" s="1155">
        <f>M117+SUMIF('11.1.Амортиз.нови активи'!$B$12:$B$59,$B117,'11.1.Амортиз.нови активи'!N$12:N$59)+('9.Инвестиционна програма'!I$131*SUMIF('11.1.Амортиз.нови активи'!$B$12:$B$59,$B117,'11.1.Амортиз.нови активи'!AP$12:AP$59))</f>
        <v>0</v>
      </c>
      <c r="O117" s="1155">
        <f>N117+SUMIF('11.1.Амортиз.нови активи'!$B$12:$B$59,$B117,'11.1.Амортиз.нови активи'!O$12:O$59)+('9.Инвестиционна програма'!J$131*SUMIF('11.1.Амортиз.нови активи'!$B$12:$B$59,$B117,'11.1.Амортиз.нови активи'!AQ$12:AQ$59))</f>
        <v>0</v>
      </c>
      <c r="P117" s="1155">
        <f>O117+SUMIF('11.1.Амортиз.нови активи'!$B$12:$B$59,$B117,'11.1.Амортиз.нови активи'!P$12:P$59)+('9.Инвестиционна програма'!K$131*SUMIF('11.1.Амортиз.нови активи'!$B$12:$B$59,$B117,'11.1.Амортиз.нови активи'!AR$12:AR$59))</f>
        <v>0</v>
      </c>
      <c r="Q117" s="1155">
        <f>P117+SUMIF('11.1.Амортиз.нови активи'!$B$12:$B$59,$B117,'11.1.Амортиз.нови активи'!Q$12:Q$59)+('9.Инвестиционна програма'!L$131*SUMIF('11.1.Амортиз.нови активи'!$B$12:$B$59,$B117,'11.1.Амортиз.нови активи'!AS$12:AS$59))</f>
        <v>0</v>
      </c>
      <c r="R117" s="2793">
        <f>Q117+SUMIF('11.1.Амортиз.нови активи'!$B$12:$B$59,$B117,'11.1.Амортиз.нови активи'!R$12:R$59)+('9.Инвестиционна програма'!M$131*SUMIF('11.1.Амортиз.нови активи'!$B$12:$B$59,$B117,'11.1.Амортиз.нови активи'!AT$12:AT$59))</f>
        <v>0</v>
      </c>
      <c r="S117" s="4738">
        <f>+'11.3. ДА Базова година'!P97</f>
        <v>0</v>
      </c>
      <c r="T117" s="2792">
        <f>S117+SUMIF('11.1.Амортиз.нови активи'!$B$12:$B$59,$B117,'11.1.Амортиз.нови активи'!T$12:T$59)+('9.Инвестиционна програма'!H$132*SUMIF('11.1.Амортиз.нови активи'!$B$12:$B$59,$B117,'11.1.Амортиз.нови активи'!AO$12:AO$59))</f>
        <v>0</v>
      </c>
      <c r="U117" s="1155">
        <f>T117+SUMIF('11.1.Амортиз.нови активи'!$B$12:$B$59,$B117,'11.1.Амортиз.нови активи'!U$12:U$59)+('9.Инвестиционна програма'!I$132*SUMIF('11.1.Амортиз.нови активи'!$B$12:$B$59,$B117,'11.1.Амортиз.нови активи'!AP$12:AP$59))</f>
        <v>0</v>
      </c>
      <c r="V117" s="1155">
        <f>U117+SUMIF('11.1.Амортиз.нови активи'!$B$12:$B$59,$B117,'11.1.Амортиз.нови активи'!V$12:V$59)+('9.Инвестиционна програма'!J$132*SUMIF('11.1.Амортиз.нови активи'!$B$12:$B$59,$B117,'11.1.Амортиз.нови активи'!AQ$12:AQ$59))</f>
        <v>0</v>
      </c>
      <c r="W117" s="1155">
        <f>V117+SUMIF('11.1.Амортиз.нови активи'!$B$12:$B$59,$B117,'11.1.Амортиз.нови активи'!W$12:W$59)+('9.Инвестиционна програма'!K$132*SUMIF('11.1.Амортиз.нови активи'!$B$12:$B$59,$B117,'11.1.Амортиз.нови активи'!AR$12:AR$59))</f>
        <v>0</v>
      </c>
      <c r="X117" s="1155">
        <f>W117+SUMIF('11.1.Амортиз.нови активи'!$B$12:$B$59,$B117,'11.1.Амортиз.нови активи'!X$12:X$59)+('9.Инвестиционна програма'!L$132*SUMIF('11.1.Амортиз.нови активи'!$B$12:$B$59,$B117,'11.1.Амортиз.нови активи'!AS$12:AS$59))</f>
        <v>0</v>
      </c>
      <c r="Y117" s="2793">
        <f>X117+SUMIF('11.1.Амортиз.нови активи'!$B$12:$B$59,$B117,'11.1.Амортиз.нови активи'!Y$12:Y$59)+('9.Инвестиционна програма'!M$132*SUMIF('11.1.Амортиз.нови активи'!$B$12:$B$59,$B117,'11.1.Амортиз.нови активи'!AT$12:AT$59))</f>
        <v>0</v>
      </c>
      <c r="Z117" s="4738">
        <f>+'11.3. ДА Базова година'!T97</f>
        <v>0</v>
      </c>
      <c r="AA117" s="2792">
        <f>Z117+SUMIF('11.1.Амортиз.нови активи'!$B$12:$B$59,$B117,'11.1.Амортиз.нови активи'!AA$12:AA$59)</f>
        <v>0</v>
      </c>
      <c r="AB117" s="1155">
        <f>AA117+SUMIF('11.1.Амортиз.нови активи'!$B$12:$B$59,$B117,'11.1.Амортиз.нови активи'!AB$12:AB$59)</f>
        <v>0</v>
      </c>
      <c r="AC117" s="1155">
        <f>AB117+SUMIF('11.1.Амортиз.нови активи'!$B$12:$B$59,$B117,'11.1.Амортиз.нови активи'!AC$12:AC$59)</f>
        <v>0</v>
      </c>
      <c r="AD117" s="1155">
        <f>AC117+SUMIF('11.1.Амортиз.нови активи'!$B$12:$B$59,$B117,'11.1.Амортиз.нови активи'!AD$12:AD$59)</f>
        <v>0</v>
      </c>
      <c r="AE117" s="1155">
        <f>AD117+SUMIF('11.1.Амортиз.нови активи'!$B$12:$B$59,$B117,'11.1.Амортиз.нови активи'!AE$12:AE$59)</f>
        <v>0</v>
      </c>
      <c r="AF117" s="2793">
        <f>AE117+SUMIF('11.1.Амортиз.нови активи'!$B$12:$B$59,$B117,'11.1.Амортиз.нови активи'!AF$12:AF$59)</f>
        <v>0</v>
      </c>
      <c r="AG117" s="4738">
        <f>+'11.3. ДА Базова година'!X97</f>
        <v>0</v>
      </c>
      <c r="AH117" s="2792">
        <f>AG117+SUMIF('11.1.Амортиз.нови активи'!$B$12:$B$59,$B117,'11.1.Амортиз.нови активи'!AH$12:AH$59)</f>
        <v>0</v>
      </c>
      <c r="AI117" s="1155">
        <f>AH117+SUMIF('11.1.Амортиз.нови активи'!$B$12:$B$59,$B117,'11.1.Амортиз.нови активи'!AI$12:AI$59)</f>
        <v>0</v>
      </c>
      <c r="AJ117" s="1155">
        <f>AI117+SUMIF('11.1.Амортиз.нови активи'!$B$12:$B$59,$B117,'11.1.Амортиз.нови активи'!AJ$12:AJ$59)</f>
        <v>0</v>
      </c>
      <c r="AK117" s="1155">
        <f>AJ117+SUMIF('11.1.Амортиз.нови активи'!$B$12:$B$59,$B117,'11.1.Амортиз.нови активи'!AK$12:AK$59)</f>
        <v>0</v>
      </c>
      <c r="AL117" s="1155">
        <f>AK117+SUMIF('11.1.Амортиз.нови активи'!$B$12:$B$59,$B117,'11.1.Амортиз.нови активи'!AL$12:AL$59)</f>
        <v>0</v>
      </c>
      <c r="AM117" s="2793">
        <f>AL117+SUMIF('11.1.Амортиз.нови активи'!$B$12:$B$59,$B117,'11.1.Амортиз.нови активи'!AM$12:AM$59)</f>
        <v>0</v>
      </c>
      <c r="AN117" s="2681"/>
      <c r="AO117" s="2719"/>
      <c r="AP117" s="4775"/>
      <c r="AQ117" s="4794">
        <f t="shared" si="174"/>
        <v>179.9747421810689</v>
      </c>
      <c r="AR117" s="4794">
        <f t="shared" si="175"/>
        <v>200.42641742891766</v>
      </c>
      <c r="AS117" s="4794">
        <f t="shared" si="176"/>
        <v>215.76517386480421</v>
      </c>
      <c r="AT117" s="4794">
        <f t="shared" si="177"/>
        <v>231.10393030069076</v>
      </c>
      <c r="AU117" s="4794">
        <f t="shared" si="178"/>
        <v>246.44268673657731</v>
      </c>
      <c r="AV117" s="4794">
        <f t="shared" si="179"/>
        <v>261.78144317246387</v>
      </c>
      <c r="AW117" s="4794">
        <f t="shared" si="180"/>
        <v>277.12019960835045</v>
      </c>
      <c r="AX117" s="4794">
        <f t="shared" si="181"/>
        <v>0</v>
      </c>
      <c r="AY117" s="4794">
        <f t="shared" si="182"/>
        <v>0</v>
      </c>
      <c r="AZ117" s="4794">
        <f t="shared" si="183"/>
        <v>0</v>
      </c>
      <c r="BA117" s="4794">
        <f t="shared" si="184"/>
        <v>0</v>
      </c>
      <c r="BB117" s="4794">
        <f t="shared" si="185"/>
        <v>0</v>
      </c>
      <c r="BC117" s="4794">
        <f t="shared" si="186"/>
        <v>0</v>
      </c>
      <c r="BD117" s="4794">
        <f t="shared" si="187"/>
        <v>0</v>
      </c>
      <c r="BE117" s="4794">
        <f t="shared" si="188"/>
        <v>0</v>
      </c>
      <c r="BF117" s="4794">
        <f t="shared" si="189"/>
        <v>0</v>
      </c>
      <c r="BG117" s="4794">
        <f t="shared" si="190"/>
        <v>0</v>
      </c>
      <c r="BH117" s="4794">
        <f t="shared" si="191"/>
        <v>0</v>
      </c>
      <c r="BI117" s="4794">
        <f t="shared" si="192"/>
        <v>0</v>
      </c>
      <c r="BJ117" s="4794">
        <f t="shared" si="193"/>
        <v>0</v>
      </c>
      <c r="BK117" s="4794">
        <f t="shared" si="194"/>
        <v>0</v>
      </c>
      <c r="BL117" s="4794">
        <f t="shared" si="195"/>
        <v>0</v>
      </c>
      <c r="BM117" s="4794">
        <f t="shared" si="196"/>
        <v>0</v>
      </c>
      <c r="BN117" s="4794">
        <f t="shared" si="197"/>
        <v>0</v>
      </c>
      <c r="BO117" s="4794">
        <f t="shared" si="198"/>
        <v>0</v>
      </c>
      <c r="BP117" s="4794">
        <f t="shared" si="199"/>
        <v>0</v>
      </c>
      <c r="BQ117" s="4794">
        <f t="shared" si="200"/>
        <v>0</v>
      </c>
      <c r="BR117" s="4794">
        <f t="shared" si="201"/>
        <v>0</v>
      </c>
      <c r="BS117" s="4794">
        <f t="shared" si="202"/>
        <v>0</v>
      </c>
      <c r="BT117" s="4794">
        <f t="shared" si="203"/>
        <v>0</v>
      </c>
      <c r="BU117" s="4794">
        <f t="shared" si="204"/>
        <v>0</v>
      </c>
      <c r="BV117" s="4794">
        <f t="shared" si="205"/>
        <v>0</v>
      </c>
      <c r="BW117" s="4794">
        <f t="shared" si="206"/>
        <v>0</v>
      </c>
      <c r="BX117" s="4794">
        <f t="shared" si="207"/>
        <v>0</v>
      </c>
      <c r="BY117" s="4794">
        <f t="shared" si="208"/>
        <v>0</v>
      </c>
    </row>
    <row r="118" spans="1:77" s="1344" customFormat="1">
      <c r="A118" s="2683">
        <v>7</v>
      </c>
      <c r="B118" s="2684">
        <v>2030503</v>
      </c>
      <c r="C118" s="2690">
        <v>0.1</v>
      </c>
      <c r="D118" s="2720" t="s">
        <v>713</v>
      </c>
      <c r="E118" s="4738">
        <f>+'11.3. ДА Базова година'!H98</f>
        <v>112</v>
      </c>
      <c r="F118" s="2792">
        <f>E118+SUMIF('11.1.Амортиз.нови активи'!$B$12:$B$59,$B118,'11.1.Амортиз.нови активи'!F$12:F$59)+('9.Инвестиционна програма'!H$130*SUMIF('11.1.Амортиз.нови активи'!$B$12:$B$59,$B118,'11.1.Амортиз.нови активи'!AO$12:AO$59))</f>
        <v>112</v>
      </c>
      <c r="G118" s="1155">
        <f>F118+SUMIF('11.1.Амортиз.нови активи'!$B$12:$B$59,$B118,'11.1.Амортиз.нови активи'!G$12:G$59)+('9.Инвестиционна програма'!I$130*SUMIF('11.1.Амортиз.нови активи'!$B$12:$B$59,$B118,'11.1.Амортиз.нови активи'!AP$12:AP$59))</f>
        <v>112</v>
      </c>
      <c r="H118" s="1155">
        <f>G118+SUMIF('11.1.Амортиз.нови активи'!$B$12:$B$59,$B118,'11.1.Амортиз.нови активи'!H$12:H$59)+('9.Инвестиционна програма'!J$130*SUMIF('11.1.Амортиз.нови активи'!$B$12:$B$59,$B118,'11.1.Амортиз.нови активи'!AQ$12:AQ$59))</f>
        <v>112</v>
      </c>
      <c r="I118" s="1155">
        <f>H118+SUMIF('11.1.Амортиз.нови активи'!$B$12:$B$59,$B118,'11.1.Амортиз.нови активи'!I$12:I$59)+('9.Инвестиционна програма'!K$130*SUMIF('11.1.Амортиз.нови активи'!$B$12:$B$59,$B118,'11.1.Амортиз.нови активи'!AR$12:AR$59))</f>
        <v>112</v>
      </c>
      <c r="J118" s="1155">
        <f>I118+SUMIF('11.1.Амортиз.нови активи'!$B$12:$B$59,$B118,'11.1.Амортиз.нови активи'!J$12:J$59)+('9.Инвестиционна програма'!L$130*SUMIF('11.1.Амортиз.нови активи'!$B$12:$B$59,$B118,'11.1.Амортиз.нови активи'!AS$12:AS$59))</f>
        <v>112</v>
      </c>
      <c r="K118" s="2793">
        <f>J118+SUMIF('11.1.Амортиз.нови активи'!$B$12:$B$59,$B118,'11.1.Амортиз.нови активи'!K$12:K$59)+('9.Инвестиционна програма'!M$130*SUMIF('11.1.Амортиз.нови активи'!$B$12:$B$59,$B118,'11.1.Амортиз.нови активи'!AT$12:AT$59))</f>
        <v>112</v>
      </c>
      <c r="L118" s="4738">
        <f>+'11.3. ДА Базова година'!L98</f>
        <v>0</v>
      </c>
      <c r="M118" s="2792">
        <f>L118+SUMIF('11.1.Амортиз.нови активи'!$B$12:$B$59,$B118,'11.1.Амортиз.нови активи'!M$12:M$59)+('9.Инвестиционна програма'!H$131*SUMIF('11.1.Амортиз.нови активи'!$B$12:$B$59,$B118,'11.1.Амортиз.нови активи'!AO$12:AO$59))</f>
        <v>0</v>
      </c>
      <c r="N118" s="1155">
        <f>M118+SUMIF('11.1.Амортиз.нови активи'!$B$12:$B$59,$B118,'11.1.Амортиз.нови активи'!N$12:N$59)+('9.Инвестиционна програма'!I$131*SUMIF('11.1.Амортиз.нови активи'!$B$12:$B$59,$B118,'11.1.Амортиз.нови активи'!AP$12:AP$59))</f>
        <v>0</v>
      </c>
      <c r="O118" s="1155">
        <f>N118+SUMIF('11.1.Амортиз.нови активи'!$B$12:$B$59,$B118,'11.1.Амортиз.нови активи'!O$12:O$59)+('9.Инвестиционна програма'!J$131*SUMIF('11.1.Амортиз.нови активи'!$B$12:$B$59,$B118,'11.1.Амортиз.нови активи'!AQ$12:AQ$59))</f>
        <v>0</v>
      </c>
      <c r="P118" s="1155">
        <f>O118+SUMIF('11.1.Амортиз.нови активи'!$B$12:$B$59,$B118,'11.1.Амортиз.нови активи'!P$12:P$59)+('9.Инвестиционна програма'!K$131*SUMIF('11.1.Амортиз.нови активи'!$B$12:$B$59,$B118,'11.1.Амортиз.нови активи'!AR$12:AR$59))</f>
        <v>0</v>
      </c>
      <c r="Q118" s="1155">
        <f>P118+SUMIF('11.1.Амортиз.нови активи'!$B$12:$B$59,$B118,'11.1.Амортиз.нови активи'!Q$12:Q$59)+('9.Инвестиционна програма'!L$131*SUMIF('11.1.Амортиз.нови активи'!$B$12:$B$59,$B118,'11.1.Амортиз.нови активи'!AS$12:AS$59))</f>
        <v>0</v>
      </c>
      <c r="R118" s="2793">
        <f>Q118+SUMIF('11.1.Амортиз.нови активи'!$B$12:$B$59,$B118,'11.1.Амортиз.нови активи'!R$12:R$59)+('9.Инвестиционна програма'!M$131*SUMIF('11.1.Амортиз.нови активи'!$B$12:$B$59,$B118,'11.1.Амортиз.нови активи'!AT$12:AT$59))</f>
        <v>0</v>
      </c>
      <c r="S118" s="4738">
        <f>+'11.3. ДА Базова година'!P98</f>
        <v>0</v>
      </c>
      <c r="T118" s="2792">
        <f>S118+SUMIF('11.1.Амортиз.нови активи'!$B$12:$B$59,$B118,'11.1.Амортиз.нови активи'!T$12:T$59)+('9.Инвестиционна програма'!H$132*SUMIF('11.1.Амортиз.нови активи'!$B$12:$B$59,$B118,'11.1.Амортиз.нови активи'!AO$12:AO$59))</f>
        <v>0</v>
      </c>
      <c r="U118" s="1155">
        <f>T118+SUMIF('11.1.Амортиз.нови активи'!$B$12:$B$59,$B118,'11.1.Амортиз.нови активи'!U$12:U$59)+('9.Инвестиционна програма'!I$132*SUMIF('11.1.Амортиз.нови активи'!$B$12:$B$59,$B118,'11.1.Амортиз.нови активи'!AP$12:AP$59))</f>
        <v>0</v>
      </c>
      <c r="V118" s="1155">
        <f>U118+SUMIF('11.1.Амортиз.нови активи'!$B$12:$B$59,$B118,'11.1.Амортиз.нови активи'!V$12:V$59)+('9.Инвестиционна програма'!J$132*SUMIF('11.1.Амортиз.нови активи'!$B$12:$B$59,$B118,'11.1.Амортиз.нови активи'!AQ$12:AQ$59))</f>
        <v>0</v>
      </c>
      <c r="W118" s="1155">
        <f>V118+SUMIF('11.1.Амортиз.нови активи'!$B$12:$B$59,$B118,'11.1.Амортиз.нови активи'!W$12:W$59)+('9.Инвестиционна програма'!K$132*SUMIF('11.1.Амортиз.нови активи'!$B$12:$B$59,$B118,'11.1.Амортиз.нови активи'!AR$12:AR$59))</f>
        <v>0</v>
      </c>
      <c r="X118" s="1155">
        <f>W118+SUMIF('11.1.Амортиз.нови активи'!$B$12:$B$59,$B118,'11.1.Амортиз.нови активи'!X$12:X$59)+('9.Инвестиционна програма'!L$132*SUMIF('11.1.Амортиз.нови активи'!$B$12:$B$59,$B118,'11.1.Амортиз.нови активи'!AS$12:AS$59))</f>
        <v>0</v>
      </c>
      <c r="Y118" s="2793">
        <f>X118+SUMIF('11.1.Амортиз.нови активи'!$B$12:$B$59,$B118,'11.1.Амортиз.нови активи'!Y$12:Y$59)+('9.Инвестиционна програма'!M$132*SUMIF('11.1.Амортиз.нови активи'!$B$12:$B$59,$B118,'11.1.Амортиз.нови активи'!AT$12:AT$59))</f>
        <v>0</v>
      </c>
      <c r="Z118" s="4738">
        <f>+'11.3. ДА Базова година'!T98</f>
        <v>0</v>
      </c>
      <c r="AA118" s="2792">
        <f>Z118+SUMIF('11.1.Амортиз.нови активи'!$B$12:$B$59,$B118,'11.1.Амортиз.нови активи'!AA$12:AA$59)</f>
        <v>0</v>
      </c>
      <c r="AB118" s="1155">
        <f>AA118+SUMIF('11.1.Амортиз.нови активи'!$B$12:$B$59,$B118,'11.1.Амортиз.нови активи'!AB$12:AB$59)</f>
        <v>0</v>
      </c>
      <c r="AC118" s="1155">
        <f>AB118+SUMIF('11.1.Амортиз.нови активи'!$B$12:$B$59,$B118,'11.1.Амортиз.нови активи'!AC$12:AC$59)</f>
        <v>0</v>
      </c>
      <c r="AD118" s="1155">
        <f>AC118+SUMIF('11.1.Амортиз.нови активи'!$B$12:$B$59,$B118,'11.1.Амортиз.нови активи'!AD$12:AD$59)</f>
        <v>0</v>
      </c>
      <c r="AE118" s="1155">
        <f>AD118+SUMIF('11.1.Амортиз.нови активи'!$B$12:$B$59,$B118,'11.1.Амортиз.нови активи'!AE$12:AE$59)</f>
        <v>0</v>
      </c>
      <c r="AF118" s="2793">
        <f>AE118+SUMIF('11.1.Амортиз.нови активи'!$B$12:$B$59,$B118,'11.1.Амортиз.нови активи'!AF$12:AF$59)</f>
        <v>0</v>
      </c>
      <c r="AG118" s="4738">
        <f>+'11.3. ДА Базова година'!X98</f>
        <v>0</v>
      </c>
      <c r="AH118" s="2792">
        <f>AG118+SUMIF('11.1.Амортиз.нови активи'!$B$12:$B$59,$B118,'11.1.Амортиз.нови активи'!AH$12:AH$59)</f>
        <v>0</v>
      </c>
      <c r="AI118" s="1155">
        <f>AH118+SUMIF('11.1.Амортиз.нови активи'!$B$12:$B$59,$B118,'11.1.Амортиз.нови активи'!AI$12:AI$59)</f>
        <v>0</v>
      </c>
      <c r="AJ118" s="1155">
        <f>AI118+SUMIF('11.1.Амортиз.нови активи'!$B$12:$B$59,$B118,'11.1.Амортиз.нови активи'!AJ$12:AJ$59)</f>
        <v>0</v>
      </c>
      <c r="AK118" s="1155">
        <f>AJ118+SUMIF('11.1.Амортиз.нови активи'!$B$12:$B$59,$B118,'11.1.Амортиз.нови активи'!AK$12:AK$59)</f>
        <v>0</v>
      </c>
      <c r="AL118" s="1155">
        <f>AK118+SUMIF('11.1.Амортиз.нови активи'!$B$12:$B$59,$B118,'11.1.Амортиз.нови активи'!AL$12:AL$59)</f>
        <v>0</v>
      </c>
      <c r="AM118" s="2793">
        <f>AL118+SUMIF('11.1.Амортиз.нови активи'!$B$12:$B$59,$B118,'11.1.Амортиз.нови активи'!AM$12:AM$59)</f>
        <v>0</v>
      </c>
      <c r="AN118" s="2681"/>
      <c r="AO118" s="2719"/>
      <c r="AP118" s="4775"/>
      <c r="AQ118" s="4794">
        <f t="shared" si="174"/>
        <v>57.264690693976469</v>
      </c>
      <c r="AR118" s="4794">
        <f t="shared" si="175"/>
        <v>57.264690693976469</v>
      </c>
      <c r="AS118" s="4794">
        <f t="shared" si="176"/>
        <v>57.264690693976469</v>
      </c>
      <c r="AT118" s="4794">
        <f t="shared" si="177"/>
        <v>57.264690693976469</v>
      </c>
      <c r="AU118" s="4794">
        <f t="shared" si="178"/>
        <v>57.264690693976469</v>
      </c>
      <c r="AV118" s="4794">
        <f t="shared" si="179"/>
        <v>57.264690693976469</v>
      </c>
      <c r="AW118" s="4794">
        <f t="shared" si="180"/>
        <v>57.264690693976469</v>
      </c>
      <c r="AX118" s="4794">
        <f t="shared" si="181"/>
        <v>0</v>
      </c>
      <c r="AY118" s="4794">
        <f t="shared" si="182"/>
        <v>0</v>
      </c>
      <c r="AZ118" s="4794">
        <f t="shared" si="183"/>
        <v>0</v>
      </c>
      <c r="BA118" s="4794">
        <f t="shared" si="184"/>
        <v>0</v>
      </c>
      <c r="BB118" s="4794">
        <f t="shared" si="185"/>
        <v>0</v>
      </c>
      <c r="BC118" s="4794">
        <f t="shared" si="186"/>
        <v>0</v>
      </c>
      <c r="BD118" s="4794">
        <f t="shared" si="187"/>
        <v>0</v>
      </c>
      <c r="BE118" s="4794">
        <f t="shared" si="188"/>
        <v>0</v>
      </c>
      <c r="BF118" s="4794">
        <f t="shared" si="189"/>
        <v>0</v>
      </c>
      <c r="BG118" s="4794">
        <f t="shared" si="190"/>
        <v>0</v>
      </c>
      <c r="BH118" s="4794">
        <f t="shared" si="191"/>
        <v>0</v>
      </c>
      <c r="BI118" s="4794">
        <f t="shared" si="192"/>
        <v>0</v>
      </c>
      <c r="BJ118" s="4794">
        <f t="shared" si="193"/>
        <v>0</v>
      </c>
      <c r="BK118" s="4794">
        <f t="shared" si="194"/>
        <v>0</v>
      </c>
      <c r="BL118" s="4794">
        <f t="shared" si="195"/>
        <v>0</v>
      </c>
      <c r="BM118" s="4794">
        <f t="shared" si="196"/>
        <v>0</v>
      </c>
      <c r="BN118" s="4794">
        <f t="shared" si="197"/>
        <v>0</v>
      </c>
      <c r="BO118" s="4794">
        <f t="shared" si="198"/>
        <v>0</v>
      </c>
      <c r="BP118" s="4794">
        <f t="shared" si="199"/>
        <v>0</v>
      </c>
      <c r="BQ118" s="4794">
        <f t="shared" si="200"/>
        <v>0</v>
      </c>
      <c r="BR118" s="4794">
        <f t="shared" si="201"/>
        <v>0</v>
      </c>
      <c r="BS118" s="4794">
        <f t="shared" si="202"/>
        <v>0</v>
      </c>
      <c r="BT118" s="4794">
        <f t="shared" si="203"/>
        <v>0</v>
      </c>
      <c r="BU118" s="4794">
        <f t="shared" si="204"/>
        <v>0</v>
      </c>
      <c r="BV118" s="4794">
        <f t="shared" si="205"/>
        <v>0</v>
      </c>
      <c r="BW118" s="4794">
        <f t="shared" si="206"/>
        <v>0</v>
      </c>
      <c r="BX118" s="4794">
        <f t="shared" si="207"/>
        <v>0</v>
      </c>
      <c r="BY118" s="4794">
        <f t="shared" si="208"/>
        <v>0</v>
      </c>
    </row>
    <row r="119" spans="1:77" s="1344" customFormat="1">
      <c r="A119" s="2683">
        <v>8</v>
      </c>
      <c r="B119" s="2684">
        <v>2040101</v>
      </c>
      <c r="C119" s="2740">
        <v>0.1</v>
      </c>
      <c r="D119" s="2714" t="s">
        <v>1016</v>
      </c>
      <c r="E119" s="4738">
        <f>+'11.3. ДА Базова година'!H99</f>
        <v>0</v>
      </c>
      <c r="F119" s="2792">
        <f>E119+SUMIF('11.1.Амортиз.нови активи'!$B$12:$B$59,$B119,'11.1.Амортиз.нови активи'!F$12:F$59)+('9.Инвестиционна програма'!H$130*SUMIF('11.1.Амортиз.нови активи'!$B$12:$B$59,$B119,'11.1.Амортиз.нови активи'!AO$12:AO$59))</f>
        <v>0</v>
      </c>
      <c r="G119" s="1155">
        <f>F119+SUMIF('11.1.Амортиз.нови активи'!$B$12:$B$59,$B119,'11.1.Амортиз.нови активи'!G$12:G$59)+('9.Инвестиционна програма'!I$130*SUMIF('11.1.Амортиз.нови активи'!$B$12:$B$59,$B119,'11.1.Амортиз.нови активи'!AP$12:AP$59))</f>
        <v>0</v>
      </c>
      <c r="H119" s="1155">
        <f>G119+SUMIF('11.1.Амортиз.нови активи'!$B$12:$B$59,$B119,'11.1.Амортиз.нови активи'!H$12:H$59)+('9.Инвестиционна програма'!J$130*SUMIF('11.1.Амортиз.нови активи'!$B$12:$B$59,$B119,'11.1.Амортиз.нови активи'!AQ$12:AQ$59))</f>
        <v>0</v>
      </c>
      <c r="I119" s="1155">
        <f>H119+SUMIF('11.1.Амортиз.нови активи'!$B$12:$B$59,$B119,'11.1.Амортиз.нови активи'!I$12:I$59)+('9.Инвестиционна програма'!K$130*SUMIF('11.1.Амортиз.нови активи'!$B$12:$B$59,$B119,'11.1.Амортиз.нови активи'!AR$12:AR$59))</f>
        <v>0</v>
      </c>
      <c r="J119" s="1155">
        <f>I119+SUMIF('11.1.Амортиз.нови активи'!$B$12:$B$59,$B119,'11.1.Амортиз.нови активи'!J$12:J$59)+('9.Инвестиционна програма'!L$130*SUMIF('11.1.Амортиз.нови активи'!$B$12:$B$59,$B119,'11.1.Амортиз.нови активи'!AS$12:AS$59))</f>
        <v>0</v>
      </c>
      <c r="K119" s="2793">
        <f>J119+SUMIF('11.1.Амортиз.нови активи'!$B$12:$B$59,$B119,'11.1.Амортиз.нови активи'!K$12:K$59)+('9.Инвестиционна програма'!M$130*SUMIF('11.1.Амортиз.нови активи'!$B$12:$B$59,$B119,'11.1.Амортиз.нови активи'!AT$12:AT$59))</f>
        <v>0</v>
      </c>
      <c r="L119" s="4738">
        <f>+'11.3. ДА Базова година'!L99</f>
        <v>0</v>
      </c>
      <c r="M119" s="2792">
        <f>L119+SUMIF('11.1.Амортиз.нови активи'!$B$12:$B$59,$B119,'11.1.Амортиз.нови активи'!M$12:M$59)+('9.Инвестиционна програма'!H$131*SUMIF('11.1.Амортиз.нови активи'!$B$12:$B$59,$B119,'11.1.Амортиз.нови активи'!AO$12:AO$59))</f>
        <v>0</v>
      </c>
      <c r="N119" s="1155">
        <f>M119+SUMIF('11.1.Амортиз.нови активи'!$B$12:$B$59,$B119,'11.1.Амортиз.нови активи'!N$12:N$59)+('9.Инвестиционна програма'!I$131*SUMIF('11.1.Амортиз.нови активи'!$B$12:$B$59,$B119,'11.1.Амортиз.нови активи'!AP$12:AP$59))</f>
        <v>0</v>
      </c>
      <c r="O119" s="1155">
        <f>N119+SUMIF('11.1.Амортиз.нови активи'!$B$12:$B$59,$B119,'11.1.Амортиз.нови активи'!O$12:O$59)+('9.Инвестиционна програма'!J$131*SUMIF('11.1.Амортиз.нови активи'!$B$12:$B$59,$B119,'11.1.Амортиз.нови активи'!AQ$12:AQ$59))</f>
        <v>0</v>
      </c>
      <c r="P119" s="1155">
        <f>O119+SUMIF('11.1.Амортиз.нови активи'!$B$12:$B$59,$B119,'11.1.Амортиз.нови активи'!P$12:P$59)+('9.Инвестиционна програма'!K$131*SUMIF('11.1.Амортиз.нови активи'!$B$12:$B$59,$B119,'11.1.Амортиз.нови активи'!AR$12:AR$59))</f>
        <v>0</v>
      </c>
      <c r="Q119" s="1155">
        <f>P119+SUMIF('11.1.Амортиз.нови активи'!$B$12:$B$59,$B119,'11.1.Амортиз.нови активи'!Q$12:Q$59)+('9.Инвестиционна програма'!L$131*SUMIF('11.1.Амортиз.нови активи'!$B$12:$B$59,$B119,'11.1.Амортиз.нови активи'!AS$12:AS$59))</f>
        <v>0</v>
      </c>
      <c r="R119" s="2793">
        <f>Q119+SUMIF('11.1.Амортиз.нови активи'!$B$12:$B$59,$B119,'11.1.Амортиз.нови активи'!R$12:R$59)+('9.Инвестиционна програма'!M$131*SUMIF('11.1.Амортиз.нови активи'!$B$12:$B$59,$B119,'11.1.Амортиз.нови активи'!AT$12:AT$59))</f>
        <v>0</v>
      </c>
      <c r="S119" s="4738">
        <f>+'11.3. ДА Базова година'!P99</f>
        <v>0</v>
      </c>
      <c r="T119" s="2792">
        <f>S119+SUMIF('11.1.Амортиз.нови активи'!$B$12:$B$59,$B119,'11.1.Амортиз.нови активи'!T$12:T$59)+('9.Инвестиционна програма'!H$132*SUMIF('11.1.Амортиз.нови активи'!$B$12:$B$59,$B119,'11.1.Амортиз.нови активи'!AO$12:AO$59))</f>
        <v>0</v>
      </c>
      <c r="U119" s="1155">
        <f>T119+SUMIF('11.1.Амортиз.нови активи'!$B$12:$B$59,$B119,'11.1.Амортиз.нови активи'!U$12:U$59)+('9.Инвестиционна програма'!I$132*SUMIF('11.1.Амортиз.нови активи'!$B$12:$B$59,$B119,'11.1.Амортиз.нови активи'!AP$12:AP$59))</f>
        <v>0</v>
      </c>
      <c r="V119" s="1155">
        <f>U119+SUMIF('11.1.Амортиз.нови активи'!$B$12:$B$59,$B119,'11.1.Амортиз.нови активи'!V$12:V$59)+('9.Инвестиционна програма'!J$132*SUMIF('11.1.Амортиз.нови активи'!$B$12:$B$59,$B119,'11.1.Амортиз.нови активи'!AQ$12:AQ$59))</f>
        <v>0</v>
      </c>
      <c r="W119" s="1155">
        <f>V119+SUMIF('11.1.Амортиз.нови активи'!$B$12:$B$59,$B119,'11.1.Амортиз.нови активи'!W$12:W$59)+('9.Инвестиционна програма'!K$132*SUMIF('11.1.Амортиз.нови активи'!$B$12:$B$59,$B119,'11.1.Амортиз.нови активи'!AR$12:AR$59))</f>
        <v>0</v>
      </c>
      <c r="X119" s="1155">
        <f>W119+SUMIF('11.1.Амортиз.нови активи'!$B$12:$B$59,$B119,'11.1.Амортиз.нови активи'!X$12:X$59)+('9.Инвестиционна програма'!L$132*SUMIF('11.1.Амортиз.нови активи'!$B$12:$B$59,$B119,'11.1.Амортиз.нови активи'!AS$12:AS$59))</f>
        <v>0</v>
      </c>
      <c r="Y119" s="2793">
        <f>X119+SUMIF('11.1.Амортиз.нови активи'!$B$12:$B$59,$B119,'11.1.Амортиз.нови активи'!Y$12:Y$59)+('9.Инвестиционна програма'!M$132*SUMIF('11.1.Амортиз.нови активи'!$B$12:$B$59,$B119,'11.1.Амортиз.нови активи'!AT$12:AT$59))</f>
        <v>0</v>
      </c>
      <c r="Z119" s="4738">
        <f>+'11.3. ДА Базова година'!T99</f>
        <v>0</v>
      </c>
      <c r="AA119" s="2792">
        <f>Z119+SUMIF('11.1.Амортиз.нови активи'!$B$12:$B$59,$B119,'11.1.Амортиз.нови активи'!AA$12:AA$59)</f>
        <v>0</v>
      </c>
      <c r="AB119" s="1155">
        <f>AA119+SUMIF('11.1.Амортиз.нови активи'!$B$12:$B$59,$B119,'11.1.Амортиз.нови активи'!AB$12:AB$59)</f>
        <v>0</v>
      </c>
      <c r="AC119" s="1155">
        <f>AB119+SUMIF('11.1.Амортиз.нови активи'!$B$12:$B$59,$B119,'11.1.Амортиз.нови активи'!AC$12:AC$59)</f>
        <v>0</v>
      </c>
      <c r="AD119" s="1155">
        <f>AC119+SUMIF('11.1.Амортиз.нови активи'!$B$12:$B$59,$B119,'11.1.Амортиз.нови активи'!AD$12:AD$59)</f>
        <v>0</v>
      </c>
      <c r="AE119" s="1155">
        <f>AD119+SUMIF('11.1.Амортиз.нови активи'!$B$12:$B$59,$B119,'11.1.Амортиз.нови активи'!AE$12:AE$59)</f>
        <v>0</v>
      </c>
      <c r="AF119" s="2793">
        <f>AE119+SUMIF('11.1.Амортиз.нови активи'!$B$12:$B$59,$B119,'11.1.Амортиз.нови активи'!AF$12:AF$59)</f>
        <v>0</v>
      </c>
      <c r="AG119" s="4738">
        <f>+'11.3. ДА Базова година'!X99</f>
        <v>0</v>
      </c>
      <c r="AH119" s="2792">
        <f>AG119+SUMIF('11.1.Амортиз.нови активи'!$B$12:$B$59,$B119,'11.1.Амортиз.нови активи'!AH$12:AH$59)</f>
        <v>0</v>
      </c>
      <c r="AI119" s="1155">
        <f>AH119+SUMIF('11.1.Амортиз.нови активи'!$B$12:$B$59,$B119,'11.1.Амортиз.нови активи'!AI$12:AI$59)</f>
        <v>0</v>
      </c>
      <c r="AJ119" s="1155">
        <f>AI119+SUMIF('11.1.Амортиз.нови активи'!$B$12:$B$59,$B119,'11.1.Амортиз.нови активи'!AJ$12:AJ$59)</f>
        <v>0</v>
      </c>
      <c r="AK119" s="1155">
        <f>AJ119+SUMIF('11.1.Амортиз.нови активи'!$B$12:$B$59,$B119,'11.1.Амортиз.нови активи'!AK$12:AK$59)</f>
        <v>0</v>
      </c>
      <c r="AL119" s="1155">
        <f>AK119+SUMIF('11.1.Амортиз.нови активи'!$B$12:$B$59,$B119,'11.1.Амортиз.нови активи'!AL$12:AL$59)</f>
        <v>0</v>
      </c>
      <c r="AM119" s="2793">
        <f>AL119+SUMIF('11.1.Амортиз.нови активи'!$B$12:$B$59,$B119,'11.1.Амортиз.нови активи'!AM$12:AM$59)</f>
        <v>0</v>
      </c>
      <c r="AN119" s="2681"/>
      <c r="AO119" s="2719"/>
      <c r="AP119" s="4775"/>
      <c r="AQ119" s="4794">
        <f t="shared" si="174"/>
        <v>0</v>
      </c>
      <c r="AR119" s="4794">
        <f t="shared" si="175"/>
        <v>0</v>
      </c>
      <c r="AS119" s="4794">
        <f t="shared" si="176"/>
        <v>0</v>
      </c>
      <c r="AT119" s="4794">
        <f t="shared" si="177"/>
        <v>0</v>
      </c>
      <c r="AU119" s="4794">
        <f t="shared" si="178"/>
        <v>0</v>
      </c>
      <c r="AV119" s="4794">
        <f t="shared" si="179"/>
        <v>0</v>
      </c>
      <c r="AW119" s="4794">
        <f t="shared" si="180"/>
        <v>0</v>
      </c>
      <c r="AX119" s="4794">
        <f t="shared" si="181"/>
        <v>0</v>
      </c>
      <c r="AY119" s="4794">
        <f t="shared" si="182"/>
        <v>0</v>
      </c>
      <c r="AZ119" s="4794">
        <f t="shared" si="183"/>
        <v>0</v>
      </c>
      <c r="BA119" s="4794">
        <f t="shared" si="184"/>
        <v>0</v>
      </c>
      <c r="BB119" s="4794">
        <f t="shared" si="185"/>
        <v>0</v>
      </c>
      <c r="BC119" s="4794">
        <f t="shared" si="186"/>
        <v>0</v>
      </c>
      <c r="BD119" s="4794">
        <f t="shared" si="187"/>
        <v>0</v>
      </c>
      <c r="BE119" s="4794">
        <f t="shared" si="188"/>
        <v>0</v>
      </c>
      <c r="BF119" s="4794">
        <f t="shared" si="189"/>
        <v>0</v>
      </c>
      <c r="BG119" s="4794">
        <f t="shared" si="190"/>
        <v>0</v>
      </c>
      <c r="BH119" s="4794">
        <f t="shared" si="191"/>
        <v>0</v>
      </c>
      <c r="BI119" s="4794">
        <f t="shared" si="192"/>
        <v>0</v>
      </c>
      <c r="BJ119" s="4794">
        <f t="shared" si="193"/>
        <v>0</v>
      </c>
      <c r="BK119" s="4794">
        <f t="shared" si="194"/>
        <v>0</v>
      </c>
      <c r="BL119" s="4794">
        <f t="shared" si="195"/>
        <v>0</v>
      </c>
      <c r="BM119" s="4794">
        <f t="shared" si="196"/>
        <v>0</v>
      </c>
      <c r="BN119" s="4794">
        <f t="shared" si="197"/>
        <v>0</v>
      </c>
      <c r="BO119" s="4794">
        <f t="shared" si="198"/>
        <v>0</v>
      </c>
      <c r="BP119" s="4794">
        <f t="shared" si="199"/>
        <v>0</v>
      </c>
      <c r="BQ119" s="4794">
        <f t="shared" si="200"/>
        <v>0</v>
      </c>
      <c r="BR119" s="4794">
        <f t="shared" si="201"/>
        <v>0</v>
      </c>
      <c r="BS119" s="4794">
        <f t="shared" si="202"/>
        <v>0</v>
      </c>
      <c r="BT119" s="4794">
        <f t="shared" si="203"/>
        <v>0</v>
      </c>
      <c r="BU119" s="4794">
        <f t="shared" si="204"/>
        <v>0</v>
      </c>
      <c r="BV119" s="4794">
        <f t="shared" si="205"/>
        <v>0</v>
      </c>
      <c r="BW119" s="4794">
        <f t="shared" si="206"/>
        <v>0</v>
      </c>
      <c r="BX119" s="4794">
        <f t="shared" si="207"/>
        <v>0</v>
      </c>
      <c r="BY119" s="4794">
        <f t="shared" si="208"/>
        <v>0</v>
      </c>
    </row>
    <row r="120" spans="1:77" s="1344" customFormat="1">
      <c r="A120" s="2741">
        <v>9</v>
      </c>
      <c r="B120" s="2684">
        <v>2040102</v>
      </c>
      <c r="C120" s="2740">
        <v>0.04</v>
      </c>
      <c r="D120" s="2714" t="s">
        <v>432</v>
      </c>
      <c r="E120" s="4738">
        <f>+'11.3. ДА Базова година'!H100</f>
        <v>0</v>
      </c>
      <c r="F120" s="2792">
        <f>E120+SUMIF('11.1.Амортиз.нови активи'!$B$12:$B$59,$B120,'11.1.Амортиз.нови активи'!F$12:F$59)+('9.Инвестиционна програма'!H$130*SUMIF('11.1.Амортиз.нови активи'!$B$12:$B$59,$B120,'11.1.Амортиз.нови активи'!AO$12:AO$59))</f>
        <v>0</v>
      </c>
      <c r="G120" s="1155">
        <f>F120+SUMIF('11.1.Амортиз.нови активи'!$B$12:$B$59,$B120,'11.1.Амортиз.нови активи'!G$12:G$59)+('9.Инвестиционна програма'!I$130*SUMIF('11.1.Амортиз.нови активи'!$B$12:$B$59,$B120,'11.1.Амортиз.нови активи'!AP$12:AP$59))</f>
        <v>0</v>
      </c>
      <c r="H120" s="1155">
        <f>G120+SUMIF('11.1.Амортиз.нови активи'!$B$12:$B$59,$B120,'11.1.Амортиз.нови активи'!H$12:H$59)+('9.Инвестиционна програма'!J$130*SUMIF('11.1.Амортиз.нови активи'!$B$12:$B$59,$B120,'11.1.Амортиз.нови активи'!AQ$12:AQ$59))</f>
        <v>0</v>
      </c>
      <c r="I120" s="1155">
        <f>H120+SUMIF('11.1.Амортиз.нови активи'!$B$12:$B$59,$B120,'11.1.Амортиз.нови активи'!I$12:I$59)+('9.Инвестиционна програма'!K$130*SUMIF('11.1.Амортиз.нови активи'!$B$12:$B$59,$B120,'11.1.Амортиз.нови активи'!AR$12:AR$59))</f>
        <v>0</v>
      </c>
      <c r="J120" s="1155">
        <f>I120+SUMIF('11.1.Амортиз.нови активи'!$B$12:$B$59,$B120,'11.1.Амортиз.нови активи'!J$12:J$59)+('9.Инвестиционна програма'!L$130*SUMIF('11.1.Амортиз.нови активи'!$B$12:$B$59,$B120,'11.1.Амортиз.нови активи'!AS$12:AS$59))</f>
        <v>0</v>
      </c>
      <c r="K120" s="2793">
        <f>J120+SUMIF('11.1.Амортиз.нови активи'!$B$12:$B$59,$B120,'11.1.Амортиз.нови активи'!K$12:K$59)+('9.Инвестиционна програма'!M$130*SUMIF('11.1.Амортиз.нови активи'!$B$12:$B$59,$B120,'11.1.Амортиз.нови активи'!AT$12:AT$59))</f>
        <v>0</v>
      </c>
      <c r="L120" s="4738">
        <f>+'11.3. ДА Базова година'!L100</f>
        <v>0</v>
      </c>
      <c r="M120" s="2792">
        <f>L120+SUMIF('11.1.Амортиз.нови активи'!$B$12:$B$59,$B120,'11.1.Амортиз.нови активи'!M$12:M$59)+('9.Инвестиционна програма'!H$131*SUMIF('11.1.Амортиз.нови активи'!$B$12:$B$59,$B120,'11.1.Амортиз.нови активи'!AO$12:AO$59))</f>
        <v>0</v>
      </c>
      <c r="N120" s="1155">
        <f>M120+SUMIF('11.1.Амортиз.нови активи'!$B$12:$B$59,$B120,'11.1.Амортиз.нови активи'!N$12:N$59)+('9.Инвестиционна програма'!I$131*SUMIF('11.1.Амортиз.нови активи'!$B$12:$B$59,$B120,'11.1.Амортиз.нови активи'!AP$12:AP$59))</f>
        <v>0</v>
      </c>
      <c r="O120" s="1155">
        <f>N120+SUMIF('11.1.Амортиз.нови активи'!$B$12:$B$59,$B120,'11.1.Амортиз.нови активи'!O$12:O$59)+('9.Инвестиционна програма'!J$131*SUMIF('11.1.Амортиз.нови активи'!$B$12:$B$59,$B120,'11.1.Амортиз.нови активи'!AQ$12:AQ$59))</f>
        <v>0</v>
      </c>
      <c r="P120" s="1155">
        <f>O120+SUMIF('11.1.Амортиз.нови активи'!$B$12:$B$59,$B120,'11.1.Амортиз.нови активи'!P$12:P$59)+('9.Инвестиционна програма'!K$131*SUMIF('11.1.Амортиз.нови активи'!$B$12:$B$59,$B120,'11.1.Амортиз.нови активи'!AR$12:AR$59))</f>
        <v>0</v>
      </c>
      <c r="Q120" s="1155">
        <f>P120+SUMIF('11.1.Амортиз.нови активи'!$B$12:$B$59,$B120,'11.1.Амортиз.нови активи'!Q$12:Q$59)+('9.Инвестиционна програма'!L$131*SUMIF('11.1.Амортиз.нови активи'!$B$12:$B$59,$B120,'11.1.Амортиз.нови активи'!AS$12:AS$59))</f>
        <v>0</v>
      </c>
      <c r="R120" s="2793">
        <f>Q120+SUMIF('11.1.Амортиз.нови активи'!$B$12:$B$59,$B120,'11.1.Амортиз.нови активи'!R$12:R$59)+('9.Инвестиционна програма'!M$131*SUMIF('11.1.Амортиз.нови активи'!$B$12:$B$59,$B120,'11.1.Амортиз.нови активи'!AT$12:AT$59))</f>
        <v>0</v>
      </c>
      <c r="S120" s="4738">
        <f>+'11.3. ДА Базова година'!P100</f>
        <v>0</v>
      </c>
      <c r="T120" s="2792">
        <f>S120+SUMIF('11.1.Амортиз.нови активи'!$B$12:$B$59,$B120,'11.1.Амортиз.нови активи'!T$12:T$59)+('9.Инвестиционна програма'!H$132*SUMIF('11.1.Амортиз.нови активи'!$B$12:$B$59,$B120,'11.1.Амортиз.нови активи'!AO$12:AO$59))</f>
        <v>0</v>
      </c>
      <c r="U120" s="1155">
        <f>T120+SUMIF('11.1.Амортиз.нови активи'!$B$12:$B$59,$B120,'11.1.Амортиз.нови активи'!U$12:U$59)+('9.Инвестиционна програма'!I$132*SUMIF('11.1.Амортиз.нови активи'!$B$12:$B$59,$B120,'11.1.Амортиз.нови активи'!AP$12:AP$59))</f>
        <v>0</v>
      </c>
      <c r="V120" s="1155">
        <f>U120+SUMIF('11.1.Амортиз.нови активи'!$B$12:$B$59,$B120,'11.1.Амортиз.нови активи'!V$12:V$59)+('9.Инвестиционна програма'!J$132*SUMIF('11.1.Амортиз.нови активи'!$B$12:$B$59,$B120,'11.1.Амортиз.нови активи'!AQ$12:AQ$59))</f>
        <v>0</v>
      </c>
      <c r="W120" s="1155">
        <f>V120+SUMIF('11.1.Амортиз.нови активи'!$B$12:$B$59,$B120,'11.1.Амортиз.нови активи'!W$12:W$59)+('9.Инвестиционна програма'!K$132*SUMIF('11.1.Амортиз.нови активи'!$B$12:$B$59,$B120,'11.1.Амортиз.нови активи'!AR$12:AR$59))</f>
        <v>0</v>
      </c>
      <c r="X120" s="1155">
        <f>W120+SUMIF('11.1.Амортиз.нови активи'!$B$12:$B$59,$B120,'11.1.Амортиз.нови активи'!X$12:X$59)+('9.Инвестиционна програма'!L$132*SUMIF('11.1.Амортиз.нови активи'!$B$12:$B$59,$B120,'11.1.Амортиз.нови активи'!AS$12:AS$59))</f>
        <v>0</v>
      </c>
      <c r="Y120" s="2793">
        <f>X120+SUMIF('11.1.Амортиз.нови активи'!$B$12:$B$59,$B120,'11.1.Амортиз.нови активи'!Y$12:Y$59)+('9.Инвестиционна програма'!M$132*SUMIF('11.1.Амортиз.нови активи'!$B$12:$B$59,$B120,'11.1.Амортиз.нови активи'!AT$12:AT$59))</f>
        <v>0</v>
      </c>
      <c r="Z120" s="4738">
        <f>+'11.3. ДА Базова година'!T100</f>
        <v>0</v>
      </c>
      <c r="AA120" s="2792">
        <f>Z120+SUMIF('11.1.Амортиз.нови активи'!$B$12:$B$59,$B120,'11.1.Амортиз.нови активи'!AA$12:AA$59)</f>
        <v>0</v>
      </c>
      <c r="AB120" s="1155">
        <f>AA120+SUMIF('11.1.Амортиз.нови активи'!$B$12:$B$59,$B120,'11.1.Амортиз.нови активи'!AB$12:AB$59)</f>
        <v>0</v>
      </c>
      <c r="AC120" s="1155">
        <f>AB120+SUMIF('11.1.Амортиз.нови активи'!$B$12:$B$59,$B120,'11.1.Амортиз.нови активи'!AC$12:AC$59)</f>
        <v>0</v>
      </c>
      <c r="AD120" s="1155">
        <f>AC120+SUMIF('11.1.Амортиз.нови активи'!$B$12:$B$59,$B120,'11.1.Амортиз.нови активи'!AD$12:AD$59)</f>
        <v>0</v>
      </c>
      <c r="AE120" s="1155">
        <f>AD120+SUMIF('11.1.Амортиз.нови активи'!$B$12:$B$59,$B120,'11.1.Амортиз.нови активи'!AE$12:AE$59)</f>
        <v>0</v>
      </c>
      <c r="AF120" s="2793">
        <f>AE120+SUMIF('11.1.Амортиз.нови активи'!$B$12:$B$59,$B120,'11.1.Амортиз.нови активи'!AF$12:AF$59)</f>
        <v>0</v>
      </c>
      <c r="AG120" s="4738">
        <f>+'11.3. ДА Базова година'!X100</f>
        <v>0</v>
      </c>
      <c r="AH120" s="2792">
        <f>AG120+SUMIF('11.1.Амортиз.нови активи'!$B$12:$B$59,$B120,'11.1.Амортиз.нови активи'!AH$12:AH$59)</f>
        <v>0</v>
      </c>
      <c r="AI120" s="1155">
        <f>AH120+SUMIF('11.1.Амортиз.нови активи'!$B$12:$B$59,$B120,'11.1.Амортиз.нови активи'!AI$12:AI$59)</f>
        <v>0</v>
      </c>
      <c r="AJ120" s="1155">
        <f>AI120+SUMIF('11.1.Амортиз.нови активи'!$B$12:$B$59,$B120,'11.1.Амортиз.нови активи'!AJ$12:AJ$59)</f>
        <v>0</v>
      </c>
      <c r="AK120" s="1155">
        <f>AJ120+SUMIF('11.1.Амортиз.нови активи'!$B$12:$B$59,$B120,'11.1.Амортиз.нови активи'!AK$12:AK$59)</f>
        <v>0</v>
      </c>
      <c r="AL120" s="1155">
        <f>AK120+SUMIF('11.1.Амортиз.нови активи'!$B$12:$B$59,$B120,'11.1.Амортиз.нови активи'!AL$12:AL$59)</f>
        <v>0</v>
      </c>
      <c r="AM120" s="2793">
        <f>AL120+SUMIF('11.1.Амортиз.нови активи'!$B$12:$B$59,$B120,'11.1.Амортиз.нови активи'!AM$12:AM$59)</f>
        <v>0</v>
      </c>
      <c r="AN120" s="2681"/>
      <c r="AO120" s="2719"/>
      <c r="AP120" s="4775"/>
      <c r="AQ120" s="4794">
        <f t="shared" si="174"/>
        <v>0</v>
      </c>
      <c r="AR120" s="4794">
        <f t="shared" si="175"/>
        <v>0</v>
      </c>
      <c r="AS120" s="4794">
        <f t="shared" si="176"/>
        <v>0</v>
      </c>
      <c r="AT120" s="4794">
        <f t="shared" si="177"/>
        <v>0</v>
      </c>
      <c r="AU120" s="4794">
        <f t="shared" si="178"/>
        <v>0</v>
      </c>
      <c r="AV120" s="4794">
        <f t="shared" si="179"/>
        <v>0</v>
      </c>
      <c r="AW120" s="4794">
        <f t="shared" si="180"/>
        <v>0</v>
      </c>
      <c r="AX120" s="4794">
        <f t="shared" si="181"/>
        <v>0</v>
      </c>
      <c r="AY120" s="4794">
        <f t="shared" si="182"/>
        <v>0</v>
      </c>
      <c r="AZ120" s="4794">
        <f t="shared" si="183"/>
        <v>0</v>
      </c>
      <c r="BA120" s="4794">
        <f t="shared" si="184"/>
        <v>0</v>
      </c>
      <c r="BB120" s="4794">
        <f t="shared" si="185"/>
        <v>0</v>
      </c>
      <c r="BC120" s="4794">
        <f t="shared" si="186"/>
        <v>0</v>
      </c>
      <c r="BD120" s="4794">
        <f t="shared" si="187"/>
        <v>0</v>
      </c>
      <c r="BE120" s="4794">
        <f t="shared" si="188"/>
        <v>0</v>
      </c>
      <c r="BF120" s="4794">
        <f t="shared" si="189"/>
        <v>0</v>
      </c>
      <c r="BG120" s="4794">
        <f t="shared" si="190"/>
        <v>0</v>
      </c>
      <c r="BH120" s="4794">
        <f t="shared" si="191"/>
        <v>0</v>
      </c>
      <c r="BI120" s="4794">
        <f t="shared" si="192"/>
        <v>0</v>
      </c>
      <c r="BJ120" s="4794">
        <f t="shared" si="193"/>
        <v>0</v>
      </c>
      <c r="BK120" s="4794">
        <f t="shared" si="194"/>
        <v>0</v>
      </c>
      <c r="BL120" s="4794">
        <f t="shared" si="195"/>
        <v>0</v>
      </c>
      <c r="BM120" s="4794">
        <f t="shared" si="196"/>
        <v>0</v>
      </c>
      <c r="BN120" s="4794">
        <f t="shared" si="197"/>
        <v>0</v>
      </c>
      <c r="BO120" s="4794">
        <f t="shared" si="198"/>
        <v>0</v>
      </c>
      <c r="BP120" s="4794">
        <f t="shared" si="199"/>
        <v>0</v>
      </c>
      <c r="BQ120" s="4794">
        <f t="shared" si="200"/>
        <v>0</v>
      </c>
      <c r="BR120" s="4794">
        <f t="shared" si="201"/>
        <v>0</v>
      </c>
      <c r="BS120" s="4794">
        <f t="shared" si="202"/>
        <v>0</v>
      </c>
      <c r="BT120" s="4794">
        <f t="shared" si="203"/>
        <v>0</v>
      </c>
      <c r="BU120" s="4794">
        <f t="shared" si="204"/>
        <v>0</v>
      </c>
      <c r="BV120" s="4794">
        <f t="shared" si="205"/>
        <v>0</v>
      </c>
      <c r="BW120" s="4794">
        <f t="shared" si="206"/>
        <v>0</v>
      </c>
      <c r="BX120" s="4794">
        <f t="shared" si="207"/>
        <v>0</v>
      </c>
      <c r="BY120" s="4794">
        <f t="shared" si="208"/>
        <v>0</v>
      </c>
    </row>
    <row r="121" spans="1:77" s="1344" customFormat="1">
      <c r="A121" s="2741">
        <v>10</v>
      </c>
      <c r="B121" s="2684">
        <v>2040201</v>
      </c>
      <c r="C121" s="2685">
        <v>0.02</v>
      </c>
      <c r="D121" s="2715" t="s">
        <v>738</v>
      </c>
      <c r="E121" s="4738">
        <f>+'11.3. ДА Базова година'!H101</f>
        <v>0</v>
      </c>
      <c r="F121" s="2792">
        <f>E121+SUMIF('11.1.Амортиз.нови активи'!$B$12:$B$59,$B121,'11.1.Амортиз.нови активи'!F$12:F$59)+('9.Инвестиционна програма'!H$130*SUMIF('11.1.Амортиз.нови активи'!$B$12:$B$59,$B121,'11.1.Амортиз.нови активи'!AO$12:AO$59))</f>
        <v>0</v>
      </c>
      <c r="G121" s="1155">
        <f>F121+SUMIF('11.1.Амортиз.нови активи'!$B$12:$B$59,$B121,'11.1.Амортиз.нови активи'!G$12:G$59)+('9.Инвестиционна програма'!I$130*SUMIF('11.1.Амортиз.нови активи'!$B$12:$B$59,$B121,'11.1.Амортиз.нови активи'!AP$12:AP$59))</f>
        <v>0</v>
      </c>
      <c r="H121" s="1155">
        <f>G121+SUMIF('11.1.Амортиз.нови активи'!$B$12:$B$59,$B121,'11.1.Амортиз.нови активи'!H$12:H$59)+('9.Инвестиционна програма'!J$130*SUMIF('11.1.Амортиз.нови активи'!$B$12:$B$59,$B121,'11.1.Амортиз.нови активи'!AQ$12:AQ$59))</f>
        <v>0</v>
      </c>
      <c r="I121" s="1155">
        <f>H121+SUMIF('11.1.Амортиз.нови активи'!$B$12:$B$59,$B121,'11.1.Амортиз.нови активи'!I$12:I$59)+('9.Инвестиционна програма'!K$130*SUMIF('11.1.Амортиз.нови активи'!$B$12:$B$59,$B121,'11.1.Амортиз.нови активи'!AR$12:AR$59))</f>
        <v>0</v>
      </c>
      <c r="J121" s="1155">
        <f>I121+SUMIF('11.1.Амортиз.нови активи'!$B$12:$B$59,$B121,'11.1.Амортиз.нови активи'!J$12:J$59)+('9.Инвестиционна програма'!L$130*SUMIF('11.1.Амортиз.нови активи'!$B$12:$B$59,$B121,'11.1.Амортиз.нови активи'!AS$12:AS$59))</f>
        <v>0</v>
      </c>
      <c r="K121" s="2793">
        <f>J121+SUMIF('11.1.Амортиз.нови активи'!$B$12:$B$59,$B121,'11.1.Амортиз.нови активи'!K$12:K$59)+('9.Инвестиционна програма'!M$130*SUMIF('11.1.Амортиз.нови активи'!$B$12:$B$59,$B121,'11.1.Амортиз.нови активи'!AT$12:AT$59))</f>
        <v>0</v>
      </c>
      <c r="L121" s="4738">
        <f>+'11.3. ДА Базова година'!L101</f>
        <v>0</v>
      </c>
      <c r="M121" s="2792">
        <f>L121+SUMIF('11.1.Амортиз.нови активи'!$B$12:$B$59,$B121,'11.1.Амортиз.нови активи'!M$12:M$59)+('9.Инвестиционна програма'!H$131*SUMIF('11.1.Амортиз.нови активи'!$B$12:$B$59,$B121,'11.1.Амортиз.нови активи'!AO$12:AO$59))</f>
        <v>0</v>
      </c>
      <c r="N121" s="1155">
        <f>M121+SUMIF('11.1.Амортиз.нови активи'!$B$12:$B$59,$B121,'11.1.Амортиз.нови активи'!N$12:N$59)+('9.Инвестиционна програма'!I$131*SUMIF('11.1.Амортиз.нови активи'!$B$12:$B$59,$B121,'11.1.Амортиз.нови активи'!AP$12:AP$59))</f>
        <v>0</v>
      </c>
      <c r="O121" s="1155">
        <f>N121+SUMIF('11.1.Амортиз.нови активи'!$B$12:$B$59,$B121,'11.1.Амортиз.нови активи'!O$12:O$59)+('9.Инвестиционна програма'!J$131*SUMIF('11.1.Амортиз.нови активи'!$B$12:$B$59,$B121,'11.1.Амортиз.нови активи'!AQ$12:AQ$59))</f>
        <v>0</v>
      </c>
      <c r="P121" s="1155">
        <f>O121+SUMIF('11.1.Амортиз.нови активи'!$B$12:$B$59,$B121,'11.1.Амортиз.нови активи'!P$12:P$59)+('9.Инвестиционна програма'!K$131*SUMIF('11.1.Амортиз.нови активи'!$B$12:$B$59,$B121,'11.1.Амортиз.нови активи'!AR$12:AR$59))</f>
        <v>0</v>
      </c>
      <c r="Q121" s="1155">
        <f>P121+SUMIF('11.1.Амортиз.нови активи'!$B$12:$B$59,$B121,'11.1.Амортиз.нови активи'!Q$12:Q$59)+('9.Инвестиционна програма'!L$131*SUMIF('11.1.Амортиз.нови активи'!$B$12:$B$59,$B121,'11.1.Амортиз.нови активи'!AS$12:AS$59))</f>
        <v>0</v>
      </c>
      <c r="R121" s="2793">
        <f>Q121+SUMIF('11.1.Амортиз.нови активи'!$B$12:$B$59,$B121,'11.1.Амортиз.нови активи'!R$12:R$59)+('9.Инвестиционна програма'!M$131*SUMIF('11.1.Амортиз.нови активи'!$B$12:$B$59,$B121,'11.1.Амортиз.нови активи'!AT$12:AT$59))</f>
        <v>0</v>
      </c>
      <c r="S121" s="4738">
        <f>+'11.3. ДА Базова година'!P101</f>
        <v>0</v>
      </c>
      <c r="T121" s="2792">
        <f>S121+SUMIF('11.1.Амортиз.нови активи'!$B$12:$B$59,$B121,'11.1.Амортиз.нови активи'!T$12:T$59)+('9.Инвестиционна програма'!H$132*SUMIF('11.1.Амортиз.нови активи'!$B$12:$B$59,$B121,'11.1.Амортиз.нови активи'!AO$12:AO$59))</f>
        <v>0</v>
      </c>
      <c r="U121" s="1155">
        <f>T121+SUMIF('11.1.Амортиз.нови активи'!$B$12:$B$59,$B121,'11.1.Амортиз.нови активи'!U$12:U$59)+('9.Инвестиционна програма'!I$132*SUMIF('11.1.Амортиз.нови активи'!$B$12:$B$59,$B121,'11.1.Амортиз.нови активи'!AP$12:AP$59))</f>
        <v>0</v>
      </c>
      <c r="V121" s="1155">
        <f>U121+SUMIF('11.1.Амортиз.нови активи'!$B$12:$B$59,$B121,'11.1.Амортиз.нови активи'!V$12:V$59)+('9.Инвестиционна програма'!J$132*SUMIF('11.1.Амортиз.нови активи'!$B$12:$B$59,$B121,'11.1.Амортиз.нови активи'!AQ$12:AQ$59))</f>
        <v>0</v>
      </c>
      <c r="W121" s="1155">
        <f>V121+SUMIF('11.1.Амортиз.нови активи'!$B$12:$B$59,$B121,'11.1.Амортиз.нови активи'!W$12:W$59)+('9.Инвестиционна програма'!K$132*SUMIF('11.1.Амортиз.нови активи'!$B$12:$B$59,$B121,'11.1.Амортиз.нови активи'!AR$12:AR$59))</f>
        <v>0</v>
      </c>
      <c r="X121" s="1155">
        <f>W121+SUMIF('11.1.Амортиз.нови активи'!$B$12:$B$59,$B121,'11.1.Амортиз.нови активи'!X$12:X$59)+('9.Инвестиционна програма'!L$132*SUMIF('11.1.Амортиз.нови активи'!$B$12:$B$59,$B121,'11.1.Амортиз.нови активи'!AS$12:AS$59))</f>
        <v>0</v>
      </c>
      <c r="Y121" s="2793">
        <f>X121+SUMIF('11.1.Амортиз.нови активи'!$B$12:$B$59,$B121,'11.1.Амортиз.нови активи'!Y$12:Y$59)+('9.Инвестиционна програма'!M$132*SUMIF('11.1.Амортиз.нови активи'!$B$12:$B$59,$B121,'11.1.Амортиз.нови активи'!AT$12:AT$59))</f>
        <v>0</v>
      </c>
      <c r="Z121" s="4738">
        <f>+'11.3. ДА Базова година'!T101</f>
        <v>0</v>
      </c>
      <c r="AA121" s="2792">
        <f>Z121+SUMIF('11.1.Амортиз.нови активи'!$B$12:$B$59,$B121,'11.1.Амортиз.нови активи'!AA$12:AA$59)</f>
        <v>0</v>
      </c>
      <c r="AB121" s="1155">
        <f>AA121+SUMIF('11.1.Амортиз.нови активи'!$B$12:$B$59,$B121,'11.1.Амортиз.нови активи'!AB$12:AB$59)</f>
        <v>0</v>
      </c>
      <c r="AC121" s="1155">
        <f>AB121+SUMIF('11.1.Амортиз.нови активи'!$B$12:$B$59,$B121,'11.1.Амортиз.нови активи'!AC$12:AC$59)</f>
        <v>0</v>
      </c>
      <c r="AD121" s="1155">
        <f>AC121+SUMIF('11.1.Амортиз.нови активи'!$B$12:$B$59,$B121,'11.1.Амортиз.нови активи'!AD$12:AD$59)</f>
        <v>0</v>
      </c>
      <c r="AE121" s="1155">
        <f>AD121+SUMIF('11.1.Амортиз.нови активи'!$B$12:$B$59,$B121,'11.1.Амортиз.нови активи'!AE$12:AE$59)</f>
        <v>0</v>
      </c>
      <c r="AF121" s="2793">
        <f>AE121+SUMIF('11.1.Амортиз.нови активи'!$B$12:$B$59,$B121,'11.1.Амортиз.нови активи'!AF$12:AF$59)</f>
        <v>0</v>
      </c>
      <c r="AG121" s="4738">
        <f>+'11.3. ДА Базова година'!X101</f>
        <v>0</v>
      </c>
      <c r="AH121" s="2792">
        <f>AG121+SUMIF('11.1.Амортиз.нови активи'!$B$12:$B$59,$B121,'11.1.Амортиз.нови активи'!AH$12:AH$59)</f>
        <v>0</v>
      </c>
      <c r="AI121" s="1155">
        <f>AH121+SUMIF('11.1.Амортиз.нови активи'!$B$12:$B$59,$B121,'11.1.Амортиз.нови активи'!AI$12:AI$59)</f>
        <v>0</v>
      </c>
      <c r="AJ121" s="1155">
        <f>AI121+SUMIF('11.1.Амортиз.нови активи'!$B$12:$B$59,$B121,'11.1.Амортиз.нови активи'!AJ$12:AJ$59)</f>
        <v>0</v>
      </c>
      <c r="AK121" s="1155">
        <f>AJ121+SUMIF('11.1.Амортиз.нови активи'!$B$12:$B$59,$B121,'11.1.Амортиз.нови активи'!AK$12:AK$59)</f>
        <v>0</v>
      </c>
      <c r="AL121" s="1155">
        <f>AK121+SUMIF('11.1.Амортиз.нови активи'!$B$12:$B$59,$B121,'11.1.Амортиз.нови активи'!AL$12:AL$59)</f>
        <v>0</v>
      </c>
      <c r="AM121" s="2793">
        <f>AL121+SUMIF('11.1.Амортиз.нови активи'!$B$12:$B$59,$B121,'11.1.Амортиз.нови активи'!AM$12:AM$59)</f>
        <v>0</v>
      </c>
      <c r="AN121" s="2681"/>
      <c r="AO121" s="2719"/>
      <c r="AP121" s="4775"/>
      <c r="AQ121" s="4794">
        <f t="shared" si="174"/>
        <v>0</v>
      </c>
      <c r="AR121" s="4794">
        <f t="shared" si="175"/>
        <v>0</v>
      </c>
      <c r="AS121" s="4794">
        <f t="shared" si="176"/>
        <v>0</v>
      </c>
      <c r="AT121" s="4794">
        <f t="shared" si="177"/>
        <v>0</v>
      </c>
      <c r="AU121" s="4794">
        <f t="shared" si="178"/>
        <v>0</v>
      </c>
      <c r="AV121" s="4794">
        <f t="shared" si="179"/>
        <v>0</v>
      </c>
      <c r="AW121" s="4794">
        <f t="shared" si="180"/>
        <v>0</v>
      </c>
      <c r="AX121" s="4794">
        <f t="shared" si="181"/>
        <v>0</v>
      </c>
      <c r="AY121" s="4794">
        <f t="shared" si="182"/>
        <v>0</v>
      </c>
      <c r="AZ121" s="4794">
        <f t="shared" si="183"/>
        <v>0</v>
      </c>
      <c r="BA121" s="4794">
        <f t="shared" si="184"/>
        <v>0</v>
      </c>
      <c r="BB121" s="4794">
        <f t="shared" si="185"/>
        <v>0</v>
      </c>
      <c r="BC121" s="4794">
        <f t="shared" si="186"/>
        <v>0</v>
      </c>
      <c r="BD121" s="4794">
        <f t="shared" si="187"/>
        <v>0</v>
      </c>
      <c r="BE121" s="4794">
        <f t="shared" si="188"/>
        <v>0</v>
      </c>
      <c r="BF121" s="4794">
        <f t="shared" si="189"/>
        <v>0</v>
      </c>
      <c r="BG121" s="4794">
        <f t="shared" si="190"/>
        <v>0</v>
      </c>
      <c r="BH121" s="4794">
        <f t="shared" si="191"/>
        <v>0</v>
      </c>
      <c r="BI121" s="4794">
        <f t="shared" si="192"/>
        <v>0</v>
      </c>
      <c r="BJ121" s="4794">
        <f t="shared" si="193"/>
        <v>0</v>
      </c>
      <c r="BK121" s="4794">
        <f t="shared" si="194"/>
        <v>0</v>
      </c>
      <c r="BL121" s="4794">
        <f t="shared" si="195"/>
        <v>0</v>
      </c>
      <c r="BM121" s="4794">
        <f t="shared" si="196"/>
        <v>0</v>
      </c>
      <c r="BN121" s="4794">
        <f t="shared" si="197"/>
        <v>0</v>
      </c>
      <c r="BO121" s="4794">
        <f t="shared" si="198"/>
        <v>0</v>
      </c>
      <c r="BP121" s="4794">
        <f t="shared" si="199"/>
        <v>0</v>
      </c>
      <c r="BQ121" s="4794">
        <f t="shared" si="200"/>
        <v>0</v>
      </c>
      <c r="BR121" s="4794">
        <f t="shared" si="201"/>
        <v>0</v>
      </c>
      <c r="BS121" s="4794">
        <f t="shared" si="202"/>
        <v>0</v>
      </c>
      <c r="BT121" s="4794">
        <f t="shared" si="203"/>
        <v>0</v>
      </c>
      <c r="BU121" s="4794">
        <f t="shared" si="204"/>
        <v>0</v>
      </c>
      <c r="BV121" s="4794">
        <f t="shared" si="205"/>
        <v>0</v>
      </c>
      <c r="BW121" s="4794">
        <f t="shared" si="206"/>
        <v>0</v>
      </c>
      <c r="BX121" s="4794">
        <f t="shared" si="207"/>
        <v>0</v>
      </c>
      <c r="BY121" s="4794">
        <f t="shared" si="208"/>
        <v>0</v>
      </c>
    </row>
    <row r="122" spans="1:77" s="1344" customFormat="1">
      <c r="A122" s="2741">
        <v>11</v>
      </c>
      <c r="B122" s="2684">
        <v>2040202</v>
      </c>
      <c r="C122" s="2685">
        <v>0.02</v>
      </c>
      <c r="D122" s="2715" t="s">
        <v>739</v>
      </c>
      <c r="E122" s="4738">
        <f>+'11.3. ДА Базова година'!H102</f>
        <v>231</v>
      </c>
      <c r="F122" s="2792">
        <f>E122+SUMIF('11.1.Амортиз.нови активи'!$B$12:$B$59,$B122,'11.1.Амортиз.нови активи'!F$12:F$59)+('9.Инвестиционна програма'!H$130*SUMIF('11.1.Амортиз.нови активи'!$B$12:$B$59,$B122,'11.1.Амортиз.нови активи'!AO$12:AO$59))</f>
        <v>331</v>
      </c>
      <c r="G122" s="1155">
        <f>F122+SUMIF('11.1.Амортиз.нови активи'!$B$12:$B$59,$B122,'11.1.Амортиз.нови активи'!G$12:G$59)+('9.Инвестиционна програма'!I$130*SUMIF('11.1.Амортиз.нови активи'!$B$12:$B$59,$B122,'11.1.Амортиз.нови активи'!AP$12:AP$59))</f>
        <v>381</v>
      </c>
      <c r="H122" s="1155">
        <f>G122+SUMIF('11.1.Амортиз.нови активи'!$B$12:$B$59,$B122,'11.1.Амортиз.нови активи'!H$12:H$59)+('9.Инвестиционна програма'!J$130*SUMIF('11.1.Амортиз.нови активи'!$B$12:$B$59,$B122,'11.1.Амортиз.нови активи'!AQ$12:AQ$59))</f>
        <v>411</v>
      </c>
      <c r="I122" s="1155">
        <f>H122+SUMIF('11.1.Амортиз.нови активи'!$B$12:$B$59,$B122,'11.1.Амортиз.нови активи'!I$12:I$59)+('9.Инвестиционна програма'!K$130*SUMIF('11.1.Амортиз.нови активи'!$B$12:$B$59,$B122,'11.1.Амортиз.нови активи'!AR$12:AR$59))</f>
        <v>441</v>
      </c>
      <c r="J122" s="1155">
        <f>I122+SUMIF('11.1.Амортиз.нови активи'!$B$12:$B$59,$B122,'11.1.Амортиз.нови активи'!J$12:J$59)+('9.Инвестиционна програма'!L$130*SUMIF('11.1.Амортиз.нови активи'!$B$12:$B$59,$B122,'11.1.Амортиз.нови активи'!AS$12:AS$59))</f>
        <v>471</v>
      </c>
      <c r="K122" s="2793">
        <f>J122+SUMIF('11.1.Амортиз.нови активи'!$B$12:$B$59,$B122,'11.1.Амортиз.нови активи'!K$12:K$59)+('9.Инвестиционна програма'!M$130*SUMIF('11.1.Амортиз.нови активи'!$B$12:$B$59,$B122,'11.1.Амортиз.нови активи'!AT$12:AT$59))</f>
        <v>501</v>
      </c>
      <c r="L122" s="4738">
        <f>+'11.3. ДА Базова година'!L102</f>
        <v>0</v>
      </c>
      <c r="M122" s="2792">
        <f>L122+SUMIF('11.1.Амортиз.нови активи'!$B$12:$B$59,$B122,'11.1.Амортиз.нови активи'!M$12:M$59)+('9.Инвестиционна програма'!H$131*SUMIF('11.1.Амортиз.нови активи'!$B$12:$B$59,$B122,'11.1.Амортиз.нови активи'!AO$12:AO$59))</f>
        <v>0</v>
      </c>
      <c r="N122" s="1155">
        <f>M122+SUMIF('11.1.Амортиз.нови активи'!$B$12:$B$59,$B122,'11.1.Амортиз.нови активи'!N$12:N$59)+('9.Инвестиционна програма'!I$131*SUMIF('11.1.Амортиз.нови активи'!$B$12:$B$59,$B122,'11.1.Амортиз.нови активи'!AP$12:AP$59))</f>
        <v>0</v>
      </c>
      <c r="O122" s="1155">
        <f>N122+SUMIF('11.1.Амортиз.нови активи'!$B$12:$B$59,$B122,'11.1.Амортиз.нови активи'!O$12:O$59)+('9.Инвестиционна програма'!J$131*SUMIF('11.1.Амортиз.нови активи'!$B$12:$B$59,$B122,'11.1.Амортиз.нови активи'!AQ$12:AQ$59))</f>
        <v>0</v>
      </c>
      <c r="P122" s="1155">
        <f>O122+SUMIF('11.1.Амортиз.нови активи'!$B$12:$B$59,$B122,'11.1.Амортиз.нови активи'!P$12:P$59)+('9.Инвестиционна програма'!K$131*SUMIF('11.1.Амортиз.нови активи'!$B$12:$B$59,$B122,'11.1.Амортиз.нови активи'!AR$12:AR$59))</f>
        <v>0</v>
      </c>
      <c r="Q122" s="1155">
        <f>P122+SUMIF('11.1.Амортиз.нови активи'!$B$12:$B$59,$B122,'11.1.Амортиз.нови активи'!Q$12:Q$59)+('9.Инвестиционна програма'!L$131*SUMIF('11.1.Амортиз.нови активи'!$B$12:$B$59,$B122,'11.1.Амортиз.нови активи'!AS$12:AS$59))</f>
        <v>0</v>
      </c>
      <c r="R122" s="2793">
        <f>Q122+SUMIF('11.1.Амортиз.нови активи'!$B$12:$B$59,$B122,'11.1.Амортиз.нови активи'!R$12:R$59)+('9.Инвестиционна програма'!M$131*SUMIF('11.1.Амортиз.нови активи'!$B$12:$B$59,$B122,'11.1.Амортиз.нови активи'!AT$12:AT$59))</f>
        <v>0</v>
      </c>
      <c r="S122" s="4738">
        <f>+'11.3. ДА Базова година'!P102</f>
        <v>0</v>
      </c>
      <c r="T122" s="2792">
        <f>S122+SUMIF('11.1.Амортиз.нови активи'!$B$12:$B$59,$B122,'11.1.Амортиз.нови активи'!T$12:T$59)+('9.Инвестиционна програма'!H$132*SUMIF('11.1.Амортиз.нови активи'!$B$12:$B$59,$B122,'11.1.Амортиз.нови активи'!AO$12:AO$59))</f>
        <v>0</v>
      </c>
      <c r="U122" s="1155">
        <f>T122+SUMIF('11.1.Амортиз.нови активи'!$B$12:$B$59,$B122,'11.1.Амортиз.нови активи'!U$12:U$59)+('9.Инвестиционна програма'!I$132*SUMIF('11.1.Амортиз.нови активи'!$B$12:$B$59,$B122,'11.1.Амортиз.нови активи'!AP$12:AP$59))</f>
        <v>0</v>
      </c>
      <c r="V122" s="1155">
        <f>U122+SUMIF('11.1.Амортиз.нови активи'!$B$12:$B$59,$B122,'11.1.Амортиз.нови активи'!V$12:V$59)+('9.Инвестиционна програма'!J$132*SUMIF('11.1.Амортиз.нови активи'!$B$12:$B$59,$B122,'11.1.Амортиз.нови активи'!AQ$12:AQ$59))</f>
        <v>0</v>
      </c>
      <c r="W122" s="1155">
        <f>V122+SUMIF('11.1.Амортиз.нови активи'!$B$12:$B$59,$B122,'11.1.Амортиз.нови активи'!W$12:W$59)+('9.Инвестиционна програма'!K$132*SUMIF('11.1.Амортиз.нови активи'!$B$12:$B$59,$B122,'11.1.Амортиз.нови активи'!AR$12:AR$59))</f>
        <v>0</v>
      </c>
      <c r="X122" s="1155">
        <f>W122+SUMIF('11.1.Амортиз.нови активи'!$B$12:$B$59,$B122,'11.1.Амортиз.нови активи'!X$12:X$59)+('9.Инвестиционна програма'!L$132*SUMIF('11.1.Амортиз.нови активи'!$B$12:$B$59,$B122,'11.1.Амортиз.нови активи'!AS$12:AS$59))</f>
        <v>0</v>
      </c>
      <c r="Y122" s="2793">
        <f>X122+SUMIF('11.1.Амортиз.нови активи'!$B$12:$B$59,$B122,'11.1.Амортиз.нови активи'!Y$12:Y$59)+('9.Инвестиционна програма'!M$132*SUMIF('11.1.Амортиз.нови активи'!$B$12:$B$59,$B122,'11.1.Амортиз.нови активи'!AT$12:AT$59))</f>
        <v>0</v>
      </c>
      <c r="Z122" s="4738">
        <f>+'11.3. ДА Базова година'!T102</f>
        <v>0</v>
      </c>
      <c r="AA122" s="2792">
        <f>Z122+SUMIF('11.1.Амортиз.нови активи'!$B$12:$B$59,$B122,'11.1.Амортиз.нови активи'!AA$12:AA$59)</f>
        <v>0</v>
      </c>
      <c r="AB122" s="1155">
        <f>AA122+SUMIF('11.1.Амортиз.нови активи'!$B$12:$B$59,$B122,'11.1.Амортиз.нови активи'!AB$12:AB$59)</f>
        <v>0</v>
      </c>
      <c r="AC122" s="1155">
        <f>AB122+SUMIF('11.1.Амортиз.нови активи'!$B$12:$B$59,$B122,'11.1.Амортиз.нови активи'!AC$12:AC$59)</f>
        <v>0</v>
      </c>
      <c r="AD122" s="1155">
        <f>AC122+SUMIF('11.1.Амортиз.нови активи'!$B$12:$B$59,$B122,'11.1.Амортиз.нови активи'!AD$12:AD$59)</f>
        <v>0</v>
      </c>
      <c r="AE122" s="1155">
        <f>AD122+SUMIF('11.1.Амортиз.нови активи'!$B$12:$B$59,$B122,'11.1.Амортиз.нови активи'!AE$12:AE$59)</f>
        <v>0</v>
      </c>
      <c r="AF122" s="2793">
        <f>AE122+SUMIF('11.1.Амортиз.нови активи'!$B$12:$B$59,$B122,'11.1.Амортиз.нови активи'!AF$12:AF$59)</f>
        <v>0</v>
      </c>
      <c r="AG122" s="4738">
        <f>+'11.3. ДА Базова година'!X102</f>
        <v>0</v>
      </c>
      <c r="AH122" s="2792">
        <f>AG122+SUMIF('11.1.Амортиз.нови активи'!$B$12:$B$59,$B122,'11.1.Амортиз.нови активи'!AH$12:AH$59)</f>
        <v>0</v>
      </c>
      <c r="AI122" s="1155">
        <f>AH122+SUMIF('11.1.Амортиз.нови активи'!$B$12:$B$59,$B122,'11.1.Амортиз.нови активи'!AI$12:AI$59)</f>
        <v>0</v>
      </c>
      <c r="AJ122" s="1155">
        <f>AI122+SUMIF('11.1.Амортиз.нови активи'!$B$12:$B$59,$B122,'11.1.Амортиз.нови активи'!AJ$12:AJ$59)</f>
        <v>0</v>
      </c>
      <c r="AK122" s="1155">
        <f>AJ122+SUMIF('11.1.Амортиз.нови активи'!$B$12:$B$59,$B122,'11.1.Амортиз.нови активи'!AK$12:AK$59)</f>
        <v>0</v>
      </c>
      <c r="AL122" s="1155">
        <f>AK122+SUMIF('11.1.Амортиз.нови активи'!$B$12:$B$59,$B122,'11.1.Амортиз.нови активи'!AL$12:AL$59)</f>
        <v>0</v>
      </c>
      <c r="AM122" s="2793">
        <f>AL122+SUMIF('11.1.Амортиз.нови активи'!$B$12:$B$59,$B122,'11.1.Амортиз.нови активи'!AM$12:AM$59)</f>
        <v>0</v>
      </c>
      <c r="AN122" s="2681"/>
      <c r="AO122" s="2719"/>
      <c r="AP122" s="4775"/>
      <c r="AQ122" s="4794">
        <f t="shared" si="174"/>
        <v>118.10842455632647</v>
      </c>
      <c r="AR122" s="4794">
        <f t="shared" si="175"/>
        <v>169.23761267594833</v>
      </c>
      <c r="AS122" s="4794">
        <f t="shared" si="176"/>
        <v>194.80220673575926</v>
      </c>
      <c r="AT122" s="4794">
        <f t="shared" si="177"/>
        <v>210.14096317164581</v>
      </c>
      <c r="AU122" s="4794">
        <f t="shared" si="178"/>
        <v>225.47971960753236</v>
      </c>
      <c r="AV122" s="4794">
        <f t="shared" si="179"/>
        <v>240.81847604341891</v>
      </c>
      <c r="AW122" s="4794">
        <f t="shared" si="180"/>
        <v>256.15723247930549</v>
      </c>
      <c r="AX122" s="4794">
        <f t="shared" si="181"/>
        <v>0</v>
      </c>
      <c r="AY122" s="4794">
        <f t="shared" si="182"/>
        <v>0</v>
      </c>
      <c r="AZ122" s="4794">
        <f t="shared" si="183"/>
        <v>0</v>
      </c>
      <c r="BA122" s="4794">
        <f t="shared" si="184"/>
        <v>0</v>
      </c>
      <c r="BB122" s="4794">
        <f t="shared" si="185"/>
        <v>0</v>
      </c>
      <c r="BC122" s="4794">
        <f t="shared" si="186"/>
        <v>0</v>
      </c>
      <c r="BD122" s="4794">
        <f t="shared" si="187"/>
        <v>0</v>
      </c>
      <c r="BE122" s="4794">
        <f t="shared" si="188"/>
        <v>0</v>
      </c>
      <c r="BF122" s="4794">
        <f t="shared" si="189"/>
        <v>0</v>
      </c>
      <c r="BG122" s="4794">
        <f t="shared" si="190"/>
        <v>0</v>
      </c>
      <c r="BH122" s="4794">
        <f t="shared" si="191"/>
        <v>0</v>
      </c>
      <c r="BI122" s="4794">
        <f t="shared" si="192"/>
        <v>0</v>
      </c>
      <c r="BJ122" s="4794">
        <f t="shared" si="193"/>
        <v>0</v>
      </c>
      <c r="BK122" s="4794">
        <f t="shared" si="194"/>
        <v>0</v>
      </c>
      <c r="BL122" s="4794">
        <f t="shared" si="195"/>
        <v>0</v>
      </c>
      <c r="BM122" s="4794">
        <f t="shared" si="196"/>
        <v>0</v>
      </c>
      <c r="BN122" s="4794">
        <f t="shared" si="197"/>
        <v>0</v>
      </c>
      <c r="BO122" s="4794">
        <f t="shared" si="198"/>
        <v>0</v>
      </c>
      <c r="BP122" s="4794">
        <f t="shared" si="199"/>
        <v>0</v>
      </c>
      <c r="BQ122" s="4794">
        <f t="shared" si="200"/>
        <v>0</v>
      </c>
      <c r="BR122" s="4794">
        <f t="shared" si="201"/>
        <v>0</v>
      </c>
      <c r="BS122" s="4794">
        <f t="shared" si="202"/>
        <v>0</v>
      </c>
      <c r="BT122" s="4794">
        <f t="shared" si="203"/>
        <v>0</v>
      </c>
      <c r="BU122" s="4794">
        <f t="shared" si="204"/>
        <v>0</v>
      </c>
      <c r="BV122" s="4794">
        <f t="shared" si="205"/>
        <v>0</v>
      </c>
      <c r="BW122" s="4794">
        <f t="shared" si="206"/>
        <v>0</v>
      </c>
      <c r="BX122" s="4794">
        <f t="shared" si="207"/>
        <v>0</v>
      </c>
      <c r="BY122" s="4794">
        <f t="shared" si="208"/>
        <v>0</v>
      </c>
    </row>
    <row r="123" spans="1:77" s="1344" customFormat="1">
      <c r="A123" s="2741">
        <v>12</v>
      </c>
      <c r="B123" s="2684">
        <v>2040203</v>
      </c>
      <c r="C123" s="2685">
        <v>0.02</v>
      </c>
      <c r="D123" s="2715" t="s">
        <v>418</v>
      </c>
      <c r="E123" s="4738">
        <f>+'11.3. ДА Базова година'!H103</f>
        <v>0</v>
      </c>
      <c r="F123" s="2792">
        <f>E123+SUMIF('11.1.Амортиз.нови активи'!$B$12:$B$59,$B123,'11.1.Амортиз.нови активи'!F$12:F$59)+('9.Инвестиционна програма'!H$130*SUMIF('11.1.Амортиз.нови активи'!$B$12:$B$59,$B123,'11.1.Амортиз.нови активи'!AO$12:AO$59))</f>
        <v>0</v>
      </c>
      <c r="G123" s="1155">
        <f>F123+SUMIF('11.1.Амортиз.нови активи'!$B$12:$B$59,$B123,'11.1.Амортиз.нови активи'!G$12:G$59)+('9.Инвестиционна програма'!I$130*SUMIF('11.1.Амортиз.нови активи'!$B$12:$B$59,$B123,'11.1.Амортиз.нови активи'!AP$12:AP$59))</f>
        <v>0</v>
      </c>
      <c r="H123" s="1155">
        <f>G123+SUMIF('11.1.Амортиз.нови активи'!$B$12:$B$59,$B123,'11.1.Амортиз.нови активи'!H$12:H$59)+('9.Инвестиционна програма'!J$130*SUMIF('11.1.Амортиз.нови активи'!$B$12:$B$59,$B123,'11.1.Амортиз.нови активи'!AQ$12:AQ$59))</f>
        <v>0</v>
      </c>
      <c r="I123" s="1155">
        <f>H123+SUMIF('11.1.Амортиз.нови активи'!$B$12:$B$59,$B123,'11.1.Амортиз.нови активи'!I$12:I$59)+('9.Инвестиционна програма'!K$130*SUMIF('11.1.Амортиз.нови активи'!$B$12:$B$59,$B123,'11.1.Амортиз.нови активи'!AR$12:AR$59))</f>
        <v>0</v>
      </c>
      <c r="J123" s="1155">
        <f>I123+SUMIF('11.1.Амортиз.нови активи'!$B$12:$B$59,$B123,'11.1.Амортиз.нови активи'!J$12:J$59)+('9.Инвестиционна програма'!L$130*SUMIF('11.1.Амортиз.нови активи'!$B$12:$B$59,$B123,'11.1.Амортиз.нови активи'!AS$12:AS$59))</f>
        <v>0</v>
      </c>
      <c r="K123" s="2793">
        <f>J123+SUMIF('11.1.Амортиз.нови активи'!$B$12:$B$59,$B123,'11.1.Амортиз.нови активи'!K$12:K$59)+('9.Инвестиционна програма'!M$130*SUMIF('11.1.Амортиз.нови активи'!$B$12:$B$59,$B123,'11.1.Амортиз.нови активи'!AT$12:AT$59))</f>
        <v>0</v>
      </c>
      <c r="L123" s="4738">
        <f>+'11.3. ДА Базова година'!L103</f>
        <v>0</v>
      </c>
      <c r="M123" s="2792">
        <f>L123+SUMIF('11.1.Амортиз.нови активи'!$B$12:$B$59,$B123,'11.1.Амортиз.нови активи'!M$12:M$59)+('9.Инвестиционна програма'!H$131*SUMIF('11.1.Амортиз.нови активи'!$B$12:$B$59,$B123,'11.1.Амортиз.нови активи'!AO$12:AO$59))</f>
        <v>0</v>
      </c>
      <c r="N123" s="1155">
        <f>M123+SUMIF('11.1.Амортиз.нови активи'!$B$12:$B$59,$B123,'11.1.Амортиз.нови активи'!N$12:N$59)+('9.Инвестиционна програма'!I$131*SUMIF('11.1.Амортиз.нови активи'!$B$12:$B$59,$B123,'11.1.Амортиз.нови активи'!AP$12:AP$59))</f>
        <v>0</v>
      </c>
      <c r="O123" s="1155">
        <f>N123+SUMIF('11.1.Амортиз.нови активи'!$B$12:$B$59,$B123,'11.1.Амортиз.нови активи'!O$12:O$59)+('9.Инвестиционна програма'!J$131*SUMIF('11.1.Амортиз.нови активи'!$B$12:$B$59,$B123,'11.1.Амортиз.нови активи'!AQ$12:AQ$59))</f>
        <v>0</v>
      </c>
      <c r="P123" s="1155">
        <f>O123+SUMIF('11.1.Амортиз.нови активи'!$B$12:$B$59,$B123,'11.1.Амортиз.нови активи'!P$12:P$59)+('9.Инвестиционна програма'!K$131*SUMIF('11.1.Амортиз.нови активи'!$B$12:$B$59,$B123,'11.1.Амортиз.нови активи'!AR$12:AR$59))</f>
        <v>0</v>
      </c>
      <c r="Q123" s="1155">
        <f>P123+SUMIF('11.1.Амортиз.нови активи'!$B$12:$B$59,$B123,'11.1.Амортиз.нови активи'!Q$12:Q$59)+('9.Инвестиционна програма'!L$131*SUMIF('11.1.Амортиз.нови активи'!$B$12:$B$59,$B123,'11.1.Амортиз.нови активи'!AS$12:AS$59))</f>
        <v>0</v>
      </c>
      <c r="R123" s="2793">
        <f>Q123+SUMIF('11.1.Амортиз.нови активи'!$B$12:$B$59,$B123,'11.1.Амортиз.нови активи'!R$12:R$59)+('9.Инвестиционна програма'!M$131*SUMIF('11.1.Амортиз.нови активи'!$B$12:$B$59,$B123,'11.1.Амортиз.нови активи'!AT$12:AT$59))</f>
        <v>0</v>
      </c>
      <c r="S123" s="4738">
        <f>+'11.3. ДА Базова година'!P103</f>
        <v>0</v>
      </c>
      <c r="T123" s="2792">
        <f>S123+SUMIF('11.1.Амортиз.нови активи'!$B$12:$B$59,$B123,'11.1.Амортиз.нови активи'!T$12:T$59)+('9.Инвестиционна програма'!H$132*SUMIF('11.1.Амортиз.нови активи'!$B$12:$B$59,$B123,'11.1.Амортиз.нови активи'!AO$12:AO$59))</f>
        <v>0</v>
      </c>
      <c r="U123" s="1155">
        <f>T123+SUMIF('11.1.Амортиз.нови активи'!$B$12:$B$59,$B123,'11.1.Амортиз.нови активи'!U$12:U$59)+('9.Инвестиционна програма'!I$132*SUMIF('11.1.Амортиз.нови активи'!$B$12:$B$59,$B123,'11.1.Амортиз.нови активи'!AP$12:AP$59))</f>
        <v>0</v>
      </c>
      <c r="V123" s="1155">
        <f>U123+SUMIF('11.1.Амортиз.нови активи'!$B$12:$B$59,$B123,'11.1.Амортиз.нови активи'!V$12:V$59)+('9.Инвестиционна програма'!J$132*SUMIF('11.1.Амортиз.нови активи'!$B$12:$B$59,$B123,'11.1.Амортиз.нови активи'!AQ$12:AQ$59))</f>
        <v>0</v>
      </c>
      <c r="W123" s="1155">
        <f>V123+SUMIF('11.1.Амортиз.нови активи'!$B$12:$B$59,$B123,'11.1.Амортиз.нови активи'!W$12:W$59)+('9.Инвестиционна програма'!K$132*SUMIF('11.1.Амортиз.нови активи'!$B$12:$B$59,$B123,'11.1.Амортиз.нови активи'!AR$12:AR$59))</f>
        <v>0</v>
      </c>
      <c r="X123" s="1155">
        <f>W123+SUMIF('11.1.Амортиз.нови активи'!$B$12:$B$59,$B123,'11.1.Амортиз.нови активи'!X$12:X$59)+('9.Инвестиционна програма'!L$132*SUMIF('11.1.Амортиз.нови активи'!$B$12:$B$59,$B123,'11.1.Амортиз.нови активи'!AS$12:AS$59))</f>
        <v>0</v>
      </c>
      <c r="Y123" s="2793">
        <f>X123+SUMIF('11.1.Амортиз.нови активи'!$B$12:$B$59,$B123,'11.1.Амортиз.нови активи'!Y$12:Y$59)+('9.Инвестиционна програма'!M$132*SUMIF('11.1.Амортиз.нови активи'!$B$12:$B$59,$B123,'11.1.Амортиз.нови активи'!AT$12:AT$59))</f>
        <v>0</v>
      </c>
      <c r="Z123" s="4738">
        <f>+'11.3. ДА Базова година'!T103</f>
        <v>0</v>
      </c>
      <c r="AA123" s="2792">
        <f>Z123+SUMIF('11.1.Амортиз.нови активи'!$B$12:$B$59,$B123,'11.1.Амортиз.нови активи'!AA$12:AA$59)</f>
        <v>0</v>
      </c>
      <c r="AB123" s="1155">
        <f>AA123+SUMIF('11.1.Амортиз.нови активи'!$B$12:$B$59,$B123,'11.1.Амортиз.нови активи'!AB$12:AB$59)</f>
        <v>0</v>
      </c>
      <c r="AC123" s="1155">
        <f>AB123+SUMIF('11.1.Амортиз.нови активи'!$B$12:$B$59,$B123,'11.1.Амортиз.нови активи'!AC$12:AC$59)</f>
        <v>0</v>
      </c>
      <c r="AD123" s="1155">
        <f>AC123+SUMIF('11.1.Амортиз.нови активи'!$B$12:$B$59,$B123,'11.1.Амортиз.нови активи'!AD$12:AD$59)</f>
        <v>0</v>
      </c>
      <c r="AE123" s="1155">
        <f>AD123+SUMIF('11.1.Амортиз.нови активи'!$B$12:$B$59,$B123,'11.1.Амортиз.нови активи'!AE$12:AE$59)</f>
        <v>0</v>
      </c>
      <c r="AF123" s="2793">
        <f>AE123+SUMIF('11.1.Амортиз.нови активи'!$B$12:$B$59,$B123,'11.1.Амортиз.нови активи'!AF$12:AF$59)</f>
        <v>0</v>
      </c>
      <c r="AG123" s="4738">
        <f>+'11.3. ДА Базова година'!X103</f>
        <v>0</v>
      </c>
      <c r="AH123" s="2792">
        <f>AG123+SUMIF('11.1.Амортиз.нови активи'!$B$12:$B$59,$B123,'11.1.Амортиз.нови активи'!AH$12:AH$59)</f>
        <v>0</v>
      </c>
      <c r="AI123" s="1155">
        <f>AH123+SUMIF('11.1.Амортиз.нови активи'!$B$12:$B$59,$B123,'11.1.Амортиз.нови активи'!AI$12:AI$59)</f>
        <v>0</v>
      </c>
      <c r="AJ123" s="1155">
        <f>AI123+SUMIF('11.1.Амортиз.нови активи'!$B$12:$B$59,$B123,'11.1.Амортиз.нови активи'!AJ$12:AJ$59)</f>
        <v>0</v>
      </c>
      <c r="AK123" s="1155">
        <f>AJ123+SUMIF('11.1.Амортиз.нови активи'!$B$12:$B$59,$B123,'11.1.Амортиз.нови активи'!AK$12:AK$59)</f>
        <v>0</v>
      </c>
      <c r="AL123" s="1155">
        <f>AK123+SUMIF('11.1.Амортиз.нови активи'!$B$12:$B$59,$B123,'11.1.Амортиз.нови активи'!AL$12:AL$59)</f>
        <v>0</v>
      </c>
      <c r="AM123" s="2793">
        <f>AL123+SUMIF('11.1.Амортиз.нови активи'!$B$12:$B$59,$B123,'11.1.Амортиз.нови активи'!AM$12:AM$59)</f>
        <v>0</v>
      </c>
      <c r="AN123" s="2681"/>
      <c r="AO123" s="2719"/>
      <c r="AP123" s="4775"/>
      <c r="AQ123" s="4794">
        <f t="shared" si="174"/>
        <v>0</v>
      </c>
      <c r="AR123" s="4794">
        <f t="shared" si="175"/>
        <v>0</v>
      </c>
      <c r="AS123" s="4794">
        <f t="shared" si="176"/>
        <v>0</v>
      </c>
      <c r="AT123" s="4794">
        <f t="shared" si="177"/>
        <v>0</v>
      </c>
      <c r="AU123" s="4794">
        <f t="shared" si="178"/>
        <v>0</v>
      </c>
      <c r="AV123" s="4794">
        <f t="shared" si="179"/>
        <v>0</v>
      </c>
      <c r="AW123" s="4794">
        <f t="shared" si="180"/>
        <v>0</v>
      </c>
      <c r="AX123" s="4794">
        <f t="shared" si="181"/>
        <v>0</v>
      </c>
      <c r="AY123" s="4794">
        <f t="shared" si="182"/>
        <v>0</v>
      </c>
      <c r="AZ123" s="4794">
        <f t="shared" si="183"/>
        <v>0</v>
      </c>
      <c r="BA123" s="4794">
        <f t="shared" si="184"/>
        <v>0</v>
      </c>
      <c r="BB123" s="4794">
        <f t="shared" si="185"/>
        <v>0</v>
      </c>
      <c r="BC123" s="4794">
        <f t="shared" si="186"/>
        <v>0</v>
      </c>
      <c r="BD123" s="4794">
        <f t="shared" si="187"/>
        <v>0</v>
      </c>
      <c r="BE123" s="4794">
        <f t="shared" si="188"/>
        <v>0</v>
      </c>
      <c r="BF123" s="4794">
        <f t="shared" si="189"/>
        <v>0</v>
      </c>
      <c r="BG123" s="4794">
        <f t="shared" si="190"/>
        <v>0</v>
      </c>
      <c r="BH123" s="4794">
        <f t="shared" si="191"/>
        <v>0</v>
      </c>
      <c r="BI123" s="4794">
        <f t="shared" si="192"/>
        <v>0</v>
      </c>
      <c r="BJ123" s="4794">
        <f t="shared" si="193"/>
        <v>0</v>
      </c>
      <c r="BK123" s="4794">
        <f t="shared" si="194"/>
        <v>0</v>
      </c>
      <c r="BL123" s="4794">
        <f t="shared" si="195"/>
        <v>0</v>
      </c>
      <c r="BM123" s="4794">
        <f t="shared" si="196"/>
        <v>0</v>
      </c>
      <c r="BN123" s="4794">
        <f t="shared" si="197"/>
        <v>0</v>
      </c>
      <c r="BO123" s="4794">
        <f t="shared" si="198"/>
        <v>0</v>
      </c>
      <c r="BP123" s="4794">
        <f t="shared" si="199"/>
        <v>0</v>
      </c>
      <c r="BQ123" s="4794">
        <f t="shared" si="200"/>
        <v>0</v>
      </c>
      <c r="BR123" s="4794">
        <f t="shared" si="201"/>
        <v>0</v>
      </c>
      <c r="BS123" s="4794">
        <f t="shared" si="202"/>
        <v>0</v>
      </c>
      <c r="BT123" s="4794">
        <f t="shared" si="203"/>
        <v>0</v>
      </c>
      <c r="BU123" s="4794">
        <f t="shared" si="204"/>
        <v>0</v>
      </c>
      <c r="BV123" s="4794">
        <f t="shared" si="205"/>
        <v>0</v>
      </c>
      <c r="BW123" s="4794">
        <f t="shared" si="206"/>
        <v>0</v>
      </c>
      <c r="BX123" s="4794">
        <f t="shared" si="207"/>
        <v>0</v>
      </c>
      <c r="BY123" s="4794">
        <f t="shared" si="208"/>
        <v>0</v>
      </c>
    </row>
    <row r="124" spans="1:77" s="1344" customFormat="1">
      <c r="A124" s="2741">
        <v>13</v>
      </c>
      <c r="B124" s="2684">
        <v>2040204</v>
      </c>
      <c r="C124" s="2685">
        <v>0.02</v>
      </c>
      <c r="D124" s="2714" t="s">
        <v>419</v>
      </c>
      <c r="E124" s="4738">
        <f>+'11.3. ДА Базова година'!H104</f>
        <v>46</v>
      </c>
      <c r="F124" s="2792">
        <f>E124+SUMIF('11.1.Амортиз.нови активи'!$B$12:$B$59,$B124,'11.1.Амортиз.нови активи'!F$12:F$59)+('9.Инвестиционна програма'!H$130*SUMIF('11.1.Амортиз.нови активи'!$B$12:$B$59,$B124,'11.1.Амортиз.нови активи'!AO$12:AO$59))</f>
        <v>46</v>
      </c>
      <c r="G124" s="1155">
        <f>F124+SUMIF('11.1.Амортиз.нови активи'!$B$12:$B$59,$B124,'11.1.Амортиз.нови активи'!G$12:G$59)+('9.Инвестиционна програма'!I$130*SUMIF('11.1.Амортиз.нови активи'!$B$12:$B$59,$B124,'11.1.Амортиз.нови активи'!AP$12:AP$59))</f>
        <v>46</v>
      </c>
      <c r="H124" s="1155">
        <f>G124+SUMIF('11.1.Амортиз.нови активи'!$B$12:$B$59,$B124,'11.1.Амортиз.нови активи'!H$12:H$59)+('9.Инвестиционна програма'!J$130*SUMIF('11.1.Амортиз.нови активи'!$B$12:$B$59,$B124,'11.1.Амортиз.нови активи'!AQ$12:AQ$59))</f>
        <v>46</v>
      </c>
      <c r="I124" s="1155">
        <f>H124+SUMIF('11.1.Амортиз.нови активи'!$B$12:$B$59,$B124,'11.1.Амортиз.нови активи'!I$12:I$59)+('9.Инвестиционна програма'!K$130*SUMIF('11.1.Амортиз.нови активи'!$B$12:$B$59,$B124,'11.1.Амортиз.нови активи'!AR$12:AR$59))</f>
        <v>46</v>
      </c>
      <c r="J124" s="1155">
        <f>I124+SUMIF('11.1.Амортиз.нови активи'!$B$12:$B$59,$B124,'11.1.Амортиз.нови активи'!J$12:J$59)+('9.Инвестиционна програма'!L$130*SUMIF('11.1.Амортиз.нови активи'!$B$12:$B$59,$B124,'11.1.Амортиз.нови активи'!AS$12:AS$59))</f>
        <v>46</v>
      </c>
      <c r="K124" s="2793">
        <f>J124+SUMIF('11.1.Амортиз.нови активи'!$B$12:$B$59,$B124,'11.1.Амортиз.нови активи'!K$12:K$59)+('9.Инвестиционна програма'!M$130*SUMIF('11.1.Амортиз.нови активи'!$B$12:$B$59,$B124,'11.1.Амортиз.нови активи'!AT$12:AT$59))</f>
        <v>46</v>
      </c>
      <c r="L124" s="4738">
        <f>+'11.3. ДА Базова година'!L104</f>
        <v>0</v>
      </c>
      <c r="M124" s="2792">
        <f>L124+SUMIF('11.1.Амортиз.нови активи'!$B$12:$B$59,$B124,'11.1.Амортиз.нови активи'!M$12:M$59)+('9.Инвестиционна програма'!H$131*SUMIF('11.1.Амортиз.нови активи'!$B$12:$B$59,$B124,'11.1.Амортиз.нови активи'!AO$12:AO$59))</f>
        <v>0</v>
      </c>
      <c r="N124" s="1155">
        <f>M124+SUMIF('11.1.Амортиз.нови активи'!$B$12:$B$59,$B124,'11.1.Амортиз.нови активи'!N$12:N$59)+('9.Инвестиционна програма'!I$131*SUMIF('11.1.Амортиз.нови активи'!$B$12:$B$59,$B124,'11.1.Амортиз.нови активи'!AP$12:AP$59))</f>
        <v>0</v>
      </c>
      <c r="O124" s="1155">
        <f>N124+SUMIF('11.1.Амортиз.нови активи'!$B$12:$B$59,$B124,'11.1.Амортиз.нови активи'!O$12:O$59)+('9.Инвестиционна програма'!J$131*SUMIF('11.1.Амортиз.нови активи'!$B$12:$B$59,$B124,'11.1.Амортиз.нови активи'!AQ$12:AQ$59))</f>
        <v>0</v>
      </c>
      <c r="P124" s="1155">
        <f>O124+SUMIF('11.1.Амортиз.нови активи'!$B$12:$B$59,$B124,'11.1.Амортиз.нови активи'!P$12:P$59)+('9.Инвестиционна програма'!K$131*SUMIF('11.1.Амортиз.нови активи'!$B$12:$B$59,$B124,'11.1.Амортиз.нови активи'!AR$12:AR$59))</f>
        <v>0</v>
      </c>
      <c r="Q124" s="1155">
        <f>P124+SUMIF('11.1.Амортиз.нови активи'!$B$12:$B$59,$B124,'11.1.Амортиз.нови активи'!Q$12:Q$59)+('9.Инвестиционна програма'!L$131*SUMIF('11.1.Амортиз.нови активи'!$B$12:$B$59,$B124,'11.1.Амортиз.нови активи'!AS$12:AS$59))</f>
        <v>0</v>
      </c>
      <c r="R124" s="2793">
        <f>Q124+SUMIF('11.1.Амортиз.нови активи'!$B$12:$B$59,$B124,'11.1.Амортиз.нови активи'!R$12:R$59)+('9.Инвестиционна програма'!M$131*SUMIF('11.1.Амортиз.нови активи'!$B$12:$B$59,$B124,'11.1.Амортиз.нови активи'!AT$12:AT$59))</f>
        <v>0</v>
      </c>
      <c r="S124" s="4738">
        <f>+'11.3. ДА Базова година'!P104</f>
        <v>0</v>
      </c>
      <c r="T124" s="2792">
        <f>S124+SUMIF('11.1.Амортиз.нови активи'!$B$12:$B$59,$B124,'11.1.Амортиз.нови активи'!T$12:T$59)+('9.Инвестиционна програма'!H$132*SUMIF('11.1.Амортиз.нови активи'!$B$12:$B$59,$B124,'11.1.Амортиз.нови активи'!AO$12:AO$59))</f>
        <v>0</v>
      </c>
      <c r="U124" s="1155">
        <f>T124+SUMIF('11.1.Амортиз.нови активи'!$B$12:$B$59,$B124,'11.1.Амортиз.нови активи'!U$12:U$59)+('9.Инвестиционна програма'!I$132*SUMIF('11.1.Амортиз.нови активи'!$B$12:$B$59,$B124,'11.1.Амортиз.нови активи'!AP$12:AP$59))</f>
        <v>0</v>
      </c>
      <c r="V124" s="1155">
        <f>U124+SUMIF('11.1.Амортиз.нови активи'!$B$12:$B$59,$B124,'11.1.Амортиз.нови активи'!V$12:V$59)+('9.Инвестиционна програма'!J$132*SUMIF('11.1.Амортиз.нови активи'!$B$12:$B$59,$B124,'11.1.Амортиз.нови активи'!AQ$12:AQ$59))</f>
        <v>0</v>
      </c>
      <c r="W124" s="1155">
        <f>V124+SUMIF('11.1.Амортиз.нови активи'!$B$12:$B$59,$B124,'11.1.Амортиз.нови активи'!W$12:W$59)+('9.Инвестиционна програма'!K$132*SUMIF('11.1.Амортиз.нови активи'!$B$12:$B$59,$B124,'11.1.Амортиз.нови активи'!AR$12:AR$59))</f>
        <v>0</v>
      </c>
      <c r="X124" s="1155">
        <f>W124+SUMIF('11.1.Амортиз.нови активи'!$B$12:$B$59,$B124,'11.1.Амортиз.нови активи'!X$12:X$59)+('9.Инвестиционна програма'!L$132*SUMIF('11.1.Амортиз.нови активи'!$B$12:$B$59,$B124,'11.1.Амортиз.нови активи'!AS$12:AS$59))</f>
        <v>0</v>
      </c>
      <c r="Y124" s="2793">
        <f>X124+SUMIF('11.1.Амортиз.нови активи'!$B$12:$B$59,$B124,'11.1.Амортиз.нови активи'!Y$12:Y$59)+('9.Инвестиционна програма'!M$132*SUMIF('11.1.Амортиз.нови активи'!$B$12:$B$59,$B124,'11.1.Амортиз.нови активи'!AT$12:AT$59))</f>
        <v>0</v>
      </c>
      <c r="Z124" s="4738">
        <f>+'11.3. ДА Базова година'!T104</f>
        <v>0</v>
      </c>
      <c r="AA124" s="2792">
        <f>Z124+SUMIF('11.1.Амортиз.нови активи'!$B$12:$B$59,$B124,'11.1.Амортиз.нови активи'!AA$12:AA$59)</f>
        <v>0</v>
      </c>
      <c r="AB124" s="1155">
        <f>AA124+SUMIF('11.1.Амортиз.нови активи'!$B$12:$B$59,$B124,'11.1.Амортиз.нови активи'!AB$12:AB$59)</f>
        <v>0</v>
      </c>
      <c r="AC124" s="1155">
        <f>AB124+SUMIF('11.1.Амортиз.нови активи'!$B$12:$B$59,$B124,'11.1.Амортиз.нови активи'!AC$12:AC$59)</f>
        <v>0</v>
      </c>
      <c r="AD124" s="1155">
        <f>AC124+SUMIF('11.1.Амортиз.нови активи'!$B$12:$B$59,$B124,'11.1.Амортиз.нови активи'!AD$12:AD$59)</f>
        <v>0</v>
      </c>
      <c r="AE124" s="1155">
        <f>AD124+SUMIF('11.1.Амортиз.нови активи'!$B$12:$B$59,$B124,'11.1.Амортиз.нови активи'!AE$12:AE$59)</f>
        <v>0</v>
      </c>
      <c r="AF124" s="2793">
        <f>AE124+SUMIF('11.1.Амортиз.нови активи'!$B$12:$B$59,$B124,'11.1.Амортиз.нови активи'!AF$12:AF$59)</f>
        <v>0</v>
      </c>
      <c r="AG124" s="4738">
        <f>+'11.3. ДА Базова година'!X104</f>
        <v>0</v>
      </c>
      <c r="AH124" s="2792">
        <f>AG124+SUMIF('11.1.Амортиз.нови активи'!$B$12:$B$59,$B124,'11.1.Амортиз.нови активи'!AH$12:AH$59)</f>
        <v>0</v>
      </c>
      <c r="AI124" s="1155">
        <f>AH124+SUMIF('11.1.Амортиз.нови активи'!$B$12:$B$59,$B124,'11.1.Амортиз.нови активи'!AI$12:AI$59)</f>
        <v>0</v>
      </c>
      <c r="AJ124" s="1155">
        <f>AI124+SUMIF('11.1.Амортиз.нови активи'!$B$12:$B$59,$B124,'11.1.Амортиз.нови активи'!AJ$12:AJ$59)</f>
        <v>0</v>
      </c>
      <c r="AK124" s="1155">
        <f>AJ124+SUMIF('11.1.Амортиз.нови активи'!$B$12:$B$59,$B124,'11.1.Амортиз.нови активи'!AK$12:AK$59)</f>
        <v>0</v>
      </c>
      <c r="AL124" s="1155">
        <f>AK124+SUMIF('11.1.Амортиз.нови активи'!$B$12:$B$59,$B124,'11.1.Амортиз.нови активи'!AL$12:AL$59)</f>
        <v>0</v>
      </c>
      <c r="AM124" s="2793">
        <f>AL124+SUMIF('11.1.Амортиз.нови активи'!$B$12:$B$59,$B124,'11.1.Амортиз.нови активи'!AM$12:AM$59)</f>
        <v>0</v>
      </c>
      <c r="AN124" s="2681"/>
      <c r="AO124" s="2719"/>
      <c r="AP124" s="4775"/>
      <c r="AQ124" s="4794">
        <f t="shared" si="174"/>
        <v>23.519426535026049</v>
      </c>
      <c r="AR124" s="4794">
        <f t="shared" si="175"/>
        <v>23.519426535026049</v>
      </c>
      <c r="AS124" s="4794">
        <f t="shared" si="176"/>
        <v>23.519426535026049</v>
      </c>
      <c r="AT124" s="4794">
        <f t="shared" si="177"/>
        <v>23.519426535026049</v>
      </c>
      <c r="AU124" s="4794">
        <f t="shared" si="178"/>
        <v>23.519426535026049</v>
      </c>
      <c r="AV124" s="4794">
        <f t="shared" si="179"/>
        <v>23.519426535026049</v>
      </c>
      <c r="AW124" s="4794">
        <f t="shared" si="180"/>
        <v>23.519426535026049</v>
      </c>
      <c r="AX124" s="4794">
        <f t="shared" si="181"/>
        <v>0</v>
      </c>
      <c r="AY124" s="4794">
        <f t="shared" si="182"/>
        <v>0</v>
      </c>
      <c r="AZ124" s="4794">
        <f t="shared" si="183"/>
        <v>0</v>
      </c>
      <c r="BA124" s="4794">
        <f t="shared" si="184"/>
        <v>0</v>
      </c>
      <c r="BB124" s="4794">
        <f t="shared" si="185"/>
        <v>0</v>
      </c>
      <c r="BC124" s="4794">
        <f t="shared" si="186"/>
        <v>0</v>
      </c>
      <c r="BD124" s="4794">
        <f t="shared" si="187"/>
        <v>0</v>
      </c>
      <c r="BE124" s="4794">
        <f t="shared" si="188"/>
        <v>0</v>
      </c>
      <c r="BF124" s="4794">
        <f t="shared" si="189"/>
        <v>0</v>
      </c>
      <c r="BG124" s="4794">
        <f t="shared" si="190"/>
        <v>0</v>
      </c>
      <c r="BH124" s="4794">
        <f t="shared" si="191"/>
        <v>0</v>
      </c>
      <c r="BI124" s="4794">
        <f t="shared" si="192"/>
        <v>0</v>
      </c>
      <c r="BJ124" s="4794">
        <f t="shared" si="193"/>
        <v>0</v>
      </c>
      <c r="BK124" s="4794">
        <f t="shared" si="194"/>
        <v>0</v>
      </c>
      <c r="BL124" s="4794">
        <f t="shared" si="195"/>
        <v>0</v>
      </c>
      <c r="BM124" s="4794">
        <f t="shared" si="196"/>
        <v>0</v>
      </c>
      <c r="BN124" s="4794">
        <f t="shared" si="197"/>
        <v>0</v>
      </c>
      <c r="BO124" s="4794">
        <f t="shared" si="198"/>
        <v>0</v>
      </c>
      <c r="BP124" s="4794">
        <f t="shared" si="199"/>
        <v>0</v>
      </c>
      <c r="BQ124" s="4794">
        <f t="shared" si="200"/>
        <v>0</v>
      </c>
      <c r="BR124" s="4794">
        <f t="shared" si="201"/>
        <v>0</v>
      </c>
      <c r="BS124" s="4794">
        <f t="shared" si="202"/>
        <v>0</v>
      </c>
      <c r="BT124" s="4794">
        <f t="shared" si="203"/>
        <v>0</v>
      </c>
      <c r="BU124" s="4794">
        <f t="shared" si="204"/>
        <v>0</v>
      </c>
      <c r="BV124" s="4794">
        <f t="shared" si="205"/>
        <v>0</v>
      </c>
      <c r="BW124" s="4794">
        <f t="shared" si="206"/>
        <v>0</v>
      </c>
      <c r="BX124" s="4794">
        <f t="shared" si="207"/>
        <v>0</v>
      </c>
      <c r="BY124" s="4794">
        <f t="shared" si="208"/>
        <v>0</v>
      </c>
    </row>
    <row r="125" spans="1:77" s="1344" customFormat="1">
      <c r="A125" s="2741">
        <v>14</v>
      </c>
      <c r="B125" s="2684">
        <v>2040205</v>
      </c>
      <c r="C125" s="2685">
        <v>0.02</v>
      </c>
      <c r="D125" s="2715" t="s">
        <v>420</v>
      </c>
      <c r="E125" s="4738">
        <f>+'11.3. ДА Базова година'!H105</f>
        <v>19094</v>
      </c>
      <c r="F125" s="2792">
        <f>E125+SUMIF('11.1.Амортиз.нови активи'!$B$12:$B$59,$B125,'11.1.Амортиз.нови активи'!F$12:F$59)+('9.Инвестиционна програма'!H$130*SUMIF('11.1.Амортиз.нови активи'!$B$12:$B$59,$B125,'11.1.Амортиз.нови активи'!AO$12:AO$59))</f>
        <v>23244</v>
      </c>
      <c r="G125" s="1155">
        <f>F125+SUMIF('11.1.Амортиз.нови активи'!$B$12:$B$59,$B125,'11.1.Амортиз.нови активи'!G$12:G$59)+('9.Инвестиционна програма'!I$130*SUMIF('11.1.Амортиз.нови активи'!$B$12:$B$59,$B125,'11.1.Амортиз.нови активи'!AP$12:AP$59))</f>
        <v>26494</v>
      </c>
      <c r="H125" s="1155">
        <f>G125+SUMIF('11.1.Амортиз.нови активи'!$B$12:$B$59,$B125,'11.1.Амортиз.нови активи'!H$12:H$59)+('9.Инвестиционна програма'!J$130*SUMIF('11.1.Амортиз.нови активи'!$B$12:$B$59,$B125,'11.1.Амортиз.нови активи'!AQ$12:AQ$59))</f>
        <v>29244</v>
      </c>
      <c r="I125" s="1155">
        <f>H125+SUMIF('11.1.Амортиз.нови активи'!$B$12:$B$59,$B125,'11.1.Амортиз.нови активи'!I$12:I$59)+('9.Инвестиционна програма'!K$130*SUMIF('11.1.Амортиз.нови активи'!$B$12:$B$59,$B125,'11.1.Амортиз.нови активи'!AR$12:AR$59))</f>
        <v>31924</v>
      </c>
      <c r="J125" s="1155">
        <f>I125+SUMIF('11.1.Амортиз.нови активи'!$B$12:$B$59,$B125,'11.1.Амортиз.нови активи'!J$12:J$59)+('9.Инвестиционна програма'!L$130*SUMIF('11.1.Амортиз.нови активи'!$B$12:$B$59,$B125,'11.1.Амортиз.нови активи'!AS$12:AS$59))</f>
        <v>34539</v>
      </c>
      <c r="K125" s="2793">
        <f>J125+SUMIF('11.1.Амортиз.нови активи'!$B$12:$B$59,$B125,'11.1.Амортиз.нови активи'!K$12:K$59)+('9.Инвестиционна програма'!M$130*SUMIF('11.1.Амортиз.нови активи'!$B$12:$B$59,$B125,'11.1.Амортиз.нови активи'!AT$12:AT$59))</f>
        <v>37289</v>
      </c>
      <c r="L125" s="4738">
        <f>+'11.3. ДА Базова година'!L105</f>
        <v>0</v>
      </c>
      <c r="M125" s="2792">
        <f>L125+SUMIF('11.1.Амортиз.нови активи'!$B$12:$B$59,$B125,'11.1.Амортиз.нови активи'!M$12:M$59)+('9.Инвестиционна програма'!H$131*SUMIF('11.1.Амортиз.нови активи'!$B$12:$B$59,$B125,'11.1.Амортиз.нови активи'!AO$12:AO$59))</f>
        <v>0</v>
      </c>
      <c r="N125" s="1155">
        <f>M125+SUMIF('11.1.Амортиз.нови активи'!$B$12:$B$59,$B125,'11.1.Амортиз.нови активи'!N$12:N$59)+('9.Инвестиционна програма'!I$131*SUMIF('11.1.Амортиз.нови активи'!$B$12:$B$59,$B125,'11.1.Амортиз.нови активи'!AP$12:AP$59))</f>
        <v>0</v>
      </c>
      <c r="O125" s="1155">
        <f>N125+SUMIF('11.1.Амортиз.нови активи'!$B$12:$B$59,$B125,'11.1.Амортиз.нови активи'!O$12:O$59)+('9.Инвестиционна програма'!J$131*SUMIF('11.1.Амортиз.нови активи'!$B$12:$B$59,$B125,'11.1.Амортиз.нови активи'!AQ$12:AQ$59))</f>
        <v>0</v>
      </c>
      <c r="P125" s="1155">
        <f>O125+SUMIF('11.1.Амортиз.нови активи'!$B$12:$B$59,$B125,'11.1.Амортиз.нови активи'!P$12:P$59)+('9.Инвестиционна програма'!K$131*SUMIF('11.1.Амортиз.нови активи'!$B$12:$B$59,$B125,'11.1.Амортиз.нови активи'!AR$12:AR$59))</f>
        <v>0</v>
      </c>
      <c r="Q125" s="1155">
        <f>P125+SUMIF('11.1.Амортиз.нови активи'!$B$12:$B$59,$B125,'11.1.Амортиз.нови активи'!Q$12:Q$59)+('9.Инвестиционна програма'!L$131*SUMIF('11.1.Амортиз.нови активи'!$B$12:$B$59,$B125,'11.1.Амортиз.нови активи'!AS$12:AS$59))</f>
        <v>0</v>
      </c>
      <c r="R125" s="2793">
        <f>Q125+SUMIF('11.1.Амортиз.нови активи'!$B$12:$B$59,$B125,'11.1.Амортиз.нови активи'!R$12:R$59)+('9.Инвестиционна програма'!M$131*SUMIF('11.1.Амортиз.нови активи'!$B$12:$B$59,$B125,'11.1.Амортиз.нови активи'!AT$12:AT$59))</f>
        <v>0</v>
      </c>
      <c r="S125" s="4738">
        <f>+'11.3. ДА Базова година'!P105</f>
        <v>0</v>
      </c>
      <c r="T125" s="2792">
        <f>S125+SUMIF('11.1.Амортиз.нови активи'!$B$12:$B$59,$B125,'11.1.Амортиз.нови активи'!T$12:T$59)+('9.Инвестиционна програма'!H$132*SUMIF('11.1.Амортиз.нови активи'!$B$12:$B$59,$B125,'11.1.Амортиз.нови активи'!AO$12:AO$59))</f>
        <v>0</v>
      </c>
      <c r="U125" s="1155">
        <f>T125+SUMIF('11.1.Амортиз.нови активи'!$B$12:$B$59,$B125,'11.1.Амортиз.нови активи'!U$12:U$59)+('9.Инвестиционна програма'!I$132*SUMIF('11.1.Амортиз.нови активи'!$B$12:$B$59,$B125,'11.1.Амортиз.нови активи'!AP$12:AP$59))</f>
        <v>0</v>
      </c>
      <c r="V125" s="1155">
        <f>U125+SUMIF('11.1.Амортиз.нови активи'!$B$12:$B$59,$B125,'11.1.Амортиз.нови активи'!V$12:V$59)+('9.Инвестиционна програма'!J$132*SUMIF('11.1.Амортиз.нови активи'!$B$12:$B$59,$B125,'11.1.Амортиз.нови активи'!AQ$12:AQ$59))</f>
        <v>0</v>
      </c>
      <c r="W125" s="1155">
        <f>V125+SUMIF('11.1.Амортиз.нови активи'!$B$12:$B$59,$B125,'11.1.Амортиз.нови активи'!W$12:W$59)+('9.Инвестиционна програма'!K$132*SUMIF('11.1.Амортиз.нови активи'!$B$12:$B$59,$B125,'11.1.Амортиз.нови активи'!AR$12:AR$59))</f>
        <v>0</v>
      </c>
      <c r="X125" s="1155">
        <f>W125+SUMIF('11.1.Амортиз.нови активи'!$B$12:$B$59,$B125,'11.1.Амортиз.нови активи'!X$12:X$59)+('9.Инвестиционна програма'!L$132*SUMIF('11.1.Амортиз.нови активи'!$B$12:$B$59,$B125,'11.1.Амортиз.нови активи'!AS$12:AS$59))</f>
        <v>0</v>
      </c>
      <c r="Y125" s="2793">
        <f>X125+SUMIF('11.1.Амортиз.нови активи'!$B$12:$B$59,$B125,'11.1.Амортиз.нови активи'!Y$12:Y$59)+('9.Инвестиционна програма'!M$132*SUMIF('11.1.Амортиз.нови активи'!$B$12:$B$59,$B125,'11.1.Амортиз.нови активи'!AT$12:AT$59))</f>
        <v>0</v>
      </c>
      <c r="Z125" s="4738">
        <f>+'11.3. ДА Базова година'!T105</f>
        <v>0</v>
      </c>
      <c r="AA125" s="2792">
        <f>Z125+SUMIF('11.1.Амортиз.нови активи'!$B$12:$B$59,$B125,'11.1.Амортиз.нови активи'!AA$12:AA$59)</f>
        <v>0</v>
      </c>
      <c r="AB125" s="1155">
        <f>AA125+SUMIF('11.1.Амортиз.нови активи'!$B$12:$B$59,$B125,'11.1.Амортиз.нови активи'!AB$12:AB$59)</f>
        <v>0</v>
      </c>
      <c r="AC125" s="1155">
        <f>AB125+SUMIF('11.1.Амортиз.нови активи'!$B$12:$B$59,$B125,'11.1.Амортиз.нови активи'!AC$12:AC$59)</f>
        <v>0</v>
      </c>
      <c r="AD125" s="1155">
        <f>AC125+SUMIF('11.1.Амортиз.нови активи'!$B$12:$B$59,$B125,'11.1.Амортиз.нови активи'!AD$12:AD$59)</f>
        <v>0</v>
      </c>
      <c r="AE125" s="1155">
        <f>AD125+SUMIF('11.1.Амортиз.нови активи'!$B$12:$B$59,$B125,'11.1.Амортиз.нови активи'!AE$12:AE$59)</f>
        <v>0</v>
      </c>
      <c r="AF125" s="2793">
        <f>AE125+SUMIF('11.1.Амортиз.нови активи'!$B$12:$B$59,$B125,'11.1.Амортиз.нови активи'!AF$12:AF$59)</f>
        <v>0</v>
      </c>
      <c r="AG125" s="4738">
        <f>+'11.3. ДА Базова година'!X105</f>
        <v>0</v>
      </c>
      <c r="AH125" s="2792">
        <f>AG125+SUMIF('11.1.Амортиз.нови активи'!$B$12:$B$59,$B125,'11.1.Амортиз.нови активи'!AH$12:AH$59)</f>
        <v>0</v>
      </c>
      <c r="AI125" s="1155">
        <f>AH125+SUMIF('11.1.Амортиз.нови активи'!$B$12:$B$59,$B125,'11.1.Амортиз.нови активи'!AI$12:AI$59)</f>
        <v>0</v>
      </c>
      <c r="AJ125" s="1155">
        <f>AI125+SUMIF('11.1.Амортиз.нови активи'!$B$12:$B$59,$B125,'11.1.Амортиз.нови активи'!AJ$12:AJ$59)</f>
        <v>0</v>
      </c>
      <c r="AK125" s="1155">
        <f>AJ125+SUMIF('11.1.Амортиз.нови активи'!$B$12:$B$59,$B125,'11.1.Амортиз.нови активи'!AK$12:AK$59)</f>
        <v>0</v>
      </c>
      <c r="AL125" s="1155">
        <f>AK125+SUMIF('11.1.Амортиз.нови активи'!$B$12:$B$59,$B125,'11.1.Амортиз.нови активи'!AL$12:AL$59)</f>
        <v>0</v>
      </c>
      <c r="AM125" s="2793">
        <f>AL125+SUMIF('11.1.Амортиз.нови активи'!$B$12:$B$59,$B125,'11.1.Амортиз.нови активи'!AM$12:AM$59)</f>
        <v>0</v>
      </c>
      <c r="AN125" s="2681"/>
      <c r="AO125" s="2719"/>
      <c r="AP125" s="4775"/>
      <c r="AQ125" s="4794">
        <f t="shared" si="174"/>
        <v>9762.6071795605967</v>
      </c>
      <c r="AR125" s="4794">
        <f t="shared" si="175"/>
        <v>11884.468486524902</v>
      </c>
      <c r="AS125" s="4794">
        <f t="shared" si="176"/>
        <v>13546.167100412613</v>
      </c>
      <c r="AT125" s="4794">
        <f t="shared" si="177"/>
        <v>14952.219773702214</v>
      </c>
      <c r="AU125" s="4794">
        <f t="shared" si="178"/>
        <v>16322.48201530808</v>
      </c>
      <c r="AV125" s="4794">
        <f t="shared" si="179"/>
        <v>17659.510284636191</v>
      </c>
      <c r="AW125" s="4794">
        <f t="shared" si="180"/>
        <v>19065.562957925791</v>
      </c>
      <c r="AX125" s="4794">
        <f t="shared" si="181"/>
        <v>0</v>
      </c>
      <c r="AY125" s="4794">
        <f t="shared" si="182"/>
        <v>0</v>
      </c>
      <c r="AZ125" s="4794">
        <f t="shared" si="183"/>
        <v>0</v>
      </c>
      <c r="BA125" s="4794">
        <f t="shared" si="184"/>
        <v>0</v>
      </c>
      <c r="BB125" s="4794">
        <f t="shared" si="185"/>
        <v>0</v>
      </c>
      <c r="BC125" s="4794">
        <f t="shared" si="186"/>
        <v>0</v>
      </c>
      <c r="BD125" s="4794">
        <f t="shared" si="187"/>
        <v>0</v>
      </c>
      <c r="BE125" s="4794">
        <f t="shared" si="188"/>
        <v>0</v>
      </c>
      <c r="BF125" s="4794">
        <f t="shared" si="189"/>
        <v>0</v>
      </c>
      <c r="BG125" s="4794">
        <f t="shared" si="190"/>
        <v>0</v>
      </c>
      <c r="BH125" s="4794">
        <f t="shared" si="191"/>
        <v>0</v>
      </c>
      <c r="BI125" s="4794">
        <f t="shared" si="192"/>
        <v>0</v>
      </c>
      <c r="BJ125" s="4794">
        <f t="shared" si="193"/>
        <v>0</v>
      </c>
      <c r="BK125" s="4794">
        <f t="shared" si="194"/>
        <v>0</v>
      </c>
      <c r="BL125" s="4794">
        <f t="shared" si="195"/>
        <v>0</v>
      </c>
      <c r="BM125" s="4794">
        <f t="shared" si="196"/>
        <v>0</v>
      </c>
      <c r="BN125" s="4794">
        <f t="shared" si="197"/>
        <v>0</v>
      </c>
      <c r="BO125" s="4794">
        <f t="shared" si="198"/>
        <v>0</v>
      </c>
      <c r="BP125" s="4794">
        <f t="shared" si="199"/>
        <v>0</v>
      </c>
      <c r="BQ125" s="4794">
        <f t="shared" si="200"/>
        <v>0</v>
      </c>
      <c r="BR125" s="4794">
        <f t="shared" si="201"/>
        <v>0</v>
      </c>
      <c r="BS125" s="4794">
        <f t="shared" si="202"/>
        <v>0</v>
      </c>
      <c r="BT125" s="4794">
        <f t="shared" si="203"/>
        <v>0</v>
      </c>
      <c r="BU125" s="4794">
        <f t="shared" si="204"/>
        <v>0</v>
      </c>
      <c r="BV125" s="4794">
        <f t="shared" si="205"/>
        <v>0</v>
      </c>
      <c r="BW125" s="4794">
        <f t="shared" si="206"/>
        <v>0</v>
      </c>
      <c r="BX125" s="4794">
        <f t="shared" si="207"/>
        <v>0</v>
      </c>
      <c r="BY125" s="4794">
        <f t="shared" si="208"/>
        <v>0</v>
      </c>
    </row>
    <row r="126" spans="1:77" s="1344" customFormat="1">
      <c r="A126" s="2741">
        <v>15</v>
      </c>
      <c r="B126" s="2684">
        <v>2040206</v>
      </c>
      <c r="C126" s="2685">
        <v>0.02</v>
      </c>
      <c r="D126" s="2720" t="s">
        <v>421</v>
      </c>
      <c r="E126" s="4738">
        <f>+'11.3. ДА Базова година'!H106</f>
        <v>0</v>
      </c>
      <c r="F126" s="2792">
        <f>E126+SUMIF('11.1.Амортиз.нови активи'!$B$12:$B$59,$B126,'11.1.Амортиз.нови активи'!F$12:F$59)+('9.Инвестиционна програма'!H$130*SUMIF('11.1.Амортиз.нови активи'!$B$12:$B$59,$B126,'11.1.Амортиз.нови активи'!AO$12:AO$59))</f>
        <v>0</v>
      </c>
      <c r="G126" s="1155">
        <f>F126+SUMIF('11.1.Амортиз.нови активи'!$B$12:$B$59,$B126,'11.1.Амортиз.нови активи'!G$12:G$59)+('9.Инвестиционна програма'!I$130*SUMIF('11.1.Амортиз.нови активи'!$B$12:$B$59,$B126,'11.1.Амортиз.нови активи'!AP$12:AP$59))</f>
        <v>0</v>
      </c>
      <c r="H126" s="1155">
        <f>G126+SUMIF('11.1.Амортиз.нови активи'!$B$12:$B$59,$B126,'11.1.Амортиз.нови активи'!H$12:H$59)+('9.Инвестиционна програма'!J$130*SUMIF('11.1.Амортиз.нови активи'!$B$12:$B$59,$B126,'11.1.Амортиз.нови активи'!AQ$12:AQ$59))</f>
        <v>0</v>
      </c>
      <c r="I126" s="1155">
        <f>H126+SUMIF('11.1.Амортиз.нови активи'!$B$12:$B$59,$B126,'11.1.Амортиз.нови активи'!I$12:I$59)+('9.Инвестиционна програма'!K$130*SUMIF('11.1.Амортиз.нови активи'!$B$12:$B$59,$B126,'11.1.Амортиз.нови активи'!AR$12:AR$59))</f>
        <v>0</v>
      </c>
      <c r="J126" s="1155">
        <f>I126+SUMIF('11.1.Амортиз.нови активи'!$B$12:$B$59,$B126,'11.1.Амортиз.нови активи'!J$12:J$59)+('9.Инвестиционна програма'!L$130*SUMIF('11.1.Амортиз.нови активи'!$B$12:$B$59,$B126,'11.1.Амортиз.нови активи'!AS$12:AS$59))</f>
        <v>0</v>
      </c>
      <c r="K126" s="2793">
        <f>J126+SUMIF('11.1.Амортиз.нови активи'!$B$12:$B$59,$B126,'11.1.Амортиз.нови активи'!K$12:K$59)+('9.Инвестиционна програма'!M$130*SUMIF('11.1.Амортиз.нови активи'!$B$12:$B$59,$B126,'11.1.Амортиз.нови активи'!AT$12:AT$59))</f>
        <v>0</v>
      </c>
      <c r="L126" s="4738">
        <f>+'11.3. ДА Базова година'!L106</f>
        <v>1509</v>
      </c>
      <c r="M126" s="2792">
        <f>L126+SUMIF('11.1.Амортиз.нови активи'!$B$12:$B$59,$B126,'11.1.Амортиз.нови активи'!M$12:M$59)+('9.Инвестиционна програма'!H$131*SUMIF('11.1.Амортиз.нови активи'!$B$12:$B$59,$B126,'11.1.Амортиз.нови активи'!AO$12:AO$59))</f>
        <v>1629</v>
      </c>
      <c r="N126" s="1155">
        <f>M126+SUMIF('11.1.Амортиз.нови активи'!$B$12:$B$59,$B126,'11.1.Амортиз.нови активи'!N$12:N$59)+('9.Инвестиционна програма'!I$131*SUMIF('11.1.Амортиз.нови активи'!$B$12:$B$59,$B126,'11.1.Амортиз.нови активи'!AP$12:AP$59))</f>
        <v>1789</v>
      </c>
      <c r="O126" s="1155">
        <f>N126+SUMIF('11.1.Амортиз.нови активи'!$B$12:$B$59,$B126,'11.1.Амортиз.нови активи'!O$12:O$59)+('9.Инвестиционна програма'!J$131*SUMIF('11.1.Амортиз.нови активи'!$B$12:$B$59,$B126,'11.1.Амортиз.нови активи'!AQ$12:AQ$59))</f>
        <v>1949</v>
      </c>
      <c r="P126" s="1155">
        <f>O126+SUMIF('11.1.Амортиз.нови активи'!$B$12:$B$59,$B126,'11.1.Амортиз.нови активи'!P$12:P$59)+('9.Инвестиционна програма'!K$131*SUMIF('11.1.Амортиз.нови активи'!$B$12:$B$59,$B126,'11.1.Амортиз.нови активи'!AR$12:AR$59))</f>
        <v>2109</v>
      </c>
      <c r="Q126" s="1155">
        <f>P126+SUMIF('11.1.Амортиз.нови активи'!$B$12:$B$59,$B126,'11.1.Амортиз.нови активи'!Q$12:Q$59)+('9.Инвестиционна програма'!L$131*SUMIF('11.1.Амортиз.нови активи'!$B$12:$B$59,$B126,'11.1.Амортиз.нови активи'!AS$12:AS$59))</f>
        <v>2259</v>
      </c>
      <c r="R126" s="2793">
        <f>Q126+SUMIF('11.1.Амортиз.нови активи'!$B$12:$B$59,$B126,'11.1.Амортиз.нови активи'!R$12:R$59)+('9.Инвестиционна програма'!M$131*SUMIF('11.1.Амортиз.нови активи'!$B$12:$B$59,$B126,'11.1.Амортиз.нови активи'!AT$12:AT$59))</f>
        <v>2409</v>
      </c>
      <c r="S126" s="4738">
        <f>+'11.3. ДА Базова година'!P106</f>
        <v>0</v>
      </c>
      <c r="T126" s="2792">
        <f>S126+SUMIF('11.1.Амортиз.нови активи'!$B$12:$B$59,$B126,'11.1.Амортиз.нови активи'!T$12:T$59)+('9.Инвестиционна програма'!H$132*SUMIF('11.1.Амортиз.нови активи'!$B$12:$B$59,$B126,'11.1.Амортиз.нови активи'!AO$12:AO$59))</f>
        <v>0</v>
      </c>
      <c r="U126" s="1155">
        <f>T126+SUMIF('11.1.Амортиз.нови активи'!$B$12:$B$59,$B126,'11.1.Амортиз.нови активи'!U$12:U$59)+('9.Инвестиционна програма'!I$132*SUMIF('11.1.Амортиз.нови активи'!$B$12:$B$59,$B126,'11.1.Амортиз.нови активи'!AP$12:AP$59))</f>
        <v>0</v>
      </c>
      <c r="V126" s="1155">
        <f>U126+SUMIF('11.1.Амортиз.нови активи'!$B$12:$B$59,$B126,'11.1.Амортиз.нови активи'!V$12:V$59)+('9.Инвестиционна програма'!J$132*SUMIF('11.1.Амортиз.нови активи'!$B$12:$B$59,$B126,'11.1.Амортиз.нови активи'!AQ$12:AQ$59))</f>
        <v>0</v>
      </c>
      <c r="W126" s="1155">
        <f>V126+SUMIF('11.1.Амортиз.нови активи'!$B$12:$B$59,$B126,'11.1.Амортиз.нови активи'!W$12:W$59)+('9.Инвестиционна програма'!K$132*SUMIF('11.1.Амортиз.нови активи'!$B$12:$B$59,$B126,'11.1.Амортиз.нови активи'!AR$12:AR$59))</f>
        <v>0</v>
      </c>
      <c r="X126" s="1155">
        <f>W126+SUMIF('11.1.Амортиз.нови активи'!$B$12:$B$59,$B126,'11.1.Амортиз.нови активи'!X$12:X$59)+('9.Инвестиционна програма'!L$132*SUMIF('11.1.Амортиз.нови активи'!$B$12:$B$59,$B126,'11.1.Амортиз.нови активи'!AS$12:AS$59))</f>
        <v>0</v>
      </c>
      <c r="Y126" s="2793">
        <f>X126+SUMIF('11.1.Амортиз.нови активи'!$B$12:$B$59,$B126,'11.1.Амортиз.нови активи'!Y$12:Y$59)+('9.Инвестиционна програма'!M$132*SUMIF('11.1.Амортиз.нови активи'!$B$12:$B$59,$B126,'11.1.Амортиз.нови активи'!AT$12:AT$59))</f>
        <v>0</v>
      </c>
      <c r="Z126" s="4738">
        <f>+'11.3. ДА Базова година'!T106</f>
        <v>0</v>
      </c>
      <c r="AA126" s="2792">
        <f>Z126+SUMIF('11.1.Амортиз.нови активи'!$B$12:$B$59,$B126,'11.1.Амортиз.нови активи'!AA$12:AA$59)</f>
        <v>0</v>
      </c>
      <c r="AB126" s="1155">
        <f>AA126+SUMIF('11.1.Амортиз.нови активи'!$B$12:$B$59,$B126,'11.1.Амортиз.нови активи'!AB$12:AB$59)</f>
        <v>0</v>
      </c>
      <c r="AC126" s="1155">
        <f>AB126+SUMIF('11.1.Амортиз.нови активи'!$B$12:$B$59,$B126,'11.1.Амортиз.нови активи'!AC$12:AC$59)</f>
        <v>0</v>
      </c>
      <c r="AD126" s="1155">
        <f>AC126+SUMIF('11.1.Амортиз.нови активи'!$B$12:$B$59,$B126,'11.1.Амортиз.нови активи'!AD$12:AD$59)</f>
        <v>0</v>
      </c>
      <c r="AE126" s="1155">
        <f>AD126+SUMIF('11.1.Амортиз.нови активи'!$B$12:$B$59,$B126,'11.1.Амортиз.нови активи'!AE$12:AE$59)</f>
        <v>0</v>
      </c>
      <c r="AF126" s="2793">
        <f>AE126+SUMIF('11.1.Амортиз.нови активи'!$B$12:$B$59,$B126,'11.1.Амортиз.нови активи'!AF$12:AF$59)</f>
        <v>0</v>
      </c>
      <c r="AG126" s="4738">
        <f>+'11.3. ДА Базова година'!X106</f>
        <v>0</v>
      </c>
      <c r="AH126" s="2792">
        <f>AG126+SUMIF('11.1.Амортиз.нови активи'!$B$12:$B$59,$B126,'11.1.Амортиз.нови активи'!AH$12:AH$59)</f>
        <v>0</v>
      </c>
      <c r="AI126" s="1155">
        <f>AH126+SUMIF('11.1.Амортиз.нови активи'!$B$12:$B$59,$B126,'11.1.Амортиз.нови активи'!AI$12:AI$59)</f>
        <v>0</v>
      </c>
      <c r="AJ126" s="1155">
        <f>AI126+SUMIF('11.1.Амортиз.нови активи'!$B$12:$B$59,$B126,'11.1.Амортиз.нови активи'!AJ$12:AJ$59)</f>
        <v>0</v>
      </c>
      <c r="AK126" s="1155">
        <f>AJ126+SUMIF('11.1.Амортиз.нови активи'!$B$12:$B$59,$B126,'11.1.Амортиз.нови активи'!AK$12:AK$59)</f>
        <v>0</v>
      </c>
      <c r="AL126" s="1155">
        <f>AK126+SUMIF('11.1.Амортиз.нови активи'!$B$12:$B$59,$B126,'11.1.Амортиз.нови активи'!AL$12:AL$59)</f>
        <v>0</v>
      </c>
      <c r="AM126" s="2793">
        <f>AL126+SUMIF('11.1.Амортиз.нови активи'!$B$12:$B$59,$B126,'11.1.Амортиз.нови активи'!AM$12:AM$59)</f>
        <v>0</v>
      </c>
      <c r="AN126" s="2681"/>
      <c r="AO126" s="2719"/>
      <c r="AP126" s="4775"/>
      <c r="AQ126" s="4794">
        <f t="shared" si="174"/>
        <v>0</v>
      </c>
      <c r="AR126" s="4794">
        <f t="shared" si="175"/>
        <v>0</v>
      </c>
      <c r="AS126" s="4794">
        <f t="shared" si="176"/>
        <v>0</v>
      </c>
      <c r="AT126" s="4794">
        <f t="shared" si="177"/>
        <v>0</v>
      </c>
      <c r="AU126" s="4794">
        <f t="shared" si="178"/>
        <v>0</v>
      </c>
      <c r="AV126" s="4794">
        <f t="shared" si="179"/>
        <v>0</v>
      </c>
      <c r="AW126" s="4794">
        <f t="shared" si="180"/>
        <v>0</v>
      </c>
      <c r="AX126" s="4794">
        <f t="shared" si="181"/>
        <v>771.53944872509373</v>
      </c>
      <c r="AY126" s="4794">
        <f t="shared" si="182"/>
        <v>832.89447446863994</v>
      </c>
      <c r="AZ126" s="4794">
        <f t="shared" si="183"/>
        <v>914.70117546003485</v>
      </c>
      <c r="BA126" s="4794">
        <f t="shared" si="184"/>
        <v>996.50787645142987</v>
      </c>
      <c r="BB126" s="4794">
        <f t="shared" si="185"/>
        <v>1078.3145774428249</v>
      </c>
      <c r="BC126" s="4794">
        <f t="shared" si="186"/>
        <v>1155.0083596222576</v>
      </c>
      <c r="BD126" s="4794">
        <f t="shared" si="187"/>
        <v>1231.7021418016905</v>
      </c>
      <c r="BE126" s="4794">
        <f t="shared" si="188"/>
        <v>0</v>
      </c>
      <c r="BF126" s="4794">
        <f t="shared" si="189"/>
        <v>0</v>
      </c>
      <c r="BG126" s="4794">
        <f t="shared" si="190"/>
        <v>0</v>
      </c>
      <c r="BH126" s="4794">
        <f t="shared" si="191"/>
        <v>0</v>
      </c>
      <c r="BI126" s="4794">
        <f t="shared" si="192"/>
        <v>0</v>
      </c>
      <c r="BJ126" s="4794">
        <f t="shared" si="193"/>
        <v>0</v>
      </c>
      <c r="BK126" s="4794">
        <f t="shared" si="194"/>
        <v>0</v>
      </c>
      <c r="BL126" s="4794">
        <f t="shared" si="195"/>
        <v>0</v>
      </c>
      <c r="BM126" s="4794">
        <f t="shared" si="196"/>
        <v>0</v>
      </c>
      <c r="BN126" s="4794">
        <f t="shared" si="197"/>
        <v>0</v>
      </c>
      <c r="BO126" s="4794">
        <f t="shared" si="198"/>
        <v>0</v>
      </c>
      <c r="BP126" s="4794">
        <f t="shared" si="199"/>
        <v>0</v>
      </c>
      <c r="BQ126" s="4794">
        <f t="shared" si="200"/>
        <v>0</v>
      </c>
      <c r="BR126" s="4794">
        <f t="shared" si="201"/>
        <v>0</v>
      </c>
      <c r="BS126" s="4794">
        <f t="shared" si="202"/>
        <v>0</v>
      </c>
      <c r="BT126" s="4794">
        <f t="shared" si="203"/>
        <v>0</v>
      </c>
      <c r="BU126" s="4794">
        <f t="shared" si="204"/>
        <v>0</v>
      </c>
      <c r="BV126" s="4794">
        <f t="shared" si="205"/>
        <v>0</v>
      </c>
      <c r="BW126" s="4794">
        <f t="shared" si="206"/>
        <v>0</v>
      </c>
      <c r="BX126" s="4794">
        <f t="shared" si="207"/>
        <v>0</v>
      </c>
      <c r="BY126" s="4794">
        <f t="shared" si="208"/>
        <v>0</v>
      </c>
    </row>
    <row r="127" spans="1:77" s="1344" customFormat="1" ht="24">
      <c r="A127" s="2741">
        <v>16</v>
      </c>
      <c r="B127" s="2684">
        <v>2040207</v>
      </c>
      <c r="C127" s="2685">
        <v>0.04</v>
      </c>
      <c r="D127" s="2720" t="s">
        <v>422</v>
      </c>
      <c r="E127" s="4738">
        <f>+'11.3. ДА Базова година'!H107</f>
        <v>2064</v>
      </c>
      <c r="F127" s="2792">
        <f>E127+SUMIF('11.1.Амортиз.нови активи'!$B$12:$B$59,$B127,'11.1.Амортиз.нови активи'!F$12:F$59)+('9.Инвестиционна програма'!H$130*SUMIF('11.1.Амортиз.нови активи'!$B$12:$B$59,$B127,'11.1.Амортиз.нови активи'!AO$12:AO$59))</f>
        <v>2274</v>
      </c>
      <c r="G127" s="1155">
        <f>F127+SUMIF('11.1.Амортиз.нови активи'!$B$12:$B$59,$B127,'11.1.Амортиз.нови активи'!G$12:G$59)+('9.Инвестиционна програма'!I$130*SUMIF('11.1.Амортиз.нови активи'!$B$12:$B$59,$B127,'11.1.Амортиз.нови активи'!AP$12:AP$59))</f>
        <v>2404</v>
      </c>
      <c r="H127" s="1155">
        <f>G127+SUMIF('11.1.Амортиз.нови активи'!$B$12:$B$59,$B127,'11.1.Амортиз.нови активи'!H$12:H$59)+('9.Инвестиционна програма'!J$130*SUMIF('11.1.Амортиз.нови активи'!$B$12:$B$59,$B127,'11.1.Амортиз.нови активи'!AQ$12:AQ$59))</f>
        <v>2504</v>
      </c>
      <c r="I127" s="1155">
        <f>H127+SUMIF('11.1.Амортиз.нови активи'!$B$12:$B$59,$B127,'11.1.Амортиз.нови активи'!I$12:I$59)+('9.Инвестиционна програма'!K$130*SUMIF('11.1.Амортиз.нови активи'!$B$12:$B$59,$B127,'11.1.Амортиз.нови активи'!AR$12:AR$59))</f>
        <v>2604</v>
      </c>
      <c r="J127" s="1155">
        <f>I127+SUMIF('11.1.Амортиз.нови активи'!$B$12:$B$59,$B127,'11.1.Амортиз.нови активи'!J$12:J$59)+('9.Инвестиционна програма'!L$130*SUMIF('11.1.Амортиз.нови активи'!$B$12:$B$59,$B127,'11.1.Амортиз.нови активи'!AS$12:AS$59))</f>
        <v>2704</v>
      </c>
      <c r="K127" s="2793">
        <f>J127+SUMIF('11.1.Амортиз.нови активи'!$B$12:$B$59,$B127,'11.1.Амортиз.нови активи'!K$12:K$59)+('9.Инвестиционна програма'!M$130*SUMIF('11.1.Амортиз.нови активи'!$B$12:$B$59,$B127,'11.1.Амортиз.нови активи'!AT$12:AT$59))</f>
        <v>2804</v>
      </c>
      <c r="L127" s="4738">
        <f>+'11.3. ДА Базова година'!L107</f>
        <v>0</v>
      </c>
      <c r="M127" s="2792">
        <f>L127+SUMIF('11.1.Амортиз.нови активи'!$B$12:$B$59,$B127,'11.1.Амортиз.нови активи'!M$12:M$59)+('9.Инвестиционна програма'!H$131*SUMIF('11.1.Амортиз.нови активи'!$B$12:$B$59,$B127,'11.1.Амортиз.нови активи'!AO$12:AO$59))</f>
        <v>0</v>
      </c>
      <c r="N127" s="1155">
        <f>M127+SUMIF('11.1.Амортиз.нови активи'!$B$12:$B$59,$B127,'11.1.Амортиз.нови активи'!N$12:N$59)+('9.Инвестиционна програма'!I$131*SUMIF('11.1.Амортиз.нови активи'!$B$12:$B$59,$B127,'11.1.Амортиз.нови активи'!AP$12:AP$59))</f>
        <v>0</v>
      </c>
      <c r="O127" s="1155">
        <f>N127+SUMIF('11.1.Амортиз.нови активи'!$B$12:$B$59,$B127,'11.1.Амортиз.нови активи'!O$12:O$59)+('9.Инвестиционна програма'!J$131*SUMIF('11.1.Амортиз.нови активи'!$B$12:$B$59,$B127,'11.1.Амортиз.нови активи'!AQ$12:AQ$59))</f>
        <v>0</v>
      </c>
      <c r="P127" s="1155">
        <f>O127+SUMIF('11.1.Амортиз.нови активи'!$B$12:$B$59,$B127,'11.1.Амортиз.нови активи'!P$12:P$59)+('9.Инвестиционна програма'!K$131*SUMIF('11.1.Амортиз.нови активи'!$B$12:$B$59,$B127,'11.1.Амортиз.нови активи'!AR$12:AR$59))</f>
        <v>0</v>
      </c>
      <c r="Q127" s="1155">
        <f>P127+SUMIF('11.1.Амортиз.нови активи'!$B$12:$B$59,$B127,'11.1.Амортиз.нови активи'!Q$12:Q$59)+('9.Инвестиционна програма'!L$131*SUMIF('11.1.Амортиз.нови активи'!$B$12:$B$59,$B127,'11.1.Амортиз.нови активи'!AS$12:AS$59))</f>
        <v>0</v>
      </c>
      <c r="R127" s="2793">
        <f>Q127+SUMIF('11.1.Амортиз.нови активи'!$B$12:$B$59,$B127,'11.1.Амортиз.нови активи'!R$12:R$59)+('9.Инвестиционна програма'!M$131*SUMIF('11.1.Амортиз.нови активи'!$B$12:$B$59,$B127,'11.1.Амортиз.нови активи'!AT$12:AT$59))</f>
        <v>0</v>
      </c>
      <c r="S127" s="4738">
        <f>+'11.3. ДА Базова година'!P107</f>
        <v>954</v>
      </c>
      <c r="T127" s="2792">
        <f>S127+SUMIF('11.1.Амортиз.нови активи'!$B$12:$B$59,$B127,'11.1.Амортиз.нови активи'!T$12:T$59)+('9.Инвестиционна програма'!H$132*SUMIF('11.1.Амортиз.нови активи'!$B$12:$B$59,$B127,'11.1.Амортиз.нови активи'!AO$12:AO$59))</f>
        <v>1054</v>
      </c>
      <c r="U127" s="1155">
        <f>T127+SUMIF('11.1.Амортиз.нови активи'!$B$12:$B$59,$B127,'11.1.Амортиз.нови активи'!U$12:U$59)+('9.Инвестиционна програма'!I$132*SUMIF('11.1.Амортиз.нови активи'!$B$12:$B$59,$B127,'11.1.Амортиз.нови активи'!AP$12:AP$59))</f>
        <v>1154</v>
      </c>
      <c r="V127" s="1155">
        <f>U127+SUMIF('11.1.Амортиз.нови активи'!$B$12:$B$59,$B127,'11.1.Амортиз.нови активи'!V$12:V$59)+('9.Инвестиционна програма'!J$132*SUMIF('11.1.Амортиз.нови активи'!$B$12:$B$59,$B127,'11.1.Амортиз.нови активи'!AQ$12:AQ$59))</f>
        <v>1254</v>
      </c>
      <c r="W127" s="1155">
        <f>V127+SUMIF('11.1.Амортиз.нови активи'!$B$12:$B$59,$B127,'11.1.Амортиз.нови активи'!W$12:W$59)+('9.Инвестиционна програма'!K$132*SUMIF('11.1.Амортиз.нови активи'!$B$12:$B$59,$B127,'11.1.Амортиз.нови активи'!AR$12:AR$59))</f>
        <v>1354</v>
      </c>
      <c r="X127" s="1155">
        <f>W127+SUMIF('11.1.Амортиз.нови активи'!$B$12:$B$59,$B127,'11.1.Амортиз.нови активи'!X$12:X$59)+('9.Инвестиционна програма'!L$132*SUMIF('11.1.Амортиз.нови активи'!$B$12:$B$59,$B127,'11.1.Амортиз.нови активи'!AS$12:AS$59))</f>
        <v>1454</v>
      </c>
      <c r="Y127" s="2793">
        <f>X127+SUMIF('11.1.Амортиз.нови активи'!$B$12:$B$59,$B127,'11.1.Амортиз.нови активи'!Y$12:Y$59)+('9.Инвестиционна програма'!M$132*SUMIF('11.1.Амортиз.нови активи'!$B$12:$B$59,$B127,'11.1.Амортиз.нови активи'!AT$12:AT$59))</f>
        <v>1554</v>
      </c>
      <c r="Z127" s="4738">
        <f>+'11.3. ДА Базова година'!T107</f>
        <v>0</v>
      </c>
      <c r="AA127" s="2792">
        <f>Z127+SUMIF('11.1.Амортиз.нови активи'!$B$12:$B$59,$B127,'11.1.Амортиз.нови активи'!AA$12:AA$59)</f>
        <v>0</v>
      </c>
      <c r="AB127" s="1155">
        <f>AA127+SUMIF('11.1.Амортиз.нови активи'!$B$12:$B$59,$B127,'11.1.Амортиз.нови активи'!AB$12:AB$59)</f>
        <v>0</v>
      </c>
      <c r="AC127" s="1155">
        <f>AB127+SUMIF('11.1.Амортиз.нови активи'!$B$12:$B$59,$B127,'11.1.Амортиз.нови активи'!AC$12:AC$59)</f>
        <v>0</v>
      </c>
      <c r="AD127" s="1155">
        <f>AC127+SUMIF('11.1.Амортиз.нови активи'!$B$12:$B$59,$B127,'11.1.Амортиз.нови активи'!AD$12:AD$59)</f>
        <v>0</v>
      </c>
      <c r="AE127" s="1155">
        <f>AD127+SUMIF('11.1.Амортиз.нови активи'!$B$12:$B$59,$B127,'11.1.Амортиз.нови активи'!AE$12:AE$59)</f>
        <v>0</v>
      </c>
      <c r="AF127" s="2793">
        <f>AE127+SUMIF('11.1.Амортиз.нови активи'!$B$12:$B$59,$B127,'11.1.Амортиз.нови активи'!AF$12:AF$59)</f>
        <v>0</v>
      </c>
      <c r="AG127" s="4738">
        <f>+'11.3. ДА Базова година'!X107</f>
        <v>0</v>
      </c>
      <c r="AH127" s="2792">
        <f>AG127+SUMIF('11.1.Амортиз.нови активи'!$B$12:$B$59,$B127,'11.1.Амортиз.нови активи'!AH$12:AH$59)</f>
        <v>0</v>
      </c>
      <c r="AI127" s="1155">
        <f>AH127+SUMIF('11.1.Амортиз.нови активи'!$B$12:$B$59,$B127,'11.1.Амортиз.нови активи'!AI$12:AI$59)</f>
        <v>0</v>
      </c>
      <c r="AJ127" s="1155">
        <f>AI127+SUMIF('11.1.Амортиз.нови активи'!$B$12:$B$59,$B127,'11.1.Амортиз.нови активи'!AJ$12:AJ$59)</f>
        <v>0</v>
      </c>
      <c r="AK127" s="1155">
        <f>AJ127+SUMIF('11.1.Амортиз.нови активи'!$B$12:$B$59,$B127,'11.1.Амортиз.нови активи'!AK$12:AK$59)</f>
        <v>0</v>
      </c>
      <c r="AL127" s="1155">
        <f>AK127+SUMIF('11.1.Амортиз.нови активи'!$B$12:$B$59,$B127,'11.1.Амортиз.нови активи'!AL$12:AL$59)</f>
        <v>0</v>
      </c>
      <c r="AM127" s="2793">
        <f>AL127+SUMIF('11.1.Амортиз.нови активи'!$B$12:$B$59,$B127,'11.1.Амортиз.нови активи'!AM$12:AM$59)</f>
        <v>0</v>
      </c>
      <c r="AN127" s="2681"/>
      <c r="AO127" s="2719"/>
      <c r="AP127" s="4775"/>
      <c r="AQ127" s="4794">
        <f t="shared" si="174"/>
        <v>1055.3064427889949</v>
      </c>
      <c r="AR127" s="4794">
        <f t="shared" si="175"/>
        <v>1162.677737840201</v>
      </c>
      <c r="AS127" s="4794">
        <f t="shared" si="176"/>
        <v>1229.1456823957092</v>
      </c>
      <c r="AT127" s="4794">
        <f t="shared" si="177"/>
        <v>1280.274870515331</v>
      </c>
      <c r="AU127" s="4794">
        <f t="shared" si="178"/>
        <v>1331.4040586349529</v>
      </c>
      <c r="AV127" s="4794">
        <f t="shared" si="179"/>
        <v>1382.5332467545747</v>
      </c>
      <c r="AW127" s="4794">
        <f t="shared" si="180"/>
        <v>1433.6624348741966</v>
      </c>
      <c r="AX127" s="4794">
        <f t="shared" si="181"/>
        <v>0</v>
      </c>
      <c r="AY127" s="4794">
        <f t="shared" si="182"/>
        <v>0</v>
      </c>
      <c r="AZ127" s="4794">
        <f t="shared" si="183"/>
        <v>0</v>
      </c>
      <c r="BA127" s="4794">
        <f t="shared" si="184"/>
        <v>0</v>
      </c>
      <c r="BB127" s="4794">
        <f t="shared" si="185"/>
        <v>0</v>
      </c>
      <c r="BC127" s="4794">
        <f t="shared" si="186"/>
        <v>0</v>
      </c>
      <c r="BD127" s="4794">
        <f t="shared" si="187"/>
        <v>0</v>
      </c>
      <c r="BE127" s="4794">
        <f t="shared" si="188"/>
        <v>487.77245466119246</v>
      </c>
      <c r="BF127" s="4794">
        <f t="shared" si="189"/>
        <v>538.90164278081431</v>
      </c>
      <c r="BG127" s="4794">
        <f t="shared" si="190"/>
        <v>590.03083090043617</v>
      </c>
      <c r="BH127" s="4794">
        <f t="shared" si="191"/>
        <v>641.16001902005803</v>
      </c>
      <c r="BI127" s="4794">
        <f t="shared" si="192"/>
        <v>692.28920713967989</v>
      </c>
      <c r="BJ127" s="4794">
        <f t="shared" si="193"/>
        <v>743.41839525930175</v>
      </c>
      <c r="BK127" s="4794">
        <f t="shared" si="194"/>
        <v>794.54758337892349</v>
      </c>
      <c r="BL127" s="4794">
        <f t="shared" si="195"/>
        <v>0</v>
      </c>
      <c r="BM127" s="4794">
        <f t="shared" si="196"/>
        <v>0</v>
      </c>
      <c r="BN127" s="4794">
        <f t="shared" si="197"/>
        <v>0</v>
      </c>
      <c r="BO127" s="4794">
        <f t="shared" si="198"/>
        <v>0</v>
      </c>
      <c r="BP127" s="4794">
        <f t="shared" si="199"/>
        <v>0</v>
      </c>
      <c r="BQ127" s="4794">
        <f t="shared" si="200"/>
        <v>0</v>
      </c>
      <c r="BR127" s="4794">
        <f t="shared" si="201"/>
        <v>0</v>
      </c>
      <c r="BS127" s="4794">
        <f t="shared" si="202"/>
        <v>0</v>
      </c>
      <c r="BT127" s="4794">
        <f t="shared" si="203"/>
        <v>0</v>
      </c>
      <c r="BU127" s="4794">
        <f t="shared" si="204"/>
        <v>0</v>
      </c>
      <c r="BV127" s="4794">
        <f t="shared" si="205"/>
        <v>0</v>
      </c>
      <c r="BW127" s="4794">
        <f t="shared" si="206"/>
        <v>0</v>
      </c>
      <c r="BX127" s="4794">
        <f t="shared" si="207"/>
        <v>0</v>
      </c>
      <c r="BY127" s="4794">
        <f t="shared" si="208"/>
        <v>0</v>
      </c>
    </row>
    <row r="128" spans="1:77" s="1344" customFormat="1">
      <c r="A128" s="2741">
        <v>17</v>
      </c>
      <c r="B128" s="2684">
        <v>2040208</v>
      </c>
      <c r="C128" s="2685">
        <v>0.04</v>
      </c>
      <c r="D128" s="2720" t="s">
        <v>423</v>
      </c>
      <c r="E128" s="4738">
        <f>+'11.3. ДА Базова година'!H108</f>
        <v>39</v>
      </c>
      <c r="F128" s="2792">
        <f>E128+SUMIF('11.1.Амортиз.нови активи'!$B$12:$B$59,$B128,'11.1.Амортиз.нови активи'!F$12:F$59)+('9.Инвестиционна програма'!H$130*SUMIF('11.1.Амортиз.нови активи'!$B$12:$B$59,$B128,'11.1.Амортиз.нови активи'!AO$12:AO$59))</f>
        <v>39</v>
      </c>
      <c r="G128" s="1155">
        <f>F128+SUMIF('11.1.Амортиз.нови активи'!$B$12:$B$59,$B128,'11.1.Амортиз.нови активи'!G$12:G$59)+('9.Инвестиционна програма'!I$130*SUMIF('11.1.Амортиз.нови активи'!$B$12:$B$59,$B128,'11.1.Амортиз.нови активи'!AP$12:AP$59))</f>
        <v>39</v>
      </c>
      <c r="H128" s="1155">
        <f>G128+SUMIF('11.1.Амортиз.нови активи'!$B$12:$B$59,$B128,'11.1.Амортиз.нови активи'!H$12:H$59)+('9.Инвестиционна програма'!J$130*SUMIF('11.1.Амортиз.нови активи'!$B$12:$B$59,$B128,'11.1.Амортиз.нови активи'!AQ$12:AQ$59))</f>
        <v>39</v>
      </c>
      <c r="I128" s="1155">
        <f>H128+SUMIF('11.1.Амортиз.нови активи'!$B$12:$B$59,$B128,'11.1.Амортиз.нови активи'!I$12:I$59)+('9.Инвестиционна програма'!K$130*SUMIF('11.1.Амортиз.нови активи'!$B$12:$B$59,$B128,'11.1.Амортиз.нови активи'!AR$12:AR$59))</f>
        <v>39</v>
      </c>
      <c r="J128" s="1155">
        <f>I128+SUMIF('11.1.Амортиз.нови активи'!$B$12:$B$59,$B128,'11.1.Амортиз.нови активи'!J$12:J$59)+('9.Инвестиционна програма'!L$130*SUMIF('11.1.Амортиз.нови активи'!$B$12:$B$59,$B128,'11.1.Амортиз.нови активи'!AS$12:AS$59))</f>
        <v>39</v>
      </c>
      <c r="K128" s="2793">
        <f>J128+SUMIF('11.1.Амортиз.нови активи'!$B$12:$B$59,$B128,'11.1.Амортиз.нови активи'!K$12:K$59)+('9.Инвестиционна програма'!M$130*SUMIF('11.1.Амортиз.нови активи'!$B$12:$B$59,$B128,'11.1.Амортиз.нови активи'!AT$12:AT$59))</f>
        <v>39</v>
      </c>
      <c r="L128" s="4738">
        <f>+'11.3. ДА Базова година'!L108</f>
        <v>3</v>
      </c>
      <c r="M128" s="2792">
        <f>L128+SUMIF('11.1.Амортиз.нови активи'!$B$12:$B$59,$B128,'11.1.Амортиз.нови активи'!M$12:M$59)+('9.Инвестиционна програма'!H$131*SUMIF('11.1.Амортиз.нови активи'!$B$12:$B$59,$B128,'11.1.Амортиз.нови активи'!AO$12:AO$59))</f>
        <v>3</v>
      </c>
      <c r="N128" s="1155">
        <f>M128+SUMIF('11.1.Амортиз.нови активи'!$B$12:$B$59,$B128,'11.1.Амортиз.нови активи'!N$12:N$59)+('9.Инвестиционна програма'!I$131*SUMIF('11.1.Амортиз.нови активи'!$B$12:$B$59,$B128,'11.1.Амортиз.нови активи'!AP$12:AP$59))</f>
        <v>3</v>
      </c>
      <c r="O128" s="1155">
        <f>N128+SUMIF('11.1.Амортиз.нови активи'!$B$12:$B$59,$B128,'11.1.Амортиз.нови активи'!O$12:O$59)+('9.Инвестиционна програма'!J$131*SUMIF('11.1.Амортиз.нови активи'!$B$12:$B$59,$B128,'11.1.Амортиз.нови активи'!AQ$12:AQ$59))</f>
        <v>3</v>
      </c>
      <c r="P128" s="1155">
        <f>O128+SUMIF('11.1.Амортиз.нови активи'!$B$12:$B$59,$B128,'11.1.Амортиз.нови активи'!P$12:P$59)+('9.Инвестиционна програма'!K$131*SUMIF('11.1.Амортиз.нови активи'!$B$12:$B$59,$B128,'11.1.Амортиз.нови активи'!AR$12:AR$59))</f>
        <v>3</v>
      </c>
      <c r="Q128" s="1155">
        <f>P128+SUMIF('11.1.Амортиз.нови активи'!$B$12:$B$59,$B128,'11.1.Амортиз.нови активи'!Q$12:Q$59)+('9.Инвестиционна програма'!L$131*SUMIF('11.1.Амортиз.нови активи'!$B$12:$B$59,$B128,'11.1.Амортиз.нови активи'!AS$12:AS$59))</f>
        <v>3</v>
      </c>
      <c r="R128" s="2793">
        <f>Q128+SUMIF('11.1.Амортиз.нови активи'!$B$12:$B$59,$B128,'11.1.Амортиз.нови активи'!R$12:R$59)+('9.Инвестиционна програма'!M$131*SUMIF('11.1.Амортиз.нови активи'!$B$12:$B$59,$B128,'11.1.Амортиз.нови активи'!AT$12:AT$59))</f>
        <v>3</v>
      </c>
      <c r="S128" s="4738">
        <f>+'11.3. ДА Базова година'!P108</f>
        <v>0</v>
      </c>
      <c r="T128" s="2792">
        <f>S128+SUMIF('11.1.Амортиз.нови активи'!$B$12:$B$59,$B128,'11.1.Амортиз.нови активи'!T$12:T$59)+('9.Инвестиционна програма'!H$132*SUMIF('11.1.Амортиз.нови активи'!$B$12:$B$59,$B128,'11.1.Амортиз.нови активи'!AO$12:AO$59))</f>
        <v>0</v>
      </c>
      <c r="U128" s="1155">
        <f>T128+SUMIF('11.1.Амортиз.нови активи'!$B$12:$B$59,$B128,'11.1.Амортиз.нови активи'!U$12:U$59)+('9.Инвестиционна програма'!I$132*SUMIF('11.1.Амортиз.нови активи'!$B$12:$B$59,$B128,'11.1.Амортиз.нови активи'!AP$12:AP$59))</f>
        <v>0</v>
      </c>
      <c r="V128" s="1155">
        <f>U128+SUMIF('11.1.Амортиз.нови активи'!$B$12:$B$59,$B128,'11.1.Амортиз.нови активи'!V$12:V$59)+('9.Инвестиционна програма'!J$132*SUMIF('11.1.Амортиз.нови активи'!$B$12:$B$59,$B128,'11.1.Амортиз.нови активи'!AQ$12:AQ$59))</f>
        <v>0</v>
      </c>
      <c r="W128" s="1155">
        <f>V128+SUMIF('11.1.Амортиз.нови активи'!$B$12:$B$59,$B128,'11.1.Амортиз.нови активи'!W$12:W$59)+('9.Инвестиционна програма'!K$132*SUMIF('11.1.Амортиз.нови активи'!$B$12:$B$59,$B128,'11.1.Амортиз.нови активи'!AR$12:AR$59))</f>
        <v>0</v>
      </c>
      <c r="X128" s="1155">
        <f>W128+SUMIF('11.1.Амортиз.нови активи'!$B$12:$B$59,$B128,'11.1.Амортиз.нови активи'!X$12:X$59)+('9.Инвестиционна програма'!L$132*SUMIF('11.1.Амортиз.нови активи'!$B$12:$B$59,$B128,'11.1.Амортиз.нови активи'!AS$12:AS$59))</f>
        <v>0</v>
      </c>
      <c r="Y128" s="2793">
        <f>X128+SUMIF('11.1.Амортиз.нови активи'!$B$12:$B$59,$B128,'11.1.Амортиз.нови активи'!Y$12:Y$59)+('9.Инвестиционна програма'!M$132*SUMIF('11.1.Амортиз.нови активи'!$B$12:$B$59,$B128,'11.1.Амортиз.нови активи'!AT$12:AT$59))</f>
        <v>0</v>
      </c>
      <c r="Z128" s="4738">
        <f>+'11.3. ДА Базова година'!T108</f>
        <v>0</v>
      </c>
      <c r="AA128" s="2792">
        <f>Z128+SUMIF('11.1.Амортиз.нови активи'!$B$12:$B$59,$B128,'11.1.Амортиз.нови активи'!AA$12:AA$59)</f>
        <v>0</v>
      </c>
      <c r="AB128" s="1155">
        <f>AA128+SUMIF('11.1.Амортиз.нови активи'!$B$12:$B$59,$B128,'11.1.Амортиз.нови активи'!AB$12:AB$59)</f>
        <v>0</v>
      </c>
      <c r="AC128" s="1155">
        <f>AB128+SUMIF('11.1.Амортиз.нови активи'!$B$12:$B$59,$B128,'11.1.Амортиз.нови активи'!AC$12:AC$59)</f>
        <v>0</v>
      </c>
      <c r="AD128" s="1155">
        <f>AC128+SUMIF('11.1.Амортиз.нови активи'!$B$12:$B$59,$B128,'11.1.Амортиз.нови активи'!AD$12:AD$59)</f>
        <v>0</v>
      </c>
      <c r="AE128" s="1155">
        <f>AD128+SUMIF('11.1.Амортиз.нови активи'!$B$12:$B$59,$B128,'11.1.Амортиз.нови активи'!AE$12:AE$59)</f>
        <v>0</v>
      </c>
      <c r="AF128" s="2793">
        <f>AE128+SUMIF('11.1.Амортиз.нови активи'!$B$12:$B$59,$B128,'11.1.Амортиз.нови активи'!AF$12:AF$59)</f>
        <v>0</v>
      </c>
      <c r="AG128" s="4738">
        <f>+'11.3. ДА Базова година'!X108</f>
        <v>0</v>
      </c>
      <c r="AH128" s="2792">
        <f>AG128+SUMIF('11.1.Амортиз.нови активи'!$B$12:$B$59,$B128,'11.1.Амортиз.нови активи'!AH$12:AH$59)</f>
        <v>0</v>
      </c>
      <c r="AI128" s="1155">
        <f>AH128+SUMIF('11.1.Амортиз.нови активи'!$B$12:$B$59,$B128,'11.1.Амортиз.нови активи'!AI$12:AI$59)</f>
        <v>0</v>
      </c>
      <c r="AJ128" s="1155">
        <f>AI128+SUMIF('11.1.Амортиз.нови активи'!$B$12:$B$59,$B128,'11.1.Амортиз.нови активи'!AJ$12:AJ$59)</f>
        <v>0</v>
      </c>
      <c r="AK128" s="1155">
        <f>AJ128+SUMIF('11.1.Амортиз.нови активи'!$B$12:$B$59,$B128,'11.1.Амортиз.нови активи'!AK$12:AK$59)</f>
        <v>0</v>
      </c>
      <c r="AL128" s="1155">
        <f>AK128+SUMIF('11.1.Амортиз.нови активи'!$B$12:$B$59,$B128,'11.1.Амортиз.нови активи'!AL$12:AL$59)</f>
        <v>0</v>
      </c>
      <c r="AM128" s="2793">
        <f>AL128+SUMIF('11.1.Амортиз.нови активи'!$B$12:$B$59,$B128,'11.1.Амортиз.нови активи'!AM$12:AM$59)</f>
        <v>0</v>
      </c>
      <c r="AN128" s="2681"/>
      <c r="AO128" s="2719"/>
      <c r="AP128" s="4775"/>
      <c r="AQ128" s="4794">
        <f t="shared" si="174"/>
        <v>19.940383366652522</v>
      </c>
      <c r="AR128" s="4794">
        <f t="shared" si="175"/>
        <v>19.940383366652522</v>
      </c>
      <c r="AS128" s="4794">
        <f t="shared" si="176"/>
        <v>19.940383366652522</v>
      </c>
      <c r="AT128" s="4794">
        <f t="shared" si="177"/>
        <v>19.940383366652522</v>
      </c>
      <c r="AU128" s="4794">
        <f t="shared" si="178"/>
        <v>19.940383366652522</v>
      </c>
      <c r="AV128" s="4794">
        <f t="shared" si="179"/>
        <v>19.940383366652522</v>
      </c>
      <c r="AW128" s="4794">
        <f t="shared" si="180"/>
        <v>19.940383366652522</v>
      </c>
      <c r="AX128" s="4794">
        <f t="shared" si="181"/>
        <v>1.5338756435886556</v>
      </c>
      <c r="AY128" s="4794">
        <f t="shared" si="182"/>
        <v>1.5338756435886556</v>
      </c>
      <c r="AZ128" s="4794">
        <f t="shared" si="183"/>
        <v>1.5338756435886556</v>
      </c>
      <c r="BA128" s="4794">
        <f t="shared" si="184"/>
        <v>1.5338756435886556</v>
      </c>
      <c r="BB128" s="4794">
        <f t="shared" si="185"/>
        <v>1.5338756435886556</v>
      </c>
      <c r="BC128" s="4794">
        <f t="shared" si="186"/>
        <v>1.5338756435886556</v>
      </c>
      <c r="BD128" s="4794">
        <f t="shared" si="187"/>
        <v>1.5338756435886556</v>
      </c>
      <c r="BE128" s="4794">
        <f t="shared" si="188"/>
        <v>0</v>
      </c>
      <c r="BF128" s="4794">
        <f t="shared" si="189"/>
        <v>0</v>
      </c>
      <c r="BG128" s="4794">
        <f t="shared" si="190"/>
        <v>0</v>
      </c>
      <c r="BH128" s="4794">
        <f t="shared" si="191"/>
        <v>0</v>
      </c>
      <c r="BI128" s="4794">
        <f t="shared" si="192"/>
        <v>0</v>
      </c>
      <c r="BJ128" s="4794">
        <f t="shared" si="193"/>
        <v>0</v>
      </c>
      <c r="BK128" s="4794">
        <f t="shared" si="194"/>
        <v>0</v>
      </c>
      <c r="BL128" s="4794">
        <f t="shared" si="195"/>
        <v>0</v>
      </c>
      <c r="BM128" s="4794">
        <f t="shared" si="196"/>
        <v>0</v>
      </c>
      <c r="BN128" s="4794">
        <f t="shared" si="197"/>
        <v>0</v>
      </c>
      <c r="BO128" s="4794">
        <f t="shared" si="198"/>
        <v>0</v>
      </c>
      <c r="BP128" s="4794">
        <f t="shared" si="199"/>
        <v>0</v>
      </c>
      <c r="BQ128" s="4794">
        <f t="shared" si="200"/>
        <v>0</v>
      </c>
      <c r="BR128" s="4794">
        <f t="shared" si="201"/>
        <v>0</v>
      </c>
      <c r="BS128" s="4794">
        <f t="shared" si="202"/>
        <v>0</v>
      </c>
      <c r="BT128" s="4794">
        <f t="shared" si="203"/>
        <v>0</v>
      </c>
      <c r="BU128" s="4794">
        <f t="shared" si="204"/>
        <v>0</v>
      </c>
      <c r="BV128" s="4794">
        <f t="shared" si="205"/>
        <v>0</v>
      </c>
      <c r="BW128" s="4794">
        <f t="shared" si="206"/>
        <v>0</v>
      </c>
      <c r="BX128" s="4794">
        <f t="shared" si="207"/>
        <v>0</v>
      </c>
      <c r="BY128" s="4794">
        <f t="shared" si="208"/>
        <v>0</v>
      </c>
    </row>
    <row r="129" spans="1:77" s="1344" customFormat="1">
      <c r="A129" s="2741">
        <v>18</v>
      </c>
      <c r="B129" s="2742" t="s">
        <v>1051</v>
      </c>
      <c r="C129" s="2685">
        <v>0.04</v>
      </c>
      <c r="D129" s="2739" t="s">
        <v>434</v>
      </c>
      <c r="E129" s="4738">
        <f>+'11.3. ДА Базова година'!H109</f>
        <v>0</v>
      </c>
      <c r="F129" s="2792">
        <f>E129+SUMIF('11.1.Амортиз.нови активи'!$B$12:$B$59,$B129,'11.1.Амортиз.нови активи'!F$12:F$59)+('9.Инвестиционна програма'!H$130*SUMIF('11.1.Амортиз.нови активи'!$B$12:$B$59,$B129,'11.1.Амортиз.нови активи'!AO$12:AO$59))</f>
        <v>0</v>
      </c>
      <c r="G129" s="1155">
        <f>F129+SUMIF('11.1.Амортиз.нови активи'!$B$12:$B$59,$B129,'11.1.Амортиз.нови активи'!G$12:G$59)+('9.Инвестиционна програма'!I$130*SUMIF('11.1.Амортиз.нови активи'!$B$12:$B$59,$B129,'11.1.Амортиз.нови активи'!AP$12:AP$59))</f>
        <v>0</v>
      </c>
      <c r="H129" s="1155">
        <f>G129+SUMIF('11.1.Амортиз.нови активи'!$B$12:$B$59,$B129,'11.1.Амортиз.нови активи'!H$12:H$59)+('9.Инвестиционна програма'!J$130*SUMIF('11.1.Амортиз.нови активи'!$B$12:$B$59,$B129,'11.1.Амортиз.нови активи'!AQ$12:AQ$59))</f>
        <v>0</v>
      </c>
      <c r="I129" s="1155">
        <f>H129+SUMIF('11.1.Амортиз.нови активи'!$B$12:$B$59,$B129,'11.1.Амортиз.нови активи'!I$12:I$59)+('9.Инвестиционна програма'!K$130*SUMIF('11.1.Амортиз.нови активи'!$B$12:$B$59,$B129,'11.1.Амортиз.нови активи'!AR$12:AR$59))</f>
        <v>0</v>
      </c>
      <c r="J129" s="1155">
        <f>I129+SUMIF('11.1.Амортиз.нови активи'!$B$12:$B$59,$B129,'11.1.Амортиз.нови активи'!J$12:J$59)+('9.Инвестиционна програма'!L$130*SUMIF('11.1.Амортиз.нови активи'!$B$12:$B$59,$B129,'11.1.Амортиз.нови активи'!AS$12:AS$59))</f>
        <v>0</v>
      </c>
      <c r="K129" s="2793">
        <f>J129+SUMIF('11.1.Амортиз.нови активи'!$B$12:$B$59,$B129,'11.1.Амортиз.нови активи'!K$12:K$59)+('9.Инвестиционна програма'!M$130*SUMIF('11.1.Амортиз.нови активи'!$B$12:$B$59,$B129,'11.1.Амортиз.нови активи'!AT$12:AT$59))</f>
        <v>0</v>
      </c>
      <c r="L129" s="4738">
        <f>+'11.3. ДА Базова година'!L109</f>
        <v>0</v>
      </c>
      <c r="M129" s="2792">
        <f>L129+SUMIF('11.1.Амортиз.нови активи'!$B$12:$B$59,$B129,'11.1.Амортиз.нови активи'!M$12:M$59)+('9.Инвестиционна програма'!H$131*SUMIF('11.1.Амортиз.нови активи'!$B$12:$B$59,$B129,'11.1.Амортиз.нови активи'!AO$12:AO$59))</f>
        <v>0</v>
      </c>
      <c r="N129" s="1155">
        <f>M129+SUMIF('11.1.Амортиз.нови активи'!$B$12:$B$59,$B129,'11.1.Амортиз.нови активи'!N$12:N$59)+('9.Инвестиционна програма'!I$131*SUMIF('11.1.Амортиз.нови активи'!$B$12:$B$59,$B129,'11.1.Амортиз.нови активи'!AP$12:AP$59))</f>
        <v>0</v>
      </c>
      <c r="O129" s="1155">
        <f>N129+SUMIF('11.1.Амортиз.нови активи'!$B$12:$B$59,$B129,'11.1.Амортиз.нови активи'!O$12:O$59)+('9.Инвестиционна програма'!J$131*SUMIF('11.1.Амортиз.нови активи'!$B$12:$B$59,$B129,'11.1.Амортиз.нови активи'!AQ$12:AQ$59))</f>
        <v>0</v>
      </c>
      <c r="P129" s="1155">
        <f>O129+SUMIF('11.1.Амортиз.нови активи'!$B$12:$B$59,$B129,'11.1.Амортиз.нови активи'!P$12:P$59)+('9.Инвестиционна програма'!K$131*SUMIF('11.1.Амортиз.нови активи'!$B$12:$B$59,$B129,'11.1.Амортиз.нови активи'!AR$12:AR$59))</f>
        <v>0</v>
      </c>
      <c r="Q129" s="1155">
        <f>P129+SUMIF('11.1.Амортиз.нови активи'!$B$12:$B$59,$B129,'11.1.Амортиз.нови активи'!Q$12:Q$59)+('9.Инвестиционна програма'!L$131*SUMIF('11.1.Амортиз.нови активи'!$B$12:$B$59,$B129,'11.1.Амортиз.нови активи'!AS$12:AS$59))</f>
        <v>0</v>
      </c>
      <c r="R129" s="2793">
        <f>Q129+SUMIF('11.1.Амортиз.нови активи'!$B$12:$B$59,$B129,'11.1.Амортиз.нови активи'!R$12:R$59)+('9.Инвестиционна програма'!M$131*SUMIF('11.1.Амортиз.нови активи'!$B$12:$B$59,$B129,'11.1.Амортиз.нови активи'!AT$12:AT$59))</f>
        <v>0</v>
      </c>
      <c r="S129" s="4738">
        <f>+'11.3. ДА Базова година'!P109</f>
        <v>0</v>
      </c>
      <c r="T129" s="2792">
        <f>S129+SUMIF('11.1.Амортиз.нови активи'!$B$12:$B$59,$B129,'11.1.Амортиз.нови активи'!T$12:T$59)+('9.Инвестиционна програма'!H$132*SUMIF('11.1.Амортиз.нови активи'!$B$12:$B$59,$B129,'11.1.Амортиз.нови активи'!AO$12:AO$59))</f>
        <v>0</v>
      </c>
      <c r="U129" s="1155">
        <f>T129+SUMIF('11.1.Амортиз.нови активи'!$B$12:$B$59,$B129,'11.1.Амортиз.нови активи'!U$12:U$59)+('9.Инвестиционна програма'!I$132*SUMIF('11.1.Амортиз.нови активи'!$B$12:$B$59,$B129,'11.1.Амортиз.нови активи'!AP$12:AP$59))</f>
        <v>0</v>
      </c>
      <c r="V129" s="1155">
        <f>U129+SUMIF('11.1.Амортиз.нови активи'!$B$12:$B$59,$B129,'11.1.Амортиз.нови активи'!V$12:V$59)+('9.Инвестиционна програма'!J$132*SUMIF('11.1.Амортиз.нови активи'!$B$12:$B$59,$B129,'11.1.Амортиз.нови активи'!AQ$12:AQ$59))</f>
        <v>0</v>
      </c>
      <c r="W129" s="1155">
        <f>V129+SUMIF('11.1.Амортиз.нови активи'!$B$12:$B$59,$B129,'11.1.Амортиз.нови активи'!W$12:W$59)+('9.Инвестиционна програма'!K$132*SUMIF('11.1.Амортиз.нови активи'!$B$12:$B$59,$B129,'11.1.Амортиз.нови активи'!AR$12:AR$59))</f>
        <v>0</v>
      </c>
      <c r="X129" s="1155">
        <f>W129+SUMIF('11.1.Амортиз.нови активи'!$B$12:$B$59,$B129,'11.1.Амортиз.нови активи'!X$12:X$59)+('9.Инвестиционна програма'!L$132*SUMIF('11.1.Амортиз.нови активи'!$B$12:$B$59,$B129,'11.1.Амортиз.нови активи'!AS$12:AS$59))</f>
        <v>0</v>
      </c>
      <c r="Y129" s="2793">
        <f>X129+SUMIF('11.1.Амортиз.нови активи'!$B$12:$B$59,$B129,'11.1.Амортиз.нови активи'!Y$12:Y$59)+('9.Инвестиционна програма'!M$132*SUMIF('11.1.Амортиз.нови активи'!$B$12:$B$59,$B129,'11.1.Амортиз.нови активи'!AT$12:AT$59))</f>
        <v>0</v>
      </c>
      <c r="Z129" s="4738">
        <f>+'11.3. ДА Базова година'!T109</f>
        <v>0</v>
      </c>
      <c r="AA129" s="2792">
        <f>Z129+SUMIF('11.1.Амортиз.нови активи'!$B$12:$B$59,$B129,'11.1.Амортиз.нови активи'!AA$12:AA$59)</f>
        <v>0</v>
      </c>
      <c r="AB129" s="1155">
        <f>AA129+SUMIF('11.1.Амортиз.нови активи'!$B$12:$B$59,$B129,'11.1.Амортиз.нови активи'!AB$12:AB$59)</f>
        <v>0</v>
      </c>
      <c r="AC129" s="1155">
        <f>AB129+SUMIF('11.1.Амортиз.нови активи'!$B$12:$B$59,$B129,'11.1.Амортиз.нови активи'!AC$12:AC$59)</f>
        <v>0</v>
      </c>
      <c r="AD129" s="1155">
        <f>AC129+SUMIF('11.1.Амортиз.нови активи'!$B$12:$B$59,$B129,'11.1.Амортиз.нови активи'!AD$12:AD$59)</f>
        <v>0</v>
      </c>
      <c r="AE129" s="1155">
        <f>AD129+SUMIF('11.1.Амортиз.нови активи'!$B$12:$B$59,$B129,'11.1.Амортиз.нови активи'!AE$12:AE$59)</f>
        <v>0</v>
      </c>
      <c r="AF129" s="2793">
        <f>AE129+SUMIF('11.1.Амортиз.нови активи'!$B$12:$B$59,$B129,'11.1.Амортиз.нови активи'!AF$12:AF$59)</f>
        <v>0</v>
      </c>
      <c r="AG129" s="4738">
        <f>+'11.3. ДА Базова година'!X109</f>
        <v>0</v>
      </c>
      <c r="AH129" s="2792">
        <f>AG129+SUMIF('11.1.Амортиз.нови активи'!$B$12:$B$59,$B129,'11.1.Амортиз.нови активи'!AH$12:AH$59)</f>
        <v>0</v>
      </c>
      <c r="AI129" s="1155">
        <f>AH129+SUMIF('11.1.Амортиз.нови активи'!$B$12:$B$59,$B129,'11.1.Амортиз.нови активи'!AI$12:AI$59)</f>
        <v>0</v>
      </c>
      <c r="AJ129" s="1155">
        <f>AI129+SUMIF('11.1.Амортиз.нови активи'!$B$12:$B$59,$B129,'11.1.Амортиз.нови активи'!AJ$12:AJ$59)</f>
        <v>0</v>
      </c>
      <c r="AK129" s="1155">
        <f>AJ129+SUMIF('11.1.Амортиз.нови активи'!$B$12:$B$59,$B129,'11.1.Амортиз.нови активи'!AK$12:AK$59)</f>
        <v>0</v>
      </c>
      <c r="AL129" s="1155">
        <f>AK129+SUMIF('11.1.Амортиз.нови активи'!$B$12:$B$59,$B129,'11.1.Амортиз.нови активи'!AL$12:AL$59)</f>
        <v>0</v>
      </c>
      <c r="AM129" s="2793">
        <f>AL129+SUMIF('11.1.Амортиз.нови активи'!$B$12:$B$59,$B129,'11.1.Амортиз.нови активи'!AM$12:AM$59)</f>
        <v>0</v>
      </c>
      <c r="AN129" s="2681"/>
      <c r="AO129" s="2719"/>
      <c r="AP129" s="4775"/>
      <c r="AQ129" s="4794">
        <f t="shared" si="174"/>
        <v>0</v>
      </c>
      <c r="AR129" s="4794">
        <f t="shared" si="175"/>
        <v>0</v>
      </c>
      <c r="AS129" s="4794">
        <f t="shared" si="176"/>
        <v>0</v>
      </c>
      <c r="AT129" s="4794">
        <f t="shared" si="177"/>
        <v>0</v>
      </c>
      <c r="AU129" s="4794">
        <f t="shared" si="178"/>
        <v>0</v>
      </c>
      <c r="AV129" s="4794">
        <f t="shared" si="179"/>
        <v>0</v>
      </c>
      <c r="AW129" s="4794">
        <f t="shared" si="180"/>
        <v>0</v>
      </c>
      <c r="AX129" s="4794">
        <f t="shared" si="181"/>
        <v>0</v>
      </c>
      <c r="AY129" s="4794">
        <f t="shared" si="182"/>
        <v>0</v>
      </c>
      <c r="AZ129" s="4794">
        <f t="shared" si="183"/>
        <v>0</v>
      </c>
      <c r="BA129" s="4794">
        <f t="shared" si="184"/>
        <v>0</v>
      </c>
      <c r="BB129" s="4794">
        <f t="shared" si="185"/>
        <v>0</v>
      </c>
      <c r="BC129" s="4794">
        <f t="shared" si="186"/>
        <v>0</v>
      </c>
      <c r="BD129" s="4794">
        <f t="shared" si="187"/>
        <v>0</v>
      </c>
      <c r="BE129" s="4794">
        <f t="shared" si="188"/>
        <v>0</v>
      </c>
      <c r="BF129" s="4794">
        <f t="shared" si="189"/>
        <v>0</v>
      </c>
      <c r="BG129" s="4794">
        <f t="shared" si="190"/>
        <v>0</v>
      </c>
      <c r="BH129" s="4794">
        <f t="shared" si="191"/>
        <v>0</v>
      </c>
      <c r="BI129" s="4794">
        <f t="shared" si="192"/>
        <v>0</v>
      </c>
      <c r="BJ129" s="4794">
        <f t="shared" si="193"/>
        <v>0</v>
      </c>
      <c r="BK129" s="4794">
        <f t="shared" si="194"/>
        <v>0</v>
      </c>
      <c r="BL129" s="4794">
        <f t="shared" si="195"/>
        <v>0</v>
      </c>
      <c r="BM129" s="4794">
        <f t="shared" si="196"/>
        <v>0</v>
      </c>
      <c r="BN129" s="4794">
        <f t="shared" si="197"/>
        <v>0</v>
      </c>
      <c r="BO129" s="4794">
        <f t="shared" si="198"/>
        <v>0</v>
      </c>
      <c r="BP129" s="4794">
        <f t="shared" si="199"/>
        <v>0</v>
      </c>
      <c r="BQ129" s="4794">
        <f t="shared" si="200"/>
        <v>0</v>
      </c>
      <c r="BR129" s="4794">
        <f t="shared" si="201"/>
        <v>0</v>
      </c>
      <c r="BS129" s="4794">
        <f t="shared" si="202"/>
        <v>0</v>
      </c>
      <c r="BT129" s="4794">
        <f t="shared" si="203"/>
        <v>0</v>
      </c>
      <c r="BU129" s="4794">
        <f t="shared" si="204"/>
        <v>0</v>
      </c>
      <c r="BV129" s="4794">
        <f t="shared" si="205"/>
        <v>0</v>
      </c>
      <c r="BW129" s="4794">
        <f t="shared" si="206"/>
        <v>0</v>
      </c>
      <c r="BX129" s="4794">
        <f t="shared" si="207"/>
        <v>0</v>
      </c>
      <c r="BY129" s="4794">
        <f t="shared" si="208"/>
        <v>0</v>
      </c>
    </row>
    <row r="130" spans="1:77" s="1344" customFormat="1" ht="24.75" thickBot="1">
      <c r="A130" s="2741">
        <v>19</v>
      </c>
      <c r="B130" s="2684">
        <v>215</v>
      </c>
      <c r="C130" s="2690">
        <v>0.2</v>
      </c>
      <c r="D130" s="2720" t="s">
        <v>679</v>
      </c>
      <c r="E130" s="4738">
        <f>+'11.3. ДА Базова година'!H110</f>
        <v>76</v>
      </c>
      <c r="F130" s="2809">
        <f>E130+SUMIF('11.1.Амортиз.нови активи'!$B$12:$B$59,$B130,'11.1.Амортиз.нови активи'!F$12:F$59)+('9.Инвестиционна програма'!H$130*SUMIF('11.1.Амортиз.нови активи'!$B$12:$B$59,$B130,'11.1.Амортиз.нови активи'!AO$12:AO$59))</f>
        <v>86</v>
      </c>
      <c r="G130" s="1157">
        <f>F130+SUMIF('11.1.Амортиз.нови активи'!$B$12:$B$59,$B130,'11.1.Амортиз.нови активи'!G$12:G$59)+('9.Инвестиционна програма'!I$130*SUMIF('11.1.Амортиз.нови активи'!$B$12:$B$59,$B130,'11.1.Амортиз.нови активи'!AP$12:AP$59))</f>
        <v>96</v>
      </c>
      <c r="H130" s="1157">
        <f>G130+SUMIF('11.1.Амортиз.нови активи'!$B$12:$B$59,$B130,'11.1.Амортиз.нови активи'!H$12:H$59)+('9.Инвестиционна програма'!J$130*SUMIF('11.1.Амортиз.нови активи'!$B$12:$B$59,$B130,'11.1.Амортиз.нови активи'!AQ$12:AQ$59))</f>
        <v>106</v>
      </c>
      <c r="I130" s="1157">
        <f>H130+SUMIF('11.1.Амортиз.нови активи'!$B$12:$B$59,$B130,'11.1.Амортиз.нови активи'!I$12:I$59)+('9.Инвестиционна програма'!K$130*SUMIF('11.1.Амортиз.нови активи'!$B$12:$B$59,$B130,'11.1.Амортиз.нови активи'!AR$12:AR$59))</f>
        <v>116</v>
      </c>
      <c r="J130" s="1157">
        <f>I130+SUMIF('11.1.Амортиз.нови активи'!$B$12:$B$59,$B130,'11.1.Амортиз.нови активи'!J$12:J$59)+('9.Инвестиционна програма'!L$130*SUMIF('11.1.Амортиз.нови активи'!$B$12:$B$59,$B130,'11.1.Амортиз.нови активи'!AS$12:AS$59))</f>
        <v>126</v>
      </c>
      <c r="K130" s="2810">
        <f>J130+SUMIF('11.1.Амортиз.нови активи'!$B$12:$B$59,$B130,'11.1.Амортиз.нови активи'!K$12:K$59)+('9.Инвестиционна програма'!M$130*SUMIF('11.1.Амортиз.нови активи'!$B$12:$B$59,$B130,'11.1.Амортиз.нови активи'!AT$12:AT$59))</f>
        <v>136</v>
      </c>
      <c r="L130" s="4738">
        <f>+'11.3. ДА Базова година'!L110</f>
        <v>0</v>
      </c>
      <c r="M130" s="2809">
        <f>L130+SUMIF('11.1.Амортиз.нови активи'!$B$12:$B$59,$B130,'11.1.Амортиз.нови активи'!M$12:M$59)+('9.Инвестиционна програма'!H$131*SUMIF('11.1.Амортиз.нови активи'!$B$12:$B$59,$B130,'11.1.Амортиз.нови активи'!AO$12:AO$59))</f>
        <v>0</v>
      </c>
      <c r="N130" s="1157">
        <f>M130+SUMIF('11.1.Амортиз.нови активи'!$B$12:$B$59,$B130,'11.1.Амортиз.нови активи'!N$12:N$59)+('9.Инвестиционна програма'!I$131*SUMIF('11.1.Амортиз.нови активи'!$B$12:$B$59,$B130,'11.1.Амортиз.нови активи'!AP$12:AP$59))</f>
        <v>0</v>
      </c>
      <c r="O130" s="1157">
        <f>N130+SUMIF('11.1.Амортиз.нови активи'!$B$12:$B$59,$B130,'11.1.Амортиз.нови активи'!O$12:O$59)+('9.Инвестиционна програма'!J$131*SUMIF('11.1.Амортиз.нови активи'!$B$12:$B$59,$B130,'11.1.Амортиз.нови активи'!AQ$12:AQ$59))</f>
        <v>0</v>
      </c>
      <c r="P130" s="1157">
        <f>O130+SUMIF('11.1.Амортиз.нови активи'!$B$12:$B$59,$B130,'11.1.Амортиз.нови активи'!P$12:P$59)+('9.Инвестиционна програма'!K$131*SUMIF('11.1.Амортиз.нови активи'!$B$12:$B$59,$B130,'11.1.Амортиз.нови активи'!AR$12:AR$59))</f>
        <v>0</v>
      </c>
      <c r="Q130" s="1157">
        <f>P130+SUMIF('11.1.Амортиз.нови активи'!$B$12:$B$59,$B130,'11.1.Амортиз.нови активи'!Q$12:Q$59)+('9.Инвестиционна програма'!L$131*SUMIF('11.1.Амортиз.нови активи'!$B$12:$B$59,$B130,'11.1.Амортиз.нови активи'!AS$12:AS$59))</f>
        <v>0</v>
      </c>
      <c r="R130" s="2810">
        <f>Q130+SUMIF('11.1.Амортиз.нови активи'!$B$12:$B$59,$B130,'11.1.Амортиз.нови активи'!R$12:R$59)+('9.Инвестиционна програма'!M$131*SUMIF('11.1.Амортиз.нови активи'!$B$12:$B$59,$B130,'11.1.Амортиз.нови активи'!AT$12:AT$59))</f>
        <v>0</v>
      </c>
      <c r="S130" s="4738">
        <f>+'11.3. ДА Базова година'!P110</f>
        <v>0</v>
      </c>
      <c r="T130" s="2809">
        <f>S130+SUMIF('11.1.Амортиз.нови активи'!$B$12:$B$59,$B130,'11.1.Амортиз.нови активи'!T$12:T$59)+('9.Инвестиционна програма'!H$132*SUMIF('11.1.Амортиз.нови активи'!$B$12:$B$59,$B130,'11.1.Амортиз.нови активи'!AO$12:AO$59))</f>
        <v>0</v>
      </c>
      <c r="U130" s="1157">
        <f>T130+SUMIF('11.1.Амортиз.нови активи'!$B$12:$B$59,$B130,'11.1.Амортиз.нови активи'!U$12:U$59)+('9.Инвестиционна програма'!I$132*SUMIF('11.1.Амортиз.нови активи'!$B$12:$B$59,$B130,'11.1.Амортиз.нови активи'!AP$12:AP$59))</f>
        <v>0</v>
      </c>
      <c r="V130" s="1157">
        <f>U130+SUMIF('11.1.Амортиз.нови активи'!$B$12:$B$59,$B130,'11.1.Амортиз.нови активи'!V$12:V$59)+('9.Инвестиционна програма'!J$132*SUMIF('11.1.Амортиз.нови активи'!$B$12:$B$59,$B130,'11.1.Амортиз.нови активи'!AQ$12:AQ$59))</f>
        <v>0</v>
      </c>
      <c r="W130" s="1157">
        <f>V130+SUMIF('11.1.Амортиз.нови активи'!$B$12:$B$59,$B130,'11.1.Амортиз.нови активи'!W$12:W$59)+('9.Инвестиционна програма'!K$132*SUMIF('11.1.Амортиз.нови активи'!$B$12:$B$59,$B130,'11.1.Амортиз.нови активи'!AR$12:AR$59))</f>
        <v>0</v>
      </c>
      <c r="X130" s="1157">
        <f>W130+SUMIF('11.1.Амортиз.нови активи'!$B$12:$B$59,$B130,'11.1.Амортиз.нови активи'!X$12:X$59)+('9.Инвестиционна програма'!L$132*SUMIF('11.1.Амортиз.нови активи'!$B$12:$B$59,$B130,'11.1.Амортиз.нови активи'!AS$12:AS$59))</f>
        <v>0</v>
      </c>
      <c r="Y130" s="2810">
        <f>X130+SUMIF('11.1.Амортиз.нови активи'!$B$12:$B$59,$B130,'11.1.Амортиз.нови активи'!Y$12:Y$59)+('9.Инвестиционна програма'!M$132*SUMIF('11.1.Амортиз.нови активи'!$B$12:$B$59,$B130,'11.1.Амортиз.нови активи'!AT$12:AT$59))</f>
        <v>0</v>
      </c>
      <c r="Z130" s="4738">
        <f>+'11.3. ДА Базова година'!T110</f>
        <v>0</v>
      </c>
      <c r="AA130" s="2809">
        <f>Z130+SUMIF('11.1.Амортиз.нови активи'!$B$12:$B$59,$B130,'11.1.Амортиз.нови активи'!AA$12:AA$59)</f>
        <v>0</v>
      </c>
      <c r="AB130" s="1157">
        <f>AA130+SUMIF('11.1.Амортиз.нови активи'!$B$12:$B$59,$B130,'11.1.Амортиз.нови активи'!AB$12:AB$59)</f>
        <v>0</v>
      </c>
      <c r="AC130" s="1157">
        <f>AB130+SUMIF('11.1.Амортиз.нови активи'!$B$12:$B$59,$B130,'11.1.Амортиз.нови активи'!AC$12:AC$59)</f>
        <v>0</v>
      </c>
      <c r="AD130" s="1157">
        <f>AC130+SUMIF('11.1.Амортиз.нови активи'!$B$12:$B$59,$B130,'11.1.Амортиз.нови активи'!AD$12:AD$59)</f>
        <v>0</v>
      </c>
      <c r="AE130" s="1157">
        <f>AD130+SUMIF('11.1.Амортиз.нови активи'!$B$12:$B$59,$B130,'11.1.Амортиз.нови активи'!AE$12:AE$59)</f>
        <v>0</v>
      </c>
      <c r="AF130" s="2810">
        <f>AE130+SUMIF('11.1.Амортиз.нови активи'!$B$12:$B$59,$B130,'11.1.Амортиз.нови активи'!AF$12:AF$59)</f>
        <v>0</v>
      </c>
      <c r="AG130" s="4738">
        <f>+'11.3. ДА Базова година'!X110</f>
        <v>0</v>
      </c>
      <c r="AH130" s="2809">
        <f>AG130+SUMIF('11.1.Амортиз.нови активи'!$B$12:$B$59,$B130,'11.1.Амортиз.нови активи'!AH$12:AH$59)</f>
        <v>0</v>
      </c>
      <c r="AI130" s="1157">
        <f>AH130+SUMIF('11.1.Амортиз.нови активи'!$B$12:$B$59,$B130,'11.1.Амортиз.нови активи'!AI$12:AI$59)</f>
        <v>0</v>
      </c>
      <c r="AJ130" s="1157">
        <f>AI130+SUMIF('11.1.Амортиз.нови активи'!$B$12:$B$59,$B130,'11.1.Амортиз.нови активи'!AJ$12:AJ$59)</f>
        <v>0</v>
      </c>
      <c r="AK130" s="1157">
        <f>AJ130+SUMIF('11.1.Амортиз.нови активи'!$B$12:$B$59,$B130,'11.1.Амортиз.нови активи'!AK$12:AK$59)</f>
        <v>0</v>
      </c>
      <c r="AL130" s="1157">
        <f>AK130+SUMIF('11.1.Амортиз.нови активи'!$B$12:$B$59,$B130,'11.1.Амортиз.нови активи'!AL$12:AL$59)</f>
        <v>0</v>
      </c>
      <c r="AM130" s="2810">
        <f>AL130+SUMIF('11.1.Амортиз.нови активи'!$B$12:$B$59,$B130,'11.1.Амортиз.нови активи'!AM$12:AM$59)</f>
        <v>0</v>
      </c>
      <c r="AN130" s="2681"/>
      <c r="AO130" s="2719"/>
      <c r="AP130" s="4775"/>
      <c r="AQ130" s="4794">
        <f t="shared" si="174"/>
        <v>38.858182970912608</v>
      </c>
      <c r="AR130" s="4794">
        <f t="shared" si="175"/>
        <v>43.97110178287479</v>
      </c>
      <c r="AS130" s="4794">
        <f t="shared" si="176"/>
        <v>49.084020594836979</v>
      </c>
      <c r="AT130" s="4794">
        <f t="shared" si="177"/>
        <v>54.19693940679916</v>
      </c>
      <c r="AU130" s="4794">
        <f t="shared" si="178"/>
        <v>59.309858218761349</v>
      </c>
      <c r="AV130" s="4794">
        <f t="shared" si="179"/>
        <v>64.422777030723537</v>
      </c>
      <c r="AW130" s="4794">
        <f t="shared" si="180"/>
        <v>69.535695842685712</v>
      </c>
      <c r="AX130" s="4794">
        <f t="shared" si="181"/>
        <v>0</v>
      </c>
      <c r="AY130" s="4794">
        <f t="shared" si="182"/>
        <v>0</v>
      </c>
      <c r="AZ130" s="4794">
        <f t="shared" si="183"/>
        <v>0</v>
      </c>
      <c r="BA130" s="4794">
        <f t="shared" si="184"/>
        <v>0</v>
      </c>
      <c r="BB130" s="4794">
        <f t="shared" si="185"/>
        <v>0</v>
      </c>
      <c r="BC130" s="4794">
        <f t="shared" si="186"/>
        <v>0</v>
      </c>
      <c r="BD130" s="4794">
        <f t="shared" si="187"/>
        <v>0</v>
      </c>
      <c r="BE130" s="4794">
        <f t="shared" si="188"/>
        <v>0</v>
      </c>
      <c r="BF130" s="4794">
        <f t="shared" si="189"/>
        <v>0</v>
      </c>
      <c r="BG130" s="4794">
        <f t="shared" si="190"/>
        <v>0</v>
      </c>
      <c r="BH130" s="4794">
        <f t="shared" si="191"/>
        <v>0</v>
      </c>
      <c r="BI130" s="4794">
        <f t="shared" si="192"/>
        <v>0</v>
      </c>
      <c r="BJ130" s="4794">
        <f t="shared" si="193"/>
        <v>0</v>
      </c>
      <c r="BK130" s="4794">
        <f t="shared" si="194"/>
        <v>0</v>
      </c>
      <c r="BL130" s="4794">
        <f t="shared" si="195"/>
        <v>0</v>
      </c>
      <c r="BM130" s="4794">
        <f t="shared" si="196"/>
        <v>0</v>
      </c>
      <c r="BN130" s="4794">
        <f t="shared" si="197"/>
        <v>0</v>
      </c>
      <c r="BO130" s="4794">
        <f t="shared" si="198"/>
        <v>0</v>
      </c>
      <c r="BP130" s="4794">
        <f t="shared" si="199"/>
        <v>0</v>
      </c>
      <c r="BQ130" s="4794">
        <f t="shared" si="200"/>
        <v>0</v>
      </c>
      <c r="BR130" s="4794">
        <f t="shared" si="201"/>
        <v>0</v>
      </c>
      <c r="BS130" s="4794">
        <f t="shared" si="202"/>
        <v>0</v>
      </c>
      <c r="BT130" s="4794">
        <f t="shared" si="203"/>
        <v>0</v>
      </c>
      <c r="BU130" s="4794">
        <f t="shared" si="204"/>
        <v>0</v>
      </c>
      <c r="BV130" s="4794">
        <f t="shared" si="205"/>
        <v>0</v>
      </c>
      <c r="BW130" s="4794">
        <f t="shared" si="206"/>
        <v>0</v>
      </c>
      <c r="BX130" s="4794">
        <f t="shared" si="207"/>
        <v>0</v>
      </c>
      <c r="BY130" s="4794">
        <f t="shared" si="208"/>
        <v>0</v>
      </c>
    </row>
    <row r="131" spans="1:77" s="1344" customFormat="1" ht="13.5" thickBot="1">
      <c r="A131" s="3951" t="s">
        <v>206</v>
      </c>
      <c r="B131" s="2707"/>
      <c r="C131" s="2707"/>
      <c r="D131" s="2670" t="s">
        <v>218</v>
      </c>
      <c r="E131" s="1265">
        <f t="shared" ref="E131" si="209">SUM(E132:E150)</f>
        <v>545</v>
      </c>
      <c r="F131" s="2807">
        <f t="shared" ref="F131:AM131" si="210">SUM(F132:F150)</f>
        <v>668.80470870065153</v>
      </c>
      <c r="G131" s="1166">
        <f t="shared" si="210"/>
        <v>771.38318181818181</v>
      </c>
      <c r="H131" s="1166">
        <f t="shared" si="210"/>
        <v>854.32438218136826</v>
      </c>
      <c r="I131" s="1167">
        <f t="shared" si="210"/>
        <v>929.98135720010691</v>
      </c>
      <c r="J131" s="1166">
        <f t="shared" si="210"/>
        <v>1004.1178601804791</v>
      </c>
      <c r="K131" s="1166">
        <f t="shared" si="210"/>
        <v>1078.4168165498374</v>
      </c>
      <c r="L131" s="1265">
        <f t="shared" si="210"/>
        <v>28</v>
      </c>
      <c r="M131" s="2807">
        <f t="shared" si="210"/>
        <v>30.270318129551548</v>
      </c>
      <c r="N131" s="1166">
        <f t="shared" si="210"/>
        <v>33.37560606060606</v>
      </c>
      <c r="O131" s="1166">
        <f t="shared" si="210"/>
        <v>36.933353367509284</v>
      </c>
      <c r="P131" s="1167">
        <f t="shared" si="210"/>
        <v>40.494154421586956</v>
      </c>
      <c r="Q131" s="1166">
        <f t="shared" si="210"/>
        <v>43.898354942433357</v>
      </c>
      <c r="R131" s="1166">
        <f t="shared" si="210"/>
        <v>47.209533253547612</v>
      </c>
      <c r="S131" s="1265">
        <f t="shared" si="210"/>
        <v>35</v>
      </c>
      <c r="T131" s="2807">
        <f t="shared" si="210"/>
        <v>39.089973169796856</v>
      </c>
      <c r="U131" s="1166">
        <f t="shared" si="210"/>
        <v>43.731212121212124</v>
      </c>
      <c r="V131" s="1166">
        <f t="shared" si="210"/>
        <v>48.532264451122501</v>
      </c>
      <c r="W131" s="1167">
        <f t="shared" si="210"/>
        <v>53.264488378306169</v>
      </c>
      <c r="X131" s="1166">
        <f t="shared" si="210"/>
        <v>57.973784877087439</v>
      </c>
      <c r="Y131" s="2808">
        <f t="shared" si="210"/>
        <v>62.713650196614807</v>
      </c>
      <c r="Z131" s="1265">
        <f t="shared" si="210"/>
        <v>0</v>
      </c>
      <c r="AA131" s="2807">
        <f t="shared" si="210"/>
        <v>0</v>
      </c>
      <c r="AB131" s="1166">
        <f t="shared" si="210"/>
        <v>0</v>
      </c>
      <c r="AC131" s="1166">
        <f t="shared" si="210"/>
        <v>0</v>
      </c>
      <c r="AD131" s="1167">
        <f t="shared" si="210"/>
        <v>0</v>
      </c>
      <c r="AE131" s="1166">
        <f t="shared" si="210"/>
        <v>0</v>
      </c>
      <c r="AF131" s="2808">
        <f t="shared" si="210"/>
        <v>0</v>
      </c>
      <c r="AG131" s="1265">
        <f t="shared" si="210"/>
        <v>0</v>
      </c>
      <c r="AH131" s="2807">
        <f t="shared" si="210"/>
        <v>0</v>
      </c>
      <c r="AI131" s="1166">
        <f t="shared" si="210"/>
        <v>0</v>
      </c>
      <c r="AJ131" s="1166">
        <f t="shared" si="210"/>
        <v>0</v>
      </c>
      <c r="AK131" s="1167">
        <f t="shared" si="210"/>
        <v>0</v>
      </c>
      <c r="AL131" s="1166">
        <f t="shared" si="210"/>
        <v>0</v>
      </c>
      <c r="AM131" s="2808">
        <f t="shared" si="210"/>
        <v>0</v>
      </c>
      <c r="AN131" s="2676"/>
      <c r="AO131" s="2719"/>
      <c r="AP131" s="4775"/>
      <c r="AQ131" s="4794">
        <f t="shared" si="174"/>
        <v>278.6540752519391</v>
      </c>
      <c r="AR131" s="4794">
        <f t="shared" si="175"/>
        <v>341.95441766444503</v>
      </c>
      <c r="AS131" s="4794">
        <f t="shared" si="176"/>
        <v>394.4019581549428</v>
      </c>
      <c r="AT131" s="4794">
        <f t="shared" si="177"/>
        <v>436.80912051730888</v>
      </c>
      <c r="AU131" s="4794">
        <f t="shared" si="178"/>
        <v>475.49191760025508</v>
      </c>
      <c r="AV131" s="4794">
        <f t="shared" si="179"/>
        <v>513.39730967439868</v>
      </c>
      <c r="AW131" s="4794">
        <f t="shared" si="180"/>
        <v>551.38576284740361</v>
      </c>
      <c r="AX131" s="4794">
        <f t="shared" si="181"/>
        <v>14.316172673494117</v>
      </c>
      <c r="AY131" s="4794">
        <f t="shared" si="182"/>
        <v>15.476967900866409</v>
      </c>
      <c r="AZ131" s="4794">
        <f t="shared" si="183"/>
        <v>17.064676408791183</v>
      </c>
      <c r="BA131" s="4794">
        <f t="shared" si="184"/>
        <v>18.883723722158514</v>
      </c>
      <c r="BB131" s="4794">
        <f t="shared" si="185"/>
        <v>20.704332391663364</v>
      </c>
      <c r="BC131" s="4794">
        <f t="shared" si="186"/>
        <v>22.444872479936066</v>
      </c>
      <c r="BD131" s="4794">
        <f t="shared" si="187"/>
        <v>24.13785106760179</v>
      </c>
      <c r="BE131" s="4794">
        <f t="shared" si="188"/>
        <v>17.895215841867646</v>
      </c>
      <c r="BF131" s="4794">
        <f t="shared" si="189"/>
        <v>19.986385917895142</v>
      </c>
      <c r="BG131" s="4794">
        <f t="shared" si="190"/>
        <v>22.35941371244542</v>
      </c>
      <c r="BH131" s="4794">
        <f t="shared" si="191"/>
        <v>24.814152789926784</v>
      </c>
      <c r="BI131" s="4794">
        <f t="shared" si="192"/>
        <v>27.233700463898277</v>
      </c>
      <c r="BJ131" s="4794">
        <f t="shared" si="193"/>
        <v>29.641525529870918</v>
      </c>
      <c r="BK131" s="4794">
        <f t="shared" si="194"/>
        <v>32.064980185708784</v>
      </c>
      <c r="BL131" s="4794">
        <f t="shared" si="195"/>
        <v>0</v>
      </c>
      <c r="BM131" s="4794">
        <f t="shared" si="196"/>
        <v>0</v>
      </c>
      <c r="BN131" s="4794">
        <f t="shared" si="197"/>
        <v>0</v>
      </c>
      <c r="BO131" s="4794">
        <f t="shared" si="198"/>
        <v>0</v>
      </c>
      <c r="BP131" s="4794">
        <f t="shared" si="199"/>
        <v>0</v>
      </c>
      <c r="BQ131" s="4794">
        <f t="shared" si="200"/>
        <v>0</v>
      </c>
      <c r="BR131" s="4794">
        <f t="shared" si="201"/>
        <v>0</v>
      </c>
      <c r="BS131" s="4794">
        <f t="shared" si="202"/>
        <v>0</v>
      </c>
      <c r="BT131" s="4794">
        <f t="shared" si="203"/>
        <v>0</v>
      </c>
      <c r="BU131" s="4794">
        <f t="shared" si="204"/>
        <v>0</v>
      </c>
      <c r="BV131" s="4794">
        <f t="shared" si="205"/>
        <v>0</v>
      </c>
      <c r="BW131" s="4794">
        <f t="shared" si="206"/>
        <v>0</v>
      </c>
      <c r="BX131" s="4794">
        <f t="shared" si="207"/>
        <v>0</v>
      </c>
      <c r="BY131" s="4794">
        <f t="shared" si="208"/>
        <v>0</v>
      </c>
    </row>
    <row r="132" spans="1:77" s="1344" customFormat="1">
      <c r="A132" s="2683">
        <v>1</v>
      </c>
      <c r="B132" s="2677">
        <v>20102</v>
      </c>
      <c r="C132" s="2701">
        <v>0</v>
      </c>
      <c r="D132" s="2731" t="s">
        <v>558</v>
      </c>
      <c r="E132" s="4738">
        <f>+'11.3. ДА Базова година'!F112</f>
        <v>0</v>
      </c>
      <c r="F132" s="2792">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155">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155">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155">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155">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155">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738">
        <f>+'11.3. ДА Базова година'!J112</f>
        <v>0</v>
      </c>
      <c r="M132" s="2789">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164">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164">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164">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164">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790">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738">
        <f>+'11.3. ДА Базова година'!N112</f>
        <v>0</v>
      </c>
      <c r="T132" s="2792">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155">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155">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155">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155">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793">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738">
        <f>+'11.3. ДА Базова година'!R112</f>
        <v>0</v>
      </c>
      <c r="AA132" s="2792">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155">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155">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155">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155">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793">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738">
        <f>+'11.3. ДА Базова година'!V112</f>
        <v>0</v>
      </c>
      <c r="AH132" s="2792">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155">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155">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155">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155">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793">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711"/>
      <c r="AO132" s="2719"/>
      <c r="AP132" s="4775"/>
      <c r="AQ132" s="4794">
        <f t="shared" si="174"/>
        <v>0</v>
      </c>
      <c r="AR132" s="4794">
        <f t="shared" si="175"/>
        <v>0</v>
      </c>
      <c r="AS132" s="4794">
        <f t="shared" si="176"/>
        <v>0</v>
      </c>
      <c r="AT132" s="4794">
        <f t="shared" si="177"/>
        <v>0</v>
      </c>
      <c r="AU132" s="4794">
        <f t="shared" si="178"/>
        <v>0</v>
      </c>
      <c r="AV132" s="4794">
        <f t="shared" si="179"/>
        <v>0</v>
      </c>
      <c r="AW132" s="4794">
        <f t="shared" si="180"/>
        <v>0</v>
      </c>
      <c r="AX132" s="4794">
        <f t="shared" si="181"/>
        <v>0</v>
      </c>
      <c r="AY132" s="4794">
        <f t="shared" si="182"/>
        <v>0</v>
      </c>
      <c r="AZ132" s="4794">
        <f t="shared" si="183"/>
        <v>0</v>
      </c>
      <c r="BA132" s="4794">
        <f t="shared" si="184"/>
        <v>0</v>
      </c>
      <c r="BB132" s="4794">
        <f t="shared" si="185"/>
        <v>0</v>
      </c>
      <c r="BC132" s="4794">
        <f t="shared" si="186"/>
        <v>0</v>
      </c>
      <c r="BD132" s="4794">
        <f t="shared" si="187"/>
        <v>0</v>
      </c>
      <c r="BE132" s="4794">
        <f t="shared" si="188"/>
        <v>0</v>
      </c>
      <c r="BF132" s="4794">
        <f t="shared" si="189"/>
        <v>0</v>
      </c>
      <c r="BG132" s="4794">
        <f t="shared" si="190"/>
        <v>0</v>
      </c>
      <c r="BH132" s="4794">
        <f t="shared" si="191"/>
        <v>0</v>
      </c>
      <c r="BI132" s="4794">
        <f t="shared" si="192"/>
        <v>0</v>
      </c>
      <c r="BJ132" s="4794">
        <f t="shared" si="193"/>
        <v>0</v>
      </c>
      <c r="BK132" s="4794">
        <f t="shared" si="194"/>
        <v>0</v>
      </c>
      <c r="BL132" s="4794">
        <f t="shared" si="195"/>
        <v>0</v>
      </c>
      <c r="BM132" s="4794">
        <f t="shared" si="196"/>
        <v>0</v>
      </c>
      <c r="BN132" s="4794">
        <f t="shared" si="197"/>
        <v>0</v>
      </c>
      <c r="BO132" s="4794">
        <f t="shared" si="198"/>
        <v>0</v>
      </c>
      <c r="BP132" s="4794">
        <f t="shared" si="199"/>
        <v>0</v>
      </c>
      <c r="BQ132" s="4794">
        <f t="shared" si="200"/>
        <v>0</v>
      </c>
      <c r="BR132" s="4794">
        <f t="shared" si="201"/>
        <v>0</v>
      </c>
      <c r="BS132" s="4794">
        <f t="shared" si="202"/>
        <v>0</v>
      </c>
      <c r="BT132" s="4794">
        <f t="shared" si="203"/>
        <v>0</v>
      </c>
      <c r="BU132" s="4794">
        <f t="shared" si="204"/>
        <v>0</v>
      </c>
      <c r="BV132" s="4794">
        <f t="shared" si="205"/>
        <v>0</v>
      </c>
      <c r="BW132" s="4794">
        <f t="shared" si="206"/>
        <v>0</v>
      </c>
      <c r="BX132" s="4794">
        <f t="shared" si="207"/>
        <v>0</v>
      </c>
      <c r="BY132" s="4794">
        <f t="shared" si="208"/>
        <v>0</v>
      </c>
    </row>
    <row r="133" spans="1:77" s="1344" customFormat="1">
      <c r="A133" s="2683">
        <v>2</v>
      </c>
      <c r="B133" s="2684">
        <v>20202</v>
      </c>
      <c r="C133" s="2685">
        <v>0.03</v>
      </c>
      <c r="D133" s="2739" t="s">
        <v>426</v>
      </c>
      <c r="E133" s="4738">
        <f>+'11.3. ДА Базова година'!F113</f>
        <v>4</v>
      </c>
      <c r="F133" s="2792">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4.2249999999999996</v>
      </c>
      <c r="G133" s="1155">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4.75</v>
      </c>
      <c r="H133" s="1155">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5.35</v>
      </c>
      <c r="I133" s="1155">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5.95</v>
      </c>
      <c r="J133" s="1155">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6.55</v>
      </c>
      <c r="K133" s="1155">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7.15</v>
      </c>
      <c r="L133" s="4738">
        <f>+'11.3. ДА Базова година'!J113</f>
        <v>0</v>
      </c>
      <c r="M133" s="2792">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155">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155">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155">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155">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793">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738">
        <f>+'11.3. ДА Базова година'!N113</f>
        <v>0</v>
      </c>
      <c r="T133" s="2792">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155">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155">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155">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155">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793">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738">
        <f>+'11.3. ДА Базова година'!R113</f>
        <v>0</v>
      </c>
      <c r="AA133" s="2792">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155">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155">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155">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155">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793">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738">
        <f>+'11.3. ДА Базова година'!V113</f>
        <v>0</v>
      </c>
      <c r="AH133" s="2792">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155">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155">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155">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155">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793">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681"/>
      <c r="AO133" s="2719"/>
      <c r="AP133" s="4775"/>
      <c r="AQ133" s="4794">
        <f t="shared" si="174"/>
        <v>2.045167524784874</v>
      </c>
      <c r="AR133" s="4794">
        <f t="shared" si="175"/>
        <v>2.1602081980540229</v>
      </c>
      <c r="AS133" s="4794">
        <f t="shared" si="176"/>
        <v>2.428636435682038</v>
      </c>
      <c r="AT133" s="4794">
        <f t="shared" si="177"/>
        <v>2.7354115643997687</v>
      </c>
      <c r="AU133" s="4794">
        <f t="shared" si="178"/>
        <v>3.0421866931175003</v>
      </c>
      <c r="AV133" s="4794">
        <f t="shared" si="179"/>
        <v>3.3489618218352311</v>
      </c>
      <c r="AW133" s="4794">
        <f t="shared" si="180"/>
        <v>3.6557369505529622</v>
      </c>
      <c r="AX133" s="4794">
        <f t="shared" si="181"/>
        <v>0</v>
      </c>
      <c r="AY133" s="4794">
        <f t="shared" si="182"/>
        <v>0</v>
      </c>
      <c r="AZ133" s="4794">
        <f t="shared" si="183"/>
        <v>0</v>
      </c>
      <c r="BA133" s="4794">
        <f t="shared" si="184"/>
        <v>0</v>
      </c>
      <c r="BB133" s="4794">
        <f t="shared" si="185"/>
        <v>0</v>
      </c>
      <c r="BC133" s="4794">
        <f t="shared" si="186"/>
        <v>0</v>
      </c>
      <c r="BD133" s="4794">
        <f t="shared" si="187"/>
        <v>0</v>
      </c>
      <c r="BE133" s="4794">
        <f t="shared" si="188"/>
        <v>0</v>
      </c>
      <c r="BF133" s="4794">
        <f t="shared" si="189"/>
        <v>0</v>
      </c>
      <c r="BG133" s="4794">
        <f t="shared" si="190"/>
        <v>0</v>
      </c>
      <c r="BH133" s="4794">
        <f t="shared" si="191"/>
        <v>0</v>
      </c>
      <c r="BI133" s="4794">
        <f t="shared" si="192"/>
        <v>0</v>
      </c>
      <c r="BJ133" s="4794">
        <f t="shared" si="193"/>
        <v>0</v>
      </c>
      <c r="BK133" s="4794">
        <f t="shared" si="194"/>
        <v>0</v>
      </c>
      <c r="BL133" s="4794">
        <f t="shared" si="195"/>
        <v>0</v>
      </c>
      <c r="BM133" s="4794">
        <f t="shared" si="196"/>
        <v>0</v>
      </c>
      <c r="BN133" s="4794">
        <f t="shared" si="197"/>
        <v>0</v>
      </c>
      <c r="BO133" s="4794">
        <f t="shared" si="198"/>
        <v>0</v>
      </c>
      <c r="BP133" s="4794">
        <f t="shared" si="199"/>
        <v>0</v>
      </c>
      <c r="BQ133" s="4794">
        <f t="shared" si="200"/>
        <v>0</v>
      </c>
      <c r="BR133" s="4794">
        <f t="shared" si="201"/>
        <v>0</v>
      </c>
      <c r="BS133" s="4794">
        <f t="shared" si="202"/>
        <v>0</v>
      </c>
      <c r="BT133" s="4794">
        <f t="shared" si="203"/>
        <v>0</v>
      </c>
      <c r="BU133" s="4794">
        <f t="shared" si="204"/>
        <v>0</v>
      </c>
      <c r="BV133" s="4794">
        <f t="shared" si="205"/>
        <v>0</v>
      </c>
      <c r="BW133" s="4794">
        <f t="shared" si="206"/>
        <v>0</v>
      </c>
      <c r="BX133" s="4794">
        <f t="shared" si="207"/>
        <v>0</v>
      </c>
      <c r="BY133" s="4794">
        <f t="shared" si="208"/>
        <v>0</v>
      </c>
    </row>
    <row r="134" spans="1:77" s="1344" customFormat="1">
      <c r="A134" s="2683">
        <v>3</v>
      </c>
      <c r="B134" s="2684">
        <v>2030401</v>
      </c>
      <c r="C134" s="2690">
        <v>0.1</v>
      </c>
      <c r="D134" s="2720" t="s">
        <v>1031</v>
      </c>
      <c r="E134" s="4738">
        <f>+'11.3. ДА Базова година'!F114</f>
        <v>3</v>
      </c>
      <c r="F134" s="2792">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3</v>
      </c>
      <c r="G134" s="1155">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3</v>
      </c>
      <c r="H134" s="1155">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3</v>
      </c>
      <c r="I134" s="1155">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3</v>
      </c>
      <c r="J134" s="1155">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3</v>
      </c>
      <c r="K134" s="1155">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3</v>
      </c>
      <c r="L134" s="4738">
        <f>+'11.3. ДА Базова година'!J114</f>
        <v>0</v>
      </c>
      <c r="M134" s="2792">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155">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155">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155">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155">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793">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738">
        <f>+'11.3. ДА Базова година'!N114</f>
        <v>0</v>
      </c>
      <c r="T134" s="2792">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155">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155">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155">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155">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793">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738">
        <f>+'11.3. ДА Базова година'!R114</f>
        <v>0</v>
      </c>
      <c r="AA134" s="2792">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155">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155">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155">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155">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793">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738">
        <f>+'11.3. ДА Базова година'!V114</f>
        <v>0</v>
      </c>
      <c r="AH134" s="2792">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155">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155">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155">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155">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793">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681"/>
      <c r="AO134" s="2719"/>
      <c r="AP134" s="4775"/>
      <c r="AQ134" s="4794">
        <f t="shared" si="174"/>
        <v>1.5338756435886556</v>
      </c>
      <c r="AR134" s="4794">
        <f t="shared" si="175"/>
        <v>1.5338756435886556</v>
      </c>
      <c r="AS134" s="4794">
        <f t="shared" si="176"/>
        <v>1.5338756435886556</v>
      </c>
      <c r="AT134" s="4794">
        <f t="shared" si="177"/>
        <v>1.5338756435886556</v>
      </c>
      <c r="AU134" s="4794">
        <f t="shared" si="178"/>
        <v>1.5338756435886556</v>
      </c>
      <c r="AV134" s="4794">
        <f t="shared" si="179"/>
        <v>1.5338756435886556</v>
      </c>
      <c r="AW134" s="4794">
        <f t="shared" si="180"/>
        <v>1.5338756435886556</v>
      </c>
      <c r="AX134" s="4794">
        <f t="shared" si="181"/>
        <v>0</v>
      </c>
      <c r="AY134" s="4794">
        <f t="shared" si="182"/>
        <v>0</v>
      </c>
      <c r="AZ134" s="4794">
        <f t="shared" si="183"/>
        <v>0</v>
      </c>
      <c r="BA134" s="4794">
        <f t="shared" si="184"/>
        <v>0</v>
      </c>
      <c r="BB134" s="4794">
        <f t="shared" si="185"/>
        <v>0</v>
      </c>
      <c r="BC134" s="4794">
        <f t="shared" si="186"/>
        <v>0</v>
      </c>
      <c r="BD134" s="4794">
        <f t="shared" si="187"/>
        <v>0</v>
      </c>
      <c r="BE134" s="4794">
        <f t="shared" si="188"/>
        <v>0</v>
      </c>
      <c r="BF134" s="4794">
        <f t="shared" si="189"/>
        <v>0</v>
      </c>
      <c r="BG134" s="4794">
        <f t="shared" si="190"/>
        <v>0</v>
      </c>
      <c r="BH134" s="4794">
        <f t="shared" si="191"/>
        <v>0</v>
      </c>
      <c r="BI134" s="4794">
        <f t="shared" si="192"/>
        <v>0</v>
      </c>
      <c r="BJ134" s="4794">
        <f t="shared" si="193"/>
        <v>0</v>
      </c>
      <c r="BK134" s="4794">
        <f t="shared" si="194"/>
        <v>0</v>
      </c>
      <c r="BL134" s="4794">
        <f t="shared" si="195"/>
        <v>0</v>
      </c>
      <c r="BM134" s="4794">
        <f t="shared" si="196"/>
        <v>0</v>
      </c>
      <c r="BN134" s="4794">
        <f t="shared" si="197"/>
        <v>0</v>
      </c>
      <c r="BO134" s="4794">
        <f t="shared" si="198"/>
        <v>0</v>
      </c>
      <c r="BP134" s="4794">
        <f t="shared" si="199"/>
        <v>0</v>
      </c>
      <c r="BQ134" s="4794">
        <f t="shared" si="200"/>
        <v>0</v>
      </c>
      <c r="BR134" s="4794">
        <f t="shared" si="201"/>
        <v>0</v>
      </c>
      <c r="BS134" s="4794">
        <f t="shared" si="202"/>
        <v>0</v>
      </c>
      <c r="BT134" s="4794">
        <f t="shared" si="203"/>
        <v>0</v>
      </c>
      <c r="BU134" s="4794">
        <f t="shared" si="204"/>
        <v>0</v>
      </c>
      <c r="BV134" s="4794">
        <f t="shared" si="205"/>
        <v>0</v>
      </c>
      <c r="BW134" s="4794">
        <f t="shared" si="206"/>
        <v>0</v>
      </c>
      <c r="BX134" s="4794">
        <f t="shared" si="207"/>
        <v>0</v>
      </c>
      <c r="BY134" s="4794">
        <f t="shared" si="208"/>
        <v>0</v>
      </c>
    </row>
    <row r="135" spans="1:77" s="1344" customFormat="1">
      <c r="A135" s="2683">
        <v>4</v>
      </c>
      <c r="B135" s="2684">
        <v>2030402</v>
      </c>
      <c r="C135" s="2690">
        <v>0.1</v>
      </c>
      <c r="D135" s="2720" t="s">
        <v>429</v>
      </c>
      <c r="E135" s="4738">
        <f>+'11.3. ДА Базова година'!F115</f>
        <v>0</v>
      </c>
      <c r="F135" s="2792">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155">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155">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155">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155">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155">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738">
        <f>+'11.3. ДА Базова година'!J115</f>
        <v>0</v>
      </c>
      <c r="M135" s="2792">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155">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155">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155">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155">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793">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738">
        <f>+'11.3. ДА Базова година'!N115</f>
        <v>0</v>
      </c>
      <c r="T135" s="2792">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155">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155">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155">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155">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793">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738">
        <f>+'11.3. ДА Базова година'!R115</f>
        <v>0</v>
      </c>
      <c r="AA135" s="2792">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155">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155">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155">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155">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793">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738">
        <f>+'11.3. ДА Базова година'!V115</f>
        <v>0</v>
      </c>
      <c r="AH135" s="2792">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155">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155">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155">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155">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793">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681"/>
      <c r="AO135" s="2719"/>
      <c r="AP135" s="4775"/>
      <c r="AQ135" s="4794">
        <f t="shared" si="174"/>
        <v>0</v>
      </c>
      <c r="AR135" s="4794">
        <f t="shared" si="175"/>
        <v>0</v>
      </c>
      <c r="AS135" s="4794">
        <f t="shared" si="176"/>
        <v>0</v>
      </c>
      <c r="AT135" s="4794">
        <f t="shared" si="177"/>
        <v>0</v>
      </c>
      <c r="AU135" s="4794">
        <f t="shared" si="178"/>
        <v>0</v>
      </c>
      <c r="AV135" s="4794">
        <f t="shared" si="179"/>
        <v>0</v>
      </c>
      <c r="AW135" s="4794">
        <f t="shared" si="180"/>
        <v>0</v>
      </c>
      <c r="AX135" s="4794">
        <f t="shared" si="181"/>
        <v>0</v>
      </c>
      <c r="AY135" s="4794">
        <f t="shared" si="182"/>
        <v>0</v>
      </c>
      <c r="AZ135" s="4794">
        <f t="shared" si="183"/>
        <v>0</v>
      </c>
      <c r="BA135" s="4794">
        <f t="shared" si="184"/>
        <v>0</v>
      </c>
      <c r="BB135" s="4794">
        <f t="shared" si="185"/>
        <v>0</v>
      </c>
      <c r="BC135" s="4794">
        <f t="shared" si="186"/>
        <v>0</v>
      </c>
      <c r="BD135" s="4794">
        <f t="shared" si="187"/>
        <v>0</v>
      </c>
      <c r="BE135" s="4794">
        <f t="shared" si="188"/>
        <v>0</v>
      </c>
      <c r="BF135" s="4794">
        <f t="shared" si="189"/>
        <v>0</v>
      </c>
      <c r="BG135" s="4794">
        <f t="shared" si="190"/>
        <v>0</v>
      </c>
      <c r="BH135" s="4794">
        <f t="shared" si="191"/>
        <v>0</v>
      </c>
      <c r="BI135" s="4794">
        <f t="shared" si="192"/>
        <v>0</v>
      </c>
      <c r="BJ135" s="4794">
        <f t="shared" si="193"/>
        <v>0</v>
      </c>
      <c r="BK135" s="4794">
        <f t="shared" si="194"/>
        <v>0</v>
      </c>
      <c r="BL135" s="4794">
        <f t="shared" si="195"/>
        <v>0</v>
      </c>
      <c r="BM135" s="4794">
        <f t="shared" si="196"/>
        <v>0</v>
      </c>
      <c r="BN135" s="4794">
        <f t="shared" si="197"/>
        <v>0</v>
      </c>
      <c r="BO135" s="4794">
        <f t="shared" si="198"/>
        <v>0</v>
      </c>
      <c r="BP135" s="4794">
        <f t="shared" si="199"/>
        <v>0</v>
      </c>
      <c r="BQ135" s="4794">
        <f t="shared" si="200"/>
        <v>0</v>
      </c>
      <c r="BR135" s="4794">
        <f t="shared" si="201"/>
        <v>0</v>
      </c>
      <c r="BS135" s="4794">
        <f t="shared" si="202"/>
        <v>0</v>
      </c>
      <c r="BT135" s="4794">
        <f t="shared" si="203"/>
        <v>0</v>
      </c>
      <c r="BU135" s="4794">
        <f t="shared" si="204"/>
        <v>0</v>
      </c>
      <c r="BV135" s="4794">
        <f t="shared" si="205"/>
        <v>0</v>
      </c>
      <c r="BW135" s="4794">
        <f t="shared" si="206"/>
        <v>0</v>
      </c>
      <c r="BX135" s="4794">
        <f t="shared" si="207"/>
        <v>0</v>
      </c>
      <c r="BY135" s="4794">
        <f t="shared" si="208"/>
        <v>0</v>
      </c>
    </row>
    <row r="136" spans="1:77" s="1344" customFormat="1">
      <c r="A136" s="2683">
        <v>5</v>
      </c>
      <c r="B136" s="2684">
        <v>2030501</v>
      </c>
      <c r="C136" s="2690">
        <v>0.1</v>
      </c>
      <c r="D136" s="2720" t="s">
        <v>408</v>
      </c>
      <c r="E136" s="4738">
        <f>+'11.3. ДА Базова година'!F116</f>
        <v>58</v>
      </c>
      <c r="F136" s="2792">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81.48970870065159</v>
      </c>
      <c r="G136" s="1155">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95.74318181818181</v>
      </c>
      <c r="H136" s="1155">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107.68438218136822</v>
      </c>
      <c r="I136" s="1155">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118.84135720010687</v>
      </c>
      <c r="J136" s="1155">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129.82786018047921</v>
      </c>
      <c r="K136" s="1155">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140.27681654983758</v>
      </c>
      <c r="L136" s="4738">
        <f>+'11.3. ДА Базова година'!J116</f>
        <v>0</v>
      </c>
      <c r="M136" s="2792">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0.13031812955155231</v>
      </c>
      <c r="N136" s="1155">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0.43560606060606055</v>
      </c>
      <c r="O136" s="1155">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0.79335336750928054</v>
      </c>
      <c r="P136" s="1155">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1.1541544215869621</v>
      </c>
      <c r="Q136" s="1155">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1.4583549424333575</v>
      </c>
      <c r="R136" s="2793">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1.7695332535476149</v>
      </c>
      <c r="S136" s="4738">
        <f>+'11.3. ДА Базова година'!N116</f>
        <v>0</v>
      </c>
      <c r="T136" s="2792">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0.229973169796857</v>
      </c>
      <c r="U136" s="1155">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0.8712121212121211</v>
      </c>
      <c r="V136" s="1155">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1.6722644511225031</v>
      </c>
      <c r="W136" s="1155">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2.4044883783061715</v>
      </c>
      <c r="X136" s="1155">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3.1137848770874386</v>
      </c>
      <c r="Y136" s="2793">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3.8536501966148053</v>
      </c>
      <c r="Z136" s="4738">
        <f>+'11.3. ДА Базова година'!R116</f>
        <v>0</v>
      </c>
      <c r="AA136" s="2792">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155">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155">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155">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155">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793">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738">
        <f>+'11.3. ДА Базова година'!V116</f>
        <v>0</v>
      </c>
      <c r="AH136" s="2792">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155">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155">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155">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155">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793">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692"/>
      <c r="AO136" s="2719"/>
      <c r="AP136" s="4775"/>
      <c r="AQ136" s="4794">
        <f t="shared" si="174"/>
        <v>29.654929109380674</v>
      </c>
      <c r="AR136" s="4794">
        <f t="shared" si="175"/>
        <v>41.665026459688008</v>
      </c>
      <c r="AS136" s="4794">
        <f t="shared" si="176"/>
        <v>48.952711543529759</v>
      </c>
      <c r="AT136" s="4794">
        <f t="shared" si="177"/>
        <v>55.05815034096431</v>
      </c>
      <c r="AU136" s="4794">
        <f t="shared" si="178"/>
        <v>60.762621086754407</v>
      </c>
      <c r="AV136" s="4794">
        <f t="shared" si="179"/>
        <v>66.379930863356847</v>
      </c>
      <c r="AW136" s="4794">
        <f t="shared" si="180"/>
        <v>71.722397421983288</v>
      </c>
      <c r="AX136" s="4794">
        <f t="shared" si="181"/>
        <v>0</v>
      </c>
      <c r="AY136" s="4794">
        <f t="shared" si="182"/>
        <v>6.6630601612385695E-2</v>
      </c>
      <c r="AZ136" s="4794">
        <f t="shared" si="183"/>
        <v>0.22272184218774665</v>
      </c>
      <c r="BA136" s="4794">
        <f t="shared" si="184"/>
        <v>0.40563513572717491</v>
      </c>
      <c r="BB136" s="4794">
        <f t="shared" si="185"/>
        <v>0.59010978540413128</v>
      </c>
      <c r="BC136" s="4794">
        <f t="shared" si="186"/>
        <v>0.7456450419685543</v>
      </c>
      <c r="BD136" s="4794">
        <f t="shared" si="187"/>
        <v>0.90474798604562512</v>
      </c>
      <c r="BE136" s="4794">
        <f t="shared" si="188"/>
        <v>0</v>
      </c>
      <c r="BF136" s="4794">
        <f t="shared" si="189"/>
        <v>0.11758341461009239</v>
      </c>
      <c r="BG136" s="4794">
        <f t="shared" si="190"/>
        <v>0.44544368437549331</v>
      </c>
      <c r="BH136" s="4794">
        <f t="shared" si="191"/>
        <v>0.85501523707198634</v>
      </c>
      <c r="BI136" s="4794">
        <f t="shared" si="192"/>
        <v>1.2293953862586071</v>
      </c>
      <c r="BJ136" s="4794">
        <f t="shared" si="193"/>
        <v>1.5920529274463724</v>
      </c>
      <c r="BK136" s="4794">
        <f t="shared" si="194"/>
        <v>1.9703400584993611</v>
      </c>
      <c r="BL136" s="4794">
        <f t="shared" si="195"/>
        <v>0</v>
      </c>
      <c r="BM136" s="4794">
        <f t="shared" si="196"/>
        <v>0</v>
      </c>
      <c r="BN136" s="4794">
        <f t="shared" si="197"/>
        <v>0</v>
      </c>
      <c r="BO136" s="4794">
        <f t="shared" si="198"/>
        <v>0</v>
      </c>
      <c r="BP136" s="4794">
        <f t="shared" si="199"/>
        <v>0</v>
      </c>
      <c r="BQ136" s="4794">
        <f t="shared" si="200"/>
        <v>0</v>
      </c>
      <c r="BR136" s="4794">
        <f t="shared" si="201"/>
        <v>0</v>
      </c>
      <c r="BS136" s="4794">
        <f t="shared" si="202"/>
        <v>0</v>
      </c>
      <c r="BT136" s="4794">
        <f t="shared" si="203"/>
        <v>0</v>
      </c>
      <c r="BU136" s="4794">
        <f t="shared" si="204"/>
        <v>0</v>
      </c>
      <c r="BV136" s="4794">
        <f t="shared" si="205"/>
        <v>0</v>
      </c>
      <c r="BW136" s="4794">
        <f t="shared" si="206"/>
        <v>0</v>
      </c>
      <c r="BX136" s="4794">
        <f t="shared" si="207"/>
        <v>0</v>
      </c>
      <c r="BY136" s="4794">
        <f t="shared" si="208"/>
        <v>0</v>
      </c>
    </row>
    <row r="137" spans="1:77" s="1344" customFormat="1" ht="24">
      <c r="A137" s="2683">
        <v>6</v>
      </c>
      <c r="B137" s="2684">
        <v>2030502</v>
      </c>
      <c r="C137" s="2690">
        <v>0.1</v>
      </c>
      <c r="D137" s="2720" t="s">
        <v>695</v>
      </c>
      <c r="E137" s="4738">
        <f>+'11.3. ДА Базова година'!F117</f>
        <v>35</v>
      </c>
      <c r="F137" s="2792">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43</v>
      </c>
      <c r="G137" s="1155">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46.5</v>
      </c>
      <c r="H137" s="1155">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49.5</v>
      </c>
      <c r="I137" s="1155">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52.5</v>
      </c>
      <c r="J137" s="1155">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55.5</v>
      </c>
      <c r="K137" s="1155">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58.5</v>
      </c>
      <c r="L137" s="4738">
        <f>+'11.3. ДА Базова година'!J117</f>
        <v>0</v>
      </c>
      <c r="M137" s="2792">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155">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155">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155">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155">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793">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738">
        <f>+'11.3. ДА Базова година'!N117</f>
        <v>0</v>
      </c>
      <c r="T137" s="2792">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155">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155">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155">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155">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793">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738">
        <f>+'11.3. ДА Базова година'!R117</f>
        <v>0</v>
      </c>
      <c r="AA137" s="2792">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155">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155">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155">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155">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793">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738">
        <f>+'11.3. ДА Базова година'!V117</f>
        <v>0</v>
      </c>
      <c r="AH137" s="2792">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155">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155">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155">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155">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793">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681"/>
      <c r="AO137" s="2719"/>
      <c r="AP137" s="4775"/>
      <c r="AQ137" s="4794">
        <f t="shared" si="174"/>
        <v>17.895215841867646</v>
      </c>
      <c r="AR137" s="4794">
        <f t="shared" si="175"/>
        <v>21.985550891437395</v>
      </c>
      <c r="AS137" s="4794">
        <f t="shared" si="176"/>
        <v>23.77507247562416</v>
      </c>
      <c r="AT137" s="4794">
        <f t="shared" si="177"/>
        <v>25.308948119212815</v>
      </c>
      <c r="AU137" s="4794">
        <f t="shared" si="178"/>
        <v>26.842823762801473</v>
      </c>
      <c r="AV137" s="4794">
        <f t="shared" si="179"/>
        <v>28.376699406390127</v>
      </c>
      <c r="AW137" s="4794">
        <f t="shared" si="180"/>
        <v>29.910575049978782</v>
      </c>
      <c r="AX137" s="4794">
        <f t="shared" si="181"/>
        <v>0</v>
      </c>
      <c r="AY137" s="4794">
        <f t="shared" si="182"/>
        <v>0</v>
      </c>
      <c r="AZ137" s="4794">
        <f t="shared" si="183"/>
        <v>0</v>
      </c>
      <c r="BA137" s="4794">
        <f t="shared" si="184"/>
        <v>0</v>
      </c>
      <c r="BB137" s="4794">
        <f t="shared" si="185"/>
        <v>0</v>
      </c>
      <c r="BC137" s="4794">
        <f t="shared" si="186"/>
        <v>0</v>
      </c>
      <c r="BD137" s="4794">
        <f t="shared" si="187"/>
        <v>0</v>
      </c>
      <c r="BE137" s="4794">
        <f t="shared" si="188"/>
        <v>0</v>
      </c>
      <c r="BF137" s="4794">
        <f t="shared" si="189"/>
        <v>0</v>
      </c>
      <c r="BG137" s="4794">
        <f t="shared" si="190"/>
        <v>0</v>
      </c>
      <c r="BH137" s="4794">
        <f t="shared" si="191"/>
        <v>0</v>
      </c>
      <c r="BI137" s="4794">
        <f t="shared" si="192"/>
        <v>0</v>
      </c>
      <c r="BJ137" s="4794">
        <f t="shared" si="193"/>
        <v>0</v>
      </c>
      <c r="BK137" s="4794">
        <f t="shared" si="194"/>
        <v>0</v>
      </c>
      <c r="BL137" s="4794">
        <f t="shared" si="195"/>
        <v>0</v>
      </c>
      <c r="BM137" s="4794">
        <f t="shared" si="196"/>
        <v>0</v>
      </c>
      <c r="BN137" s="4794">
        <f t="shared" si="197"/>
        <v>0</v>
      </c>
      <c r="BO137" s="4794">
        <f t="shared" si="198"/>
        <v>0</v>
      </c>
      <c r="BP137" s="4794">
        <f t="shared" si="199"/>
        <v>0</v>
      </c>
      <c r="BQ137" s="4794">
        <f t="shared" si="200"/>
        <v>0</v>
      </c>
      <c r="BR137" s="4794">
        <f t="shared" si="201"/>
        <v>0</v>
      </c>
      <c r="BS137" s="4794">
        <f t="shared" si="202"/>
        <v>0</v>
      </c>
      <c r="BT137" s="4794">
        <f t="shared" si="203"/>
        <v>0</v>
      </c>
      <c r="BU137" s="4794">
        <f t="shared" si="204"/>
        <v>0</v>
      </c>
      <c r="BV137" s="4794">
        <f t="shared" si="205"/>
        <v>0</v>
      </c>
      <c r="BW137" s="4794">
        <f t="shared" si="206"/>
        <v>0</v>
      </c>
      <c r="BX137" s="4794">
        <f t="shared" si="207"/>
        <v>0</v>
      </c>
      <c r="BY137" s="4794">
        <f t="shared" si="208"/>
        <v>0</v>
      </c>
    </row>
    <row r="138" spans="1:77" s="1344" customFormat="1">
      <c r="A138" s="2683">
        <v>7</v>
      </c>
      <c r="B138" s="2684">
        <v>2030503</v>
      </c>
      <c r="C138" s="2690">
        <v>0.1</v>
      </c>
      <c r="D138" s="2720" t="s">
        <v>713</v>
      </c>
      <c r="E138" s="4738">
        <f>+'11.3. ДА Базова година'!F118</f>
        <v>11</v>
      </c>
      <c r="F138" s="2792">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11</v>
      </c>
      <c r="G138" s="1155">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11</v>
      </c>
      <c r="H138" s="1155">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11</v>
      </c>
      <c r="I138" s="1155">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11</v>
      </c>
      <c r="J138" s="1155">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11</v>
      </c>
      <c r="K138" s="1155">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11</v>
      </c>
      <c r="L138" s="4738">
        <f>+'11.3. ДА Базова година'!J118</f>
        <v>0</v>
      </c>
      <c r="M138" s="2792">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155">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155">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155">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155">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793">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738">
        <f>+'11.3. ДА Базова година'!N118</f>
        <v>0</v>
      </c>
      <c r="T138" s="2792">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155">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155">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155">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155">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2793">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738">
        <f>+'11.3. ДА Базова година'!R118</f>
        <v>0</v>
      </c>
      <c r="AA138" s="2792">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155">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155">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155">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155">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793">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738">
        <f>+'11.3. ДА Базова година'!V118</f>
        <v>0</v>
      </c>
      <c r="AH138" s="2792">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155">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155">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155">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155">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793">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681"/>
      <c r="AO138" s="2719"/>
      <c r="AP138" s="4775"/>
      <c r="AQ138" s="4794">
        <f t="shared" si="174"/>
        <v>5.6242106931584033</v>
      </c>
      <c r="AR138" s="4794">
        <f t="shared" si="175"/>
        <v>5.6242106931584033</v>
      </c>
      <c r="AS138" s="4794">
        <f t="shared" si="176"/>
        <v>5.6242106931584033</v>
      </c>
      <c r="AT138" s="4794">
        <f t="shared" si="177"/>
        <v>5.6242106931584033</v>
      </c>
      <c r="AU138" s="4794">
        <f t="shared" si="178"/>
        <v>5.6242106931584033</v>
      </c>
      <c r="AV138" s="4794">
        <f t="shared" si="179"/>
        <v>5.6242106931584033</v>
      </c>
      <c r="AW138" s="4794">
        <f t="shared" si="180"/>
        <v>5.6242106931584033</v>
      </c>
      <c r="AX138" s="4794">
        <f t="shared" si="181"/>
        <v>0</v>
      </c>
      <c r="AY138" s="4794">
        <f t="shared" si="182"/>
        <v>0</v>
      </c>
      <c r="AZ138" s="4794">
        <f t="shared" si="183"/>
        <v>0</v>
      </c>
      <c r="BA138" s="4794">
        <f t="shared" si="184"/>
        <v>0</v>
      </c>
      <c r="BB138" s="4794">
        <f t="shared" si="185"/>
        <v>0</v>
      </c>
      <c r="BC138" s="4794">
        <f t="shared" si="186"/>
        <v>0</v>
      </c>
      <c r="BD138" s="4794">
        <f t="shared" si="187"/>
        <v>0</v>
      </c>
      <c r="BE138" s="4794">
        <f t="shared" si="188"/>
        <v>0</v>
      </c>
      <c r="BF138" s="4794">
        <f t="shared" si="189"/>
        <v>0</v>
      </c>
      <c r="BG138" s="4794">
        <f t="shared" si="190"/>
        <v>0</v>
      </c>
      <c r="BH138" s="4794">
        <f t="shared" si="191"/>
        <v>0</v>
      </c>
      <c r="BI138" s="4794">
        <f t="shared" si="192"/>
        <v>0</v>
      </c>
      <c r="BJ138" s="4794">
        <f t="shared" si="193"/>
        <v>0</v>
      </c>
      <c r="BK138" s="4794">
        <f t="shared" si="194"/>
        <v>0</v>
      </c>
      <c r="BL138" s="4794">
        <f t="shared" si="195"/>
        <v>0</v>
      </c>
      <c r="BM138" s="4794">
        <f t="shared" si="196"/>
        <v>0</v>
      </c>
      <c r="BN138" s="4794">
        <f t="shared" si="197"/>
        <v>0</v>
      </c>
      <c r="BO138" s="4794">
        <f t="shared" si="198"/>
        <v>0</v>
      </c>
      <c r="BP138" s="4794">
        <f t="shared" si="199"/>
        <v>0</v>
      </c>
      <c r="BQ138" s="4794">
        <f t="shared" si="200"/>
        <v>0</v>
      </c>
      <c r="BR138" s="4794">
        <f t="shared" si="201"/>
        <v>0</v>
      </c>
      <c r="BS138" s="4794">
        <f t="shared" si="202"/>
        <v>0</v>
      </c>
      <c r="BT138" s="4794">
        <f t="shared" si="203"/>
        <v>0</v>
      </c>
      <c r="BU138" s="4794">
        <f t="shared" si="204"/>
        <v>0</v>
      </c>
      <c r="BV138" s="4794">
        <f t="shared" si="205"/>
        <v>0</v>
      </c>
      <c r="BW138" s="4794">
        <f t="shared" si="206"/>
        <v>0</v>
      </c>
      <c r="BX138" s="4794">
        <f t="shared" si="207"/>
        <v>0</v>
      </c>
      <c r="BY138" s="4794">
        <f t="shared" si="208"/>
        <v>0</v>
      </c>
    </row>
    <row r="139" spans="1:77" s="1344" customFormat="1">
      <c r="A139" s="2683">
        <v>8</v>
      </c>
      <c r="B139" s="2684">
        <v>2040101</v>
      </c>
      <c r="C139" s="2740">
        <v>0.1</v>
      </c>
      <c r="D139" s="2714" t="s">
        <v>1016</v>
      </c>
      <c r="E139" s="4738">
        <f>+'11.3. ДА Базова година'!F119</f>
        <v>0</v>
      </c>
      <c r="F139" s="2792">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155">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155">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155">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155">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155">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738">
        <f>+'11.3. ДА Базова година'!J119</f>
        <v>0</v>
      </c>
      <c r="M139" s="2792">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155">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155">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155">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155">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793">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738">
        <f>+'11.3. ДА Базова година'!N119</f>
        <v>0</v>
      </c>
      <c r="T139" s="2792">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155">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155">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155">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155">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793">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738">
        <f>+'11.3. ДА Базова година'!R119</f>
        <v>0</v>
      </c>
      <c r="AA139" s="2792">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155">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155">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155">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155">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793">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738">
        <f>+'11.3. ДА Базова година'!V119</f>
        <v>0</v>
      </c>
      <c r="AH139" s="2792">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155">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155">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155">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155">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793">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681"/>
      <c r="AO139" s="2719"/>
      <c r="AP139" s="4775"/>
      <c r="AQ139" s="4794">
        <f t="shared" si="174"/>
        <v>0</v>
      </c>
      <c r="AR139" s="4794">
        <f t="shared" si="175"/>
        <v>0</v>
      </c>
      <c r="AS139" s="4794">
        <f t="shared" si="176"/>
        <v>0</v>
      </c>
      <c r="AT139" s="4794">
        <f t="shared" si="177"/>
        <v>0</v>
      </c>
      <c r="AU139" s="4794">
        <f t="shared" si="178"/>
        <v>0</v>
      </c>
      <c r="AV139" s="4794">
        <f t="shared" si="179"/>
        <v>0</v>
      </c>
      <c r="AW139" s="4794">
        <f t="shared" si="180"/>
        <v>0</v>
      </c>
      <c r="AX139" s="4794">
        <f t="shared" si="181"/>
        <v>0</v>
      </c>
      <c r="AY139" s="4794">
        <f t="shared" si="182"/>
        <v>0</v>
      </c>
      <c r="AZ139" s="4794">
        <f t="shared" si="183"/>
        <v>0</v>
      </c>
      <c r="BA139" s="4794">
        <f t="shared" si="184"/>
        <v>0</v>
      </c>
      <c r="BB139" s="4794">
        <f t="shared" si="185"/>
        <v>0</v>
      </c>
      <c r="BC139" s="4794">
        <f t="shared" si="186"/>
        <v>0</v>
      </c>
      <c r="BD139" s="4794">
        <f t="shared" si="187"/>
        <v>0</v>
      </c>
      <c r="BE139" s="4794">
        <f t="shared" si="188"/>
        <v>0</v>
      </c>
      <c r="BF139" s="4794">
        <f t="shared" si="189"/>
        <v>0</v>
      </c>
      <c r="BG139" s="4794">
        <f t="shared" si="190"/>
        <v>0</v>
      </c>
      <c r="BH139" s="4794">
        <f t="shared" si="191"/>
        <v>0</v>
      </c>
      <c r="BI139" s="4794">
        <f t="shared" si="192"/>
        <v>0</v>
      </c>
      <c r="BJ139" s="4794">
        <f t="shared" si="193"/>
        <v>0</v>
      </c>
      <c r="BK139" s="4794">
        <f t="shared" si="194"/>
        <v>0</v>
      </c>
      <c r="BL139" s="4794">
        <f t="shared" si="195"/>
        <v>0</v>
      </c>
      <c r="BM139" s="4794">
        <f t="shared" si="196"/>
        <v>0</v>
      </c>
      <c r="BN139" s="4794">
        <f t="shared" si="197"/>
        <v>0</v>
      </c>
      <c r="BO139" s="4794">
        <f t="shared" si="198"/>
        <v>0</v>
      </c>
      <c r="BP139" s="4794">
        <f t="shared" si="199"/>
        <v>0</v>
      </c>
      <c r="BQ139" s="4794">
        <f t="shared" si="200"/>
        <v>0</v>
      </c>
      <c r="BR139" s="4794">
        <f t="shared" si="201"/>
        <v>0</v>
      </c>
      <c r="BS139" s="4794">
        <f t="shared" si="202"/>
        <v>0</v>
      </c>
      <c r="BT139" s="4794">
        <f t="shared" si="203"/>
        <v>0</v>
      </c>
      <c r="BU139" s="4794">
        <f t="shared" si="204"/>
        <v>0</v>
      </c>
      <c r="BV139" s="4794">
        <f t="shared" si="205"/>
        <v>0</v>
      </c>
      <c r="BW139" s="4794">
        <f t="shared" si="206"/>
        <v>0</v>
      </c>
      <c r="BX139" s="4794">
        <f t="shared" si="207"/>
        <v>0</v>
      </c>
      <c r="BY139" s="4794">
        <f t="shared" si="208"/>
        <v>0</v>
      </c>
    </row>
    <row r="140" spans="1:77" s="1344" customFormat="1">
      <c r="A140" s="2741">
        <v>9</v>
      </c>
      <c r="B140" s="2684">
        <v>2040102</v>
      </c>
      <c r="C140" s="2740">
        <v>0.04</v>
      </c>
      <c r="D140" s="2714" t="s">
        <v>432</v>
      </c>
      <c r="E140" s="4738">
        <f>+'11.3. ДА Базова година'!F120</f>
        <v>0</v>
      </c>
      <c r="F140" s="2792">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155">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155">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155">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155">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155">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738">
        <f>+'11.3. ДА Базова година'!J120</f>
        <v>0</v>
      </c>
      <c r="M140" s="2792">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155">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155">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155">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155">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793">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738">
        <f>+'11.3. ДА Базова година'!N120</f>
        <v>0</v>
      </c>
      <c r="T140" s="2792">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155">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155">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155">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155">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793">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738">
        <f>+'11.3. ДА Базова година'!R120</f>
        <v>0</v>
      </c>
      <c r="AA140" s="2792">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155">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155">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155">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155">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793">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738">
        <f>+'11.3. ДА Базова година'!V120</f>
        <v>0</v>
      </c>
      <c r="AH140" s="2792">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155">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155">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155">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155">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793">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681"/>
      <c r="AO140" s="2719"/>
      <c r="AP140" s="4775"/>
      <c r="AQ140" s="4794">
        <f t="shared" si="174"/>
        <v>0</v>
      </c>
      <c r="AR140" s="4794">
        <f t="shared" si="175"/>
        <v>0</v>
      </c>
      <c r="AS140" s="4794">
        <f t="shared" si="176"/>
        <v>0</v>
      </c>
      <c r="AT140" s="4794">
        <f t="shared" si="177"/>
        <v>0</v>
      </c>
      <c r="AU140" s="4794">
        <f t="shared" si="178"/>
        <v>0</v>
      </c>
      <c r="AV140" s="4794">
        <f t="shared" si="179"/>
        <v>0</v>
      </c>
      <c r="AW140" s="4794">
        <f t="shared" si="180"/>
        <v>0</v>
      </c>
      <c r="AX140" s="4794">
        <f t="shared" si="181"/>
        <v>0</v>
      </c>
      <c r="AY140" s="4794">
        <f t="shared" si="182"/>
        <v>0</v>
      </c>
      <c r="AZ140" s="4794">
        <f t="shared" si="183"/>
        <v>0</v>
      </c>
      <c r="BA140" s="4794">
        <f t="shared" si="184"/>
        <v>0</v>
      </c>
      <c r="BB140" s="4794">
        <f t="shared" si="185"/>
        <v>0</v>
      </c>
      <c r="BC140" s="4794">
        <f t="shared" si="186"/>
        <v>0</v>
      </c>
      <c r="BD140" s="4794">
        <f t="shared" si="187"/>
        <v>0</v>
      </c>
      <c r="BE140" s="4794">
        <f t="shared" si="188"/>
        <v>0</v>
      </c>
      <c r="BF140" s="4794">
        <f t="shared" si="189"/>
        <v>0</v>
      </c>
      <c r="BG140" s="4794">
        <f t="shared" si="190"/>
        <v>0</v>
      </c>
      <c r="BH140" s="4794">
        <f t="shared" si="191"/>
        <v>0</v>
      </c>
      <c r="BI140" s="4794">
        <f t="shared" si="192"/>
        <v>0</v>
      </c>
      <c r="BJ140" s="4794">
        <f t="shared" si="193"/>
        <v>0</v>
      </c>
      <c r="BK140" s="4794">
        <f t="shared" si="194"/>
        <v>0</v>
      </c>
      <c r="BL140" s="4794">
        <f t="shared" si="195"/>
        <v>0</v>
      </c>
      <c r="BM140" s="4794">
        <f t="shared" si="196"/>
        <v>0</v>
      </c>
      <c r="BN140" s="4794">
        <f t="shared" si="197"/>
        <v>0</v>
      </c>
      <c r="BO140" s="4794">
        <f t="shared" si="198"/>
        <v>0</v>
      </c>
      <c r="BP140" s="4794">
        <f t="shared" si="199"/>
        <v>0</v>
      </c>
      <c r="BQ140" s="4794">
        <f t="shared" si="200"/>
        <v>0</v>
      </c>
      <c r="BR140" s="4794">
        <f t="shared" si="201"/>
        <v>0</v>
      </c>
      <c r="BS140" s="4794">
        <f t="shared" si="202"/>
        <v>0</v>
      </c>
      <c r="BT140" s="4794">
        <f t="shared" si="203"/>
        <v>0</v>
      </c>
      <c r="BU140" s="4794">
        <f t="shared" si="204"/>
        <v>0</v>
      </c>
      <c r="BV140" s="4794">
        <f t="shared" si="205"/>
        <v>0</v>
      </c>
      <c r="BW140" s="4794">
        <f t="shared" si="206"/>
        <v>0</v>
      </c>
      <c r="BX140" s="4794">
        <f t="shared" si="207"/>
        <v>0</v>
      </c>
      <c r="BY140" s="4794">
        <f t="shared" si="208"/>
        <v>0</v>
      </c>
    </row>
    <row r="141" spans="1:77" s="1344" customFormat="1">
      <c r="A141" s="2741">
        <v>10</v>
      </c>
      <c r="B141" s="2684">
        <v>2040201</v>
      </c>
      <c r="C141" s="2685">
        <v>0.02</v>
      </c>
      <c r="D141" s="2715" t="s">
        <v>738</v>
      </c>
      <c r="E141" s="4738">
        <f>+'11.3. ДА Базова година'!F121</f>
        <v>0</v>
      </c>
      <c r="F141" s="2792">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155">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155">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155">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155">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155">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738">
        <f>+'11.3. ДА Базова година'!J121</f>
        <v>0</v>
      </c>
      <c r="M141" s="2792">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155">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155">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155">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155">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793">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738">
        <f>+'11.3. ДА Базова година'!N121</f>
        <v>0</v>
      </c>
      <c r="T141" s="2792">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155">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155">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155">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155">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793">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738">
        <f>+'11.3. ДА Базова година'!R121</f>
        <v>0</v>
      </c>
      <c r="AA141" s="2792">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155">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155">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155">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155">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793">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738">
        <f>+'11.3. ДА Базова година'!V121</f>
        <v>0</v>
      </c>
      <c r="AH141" s="2792">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155">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155">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155">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155">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793">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681"/>
      <c r="AO141" s="2719"/>
      <c r="AP141" s="4775"/>
      <c r="AQ141" s="4794">
        <f t="shared" si="174"/>
        <v>0</v>
      </c>
      <c r="AR141" s="4794">
        <f t="shared" si="175"/>
        <v>0</v>
      </c>
      <c r="AS141" s="4794">
        <f t="shared" si="176"/>
        <v>0</v>
      </c>
      <c r="AT141" s="4794">
        <f t="shared" si="177"/>
        <v>0</v>
      </c>
      <c r="AU141" s="4794">
        <f t="shared" si="178"/>
        <v>0</v>
      </c>
      <c r="AV141" s="4794">
        <f t="shared" si="179"/>
        <v>0</v>
      </c>
      <c r="AW141" s="4794">
        <f t="shared" si="180"/>
        <v>0</v>
      </c>
      <c r="AX141" s="4794">
        <f t="shared" si="181"/>
        <v>0</v>
      </c>
      <c r="AY141" s="4794">
        <f t="shared" si="182"/>
        <v>0</v>
      </c>
      <c r="AZ141" s="4794">
        <f t="shared" si="183"/>
        <v>0</v>
      </c>
      <c r="BA141" s="4794">
        <f t="shared" si="184"/>
        <v>0</v>
      </c>
      <c r="BB141" s="4794">
        <f t="shared" si="185"/>
        <v>0</v>
      </c>
      <c r="BC141" s="4794">
        <f t="shared" si="186"/>
        <v>0</v>
      </c>
      <c r="BD141" s="4794">
        <f t="shared" si="187"/>
        <v>0</v>
      </c>
      <c r="BE141" s="4794">
        <f t="shared" si="188"/>
        <v>0</v>
      </c>
      <c r="BF141" s="4794">
        <f t="shared" si="189"/>
        <v>0</v>
      </c>
      <c r="BG141" s="4794">
        <f t="shared" si="190"/>
        <v>0</v>
      </c>
      <c r="BH141" s="4794">
        <f t="shared" si="191"/>
        <v>0</v>
      </c>
      <c r="BI141" s="4794">
        <f t="shared" si="192"/>
        <v>0</v>
      </c>
      <c r="BJ141" s="4794">
        <f t="shared" si="193"/>
        <v>0</v>
      </c>
      <c r="BK141" s="4794">
        <f t="shared" si="194"/>
        <v>0</v>
      </c>
      <c r="BL141" s="4794">
        <f t="shared" si="195"/>
        <v>0</v>
      </c>
      <c r="BM141" s="4794">
        <f t="shared" si="196"/>
        <v>0</v>
      </c>
      <c r="BN141" s="4794">
        <f t="shared" si="197"/>
        <v>0</v>
      </c>
      <c r="BO141" s="4794">
        <f t="shared" si="198"/>
        <v>0</v>
      </c>
      <c r="BP141" s="4794">
        <f t="shared" si="199"/>
        <v>0</v>
      </c>
      <c r="BQ141" s="4794">
        <f t="shared" si="200"/>
        <v>0</v>
      </c>
      <c r="BR141" s="4794">
        <f t="shared" si="201"/>
        <v>0</v>
      </c>
      <c r="BS141" s="4794">
        <f t="shared" si="202"/>
        <v>0</v>
      </c>
      <c r="BT141" s="4794">
        <f t="shared" si="203"/>
        <v>0</v>
      </c>
      <c r="BU141" s="4794">
        <f t="shared" si="204"/>
        <v>0</v>
      </c>
      <c r="BV141" s="4794">
        <f t="shared" si="205"/>
        <v>0</v>
      </c>
      <c r="BW141" s="4794">
        <f t="shared" si="206"/>
        <v>0</v>
      </c>
      <c r="BX141" s="4794">
        <f t="shared" si="207"/>
        <v>0</v>
      </c>
      <c r="BY141" s="4794">
        <f t="shared" si="208"/>
        <v>0</v>
      </c>
    </row>
    <row r="142" spans="1:77" s="1344" customFormat="1">
      <c r="A142" s="2741">
        <v>11</v>
      </c>
      <c r="B142" s="2684">
        <v>2040202</v>
      </c>
      <c r="C142" s="2685">
        <v>0.02</v>
      </c>
      <c r="D142" s="2715" t="s">
        <v>739</v>
      </c>
      <c r="E142" s="4738">
        <f>+'11.3. ДА Базова година'!F122</f>
        <v>5</v>
      </c>
      <c r="F142" s="2792">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6</v>
      </c>
      <c r="G142" s="1155">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7.5</v>
      </c>
      <c r="H142" s="1155">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8.3000000000000007</v>
      </c>
      <c r="I142" s="1155">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8.9</v>
      </c>
      <c r="J142" s="1155">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9.5</v>
      </c>
      <c r="K142" s="1155">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10.1</v>
      </c>
      <c r="L142" s="4738">
        <f>+'11.3. ДА Базова година'!J122</f>
        <v>0</v>
      </c>
      <c r="M142" s="2792">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155">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155">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155">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155">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793">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738">
        <f>+'11.3. ДА Базова година'!N122</f>
        <v>0</v>
      </c>
      <c r="T142" s="2792">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155">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155">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155">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155">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793">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738">
        <f>+'11.3. ДА Базова година'!R122</f>
        <v>0</v>
      </c>
      <c r="AA142" s="2792">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155">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155">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155">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155">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793">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738">
        <f>+'11.3. ДА Базова година'!V122</f>
        <v>0</v>
      </c>
      <c r="AH142" s="2792">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155">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155">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155">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155">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793">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681"/>
      <c r="AO142" s="2719"/>
      <c r="AP142" s="4775"/>
      <c r="AQ142" s="4794">
        <f t="shared" si="174"/>
        <v>2.5564594059810926</v>
      </c>
      <c r="AR142" s="4794">
        <f t="shared" si="175"/>
        <v>3.0677512871773112</v>
      </c>
      <c r="AS142" s="4794">
        <f t="shared" si="176"/>
        <v>3.8346891089716388</v>
      </c>
      <c r="AT142" s="4794">
        <f t="shared" si="177"/>
        <v>4.2437226139286137</v>
      </c>
      <c r="AU142" s="4794">
        <f t="shared" si="178"/>
        <v>4.5504977426463444</v>
      </c>
      <c r="AV142" s="4794">
        <f t="shared" si="179"/>
        <v>4.857272871364076</v>
      </c>
      <c r="AW142" s="4794">
        <f t="shared" si="180"/>
        <v>5.1640480000818068</v>
      </c>
      <c r="AX142" s="4794">
        <f t="shared" si="181"/>
        <v>0</v>
      </c>
      <c r="AY142" s="4794">
        <f t="shared" si="182"/>
        <v>0</v>
      </c>
      <c r="AZ142" s="4794">
        <f t="shared" si="183"/>
        <v>0</v>
      </c>
      <c r="BA142" s="4794">
        <f t="shared" si="184"/>
        <v>0</v>
      </c>
      <c r="BB142" s="4794">
        <f t="shared" si="185"/>
        <v>0</v>
      </c>
      <c r="BC142" s="4794">
        <f t="shared" si="186"/>
        <v>0</v>
      </c>
      <c r="BD142" s="4794">
        <f t="shared" si="187"/>
        <v>0</v>
      </c>
      <c r="BE142" s="4794">
        <f t="shared" si="188"/>
        <v>0</v>
      </c>
      <c r="BF142" s="4794">
        <f t="shared" si="189"/>
        <v>0</v>
      </c>
      <c r="BG142" s="4794">
        <f t="shared" si="190"/>
        <v>0</v>
      </c>
      <c r="BH142" s="4794">
        <f t="shared" si="191"/>
        <v>0</v>
      </c>
      <c r="BI142" s="4794">
        <f t="shared" si="192"/>
        <v>0</v>
      </c>
      <c r="BJ142" s="4794">
        <f t="shared" si="193"/>
        <v>0</v>
      </c>
      <c r="BK142" s="4794">
        <f t="shared" si="194"/>
        <v>0</v>
      </c>
      <c r="BL142" s="4794">
        <f t="shared" si="195"/>
        <v>0</v>
      </c>
      <c r="BM142" s="4794">
        <f t="shared" si="196"/>
        <v>0</v>
      </c>
      <c r="BN142" s="4794">
        <f t="shared" si="197"/>
        <v>0</v>
      </c>
      <c r="BO142" s="4794">
        <f t="shared" si="198"/>
        <v>0</v>
      </c>
      <c r="BP142" s="4794">
        <f t="shared" si="199"/>
        <v>0</v>
      </c>
      <c r="BQ142" s="4794">
        <f t="shared" si="200"/>
        <v>0</v>
      </c>
      <c r="BR142" s="4794">
        <f t="shared" si="201"/>
        <v>0</v>
      </c>
      <c r="BS142" s="4794">
        <f t="shared" si="202"/>
        <v>0</v>
      </c>
      <c r="BT142" s="4794">
        <f t="shared" si="203"/>
        <v>0</v>
      </c>
      <c r="BU142" s="4794">
        <f t="shared" si="204"/>
        <v>0</v>
      </c>
      <c r="BV142" s="4794">
        <f t="shared" si="205"/>
        <v>0</v>
      </c>
      <c r="BW142" s="4794">
        <f t="shared" si="206"/>
        <v>0</v>
      </c>
      <c r="BX142" s="4794">
        <f t="shared" si="207"/>
        <v>0</v>
      </c>
      <c r="BY142" s="4794">
        <f t="shared" si="208"/>
        <v>0</v>
      </c>
    </row>
    <row r="143" spans="1:77" s="1344" customFormat="1">
      <c r="A143" s="2741">
        <v>12</v>
      </c>
      <c r="B143" s="2684">
        <v>2040203</v>
      </c>
      <c r="C143" s="2685">
        <v>0.02</v>
      </c>
      <c r="D143" s="2715" t="s">
        <v>418</v>
      </c>
      <c r="E143" s="4738">
        <f>+'11.3. ДА Базова година'!F123</f>
        <v>0</v>
      </c>
      <c r="F143" s="2792">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155">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155">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155">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155">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155">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738">
        <f>+'11.3. ДА Базова година'!J123</f>
        <v>0</v>
      </c>
      <c r="M143" s="2792">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155">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155">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155">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155">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793">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738">
        <f>+'11.3. ДА Базова година'!N123</f>
        <v>0</v>
      </c>
      <c r="T143" s="2792">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155">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155">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155">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155">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793">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738">
        <f>+'11.3. ДА Базова година'!R123</f>
        <v>0</v>
      </c>
      <c r="AA143" s="2792">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155">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155">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155">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155">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793">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738">
        <f>+'11.3. ДА Базова година'!V123</f>
        <v>0</v>
      </c>
      <c r="AH143" s="2792">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155">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155">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155">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155">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793">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681"/>
      <c r="AO143" s="2719"/>
      <c r="AP143" s="4775"/>
      <c r="AQ143" s="4794">
        <f t="shared" si="174"/>
        <v>0</v>
      </c>
      <c r="AR143" s="4794">
        <f t="shared" si="175"/>
        <v>0</v>
      </c>
      <c r="AS143" s="4794">
        <f t="shared" si="176"/>
        <v>0</v>
      </c>
      <c r="AT143" s="4794">
        <f t="shared" si="177"/>
        <v>0</v>
      </c>
      <c r="AU143" s="4794">
        <f t="shared" si="178"/>
        <v>0</v>
      </c>
      <c r="AV143" s="4794">
        <f t="shared" si="179"/>
        <v>0</v>
      </c>
      <c r="AW143" s="4794">
        <f t="shared" si="180"/>
        <v>0</v>
      </c>
      <c r="AX143" s="4794">
        <f t="shared" si="181"/>
        <v>0</v>
      </c>
      <c r="AY143" s="4794">
        <f t="shared" si="182"/>
        <v>0</v>
      </c>
      <c r="AZ143" s="4794">
        <f t="shared" si="183"/>
        <v>0</v>
      </c>
      <c r="BA143" s="4794">
        <f t="shared" si="184"/>
        <v>0</v>
      </c>
      <c r="BB143" s="4794">
        <f t="shared" si="185"/>
        <v>0</v>
      </c>
      <c r="BC143" s="4794">
        <f t="shared" si="186"/>
        <v>0</v>
      </c>
      <c r="BD143" s="4794">
        <f t="shared" si="187"/>
        <v>0</v>
      </c>
      <c r="BE143" s="4794">
        <f t="shared" si="188"/>
        <v>0</v>
      </c>
      <c r="BF143" s="4794">
        <f t="shared" si="189"/>
        <v>0</v>
      </c>
      <c r="BG143" s="4794">
        <f t="shared" si="190"/>
        <v>0</v>
      </c>
      <c r="BH143" s="4794">
        <f t="shared" si="191"/>
        <v>0</v>
      </c>
      <c r="BI143" s="4794">
        <f t="shared" si="192"/>
        <v>0</v>
      </c>
      <c r="BJ143" s="4794">
        <f t="shared" si="193"/>
        <v>0</v>
      </c>
      <c r="BK143" s="4794">
        <f t="shared" si="194"/>
        <v>0</v>
      </c>
      <c r="BL143" s="4794">
        <f t="shared" si="195"/>
        <v>0</v>
      </c>
      <c r="BM143" s="4794">
        <f t="shared" si="196"/>
        <v>0</v>
      </c>
      <c r="BN143" s="4794">
        <f t="shared" si="197"/>
        <v>0</v>
      </c>
      <c r="BO143" s="4794">
        <f t="shared" si="198"/>
        <v>0</v>
      </c>
      <c r="BP143" s="4794">
        <f t="shared" si="199"/>
        <v>0</v>
      </c>
      <c r="BQ143" s="4794">
        <f t="shared" si="200"/>
        <v>0</v>
      </c>
      <c r="BR143" s="4794">
        <f t="shared" si="201"/>
        <v>0</v>
      </c>
      <c r="BS143" s="4794">
        <f t="shared" si="202"/>
        <v>0</v>
      </c>
      <c r="BT143" s="4794">
        <f t="shared" si="203"/>
        <v>0</v>
      </c>
      <c r="BU143" s="4794">
        <f t="shared" si="204"/>
        <v>0</v>
      </c>
      <c r="BV143" s="4794">
        <f t="shared" si="205"/>
        <v>0</v>
      </c>
      <c r="BW143" s="4794">
        <f t="shared" si="206"/>
        <v>0</v>
      </c>
      <c r="BX143" s="4794">
        <f t="shared" si="207"/>
        <v>0</v>
      </c>
      <c r="BY143" s="4794">
        <f t="shared" si="208"/>
        <v>0</v>
      </c>
    </row>
    <row r="144" spans="1:77" s="1344" customFormat="1">
      <c r="A144" s="2741">
        <v>13</v>
      </c>
      <c r="B144" s="2684">
        <v>2040204</v>
      </c>
      <c r="C144" s="2685">
        <v>0.02</v>
      </c>
      <c r="D144" s="2714" t="s">
        <v>419</v>
      </c>
      <c r="E144" s="4738">
        <f>+'11.3. ДА Базова година'!F124</f>
        <v>1</v>
      </c>
      <c r="F144" s="2792">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1</v>
      </c>
      <c r="G144" s="1155">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1</v>
      </c>
      <c r="H144" s="1155">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1</v>
      </c>
      <c r="I144" s="1155">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1</v>
      </c>
      <c r="J144" s="1155">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1</v>
      </c>
      <c r="K144" s="1155">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1</v>
      </c>
      <c r="L144" s="4738">
        <f>+'11.3. ДА Базова година'!J124</f>
        <v>0</v>
      </c>
      <c r="M144" s="2792">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155">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155">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155">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155">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793">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738">
        <f>+'11.3. ДА Базова година'!N124</f>
        <v>0</v>
      </c>
      <c r="T144" s="2792">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155">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155">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155">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155">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793">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738">
        <f>+'11.3. ДА Базова година'!R124</f>
        <v>0</v>
      </c>
      <c r="AA144" s="2792">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155">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155">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155">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155">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793">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738">
        <f>+'11.3. ДА Базова година'!V124</f>
        <v>0</v>
      </c>
      <c r="AH144" s="2792">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155">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155">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155">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155">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793">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681"/>
      <c r="AO144" s="2719"/>
      <c r="AP144" s="4775"/>
      <c r="AQ144" s="4794">
        <f t="shared" si="174"/>
        <v>0.51129188119621849</v>
      </c>
      <c r="AR144" s="4794">
        <f t="shared" si="175"/>
        <v>0.51129188119621849</v>
      </c>
      <c r="AS144" s="4794">
        <f t="shared" si="176"/>
        <v>0.51129188119621849</v>
      </c>
      <c r="AT144" s="4794">
        <f t="shared" si="177"/>
        <v>0.51129188119621849</v>
      </c>
      <c r="AU144" s="4794">
        <f t="shared" si="178"/>
        <v>0.51129188119621849</v>
      </c>
      <c r="AV144" s="4794">
        <f t="shared" si="179"/>
        <v>0.51129188119621849</v>
      </c>
      <c r="AW144" s="4794">
        <f t="shared" si="180"/>
        <v>0.51129188119621849</v>
      </c>
      <c r="AX144" s="4794">
        <f t="shared" si="181"/>
        <v>0</v>
      </c>
      <c r="AY144" s="4794">
        <f t="shared" si="182"/>
        <v>0</v>
      </c>
      <c r="AZ144" s="4794">
        <f t="shared" si="183"/>
        <v>0</v>
      </c>
      <c r="BA144" s="4794">
        <f t="shared" si="184"/>
        <v>0</v>
      </c>
      <c r="BB144" s="4794">
        <f t="shared" si="185"/>
        <v>0</v>
      </c>
      <c r="BC144" s="4794">
        <f t="shared" si="186"/>
        <v>0</v>
      </c>
      <c r="BD144" s="4794">
        <f t="shared" si="187"/>
        <v>0</v>
      </c>
      <c r="BE144" s="4794">
        <f t="shared" si="188"/>
        <v>0</v>
      </c>
      <c r="BF144" s="4794">
        <f t="shared" si="189"/>
        <v>0</v>
      </c>
      <c r="BG144" s="4794">
        <f t="shared" si="190"/>
        <v>0</v>
      </c>
      <c r="BH144" s="4794">
        <f t="shared" si="191"/>
        <v>0</v>
      </c>
      <c r="BI144" s="4794">
        <f t="shared" si="192"/>
        <v>0</v>
      </c>
      <c r="BJ144" s="4794">
        <f t="shared" si="193"/>
        <v>0</v>
      </c>
      <c r="BK144" s="4794">
        <f t="shared" si="194"/>
        <v>0</v>
      </c>
      <c r="BL144" s="4794">
        <f t="shared" si="195"/>
        <v>0</v>
      </c>
      <c r="BM144" s="4794">
        <f t="shared" si="196"/>
        <v>0</v>
      </c>
      <c r="BN144" s="4794">
        <f t="shared" si="197"/>
        <v>0</v>
      </c>
      <c r="BO144" s="4794">
        <f t="shared" si="198"/>
        <v>0</v>
      </c>
      <c r="BP144" s="4794">
        <f t="shared" si="199"/>
        <v>0</v>
      </c>
      <c r="BQ144" s="4794">
        <f t="shared" si="200"/>
        <v>0</v>
      </c>
      <c r="BR144" s="4794">
        <f t="shared" si="201"/>
        <v>0</v>
      </c>
      <c r="BS144" s="4794">
        <f t="shared" si="202"/>
        <v>0</v>
      </c>
      <c r="BT144" s="4794">
        <f t="shared" si="203"/>
        <v>0</v>
      </c>
      <c r="BU144" s="4794">
        <f t="shared" si="204"/>
        <v>0</v>
      </c>
      <c r="BV144" s="4794">
        <f t="shared" si="205"/>
        <v>0</v>
      </c>
      <c r="BW144" s="4794">
        <f t="shared" si="206"/>
        <v>0</v>
      </c>
      <c r="BX144" s="4794">
        <f t="shared" si="207"/>
        <v>0</v>
      </c>
      <c r="BY144" s="4794">
        <f t="shared" si="208"/>
        <v>0</v>
      </c>
    </row>
    <row r="145" spans="1:77" s="1344" customFormat="1">
      <c r="A145" s="2741">
        <v>14</v>
      </c>
      <c r="B145" s="2684">
        <v>2040205</v>
      </c>
      <c r="C145" s="2685">
        <v>0.02</v>
      </c>
      <c r="D145" s="2715" t="s">
        <v>420</v>
      </c>
      <c r="E145" s="4738">
        <f>+'11.3. ДА Базова година'!F125</f>
        <v>325</v>
      </c>
      <c r="F145" s="2792">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405.66999999999996</v>
      </c>
      <c r="G145" s="1155">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479.66999999999996</v>
      </c>
      <c r="H145" s="1155">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539.66999999999996</v>
      </c>
      <c r="I145" s="1155">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593.97</v>
      </c>
      <c r="J145" s="1155">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646.91999999999996</v>
      </c>
      <c r="K145" s="1155">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700.56999999999994</v>
      </c>
      <c r="L145" s="4738">
        <f>+'11.3. ДА Базова година'!J125</f>
        <v>0</v>
      </c>
      <c r="M145" s="2792">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155">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155">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155">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155">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793">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738">
        <f>+'11.3. ДА Базова година'!N125</f>
        <v>0</v>
      </c>
      <c r="T145" s="2792">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155">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155">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155">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155">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793">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738">
        <f>+'11.3. ДА Базова година'!R125</f>
        <v>0</v>
      </c>
      <c r="AA145" s="2792">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155">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155">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155">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155">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793">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738">
        <f>+'11.3. ДА Базова година'!V125</f>
        <v>0</v>
      </c>
      <c r="AH145" s="2792">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155">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155">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155">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155">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793">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681"/>
      <c r="AO145" s="2719"/>
      <c r="AP145" s="4775"/>
      <c r="AQ145" s="4794">
        <f t="shared" si="174"/>
        <v>166.16986138877101</v>
      </c>
      <c r="AR145" s="4794">
        <f t="shared" si="175"/>
        <v>207.41577744486995</v>
      </c>
      <c r="AS145" s="4794">
        <f t="shared" si="176"/>
        <v>245.25137665339011</v>
      </c>
      <c r="AT145" s="4794">
        <f t="shared" si="177"/>
        <v>275.92888952516324</v>
      </c>
      <c r="AU145" s="4794">
        <f t="shared" si="178"/>
        <v>303.6920386741179</v>
      </c>
      <c r="AV145" s="4794">
        <f t="shared" si="179"/>
        <v>330.76494378345762</v>
      </c>
      <c r="AW145" s="4794">
        <f t="shared" si="180"/>
        <v>358.19575320963474</v>
      </c>
      <c r="AX145" s="4794">
        <f t="shared" si="181"/>
        <v>0</v>
      </c>
      <c r="AY145" s="4794">
        <f t="shared" si="182"/>
        <v>0</v>
      </c>
      <c r="AZ145" s="4794">
        <f t="shared" si="183"/>
        <v>0</v>
      </c>
      <c r="BA145" s="4794">
        <f t="shared" si="184"/>
        <v>0</v>
      </c>
      <c r="BB145" s="4794">
        <f t="shared" si="185"/>
        <v>0</v>
      </c>
      <c r="BC145" s="4794">
        <f t="shared" si="186"/>
        <v>0</v>
      </c>
      <c r="BD145" s="4794">
        <f t="shared" si="187"/>
        <v>0</v>
      </c>
      <c r="BE145" s="4794">
        <f t="shared" si="188"/>
        <v>0</v>
      </c>
      <c r="BF145" s="4794">
        <f t="shared" si="189"/>
        <v>0</v>
      </c>
      <c r="BG145" s="4794">
        <f t="shared" si="190"/>
        <v>0</v>
      </c>
      <c r="BH145" s="4794">
        <f t="shared" si="191"/>
        <v>0</v>
      </c>
      <c r="BI145" s="4794">
        <f t="shared" si="192"/>
        <v>0</v>
      </c>
      <c r="BJ145" s="4794">
        <f t="shared" si="193"/>
        <v>0</v>
      </c>
      <c r="BK145" s="4794">
        <f t="shared" si="194"/>
        <v>0</v>
      </c>
      <c r="BL145" s="4794">
        <f t="shared" si="195"/>
        <v>0</v>
      </c>
      <c r="BM145" s="4794">
        <f t="shared" si="196"/>
        <v>0</v>
      </c>
      <c r="BN145" s="4794">
        <f t="shared" si="197"/>
        <v>0</v>
      </c>
      <c r="BO145" s="4794">
        <f t="shared" si="198"/>
        <v>0</v>
      </c>
      <c r="BP145" s="4794">
        <f t="shared" si="199"/>
        <v>0</v>
      </c>
      <c r="BQ145" s="4794">
        <f t="shared" si="200"/>
        <v>0</v>
      </c>
      <c r="BR145" s="4794">
        <f t="shared" si="201"/>
        <v>0</v>
      </c>
      <c r="BS145" s="4794">
        <f t="shared" si="202"/>
        <v>0</v>
      </c>
      <c r="BT145" s="4794">
        <f t="shared" si="203"/>
        <v>0</v>
      </c>
      <c r="BU145" s="4794">
        <f t="shared" si="204"/>
        <v>0</v>
      </c>
      <c r="BV145" s="4794">
        <f t="shared" si="205"/>
        <v>0</v>
      </c>
      <c r="BW145" s="4794">
        <f t="shared" si="206"/>
        <v>0</v>
      </c>
      <c r="BX145" s="4794">
        <f t="shared" si="207"/>
        <v>0</v>
      </c>
      <c r="BY145" s="4794">
        <f t="shared" si="208"/>
        <v>0</v>
      </c>
    </row>
    <row r="146" spans="1:77" s="1344" customFormat="1">
      <c r="A146" s="2741">
        <v>15</v>
      </c>
      <c r="B146" s="2684">
        <v>2040206</v>
      </c>
      <c r="C146" s="2685">
        <v>0.02</v>
      </c>
      <c r="D146" s="2720" t="s">
        <v>421</v>
      </c>
      <c r="E146" s="4738">
        <f>+'11.3. ДА Базова година'!F126</f>
        <v>0</v>
      </c>
      <c r="F146" s="2792">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155">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155">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155">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155">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155">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738">
        <f>+'11.3. ДА Базова година'!J126</f>
        <v>28</v>
      </c>
      <c r="M146" s="2792">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30.139999999999997</v>
      </c>
      <c r="N146" s="1155">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32.94</v>
      </c>
      <c r="O146" s="1155">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36.14</v>
      </c>
      <c r="P146" s="1155">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39.339999999999996</v>
      </c>
      <c r="Q146" s="1155">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42.44</v>
      </c>
      <c r="R146" s="2793">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45.44</v>
      </c>
      <c r="S146" s="4738">
        <f>+'11.3. ДА Базова година'!N126</f>
        <v>0</v>
      </c>
      <c r="T146" s="2792">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155">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155">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155">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155">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793">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738">
        <f>+'11.3. ДА Базова година'!R126</f>
        <v>0</v>
      </c>
      <c r="AA146" s="2792">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155">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155">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155">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155">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793">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738">
        <f>+'11.3. ДА Базова година'!V126</f>
        <v>0</v>
      </c>
      <c r="AH146" s="2792">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155">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155">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155">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155">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793">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681"/>
      <c r="AO146" s="2719"/>
      <c r="AP146" s="4775"/>
      <c r="AQ146" s="4794">
        <f t="shared" si="174"/>
        <v>0</v>
      </c>
      <c r="AR146" s="4794">
        <f t="shared" si="175"/>
        <v>0</v>
      </c>
      <c r="AS146" s="4794">
        <f t="shared" si="176"/>
        <v>0</v>
      </c>
      <c r="AT146" s="4794">
        <f t="shared" si="177"/>
        <v>0</v>
      </c>
      <c r="AU146" s="4794">
        <f t="shared" si="178"/>
        <v>0</v>
      </c>
      <c r="AV146" s="4794">
        <f t="shared" si="179"/>
        <v>0</v>
      </c>
      <c r="AW146" s="4794">
        <f t="shared" si="180"/>
        <v>0</v>
      </c>
      <c r="AX146" s="4794">
        <f t="shared" si="181"/>
        <v>14.316172673494117</v>
      </c>
      <c r="AY146" s="4794">
        <f t="shared" si="182"/>
        <v>15.410337299254024</v>
      </c>
      <c r="AZ146" s="4794">
        <f t="shared" si="183"/>
        <v>16.841954566603437</v>
      </c>
      <c r="BA146" s="4794">
        <f t="shared" si="184"/>
        <v>18.478088586431337</v>
      </c>
      <c r="BB146" s="4794">
        <f t="shared" si="185"/>
        <v>20.114222606259233</v>
      </c>
      <c r="BC146" s="4794">
        <f t="shared" si="186"/>
        <v>21.699227437967512</v>
      </c>
      <c r="BD146" s="4794">
        <f t="shared" si="187"/>
        <v>23.233103081556166</v>
      </c>
      <c r="BE146" s="4794">
        <f t="shared" si="188"/>
        <v>0</v>
      </c>
      <c r="BF146" s="4794">
        <f t="shared" si="189"/>
        <v>0</v>
      </c>
      <c r="BG146" s="4794">
        <f t="shared" si="190"/>
        <v>0</v>
      </c>
      <c r="BH146" s="4794">
        <f t="shared" si="191"/>
        <v>0</v>
      </c>
      <c r="BI146" s="4794">
        <f t="shared" si="192"/>
        <v>0</v>
      </c>
      <c r="BJ146" s="4794">
        <f t="shared" si="193"/>
        <v>0</v>
      </c>
      <c r="BK146" s="4794">
        <f t="shared" si="194"/>
        <v>0</v>
      </c>
      <c r="BL146" s="4794">
        <f t="shared" si="195"/>
        <v>0</v>
      </c>
      <c r="BM146" s="4794">
        <f t="shared" si="196"/>
        <v>0</v>
      </c>
      <c r="BN146" s="4794">
        <f t="shared" si="197"/>
        <v>0</v>
      </c>
      <c r="BO146" s="4794">
        <f t="shared" si="198"/>
        <v>0</v>
      </c>
      <c r="BP146" s="4794">
        <f t="shared" si="199"/>
        <v>0</v>
      </c>
      <c r="BQ146" s="4794">
        <f t="shared" si="200"/>
        <v>0</v>
      </c>
      <c r="BR146" s="4794">
        <f t="shared" si="201"/>
        <v>0</v>
      </c>
      <c r="BS146" s="4794">
        <f t="shared" si="202"/>
        <v>0</v>
      </c>
      <c r="BT146" s="4794">
        <f t="shared" si="203"/>
        <v>0</v>
      </c>
      <c r="BU146" s="4794">
        <f t="shared" si="204"/>
        <v>0</v>
      </c>
      <c r="BV146" s="4794">
        <f t="shared" si="205"/>
        <v>0</v>
      </c>
      <c r="BW146" s="4794">
        <f t="shared" si="206"/>
        <v>0</v>
      </c>
      <c r="BX146" s="4794">
        <f t="shared" si="207"/>
        <v>0</v>
      </c>
      <c r="BY146" s="4794">
        <f t="shared" si="208"/>
        <v>0</v>
      </c>
    </row>
    <row r="147" spans="1:77" s="1344" customFormat="1" ht="24">
      <c r="A147" s="2741">
        <v>16</v>
      </c>
      <c r="B147" s="2684">
        <v>2040207</v>
      </c>
      <c r="C147" s="2685">
        <v>0.04</v>
      </c>
      <c r="D147" s="2720" t="s">
        <v>422</v>
      </c>
      <c r="E147" s="4738">
        <f>+'11.3. ДА Базова година'!F127</f>
        <v>101</v>
      </c>
      <c r="F147" s="2792">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110.42</v>
      </c>
      <c r="G147" s="1155">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117.22</v>
      </c>
      <c r="H147" s="1155">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121.82</v>
      </c>
      <c r="I147" s="1155">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125.82</v>
      </c>
      <c r="J147" s="1155">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129.82</v>
      </c>
      <c r="K147" s="1155">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133.82</v>
      </c>
      <c r="L147" s="4738">
        <f>+'11.3. ДА Базова година'!J127</f>
        <v>0</v>
      </c>
      <c r="M147" s="2792">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155">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155">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155">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155">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793">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738">
        <f>+'11.3. ДА Базова година'!N127</f>
        <v>35</v>
      </c>
      <c r="T147" s="2792">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38.86</v>
      </c>
      <c r="U147" s="1155">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42.86</v>
      </c>
      <c r="V147" s="1155">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46.86</v>
      </c>
      <c r="W147" s="1155">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50.86</v>
      </c>
      <c r="X147" s="1155">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54.86</v>
      </c>
      <c r="Y147" s="2793">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58.86</v>
      </c>
      <c r="Z147" s="4738">
        <f>+'11.3. ДА Базова година'!R127</f>
        <v>0</v>
      </c>
      <c r="AA147" s="2792">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155">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155">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155">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155">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793">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738">
        <f>+'11.3. ДА Базова година'!V127</f>
        <v>0</v>
      </c>
      <c r="AH147" s="2792">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155">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155">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155">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155">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793">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681"/>
      <c r="AO147" s="2719"/>
      <c r="AP147" s="4775"/>
      <c r="AQ147" s="4794">
        <f t="shared" si="174"/>
        <v>51.640480000818066</v>
      </c>
      <c r="AR147" s="4794">
        <f t="shared" si="175"/>
        <v>56.456849521686451</v>
      </c>
      <c r="AS147" s="4794">
        <f t="shared" si="176"/>
        <v>59.933634313820733</v>
      </c>
      <c r="AT147" s="4794">
        <f t="shared" si="177"/>
        <v>62.285576967323337</v>
      </c>
      <c r="AU147" s="4794">
        <f t="shared" si="178"/>
        <v>64.330744492108209</v>
      </c>
      <c r="AV147" s="4794">
        <f t="shared" si="179"/>
        <v>66.375912016893082</v>
      </c>
      <c r="AW147" s="4794">
        <f t="shared" si="180"/>
        <v>68.421079541677955</v>
      </c>
      <c r="AX147" s="4794">
        <f t="shared" si="181"/>
        <v>0</v>
      </c>
      <c r="AY147" s="4794">
        <f t="shared" si="182"/>
        <v>0</v>
      </c>
      <c r="AZ147" s="4794">
        <f t="shared" si="183"/>
        <v>0</v>
      </c>
      <c r="BA147" s="4794">
        <f t="shared" si="184"/>
        <v>0</v>
      </c>
      <c r="BB147" s="4794">
        <f t="shared" si="185"/>
        <v>0</v>
      </c>
      <c r="BC147" s="4794">
        <f t="shared" si="186"/>
        <v>0</v>
      </c>
      <c r="BD147" s="4794">
        <f t="shared" si="187"/>
        <v>0</v>
      </c>
      <c r="BE147" s="4794">
        <f t="shared" si="188"/>
        <v>17.895215841867646</v>
      </c>
      <c r="BF147" s="4794">
        <f t="shared" si="189"/>
        <v>19.86880250328505</v>
      </c>
      <c r="BG147" s="4794">
        <f t="shared" si="190"/>
        <v>21.913970028069926</v>
      </c>
      <c r="BH147" s="4794">
        <f t="shared" si="191"/>
        <v>23.959137552854799</v>
      </c>
      <c r="BI147" s="4794">
        <f t="shared" si="192"/>
        <v>26.004305077639671</v>
      </c>
      <c r="BJ147" s="4794">
        <f t="shared" si="193"/>
        <v>28.049472602424547</v>
      </c>
      <c r="BK147" s="4794">
        <f t="shared" si="194"/>
        <v>30.09464012720942</v>
      </c>
      <c r="BL147" s="4794">
        <f t="shared" si="195"/>
        <v>0</v>
      </c>
      <c r="BM147" s="4794">
        <f t="shared" si="196"/>
        <v>0</v>
      </c>
      <c r="BN147" s="4794">
        <f t="shared" si="197"/>
        <v>0</v>
      </c>
      <c r="BO147" s="4794">
        <f t="shared" si="198"/>
        <v>0</v>
      </c>
      <c r="BP147" s="4794">
        <f t="shared" si="199"/>
        <v>0</v>
      </c>
      <c r="BQ147" s="4794">
        <f t="shared" si="200"/>
        <v>0</v>
      </c>
      <c r="BR147" s="4794">
        <f t="shared" si="201"/>
        <v>0</v>
      </c>
      <c r="BS147" s="4794">
        <f t="shared" si="202"/>
        <v>0</v>
      </c>
      <c r="BT147" s="4794">
        <f t="shared" si="203"/>
        <v>0</v>
      </c>
      <c r="BU147" s="4794">
        <f t="shared" si="204"/>
        <v>0</v>
      </c>
      <c r="BV147" s="4794">
        <f t="shared" si="205"/>
        <v>0</v>
      </c>
      <c r="BW147" s="4794">
        <f t="shared" si="206"/>
        <v>0</v>
      </c>
      <c r="BX147" s="4794">
        <f t="shared" si="207"/>
        <v>0</v>
      </c>
      <c r="BY147" s="4794">
        <f t="shared" si="208"/>
        <v>0</v>
      </c>
    </row>
    <row r="148" spans="1:77" s="1344" customFormat="1">
      <c r="A148" s="2741">
        <v>17</v>
      </c>
      <c r="B148" s="2684">
        <v>2040208</v>
      </c>
      <c r="C148" s="2685">
        <v>0.04</v>
      </c>
      <c r="D148" s="2720" t="s">
        <v>423</v>
      </c>
      <c r="E148" s="4738">
        <f>+'11.3. ДА Базова година'!F128</f>
        <v>2</v>
      </c>
      <c r="F148" s="2792">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2</v>
      </c>
      <c r="G148" s="1155">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2</v>
      </c>
      <c r="H148" s="1155">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2</v>
      </c>
      <c r="I148" s="1155">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2</v>
      </c>
      <c r="J148" s="1155">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2</v>
      </c>
      <c r="K148" s="1155">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2</v>
      </c>
      <c r="L148" s="4738">
        <f>+'11.3. ДА Базова година'!J128</f>
        <v>0</v>
      </c>
      <c r="M148" s="2792">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155">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155">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155">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155">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793">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738">
        <f>+'11.3. ДА Базова година'!N128</f>
        <v>0</v>
      </c>
      <c r="T148" s="2792">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155">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155">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155">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155">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793">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738">
        <f>+'11.3. ДА Базова година'!R128</f>
        <v>0</v>
      </c>
      <c r="AA148" s="2792">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155">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155">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155">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155">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793">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738">
        <f>+'11.3. ДА Базова година'!V128</f>
        <v>0</v>
      </c>
      <c r="AH148" s="2792">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155">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155">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155">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155">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793">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681"/>
      <c r="AO148" s="2719"/>
      <c r="AP148" s="4775"/>
      <c r="AQ148" s="4794">
        <f t="shared" si="174"/>
        <v>1.022583762392437</v>
      </c>
      <c r="AR148" s="4794">
        <f t="shared" si="175"/>
        <v>1.022583762392437</v>
      </c>
      <c r="AS148" s="4794">
        <f t="shared" si="176"/>
        <v>1.022583762392437</v>
      </c>
      <c r="AT148" s="4794">
        <f t="shared" si="177"/>
        <v>1.022583762392437</v>
      </c>
      <c r="AU148" s="4794">
        <f t="shared" si="178"/>
        <v>1.022583762392437</v>
      </c>
      <c r="AV148" s="4794">
        <f t="shared" si="179"/>
        <v>1.022583762392437</v>
      </c>
      <c r="AW148" s="4794">
        <f t="shared" si="180"/>
        <v>1.022583762392437</v>
      </c>
      <c r="AX148" s="4794">
        <f t="shared" si="181"/>
        <v>0</v>
      </c>
      <c r="AY148" s="4794">
        <f t="shared" si="182"/>
        <v>0</v>
      </c>
      <c r="AZ148" s="4794">
        <f t="shared" si="183"/>
        <v>0</v>
      </c>
      <c r="BA148" s="4794">
        <f t="shared" si="184"/>
        <v>0</v>
      </c>
      <c r="BB148" s="4794">
        <f t="shared" si="185"/>
        <v>0</v>
      </c>
      <c r="BC148" s="4794">
        <f t="shared" si="186"/>
        <v>0</v>
      </c>
      <c r="BD148" s="4794">
        <f t="shared" si="187"/>
        <v>0</v>
      </c>
      <c r="BE148" s="4794">
        <f t="shared" si="188"/>
        <v>0</v>
      </c>
      <c r="BF148" s="4794">
        <f t="shared" si="189"/>
        <v>0</v>
      </c>
      <c r="BG148" s="4794">
        <f t="shared" si="190"/>
        <v>0</v>
      </c>
      <c r="BH148" s="4794">
        <f t="shared" si="191"/>
        <v>0</v>
      </c>
      <c r="BI148" s="4794">
        <f t="shared" si="192"/>
        <v>0</v>
      </c>
      <c r="BJ148" s="4794">
        <f t="shared" si="193"/>
        <v>0</v>
      </c>
      <c r="BK148" s="4794">
        <f t="shared" si="194"/>
        <v>0</v>
      </c>
      <c r="BL148" s="4794">
        <f t="shared" si="195"/>
        <v>0</v>
      </c>
      <c r="BM148" s="4794">
        <f t="shared" si="196"/>
        <v>0</v>
      </c>
      <c r="BN148" s="4794">
        <f t="shared" si="197"/>
        <v>0</v>
      </c>
      <c r="BO148" s="4794">
        <f t="shared" si="198"/>
        <v>0</v>
      </c>
      <c r="BP148" s="4794">
        <f t="shared" si="199"/>
        <v>0</v>
      </c>
      <c r="BQ148" s="4794">
        <f t="shared" si="200"/>
        <v>0</v>
      </c>
      <c r="BR148" s="4794">
        <f t="shared" si="201"/>
        <v>0</v>
      </c>
      <c r="BS148" s="4794">
        <f t="shared" si="202"/>
        <v>0</v>
      </c>
      <c r="BT148" s="4794">
        <f t="shared" si="203"/>
        <v>0</v>
      </c>
      <c r="BU148" s="4794">
        <f t="shared" si="204"/>
        <v>0</v>
      </c>
      <c r="BV148" s="4794">
        <f t="shared" si="205"/>
        <v>0</v>
      </c>
      <c r="BW148" s="4794">
        <f t="shared" si="206"/>
        <v>0</v>
      </c>
      <c r="BX148" s="4794">
        <f t="shared" si="207"/>
        <v>0</v>
      </c>
      <c r="BY148" s="4794">
        <f t="shared" si="208"/>
        <v>0</v>
      </c>
    </row>
    <row r="149" spans="1:77" s="1344" customFormat="1">
      <c r="A149" s="2741">
        <v>18</v>
      </c>
      <c r="B149" s="2742" t="s">
        <v>1051</v>
      </c>
      <c r="C149" s="2685">
        <v>0.04</v>
      </c>
      <c r="D149" s="2739" t="s">
        <v>434</v>
      </c>
      <c r="E149" s="4738">
        <f>+'11.3. ДА Базова година'!F129</f>
        <v>0</v>
      </c>
      <c r="F149" s="2792">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155">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155">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155">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155">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155">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738">
        <f>+'11.3. ДА Базова година'!J129</f>
        <v>0</v>
      </c>
      <c r="M149" s="2792">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155">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155">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155">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155">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793">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738">
        <f>+'11.3. ДА Базова година'!N129</f>
        <v>0</v>
      </c>
      <c r="T149" s="2792">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155">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155">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155">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155">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793">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738">
        <f>+'11.3. ДА Базова година'!R129</f>
        <v>0</v>
      </c>
      <c r="AA149" s="2792">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155">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155">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155">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155">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793">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738">
        <f>+'11.3. ДА Базова година'!V129</f>
        <v>0</v>
      </c>
      <c r="AH149" s="2792">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155">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155">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155">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155">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793">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681"/>
      <c r="AO149" s="2719"/>
      <c r="AP149" s="4775"/>
      <c r="AQ149" s="4794">
        <f t="shared" si="174"/>
        <v>0</v>
      </c>
      <c r="AR149" s="4794">
        <f t="shared" si="175"/>
        <v>0</v>
      </c>
      <c r="AS149" s="4794">
        <f t="shared" si="176"/>
        <v>0</v>
      </c>
      <c r="AT149" s="4794">
        <f t="shared" si="177"/>
        <v>0</v>
      </c>
      <c r="AU149" s="4794">
        <f t="shared" si="178"/>
        <v>0</v>
      </c>
      <c r="AV149" s="4794">
        <f t="shared" si="179"/>
        <v>0</v>
      </c>
      <c r="AW149" s="4794">
        <f t="shared" si="180"/>
        <v>0</v>
      </c>
      <c r="AX149" s="4794">
        <f t="shared" si="181"/>
        <v>0</v>
      </c>
      <c r="AY149" s="4794">
        <f t="shared" si="182"/>
        <v>0</v>
      </c>
      <c r="AZ149" s="4794">
        <f t="shared" si="183"/>
        <v>0</v>
      </c>
      <c r="BA149" s="4794">
        <f t="shared" si="184"/>
        <v>0</v>
      </c>
      <c r="BB149" s="4794">
        <f t="shared" si="185"/>
        <v>0</v>
      </c>
      <c r="BC149" s="4794">
        <f t="shared" si="186"/>
        <v>0</v>
      </c>
      <c r="BD149" s="4794">
        <f t="shared" si="187"/>
        <v>0</v>
      </c>
      <c r="BE149" s="4794">
        <f t="shared" si="188"/>
        <v>0</v>
      </c>
      <c r="BF149" s="4794">
        <f t="shared" si="189"/>
        <v>0</v>
      </c>
      <c r="BG149" s="4794">
        <f t="shared" si="190"/>
        <v>0</v>
      </c>
      <c r="BH149" s="4794">
        <f t="shared" si="191"/>
        <v>0</v>
      </c>
      <c r="BI149" s="4794">
        <f t="shared" si="192"/>
        <v>0</v>
      </c>
      <c r="BJ149" s="4794">
        <f t="shared" si="193"/>
        <v>0</v>
      </c>
      <c r="BK149" s="4794">
        <f t="shared" si="194"/>
        <v>0</v>
      </c>
      <c r="BL149" s="4794">
        <f t="shared" si="195"/>
        <v>0</v>
      </c>
      <c r="BM149" s="4794">
        <f t="shared" si="196"/>
        <v>0</v>
      </c>
      <c r="BN149" s="4794">
        <f t="shared" si="197"/>
        <v>0</v>
      </c>
      <c r="BO149" s="4794">
        <f t="shared" si="198"/>
        <v>0</v>
      </c>
      <c r="BP149" s="4794">
        <f t="shared" si="199"/>
        <v>0</v>
      </c>
      <c r="BQ149" s="4794">
        <f t="shared" si="200"/>
        <v>0</v>
      </c>
      <c r="BR149" s="4794">
        <f t="shared" si="201"/>
        <v>0</v>
      </c>
      <c r="BS149" s="4794">
        <f t="shared" si="202"/>
        <v>0</v>
      </c>
      <c r="BT149" s="4794">
        <f t="shared" si="203"/>
        <v>0</v>
      </c>
      <c r="BU149" s="4794">
        <f t="shared" si="204"/>
        <v>0</v>
      </c>
      <c r="BV149" s="4794">
        <f t="shared" si="205"/>
        <v>0</v>
      </c>
      <c r="BW149" s="4794">
        <f t="shared" si="206"/>
        <v>0</v>
      </c>
      <c r="BX149" s="4794">
        <f t="shared" si="207"/>
        <v>0</v>
      </c>
      <c r="BY149" s="4794">
        <f t="shared" si="208"/>
        <v>0</v>
      </c>
    </row>
    <row r="150" spans="1:77" s="1344" customFormat="1" ht="24.75" thickBot="1">
      <c r="A150" s="2741">
        <v>19</v>
      </c>
      <c r="B150" s="2684">
        <v>215</v>
      </c>
      <c r="C150" s="2690">
        <v>0.2</v>
      </c>
      <c r="D150" s="2720" t="s">
        <v>679</v>
      </c>
      <c r="E150" s="4738">
        <f>+'11.3. ДА Базова година'!F130</f>
        <v>0</v>
      </c>
      <c r="F150" s="2792">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v>
      </c>
      <c r="G150" s="1155">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3</v>
      </c>
      <c r="H150" s="1155">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5</v>
      </c>
      <c r="I150" s="1155">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7</v>
      </c>
      <c r="J150" s="1155">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9</v>
      </c>
      <c r="K150" s="1155">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11</v>
      </c>
      <c r="L150" s="4738">
        <f>+'11.3. ДА Базова година'!J130</f>
        <v>0</v>
      </c>
      <c r="M150" s="2809">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157">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v>
      </c>
      <c r="O150" s="1157">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v>
      </c>
      <c r="P150" s="1157">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v>
      </c>
      <c r="Q150" s="1157">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v>
      </c>
      <c r="R150" s="2810">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v>
      </c>
      <c r="S150" s="4738">
        <f>+'11.3. ДА Базова година'!N130</f>
        <v>0</v>
      </c>
      <c r="T150" s="2792">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155">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v>
      </c>
      <c r="V150" s="1155">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v>
      </c>
      <c r="W150" s="1155">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v>
      </c>
      <c r="X150" s="1155">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v>
      </c>
      <c r="Y150" s="2793">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v>
      </c>
      <c r="Z150" s="4738">
        <f>+'11.3. ДА Базова година'!R130</f>
        <v>0</v>
      </c>
      <c r="AA150" s="2792">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155">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155">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155">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155">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793">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738">
        <f>+'11.3. ДА Базова година'!V130</f>
        <v>0</v>
      </c>
      <c r="AH150" s="2792">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155">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155">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155">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155">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793">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681"/>
      <c r="AO150" s="2719"/>
      <c r="AP150" s="4775"/>
      <c r="AQ150" s="4794">
        <f t="shared" si="174"/>
        <v>0</v>
      </c>
      <c r="AR150" s="4794">
        <f t="shared" si="175"/>
        <v>0.51129188119621849</v>
      </c>
      <c r="AS150" s="4794">
        <f t="shared" si="176"/>
        <v>1.5338756435886556</v>
      </c>
      <c r="AT150" s="4794">
        <f t="shared" si="177"/>
        <v>2.5564594059810926</v>
      </c>
      <c r="AU150" s="4794">
        <f t="shared" si="178"/>
        <v>3.5790431683735293</v>
      </c>
      <c r="AV150" s="4794">
        <f t="shared" si="179"/>
        <v>4.6016269307659661</v>
      </c>
      <c r="AW150" s="4794">
        <f t="shared" si="180"/>
        <v>5.6242106931584033</v>
      </c>
      <c r="AX150" s="4794">
        <f t="shared" si="181"/>
        <v>0</v>
      </c>
      <c r="AY150" s="4794">
        <f t="shared" si="182"/>
        <v>0</v>
      </c>
      <c r="AZ150" s="4794">
        <f t="shared" si="183"/>
        <v>0</v>
      </c>
      <c r="BA150" s="4794">
        <f t="shared" si="184"/>
        <v>0</v>
      </c>
      <c r="BB150" s="4794">
        <f t="shared" si="185"/>
        <v>0</v>
      </c>
      <c r="BC150" s="4794">
        <f t="shared" si="186"/>
        <v>0</v>
      </c>
      <c r="BD150" s="4794">
        <f t="shared" si="187"/>
        <v>0</v>
      </c>
      <c r="BE150" s="4794">
        <f t="shared" si="188"/>
        <v>0</v>
      </c>
      <c r="BF150" s="4794">
        <f t="shared" si="189"/>
        <v>0</v>
      </c>
      <c r="BG150" s="4794">
        <f t="shared" si="190"/>
        <v>0</v>
      </c>
      <c r="BH150" s="4794">
        <f t="shared" si="191"/>
        <v>0</v>
      </c>
      <c r="BI150" s="4794">
        <f t="shared" si="192"/>
        <v>0</v>
      </c>
      <c r="BJ150" s="4794">
        <f t="shared" si="193"/>
        <v>0</v>
      </c>
      <c r="BK150" s="4794">
        <f t="shared" si="194"/>
        <v>0</v>
      </c>
      <c r="BL150" s="4794">
        <f t="shared" si="195"/>
        <v>0</v>
      </c>
      <c r="BM150" s="4794">
        <f t="shared" si="196"/>
        <v>0</v>
      </c>
      <c r="BN150" s="4794">
        <f t="shared" si="197"/>
        <v>0</v>
      </c>
      <c r="BO150" s="4794">
        <f t="shared" si="198"/>
        <v>0</v>
      </c>
      <c r="BP150" s="4794">
        <f t="shared" si="199"/>
        <v>0</v>
      </c>
      <c r="BQ150" s="4794">
        <f t="shared" si="200"/>
        <v>0</v>
      </c>
      <c r="BR150" s="4794">
        <f t="shared" si="201"/>
        <v>0</v>
      </c>
      <c r="BS150" s="4794">
        <f t="shared" si="202"/>
        <v>0</v>
      </c>
      <c r="BT150" s="4794">
        <f t="shared" si="203"/>
        <v>0</v>
      </c>
      <c r="BU150" s="4794">
        <f t="shared" si="204"/>
        <v>0</v>
      </c>
      <c r="BV150" s="4794">
        <f t="shared" si="205"/>
        <v>0</v>
      </c>
      <c r="BW150" s="4794">
        <f t="shared" si="206"/>
        <v>0</v>
      </c>
      <c r="BX150" s="4794">
        <f t="shared" si="207"/>
        <v>0</v>
      </c>
      <c r="BY150" s="4794">
        <f t="shared" si="208"/>
        <v>0</v>
      </c>
    </row>
    <row r="151" spans="1:77" s="1344" customFormat="1" ht="13.5" thickBot="1">
      <c r="A151" s="3951" t="s">
        <v>219</v>
      </c>
      <c r="B151" s="2707"/>
      <c r="C151" s="2707"/>
      <c r="D151" s="2670" t="s">
        <v>220</v>
      </c>
      <c r="E151" s="1265">
        <f t="shared" ref="E151" si="211">SUM(E152:E170)</f>
        <v>2064</v>
      </c>
      <c r="F151" s="2807">
        <f t="shared" ref="F151:AM151" si="212">SUM(F152:F170)</f>
        <v>2732.8047087006516</v>
      </c>
      <c r="G151" s="1166">
        <f t="shared" si="212"/>
        <v>3504.1878905188337</v>
      </c>
      <c r="H151" s="1166">
        <f t="shared" si="212"/>
        <v>4358.5122727002017</v>
      </c>
      <c r="I151" s="1167">
        <f t="shared" si="212"/>
        <v>5288.4936299003084</v>
      </c>
      <c r="J151" s="1166">
        <f t="shared" si="212"/>
        <v>6292.6114900807879</v>
      </c>
      <c r="K151" s="1166">
        <f t="shared" si="212"/>
        <v>7371.0283066306256</v>
      </c>
      <c r="L151" s="1265">
        <f t="shared" si="212"/>
        <v>76</v>
      </c>
      <c r="M151" s="2807">
        <f t="shared" si="212"/>
        <v>106.27031812955155</v>
      </c>
      <c r="N151" s="1166">
        <f t="shared" si="212"/>
        <v>139.64592419015759</v>
      </c>
      <c r="O151" s="1166">
        <f t="shared" si="212"/>
        <v>176.57927755766687</v>
      </c>
      <c r="P151" s="1167">
        <f t="shared" si="212"/>
        <v>217.07343197925383</v>
      </c>
      <c r="Q151" s="1166">
        <f t="shared" si="212"/>
        <v>260.97178692168723</v>
      </c>
      <c r="R151" s="1166">
        <f t="shared" si="212"/>
        <v>308.18132017523482</v>
      </c>
      <c r="S151" s="1265">
        <f t="shared" si="212"/>
        <v>152</v>
      </c>
      <c r="T151" s="2807">
        <f t="shared" si="212"/>
        <v>191.08997316979688</v>
      </c>
      <c r="U151" s="1166">
        <f t="shared" si="212"/>
        <v>234.82118529100902</v>
      </c>
      <c r="V151" s="1166">
        <f t="shared" si="212"/>
        <v>283.35344974213155</v>
      </c>
      <c r="W151" s="1167">
        <f t="shared" si="212"/>
        <v>336.61793812043771</v>
      </c>
      <c r="X151" s="1166">
        <f t="shared" si="212"/>
        <v>394.59172299752515</v>
      </c>
      <c r="Y151" s="2808">
        <f t="shared" si="212"/>
        <v>457.30537319413997</v>
      </c>
      <c r="Z151" s="1265">
        <f t="shared" si="212"/>
        <v>0</v>
      </c>
      <c r="AA151" s="2807">
        <f t="shared" si="212"/>
        <v>0</v>
      </c>
      <c r="AB151" s="1166">
        <f t="shared" si="212"/>
        <v>0</v>
      </c>
      <c r="AC151" s="1166">
        <f t="shared" si="212"/>
        <v>0</v>
      </c>
      <c r="AD151" s="1167">
        <f t="shared" si="212"/>
        <v>0</v>
      </c>
      <c r="AE151" s="1166">
        <f t="shared" si="212"/>
        <v>0</v>
      </c>
      <c r="AF151" s="2808">
        <f t="shared" si="212"/>
        <v>0</v>
      </c>
      <c r="AG151" s="1265">
        <f t="shared" si="212"/>
        <v>0</v>
      </c>
      <c r="AH151" s="2807">
        <f t="shared" si="212"/>
        <v>0</v>
      </c>
      <c r="AI151" s="1166">
        <f t="shared" si="212"/>
        <v>0</v>
      </c>
      <c r="AJ151" s="1166">
        <f t="shared" si="212"/>
        <v>0</v>
      </c>
      <c r="AK151" s="1167">
        <f t="shared" si="212"/>
        <v>0</v>
      </c>
      <c r="AL151" s="1166">
        <f t="shared" si="212"/>
        <v>0</v>
      </c>
      <c r="AM151" s="2808">
        <f t="shared" si="212"/>
        <v>0</v>
      </c>
      <c r="AN151" s="2676"/>
      <c r="AO151" s="2719"/>
      <c r="AP151" s="4775"/>
      <c r="AQ151" s="4794">
        <f t="shared" si="174"/>
        <v>1055.3064427889949</v>
      </c>
      <c r="AR151" s="4794">
        <f t="shared" si="175"/>
        <v>1397.26086045344</v>
      </c>
      <c r="AS151" s="4794">
        <f t="shared" si="176"/>
        <v>1791.6628186083831</v>
      </c>
      <c r="AT151" s="4794">
        <f t="shared" si="177"/>
        <v>2228.4719391256917</v>
      </c>
      <c r="AU151" s="4794">
        <f t="shared" si="178"/>
        <v>2703.9638567259467</v>
      </c>
      <c r="AV151" s="4794">
        <f t="shared" si="179"/>
        <v>3217.3611664003456</v>
      </c>
      <c r="AW151" s="4794">
        <f t="shared" si="180"/>
        <v>3768.7469292477494</v>
      </c>
      <c r="AX151" s="4794">
        <f t="shared" si="181"/>
        <v>38.858182970912608</v>
      </c>
      <c r="AY151" s="4794">
        <f t="shared" si="182"/>
        <v>54.335150871779021</v>
      </c>
      <c r="AZ151" s="4794">
        <f t="shared" si="183"/>
        <v>71.399827280570193</v>
      </c>
      <c r="BA151" s="4794">
        <f t="shared" si="184"/>
        <v>90.2835510027287</v>
      </c>
      <c r="BB151" s="4794">
        <f t="shared" si="185"/>
        <v>110.98788339439207</v>
      </c>
      <c r="BC151" s="4794">
        <f t="shared" si="186"/>
        <v>133.43275587432817</v>
      </c>
      <c r="BD151" s="4794">
        <f t="shared" si="187"/>
        <v>157.57060694192992</v>
      </c>
      <c r="BE151" s="4794">
        <f t="shared" si="188"/>
        <v>77.716365941825217</v>
      </c>
      <c r="BF151" s="4794">
        <f t="shared" si="189"/>
        <v>97.702751859720365</v>
      </c>
      <c r="BG151" s="4794">
        <f t="shared" si="190"/>
        <v>120.0621655721658</v>
      </c>
      <c r="BH151" s="4794">
        <f t="shared" si="191"/>
        <v>144.8763183620926</v>
      </c>
      <c r="BI151" s="4794">
        <f t="shared" si="192"/>
        <v>172.11001882599086</v>
      </c>
      <c r="BJ151" s="4794">
        <f t="shared" si="193"/>
        <v>201.7515443558618</v>
      </c>
      <c r="BK151" s="4794">
        <f t="shared" si="194"/>
        <v>233.81652454157057</v>
      </c>
      <c r="BL151" s="4794">
        <f t="shared" si="195"/>
        <v>0</v>
      </c>
      <c r="BM151" s="4794">
        <f t="shared" si="196"/>
        <v>0</v>
      </c>
      <c r="BN151" s="4794">
        <f t="shared" si="197"/>
        <v>0</v>
      </c>
      <c r="BO151" s="4794">
        <f t="shared" si="198"/>
        <v>0</v>
      </c>
      <c r="BP151" s="4794">
        <f t="shared" si="199"/>
        <v>0</v>
      </c>
      <c r="BQ151" s="4794">
        <f t="shared" si="200"/>
        <v>0</v>
      </c>
      <c r="BR151" s="4794">
        <f t="shared" si="201"/>
        <v>0</v>
      </c>
      <c r="BS151" s="4794">
        <f t="shared" si="202"/>
        <v>0</v>
      </c>
      <c r="BT151" s="4794">
        <f t="shared" si="203"/>
        <v>0</v>
      </c>
      <c r="BU151" s="4794">
        <f t="shared" si="204"/>
        <v>0</v>
      </c>
      <c r="BV151" s="4794">
        <f t="shared" si="205"/>
        <v>0</v>
      </c>
      <c r="BW151" s="4794">
        <f t="shared" si="206"/>
        <v>0</v>
      </c>
      <c r="BX151" s="4794">
        <f t="shared" si="207"/>
        <v>0</v>
      </c>
      <c r="BY151" s="4794">
        <f t="shared" si="208"/>
        <v>0</v>
      </c>
    </row>
    <row r="152" spans="1:77" s="1344" customFormat="1">
      <c r="A152" s="2683">
        <v>1</v>
      </c>
      <c r="B152" s="2677">
        <v>20102</v>
      </c>
      <c r="C152" s="2701">
        <v>0</v>
      </c>
      <c r="D152" s="2731" t="s">
        <v>558</v>
      </c>
      <c r="E152" s="4738">
        <f>+'11.3. ДА Базова година'!H112</f>
        <v>0</v>
      </c>
      <c r="F152" s="2780">
        <f t="shared" ref="F152:K155" si="213">E152+F132</f>
        <v>0</v>
      </c>
      <c r="G152" s="2778">
        <f t="shared" si="213"/>
        <v>0</v>
      </c>
      <c r="H152" s="2778">
        <f t="shared" si="213"/>
        <v>0</v>
      </c>
      <c r="I152" s="2778">
        <f t="shared" si="213"/>
        <v>0</v>
      </c>
      <c r="J152" s="2778">
        <f t="shared" si="213"/>
        <v>0</v>
      </c>
      <c r="K152" s="2779">
        <f t="shared" si="213"/>
        <v>0</v>
      </c>
      <c r="L152" s="4738">
        <f>+'11.3. ДА Базова година'!L112</f>
        <v>0</v>
      </c>
      <c r="M152" s="2780">
        <f t="shared" ref="M152:R167" si="214">L152+M132</f>
        <v>0</v>
      </c>
      <c r="N152" s="2778">
        <f t="shared" si="214"/>
        <v>0</v>
      </c>
      <c r="O152" s="2778">
        <f t="shared" si="214"/>
        <v>0</v>
      </c>
      <c r="P152" s="2778">
        <f t="shared" si="214"/>
        <v>0</v>
      </c>
      <c r="Q152" s="2778">
        <f t="shared" si="214"/>
        <v>0</v>
      </c>
      <c r="R152" s="2779">
        <f t="shared" si="214"/>
        <v>0</v>
      </c>
      <c r="S152" s="4738">
        <f>+'11.3. ДА Базова година'!P112</f>
        <v>0</v>
      </c>
      <c r="T152" s="2780">
        <f t="shared" ref="T152:Y167" si="215">S152+T132</f>
        <v>0</v>
      </c>
      <c r="U152" s="2778">
        <f t="shared" si="215"/>
        <v>0</v>
      </c>
      <c r="V152" s="2778">
        <f t="shared" si="215"/>
        <v>0</v>
      </c>
      <c r="W152" s="2778">
        <f t="shared" si="215"/>
        <v>0</v>
      </c>
      <c r="X152" s="2778">
        <f t="shared" si="215"/>
        <v>0</v>
      </c>
      <c r="Y152" s="2779">
        <f t="shared" si="215"/>
        <v>0</v>
      </c>
      <c r="Z152" s="4738">
        <f>+'11.3. ДА Базова година'!T112</f>
        <v>0</v>
      </c>
      <c r="AA152" s="2780">
        <f t="shared" ref="AA152:AF167" si="216">Z152+AA132</f>
        <v>0</v>
      </c>
      <c r="AB152" s="2778">
        <f t="shared" si="216"/>
        <v>0</v>
      </c>
      <c r="AC152" s="2778">
        <f t="shared" si="216"/>
        <v>0</v>
      </c>
      <c r="AD152" s="2778">
        <f t="shared" si="216"/>
        <v>0</v>
      </c>
      <c r="AE152" s="2778">
        <f t="shared" si="216"/>
        <v>0</v>
      </c>
      <c r="AF152" s="2779">
        <f t="shared" si="216"/>
        <v>0</v>
      </c>
      <c r="AG152" s="4738">
        <f>+'11.3. ДА Базова година'!X112</f>
        <v>0</v>
      </c>
      <c r="AH152" s="2780">
        <f t="shared" ref="AH152:AM167" si="217">AG152+AH132</f>
        <v>0</v>
      </c>
      <c r="AI152" s="2778">
        <f t="shared" si="217"/>
        <v>0</v>
      </c>
      <c r="AJ152" s="2778">
        <f t="shared" si="217"/>
        <v>0</v>
      </c>
      <c r="AK152" s="2778">
        <f t="shared" si="217"/>
        <v>0</v>
      </c>
      <c r="AL152" s="2778">
        <f t="shared" si="217"/>
        <v>0</v>
      </c>
      <c r="AM152" s="2779">
        <f t="shared" si="217"/>
        <v>0</v>
      </c>
      <c r="AN152" s="2681"/>
      <c r="AO152" s="2719"/>
      <c r="AP152" s="4775"/>
      <c r="AQ152" s="4794">
        <f t="shared" si="174"/>
        <v>0</v>
      </c>
      <c r="AR152" s="4794">
        <f t="shared" si="175"/>
        <v>0</v>
      </c>
      <c r="AS152" s="4794">
        <f t="shared" si="176"/>
        <v>0</v>
      </c>
      <c r="AT152" s="4794">
        <f t="shared" si="177"/>
        <v>0</v>
      </c>
      <c r="AU152" s="4794">
        <f t="shared" si="178"/>
        <v>0</v>
      </c>
      <c r="AV152" s="4794">
        <f t="shared" si="179"/>
        <v>0</v>
      </c>
      <c r="AW152" s="4794">
        <f t="shared" si="180"/>
        <v>0</v>
      </c>
      <c r="AX152" s="4794">
        <f t="shared" si="181"/>
        <v>0</v>
      </c>
      <c r="AY152" s="4794">
        <f t="shared" si="182"/>
        <v>0</v>
      </c>
      <c r="AZ152" s="4794">
        <f t="shared" si="183"/>
        <v>0</v>
      </c>
      <c r="BA152" s="4794">
        <f t="shared" si="184"/>
        <v>0</v>
      </c>
      <c r="BB152" s="4794">
        <f t="shared" si="185"/>
        <v>0</v>
      </c>
      <c r="BC152" s="4794">
        <f t="shared" si="186"/>
        <v>0</v>
      </c>
      <c r="BD152" s="4794">
        <f t="shared" si="187"/>
        <v>0</v>
      </c>
      <c r="BE152" s="4794">
        <f t="shared" si="188"/>
        <v>0</v>
      </c>
      <c r="BF152" s="4794">
        <f t="shared" si="189"/>
        <v>0</v>
      </c>
      <c r="BG152" s="4794">
        <f t="shared" si="190"/>
        <v>0</v>
      </c>
      <c r="BH152" s="4794">
        <f t="shared" si="191"/>
        <v>0</v>
      </c>
      <c r="BI152" s="4794">
        <f t="shared" si="192"/>
        <v>0</v>
      </c>
      <c r="BJ152" s="4794">
        <f t="shared" si="193"/>
        <v>0</v>
      </c>
      <c r="BK152" s="4794">
        <f t="shared" si="194"/>
        <v>0</v>
      </c>
      <c r="BL152" s="4794">
        <f t="shared" si="195"/>
        <v>0</v>
      </c>
      <c r="BM152" s="4794">
        <f t="shared" si="196"/>
        <v>0</v>
      </c>
      <c r="BN152" s="4794">
        <f t="shared" si="197"/>
        <v>0</v>
      </c>
      <c r="BO152" s="4794">
        <f t="shared" si="198"/>
        <v>0</v>
      </c>
      <c r="BP152" s="4794">
        <f t="shared" si="199"/>
        <v>0</v>
      </c>
      <c r="BQ152" s="4794">
        <f t="shared" si="200"/>
        <v>0</v>
      </c>
      <c r="BR152" s="4794">
        <f t="shared" si="201"/>
        <v>0</v>
      </c>
      <c r="BS152" s="4794">
        <f t="shared" si="202"/>
        <v>0</v>
      </c>
      <c r="BT152" s="4794">
        <f t="shared" si="203"/>
        <v>0</v>
      </c>
      <c r="BU152" s="4794">
        <f t="shared" si="204"/>
        <v>0</v>
      </c>
      <c r="BV152" s="4794">
        <f t="shared" si="205"/>
        <v>0</v>
      </c>
      <c r="BW152" s="4794">
        <f t="shared" si="206"/>
        <v>0</v>
      </c>
      <c r="BX152" s="4794">
        <f t="shared" si="207"/>
        <v>0</v>
      </c>
      <c r="BY152" s="4794">
        <f t="shared" si="208"/>
        <v>0</v>
      </c>
    </row>
    <row r="153" spans="1:77" s="1344" customFormat="1">
      <c r="A153" s="2683">
        <v>2</v>
      </c>
      <c r="B153" s="2684">
        <v>20202</v>
      </c>
      <c r="C153" s="2685">
        <v>0.03</v>
      </c>
      <c r="D153" s="2739" t="s">
        <v>426</v>
      </c>
      <c r="E153" s="4738">
        <f>+'11.3. ДА Базова година'!H113</f>
        <v>29</v>
      </c>
      <c r="F153" s="1247">
        <f t="shared" si="213"/>
        <v>33.225000000000001</v>
      </c>
      <c r="G153" s="1243">
        <f t="shared" si="213"/>
        <v>37.975000000000001</v>
      </c>
      <c r="H153" s="1243">
        <f t="shared" si="213"/>
        <v>43.325000000000003</v>
      </c>
      <c r="I153" s="1243">
        <f t="shared" si="213"/>
        <v>49.275000000000006</v>
      </c>
      <c r="J153" s="1243">
        <f t="shared" si="213"/>
        <v>55.825000000000003</v>
      </c>
      <c r="K153" s="1248">
        <f t="shared" si="213"/>
        <v>62.975000000000001</v>
      </c>
      <c r="L153" s="4738">
        <f>+'11.3. ДА Базова година'!L113</f>
        <v>0</v>
      </c>
      <c r="M153" s="1247">
        <f t="shared" si="214"/>
        <v>0</v>
      </c>
      <c r="N153" s="1243">
        <f t="shared" si="214"/>
        <v>0</v>
      </c>
      <c r="O153" s="1243">
        <f t="shared" si="214"/>
        <v>0</v>
      </c>
      <c r="P153" s="1243">
        <f t="shared" si="214"/>
        <v>0</v>
      </c>
      <c r="Q153" s="1243">
        <f t="shared" si="214"/>
        <v>0</v>
      </c>
      <c r="R153" s="1248">
        <f t="shared" si="214"/>
        <v>0</v>
      </c>
      <c r="S153" s="4738">
        <f>+'11.3. ДА Базова година'!P113</f>
        <v>0</v>
      </c>
      <c r="T153" s="1247">
        <f t="shared" si="215"/>
        <v>0</v>
      </c>
      <c r="U153" s="1243">
        <f t="shared" si="215"/>
        <v>0</v>
      </c>
      <c r="V153" s="1243">
        <f t="shared" si="215"/>
        <v>0</v>
      </c>
      <c r="W153" s="1243">
        <f t="shared" si="215"/>
        <v>0</v>
      </c>
      <c r="X153" s="1243">
        <f t="shared" si="215"/>
        <v>0</v>
      </c>
      <c r="Y153" s="1248">
        <f t="shared" si="215"/>
        <v>0</v>
      </c>
      <c r="Z153" s="4738">
        <f>+'11.3. ДА Базова година'!T113</f>
        <v>0</v>
      </c>
      <c r="AA153" s="1247">
        <f t="shared" si="216"/>
        <v>0</v>
      </c>
      <c r="AB153" s="1243">
        <f t="shared" si="216"/>
        <v>0</v>
      </c>
      <c r="AC153" s="1243">
        <f t="shared" si="216"/>
        <v>0</v>
      </c>
      <c r="AD153" s="1243">
        <f t="shared" si="216"/>
        <v>0</v>
      </c>
      <c r="AE153" s="1243">
        <f t="shared" si="216"/>
        <v>0</v>
      </c>
      <c r="AF153" s="1248">
        <f t="shared" si="216"/>
        <v>0</v>
      </c>
      <c r="AG153" s="4738">
        <f>+'11.3. ДА Базова година'!X113</f>
        <v>0</v>
      </c>
      <c r="AH153" s="1247">
        <f t="shared" si="217"/>
        <v>0</v>
      </c>
      <c r="AI153" s="1243">
        <f t="shared" si="217"/>
        <v>0</v>
      </c>
      <c r="AJ153" s="1243">
        <f t="shared" si="217"/>
        <v>0</v>
      </c>
      <c r="AK153" s="1243">
        <f t="shared" si="217"/>
        <v>0</v>
      </c>
      <c r="AL153" s="1243">
        <f t="shared" si="217"/>
        <v>0</v>
      </c>
      <c r="AM153" s="1248">
        <f t="shared" si="217"/>
        <v>0</v>
      </c>
      <c r="AN153" s="2681"/>
      <c r="AO153" s="2719"/>
      <c r="AP153" s="4775"/>
      <c r="AQ153" s="4794">
        <f t="shared" si="174"/>
        <v>14.827464554690337</v>
      </c>
      <c r="AR153" s="4794">
        <f t="shared" si="175"/>
        <v>16.987672752744359</v>
      </c>
      <c r="AS153" s="4794">
        <f t="shared" si="176"/>
        <v>19.4163091884264</v>
      </c>
      <c r="AT153" s="4794">
        <f t="shared" si="177"/>
        <v>22.151720752826169</v>
      </c>
      <c r="AU153" s="4794">
        <f t="shared" si="178"/>
        <v>25.193907445943669</v>
      </c>
      <c r="AV153" s="4794">
        <f t="shared" si="179"/>
        <v>28.542869267778897</v>
      </c>
      <c r="AW153" s="4794">
        <f t="shared" si="180"/>
        <v>32.198606218331861</v>
      </c>
      <c r="AX153" s="4794">
        <f t="shared" si="181"/>
        <v>0</v>
      </c>
      <c r="AY153" s="4794">
        <f t="shared" si="182"/>
        <v>0</v>
      </c>
      <c r="AZ153" s="4794">
        <f t="shared" si="183"/>
        <v>0</v>
      </c>
      <c r="BA153" s="4794">
        <f t="shared" si="184"/>
        <v>0</v>
      </c>
      <c r="BB153" s="4794">
        <f t="shared" si="185"/>
        <v>0</v>
      </c>
      <c r="BC153" s="4794">
        <f t="shared" si="186"/>
        <v>0</v>
      </c>
      <c r="BD153" s="4794">
        <f t="shared" si="187"/>
        <v>0</v>
      </c>
      <c r="BE153" s="4794">
        <f t="shared" si="188"/>
        <v>0</v>
      </c>
      <c r="BF153" s="4794">
        <f t="shared" si="189"/>
        <v>0</v>
      </c>
      <c r="BG153" s="4794">
        <f t="shared" si="190"/>
        <v>0</v>
      </c>
      <c r="BH153" s="4794">
        <f t="shared" si="191"/>
        <v>0</v>
      </c>
      <c r="BI153" s="4794">
        <f t="shared" si="192"/>
        <v>0</v>
      </c>
      <c r="BJ153" s="4794">
        <f t="shared" si="193"/>
        <v>0</v>
      </c>
      <c r="BK153" s="4794">
        <f t="shared" si="194"/>
        <v>0</v>
      </c>
      <c r="BL153" s="4794">
        <f t="shared" si="195"/>
        <v>0</v>
      </c>
      <c r="BM153" s="4794">
        <f t="shared" si="196"/>
        <v>0</v>
      </c>
      <c r="BN153" s="4794">
        <f t="shared" si="197"/>
        <v>0</v>
      </c>
      <c r="BO153" s="4794">
        <f t="shared" si="198"/>
        <v>0</v>
      </c>
      <c r="BP153" s="4794">
        <f t="shared" si="199"/>
        <v>0</v>
      </c>
      <c r="BQ153" s="4794">
        <f t="shared" si="200"/>
        <v>0</v>
      </c>
      <c r="BR153" s="4794">
        <f t="shared" si="201"/>
        <v>0</v>
      </c>
      <c r="BS153" s="4794">
        <f t="shared" si="202"/>
        <v>0</v>
      </c>
      <c r="BT153" s="4794">
        <f t="shared" si="203"/>
        <v>0</v>
      </c>
      <c r="BU153" s="4794">
        <f t="shared" si="204"/>
        <v>0</v>
      </c>
      <c r="BV153" s="4794">
        <f t="shared" si="205"/>
        <v>0</v>
      </c>
      <c r="BW153" s="4794">
        <f t="shared" si="206"/>
        <v>0</v>
      </c>
      <c r="BX153" s="4794">
        <f t="shared" si="207"/>
        <v>0</v>
      </c>
      <c r="BY153" s="4794">
        <f t="shared" si="208"/>
        <v>0</v>
      </c>
    </row>
    <row r="154" spans="1:77" s="1344" customFormat="1">
      <c r="A154" s="2683">
        <v>3</v>
      </c>
      <c r="B154" s="2684">
        <v>2030401</v>
      </c>
      <c r="C154" s="2690">
        <v>0.1</v>
      </c>
      <c r="D154" s="2720" t="s">
        <v>1031</v>
      </c>
      <c r="E154" s="4738">
        <f>+'11.3. ДА Базова година'!H114</f>
        <v>92</v>
      </c>
      <c r="F154" s="1247">
        <f t="shared" si="213"/>
        <v>95</v>
      </c>
      <c r="G154" s="1243">
        <f t="shared" si="213"/>
        <v>98</v>
      </c>
      <c r="H154" s="1243">
        <f t="shared" si="213"/>
        <v>101</v>
      </c>
      <c r="I154" s="1243">
        <f t="shared" si="213"/>
        <v>104</v>
      </c>
      <c r="J154" s="1243">
        <f t="shared" si="213"/>
        <v>107</v>
      </c>
      <c r="K154" s="1248">
        <f t="shared" si="213"/>
        <v>110</v>
      </c>
      <c r="L154" s="4738">
        <f>+'11.3. ДА Базова година'!L114</f>
        <v>0</v>
      </c>
      <c r="M154" s="1247">
        <f t="shared" si="214"/>
        <v>0</v>
      </c>
      <c r="N154" s="1243">
        <f t="shared" si="214"/>
        <v>0</v>
      </c>
      <c r="O154" s="1243">
        <f t="shared" si="214"/>
        <v>0</v>
      </c>
      <c r="P154" s="1243">
        <f t="shared" si="214"/>
        <v>0</v>
      </c>
      <c r="Q154" s="1243">
        <f t="shared" si="214"/>
        <v>0</v>
      </c>
      <c r="R154" s="1248">
        <f t="shared" si="214"/>
        <v>0</v>
      </c>
      <c r="S154" s="4738">
        <f>+'11.3. ДА Базова година'!P114</f>
        <v>0</v>
      </c>
      <c r="T154" s="1247">
        <f t="shared" si="215"/>
        <v>0</v>
      </c>
      <c r="U154" s="1243">
        <f t="shared" si="215"/>
        <v>0</v>
      </c>
      <c r="V154" s="1243">
        <f t="shared" si="215"/>
        <v>0</v>
      </c>
      <c r="W154" s="1243">
        <f t="shared" si="215"/>
        <v>0</v>
      </c>
      <c r="X154" s="1243">
        <f t="shared" si="215"/>
        <v>0</v>
      </c>
      <c r="Y154" s="1248">
        <f t="shared" si="215"/>
        <v>0</v>
      </c>
      <c r="Z154" s="4738">
        <f>+'11.3. ДА Базова година'!T114</f>
        <v>0</v>
      </c>
      <c r="AA154" s="1247">
        <f t="shared" si="216"/>
        <v>0</v>
      </c>
      <c r="AB154" s="1243">
        <f t="shared" si="216"/>
        <v>0</v>
      </c>
      <c r="AC154" s="1243">
        <f t="shared" si="216"/>
        <v>0</v>
      </c>
      <c r="AD154" s="1243">
        <f t="shared" si="216"/>
        <v>0</v>
      </c>
      <c r="AE154" s="1243">
        <f t="shared" si="216"/>
        <v>0</v>
      </c>
      <c r="AF154" s="1248">
        <f t="shared" si="216"/>
        <v>0</v>
      </c>
      <c r="AG154" s="4738">
        <f>+'11.3. ДА Базова година'!X114</f>
        <v>0</v>
      </c>
      <c r="AH154" s="1247">
        <f t="shared" si="217"/>
        <v>0</v>
      </c>
      <c r="AI154" s="1243">
        <f t="shared" si="217"/>
        <v>0</v>
      </c>
      <c r="AJ154" s="1243">
        <f t="shared" si="217"/>
        <v>0</v>
      </c>
      <c r="AK154" s="1243">
        <f t="shared" si="217"/>
        <v>0</v>
      </c>
      <c r="AL154" s="1243">
        <f t="shared" si="217"/>
        <v>0</v>
      </c>
      <c r="AM154" s="1248">
        <f t="shared" si="217"/>
        <v>0</v>
      </c>
      <c r="AN154" s="2681"/>
      <c r="AO154" s="2719"/>
      <c r="AP154" s="4775"/>
      <c r="AQ154" s="4794">
        <f t="shared" si="174"/>
        <v>47.038853070052099</v>
      </c>
      <c r="AR154" s="4794">
        <f t="shared" si="175"/>
        <v>48.572728713640757</v>
      </c>
      <c r="AS154" s="4794">
        <f t="shared" si="176"/>
        <v>50.106604357229415</v>
      </c>
      <c r="AT154" s="4794">
        <f t="shared" si="177"/>
        <v>51.640480000818066</v>
      </c>
      <c r="AU154" s="4794">
        <f t="shared" si="178"/>
        <v>53.174355644406724</v>
      </c>
      <c r="AV154" s="4794">
        <f t="shared" si="179"/>
        <v>54.708231287995382</v>
      </c>
      <c r="AW154" s="4794">
        <f t="shared" si="180"/>
        <v>56.242106931584033</v>
      </c>
      <c r="AX154" s="4794">
        <f t="shared" si="181"/>
        <v>0</v>
      </c>
      <c r="AY154" s="4794">
        <f t="shared" si="182"/>
        <v>0</v>
      </c>
      <c r="AZ154" s="4794">
        <f t="shared" si="183"/>
        <v>0</v>
      </c>
      <c r="BA154" s="4794">
        <f t="shared" si="184"/>
        <v>0</v>
      </c>
      <c r="BB154" s="4794">
        <f t="shared" si="185"/>
        <v>0</v>
      </c>
      <c r="BC154" s="4794">
        <f t="shared" si="186"/>
        <v>0</v>
      </c>
      <c r="BD154" s="4794">
        <f t="shared" si="187"/>
        <v>0</v>
      </c>
      <c r="BE154" s="4794">
        <f t="shared" si="188"/>
        <v>0</v>
      </c>
      <c r="BF154" s="4794">
        <f t="shared" si="189"/>
        <v>0</v>
      </c>
      <c r="BG154" s="4794">
        <f t="shared" si="190"/>
        <v>0</v>
      </c>
      <c r="BH154" s="4794">
        <f t="shared" si="191"/>
        <v>0</v>
      </c>
      <c r="BI154" s="4794">
        <f t="shared" si="192"/>
        <v>0</v>
      </c>
      <c r="BJ154" s="4794">
        <f t="shared" si="193"/>
        <v>0</v>
      </c>
      <c r="BK154" s="4794">
        <f t="shared" si="194"/>
        <v>0</v>
      </c>
      <c r="BL154" s="4794">
        <f t="shared" si="195"/>
        <v>0</v>
      </c>
      <c r="BM154" s="4794">
        <f t="shared" si="196"/>
        <v>0</v>
      </c>
      <c r="BN154" s="4794">
        <f t="shared" si="197"/>
        <v>0</v>
      </c>
      <c r="BO154" s="4794">
        <f t="shared" si="198"/>
        <v>0</v>
      </c>
      <c r="BP154" s="4794">
        <f t="shared" si="199"/>
        <v>0</v>
      </c>
      <c r="BQ154" s="4794">
        <f t="shared" si="200"/>
        <v>0</v>
      </c>
      <c r="BR154" s="4794">
        <f t="shared" si="201"/>
        <v>0</v>
      </c>
      <c r="BS154" s="4794">
        <f t="shared" si="202"/>
        <v>0</v>
      </c>
      <c r="BT154" s="4794">
        <f t="shared" si="203"/>
        <v>0</v>
      </c>
      <c r="BU154" s="4794">
        <f t="shared" si="204"/>
        <v>0</v>
      </c>
      <c r="BV154" s="4794">
        <f t="shared" si="205"/>
        <v>0</v>
      </c>
      <c r="BW154" s="4794">
        <f t="shared" si="206"/>
        <v>0</v>
      </c>
      <c r="BX154" s="4794">
        <f t="shared" si="207"/>
        <v>0</v>
      </c>
      <c r="BY154" s="4794">
        <f t="shared" si="208"/>
        <v>0</v>
      </c>
    </row>
    <row r="155" spans="1:77" s="1344" customFormat="1">
      <c r="A155" s="2683">
        <v>4</v>
      </c>
      <c r="B155" s="2684">
        <v>2030402</v>
      </c>
      <c r="C155" s="2690">
        <v>0.1</v>
      </c>
      <c r="D155" s="2720" t="s">
        <v>429</v>
      </c>
      <c r="E155" s="4738">
        <f>+'11.3. ДА Базова година'!H115</f>
        <v>0</v>
      </c>
      <c r="F155" s="1247">
        <f>E155+F135</f>
        <v>0</v>
      </c>
      <c r="G155" s="1243">
        <f t="shared" si="213"/>
        <v>0</v>
      </c>
      <c r="H155" s="1243">
        <f t="shared" si="213"/>
        <v>0</v>
      </c>
      <c r="I155" s="1243">
        <f t="shared" si="213"/>
        <v>0</v>
      </c>
      <c r="J155" s="1243">
        <f t="shared" si="213"/>
        <v>0</v>
      </c>
      <c r="K155" s="1248">
        <f t="shared" si="213"/>
        <v>0</v>
      </c>
      <c r="L155" s="4738">
        <f>+'11.3. ДА Базова година'!L115</f>
        <v>0</v>
      </c>
      <c r="M155" s="1247">
        <f t="shared" si="214"/>
        <v>0</v>
      </c>
      <c r="N155" s="1243">
        <f t="shared" si="214"/>
        <v>0</v>
      </c>
      <c r="O155" s="1243">
        <f t="shared" si="214"/>
        <v>0</v>
      </c>
      <c r="P155" s="1243">
        <f t="shared" si="214"/>
        <v>0</v>
      </c>
      <c r="Q155" s="1243">
        <f t="shared" si="214"/>
        <v>0</v>
      </c>
      <c r="R155" s="1248">
        <f t="shared" si="214"/>
        <v>0</v>
      </c>
      <c r="S155" s="4738">
        <f>+'11.3. ДА Базова година'!P115</f>
        <v>0</v>
      </c>
      <c r="T155" s="1247">
        <f t="shared" si="215"/>
        <v>0</v>
      </c>
      <c r="U155" s="1243">
        <f t="shared" si="215"/>
        <v>0</v>
      </c>
      <c r="V155" s="1243">
        <f t="shared" si="215"/>
        <v>0</v>
      </c>
      <c r="W155" s="1243">
        <f t="shared" si="215"/>
        <v>0</v>
      </c>
      <c r="X155" s="1243">
        <f t="shared" si="215"/>
        <v>0</v>
      </c>
      <c r="Y155" s="1248">
        <f t="shared" si="215"/>
        <v>0</v>
      </c>
      <c r="Z155" s="4738">
        <f>+'11.3. ДА Базова година'!T115</f>
        <v>0</v>
      </c>
      <c r="AA155" s="1247">
        <f t="shared" si="216"/>
        <v>0</v>
      </c>
      <c r="AB155" s="1243">
        <f t="shared" si="216"/>
        <v>0</v>
      </c>
      <c r="AC155" s="1243">
        <f t="shared" si="216"/>
        <v>0</v>
      </c>
      <c r="AD155" s="1243">
        <f t="shared" si="216"/>
        <v>0</v>
      </c>
      <c r="AE155" s="1243">
        <f t="shared" si="216"/>
        <v>0</v>
      </c>
      <c r="AF155" s="1248">
        <f t="shared" si="216"/>
        <v>0</v>
      </c>
      <c r="AG155" s="4738">
        <f>+'11.3. ДА Базова година'!X115</f>
        <v>0</v>
      </c>
      <c r="AH155" s="1247">
        <f t="shared" si="217"/>
        <v>0</v>
      </c>
      <c r="AI155" s="1243">
        <f t="shared" si="217"/>
        <v>0</v>
      </c>
      <c r="AJ155" s="1243">
        <f t="shared" si="217"/>
        <v>0</v>
      </c>
      <c r="AK155" s="1243">
        <f t="shared" si="217"/>
        <v>0</v>
      </c>
      <c r="AL155" s="1243">
        <f t="shared" si="217"/>
        <v>0</v>
      </c>
      <c r="AM155" s="1248">
        <f t="shared" si="217"/>
        <v>0</v>
      </c>
      <c r="AN155" s="2681"/>
      <c r="AO155" s="2719"/>
      <c r="AP155" s="4775"/>
      <c r="AQ155" s="4794">
        <f t="shared" si="174"/>
        <v>0</v>
      </c>
      <c r="AR155" s="4794">
        <f t="shared" si="175"/>
        <v>0</v>
      </c>
      <c r="AS155" s="4794">
        <f t="shared" si="176"/>
        <v>0</v>
      </c>
      <c r="AT155" s="4794">
        <f t="shared" si="177"/>
        <v>0</v>
      </c>
      <c r="AU155" s="4794">
        <f t="shared" si="178"/>
        <v>0</v>
      </c>
      <c r="AV155" s="4794">
        <f t="shared" si="179"/>
        <v>0</v>
      </c>
      <c r="AW155" s="4794">
        <f t="shared" si="180"/>
        <v>0</v>
      </c>
      <c r="AX155" s="4794">
        <f t="shared" si="181"/>
        <v>0</v>
      </c>
      <c r="AY155" s="4794">
        <f t="shared" si="182"/>
        <v>0</v>
      </c>
      <c r="AZ155" s="4794">
        <f t="shared" si="183"/>
        <v>0</v>
      </c>
      <c r="BA155" s="4794">
        <f t="shared" si="184"/>
        <v>0</v>
      </c>
      <c r="BB155" s="4794">
        <f t="shared" si="185"/>
        <v>0</v>
      </c>
      <c r="BC155" s="4794">
        <f t="shared" si="186"/>
        <v>0</v>
      </c>
      <c r="BD155" s="4794">
        <f t="shared" si="187"/>
        <v>0</v>
      </c>
      <c r="BE155" s="4794">
        <f t="shared" si="188"/>
        <v>0</v>
      </c>
      <c r="BF155" s="4794">
        <f t="shared" si="189"/>
        <v>0</v>
      </c>
      <c r="BG155" s="4794">
        <f t="shared" si="190"/>
        <v>0</v>
      </c>
      <c r="BH155" s="4794">
        <f t="shared" si="191"/>
        <v>0</v>
      </c>
      <c r="BI155" s="4794">
        <f t="shared" si="192"/>
        <v>0</v>
      </c>
      <c r="BJ155" s="4794">
        <f t="shared" si="193"/>
        <v>0</v>
      </c>
      <c r="BK155" s="4794">
        <f t="shared" si="194"/>
        <v>0</v>
      </c>
      <c r="BL155" s="4794">
        <f t="shared" si="195"/>
        <v>0</v>
      </c>
      <c r="BM155" s="4794">
        <f t="shared" si="196"/>
        <v>0</v>
      </c>
      <c r="BN155" s="4794">
        <f t="shared" si="197"/>
        <v>0</v>
      </c>
      <c r="BO155" s="4794">
        <f t="shared" si="198"/>
        <v>0</v>
      </c>
      <c r="BP155" s="4794">
        <f t="shared" si="199"/>
        <v>0</v>
      </c>
      <c r="BQ155" s="4794">
        <f t="shared" si="200"/>
        <v>0</v>
      </c>
      <c r="BR155" s="4794">
        <f t="shared" si="201"/>
        <v>0</v>
      </c>
      <c r="BS155" s="4794">
        <f t="shared" si="202"/>
        <v>0</v>
      </c>
      <c r="BT155" s="4794">
        <f t="shared" si="203"/>
        <v>0</v>
      </c>
      <c r="BU155" s="4794">
        <f t="shared" si="204"/>
        <v>0</v>
      </c>
      <c r="BV155" s="4794">
        <f t="shared" si="205"/>
        <v>0</v>
      </c>
      <c r="BW155" s="4794">
        <f t="shared" si="206"/>
        <v>0</v>
      </c>
      <c r="BX155" s="4794">
        <f t="shared" si="207"/>
        <v>0</v>
      </c>
      <c r="BY155" s="4794">
        <f t="shared" si="208"/>
        <v>0</v>
      </c>
    </row>
    <row r="156" spans="1:77" s="1344" customFormat="1">
      <c r="A156" s="2683">
        <v>5</v>
      </c>
      <c r="B156" s="2684">
        <v>2030501</v>
      </c>
      <c r="C156" s="2690">
        <v>0.1</v>
      </c>
      <c r="D156" s="2720" t="s">
        <v>408</v>
      </c>
      <c r="E156" s="4738">
        <f>+'11.3. ДА Базова година'!H116</f>
        <v>256</v>
      </c>
      <c r="F156" s="1247">
        <f t="shared" ref="F156:K170" si="218">E156+F136</f>
        <v>337.48970870065159</v>
      </c>
      <c r="G156" s="1243">
        <f t="shared" si="218"/>
        <v>433.23289051883341</v>
      </c>
      <c r="H156" s="1243">
        <f t="shared" si="218"/>
        <v>540.91727270020169</v>
      </c>
      <c r="I156" s="1243">
        <f t="shared" si="218"/>
        <v>659.75862990030851</v>
      </c>
      <c r="J156" s="1243">
        <f t="shared" si="218"/>
        <v>789.58649008078771</v>
      </c>
      <c r="K156" s="1248">
        <f t="shared" si="218"/>
        <v>929.86330663062529</v>
      </c>
      <c r="L156" s="4738">
        <f>+'11.3. ДА Базова година'!L116</f>
        <v>0</v>
      </c>
      <c r="M156" s="1247">
        <f t="shared" si="214"/>
        <v>0.13031812955155231</v>
      </c>
      <c r="N156" s="1243">
        <f t="shared" si="214"/>
        <v>0.56592419015761286</v>
      </c>
      <c r="O156" s="1243">
        <f t="shared" si="214"/>
        <v>1.3592775576668934</v>
      </c>
      <c r="P156" s="1243">
        <f t="shared" si="214"/>
        <v>2.5134319792538555</v>
      </c>
      <c r="Q156" s="1243">
        <f t="shared" si="214"/>
        <v>3.971786921687213</v>
      </c>
      <c r="R156" s="1248">
        <f t="shared" si="214"/>
        <v>5.7413201752348275</v>
      </c>
      <c r="S156" s="4738">
        <f>+'11.3. ДА Базова година'!P116</f>
        <v>26</v>
      </c>
      <c r="T156" s="1247">
        <f t="shared" si="215"/>
        <v>26.229973169796857</v>
      </c>
      <c r="U156" s="1243">
        <f t="shared" si="215"/>
        <v>27.101185291008978</v>
      </c>
      <c r="V156" s="1243">
        <f t="shared" si="215"/>
        <v>28.773449742131483</v>
      </c>
      <c r="W156" s="1243">
        <f t="shared" si="215"/>
        <v>31.177938120437656</v>
      </c>
      <c r="X156" s="1243">
        <f t="shared" si="215"/>
        <v>34.291722997525092</v>
      </c>
      <c r="Y156" s="1248">
        <f t="shared" si="215"/>
        <v>38.1453731941399</v>
      </c>
      <c r="Z156" s="4738">
        <f>+'11.3. ДА Базова година'!T116</f>
        <v>0</v>
      </c>
      <c r="AA156" s="1247">
        <f t="shared" si="216"/>
        <v>0</v>
      </c>
      <c r="AB156" s="1243">
        <f t="shared" si="216"/>
        <v>0</v>
      </c>
      <c r="AC156" s="1243">
        <f t="shared" si="216"/>
        <v>0</v>
      </c>
      <c r="AD156" s="1243">
        <f t="shared" si="216"/>
        <v>0</v>
      </c>
      <c r="AE156" s="1243">
        <f t="shared" si="216"/>
        <v>0</v>
      </c>
      <c r="AF156" s="1248">
        <f t="shared" si="216"/>
        <v>0</v>
      </c>
      <c r="AG156" s="4738">
        <f>+'11.3. ДА Базова година'!X116</f>
        <v>0</v>
      </c>
      <c r="AH156" s="1247">
        <f t="shared" si="217"/>
        <v>0</v>
      </c>
      <c r="AI156" s="1243">
        <f t="shared" si="217"/>
        <v>0</v>
      </c>
      <c r="AJ156" s="1243">
        <f t="shared" si="217"/>
        <v>0</v>
      </c>
      <c r="AK156" s="1243">
        <f t="shared" si="217"/>
        <v>0</v>
      </c>
      <c r="AL156" s="1243">
        <f t="shared" si="217"/>
        <v>0</v>
      </c>
      <c r="AM156" s="1248">
        <f t="shared" si="217"/>
        <v>0</v>
      </c>
      <c r="AN156" s="2681"/>
      <c r="AO156" s="2719"/>
      <c r="AP156" s="4775"/>
      <c r="AQ156" s="4794">
        <f t="shared" si="174"/>
        <v>130.89072158623193</v>
      </c>
      <c r="AR156" s="4794">
        <f t="shared" si="175"/>
        <v>172.55574804591993</v>
      </c>
      <c r="AS156" s="4794">
        <f t="shared" si="176"/>
        <v>221.5084595894497</v>
      </c>
      <c r="AT156" s="4794">
        <f t="shared" si="177"/>
        <v>276.56660993041407</v>
      </c>
      <c r="AU156" s="4794">
        <f t="shared" si="178"/>
        <v>337.32923101716841</v>
      </c>
      <c r="AV156" s="4794">
        <f t="shared" si="179"/>
        <v>403.70916188052524</v>
      </c>
      <c r="AW156" s="4794">
        <f t="shared" si="180"/>
        <v>475.43155930250856</v>
      </c>
      <c r="AX156" s="4794">
        <f t="shared" si="181"/>
        <v>0</v>
      </c>
      <c r="AY156" s="4794">
        <f t="shared" si="182"/>
        <v>6.6630601612385695E-2</v>
      </c>
      <c r="AZ156" s="4794">
        <f t="shared" si="183"/>
        <v>0.28935244380013236</v>
      </c>
      <c r="BA156" s="4794">
        <f t="shared" si="184"/>
        <v>0.69498757952730728</v>
      </c>
      <c r="BB156" s="4794">
        <f t="shared" si="185"/>
        <v>1.2850973649314386</v>
      </c>
      <c r="BC156" s="4794">
        <f t="shared" si="186"/>
        <v>2.0307424068999929</v>
      </c>
      <c r="BD156" s="4794">
        <f t="shared" si="187"/>
        <v>2.935490392945618</v>
      </c>
      <c r="BE156" s="4794">
        <f t="shared" si="188"/>
        <v>13.293588911101681</v>
      </c>
      <c r="BF156" s="4794">
        <f t="shared" si="189"/>
        <v>13.411172325711773</v>
      </c>
      <c r="BG156" s="4794">
        <f t="shared" si="190"/>
        <v>13.856616010087267</v>
      </c>
      <c r="BH156" s="4794">
        <f t="shared" si="191"/>
        <v>14.711631247159254</v>
      </c>
      <c r="BI156" s="4794">
        <f t="shared" si="192"/>
        <v>15.941026633417861</v>
      </c>
      <c r="BJ156" s="4794">
        <f t="shared" si="193"/>
        <v>17.533079560864234</v>
      </c>
      <c r="BK156" s="4794">
        <f t="shared" si="194"/>
        <v>19.503419619363594</v>
      </c>
      <c r="BL156" s="4794">
        <f t="shared" si="195"/>
        <v>0</v>
      </c>
      <c r="BM156" s="4794">
        <f t="shared" si="196"/>
        <v>0</v>
      </c>
      <c r="BN156" s="4794">
        <f t="shared" si="197"/>
        <v>0</v>
      </c>
      <c r="BO156" s="4794">
        <f t="shared" si="198"/>
        <v>0</v>
      </c>
      <c r="BP156" s="4794">
        <f t="shared" si="199"/>
        <v>0</v>
      </c>
      <c r="BQ156" s="4794">
        <f t="shared" si="200"/>
        <v>0</v>
      </c>
      <c r="BR156" s="4794">
        <f t="shared" si="201"/>
        <v>0</v>
      </c>
      <c r="BS156" s="4794">
        <f t="shared" si="202"/>
        <v>0</v>
      </c>
      <c r="BT156" s="4794">
        <f t="shared" si="203"/>
        <v>0</v>
      </c>
      <c r="BU156" s="4794">
        <f t="shared" si="204"/>
        <v>0</v>
      </c>
      <c r="BV156" s="4794">
        <f t="shared" si="205"/>
        <v>0</v>
      </c>
      <c r="BW156" s="4794">
        <f t="shared" si="206"/>
        <v>0</v>
      </c>
      <c r="BX156" s="4794">
        <f t="shared" si="207"/>
        <v>0</v>
      </c>
      <c r="BY156" s="4794">
        <f t="shared" si="208"/>
        <v>0</v>
      </c>
    </row>
    <row r="157" spans="1:77" s="1344" customFormat="1" ht="24">
      <c r="A157" s="2683">
        <v>6</v>
      </c>
      <c r="B157" s="2684">
        <v>2030502</v>
      </c>
      <c r="C157" s="2690">
        <v>0.1</v>
      </c>
      <c r="D157" s="2720" t="s">
        <v>695</v>
      </c>
      <c r="E157" s="4738">
        <f>+'11.3. ДА Базова година'!H117</f>
        <v>135</v>
      </c>
      <c r="F157" s="1247">
        <f t="shared" si="218"/>
        <v>178</v>
      </c>
      <c r="G157" s="1243">
        <f t="shared" si="218"/>
        <v>224.5</v>
      </c>
      <c r="H157" s="1243">
        <f t="shared" si="218"/>
        <v>274</v>
      </c>
      <c r="I157" s="1243">
        <f t="shared" si="218"/>
        <v>326.5</v>
      </c>
      <c r="J157" s="1243">
        <f t="shared" si="218"/>
        <v>382</v>
      </c>
      <c r="K157" s="1248">
        <f t="shared" si="218"/>
        <v>440.5</v>
      </c>
      <c r="L157" s="4738">
        <f>+'11.3. ДА Базова година'!L117</f>
        <v>0</v>
      </c>
      <c r="M157" s="1247">
        <f t="shared" si="214"/>
        <v>0</v>
      </c>
      <c r="N157" s="1243">
        <f t="shared" si="214"/>
        <v>0</v>
      </c>
      <c r="O157" s="1243">
        <f t="shared" si="214"/>
        <v>0</v>
      </c>
      <c r="P157" s="1243">
        <f t="shared" si="214"/>
        <v>0</v>
      </c>
      <c r="Q157" s="1243">
        <f t="shared" si="214"/>
        <v>0</v>
      </c>
      <c r="R157" s="1248">
        <f t="shared" si="214"/>
        <v>0</v>
      </c>
      <c r="S157" s="4738">
        <f>+'11.3. ДА Базова година'!P117</f>
        <v>0</v>
      </c>
      <c r="T157" s="1247">
        <f t="shared" si="215"/>
        <v>0</v>
      </c>
      <c r="U157" s="1243">
        <f t="shared" si="215"/>
        <v>0</v>
      </c>
      <c r="V157" s="1243">
        <f t="shared" si="215"/>
        <v>0</v>
      </c>
      <c r="W157" s="1243">
        <f t="shared" si="215"/>
        <v>0</v>
      </c>
      <c r="X157" s="1243">
        <f t="shared" si="215"/>
        <v>0</v>
      </c>
      <c r="Y157" s="1248">
        <f t="shared" si="215"/>
        <v>0</v>
      </c>
      <c r="Z157" s="4738">
        <f>+'11.3. ДА Базова година'!T117</f>
        <v>0</v>
      </c>
      <c r="AA157" s="1247">
        <f t="shared" si="216"/>
        <v>0</v>
      </c>
      <c r="AB157" s="1243">
        <f t="shared" si="216"/>
        <v>0</v>
      </c>
      <c r="AC157" s="1243">
        <f t="shared" si="216"/>
        <v>0</v>
      </c>
      <c r="AD157" s="1243">
        <f t="shared" si="216"/>
        <v>0</v>
      </c>
      <c r="AE157" s="1243">
        <f t="shared" si="216"/>
        <v>0</v>
      </c>
      <c r="AF157" s="1248">
        <f t="shared" si="216"/>
        <v>0</v>
      </c>
      <c r="AG157" s="4738">
        <f>+'11.3. ДА Базова година'!X117</f>
        <v>0</v>
      </c>
      <c r="AH157" s="1247">
        <f t="shared" si="217"/>
        <v>0</v>
      </c>
      <c r="AI157" s="1243">
        <f t="shared" si="217"/>
        <v>0</v>
      </c>
      <c r="AJ157" s="1243">
        <f t="shared" si="217"/>
        <v>0</v>
      </c>
      <c r="AK157" s="1243">
        <f t="shared" si="217"/>
        <v>0</v>
      </c>
      <c r="AL157" s="1243">
        <f t="shared" si="217"/>
        <v>0</v>
      </c>
      <c r="AM157" s="1248">
        <f t="shared" si="217"/>
        <v>0</v>
      </c>
      <c r="AN157" s="2681"/>
      <c r="AO157" s="2719"/>
      <c r="AP157" s="4775"/>
      <c r="AQ157" s="4794">
        <f t="shared" si="174"/>
        <v>69.024403961489497</v>
      </c>
      <c r="AR157" s="4794">
        <f t="shared" si="175"/>
        <v>91.009954852926896</v>
      </c>
      <c r="AS157" s="4794">
        <f t="shared" si="176"/>
        <v>114.78502732855105</v>
      </c>
      <c r="AT157" s="4794">
        <f t="shared" si="177"/>
        <v>140.09397544776388</v>
      </c>
      <c r="AU157" s="4794">
        <f t="shared" si="178"/>
        <v>166.93679921056534</v>
      </c>
      <c r="AV157" s="4794">
        <f t="shared" si="179"/>
        <v>195.31349861695546</v>
      </c>
      <c r="AW157" s="4794">
        <f t="shared" si="180"/>
        <v>225.22407366693426</v>
      </c>
      <c r="AX157" s="4794">
        <f t="shared" si="181"/>
        <v>0</v>
      </c>
      <c r="AY157" s="4794">
        <f t="shared" si="182"/>
        <v>0</v>
      </c>
      <c r="AZ157" s="4794">
        <f t="shared" si="183"/>
        <v>0</v>
      </c>
      <c r="BA157" s="4794">
        <f t="shared" si="184"/>
        <v>0</v>
      </c>
      <c r="BB157" s="4794">
        <f t="shared" si="185"/>
        <v>0</v>
      </c>
      <c r="BC157" s="4794">
        <f t="shared" si="186"/>
        <v>0</v>
      </c>
      <c r="BD157" s="4794">
        <f t="shared" si="187"/>
        <v>0</v>
      </c>
      <c r="BE157" s="4794">
        <f t="shared" si="188"/>
        <v>0</v>
      </c>
      <c r="BF157" s="4794">
        <f t="shared" si="189"/>
        <v>0</v>
      </c>
      <c r="BG157" s="4794">
        <f t="shared" si="190"/>
        <v>0</v>
      </c>
      <c r="BH157" s="4794">
        <f t="shared" si="191"/>
        <v>0</v>
      </c>
      <c r="BI157" s="4794">
        <f t="shared" si="192"/>
        <v>0</v>
      </c>
      <c r="BJ157" s="4794">
        <f t="shared" si="193"/>
        <v>0</v>
      </c>
      <c r="BK157" s="4794">
        <f t="shared" si="194"/>
        <v>0</v>
      </c>
      <c r="BL157" s="4794">
        <f t="shared" si="195"/>
        <v>0</v>
      </c>
      <c r="BM157" s="4794">
        <f t="shared" si="196"/>
        <v>0</v>
      </c>
      <c r="BN157" s="4794">
        <f t="shared" si="197"/>
        <v>0</v>
      </c>
      <c r="BO157" s="4794">
        <f t="shared" si="198"/>
        <v>0</v>
      </c>
      <c r="BP157" s="4794">
        <f t="shared" si="199"/>
        <v>0</v>
      </c>
      <c r="BQ157" s="4794">
        <f t="shared" si="200"/>
        <v>0</v>
      </c>
      <c r="BR157" s="4794">
        <f t="shared" si="201"/>
        <v>0</v>
      </c>
      <c r="BS157" s="4794">
        <f t="shared" si="202"/>
        <v>0</v>
      </c>
      <c r="BT157" s="4794">
        <f t="shared" si="203"/>
        <v>0</v>
      </c>
      <c r="BU157" s="4794">
        <f t="shared" si="204"/>
        <v>0</v>
      </c>
      <c r="BV157" s="4794">
        <f t="shared" si="205"/>
        <v>0</v>
      </c>
      <c r="BW157" s="4794">
        <f t="shared" si="206"/>
        <v>0</v>
      </c>
      <c r="BX157" s="4794">
        <f t="shared" si="207"/>
        <v>0</v>
      </c>
      <c r="BY157" s="4794">
        <f t="shared" si="208"/>
        <v>0</v>
      </c>
    </row>
    <row r="158" spans="1:77" s="1344" customFormat="1">
      <c r="A158" s="2683">
        <v>7</v>
      </c>
      <c r="B158" s="2684">
        <v>2030503</v>
      </c>
      <c r="C158" s="2690">
        <v>0.1</v>
      </c>
      <c r="D158" s="2720" t="s">
        <v>713</v>
      </c>
      <c r="E158" s="4738">
        <f>+'11.3. ДА Базова година'!H118</f>
        <v>35</v>
      </c>
      <c r="F158" s="1247">
        <f t="shared" si="218"/>
        <v>46</v>
      </c>
      <c r="G158" s="1243">
        <f t="shared" si="218"/>
        <v>57</v>
      </c>
      <c r="H158" s="1243">
        <f t="shared" si="218"/>
        <v>68</v>
      </c>
      <c r="I158" s="1243">
        <f t="shared" si="218"/>
        <v>79</v>
      </c>
      <c r="J158" s="1243">
        <f t="shared" si="218"/>
        <v>90</v>
      </c>
      <c r="K158" s="1248">
        <f t="shared" si="218"/>
        <v>101</v>
      </c>
      <c r="L158" s="4738">
        <f>+'11.3. ДА Базова година'!L118</f>
        <v>0</v>
      </c>
      <c r="M158" s="1247">
        <f t="shared" si="214"/>
        <v>0</v>
      </c>
      <c r="N158" s="1243">
        <f t="shared" si="214"/>
        <v>0</v>
      </c>
      <c r="O158" s="1243">
        <f t="shared" si="214"/>
        <v>0</v>
      </c>
      <c r="P158" s="1243">
        <f t="shared" si="214"/>
        <v>0</v>
      </c>
      <c r="Q158" s="1243">
        <f t="shared" si="214"/>
        <v>0</v>
      </c>
      <c r="R158" s="1248">
        <f t="shared" si="214"/>
        <v>0</v>
      </c>
      <c r="S158" s="4738">
        <f>+'11.3. ДА Базова година'!P118</f>
        <v>0</v>
      </c>
      <c r="T158" s="1247">
        <f t="shared" si="215"/>
        <v>0</v>
      </c>
      <c r="U158" s="1243">
        <f t="shared" si="215"/>
        <v>0</v>
      </c>
      <c r="V158" s="1243">
        <f t="shared" si="215"/>
        <v>0</v>
      </c>
      <c r="W158" s="1243">
        <f t="shared" si="215"/>
        <v>0</v>
      </c>
      <c r="X158" s="1243">
        <f t="shared" si="215"/>
        <v>0</v>
      </c>
      <c r="Y158" s="1248">
        <f t="shared" si="215"/>
        <v>0</v>
      </c>
      <c r="Z158" s="4738">
        <f>+'11.3. ДА Базова година'!T118</f>
        <v>0</v>
      </c>
      <c r="AA158" s="1247">
        <f t="shared" si="216"/>
        <v>0</v>
      </c>
      <c r="AB158" s="1243">
        <f t="shared" si="216"/>
        <v>0</v>
      </c>
      <c r="AC158" s="1243">
        <f t="shared" si="216"/>
        <v>0</v>
      </c>
      <c r="AD158" s="1243">
        <f t="shared" si="216"/>
        <v>0</v>
      </c>
      <c r="AE158" s="1243">
        <f t="shared" si="216"/>
        <v>0</v>
      </c>
      <c r="AF158" s="1248">
        <f t="shared" si="216"/>
        <v>0</v>
      </c>
      <c r="AG158" s="4738">
        <f>+'11.3. ДА Базова година'!X118</f>
        <v>0</v>
      </c>
      <c r="AH158" s="1247">
        <f t="shared" si="217"/>
        <v>0</v>
      </c>
      <c r="AI158" s="1243">
        <f t="shared" si="217"/>
        <v>0</v>
      </c>
      <c r="AJ158" s="1243">
        <f t="shared" si="217"/>
        <v>0</v>
      </c>
      <c r="AK158" s="1243">
        <f t="shared" si="217"/>
        <v>0</v>
      </c>
      <c r="AL158" s="1243">
        <f t="shared" si="217"/>
        <v>0</v>
      </c>
      <c r="AM158" s="1248">
        <f t="shared" si="217"/>
        <v>0</v>
      </c>
      <c r="AN158" s="2681"/>
      <c r="AO158" s="2719"/>
      <c r="AP158" s="4775"/>
      <c r="AQ158" s="4794">
        <f t="shared" si="174"/>
        <v>17.895215841867646</v>
      </c>
      <c r="AR158" s="4794">
        <f t="shared" si="175"/>
        <v>23.519426535026049</v>
      </c>
      <c r="AS158" s="4794">
        <f t="shared" si="176"/>
        <v>29.143637228184453</v>
      </c>
      <c r="AT158" s="4794">
        <f t="shared" si="177"/>
        <v>34.767847921342856</v>
      </c>
      <c r="AU158" s="4794">
        <f t="shared" si="178"/>
        <v>40.392058614501259</v>
      </c>
      <c r="AV158" s="4794">
        <f t="shared" si="179"/>
        <v>46.016269307659663</v>
      </c>
      <c r="AW158" s="4794">
        <f t="shared" si="180"/>
        <v>51.640480000818066</v>
      </c>
      <c r="AX158" s="4794">
        <f t="shared" si="181"/>
        <v>0</v>
      </c>
      <c r="AY158" s="4794">
        <f t="shared" si="182"/>
        <v>0</v>
      </c>
      <c r="AZ158" s="4794">
        <f t="shared" si="183"/>
        <v>0</v>
      </c>
      <c r="BA158" s="4794">
        <f t="shared" si="184"/>
        <v>0</v>
      </c>
      <c r="BB158" s="4794">
        <f t="shared" si="185"/>
        <v>0</v>
      </c>
      <c r="BC158" s="4794">
        <f t="shared" si="186"/>
        <v>0</v>
      </c>
      <c r="BD158" s="4794">
        <f t="shared" si="187"/>
        <v>0</v>
      </c>
      <c r="BE158" s="4794">
        <f t="shared" si="188"/>
        <v>0</v>
      </c>
      <c r="BF158" s="4794">
        <f t="shared" si="189"/>
        <v>0</v>
      </c>
      <c r="BG158" s="4794">
        <f t="shared" si="190"/>
        <v>0</v>
      </c>
      <c r="BH158" s="4794">
        <f t="shared" si="191"/>
        <v>0</v>
      </c>
      <c r="BI158" s="4794">
        <f t="shared" si="192"/>
        <v>0</v>
      </c>
      <c r="BJ158" s="4794">
        <f t="shared" si="193"/>
        <v>0</v>
      </c>
      <c r="BK158" s="4794">
        <f t="shared" si="194"/>
        <v>0</v>
      </c>
      <c r="BL158" s="4794">
        <f t="shared" si="195"/>
        <v>0</v>
      </c>
      <c r="BM158" s="4794">
        <f t="shared" si="196"/>
        <v>0</v>
      </c>
      <c r="BN158" s="4794">
        <f t="shared" si="197"/>
        <v>0</v>
      </c>
      <c r="BO158" s="4794">
        <f t="shared" si="198"/>
        <v>0</v>
      </c>
      <c r="BP158" s="4794">
        <f t="shared" si="199"/>
        <v>0</v>
      </c>
      <c r="BQ158" s="4794">
        <f t="shared" si="200"/>
        <v>0</v>
      </c>
      <c r="BR158" s="4794">
        <f t="shared" si="201"/>
        <v>0</v>
      </c>
      <c r="BS158" s="4794">
        <f t="shared" si="202"/>
        <v>0</v>
      </c>
      <c r="BT158" s="4794">
        <f t="shared" si="203"/>
        <v>0</v>
      </c>
      <c r="BU158" s="4794">
        <f t="shared" si="204"/>
        <v>0</v>
      </c>
      <c r="BV158" s="4794">
        <f t="shared" si="205"/>
        <v>0</v>
      </c>
      <c r="BW158" s="4794">
        <f t="shared" si="206"/>
        <v>0</v>
      </c>
      <c r="BX158" s="4794">
        <f t="shared" si="207"/>
        <v>0</v>
      </c>
      <c r="BY158" s="4794">
        <f t="shared" si="208"/>
        <v>0</v>
      </c>
    </row>
    <row r="159" spans="1:77" s="1344" customFormat="1">
      <c r="A159" s="2683">
        <v>8</v>
      </c>
      <c r="B159" s="2684">
        <v>2040101</v>
      </c>
      <c r="C159" s="2740">
        <v>0.1</v>
      </c>
      <c r="D159" s="2714" t="s">
        <v>1016</v>
      </c>
      <c r="E159" s="4738">
        <f>+'11.3. ДА Базова година'!H119</f>
        <v>0</v>
      </c>
      <c r="F159" s="1247">
        <f t="shared" si="218"/>
        <v>0</v>
      </c>
      <c r="G159" s="1243">
        <f t="shared" si="218"/>
        <v>0</v>
      </c>
      <c r="H159" s="1243">
        <f t="shared" si="218"/>
        <v>0</v>
      </c>
      <c r="I159" s="1243">
        <f t="shared" si="218"/>
        <v>0</v>
      </c>
      <c r="J159" s="1243">
        <f t="shared" si="218"/>
        <v>0</v>
      </c>
      <c r="K159" s="1248">
        <f t="shared" si="218"/>
        <v>0</v>
      </c>
      <c r="L159" s="4738">
        <f>+'11.3. ДА Базова година'!L119</f>
        <v>0</v>
      </c>
      <c r="M159" s="1247">
        <f t="shared" si="214"/>
        <v>0</v>
      </c>
      <c r="N159" s="1243">
        <f t="shared" si="214"/>
        <v>0</v>
      </c>
      <c r="O159" s="1243">
        <f t="shared" si="214"/>
        <v>0</v>
      </c>
      <c r="P159" s="1243">
        <f t="shared" si="214"/>
        <v>0</v>
      </c>
      <c r="Q159" s="1243">
        <f t="shared" si="214"/>
        <v>0</v>
      </c>
      <c r="R159" s="1248">
        <f t="shared" si="214"/>
        <v>0</v>
      </c>
      <c r="S159" s="4738">
        <f>+'11.3. ДА Базова година'!P119</f>
        <v>0</v>
      </c>
      <c r="T159" s="1247">
        <f t="shared" si="215"/>
        <v>0</v>
      </c>
      <c r="U159" s="1243">
        <f t="shared" si="215"/>
        <v>0</v>
      </c>
      <c r="V159" s="1243">
        <f t="shared" si="215"/>
        <v>0</v>
      </c>
      <c r="W159" s="1243">
        <f t="shared" si="215"/>
        <v>0</v>
      </c>
      <c r="X159" s="1243">
        <f t="shared" si="215"/>
        <v>0</v>
      </c>
      <c r="Y159" s="1248">
        <f t="shared" si="215"/>
        <v>0</v>
      </c>
      <c r="Z159" s="4738">
        <f>+'11.3. ДА Базова година'!T119</f>
        <v>0</v>
      </c>
      <c r="AA159" s="1247">
        <f t="shared" si="216"/>
        <v>0</v>
      </c>
      <c r="AB159" s="1243">
        <f t="shared" si="216"/>
        <v>0</v>
      </c>
      <c r="AC159" s="1243">
        <f t="shared" si="216"/>
        <v>0</v>
      </c>
      <c r="AD159" s="1243">
        <f t="shared" si="216"/>
        <v>0</v>
      </c>
      <c r="AE159" s="1243">
        <f t="shared" si="216"/>
        <v>0</v>
      </c>
      <c r="AF159" s="1248">
        <f t="shared" si="216"/>
        <v>0</v>
      </c>
      <c r="AG159" s="4738">
        <f>+'11.3. ДА Базова година'!X119</f>
        <v>0</v>
      </c>
      <c r="AH159" s="1247">
        <f t="shared" si="217"/>
        <v>0</v>
      </c>
      <c r="AI159" s="1243">
        <f t="shared" si="217"/>
        <v>0</v>
      </c>
      <c r="AJ159" s="1243">
        <f t="shared" si="217"/>
        <v>0</v>
      </c>
      <c r="AK159" s="1243">
        <f t="shared" si="217"/>
        <v>0</v>
      </c>
      <c r="AL159" s="1243">
        <f t="shared" si="217"/>
        <v>0</v>
      </c>
      <c r="AM159" s="1248">
        <f t="shared" si="217"/>
        <v>0</v>
      </c>
      <c r="AN159" s="2681"/>
      <c r="AO159" s="2719"/>
      <c r="AP159" s="4775"/>
      <c r="AQ159" s="4794">
        <f t="shared" si="174"/>
        <v>0</v>
      </c>
      <c r="AR159" s="4794">
        <f t="shared" si="175"/>
        <v>0</v>
      </c>
      <c r="AS159" s="4794">
        <f t="shared" si="176"/>
        <v>0</v>
      </c>
      <c r="AT159" s="4794">
        <f t="shared" si="177"/>
        <v>0</v>
      </c>
      <c r="AU159" s="4794">
        <f t="shared" si="178"/>
        <v>0</v>
      </c>
      <c r="AV159" s="4794">
        <f t="shared" si="179"/>
        <v>0</v>
      </c>
      <c r="AW159" s="4794">
        <f t="shared" si="180"/>
        <v>0</v>
      </c>
      <c r="AX159" s="4794">
        <f t="shared" si="181"/>
        <v>0</v>
      </c>
      <c r="AY159" s="4794">
        <f t="shared" si="182"/>
        <v>0</v>
      </c>
      <c r="AZ159" s="4794">
        <f t="shared" si="183"/>
        <v>0</v>
      </c>
      <c r="BA159" s="4794">
        <f t="shared" si="184"/>
        <v>0</v>
      </c>
      <c r="BB159" s="4794">
        <f t="shared" si="185"/>
        <v>0</v>
      </c>
      <c r="BC159" s="4794">
        <f t="shared" si="186"/>
        <v>0</v>
      </c>
      <c r="BD159" s="4794">
        <f t="shared" si="187"/>
        <v>0</v>
      </c>
      <c r="BE159" s="4794">
        <f t="shared" si="188"/>
        <v>0</v>
      </c>
      <c r="BF159" s="4794">
        <f t="shared" si="189"/>
        <v>0</v>
      </c>
      <c r="BG159" s="4794">
        <f t="shared" si="190"/>
        <v>0</v>
      </c>
      <c r="BH159" s="4794">
        <f t="shared" si="191"/>
        <v>0</v>
      </c>
      <c r="BI159" s="4794">
        <f t="shared" si="192"/>
        <v>0</v>
      </c>
      <c r="BJ159" s="4794">
        <f t="shared" si="193"/>
        <v>0</v>
      </c>
      <c r="BK159" s="4794">
        <f t="shared" si="194"/>
        <v>0</v>
      </c>
      <c r="BL159" s="4794">
        <f t="shared" si="195"/>
        <v>0</v>
      </c>
      <c r="BM159" s="4794">
        <f t="shared" si="196"/>
        <v>0</v>
      </c>
      <c r="BN159" s="4794">
        <f t="shared" si="197"/>
        <v>0</v>
      </c>
      <c r="BO159" s="4794">
        <f t="shared" si="198"/>
        <v>0</v>
      </c>
      <c r="BP159" s="4794">
        <f t="shared" si="199"/>
        <v>0</v>
      </c>
      <c r="BQ159" s="4794">
        <f t="shared" si="200"/>
        <v>0</v>
      </c>
      <c r="BR159" s="4794">
        <f t="shared" si="201"/>
        <v>0</v>
      </c>
      <c r="BS159" s="4794">
        <f t="shared" si="202"/>
        <v>0</v>
      </c>
      <c r="BT159" s="4794">
        <f t="shared" si="203"/>
        <v>0</v>
      </c>
      <c r="BU159" s="4794">
        <f t="shared" si="204"/>
        <v>0</v>
      </c>
      <c r="BV159" s="4794">
        <f t="shared" si="205"/>
        <v>0</v>
      </c>
      <c r="BW159" s="4794">
        <f t="shared" si="206"/>
        <v>0</v>
      </c>
      <c r="BX159" s="4794">
        <f t="shared" si="207"/>
        <v>0</v>
      </c>
      <c r="BY159" s="4794">
        <f t="shared" si="208"/>
        <v>0</v>
      </c>
    </row>
    <row r="160" spans="1:77" s="1344" customFormat="1">
      <c r="A160" s="2741">
        <v>9</v>
      </c>
      <c r="B160" s="2684">
        <v>2040102</v>
      </c>
      <c r="C160" s="2740">
        <v>0.04</v>
      </c>
      <c r="D160" s="2714" t="s">
        <v>432</v>
      </c>
      <c r="E160" s="4738">
        <f>+'11.3. ДА Базова година'!H120</f>
        <v>0</v>
      </c>
      <c r="F160" s="1247">
        <f t="shared" si="218"/>
        <v>0</v>
      </c>
      <c r="G160" s="1243">
        <f t="shared" si="218"/>
        <v>0</v>
      </c>
      <c r="H160" s="1243">
        <f t="shared" si="218"/>
        <v>0</v>
      </c>
      <c r="I160" s="1243">
        <f t="shared" si="218"/>
        <v>0</v>
      </c>
      <c r="J160" s="1243">
        <f t="shared" si="218"/>
        <v>0</v>
      </c>
      <c r="K160" s="1248">
        <f t="shared" si="218"/>
        <v>0</v>
      </c>
      <c r="L160" s="4738">
        <f>+'11.3. ДА Базова година'!L120</f>
        <v>0</v>
      </c>
      <c r="M160" s="1247">
        <f t="shared" si="214"/>
        <v>0</v>
      </c>
      <c r="N160" s="1243">
        <f t="shared" si="214"/>
        <v>0</v>
      </c>
      <c r="O160" s="1243">
        <f t="shared" si="214"/>
        <v>0</v>
      </c>
      <c r="P160" s="1243">
        <f t="shared" si="214"/>
        <v>0</v>
      </c>
      <c r="Q160" s="1243">
        <f t="shared" si="214"/>
        <v>0</v>
      </c>
      <c r="R160" s="1248">
        <f t="shared" si="214"/>
        <v>0</v>
      </c>
      <c r="S160" s="4738">
        <f>+'11.3. ДА Базова година'!P120</f>
        <v>0</v>
      </c>
      <c r="T160" s="1247">
        <f t="shared" si="215"/>
        <v>0</v>
      </c>
      <c r="U160" s="1243">
        <f t="shared" si="215"/>
        <v>0</v>
      </c>
      <c r="V160" s="1243">
        <f t="shared" si="215"/>
        <v>0</v>
      </c>
      <c r="W160" s="1243">
        <f t="shared" si="215"/>
        <v>0</v>
      </c>
      <c r="X160" s="1243">
        <f t="shared" si="215"/>
        <v>0</v>
      </c>
      <c r="Y160" s="1248">
        <f t="shared" si="215"/>
        <v>0</v>
      </c>
      <c r="Z160" s="4738">
        <f>+'11.3. ДА Базова година'!T120</f>
        <v>0</v>
      </c>
      <c r="AA160" s="1247">
        <f t="shared" si="216"/>
        <v>0</v>
      </c>
      <c r="AB160" s="1243">
        <f t="shared" si="216"/>
        <v>0</v>
      </c>
      <c r="AC160" s="1243">
        <f t="shared" si="216"/>
        <v>0</v>
      </c>
      <c r="AD160" s="1243">
        <f t="shared" si="216"/>
        <v>0</v>
      </c>
      <c r="AE160" s="1243">
        <f t="shared" si="216"/>
        <v>0</v>
      </c>
      <c r="AF160" s="1248">
        <f t="shared" si="216"/>
        <v>0</v>
      </c>
      <c r="AG160" s="4738">
        <f>+'11.3. ДА Базова година'!X120</f>
        <v>0</v>
      </c>
      <c r="AH160" s="1247">
        <f t="shared" si="217"/>
        <v>0</v>
      </c>
      <c r="AI160" s="1243">
        <f t="shared" si="217"/>
        <v>0</v>
      </c>
      <c r="AJ160" s="1243">
        <f t="shared" si="217"/>
        <v>0</v>
      </c>
      <c r="AK160" s="1243">
        <f t="shared" si="217"/>
        <v>0</v>
      </c>
      <c r="AL160" s="1243">
        <f t="shared" si="217"/>
        <v>0</v>
      </c>
      <c r="AM160" s="1248">
        <f t="shared" si="217"/>
        <v>0</v>
      </c>
      <c r="AN160" s="2681"/>
      <c r="AO160" s="2719"/>
      <c r="AP160" s="4775"/>
      <c r="AQ160" s="4794">
        <f t="shared" si="174"/>
        <v>0</v>
      </c>
      <c r="AR160" s="4794">
        <f t="shared" si="175"/>
        <v>0</v>
      </c>
      <c r="AS160" s="4794">
        <f t="shared" si="176"/>
        <v>0</v>
      </c>
      <c r="AT160" s="4794">
        <f t="shared" si="177"/>
        <v>0</v>
      </c>
      <c r="AU160" s="4794">
        <f t="shared" si="178"/>
        <v>0</v>
      </c>
      <c r="AV160" s="4794">
        <f t="shared" si="179"/>
        <v>0</v>
      </c>
      <c r="AW160" s="4794">
        <f t="shared" si="180"/>
        <v>0</v>
      </c>
      <c r="AX160" s="4794">
        <f t="shared" si="181"/>
        <v>0</v>
      </c>
      <c r="AY160" s="4794">
        <f t="shared" si="182"/>
        <v>0</v>
      </c>
      <c r="AZ160" s="4794">
        <f t="shared" si="183"/>
        <v>0</v>
      </c>
      <c r="BA160" s="4794">
        <f t="shared" si="184"/>
        <v>0</v>
      </c>
      <c r="BB160" s="4794">
        <f t="shared" si="185"/>
        <v>0</v>
      </c>
      <c r="BC160" s="4794">
        <f t="shared" si="186"/>
        <v>0</v>
      </c>
      <c r="BD160" s="4794">
        <f t="shared" si="187"/>
        <v>0</v>
      </c>
      <c r="BE160" s="4794">
        <f t="shared" si="188"/>
        <v>0</v>
      </c>
      <c r="BF160" s="4794">
        <f t="shared" si="189"/>
        <v>0</v>
      </c>
      <c r="BG160" s="4794">
        <f t="shared" si="190"/>
        <v>0</v>
      </c>
      <c r="BH160" s="4794">
        <f t="shared" si="191"/>
        <v>0</v>
      </c>
      <c r="BI160" s="4794">
        <f t="shared" si="192"/>
        <v>0</v>
      </c>
      <c r="BJ160" s="4794">
        <f t="shared" si="193"/>
        <v>0</v>
      </c>
      <c r="BK160" s="4794">
        <f t="shared" si="194"/>
        <v>0</v>
      </c>
      <c r="BL160" s="4794">
        <f t="shared" si="195"/>
        <v>0</v>
      </c>
      <c r="BM160" s="4794">
        <f t="shared" si="196"/>
        <v>0</v>
      </c>
      <c r="BN160" s="4794">
        <f t="shared" si="197"/>
        <v>0</v>
      </c>
      <c r="BO160" s="4794">
        <f t="shared" si="198"/>
        <v>0</v>
      </c>
      <c r="BP160" s="4794">
        <f t="shared" si="199"/>
        <v>0</v>
      </c>
      <c r="BQ160" s="4794">
        <f t="shared" si="200"/>
        <v>0</v>
      </c>
      <c r="BR160" s="4794">
        <f t="shared" si="201"/>
        <v>0</v>
      </c>
      <c r="BS160" s="4794">
        <f t="shared" si="202"/>
        <v>0</v>
      </c>
      <c r="BT160" s="4794">
        <f t="shared" si="203"/>
        <v>0</v>
      </c>
      <c r="BU160" s="4794">
        <f t="shared" si="204"/>
        <v>0</v>
      </c>
      <c r="BV160" s="4794">
        <f t="shared" si="205"/>
        <v>0</v>
      </c>
      <c r="BW160" s="4794">
        <f t="shared" si="206"/>
        <v>0</v>
      </c>
      <c r="BX160" s="4794">
        <f t="shared" si="207"/>
        <v>0</v>
      </c>
      <c r="BY160" s="4794">
        <f t="shared" si="208"/>
        <v>0</v>
      </c>
    </row>
    <row r="161" spans="1:77" s="1344" customFormat="1">
      <c r="A161" s="2741">
        <v>10</v>
      </c>
      <c r="B161" s="2684">
        <v>2040201</v>
      </c>
      <c r="C161" s="2685">
        <v>0.02</v>
      </c>
      <c r="D161" s="2715" t="s">
        <v>738</v>
      </c>
      <c r="E161" s="4738">
        <f>+'11.3. ДА Базова година'!H121</f>
        <v>0</v>
      </c>
      <c r="F161" s="1247">
        <f t="shared" si="218"/>
        <v>0</v>
      </c>
      <c r="G161" s="1243">
        <f t="shared" si="218"/>
        <v>0</v>
      </c>
      <c r="H161" s="1243">
        <f t="shared" si="218"/>
        <v>0</v>
      </c>
      <c r="I161" s="1243">
        <f t="shared" si="218"/>
        <v>0</v>
      </c>
      <c r="J161" s="1243">
        <f t="shared" si="218"/>
        <v>0</v>
      </c>
      <c r="K161" s="1248">
        <f t="shared" si="218"/>
        <v>0</v>
      </c>
      <c r="L161" s="4738">
        <f>+'11.3. ДА Базова година'!L121</f>
        <v>0</v>
      </c>
      <c r="M161" s="1247">
        <f t="shared" si="214"/>
        <v>0</v>
      </c>
      <c r="N161" s="1243">
        <f t="shared" si="214"/>
        <v>0</v>
      </c>
      <c r="O161" s="1243">
        <f t="shared" si="214"/>
        <v>0</v>
      </c>
      <c r="P161" s="1243">
        <f t="shared" si="214"/>
        <v>0</v>
      </c>
      <c r="Q161" s="1243">
        <f t="shared" si="214"/>
        <v>0</v>
      </c>
      <c r="R161" s="1248">
        <f t="shared" si="214"/>
        <v>0</v>
      </c>
      <c r="S161" s="4738">
        <f>+'11.3. ДА Базова година'!P121</f>
        <v>0</v>
      </c>
      <c r="T161" s="1247">
        <f t="shared" si="215"/>
        <v>0</v>
      </c>
      <c r="U161" s="1243">
        <f t="shared" si="215"/>
        <v>0</v>
      </c>
      <c r="V161" s="1243">
        <f t="shared" si="215"/>
        <v>0</v>
      </c>
      <c r="W161" s="1243">
        <f t="shared" si="215"/>
        <v>0</v>
      </c>
      <c r="X161" s="1243">
        <f t="shared" si="215"/>
        <v>0</v>
      </c>
      <c r="Y161" s="1248">
        <f t="shared" si="215"/>
        <v>0</v>
      </c>
      <c r="Z161" s="4738">
        <f>+'11.3. ДА Базова година'!T121</f>
        <v>0</v>
      </c>
      <c r="AA161" s="1247">
        <f t="shared" si="216"/>
        <v>0</v>
      </c>
      <c r="AB161" s="1243">
        <f t="shared" si="216"/>
        <v>0</v>
      </c>
      <c r="AC161" s="1243">
        <f t="shared" si="216"/>
        <v>0</v>
      </c>
      <c r="AD161" s="1243">
        <f t="shared" si="216"/>
        <v>0</v>
      </c>
      <c r="AE161" s="1243">
        <f t="shared" si="216"/>
        <v>0</v>
      </c>
      <c r="AF161" s="1248">
        <f t="shared" si="216"/>
        <v>0</v>
      </c>
      <c r="AG161" s="4738">
        <f>+'11.3. ДА Базова година'!X121</f>
        <v>0</v>
      </c>
      <c r="AH161" s="1247">
        <f t="shared" si="217"/>
        <v>0</v>
      </c>
      <c r="AI161" s="1243">
        <f t="shared" si="217"/>
        <v>0</v>
      </c>
      <c r="AJ161" s="1243">
        <f t="shared" si="217"/>
        <v>0</v>
      </c>
      <c r="AK161" s="1243">
        <f t="shared" si="217"/>
        <v>0</v>
      </c>
      <c r="AL161" s="1243">
        <f t="shared" si="217"/>
        <v>0</v>
      </c>
      <c r="AM161" s="1248">
        <f t="shared" si="217"/>
        <v>0</v>
      </c>
      <c r="AN161" s="2681"/>
      <c r="AO161" s="2719"/>
      <c r="AP161" s="4775"/>
      <c r="AQ161" s="4794">
        <f t="shared" si="174"/>
        <v>0</v>
      </c>
      <c r="AR161" s="4794">
        <f t="shared" si="175"/>
        <v>0</v>
      </c>
      <c r="AS161" s="4794">
        <f t="shared" si="176"/>
        <v>0</v>
      </c>
      <c r="AT161" s="4794">
        <f t="shared" si="177"/>
        <v>0</v>
      </c>
      <c r="AU161" s="4794">
        <f t="shared" si="178"/>
        <v>0</v>
      </c>
      <c r="AV161" s="4794">
        <f t="shared" si="179"/>
        <v>0</v>
      </c>
      <c r="AW161" s="4794">
        <f t="shared" si="180"/>
        <v>0</v>
      </c>
      <c r="AX161" s="4794">
        <f t="shared" si="181"/>
        <v>0</v>
      </c>
      <c r="AY161" s="4794">
        <f t="shared" si="182"/>
        <v>0</v>
      </c>
      <c r="AZ161" s="4794">
        <f t="shared" si="183"/>
        <v>0</v>
      </c>
      <c r="BA161" s="4794">
        <f t="shared" si="184"/>
        <v>0</v>
      </c>
      <c r="BB161" s="4794">
        <f t="shared" si="185"/>
        <v>0</v>
      </c>
      <c r="BC161" s="4794">
        <f t="shared" si="186"/>
        <v>0</v>
      </c>
      <c r="BD161" s="4794">
        <f t="shared" si="187"/>
        <v>0</v>
      </c>
      <c r="BE161" s="4794">
        <f t="shared" si="188"/>
        <v>0</v>
      </c>
      <c r="BF161" s="4794">
        <f t="shared" si="189"/>
        <v>0</v>
      </c>
      <c r="BG161" s="4794">
        <f t="shared" si="190"/>
        <v>0</v>
      </c>
      <c r="BH161" s="4794">
        <f t="shared" si="191"/>
        <v>0</v>
      </c>
      <c r="BI161" s="4794">
        <f t="shared" si="192"/>
        <v>0</v>
      </c>
      <c r="BJ161" s="4794">
        <f t="shared" si="193"/>
        <v>0</v>
      </c>
      <c r="BK161" s="4794">
        <f t="shared" si="194"/>
        <v>0</v>
      </c>
      <c r="BL161" s="4794">
        <f t="shared" si="195"/>
        <v>0</v>
      </c>
      <c r="BM161" s="4794">
        <f t="shared" si="196"/>
        <v>0</v>
      </c>
      <c r="BN161" s="4794">
        <f t="shared" si="197"/>
        <v>0</v>
      </c>
      <c r="BO161" s="4794">
        <f t="shared" si="198"/>
        <v>0</v>
      </c>
      <c r="BP161" s="4794">
        <f t="shared" si="199"/>
        <v>0</v>
      </c>
      <c r="BQ161" s="4794">
        <f t="shared" si="200"/>
        <v>0</v>
      </c>
      <c r="BR161" s="4794">
        <f t="shared" si="201"/>
        <v>0</v>
      </c>
      <c r="BS161" s="4794">
        <f t="shared" si="202"/>
        <v>0</v>
      </c>
      <c r="BT161" s="4794">
        <f t="shared" si="203"/>
        <v>0</v>
      </c>
      <c r="BU161" s="4794">
        <f t="shared" si="204"/>
        <v>0</v>
      </c>
      <c r="BV161" s="4794">
        <f t="shared" si="205"/>
        <v>0</v>
      </c>
      <c r="BW161" s="4794">
        <f t="shared" si="206"/>
        <v>0</v>
      </c>
      <c r="BX161" s="4794">
        <f t="shared" si="207"/>
        <v>0</v>
      </c>
      <c r="BY161" s="4794">
        <f t="shared" si="208"/>
        <v>0</v>
      </c>
    </row>
    <row r="162" spans="1:77" s="1344" customFormat="1">
      <c r="A162" s="2741">
        <v>11</v>
      </c>
      <c r="B162" s="2684">
        <v>2040202</v>
      </c>
      <c r="C162" s="2685">
        <v>0.02</v>
      </c>
      <c r="D162" s="2715" t="s">
        <v>739</v>
      </c>
      <c r="E162" s="4738">
        <f>+'11.3. ДА Базова година'!H122</f>
        <v>13</v>
      </c>
      <c r="F162" s="1247">
        <f t="shared" si="218"/>
        <v>19</v>
      </c>
      <c r="G162" s="1243">
        <f t="shared" si="218"/>
        <v>26.5</v>
      </c>
      <c r="H162" s="1243">
        <f t="shared" si="218"/>
        <v>34.799999999999997</v>
      </c>
      <c r="I162" s="1243">
        <f t="shared" si="218"/>
        <v>43.699999999999996</v>
      </c>
      <c r="J162" s="1243">
        <f t="shared" si="218"/>
        <v>53.199999999999996</v>
      </c>
      <c r="K162" s="1248">
        <f t="shared" si="218"/>
        <v>63.3</v>
      </c>
      <c r="L162" s="4738">
        <f>+'11.3. ДА Базова година'!L122</f>
        <v>0</v>
      </c>
      <c r="M162" s="1247">
        <f t="shared" si="214"/>
        <v>0</v>
      </c>
      <c r="N162" s="1243">
        <f t="shared" si="214"/>
        <v>0</v>
      </c>
      <c r="O162" s="1243">
        <f t="shared" si="214"/>
        <v>0</v>
      </c>
      <c r="P162" s="1243">
        <f t="shared" si="214"/>
        <v>0</v>
      </c>
      <c r="Q162" s="1243">
        <f t="shared" si="214"/>
        <v>0</v>
      </c>
      <c r="R162" s="1248">
        <f t="shared" si="214"/>
        <v>0</v>
      </c>
      <c r="S162" s="4738">
        <f>+'11.3. ДА Базова година'!P122</f>
        <v>0</v>
      </c>
      <c r="T162" s="1247">
        <f t="shared" si="215"/>
        <v>0</v>
      </c>
      <c r="U162" s="1243">
        <f t="shared" si="215"/>
        <v>0</v>
      </c>
      <c r="V162" s="1243">
        <f t="shared" si="215"/>
        <v>0</v>
      </c>
      <c r="W162" s="1243">
        <f t="shared" si="215"/>
        <v>0</v>
      </c>
      <c r="X162" s="1243">
        <f t="shared" si="215"/>
        <v>0</v>
      </c>
      <c r="Y162" s="1248">
        <f t="shared" si="215"/>
        <v>0</v>
      </c>
      <c r="Z162" s="4738">
        <f>+'11.3. ДА Базова година'!T122</f>
        <v>0</v>
      </c>
      <c r="AA162" s="1247">
        <f t="shared" si="216"/>
        <v>0</v>
      </c>
      <c r="AB162" s="1243">
        <f t="shared" si="216"/>
        <v>0</v>
      </c>
      <c r="AC162" s="1243">
        <f t="shared" si="216"/>
        <v>0</v>
      </c>
      <c r="AD162" s="1243">
        <f t="shared" si="216"/>
        <v>0</v>
      </c>
      <c r="AE162" s="1243">
        <f t="shared" si="216"/>
        <v>0</v>
      </c>
      <c r="AF162" s="1248">
        <f t="shared" si="216"/>
        <v>0</v>
      </c>
      <c r="AG162" s="4738">
        <f>+'11.3. ДА Базова година'!X122</f>
        <v>0</v>
      </c>
      <c r="AH162" s="1247">
        <f t="shared" si="217"/>
        <v>0</v>
      </c>
      <c r="AI162" s="1243">
        <f t="shared" si="217"/>
        <v>0</v>
      </c>
      <c r="AJ162" s="1243">
        <f t="shared" si="217"/>
        <v>0</v>
      </c>
      <c r="AK162" s="1243">
        <f t="shared" si="217"/>
        <v>0</v>
      </c>
      <c r="AL162" s="1243">
        <f t="shared" si="217"/>
        <v>0</v>
      </c>
      <c r="AM162" s="1248">
        <f t="shared" si="217"/>
        <v>0</v>
      </c>
      <c r="AN162" s="2681"/>
      <c r="AO162" s="2719"/>
      <c r="AP162" s="4775"/>
      <c r="AQ162" s="4794">
        <f t="shared" si="174"/>
        <v>6.6467944555508405</v>
      </c>
      <c r="AR162" s="4794">
        <f t="shared" si="175"/>
        <v>9.7145457427281521</v>
      </c>
      <c r="AS162" s="4794">
        <f t="shared" si="176"/>
        <v>13.54923485169979</v>
      </c>
      <c r="AT162" s="4794">
        <f t="shared" si="177"/>
        <v>17.792957465628401</v>
      </c>
      <c r="AU162" s="4794">
        <f t="shared" si="178"/>
        <v>22.343455208274747</v>
      </c>
      <c r="AV162" s="4794">
        <f t="shared" si="179"/>
        <v>27.200728079638822</v>
      </c>
      <c r="AW162" s="4794">
        <f t="shared" si="180"/>
        <v>32.364776079720627</v>
      </c>
      <c r="AX162" s="4794">
        <f t="shared" si="181"/>
        <v>0</v>
      </c>
      <c r="AY162" s="4794">
        <f t="shared" si="182"/>
        <v>0</v>
      </c>
      <c r="AZ162" s="4794">
        <f t="shared" si="183"/>
        <v>0</v>
      </c>
      <c r="BA162" s="4794">
        <f t="shared" si="184"/>
        <v>0</v>
      </c>
      <c r="BB162" s="4794">
        <f t="shared" si="185"/>
        <v>0</v>
      </c>
      <c r="BC162" s="4794">
        <f t="shared" si="186"/>
        <v>0</v>
      </c>
      <c r="BD162" s="4794">
        <f t="shared" si="187"/>
        <v>0</v>
      </c>
      <c r="BE162" s="4794">
        <f t="shared" si="188"/>
        <v>0</v>
      </c>
      <c r="BF162" s="4794">
        <f t="shared" si="189"/>
        <v>0</v>
      </c>
      <c r="BG162" s="4794">
        <f t="shared" si="190"/>
        <v>0</v>
      </c>
      <c r="BH162" s="4794">
        <f t="shared" si="191"/>
        <v>0</v>
      </c>
      <c r="BI162" s="4794">
        <f t="shared" si="192"/>
        <v>0</v>
      </c>
      <c r="BJ162" s="4794">
        <f t="shared" si="193"/>
        <v>0</v>
      </c>
      <c r="BK162" s="4794">
        <f t="shared" si="194"/>
        <v>0</v>
      </c>
      <c r="BL162" s="4794">
        <f t="shared" si="195"/>
        <v>0</v>
      </c>
      <c r="BM162" s="4794">
        <f t="shared" si="196"/>
        <v>0</v>
      </c>
      <c r="BN162" s="4794">
        <f t="shared" si="197"/>
        <v>0</v>
      </c>
      <c r="BO162" s="4794">
        <f t="shared" si="198"/>
        <v>0</v>
      </c>
      <c r="BP162" s="4794">
        <f t="shared" si="199"/>
        <v>0</v>
      </c>
      <c r="BQ162" s="4794">
        <f t="shared" si="200"/>
        <v>0</v>
      </c>
      <c r="BR162" s="4794">
        <f t="shared" si="201"/>
        <v>0</v>
      </c>
      <c r="BS162" s="4794">
        <f t="shared" si="202"/>
        <v>0</v>
      </c>
      <c r="BT162" s="4794">
        <f t="shared" si="203"/>
        <v>0</v>
      </c>
      <c r="BU162" s="4794">
        <f t="shared" si="204"/>
        <v>0</v>
      </c>
      <c r="BV162" s="4794">
        <f t="shared" si="205"/>
        <v>0</v>
      </c>
      <c r="BW162" s="4794">
        <f t="shared" si="206"/>
        <v>0</v>
      </c>
      <c r="BX162" s="4794">
        <f t="shared" si="207"/>
        <v>0</v>
      </c>
      <c r="BY162" s="4794">
        <f t="shared" si="208"/>
        <v>0</v>
      </c>
    </row>
    <row r="163" spans="1:77" s="1344" customFormat="1">
      <c r="A163" s="2741">
        <v>12</v>
      </c>
      <c r="B163" s="2684">
        <v>2040203</v>
      </c>
      <c r="C163" s="2685">
        <v>0.02</v>
      </c>
      <c r="D163" s="2715" t="s">
        <v>418</v>
      </c>
      <c r="E163" s="4738">
        <f>+'11.3. ДА Базова година'!H123</f>
        <v>0</v>
      </c>
      <c r="F163" s="1247">
        <f t="shared" si="218"/>
        <v>0</v>
      </c>
      <c r="G163" s="1243">
        <f t="shared" si="218"/>
        <v>0</v>
      </c>
      <c r="H163" s="1243">
        <f t="shared" si="218"/>
        <v>0</v>
      </c>
      <c r="I163" s="1243">
        <f t="shared" si="218"/>
        <v>0</v>
      </c>
      <c r="J163" s="1243">
        <f t="shared" si="218"/>
        <v>0</v>
      </c>
      <c r="K163" s="1248">
        <f t="shared" si="218"/>
        <v>0</v>
      </c>
      <c r="L163" s="4738">
        <f>+'11.3. ДА Базова година'!L123</f>
        <v>0</v>
      </c>
      <c r="M163" s="1247">
        <f t="shared" si="214"/>
        <v>0</v>
      </c>
      <c r="N163" s="1243">
        <f t="shared" si="214"/>
        <v>0</v>
      </c>
      <c r="O163" s="1243">
        <f t="shared" si="214"/>
        <v>0</v>
      </c>
      <c r="P163" s="1243">
        <f t="shared" si="214"/>
        <v>0</v>
      </c>
      <c r="Q163" s="1243">
        <f t="shared" si="214"/>
        <v>0</v>
      </c>
      <c r="R163" s="1248">
        <f t="shared" si="214"/>
        <v>0</v>
      </c>
      <c r="S163" s="4738">
        <f>+'11.3. ДА Базова година'!P123</f>
        <v>0</v>
      </c>
      <c r="T163" s="1247">
        <f t="shared" si="215"/>
        <v>0</v>
      </c>
      <c r="U163" s="1243">
        <f t="shared" si="215"/>
        <v>0</v>
      </c>
      <c r="V163" s="1243">
        <f t="shared" si="215"/>
        <v>0</v>
      </c>
      <c r="W163" s="1243">
        <f t="shared" si="215"/>
        <v>0</v>
      </c>
      <c r="X163" s="1243">
        <f t="shared" si="215"/>
        <v>0</v>
      </c>
      <c r="Y163" s="1248">
        <f t="shared" si="215"/>
        <v>0</v>
      </c>
      <c r="Z163" s="4738">
        <f>+'11.3. ДА Базова година'!T123</f>
        <v>0</v>
      </c>
      <c r="AA163" s="1247">
        <f t="shared" si="216"/>
        <v>0</v>
      </c>
      <c r="AB163" s="1243">
        <f t="shared" si="216"/>
        <v>0</v>
      </c>
      <c r="AC163" s="1243">
        <f t="shared" si="216"/>
        <v>0</v>
      </c>
      <c r="AD163" s="1243">
        <f t="shared" si="216"/>
        <v>0</v>
      </c>
      <c r="AE163" s="1243">
        <f t="shared" si="216"/>
        <v>0</v>
      </c>
      <c r="AF163" s="1248">
        <f t="shared" si="216"/>
        <v>0</v>
      </c>
      <c r="AG163" s="4738">
        <f>+'11.3. ДА Базова година'!X123</f>
        <v>0</v>
      </c>
      <c r="AH163" s="1247">
        <f t="shared" si="217"/>
        <v>0</v>
      </c>
      <c r="AI163" s="1243">
        <f t="shared" si="217"/>
        <v>0</v>
      </c>
      <c r="AJ163" s="1243">
        <f t="shared" si="217"/>
        <v>0</v>
      </c>
      <c r="AK163" s="1243">
        <f t="shared" si="217"/>
        <v>0</v>
      </c>
      <c r="AL163" s="1243">
        <f t="shared" si="217"/>
        <v>0</v>
      </c>
      <c r="AM163" s="1248">
        <f t="shared" si="217"/>
        <v>0</v>
      </c>
      <c r="AN163" s="2681"/>
      <c r="AO163" s="2719"/>
      <c r="AP163" s="4775"/>
      <c r="AQ163" s="4794">
        <f t="shared" si="174"/>
        <v>0</v>
      </c>
      <c r="AR163" s="4794">
        <f t="shared" si="175"/>
        <v>0</v>
      </c>
      <c r="AS163" s="4794">
        <f t="shared" si="176"/>
        <v>0</v>
      </c>
      <c r="AT163" s="4794">
        <f t="shared" si="177"/>
        <v>0</v>
      </c>
      <c r="AU163" s="4794">
        <f t="shared" si="178"/>
        <v>0</v>
      </c>
      <c r="AV163" s="4794">
        <f t="shared" si="179"/>
        <v>0</v>
      </c>
      <c r="AW163" s="4794">
        <f t="shared" si="180"/>
        <v>0</v>
      </c>
      <c r="AX163" s="4794">
        <f t="shared" si="181"/>
        <v>0</v>
      </c>
      <c r="AY163" s="4794">
        <f t="shared" si="182"/>
        <v>0</v>
      </c>
      <c r="AZ163" s="4794">
        <f t="shared" si="183"/>
        <v>0</v>
      </c>
      <c r="BA163" s="4794">
        <f t="shared" si="184"/>
        <v>0</v>
      </c>
      <c r="BB163" s="4794">
        <f t="shared" si="185"/>
        <v>0</v>
      </c>
      <c r="BC163" s="4794">
        <f t="shared" si="186"/>
        <v>0</v>
      </c>
      <c r="BD163" s="4794">
        <f t="shared" si="187"/>
        <v>0</v>
      </c>
      <c r="BE163" s="4794">
        <f t="shared" si="188"/>
        <v>0</v>
      </c>
      <c r="BF163" s="4794">
        <f t="shared" si="189"/>
        <v>0</v>
      </c>
      <c r="BG163" s="4794">
        <f t="shared" si="190"/>
        <v>0</v>
      </c>
      <c r="BH163" s="4794">
        <f t="shared" si="191"/>
        <v>0</v>
      </c>
      <c r="BI163" s="4794">
        <f t="shared" si="192"/>
        <v>0</v>
      </c>
      <c r="BJ163" s="4794">
        <f t="shared" si="193"/>
        <v>0</v>
      </c>
      <c r="BK163" s="4794">
        <f t="shared" si="194"/>
        <v>0</v>
      </c>
      <c r="BL163" s="4794">
        <f t="shared" si="195"/>
        <v>0</v>
      </c>
      <c r="BM163" s="4794">
        <f t="shared" si="196"/>
        <v>0</v>
      </c>
      <c r="BN163" s="4794">
        <f t="shared" si="197"/>
        <v>0</v>
      </c>
      <c r="BO163" s="4794">
        <f t="shared" si="198"/>
        <v>0</v>
      </c>
      <c r="BP163" s="4794">
        <f t="shared" si="199"/>
        <v>0</v>
      </c>
      <c r="BQ163" s="4794">
        <f t="shared" si="200"/>
        <v>0</v>
      </c>
      <c r="BR163" s="4794">
        <f t="shared" si="201"/>
        <v>0</v>
      </c>
      <c r="BS163" s="4794">
        <f t="shared" si="202"/>
        <v>0</v>
      </c>
      <c r="BT163" s="4794">
        <f t="shared" si="203"/>
        <v>0</v>
      </c>
      <c r="BU163" s="4794">
        <f t="shared" si="204"/>
        <v>0</v>
      </c>
      <c r="BV163" s="4794">
        <f t="shared" si="205"/>
        <v>0</v>
      </c>
      <c r="BW163" s="4794">
        <f t="shared" si="206"/>
        <v>0</v>
      </c>
      <c r="BX163" s="4794">
        <f t="shared" si="207"/>
        <v>0</v>
      </c>
      <c r="BY163" s="4794">
        <f t="shared" si="208"/>
        <v>0</v>
      </c>
    </row>
    <row r="164" spans="1:77" s="1344" customFormat="1">
      <c r="A164" s="2741">
        <v>13</v>
      </c>
      <c r="B164" s="2684">
        <v>2040204</v>
      </c>
      <c r="C164" s="2685">
        <v>0.02</v>
      </c>
      <c r="D164" s="2714" t="s">
        <v>419</v>
      </c>
      <c r="E164" s="4738">
        <f>+'11.3. ДА Базова година'!H124</f>
        <v>6</v>
      </c>
      <c r="F164" s="1247">
        <f t="shared" si="218"/>
        <v>7</v>
      </c>
      <c r="G164" s="1243">
        <f t="shared" si="218"/>
        <v>8</v>
      </c>
      <c r="H164" s="1243">
        <f t="shared" si="218"/>
        <v>9</v>
      </c>
      <c r="I164" s="1243">
        <f t="shared" si="218"/>
        <v>10</v>
      </c>
      <c r="J164" s="1243">
        <f t="shared" si="218"/>
        <v>11</v>
      </c>
      <c r="K164" s="1248">
        <f t="shared" si="218"/>
        <v>12</v>
      </c>
      <c r="L164" s="4738">
        <f>+'11.3. ДА Базова година'!L124</f>
        <v>0</v>
      </c>
      <c r="M164" s="1247">
        <f t="shared" si="214"/>
        <v>0</v>
      </c>
      <c r="N164" s="1243">
        <f t="shared" si="214"/>
        <v>0</v>
      </c>
      <c r="O164" s="1243">
        <f t="shared" si="214"/>
        <v>0</v>
      </c>
      <c r="P164" s="1243">
        <f t="shared" si="214"/>
        <v>0</v>
      </c>
      <c r="Q164" s="1243">
        <f t="shared" si="214"/>
        <v>0</v>
      </c>
      <c r="R164" s="1248">
        <f t="shared" si="214"/>
        <v>0</v>
      </c>
      <c r="S164" s="4738">
        <f>+'11.3. ДА Базова година'!P124</f>
        <v>0</v>
      </c>
      <c r="T164" s="1247">
        <f t="shared" si="215"/>
        <v>0</v>
      </c>
      <c r="U164" s="1243">
        <f t="shared" si="215"/>
        <v>0</v>
      </c>
      <c r="V164" s="1243">
        <f t="shared" si="215"/>
        <v>0</v>
      </c>
      <c r="W164" s="1243">
        <f t="shared" si="215"/>
        <v>0</v>
      </c>
      <c r="X164" s="1243">
        <f t="shared" si="215"/>
        <v>0</v>
      </c>
      <c r="Y164" s="1248">
        <f t="shared" si="215"/>
        <v>0</v>
      </c>
      <c r="Z164" s="4738">
        <f>+'11.3. ДА Базова година'!T124</f>
        <v>0</v>
      </c>
      <c r="AA164" s="1247">
        <f t="shared" si="216"/>
        <v>0</v>
      </c>
      <c r="AB164" s="1243">
        <f t="shared" si="216"/>
        <v>0</v>
      </c>
      <c r="AC164" s="1243">
        <f t="shared" si="216"/>
        <v>0</v>
      </c>
      <c r="AD164" s="1243">
        <f t="shared" si="216"/>
        <v>0</v>
      </c>
      <c r="AE164" s="1243">
        <f t="shared" si="216"/>
        <v>0</v>
      </c>
      <c r="AF164" s="1248">
        <f t="shared" si="216"/>
        <v>0</v>
      </c>
      <c r="AG164" s="4738">
        <f>+'11.3. ДА Базова година'!X124</f>
        <v>0</v>
      </c>
      <c r="AH164" s="1247">
        <f t="shared" si="217"/>
        <v>0</v>
      </c>
      <c r="AI164" s="1243">
        <f t="shared" si="217"/>
        <v>0</v>
      </c>
      <c r="AJ164" s="1243">
        <f t="shared" si="217"/>
        <v>0</v>
      </c>
      <c r="AK164" s="1243">
        <f t="shared" si="217"/>
        <v>0</v>
      </c>
      <c r="AL164" s="1243">
        <f t="shared" si="217"/>
        <v>0</v>
      </c>
      <c r="AM164" s="1248">
        <f t="shared" si="217"/>
        <v>0</v>
      </c>
      <c r="AN164" s="2681"/>
      <c r="AO164" s="2719"/>
      <c r="AP164" s="4775"/>
      <c r="AQ164" s="4794">
        <f t="shared" si="174"/>
        <v>3.0677512871773112</v>
      </c>
      <c r="AR164" s="4794">
        <f t="shared" si="175"/>
        <v>3.5790431683735293</v>
      </c>
      <c r="AS164" s="4794">
        <f t="shared" si="176"/>
        <v>4.0903350495697479</v>
      </c>
      <c r="AT164" s="4794">
        <f t="shared" si="177"/>
        <v>4.6016269307659661</v>
      </c>
      <c r="AU164" s="4794">
        <f t="shared" si="178"/>
        <v>5.1129188119621851</v>
      </c>
      <c r="AV164" s="4794">
        <f t="shared" si="179"/>
        <v>5.6242106931584033</v>
      </c>
      <c r="AW164" s="4794">
        <f t="shared" si="180"/>
        <v>6.1355025743546223</v>
      </c>
      <c r="AX164" s="4794">
        <f t="shared" si="181"/>
        <v>0</v>
      </c>
      <c r="AY164" s="4794">
        <f t="shared" si="182"/>
        <v>0</v>
      </c>
      <c r="AZ164" s="4794">
        <f t="shared" si="183"/>
        <v>0</v>
      </c>
      <c r="BA164" s="4794">
        <f t="shared" si="184"/>
        <v>0</v>
      </c>
      <c r="BB164" s="4794">
        <f t="shared" si="185"/>
        <v>0</v>
      </c>
      <c r="BC164" s="4794">
        <f t="shared" si="186"/>
        <v>0</v>
      </c>
      <c r="BD164" s="4794">
        <f t="shared" si="187"/>
        <v>0</v>
      </c>
      <c r="BE164" s="4794">
        <f t="shared" si="188"/>
        <v>0</v>
      </c>
      <c r="BF164" s="4794">
        <f t="shared" si="189"/>
        <v>0</v>
      </c>
      <c r="BG164" s="4794">
        <f t="shared" si="190"/>
        <v>0</v>
      </c>
      <c r="BH164" s="4794">
        <f t="shared" si="191"/>
        <v>0</v>
      </c>
      <c r="BI164" s="4794">
        <f t="shared" si="192"/>
        <v>0</v>
      </c>
      <c r="BJ164" s="4794">
        <f t="shared" si="193"/>
        <v>0</v>
      </c>
      <c r="BK164" s="4794">
        <f t="shared" si="194"/>
        <v>0</v>
      </c>
      <c r="BL164" s="4794">
        <f t="shared" si="195"/>
        <v>0</v>
      </c>
      <c r="BM164" s="4794">
        <f t="shared" si="196"/>
        <v>0</v>
      </c>
      <c r="BN164" s="4794">
        <f t="shared" si="197"/>
        <v>0</v>
      </c>
      <c r="BO164" s="4794">
        <f t="shared" si="198"/>
        <v>0</v>
      </c>
      <c r="BP164" s="4794">
        <f t="shared" si="199"/>
        <v>0</v>
      </c>
      <c r="BQ164" s="4794">
        <f t="shared" si="200"/>
        <v>0</v>
      </c>
      <c r="BR164" s="4794">
        <f t="shared" si="201"/>
        <v>0</v>
      </c>
      <c r="BS164" s="4794">
        <f t="shared" si="202"/>
        <v>0</v>
      </c>
      <c r="BT164" s="4794">
        <f t="shared" si="203"/>
        <v>0</v>
      </c>
      <c r="BU164" s="4794">
        <f t="shared" si="204"/>
        <v>0</v>
      </c>
      <c r="BV164" s="4794">
        <f t="shared" si="205"/>
        <v>0</v>
      </c>
      <c r="BW164" s="4794">
        <f t="shared" si="206"/>
        <v>0</v>
      </c>
      <c r="BX164" s="4794">
        <f t="shared" si="207"/>
        <v>0</v>
      </c>
      <c r="BY164" s="4794">
        <f t="shared" si="208"/>
        <v>0</v>
      </c>
    </row>
    <row r="165" spans="1:77" s="1344" customFormat="1">
      <c r="A165" s="2741">
        <v>14</v>
      </c>
      <c r="B165" s="2684">
        <v>2040205</v>
      </c>
      <c r="C165" s="2685">
        <v>0.02</v>
      </c>
      <c r="D165" s="2715" t="s">
        <v>420</v>
      </c>
      <c r="E165" s="4738">
        <f>+'11.3. ДА Базова година'!H125</f>
        <v>1028</v>
      </c>
      <c r="F165" s="1247">
        <f t="shared" si="218"/>
        <v>1433.67</v>
      </c>
      <c r="G165" s="1243">
        <f t="shared" si="218"/>
        <v>1913.3400000000001</v>
      </c>
      <c r="H165" s="1243">
        <f t="shared" si="218"/>
        <v>2453.0100000000002</v>
      </c>
      <c r="I165" s="1243">
        <f t="shared" si="218"/>
        <v>3046.9800000000005</v>
      </c>
      <c r="J165" s="1243">
        <f t="shared" si="218"/>
        <v>3693.9000000000005</v>
      </c>
      <c r="K165" s="1248">
        <f t="shared" si="218"/>
        <v>4394.47</v>
      </c>
      <c r="L165" s="4738">
        <f>+'11.3. ДА Базова година'!L125</f>
        <v>0</v>
      </c>
      <c r="M165" s="1247">
        <f t="shared" si="214"/>
        <v>0</v>
      </c>
      <c r="N165" s="1243">
        <f t="shared" si="214"/>
        <v>0</v>
      </c>
      <c r="O165" s="1243">
        <f t="shared" si="214"/>
        <v>0</v>
      </c>
      <c r="P165" s="1243">
        <f t="shared" si="214"/>
        <v>0</v>
      </c>
      <c r="Q165" s="1243">
        <f t="shared" si="214"/>
        <v>0</v>
      </c>
      <c r="R165" s="1248">
        <f t="shared" si="214"/>
        <v>0</v>
      </c>
      <c r="S165" s="4738">
        <f>+'11.3. ДА Базова година'!P125</f>
        <v>0</v>
      </c>
      <c r="T165" s="1247">
        <f t="shared" si="215"/>
        <v>0</v>
      </c>
      <c r="U165" s="1243">
        <f t="shared" si="215"/>
        <v>0</v>
      </c>
      <c r="V165" s="1243">
        <f t="shared" si="215"/>
        <v>0</v>
      </c>
      <c r="W165" s="1243">
        <f t="shared" si="215"/>
        <v>0</v>
      </c>
      <c r="X165" s="1243">
        <f t="shared" si="215"/>
        <v>0</v>
      </c>
      <c r="Y165" s="1248">
        <f t="shared" si="215"/>
        <v>0</v>
      </c>
      <c r="Z165" s="4738">
        <f>+'11.3. ДА Базова година'!T125</f>
        <v>0</v>
      </c>
      <c r="AA165" s="1247">
        <f t="shared" si="216"/>
        <v>0</v>
      </c>
      <c r="AB165" s="1243">
        <f t="shared" si="216"/>
        <v>0</v>
      </c>
      <c r="AC165" s="1243">
        <f t="shared" si="216"/>
        <v>0</v>
      </c>
      <c r="AD165" s="1243">
        <f t="shared" si="216"/>
        <v>0</v>
      </c>
      <c r="AE165" s="1243">
        <f t="shared" si="216"/>
        <v>0</v>
      </c>
      <c r="AF165" s="1248">
        <f t="shared" si="216"/>
        <v>0</v>
      </c>
      <c r="AG165" s="4738">
        <f>+'11.3. ДА Базова година'!X125</f>
        <v>0</v>
      </c>
      <c r="AH165" s="1247">
        <f t="shared" si="217"/>
        <v>0</v>
      </c>
      <c r="AI165" s="1243">
        <f t="shared" si="217"/>
        <v>0</v>
      </c>
      <c r="AJ165" s="1243">
        <f t="shared" si="217"/>
        <v>0</v>
      </c>
      <c r="AK165" s="1243">
        <f t="shared" si="217"/>
        <v>0</v>
      </c>
      <c r="AL165" s="1243">
        <f t="shared" si="217"/>
        <v>0</v>
      </c>
      <c r="AM165" s="1248">
        <f t="shared" si="217"/>
        <v>0</v>
      </c>
      <c r="AN165" s="2681"/>
      <c r="AO165" s="2719"/>
      <c r="AP165" s="4775"/>
      <c r="AQ165" s="4794">
        <f t="shared" si="174"/>
        <v>525.60805386971265</v>
      </c>
      <c r="AR165" s="4794">
        <f t="shared" si="175"/>
        <v>733.02383131458259</v>
      </c>
      <c r="AS165" s="4794">
        <f t="shared" si="176"/>
        <v>978.27520796797273</v>
      </c>
      <c r="AT165" s="4794">
        <f t="shared" si="177"/>
        <v>1254.204097493136</v>
      </c>
      <c r="AU165" s="4794">
        <f t="shared" si="178"/>
        <v>1557.8961361672541</v>
      </c>
      <c r="AV165" s="4794">
        <f t="shared" si="179"/>
        <v>1888.6610799507118</v>
      </c>
      <c r="AW165" s="4794">
        <f t="shared" si="180"/>
        <v>2246.8568331603465</v>
      </c>
      <c r="AX165" s="4794">
        <f t="shared" si="181"/>
        <v>0</v>
      </c>
      <c r="AY165" s="4794">
        <f t="shared" si="182"/>
        <v>0</v>
      </c>
      <c r="AZ165" s="4794">
        <f t="shared" si="183"/>
        <v>0</v>
      </c>
      <c r="BA165" s="4794">
        <f t="shared" si="184"/>
        <v>0</v>
      </c>
      <c r="BB165" s="4794">
        <f t="shared" si="185"/>
        <v>0</v>
      </c>
      <c r="BC165" s="4794">
        <f t="shared" si="186"/>
        <v>0</v>
      </c>
      <c r="BD165" s="4794">
        <f t="shared" si="187"/>
        <v>0</v>
      </c>
      <c r="BE165" s="4794">
        <f t="shared" si="188"/>
        <v>0</v>
      </c>
      <c r="BF165" s="4794">
        <f t="shared" si="189"/>
        <v>0</v>
      </c>
      <c r="BG165" s="4794">
        <f t="shared" si="190"/>
        <v>0</v>
      </c>
      <c r="BH165" s="4794">
        <f t="shared" si="191"/>
        <v>0</v>
      </c>
      <c r="BI165" s="4794">
        <f t="shared" si="192"/>
        <v>0</v>
      </c>
      <c r="BJ165" s="4794">
        <f t="shared" si="193"/>
        <v>0</v>
      </c>
      <c r="BK165" s="4794">
        <f t="shared" si="194"/>
        <v>0</v>
      </c>
      <c r="BL165" s="4794">
        <f t="shared" si="195"/>
        <v>0</v>
      </c>
      <c r="BM165" s="4794">
        <f t="shared" si="196"/>
        <v>0</v>
      </c>
      <c r="BN165" s="4794">
        <f t="shared" si="197"/>
        <v>0</v>
      </c>
      <c r="BO165" s="4794">
        <f t="shared" si="198"/>
        <v>0</v>
      </c>
      <c r="BP165" s="4794">
        <f t="shared" si="199"/>
        <v>0</v>
      </c>
      <c r="BQ165" s="4794">
        <f t="shared" si="200"/>
        <v>0</v>
      </c>
      <c r="BR165" s="4794">
        <f t="shared" si="201"/>
        <v>0</v>
      </c>
      <c r="BS165" s="4794">
        <f t="shared" si="202"/>
        <v>0</v>
      </c>
      <c r="BT165" s="4794">
        <f t="shared" si="203"/>
        <v>0</v>
      </c>
      <c r="BU165" s="4794">
        <f t="shared" si="204"/>
        <v>0</v>
      </c>
      <c r="BV165" s="4794">
        <f t="shared" si="205"/>
        <v>0</v>
      </c>
      <c r="BW165" s="4794">
        <f t="shared" si="206"/>
        <v>0</v>
      </c>
      <c r="BX165" s="4794">
        <f t="shared" si="207"/>
        <v>0</v>
      </c>
      <c r="BY165" s="4794">
        <f t="shared" si="208"/>
        <v>0</v>
      </c>
    </row>
    <row r="166" spans="1:77" s="1344" customFormat="1">
      <c r="A166" s="2741">
        <v>15</v>
      </c>
      <c r="B166" s="2684">
        <v>2040206</v>
      </c>
      <c r="C166" s="2685">
        <v>0.02</v>
      </c>
      <c r="D166" s="2720" t="s">
        <v>421</v>
      </c>
      <c r="E166" s="4738">
        <f>+'11.3. ДА Базова година'!H126</f>
        <v>0</v>
      </c>
      <c r="F166" s="1247">
        <f t="shared" si="218"/>
        <v>0</v>
      </c>
      <c r="G166" s="1243">
        <f t="shared" si="218"/>
        <v>0</v>
      </c>
      <c r="H166" s="1243">
        <f t="shared" si="218"/>
        <v>0</v>
      </c>
      <c r="I166" s="1243">
        <f t="shared" si="218"/>
        <v>0</v>
      </c>
      <c r="J166" s="1243">
        <f t="shared" si="218"/>
        <v>0</v>
      </c>
      <c r="K166" s="1248">
        <f t="shared" si="218"/>
        <v>0</v>
      </c>
      <c r="L166" s="4738">
        <f>+'11.3. ДА Базова година'!L126</f>
        <v>76</v>
      </c>
      <c r="M166" s="1247">
        <f t="shared" si="214"/>
        <v>106.14</v>
      </c>
      <c r="N166" s="1243">
        <f t="shared" si="214"/>
        <v>139.07999999999998</v>
      </c>
      <c r="O166" s="1243">
        <f t="shared" si="214"/>
        <v>175.21999999999997</v>
      </c>
      <c r="P166" s="1243">
        <f t="shared" si="214"/>
        <v>214.55999999999997</v>
      </c>
      <c r="Q166" s="1243">
        <f t="shared" si="214"/>
        <v>257</v>
      </c>
      <c r="R166" s="1248">
        <f t="shared" si="214"/>
        <v>302.44</v>
      </c>
      <c r="S166" s="4738">
        <f>+'11.3. ДА Базова година'!P126</f>
        <v>0</v>
      </c>
      <c r="T166" s="1247">
        <f t="shared" si="215"/>
        <v>0</v>
      </c>
      <c r="U166" s="1243">
        <f t="shared" si="215"/>
        <v>0</v>
      </c>
      <c r="V166" s="1243">
        <f t="shared" si="215"/>
        <v>0</v>
      </c>
      <c r="W166" s="1243">
        <f t="shared" si="215"/>
        <v>0</v>
      </c>
      <c r="X166" s="1243">
        <f t="shared" si="215"/>
        <v>0</v>
      </c>
      <c r="Y166" s="1248">
        <f t="shared" si="215"/>
        <v>0</v>
      </c>
      <c r="Z166" s="4738">
        <f>+'11.3. ДА Базова година'!T126</f>
        <v>0</v>
      </c>
      <c r="AA166" s="1247">
        <f t="shared" si="216"/>
        <v>0</v>
      </c>
      <c r="AB166" s="1243">
        <f t="shared" si="216"/>
        <v>0</v>
      </c>
      <c r="AC166" s="1243">
        <f t="shared" si="216"/>
        <v>0</v>
      </c>
      <c r="AD166" s="1243">
        <f t="shared" si="216"/>
        <v>0</v>
      </c>
      <c r="AE166" s="1243">
        <f t="shared" si="216"/>
        <v>0</v>
      </c>
      <c r="AF166" s="1248">
        <f t="shared" si="216"/>
        <v>0</v>
      </c>
      <c r="AG166" s="4738">
        <f>+'11.3. ДА Базова година'!X126</f>
        <v>0</v>
      </c>
      <c r="AH166" s="1247">
        <f t="shared" si="217"/>
        <v>0</v>
      </c>
      <c r="AI166" s="1243">
        <f t="shared" si="217"/>
        <v>0</v>
      </c>
      <c r="AJ166" s="1243">
        <f t="shared" si="217"/>
        <v>0</v>
      </c>
      <c r="AK166" s="1243">
        <f t="shared" si="217"/>
        <v>0</v>
      </c>
      <c r="AL166" s="1243">
        <f t="shared" si="217"/>
        <v>0</v>
      </c>
      <c r="AM166" s="1248">
        <f t="shared" si="217"/>
        <v>0</v>
      </c>
      <c r="AN166" s="2681"/>
      <c r="AO166" s="2719"/>
      <c r="AP166" s="4775"/>
      <c r="AQ166" s="4794">
        <f t="shared" si="174"/>
        <v>0</v>
      </c>
      <c r="AR166" s="4794">
        <f t="shared" si="175"/>
        <v>0</v>
      </c>
      <c r="AS166" s="4794">
        <f t="shared" si="176"/>
        <v>0</v>
      </c>
      <c r="AT166" s="4794">
        <f t="shared" si="177"/>
        <v>0</v>
      </c>
      <c r="AU166" s="4794">
        <f t="shared" si="178"/>
        <v>0</v>
      </c>
      <c r="AV166" s="4794">
        <f t="shared" si="179"/>
        <v>0</v>
      </c>
      <c r="AW166" s="4794">
        <f t="shared" si="180"/>
        <v>0</v>
      </c>
      <c r="AX166" s="4794">
        <f t="shared" si="181"/>
        <v>38.858182970912608</v>
      </c>
      <c r="AY166" s="4794">
        <f t="shared" si="182"/>
        <v>54.268520270166633</v>
      </c>
      <c r="AZ166" s="4794">
        <f t="shared" si="183"/>
        <v>71.110474836770067</v>
      </c>
      <c r="BA166" s="4794">
        <f t="shared" si="184"/>
        <v>89.588563423201393</v>
      </c>
      <c r="BB166" s="4794">
        <f t="shared" si="185"/>
        <v>109.70278602946063</v>
      </c>
      <c r="BC166" s="4794">
        <f t="shared" si="186"/>
        <v>131.40201346742816</v>
      </c>
      <c r="BD166" s="4794">
        <f t="shared" si="187"/>
        <v>154.63511654898431</v>
      </c>
      <c r="BE166" s="4794">
        <f t="shared" si="188"/>
        <v>0</v>
      </c>
      <c r="BF166" s="4794">
        <f t="shared" si="189"/>
        <v>0</v>
      </c>
      <c r="BG166" s="4794">
        <f t="shared" si="190"/>
        <v>0</v>
      </c>
      <c r="BH166" s="4794">
        <f t="shared" si="191"/>
        <v>0</v>
      </c>
      <c r="BI166" s="4794">
        <f t="shared" si="192"/>
        <v>0</v>
      </c>
      <c r="BJ166" s="4794">
        <f t="shared" si="193"/>
        <v>0</v>
      </c>
      <c r="BK166" s="4794">
        <f t="shared" si="194"/>
        <v>0</v>
      </c>
      <c r="BL166" s="4794">
        <f t="shared" si="195"/>
        <v>0</v>
      </c>
      <c r="BM166" s="4794">
        <f t="shared" si="196"/>
        <v>0</v>
      </c>
      <c r="BN166" s="4794">
        <f t="shared" si="197"/>
        <v>0</v>
      </c>
      <c r="BO166" s="4794">
        <f t="shared" si="198"/>
        <v>0</v>
      </c>
      <c r="BP166" s="4794">
        <f t="shared" si="199"/>
        <v>0</v>
      </c>
      <c r="BQ166" s="4794">
        <f t="shared" si="200"/>
        <v>0</v>
      </c>
      <c r="BR166" s="4794">
        <f t="shared" si="201"/>
        <v>0</v>
      </c>
      <c r="BS166" s="4794">
        <f t="shared" si="202"/>
        <v>0</v>
      </c>
      <c r="BT166" s="4794">
        <f t="shared" si="203"/>
        <v>0</v>
      </c>
      <c r="BU166" s="4794">
        <f t="shared" si="204"/>
        <v>0</v>
      </c>
      <c r="BV166" s="4794">
        <f t="shared" si="205"/>
        <v>0</v>
      </c>
      <c r="BW166" s="4794">
        <f t="shared" si="206"/>
        <v>0</v>
      </c>
      <c r="BX166" s="4794">
        <f t="shared" si="207"/>
        <v>0</v>
      </c>
      <c r="BY166" s="4794">
        <f t="shared" si="208"/>
        <v>0</v>
      </c>
    </row>
    <row r="167" spans="1:77" s="1344" customFormat="1" ht="24">
      <c r="A167" s="2741">
        <v>16</v>
      </c>
      <c r="B167" s="2684">
        <v>2040207</v>
      </c>
      <c r="C167" s="2685">
        <v>0.04</v>
      </c>
      <c r="D167" s="2720" t="s">
        <v>422</v>
      </c>
      <c r="E167" s="4738">
        <f>+'11.3. ДА Базова година'!H127</f>
        <v>386</v>
      </c>
      <c r="F167" s="1247">
        <f t="shared" si="218"/>
        <v>496.42</v>
      </c>
      <c r="G167" s="1243">
        <f t="shared" si="218"/>
        <v>613.64</v>
      </c>
      <c r="H167" s="1243">
        <f t="shared" si="218"/>
        <v>735.46</v>
      </c>
      <c r="I167" s="1243">
        <f t="shared" si="218"/>
        <v>861.28</v>
      </c>
      <c r="J167" s="1243">
        <f t="shared" si="218"/>
        <v>991.09999999999991</v>
      </c>
      <c r="K167" s="1248">
        <f t="shared" si="218"/>
        <v>1124.9199999999998</v>
      </c>
      <c r="L167" s="4738">
        <f>+'11.3. ДА Базова година'!L127</f>
        <v>0</v>
      </c>
      <c r="M167" s="1247">
        <f t="shared" si="214"/>
        <v>0</v>
      </c>
      <c r="N167" s="1243">
        <f t="shared" si="214"/>
        <v>0</v>
      </c>
      <c r="O167" s="1243">
        <f t="shared" si="214"/>
        <v>0</v>
      </c>
      <c r="P167" s="1243">
        <f t="shared" si="214"/>
        <v>0</v>
      </c>
      <c r="Q167" s="1243">
        <f t="shared" si="214"/>
        <v>0</v>
      </c>
      <c r="R167" s="1248">
        <f t="shared" si="214"/>
        <v>0</v>
      </c>
      <c r="S167" s="4738">
        <f>+'11.3. ДА Базова година'!P127</f>
        <v>126</v>
      </c>
      <c r="T167" s="1247">
        <f t="shared" si="215"/>
        <v>164.86</v>
      </c>
      <c r="U167" s="1243">
        <f t="shared" si="215"/>
        <v>207.72000000000003</v>
      </c>
      <c r="V167" s="1243">
        <f t="shared" si="215"/>
        <v>254.58000000000004</v>
      </c>
      <c r="W167" s="1243">
        <f t="shared" si="215"/>
        <v>305.44000000000005</v>
      </c>
      <c r="X167" s="1243">
        <f t="shared" si="215"/>
        <v>360.30000000000007</v>
      </c>
      <c r="Y167" s="1248">
        <f t="shared" si="215"/>
        <v>419.16000000000008</v>
      </c>
      <c r="Z167" s="4738">
        <f>+'11.3. ДА Базова година'!T127</f>
        <v>0</v>
      </c>
      <c r="AA167" s="1247">
        <f t="shared" si="216"/>
        <v>0</v>
      </c>
      <c r="AB167" s="1243">
        <f t="shared" si="216"/>
        <v>0</v>
      </c>
      <c r="AC167" s="1243">
        <f t="shared" si="216"/>
        <v>0</v>
      </c>
      <c r="AD167" s="1243">
        <f t="shared" si="216"/>
        <v>0</v>
      </c>
      <c r="AE167" s="1243">
        <f t="shared" si="216"/>
        <v>0</v>
      </c>
      <c r="AF167" s="1248">
        <f t="shared" si="216"/>
        <v>0</v>
      </c>
      <c r="AG167" s="4738">
        <f>+'11.3. ДА Базова година'!X127</f>
        <v>0</v>
      </c>
      <c r="AH167" s="1247">
        <f t="shared" si="217"/>
        <v>0</v>
      </c>
      <c r="AI167" s="1243">
        <f t="shared" si="217"/>
        <v>0</v>
      </c>
      <c r="AJ167" s="1243">
        <f t="shared" si="217"/>
        <v>0</v>
      </c>
      <c r="AK167" s="1243">
        <f t="shared" si="217"/>
        <v>0</v>
      </c>
      <c r="AL167" s="1243">
        <f t="shared" si="217"/>
        <v>0</v>
      </c>
      <c r="AM167" s="1248">
        <f t="shared" si="217"/>
        <v>0</v>
      </c>
      <c r="AN167" s="2681"/>
      <c r="AO167" s="2719"/>
      <c r="AP167" s="4775"/>
      <c r="AQ167" s="4794">
        <f t="shared" si="174"/>
        <v>197.35866614174034</v>
      </c>
      <c r="AR167" s="4794">
        <f t="shared" si="175"/>
        <v>253.81551566342679</v>
      </c>
      <c r="AS167" s="4794">
        <f t="shared" si="176"/>
        <v>313.7491499772475</v>
      </c>
      <c r="AT167" s="4794">
        <f t="shared" si="177"/>
        <v>376.03472694457088</v>
      </c>
      <c r="AU167" s="4794">
        <f t="shared" si="178"/>
        <v>440.36547143667906</v>
      </c>
      <c r="AV167" s="4794">
        <f t="shared" si="179"/>
        <v>506.7413834535721</v>
      </c>
      <c r="AW167" s="4794">
        <f t="shared" si="180"/>
        <v>575.16246299525005</v>
      </c>
      <c r="AX167" s="4794">
        <f t="shared" si="181"/>
        <v>0</v>
      </c>
      <c r="AY167" s="4794">
        <f t="shared" si="182"/>
        <v>0</v>
      </c>
      <c r="AZ167" s="4794">
        <f t="shared" si="183"/>
        <v>0</v>
      </c>
      <c r="BA167" s="4794">
        <f t="shared" si="184"/>
        <v>0</v>
      </c>
      <c r="BB167" s="4794">
        <f t="shared" si="185"/>
        <v>0</v>
      </c>
      <c r="BC167" s="4794">
        <f t="shared" si="186"/>
        <v>0</v>
      </c>
      <c r="BD167" s="4794">
        <f t="shared" si="187"/>
        <v>0</v>
      </c>
      <c r="BE167" s="4794">
        <f t="shared" si="188"/>
        <v>64.422777030723537</v>
      </c>
      <c r="BF167" s="4794">
        <f t="shared" si="189"/>
        <v>84.291579534008591</v>
      </c>
      <c r="BG167" s="4794">
        <f t="shared" si="190"/>
        <v>106.20554956207852</v>
      </c>
      <c r="BH167" s="4794">
        <f t="shared" si="191"/>
        <v>130.16468711493332</v>
      </c>
      <c r="BI167" s="4794">
        <f t="shared" si="192"/>
        <v>156.168992192573</v>
      </c>
      <c r="BJ167" s="4794">
        <f t="shared" si="193"/>
        <v>184.21846479499757</v>
      </c>
      <c r="BK167" s="4794">
        <f t="shared" si="194"/>
        <v>214.31310492220697</v>
      </c>
      <c r="BL167" s="4794">
        <f t="shared" si="195"/>
        <v>0</v>
      </c>
      <c r="BM167" s="4794">
        <f t="shared" si="196"/>
        <v>0</v>
      </c>
      <c r="BN167" s="4794">
        <f t="shared" si="197"/>
        <v>0</v>
      </c>
      <c r="BO167" s="4794">
        <f t="shared" si="198"/>
        <v>0</v>
      </c>
      <c r="BP167" s="4794">
        <f t="shared" si="199"/>
        <v>0</v>
      </c>
      <c r="BQ167" s="4794">
        <f t="shared" si="200"/>
        <v>0</v>
      </c>
      <c r="BR167" s="4794">
        <f t="shared" si="201"/>
        <v>0</v>
      </c>
      <c r="BS167" s="4794">
        <f t="shared" si="202"/>
        <v>0</v>
      </c>
      <c r="BT167" s="4794">
        <f t="shared" si="203"/>
        <v>0</v>
      </c>
      <c r="BU167" s="4794">
        <f t="shared" si="204"/>
        <v>0</v>
      </c>
      <c r="BV167" s="4794">
        <f t="shared" si="205"/>
        <v>0</v>
      </c>
      <c r="BW167" s="4794">
        <f t="shared" si="206"/>
        <v>0</v>
      </c>
      <c r="BX167" s="4794">
        <f t="shared" si="207"/>
        <v>0</v>
      </c>
      <c r="BY167" s="4794">
        <f t="shared" si="208"/>
        <v>0</v>
      </c>
    </row>
    <row r="168" spans="1:77" s="1344" customFormat="1">
      <c r="A168" s="2741">
        <v>17</v>
      </c>
      <c r="B168" s="2684">
        <v>2040208</v>
      </c>
      <c r="C168" s="2685">
        <v>0.04</v>
      </c>
      <c r="D168" s="2720" t="s">
        <v>423</v>
      </c>
      <c r="E168" s="4738">
        <f>+'11.3. ДА Базова година'!H128</f>
        <v>9</v>
      </c>
      <c r="F168" s="1247">
        <f t="shared" si="218"/>
        <v>11</v>
      </c>
      <c r="G168" s="1243">
        <f t="shared" si="218"/>
        <v>13</v>
      </c>
      <c r="H168" s="1243">
        <f t="shared" si="218"/>
        <v>15</v>
      </c>
      <c r="I168" s="1243">
        <f t="shared" si="218"/>
        <v>17</v>
      </c>
      <c r="J168" s="1243">
        <f t="shared" si="218"/>
        <v>19</v>
      </c>
      <c r="K168" s="1248">
        <f t="shared" si="218"/>
        <v>21</v>
      </c>
      <c r="L168" s="4738">
        <f>+'11.3. ДА Базова година'!L128</f>
        <v>0</v>
      </c>
      <c r="M168" s="1247">
        <f t="shared" ref="M168:R170" si="219">L168+M148</f>
        <v>0</v>
      </c>
      <c r="N168" s="1243">
        <f t="shared" si="219"/>
        <v>0</v>
      </c>
      <c r="O168" s="1243">
        <f t="shared" si="219"/>
        <v>0</v>
      </c>
      <c r="P168" s="1243">
        <f t="shared" si="219"/>
        <v>0</v>
      </c>
      <c r="Q168" s="1243">
        <f t="shared" si="219"/>
        <v>0</v>
      </c>
      <c r="R168" s="1248">
        <f t="shared" si="219"/>
        <v>0</v>
      </c>
      <c r="S168" s="4738">
        <f>+'11.3. ДА Базова година'!P128</f>
        <v>0</v>
      </c>
      <c r="T168" s="1247">
        <f t="shared" ref="T168:Y170" si="220">S168+T148</f>
        <v>0</v>
      </c>
      <c r="U168" s="1243">
        <f t="shared" si="220"/>
        <v>0</v>
      </c>
      <c r="V168" s="1243">
        <f t="shared" si="220"/>
        <v>0</v>
      </c>
      <c r="W168" s="1243">
        <f t="shared" si="220"/>
        <v>0</v>
      </c>
      <c r="X168" s="1243">
        <f t="shared" si="220"/>
        <v>0</v>
      </c>
      <c r="Y168" s="1248">
        <f t="shared" si="220"/>
        <v>0</v>
      </c>
      <c r="Z168" s="4738">
        <f>+'11.3. ДА Базова година'!T128</f>
        <v>0</v>
      </c>
      <c r="AA168" s="1247">
        <f t="shared" ref="AA168:AF170" si="221">Z168+AA148</f>
        <v>0</v>
      </c>
      <c r="AB168" s="1243">
        <f t="shared" si="221"/>
        <v>0</v>
      </c>
      <c r="AC168" s="1243">
        <f t="shared" si="221"/>
        <v>0</v>
      </c>
      <c r="AD168" s="1243">
        <f t="shared" si="221"/>
        <v>0</v>
      </c>
      <c r="AE168" s="1243">
        <f t="shared" si="221"/>
        <v>0</v>
      </c>
      <c r="AF168" s="1248">
        <f t="shared" si="221"/>
        <v>0</v>
      </c>
      <c r="AG168" s="4738">
        <f>+'11.3. ДА Базова година'!X128</f>
        <v>0</v>
      </c>
      <c r="AH168" s="1247">
        <f t="shared" ref="AH168:AM170" si="222">AG168+AH148</f>
        <v>0</v>
      </c>
      <c r="AI168" s="1243">
        <f t="shared" si="222"/>
        <v>0</v>
      </c>
      <c r="AJ168" s="1243">
        <f t="shared" si="222"/>
        <v>0</v>
      </c>
      <c r="AK168" s="1243">
        <f t="shared" si="222"/>
        <v>0</v>
      </c>
      <c r="AL168" s="1243">
        <f t="shared" si="222"/>
        <v>0</v>
      </c>
      <c r="AM168" s="1248">
        <f t="shared" si="222"/>
        <v>0</v>
      </c>
      <c r="AN168" s="2681"/>
      <c r="AO168" s="2719"/>
      <c r="AP168" s="4775"/>
      <c r="AQ168" s="4794">
        <f t="shared" si="174"/>
        <v>4.6016269307659661</v>
      </c>
      <c r="AR168" s="4794">
        <f t="shared" si="175"/>
        <v>5.6242106931584033</v>
      </c>
      <c r="AS168" s="4794">
        <f t="shared" si="176"/>
        <v>6.6467944555508405</v>
      </c>
      <c r="AT168" s="4794">
        <f t="shared" si="177"/>
        <v>7.6693782179432777</v>
      </c>
      <c r="AU168" s="4794">
        <f t="shared" si="178"/>
        <v>8.691961980335714</v>
      </c>
      <c r="AV168" s="4794">
        <f t="shared" si="179"/>
        <v>9.7145457427281521</v>
      </c>
      <c r="AW168" s="4794">
        <f t="shared" si="180"/>
        <v>10.737129505120588</v>
      </c>
      <c r="AX168" s="4794">
        <f t="shared" si="181"/>
        <v>0</v>
      </c>
      <c r="AY168" s="4794">
        <f t="shared" si="182"/>
        <v>0</v>
      </c>
      <c r="AZ168" s="4794">
        <f t="shared" si="183"/>
        <v>0</v>
      </c>
      <c r="BA168" s="4794">
        <f t="shared" si="184"/>
        <v>0</v>
      </c>
      <c r="BB168" s="4794">
        <f t="shared" si="185"/>
        <v>0</v>
      </c>
      <c r="BC168" s="4794">
        <f t="shared" si="186"/>
        <v>0</v>
      </c>
      <c r="BD168" s="4794">
        <f t="shared" si="187"/>
        <v>0</v>
      </c>
      <c r="BE168" s="4794">
        <f t="shared" si="188"/>
        <v>0</v>
      </c>
      <c r="BF168" s="4794">
        <f t="shared" si="189"/>
        <v>0</v>
      </c>
      <c r="BG168" s="4794">
        <f t="shared" si="190"/>
        <v>0</v>
      </c>
      <c r="BH168" s="4794">
        <f t="shared" si="191"/>
        <v>0</v>
      </c>
      <c r="BI168" s="4794">
        <f t="shared" si="192"/>
        <v>0</v>
      </c>
      <c r="BJ168" s="4794">
        <f t="shared" si="193"/>
        <v>0</v>
      </c>
      <c r="BK168" s="4794">
        <f t="shared" si="194"/>
        <v>0</v>
      </c>
      <c r="BL168" s="4794">
        <f t="shared" si="195"/>
        <v>0</v>
      </c>
      <c r="BM168" s="4794">
        <f t="shared" si="196"/>
        <v>0</v>
      </c>
      <c r="BN168" s="4794">
        <f t="shared" si="197"/>
        <v>0</v>
      </c>
      <c r="BO168" s="4794">
        <f t="shared" si="198"/>
        <v>0</v>
      </c>
      <c r="BP168" s="4794">
        <f t="shared" si="199"/>
        <v>0</v>
      </c>
      <c r="BQ168" s="4794">
        <f t="shared" si="200"/>
        <v>0</v>
      </c>
      <c r="BR168" s="4794">
        <f t="shared" si="201"/>
        <v>0</v>
      </c>
      <c r="BS168" s="4794">
        <f t="shared" si="202"/>
        <v>0</v>
      </c>
      <c r="BT168" s="4794">
        <f t="shared" si="203"/>
        <v>0</v>
      </c>
      <c r="BU168" s="4794">
        <f t="shared" si="204"/>
        <v>0</v>
      </c>
      <c r="BV168" s="4794">
        <f t="shared" si="205"/>
        <v>0</v>
      </c>
      <c r="BW168" s="4794">
        <f t="shared" si="206"/>
        <v>0</v>
      </c>
      <c r="BX168" s="4794">
        <f t="shared" si="207"/>
        <v>0</v>
      </c>
      <c r="BY168" s="4794">
        <f t="shared" si="208"/>
        <v>0</v>
      </c>
    </row>
    <row r="169" spans="1:77" s="1344" customFormat="1">
      <c r="A169" s="2741">
        <v>18</v>
      </c>
      <c r="B169" s="2742" t="s">
        <v>1051</v>
      </c>
      <c r="C169" s="2685">
        <v>0.04</v>
      </c>
      <c r="D169" s="2739" t="s">
        <v>434</v>
      </c>
      <c r="E169" s="4738">
        <f>+'11.3. ДА Базова година'!H129</f>
        <v>0</v>
      </c>
      <c r="F169" s="1247">
        <f t="shared" si="218"/>
        <v>0</v>
      </c>
      <c r="G169" s="1243">
        <f t="shared" si="218"/>
        <v>0</v>
      </c>
      <c r="H169" s="1243">
        <f t="shared" si="218"/>
        <v>0</v>
      </c>
      <c r="I169" s="1243">
        <f t="shared" si="218"/>
        <v>0</v>
      </c>
      <c r="J169" s="1243">
        <f t="shared" si="218"/>
        <v>0</v>
      </c>
      <c r="K169" s="1248">
        <f t="shared" si="218"/>
        <v>0</v>
      </c>
      <c r="L169" s="4738">
        <f>+'11.3. ДА Базова година'!L129</f>
        <v>0</v>
      </c>
      <c r="M169" s="1247">
        <f t="shared" si="219"/>
        <v>0</v>
      </c>
      <c r="N169" s="1243">
        <f t="shared" si="219"/>
        <v>0</v>
      </c>
      <c r="O169" s="1243">
        <f t="shared" si="219"/>
        <v>0</v>
      </c>
      <c r="P169" s="1243">
        <f t="shared" si="219"/>
        <v>0</v>
      </c>
      <c r="Q169" s="1243">
        <f t="shared" si="219"/>
        <v>0</v>
      </c>
      <c r="R169" s="1248">
        <f t="shared" si="219"/>
        <v>0</v>
      </c>
      <c r="S169" s="4738">
        <f>+'11.3. ДА Базова година'!P129</f>
        <v>0</v>
      </c>
      <c r="T169" s="1247">
        <f t="shared" si="220"/>
        <v>0</v>
      </c>
      <c r="U169" s="1243">
        <f t="shared" si="220"/>
        <v>0</v>
      </c>
      <c r="V169" s="1243">
        <f t="shared" si="220"/>
        <v>0</v>
      </c>
      <c r="W169" s="1243">
        <f t="shared" si="220"/>
        <v>0</v>
      </c>
      <c r="X169" s="1243">
        <f t="shared" si="220"/>
        <v>0</v>
      </c>
      <c r="Y169" s="1248">
        <f t="shared" si="220"/>
        <v>0</v>
      </c>
      <c r="Z169" s="4738">
        <f>+'11.3. ДА Базова година'!T129</f>
        <v>0</v>
      </c>
      <c r="AA169" s="1247">
        <f t="shared" si="221"/>
        <v>0</v>
      </c>
      <c r="AB169" s="1243">
        <f t="shared" si="221"/>
        <v>0</v>
      </c>
      <c r="AC169" s="1243">
        <f t="shared" si="221"/>
        <v>0</v>
      </c>
      <c r="AD169" s="1243">
        <f t="shared" si="221"/>
        <v>0</v>
      </c>
      <c r="AE169" s="1243">
        <f t="shared" si="221"/>
        <v>0</v>
      </c>
      <c r="AF169" s="1248">
        <f t="shared" si="221"/>
        <v>0</v>
      </c>
      <c r="AG169" s="4738">
        <f>+'11.3. ДА Базова година'!X129</f>
        <v>0</v>
      </c>
      <c r="AH169" s="1247">
        <f t="shared" si="222"/>
        <v>0</v>
      </c>
      <c r="AI169" s="1243">
        <f t="shared" si="222"/>
        <v>0</v>
      </c>
      <c r="AJ169" s="1243">
        <f t="shared" si="222"/>
        <v>0</v>
      </c>
      <c r="AK169" s="1243">
        <f t="shared" si="222"/>
        <v>0</v>
      </c>
      <c r="AL169" s="1243">
        <f t="shared" si="222"/>
        <v>0</v>
      </c>
      <c r="AM169" s="1248">
        <f t="shared" si="222"/>
        <v>0</v>
      </c>
      <c r="AN169" s="2681"/>
      <c r="AO169" s="2719"/>
      <c r="AP169" s="4775"/>
      <c r="AQ169" s="4794">
        <f t="shared" si="174"/>
        <v>0</v>
      </c>
      <c r="AR169" s="4794">
        <f t="shared" si="175"/>
        <v>0</v>
      </c>
      <c r="AS169" s="4794">
        <f t="shared" si="176"/>
        <v>0</v>
      </c>
      <c r="AT169" s="4794">
        <f t="shared" si="177"/>
        <v>0</v>
      </c>
      <c r="AU169" s="4794">
        <f t="shared" si="178"/>
        <v>0</v>
      </c>
      <c r="AV169" s="4794">
        <f t="shared" si="179"/>
        <v>0</v>
      </c>
      <c r="AW169" s="4794">
        <f t="shared" si="180"/>
        <v>0</v>
      </c>
      <c r="AX169" s="4794">
        <f t="shared" si="181"/>
        <v>0</v>
      </c>
      <c r="AY169" s="4794">
        <f t="shared" si="182"/>
        <v>0</v>
      </c>
      <c r="AZ169" s="4794">
        <f t="shared" si="183"/>
        <v>0</v>
      </c>
      <c r="BA169" s="4794">
        <f t="shared" si="184"/>
        <v>0</v>
      </c>
      <c r="BB169" s="4794">
        <f t="shared" si="185"/>
        <v>0</v>
      </c>
      <c r="BC169" s="4794">
        <f t="shared" si="186"/>
        <v>0</v>
      </c>
      <c r="BD169" s="4794">
        <f t="shared" si="187"/>
        <v>0</v>
      </c>
      <c r="BE169" s="4794">
        <f t="shared" si="188"/>
        <v>0</v>
      </c>
      <c r="BF169" s="4794">
        <f t="shared" si="189"/>
        <v>0</v>
      </c>
      <c r="BG169" s="4794">
        <f t="shared" si="190"/>
        <v>0</v>
      </c>
      <c r="BH169" s="4794">
        <f t="shared" si="191"/>
        <v>0</v>
      </c>
      <c r="BI169" s="4794">
        <f t="shared" si="192"/>
        <v>0</v>
      </c>
      <c r="BJ169" s="4794">
        <f t="shared" si="193"/>
        <v>0</v>
      </c>
      <c r="BK169" s="4794">
        <f t="shared" si="194"/>
        <v>0</v>
      </c>
      <c r="BL169" s="4794">
        <f t="shared" si="195"/>
        <v>0</v>
      </c>
      <c r="BM169" s="4794">
        <f t="shared" si="196"/>
        <v>0</v>
      </c>
      <c r="BN169" s="4794">
        <f t="shared" si="197"/>
        <v>0</v>
      </c>
      <c r="BO169" s="4794">
        <f t="shared" si="198"/>
        <v>0</v>
      </c>
      <c r="BP169" s="4794">
        <f t="shared" si="199"/>
        <v>0</v>
      </c>
      <c r="BQ169" s="4794">
        <f t="shared" si="200"/>
        <v>0</v>
      </c>
      <c r="BR169" s="4794">
        <f t="shared" si="201"/>
        <v>0</v>
      </c>
      <c r="BS169" s="4794">
        <f t="shared" si="202"/>
        <v>0</v>
      </c>
      <c r="BT169" s="4794">
        <f t="shared" si="203"/>
        <v>0</v>
      </c>
      <c r="BU169" s="4794">
        <f t="shared" si="204"/>
        <v>0</v>
      </c>
      <c r="BV169" s="4794">
        <f t="shared" si="205"/>
        <v>0</v>
      </c>
      <c r="BW169" s="4794">
        <f t="shared" si="206"/>
        <v>0</v>
      </c>
      <c r="BX169" s="4794">
        <f t="shared" si="207"/>
        <v>0</v>
      </c>
      <c r="BY169" s="4794">
        <f t="shared" si="208"/>
        <v>0</v>
      </c>
    </row>
    <row r="170" spans="1:77" s="1344" customFormat="1" ht="24.75" thickBot="1">
      <c r="A170" s="2741">
        <v>19</v>
      </c>
      <c r="B170" s="2684">
        <v>215</v>
      </c>
      <c r="C170" s="2690">
        <v>0.2</v>
      </c>
      <c r="D170" s="2720" t="s">
        <v>679</v>
      </c>
      <c r="E170" s="4738">
        <f>+'11.3. ДА Базова година'!H130</f>
        <v>75</v>
      </c>
      <c r="F170" s="2811">
        <f t="shared" si="218"/>
        <v>76</v>
      </c>
      <c r="G170" s="2812">
        <f t="shared" si="218"/>
        <v>79</v>
      </c>
      <c r="H170" s="2812">
        <f t="shared" si="218"/>
        <v>84</v>
      </c>
      <c r="I170" s="2812">
        <f t="shared" si="218"/>
        <v>91</v>
      </c>
      <c r="J170" s="2812">
        <f t="shared" si="218"/>
        <v>100</v>
      </c>
      <c r="K170" s="2813">
        <f t="shared" si="218"/>
        <v>111</v>
      </c>
      <c r="L170" s="4738">
        <f>+'11.3. ДА Базова година'!L130</f>
        <v>0</v>
      </c>
      <c r="M170" s="2811">
        <f t="shared" si="219"/>
        <v>0</v>
      </c>
      <c r="N170" s="2812">
        <f t="shared" si="219"/>
        <v>0</v>
      </c>
      <c r="O170" s="2812">
        <f t="shared" si="219"/>
        <v>0</v>
      </c>
      <c r="P170" s="2812">
        <f t="shared" si="219"/>
        <v>0</v>
      </c>
      <c r="Q170" s="2812">
        <f t="shared" si="219"/>
        <v>0</v>
      </c>
      <c r="R170" s="2813">
        <f t="shared" si="219"/>
        <v>0</v>
      </c>
      <c r="S170" s="4738">
        <f>+'11.3. ДА Базова година'!P130</f>
        <v>0</v>
      </c>
      <c r="T170" s="2811">
        <f t="shared" si="220"/>
        <v>0</v>
      </c>
      <c r="U170" s="2812">
        <f t="shared" si="220"/>
        <v>0</v>
      </c>
      <c r="V170" s="2812">
        <f t="shared" si="220"/>
        <v>0</v>
      </c>
      <c r="W170" s="2812">
        <f t="shared" si="220"/>
        <v>0</v>
      </c>
      <c r="X170" s="2812">
        <f t="shared" si="220"/>
        <v>0</v>
      </c>
      <c r="Y170" s="2813">
        <f t="shared" si="220"/>
        <v>0</v>
      </c>
      <c r="Z170" s="4738">
        <f>+'11.3. ДА Базова година'!T130</f>
        <v>0</v>
      </c>
      <c r="AA170" s="2811">
        <f t="shared" si="221"/>
        <v>0</v>
      </c>
      <c r="AB170" s="2812">
        <f t="shared" si="221"/>
        <v>0</v>
      </c>
      <c r="AC170" s="2812">
        <f t="shared" si="221"/>
        <v>0</v>
      </c>
      <c r="AD170" s="2812">
        <f t="shared" si="221"/>
        <v>0</v>
      </c>
      <c r="AE170" s="2812">
        <f t="shared" si="221"/>
        <v>0</v>
      </c>
      <c r="AF170" s="2813">
        <f t="shared" si="221"/>
        <v>0</v>
      </c>
      <c r="AG170" s="4738">
        <f>+'11.3. ДА Базова година'!X130</f>
        <v>0</v>
      </c>
      <c r="AH170" s="2811">
        <f t="shared" si="222"/>
        <v>0</v>
      </c>
      <c r="AI170" s="2812">
        <f t="shared" si="222"/>
        <v>0</v>
      </c>
      <c r="AJ170" s="2812">
        <f t="shared" si="222"/>
        <v>0</v>
      </c>
      <c r="AK170" s="2812">
        <f t="shared" si="222"/>
        <v>0</v>
      </c>
      <c r="AL170" s="2812">
        <f t="shared" si="222"/>
        <v>0</v>
      </c>
      <c r="AM170" s="2813">
        <f t="shared" si="222"/>
        <v>0</v>
      </c>
      <c r="AN170" s="2681"/>
      <c r="AO170" s="2719"/>
      <c r="AP170" s="4775"/>
      <c r="AQ170" s="4794">
        <f t="shared" si="174"/>
        <v>38.346891089716387</v>
      </c>
      <c r="AR170" s="4794">
        <f t="shared" si="175"/>
        <v>38.858182970912608</v>
      </c>
      <c r="AS170" s="4794">
        <f t="shared" si="176"/>
        <v>40.392058614501259</v>
      </c>
      <c r="AT170" s="4794">
        <f t="shared" si="177"/>
        <v>42.948518020482354</v>
      </c>
      <c r="AU170" s="4794">
        <f t="shared" si="178"/>
        <v>46.527561188855884</v>
      </c>
      <c r="AV170" s="4794">
        <f t="shared" si="179"/>
        <v>51.129188119621851</v>
      </c>
      <c r="AW170" s="4794">
        <f t="shared" si="180"/>
        <v>56.753398812780254</v>
      </c>
      <c r="AX170" s="4794">
        <f t="shared" si="181"/>
        <v>0</v>
      </c>
      <c r="AY170" s="4794">
        <f t="shared" si="182"/>
        <v>0</v>
      </c>
      <c r="AZ170" s="4794">
        <f t="shared" si="183"/>
        <v>0</v>
      </c>
      <c r="BA170" s="4794">
        <f t="shared" si="184"/>
        <v>0</v>
      </c>
      <c r="BB170" s="4794">
        <f t="shared" si="185"/>
        <v>0</v>
      </c>
      <c r="BC170" s="4794">
        <f t="shared" si="186"/>
        <v>0</v>
      </c>
      <c r="BD170" s="4794">
        <f t="shared" si="187"/>
        <v>0</v>
      </c>
      <c r="BE170" s="4794">
        <f t="shared" si="188"/>
        <v>0</v>
      </c>
      <c r="BF170" s="4794">
        <f t="shared" si="189"/>
        <v>0</v>
      </c>
      <c r="BG170" s="4794">
        <f t="shared" si="190"/>
        <v>0</v>
      </c>
      <c r="BH170" s="4794">
        <f t="shared" si="191"/>
        <v>0</v>
      </c>
      <c r="BI170" s="4794">
        <f t="shared" si="192"/>
        <v>0</v>
      </c>
      <c r="BJ170" s="4794">
        <f t="shared" si="193"/>
        <v>0</v>
      </c>
      <c r="BK170" s="4794">
        <f t="shared" si="194"/>
        <v>0</v>
      </c>
      <c r="BL170" s="4794">
        <f t="shared" si="195"/>
        <v>0</v>
      </c>
      <c r="BM170" s="4794">
        <f t="shared" si="196"/>
        <v>0</v>
      </c>
      <c r="BN170" s="4794">
        <f t="shared" si="197"/>
        <v>0</v>
      </c>
      <c r="BO170" s="4794">
        <f t="shared" si="198"/>
        <v>0</v>
      </c>
      <c r="BP170" s="4794">
        <f t="shared" si="199"/>
        <v>0</v>
      </c>
      <c r="BQ170" s="4794">
        <f t="shared" si="200"/>
        <v>0</v>
      </c>
      <c r="BR170" s="4794">
        <f t="shared" si="201"/>
        <v>0</v>
      </c>
      <c r="BS170" s="4794">
        <f t="shared" si="202"/>
        <v>0</v>
      </c>
      <c r="BT170" s="4794">
        <f t="shared" si="203"/>
        <v>0</v>
      </c>
      <c r="BU170" s="4794">
        <f t="shared" si="204"/>
        <v>0</v>
      </c>
      <c r="BV170" s="4794">
        <f t="shared" si="205"/>
        <v>0</v>
      </c>
      <c r="BW170" s="4794">
        <f t="shared" si="206"/>
        <v>0</v>
      </c>
      <c r="BX170" s="4794">
        <f t="shared" si="207"/>
        <v>0</v>
      </c>
      <c r="BY170" s="4794">
        <f t="shared" si="208"/>
        <v>0</v>
      </c>
    </row>
    <row r="171" spans="1:77" s="1344" customFormat="1" ht="13.5" thickBot="1">
      <c r="A171" s="3951" t="s">
        <v>221</v>
      </c>
      <c r="B171" s="2707"/>
      <c r="C171" s="2707"/>
      <c r="D171" s="2743" t="s">
        <v>222</v>
      </c>
      <c r="E171" s="1265">
        <f t="shared" ref="E171" si="223">SUM(E172:E190)</f>
        <v>21417</v>
      </c>
      <c r="F171" s="2807">
        <f t="shared" ref="F171:AM171" si="224">SUM(F172:F190)</f>
        <v>25368.528624632687</v>
      </c>
      <c r="G171" s="1166">
        <f t="shared" si="224"/>
        <v>28175.812109481169</v>
      </c>
      <c r="H171" s="1166">
        <f t="shared" si="224"/>
        <v>30328.154393966463</v>
      </c>
      <c r="I171" s="1167">
        <f t="shared" si="224"/>
        <v>32339.839703433026</v>
      </c>
      <c r="J171" s="1166">
        <f t="shared" si="224"/>
        <v>34202.388509919212</v>
      </c>
      <c r="K171" s="1166">
        <f t="shared" si="224"/>
        <v>36125.638360036042</v>
      </c>
      <c r="L171" s="1265">
        <f t="shared" si="224"/>
        <v>1436</v>
      </c>
      <c r="M171" s="2807">
        <f t="shared" si="224"/>
        <v>1559.0630152037816</v>
      </c>
      <c r="N171" s="1166">
        <f t="shared" si="224"/>
        <v>1712.3540758098425</v>
      </c>
      <c r="O171" s="1166">
        <f t="shared" si="224"/>
        <v>1862.0873891089998</v>
      </c>
      <c r="P171" s="1167">
        <f t="shared" si="224"/>
        <v>2008.2599013540796</v>
      </c>
      <c r="Q171" s="1166">
        <f t="shared" si="224"/>
        <v>2141.0282130783125</v>
      </c>
      <c r="R171" s="1166">
        <f t="shared" si="224"/>
        <v>2270.4853464914318</v>
      </c>
      <c r="S171" s="1265">
        <f t="shared" si="224"/>
        <v>877</v>
      </c>
      <c r="T171" s="2807">
        <f t="shared" si="224"/>
        <v>971.24336016353641</v>
      </c>
      <c r="U171" s="1166">
        <f t="shared" si="224"/>
        <v>1054.178814708991</v>
      </c>
      <c r="V171" s="1166">
        <f t="shared" si="224"/>
        <v>1132.313216924535</v>
      </c>
      <c r="W171" s="1167">
        <f t="shared" si="224"/>
        <v>1205.7153952128956</v>
      </c>
      <c r="X171" s="1166">
        <f t="shared" si="224"/>
        <v>1274.4082770024747</v>
      </c>
      <c r="Y171" s="2808">
        <f t="shared" si="224"/>
        <v>1338.3612934725265</v>
      </c>
      <c r="Z171" s="1265">
        <f t="shared" si="224"/>
        <v>0</v>
      </c>
      <c r="AA171" s="2807">
        <f t="shared" si="224"/>
        <v>0</v>
      </c>
      <c r="AB171" s="1166">
        <f t="shared" si="224"/>
        <v>0</v>
      </c>
      <c r="AC171" s="1166">
        <f t="shared" si="224"/>
        <v>0</v>
      </c>
      <c r="AD171" s="1167">
        <f t="shared" si="224"/>
        <v>0</v>
      </c>
      <c r="AE171" s="1166">
        <f t="shared" si="224"/>
        <v>0</v>
      </c>
      <c r="AF171" s="2808">
        <f t="shared" si="224"/>
        <v>0</v>
      </c>
      <c r="AG171" s="1265">
        <f t="shared" si="224"/>
        <v>0</v>
      </c>
      <c r="AH171" s="2807">
        <f t="shared" si="224"/>
        <v>0</v>
      </c>
      <c r="AI171" s="1166">
        <f t="shared" si="224"/>
        <v>0</v>
      </c>
      <c r="AJ171" s="1166">
        <f t="shared" si="224"/>
        <v>0</v>
      </c>
      <c r="AK171" s="1167">
        <f t="shared" si="224"/>
        <v>0</v>
      </c>
      <c r="AL171" s="1166">
        <f t="shared" si="224"/>
        <v>0</v>
      </c>
      <c r="AM171" s="2808">
        <f t="shared" si="224"/>
        <v>0</v>
      </c>
      <c r="AN171" s="2676"/>
      <c r="AO171" s="2719"/>
      <c r="AP171" s="4775"/>
      <c r="AQ171" s="4794">
        <f t="shared" si="174"/>
        <v>10950.338219579411</v>
      </c>
      <c r="AR171" s="4794">
        <f t="shared" si="175"/>
        <v>12970.722723668563</v>
      </c>
      <c r="AS171" s="4794">
        <f t="shared" si="176"/>
        <v>14406.06397768782</v>
      </c>
      <c r="AT171" s="4794">
        <f t="shared" si="177"/>
        <v>15506.539113300472</v>
      </c>
      <c r="AU171" s="4794">
        <f t="shared" si="178"/>
        <v>16535.097479552431</v>
      </c>
      <c r="AV171" s="4794">
        <f t="shared" si="179"/>
        <v>17487.403562640524</v>
      </c>
      <c r="AW171" s="4794">
        <f t="shared" si="180"/>
        <v>18470.745596517103</v>
      </c>
      <c r="AX171" s="4794">
        <f t="shared" si="181"/>
        <v>734.2151413977698</v>
      </c>
      <c r="AY171" s="4794">
        <f t="shared" si="182"/>
        <v>797.13626194699009</v>
      </c>
      <c r="AZ171" s="4794">
        <f t="shared" si="183"/>
        <v>875.51273669482646</v>
      </c>
      <c r="BA171" s="4794">
        <f t="shared" si="184"/>
        <v>952.07016412929545</v>
      </c>
      <c r="BB171" s="4794">
        <f t="shared" si="185"/>
        <v>1026.8069828942596</v>
      </c>
      <c r="BC171" s="4794">
        <f t="shared" si="186"/>
        <v>1094.6903427589887</v>
      </c>
      <c r="BD171" s="4794">
        <f t="shared" si="187"/>
        <v>1160.880724036052</v>
      </c>
      <c r="BE171" s="4794">
        <f t="shared" si="188"/>
        <v>448.4029798090836</v>
      </c>
      <c r="BF171" s="4794">
        <f t="shared" si="189"/>
        <v>496.58884471735092</v>
      </c>
      <c r="BG171" s="4794">
        <f t="shared" si="190"/>
        <v>538.99306928975989</v>
      </c>
      <c r="BH171" s="4794">
        <f t="shared" si="191"/>
        <v>578.94255478468733</v>
      </c>
      <c r="BI171" s="4794">
        <f t="shared" si="192"/>
        <v>616.47249260564342</v>
      </c>
      <c r="BJ171" s="4794">
        <f t="shared" si="193"/>
        <v>651.59460536062682</v>
      </c>
      <c r="BK171" s="4794">
        <f t="shared" si="194"/>
        <v>684.29326345977233</v>
      </c>
      <c r="BL171" s="4794">
        <f t="shared" si="195"/>
        <v>0</v>
      </c>
      <c r="BM171" s="4794">
        <f t="shared" si="196"/>
        <v>0</v>
      </c>
      <c r="BN171" s="4794">
        <f t="shared" si="197"/>
        <v>0</v>
      </c>
      <c r="BO171" s="4794">
        <f t="shared" si="198"/>
        <v>0</v>
      </c>
      <c r="BP171" s="4794">
        <f t="shared" si="199"/>
        <v>0</v>
      </c>
      <c r="BQ171" s="4794">
        <f t="shared" si="200"/>
        <v>0</v>
      </c>
      <c r="BR171" s="4794">
        <f t="shared" si="201"/>
        <v>0</v>
      </c>
      <c r="BS171" s="4794">
        <f t="shared" si="202"/>
        <v>0</v>
      </c>
      <c r="BT171" s="4794">
        <f t="shared" si="203"/>
        <v>0</v>
      </c>
      <c r="BU171" s="4794">
        <f t="shared" si="204"/>
        <v>0</v>
      </c>
      <c r="BV171" s="4794">
        <f t="shared" si="205"/>
        <v>0</v>
      </c>
      <c r="BW171" s="4794">
        <f t="shared" si="206"/>
        <v>0</v>
      </c>
      <c r="BX171" s="4794">
        <f t="shared" si="207"/>
        <v>0</v>
      </c>
      <c r="BY171" s="4794">
        <f t="shared" si="208"/>
        <v>0</v>
      </c>
    </row>
    <row r="172" spans="1:77" s="1344" customFormat="1">
      <c r="A172" s="2683">
        <v>1</v>
      </c>
      <c r="B172" s="2677">
        <v>20102</v>
      </c>
      <c r="C172" s="2701">
        <v>0</v>
      </c>
      <c r="D172" s="2731" t="s">
        <v>558</v>
      </c>
      <c r="E172" s="2814">
        <f>E112-E152</f>
        <v>0</v>
      </c>
      <c r="F172" s="2780">
        <f t="shared" ref="F172:L187" si="225">F112-F152</f>
        <v>0</v>
      </c>
      <c r="G172" s="2778">
        <f t="shared" si="225"/>
        <v>0</v>
      </c>
      <c r="H172" s="2778">
        <f t="shared" si="225"/>
        <v>0</v>
      </c>
      <c r="I172" s="2778">
        <f t="shared" si="225"/>
        <v>0</v>
      </c>
      <c r="J172" s="2778">
        <f t="shared" si="225"/>
        <v>0</v>
      </c>
      <c r="K172" s="2779">
        <f t="shared" si="225"/>
        <v>0</v>
      </c>
      <c r="L172" s="2814">
        <f>L112-L152</f>
        <v>0</v>
      </c>
      <c r="M172" s="2780">
        <f t="shared" ref="M172:S187" si="226">M112-M152</f>
        <v>0</v>
      </c>
      <c r="N172" s="2778">
        <f t="shared" si="226"/>
        <v>0</v>
      </c>
      <c r="O172" s="2778">
        <f t="shared" si="226"/>
        <v>0</v>
      </c>
      <c r="P172" s="2778">
        <f t="shared" si="226"/>
        <v>0</v>
      </c>
      <c r="Q172" s="2778">
        <f t="shared" si="226"/>
        <v>0</v>
      </c>
      <c r="R172" s="2779">
        <f t="shared" si="226"/>
        <v>0</v>
      </c>
      <c r="S172" s="2814">
        <f>S112-S152</f>
        <v>0</v>
      </c>
      <c r="T172" s="2780">
        <f t="shared" ref="T172:Z187" si="227">T112-T152</f>
        <v>0</v>
      </c>
      <c r="U172" s="2778">
        <f t="shared" si="227"/>
        <v>0</v>
      </c>
      <c r="V172" s="2778">
        <f t="shared" si="227"/>
        <v>0</v>
      </c>
      <c r="W172" s="2778">
        <f t="shared" si="227"/>
        <v>0</v>
      </c>
      <c r="X172" s="2778">
        <f t="shared" si="227"/>
        <v>0</v>
      </c>
      <c r="Y172" s="2779">
        <f t="shared" si="227"/>
        <v>0</v>
      </c>
      <c r="Z172" s="2814">
        <f>Z112-Z152</f>
        <v>0</v>
      </c>
      <c r="AA172" s="2780">
        <f t="shared" ref="AA172:AM187" si="228">AA112-AA152</f>
        <v>0</v>
      </c>
      <c r="AB172" s="2778">
        <f t="shared" si="228"/>
        <v>0</v>
      </c>
      <c r="AC172" s="2778">
        <f t="shared" si="228"/>
        <v>0</v>
      </c>
      <c r="AD172" s="2778">
        <f t="shared" si="228"/>
        <v>0</v>
      </c>
      <c r="AE172" s="2778">
        <f t="shared" si="228"/>
        <v>0</v>
      </c>
      <c r="AF172" s="2779">
        <f t="shared" si="228"/>
        <v>0</v>
      </c>
      <c r="AG172" s="2814">
        <f>AG112-AG152</f>
        <v>0</v>
      </c>
      <c r="AH172" s="2780">
        <f t="shared" ref="AH172:AM173" si="229">AH112-AH152</f>
        <v>0</v>
      </c>
      <c r="AI172" s="2778">
        <f t="shared" si="229"/>
        <v>0</v>
      </c>
      <c r="AJ172" s="2778">
        <f t="shared" si="229"/>
        <v>0</v>
      </c>
      <c r="AK172" s="2778">
        <f t="shared" si="229"/>
        <v>0</v>
      </c>
      <c r="AL172" s="2778">
        <f t="shared" si="229"/>
        <v>0</v>
      </c>
      <c r="AM172" s="2779">
        <f t="shared" si="229"/>
        <v>0</v>
      </c>
      <c r="AN172" s="2681"/>
      <c r="AO172" s="2719"/>
      <c r="AP172" s="4775"/>
      <c r="AQ172" s="4794">
        <f t="shared" si="174"/>
        <v>0</v>
      </c>
      <c r="AR172" s="4794">
        <f t="shared" si="175"/>
        <v>0</v>
      </c>
      <c r="AS172" s="4794">
        <f t="shared" si="176"/>
        <v>0</v>
      </c>
      <c r="AT172" s="4794">
        <f t="shared" si="177"/>
        <v>0</v>
      </c>
      <c r="AU172" s="4794">
        <f t="shared" si="178"/>
        <v>0</v>
      </c>
      <c r="AV172" s="4794">
        <f t="shared" si="179"/>
        <v>0</v>
      </c>
      <c r="AW172" s="4794">
        <f t="shared" si="180"/>
        <v>0</v>
      </c>
      <c r="AX172" s="4794">
        <f t="shared" si="181"/>
        <v>0</v>
      </c>
      <c r="AY172" s="4794">
        <f t="shared" si="182"/>
        <v>0</v>
      </c>
      <c r="AZ172" s="4794">
        <f t="shared" si="183"/>
        <v>0</v>
      </c>
      <c r="BA172" s="4794">
        <f t="shared" si="184"/>
        <v>0</v>
      </c>
      <c r="BB172" s="4794">
        <f t="shared" si="185"/>
        <v>0</v>
      </c>
      <c r="BC172" s="4794">
        <f t="shared" si="186"/>
        <v>0</v>
      </c>
      <c r="BD172" s="4794">
        <f t="shared" si="187"/>
        <v>0</v>
      </c>
      <c r="BE172" s="4794">
        <f t="shared" si="188"/>
        <v>0</v>
      </c>
      <c r="BF172" s="4794">
        <f t="shared" si="189"/>
        <v>0</v>
      </c>
      <c r="BG172" s="4794">
        <f t="shared" si="190"/>
        <v>0</v>
      </c>
      <c r="BH172" s="4794">
        <f t="shared" si="191"/>
        <v>0</v>
      </c>
      <c r="BI172" s="4794">
        <f t="shared" si="192"/>
        <v>0</v>
      </c>
      <c r="BJ172" s="4794">
        <f t="shared" si="193"/>
        <v>0</v>
      </c>
      <c r="BK172" s="4794">
        <f t="shared" si="194"/>
        <v>0</v>
      </c>
      <c r="BL172" s="4794">
        <f t="shared" si="195"/>
        <v>0</v>
      </c>
      <c r="BM172" s="4794">
        <f t="shared" si="196"/>
        <v>0</v>
      </c>
      <c r="BN172" s="4794">
        <f t="shared" si="197"/>
        <v>0</v>
      </c>
      <c r="BO172" s="4794">
        <f t="shared" si="198"/>
        <v>0</v>
      </c>
      <c r="BP172" s="4794">
        <f t="shared" si="199"/>
        <v>0</v>
      </c>
      <c r="BQ172" s="4794">
        <f t="shared" si="200"/>
        <v>0</v>
      </c>
      <c r="BR172" s="4794">
        <f t="shared" si="201"/>
        <v>0</v>
      </c>
      <c r="BS172" s="4794">
        <f t="shared" si="202"/>
        <v>0</v>
      </c>
      <c r="BT172" s="4794">
        <f t="shared" si="203"/>
        <v>0</v>
      </c>
      <c r="BU172" s="4794">
        <f t="shared" si="204"/>
        <v>0</v>
      </c>
      <c r="BV172" s="4794">
        <f t="shared" si="205"/>
        <v>0</v>
      </c>
      <c r="BW172" s="4794">
        <f t="shared" si="206"/>
        <v>0</v>
      </c>
      <c r="BX172" s="4794">
        <f t="shared" si="207"/>
        <v>0</v>
      </c>
      <c r="BY172" s="4794">
        <f t="shared" si="208"/>
        <v>0</v>
      </c>
    </row>
    <row r="173" spans="1:77" s="1344" customFormat="1">
      <c r="A173" s="2683">
        <v>2</v>
      </c>
      <c r="B173" s="2684">
        <v>20202</v>
      </c>
      <c r="C173" s="2685">
        <v>0.03</v>
      </c>
      <c r="D173" s="2739" t="s">
        <v>426</v>
      </c>
      <c r="E173" s="2815">
        <f>E113-E153</f>
        <v>104</v>
      </c>
      <c r="F173" s="1247">
        <f t="shared" si="225"/>
        <v>114.77500000000001</v>
      </c>
      <c r="G173" s="1243">
        <f t="shared" si="225"/>
        <v>130.02500000000001</v>
      </c>
      <c r="H173" s="1243">
        <f t="shared" si="225"/>
        <v>144.67500000000001</v>
      </c>
      <c r="I173" s="1243">
        <f t="shared" si="225"/>
        <v>158.72499999999999</v>
      </c>
      <c r="J173" s="1243">
        <f t="shared" si="225"/>
        <v>172.17500000000001</v>
      </c>
      <c r="K173" s="1248">
        <f t="shared" si="225"/>
        <v>185.02500000000001</v>
      </c>
      <c r="L173" s="2815">
        <f>L113-L153</f>
        <v>0</v>
      </c>
      <c r="M173" s="1247">
        <f t="shared" si="226"/>
        <v>0</v>
      </c>
      <c r="N173" s="1243">
        <f t="shared" si="226"/>
        <v>0</v>
      </c>
      <c r="O173" s="1243">
        <f t="shared" si="226"/>
        <v>0</v>
      </c>
      <c r="P173" s="1243">
        <f t="shared" si="226"/>
        <v>0</v>
      </c>
      <c r="Q173" s="1243">
        <f t="shared" si="226"/>
        <v>0</v>
      </c>
      <c r="R173" s="1248">
        <f t="shared" si="226"/>
        <v>0</v>
      </c>
      <c r="S173" s="2815">
        <f>S113-S153</f>
        <v>0</v>
      </c>
      <c r="T173" s="1247">
        <f t="shared" si="227"/>
        <v>0</v>
      </c>
      <c r="U173" s="1243">
        <f t="shared" si="227"/>
        <v>0</v>
      </c>
      <c r="V173" s="1243">
        <f t="shared" si="227"/>
        <v>0</v>
      </c>
      <c r="W173" s="1243">
        <f t="shared" si="227"/>
        <v>0</v>
      </c>
      <c r="X173" s="1243">
        <f t="shared" si="227"/>
        <v>0</v>
      </c>
      <c r="Y173" s="1248">
        <f t="shared" si="227"/>
        <v>0</v>
      </c>
      <c r="Z173" s="2815">
        <f>Z113-Z153</f>
        <v>0</v>
      </c>
      <c r="AA173" s="1247">
        <f t="shared" si="228"/>
        <v>0</v>
      </c>
      <c r="AB173" s="1243">
        <f t="shared" si="228"/>
        <v>0</v>
      </c>
      <c r="AC173" s="1243">
        <f t="shared" si="228"/>
        <v>0</v>
      </c>
      <c r="AD173" s="1243">
        <f t="shared" si="228"/>
        <v>0</v>
      </c>
      <c r="AE173" s="1243">
        <f t="shared" si="228"/>
        <v>0</v>
      </c>
      <c r="AF173" s="1248">
        <f t="shared" si="228"/>
        <v>0</v>
      </c>
      <c r="AG173" s="2815">
        <f>AG113-AG153</f>
        <v>0</v>
      </c>
      <c r="AH173" s="1247">
        <f t="shared" si="229"/>
        <v>0</v>
      </c>
      <c r="AI173" s="1243">
        <f t="shared" si="229"/>
        <v>0</v>
      </c>
      <c r="AJ173" s="1243">
        <f t="shared" si="229"/>
        <v>0</v>
      </c>
      <c r="AK173" s="1243">
        <f t="shared" si="229"/>
        <v>0</v>
      </c>
      <c r="AL173" s="1243">
        <f t="shared" si="229"/>
        <v>0</v>
      </c>
      <c r="AM173" s="1248">
        <f t="shared" si="229"/>
        <v>0</v>
      </c>
      <c r="AN173" s="2681"/>
      <c r="AO173" s="2719"/>
      <c r="AP173" s="4775"/>
      <c r="AQ173" s="4794">
        <f t="shared" si="174"/>
        <v>53.174355644406724</v>
      </c>
      <c r="AR173" s="4794">
        <f t="shared" si="175"/>
        <v>58.683525664295978</v>
      </c>
      <c r="AS173" s="4794">
        <f t="shared" si="176"/>
        <v>66.480726852538311</v>
      </c>
      <c r="AT173" s="4794">
        <f t="shared" si="177"/>
        <v>73.971152912062919</v>
      </c>
      <c r="AU173" s="4794">
        <f t="shared" si="178"/>
        <v>81.154803842869782</v>
      </c>
      <c r="AV173" s="4794">
        <f t="shared" si="179"/>
        <v>88.031679644958928</v>
      </c>
      <c r="AW173" s="4794">
        <f t="shared" si="180"/>
        <v>94.601780318330327</v>
      </c>
      <c r="AX173" s="4794">
        <f t="shared" si="181"/>
        <v>0</v>
      </c>
      <c r="AY173" s="4794">
        <f t="shared" si="182"/>
        <v>0</v>
      </c>
      <c r="AZ173" s="4794">
        <f t="shared" si="183"/>
        <v>0</v>
      </c>
      <c r="BA173" s="4794">
        <f t="shared" si="184"/>
        <v>0</v>
      </c>
      <c r="BB173" s="4794">
        <f t="shared" si="185"/>
        <v>0</v>
      </c>
      <c r="BC173" s="4794">
        <f t="shared" si="186"/>
        <v>0</v>
      </c>
      <c r="BD173" s="4794">
        <f t="shared" si="187"/>
        <v>0</v>
      </c>
      <c r="BE173" s="4794">
        <f t="shared" si="188"/>
        <v>0</v>
      </c>
      <c r="BF173" s="4794">
        <f t="shared" si="189"/>
        <v>0</v>
      </c>
      <c r="BG173" s="4794">
        <f t="shared" si="190"/>
        <v>0</v>
      </c>
      <c r="BH173" s="4794">
        <f t="shared" si="191"/>
        <v>0</v>
      </c>
      <c r="BI173" s="4794">
        <f t="shared" si="192"/>
        <v>0</v>
      </c>
      <c r="BJ173" s="4794">
        <f t="shared" si="193"/>
        <v>0</v>
      </c>
      <c r="BK173" s="4794">
        <f t="shared" si="194"/>
        <v>0</v>
      </c>
      <c r="BL173" s="4794">
        <f t="shared" si="195"/>
        <v>0</v>
      </c>
      <c r="BM173" s="4794">
        <f t="shared" si="196"/>
        <v>0</v>
      </c>
      <c r="BN173" s="4794">
        <f t="shared" si="197"/>
        <v>0</v>
      </c>
      <c r="BO173" s="4794">
        <f t="shared" si="198"/>
        <v>0</v>
      </c>
      <c r="BP173" s="4794">
        <f t="shared" si="199"/>
        <v>0</v>
      </c>
      <c r="BQ173" s="4794">
        <f t="shared" si="200"/>
        <v>0</v>
      </c>
      <c r="BR173" s="4794">
        <f t="shared" si="201"/>
        <v>0</v>
      </c>
      <c r="BS173" s="4794">
        <f t="shared" si="202"/>
        <v>0</v>
      </c>
      <c r="BT173" s="4794">
        <f t="shared" si="203"/>
        <v>0</v>
      </c>
      <c r="BU173" s="4794">
        <f t="shared" si="204"/>
        <v>0</v>
      </c>
      <c r="BV173" s="4794">
        <f t="shared" si="205"/>
        <v>0</v>
      </c>
      <c r="BW173" s="4794">
        <f t="shared" si="206"/>
        <v>0</v>
      </c>
      <c r="BX173" s="4794">
        <f t="shared" si="207"/>
        <v>0</v>
      </c>
      <c r="BY173" s="4794">
        <f t="shared" si="208"/>
        <v>0</v>
      </c>
    </row>
    <row r="174" spans="1:77" s="1344" customFormat="1">
      <c r="A174" s="2683">
        <v>3</v>
      </c>
      <c r="B174" s="2684">
        <v>2030401</v>
      </c>
      <c r="C174" s="2690">
        <v>0.1</v>
      </c>
      <c r="D174" s="2720" t="s">
        <v>1031</v>
      </c>
      <c r="E174" s="2815">
        <f t="shared" ref="E174:E190" si="230">E114-E154</f>
        <v>222</v>
      </c>
      <c r="F174" s="1247">
        <f t="shared" si="225"/>
        <v>219</v>
      </c>
      <c r="G174" s="1243">
        <f t="shared" si="225"/>
        <v>216</v>
      </c>
      <c r="H174" s="1243">
        <f t="shared" si="225"/>
        <v>213</v>
      </c>
      <c r="I174" s="1243">
        <f t="shared" si="225"/>
        <v>210</v>
      </c>
      <c r="J174" s="1243">
        <f t="shared" si="225"/>
        <v>207</v>
      </c>
      <c r="K174" s="1248">
        <f t="shared" si="225"/>
        <v>204</v>
      </c>
      <c r="L174" s="2815">
        <f t="shared" si="225"/>
        <v>0</v>
      </c>
      <c r="M174" s="1247">
        <f t="shared" si="226"/>
        <v>0</v>
      </c>
      <c r="N174" s="1243">
        <f t="shared" si="226"/>
        <v>0</v>
      </c>
      <c r="O174" s="1243">
        <f t="shared" si="226"/>
        <v>0</v>
      </c>
      <c r="P174" s="1243">
        <f t="shared" si="226"/>
        <v>0</v>
      </c>
      <c r="Q174" s="1243">
        <f t="shared" si="226"/>
        <v>0</v>
      </c>
      <c r="R174" s="1248">
        <f t="shared" si="226"/>
        <v>0</v>
      </c>
      <c r="S174" s="2815">
        <f t="shared" si="226"/>
        <v>0</v>
      </c>
      <c r="T174" s="1247">
        <f t="shared" si="227"/>
        <v>0</v>
      </c>
      <c r="U174" s="1243">
        <f t="shared" si="227"/>
        <v>0</v>
      </c>
      <c r="V174" s="1243">
        <f t="shared" si="227"/>
        <v>0</v>
      </c>
      <c r="W174" s="1243">
        <f t="shared" si="227"/>
        <v>0</v>
      </c>
      <c r="X174" s="1243">
        <f t="shared" si="227"/>
        <v>0</v>
      </c>
      <c r="Y174" s="1248">
        <f t="shared" si="227"/>
        <v>0</v>
      </c>
      <c r="Z174" s="2815">
        <f t="shared" si="227"/>
        <v>0</v>
      </c>
      <c r="AA174" s="1247">
        <f t="shared" si="228"/>
        <v>0</v>
      </c>
      <c r="AB174" s="1243">
        <f t="shared" si="228"/>
        <v>0</v>
      </c>
      <c r="AC174" s="1243">
        <f t="shared" si="228"/>
        <v>0</v>
      </c>
      <c r="AD174" s="1243">
        <f t="shared" si="228"/>
        <v>0</v>
      </c>
      <c r="AE174" s="1243">
        <f t="shared" si="228"/>
        <v>0</v>
      </c>
      <c r="AF174" s="1248">
        <f t="shared" si="228"/>
        <v>0</v>
      </c>
      <c r="AG174" s="2815">
        <f t="shared" si="228"/>
        <v>0</v>
      </c>
      <c r="AH174" s="1247">
        <f t="shared" si="228"/>
        <v>0</v>
      </c>
      <c r="AI174" s="1243">
        <f t="shared" si="228"/>
        <v>0</v>
      </c>
      <c r="AJ174" s="1243">
        <f t="shared" si="228"/>
        <v>0</v>
      </c>
      <c r="AK174" s="1243">
        <f t="shared" si="228"/>
        <v>0</v>
      </c>
      <c r="AL174" s="1243">
        <f t="shared" si="228"/>
        <v>0</v>
      </c>
      <c r="AM174" s="1248">
        <f t="shared" si="228"/>
        <v>0</v>
      </c>
      <c r="AN174" s="2681"/>
      <c r="AO174" s="2719"/>
      <c r="AP174" s="4775"/>
      <c r="AQ174" s="4794">
        <f t="shared" si="174"/>
        <v>113.50679762556051</v>
      </c>
      <c r="AR174" s="4794">
        <f t="shared" si="175"/>
        <v>111.97292198197185</v>
      </c>
      <c r="AS174" s="4794">
        <f t="shared" si="176"/>
        <v>110.43904633838319</v>
      </c>
      <c r="AT174" s="4794">
        <f t="shared" si="177"/>
        <v>108.90517069479453</v>
      </c>
      <c r="AU174" s="4794">
        <f t="shared" si="178"/>
        <v>107.37129505120589</v>
      </c>
      <c r="AV174" s="4794">
        <f t="shared" si="179"/>
        <v>105.83741940761723</v>
      </c>
      <c r="AW174" s="4794">
        <f t="shared" si="180"/>
        <v>104.30354376402857</v>
      </c>
      <c r="AX174" s="4794">
        <f t="shared" si="181"/>
        <v>0</v>
      </c>
      <c r="AY174" s="4794">
        <f t="shared" si="182"/>
        <v>0</v>
      </c>
      <c r="AZ174" s="4794">
        <f t="shared" si="183"/>
        <v>0</v>
      </c>
      <c r="BA174" s="4794">
        <f t="shared" si="184"/>
        <v>0</v>
      </c>
      <c r="BB174" s="4794">
        <f t="shared" si="185"/>
        <v>0</v>
      </c>
      <c r="BC174" s="4794">
        <f t="shared" si="186"/>
        <v>0</v>
      </c>
      <c r="BD174" s="4794">
        <f t="shared" si="187"/>
        <v>0</v>
      </c>
      <c r="BE174" s="4794">
        <f t="shared" si="188"/>
        <v>0</v>
      </c>
      <c r="BF174" s="4794">
        <f t="shared" si="189"/>
        <v>0</v>
      </c>
      <c r="BG174" s="4794">
        <f t="shared" si="190"/>
        <v>0</v>
      </c>
      <c r="BH174" s="4794">
        <f t="shared" si="191"/>
        <v>0</v>
      </c>
      <c r="BI174" s="4794">
        <f t="shared" si="192"/>
        <v>0</v>
      </c>
      <c r="BJ174" s="4794">
        <f t="shared" si="193"/>
        <v>0</v>
      </c>
      <c r="BK174" s="4794">
        <f t="shared" si="194"/>
        <v>0</v>
      </c>
      <c r="BL174" s="4794">
        <f t="shared" si="195"/>
        <v>0</v>
      </c>
      <c r="BM174" s="4794">
        <f t="shared" si="196"/>
        <v>0</v>
      </c>
      <c r="BN174" s="4794">
        <f t="shared" si="197"/>
        <v>0</v>
      </c>
      <c r="BO174" s="4794">
        <f t="shared" si="198"/>
        <v>0</v>
      </c>
      <c r="BP174" s="4794">
        <f t="shared" si="199"/>
        <v>0</v>
      </c>
      <c r="BQ174" s="4794">
        <f t="shared" si="200"/>
        <v>0</v>
      </c>
      <c r="BR174" s="4794">
        <f t="shared" si="201"/>
        <v>0</v>
      </c>
      <c r="BS174" s="4794">
        <f t="shared" si="202"/>
        <v>0</v>
      </c>
      <c r="BT174" s="4794">
        <f t="shared" si="203"/>
        <v>0</v>
      </c>
      <c r="BU174" s="4794">
        <f t="shared" si="204"/>
        <v>0</v>
      </c>
      <c r="BV174" s="4794">
        <f t="shared" si="205"/>
        <v>0</v>
      </c>
      <c r="BW174" s="4794">
        <f t="shared" si="206"/>
        <v>0</v>
      </c>
      <c r="BX174" s="4794">
        <f t="shared" si="207"/>
        <v>0</v>
      </c>
      <c r="BY174" s="4794">
        <f t="shared" si="208"/>
        <v>0</v>
      </c>
    </row>
    <row r="175" spans="1:77" s="1344" customFormat="1">
      <c r="A175" s="2683">
        <v>4</v>
      </c>
      <c r="B175" s="2684">
        <v>2030402</v>
      </c>
      <c r="C175" s="2690">
        <v>0.1</v>
      </c>
      <c r="D175" s="2720" t="s">
        <v>429</v>
      </c>
      <c r="E175" s="2815">
        <f t="shared" si="230"/>
        <v>0</v>
      </c>
      <c r="F175" s="1247">
        <f t="shared" si="225"/>
        <v>0</v>
      </c>
      <c r="G175" s="1243">
        <f t="shared" si="225"/>
        <v>0</v>
      </c>
      <c r="H175" s="1243">
        <f t="shared" si="225"/>
        <v>0</v>
      </c>
      <c r="I175" s="1243">
        <f t="shared" si="225"/>
        <v>0</v>
      </c>
      <c r="J175" s="1243">
        <f t="shared" si="225"/>
        <v>0</v>
      </c>
      <c r="K175" s="1248">
        <f t="shared" si="225"/>
        <v>0</v>
      </c>
      <c r="L175" s="2815">
        <f t="shared" si="225"/>
        <v>0</v>
      </c>
      <c r="M175" s="1247">
        <f t="shared" si="226"/>
        <v>0</v>
      </c>
      <c r="N175" s="1243">
        <f t="shared" si="226"/>
        <v>0</v>
      </c>
      <c r="O175" s="1243">
        <f t="shared" si="226"/>
        <v>0</v>
      </c>
      <c r="P175" s="1243">
        <f t="shared" si="226"/>
        <v>0</v>
      </c>
      <c r="Q175" s="1243">
        <f t="shared" si="226"/>
        <v>0</v>
      </c>
      <c r="R175" s="1248">
        <f t="shared" si="226"/>
        <v>0</v>
      </c>
      <c r="S175" s="2815">
        <f t="shared" si="226"/>
        <v>0</v>
      </c>
      <c r="T175" s="1247">
        <f t="shared" si="227"/>
        <v>0</v>
      </c>
      <c r="U175" s="1243">
        <f t="shared" si="227"/>
        <v>0</v>
      </c>
      <c r="V175" s="1243">
        <f t="shared" si="227"/>
        <v>0</v>
      </c>
      <c r="W175" s="1243">
        <f t="shared" si="227"/>
        <v>0</v>
      </c>
      <c r="X175" s="1243">
        <f t="shared" si="227"/>
        <v>0</v>
      </c>
      <c r="Y175" s="1248">
        <f t="shared" si="227"/>
        <v>0</v>
      </c>
      <c r="Z175" s="2815">
        <f t="shared" si="227"/>
        <v>0</v>
      </c>
      <c r="AA175" s="1247">
        <f t="shared" si="228"/>
        <v>0</v>
      </c>
      <c r="AB175" s="1243">
        <f t="shared" si="228"/>
        <v>0</v>
      </c>
      <c r="AC175" s="1243">
        <f t="shared" si="228"/>
        <v>0</v>
      </c>
      <c r="AD175" s="1243">
        <f t="shared" si="228"/>
        <v>0</v>
      </c>
      <c r="AE175" s="1243">
        <f t="shared" si="228"/>
        <v>0</v>
      </c>
      <c r="AF175" s="1248">
        <f t="shared" si="228"/>
        <v>0</v>
      </c>
      <c r="AG175" s="2815">
        <f t="shared" si="228"/>
        <v>0</v>
      </c>
      <c r="AH175" s="1247">
        <f t="shared" si="228"/>
        <v>0</v>
      </c>
      <c r="AI175" s="1243">
        <f t="shared" si="228"/>
        <v>0</v>
      </c>
      <c r="AJ175" s="1243">
        <f t="shared" si="228"/>
        <v>0</v>
      </c>
      <c r="AK175" s="1243">
        <f t="shared" si="228"/>
        <v>0</v>
      </c>
      <c r="AL175" s="1243">
        <f t="shared" si="228"/>
        <v>0</v>
      </c>
      <c r="AM175" s="1248">
        <f t="shared" si="228"/>
        <v>0</v>
      </c>
      <c r="AN175" s="2681"/>
      <c r="AO175" s="2719"/>
      <c r="AP175" s="4775"/>
      <c r="AQ175" s="4794">
        <f t="shared" ref="AQ175:AQ190" si="231">IFERROR(E175/$D$1,0)</f>
        <v>0</v>
      </c>
      <c r="AR175" s="4794">
        <f t="shared" ref="AR175:AR190" si="232">IFERROR(F175/$D$1,0)</f>
        <v>0</v>
      </c>
      <c r="AS175" s="4794">
        <f t="shared" ref="AS175:AS190" si="233">IFERROR(G175/$D$1,0)</f>
        <v>0</v>
      </c>
      <c r="AT175" s="4794">
        <f t="shared" ref="AT175:AT190" si="234">IFERROR(H175/$D$1,0)</f>
        <v>0</v>
      </c>
      <c r="AU175" s="4794">
        <f t="shared" ref="AU175:AU190" si="235">IFERROR(I175/$D$1,0)</f>
        <v>0</v>
      </c>
      <c r="AV175" s="4794">
        <f t="shared" ref="AV175:AV190" si="236">IFERROR(J175/$D$1,0)</f>
        <v>0</v>
      </c>
      <c r="AW175" s="4794">
        <f t="shared" ref="AW175:AW190" si="237">IFERROR(K175/$D$1,0)</f>
        <v>0</v>
      </c>
      <c r="AX175" s="4794">
        <f t="shared" ref="AX175:AX190" si="238">IFERROR(L175/$D$1,0)</f>
        <v>0</v>
      </c>
      <c r="AY175" s="4794">
        <f t="shared" ref="AY175:AY190" si="239">IFERROR(M175/$D$1,0)</f>
        <v>0</v>
      </c>
      <c r="AZ175" s="4794">
        <f t="shared" ref="AZ175:AZ190" si="240">IFERROR(N175/$D$1,0)</f>
        <v>0</v>
      </c>
      <c r="BA175" s="4794">
        <f t="shared" ref="BA175:BA190" si="241">IFERROR(O175/$D$1,0)</f>
        <v>0</v>
      </c>
      <c r="BB175" s="4794">
        <f t="shared" ref="BB175:BB190" si="242">IFERROR(P175/$D$1,0)</f>
        <v>0</v>
      </c>
      <c r="BC175" s="4794">
        <f t="shared" ref="BC175:BC190" si="243">IFERROR(Q175/$D$1,0)</f>
        <v>0</v>
      </c>
      <c r="BD175" s="4794">
        <f t="shared" ref="BD175:BD190" si="244">IFERROR(R175/$D$1,0)</f>
        <v>0</v>
      </c>
      <c r="BE175" s="4794">
        <f t="shared" ref="BE175:BE190" si="245">IFERROR(S175/$D$1,0)</f>
        <v>0</v>
      </c>
      <c r="BF175" s="4794">
        <f t="shared" ref="BF175:BF190" si="246">IFERROR(T175/$D$1,0)</f>
        <v>0</v>
      </c>
      <c r="BG175" s="4794">
        <f t="shared" ref="BG175:BG190" si="247">IFERROR(U175/$D$1,0)</f>
        <v>0</v>
      </c>
      <c r="BH175" s="4794">
        <f t="shared" ref="BH175:BH190" si="248">IFERROR(V175/$D$1,0)</f>
        <v>0</v>
      </c>
      <c r="BI175" s="4794">
        <f t="shared" ref="BI175:BI190" si="249">IFERROR(W175/$D$1,0)</f>
        <v>0</v>
      </c>
      <c r="BJ175" s="4794">
        <f t="shared" ref="BJ175:BJ190" si="250">IFERROR(X175/$D$1,0)</f>
        <v>0</v>
      </c>
      <c r="BK175" s="4794">
        <f t="shared" ref="BK175:BK190" si="251">IFERROR(Y175/$D$1,0)</f>
        <v>0</v>
      </c>
      <c r="BL175" s="4794">
        <f t="shared" ref="BL175:BL190" si="252">IFERROR(Z175/$D$1,0)</f>
        <v>0</v>
      </c>
      <c r="BM175" s="4794">
        <f t="shared" ref="BM175:BM190" si="253">IFERROR(AA175/$D$1,0)</f>
        <v>0</v>
      </c>
      <c r="BN175" s="4794">
        <f t="shared" ref="BN175:BN190" si="254">IFERROR(AB175/$D$1,0)</f>
        <v>0</v>
      </c>
      <c r="BO175" s="4794">
        <f t="shared" ref="BO175:BO190" si="255">IFERROR(AC175/$D$1,0)</f>
        <v>0</v>
      </c>
      <c r="BP175" s="4794">
        <f t="shared" ref="BP175:BP190" si="256">IFERROR(AD175/$D$1,0)</f>
        <v>0</v>
      </c>
      <c r="BQ175" s="4794">
        <f t="shared" ref="BQ175:BQ190" si="257">IFERROR(AE175/$D$1,0)</f>
        <v>0</v>
      </c>
      <c r="BR175" s="4794">
        <f t="shared" ref="BR175:BR190" si="258">IFERROR(AF175/$D$1,0)</f>
        <v>0</v>
      </c>
      <c r="BS175" s="4794">
        <f t="shared" ref="BS175:BS190" si="259">IFERROR(AG175/$D$1,0)</f>
        <v>0</v>
      </c>
      <c r="BT175" s="4794">
        <f t="shared" ref="BT175:BT190" si="260">IFERROR(AH175/$D$1,0)</f>
        <v>0</v>
      </c>
      <c r="BU175" s="4794">
        <f t="shared" ref="BU175:BU190" si="261">IFERROR(AI175/$D$1,0)</f>
        <v>0</v>
      </c>
      <c r="BV175" s="4794">
        <f t="shared" ref="BV175:BV190" si="262">IFERROR(AJ175/$D$1,0)</f>
        <v>0</v>
      </c>
      <c r="BW175" s="4794">
        <f t="shared" ref="BW175:BW190" si="263">IFERROR(AK175/$D$1,0)</f>
        <v>0</v>
      </c>
      <c r="BX175" s="4794">
        <f t="shared" ref="BX175:BX190" si="264">IFERROR(AL175/$D$1,0)</f>
        <v>0</v>
      </c>
      <c r="BY175" s="4794">
        <f t="shared" ref="BY175:BY190" si="265">IFERROR(AM175/$D$1,0)</f>
        <v>0</v>
      </c>
    </row>
    <row r="176" spans="1:77" s="1344" customFormat="1">
      <c r="A176" s="2683">
        <v>5</v>
      </c>
      <c r="B176" s="2684">
        <v>2030501</v>
      </c>
      <c r="C176" s="2690">
        <v>0.1</v>
      </c>
      <c r="D176" s="2720" t="s">
        <v>408</v>
      </c>
      <c r="E176" s="2815">
        <f t="shared" si="230"/>
        <v>764</v>
      </c>
      <c r="F176" s="1247">
        <f t="shared" si="225"/>
        <v>777.84362463268167</v>
      </c>
      <c r="G176" s="1243">
        <f t="shared" si="225"/>
        <v>770.76710948116659</v>
      </c>
      <c r="H176" s="1243">
        <f t="shared" si="225"/>
        <v>729.74939396646505</v>
      </c>
      <c r="I176" s="1243">
        <f t="shared" si="225"/>
        <v>682.57470343302498</v>
      </c>
      <c r="J176" s="1243">
        <f t="shared" si="225"/>
        <v>614.41350991921252</v>
      </c>
      <c r="K176" s="1248">
        <f t="shared" si="225"/>
        <v>535.80336003604168</v>
      </c>
      <c r="L176" s="2815">
        <f t="shared" si="225"/>
        <v>0</v>
      </c>
      <c r="M176" s="1247">
        <f t="shared" si="226"/>
        <v>33.203015203781774</v>
      </c>
      <c r="N176" s="1243">
        <f t="shared" si="226"/>
        <v>59.434075809842383</v>
      </c>
      <c r="O176" s="1243">
        <f t="shared" si="226"/>
        <v>85.307389108999757</v>
      </c>
      <c r="P176" s="1243">
        <f t="shared" si="226"/>
        <v>110.81990135407946</v>
      </c>
      <c r="Q176" s="1243">
        <f t="shared" si="226"/>
        <v>136.02821307831275</v>
      </c>
      <c r="R176" s="1248">
        <f t="shared" si="226"/>
        <v>160.92534649143181</v>
      </c>
      <c r="S176" s="2815">
        <f t="shared" si="226"/>
        <v>49</v>
      </c>
      <c r="T176" s="1247">
        <f t="shared" si="227"/>
        <v>82.103360163536479</v>
      </c>
      <c r="U176" s="1243">
        <f t="shared" si="227"/>
        <v>107.89881470899103</v>
      </c>
      <c r="V176" s="1243">
        <f t="shared" si="227"/>
        <v>132.89321692453518</v>
      </c>
      <c r="W176" s="1243">
        <f t="shared" si="227"/>
        <v>157.15539521289566</v>
      </c>
      <c r="X176" s="1243">
        <f t="shared" si="227"/>
        <v>180.70827700247489</v>
      </c>
      <c r="Y176" s="1248">
        <f t="shared" si="227"/>
        <v>203.52129347252674</v>
      </c>
      <c r="Z176" s="2815">
        <f t="shared" si="227"/>
        <v>0</v>
      </c>
      <c r="AA176" s="1247">
        <f t="shared" si="228"/>
        <v>0</v>
      </c>
      <c r="AB176" s="1243">
        <f t="shared" si="228"/>
        <v>0</v>
      </c>
      <c r="AC176" s="1243">
        <f t="shared" si="228"/>
        <v>0</v>
      </c>
      <c r="AD176" s="1243">
        <f t="shared" si="228"/>
        <v>0</v>
      </c>
      <c r="AE176" s="1243">
        <f t="shared" si="228"/>
        <v>0</v>
      </c>
      <c r="AF176" s="1248">
        <f t="shared" si="228"/>
        <v>0</v>
      </c>
      <c r="AG176" s="2815">
        <f t="shared" si="228"/>
        <v>0</v>
      </c>
      <c r="AH176" s="1247">
        <f t="shared" si="228"/>
        <v>0</v>
      </c>
      <c r="AI176" s="1243">
        <f t="shared" si="228"/>
        <v>0</v>
      </c>
      <c r="AJ176" s="1243">
        <f t="shared" si="228"/>
        <v>0</v>
      </c>
      <c r="AK176" s="1243">
        <f t="shared" si="228"/>
        <v>0</v>
      </c>
      <c r="AL176" s="1243">
        <f t="shared" si="228"/>
        <v>0</v>
      </c>
      <c r="AM176" s="1248">
        <f t="shared" si="228"/>
        <v>0</v>
      </c>
      <c r="AN176" s="2681"/>
      <c r="AO176" s="2719"/>
      <c r="AP176" s="4775"/>
      <c r="AQ176" s="4794">
        <f t="shared" si="231"/>
        <v>390.62699723391091</v>
      </c>
      <c r="AR176" s="4794">
        <f t="shared" si="232"/>
        <v>397.70513011492903</v>
      </c>
      <c r="AS176" s="4794">
        <f t="shared" si="233"/>
        <v>394.08696537079737</v>
      </c>
      <c r="AT176" s="4794">
        <f t="shared" si="234"/>
        <v>373.1149404429143</v>
      </c>
      <c r="AU176" s="4794">
        <f t="shared" si="235"/>
        <v>348.9949041752223</v>
      </c>
      <c r="AV176" s="4794">
        <f t="shared" si="236"/>
        <v>314.14463931896563</v>
      </c>
      <c r="AW176" s="4794">
        <f t="shared" si="237"/>
        <v>273.95190790408253</v>
      </c>
      <c r="AX176" s="4794">
        <f t="shared" si="238"/>
        <v>0</v>
      </c>
      <c r="AY176" s="4794">
        <f t="shared" si="239"/>
        <v>16.976432104928229</v>
      </c>
      <c r="AZ176" s="4794">
        <f t="shared" si="240"/>
        <v>30.388160427972977</v>
      </c>
      <c r="BA176" s="4794">
        <f t="shared" si="241"/>
        <v>43.61697545747829</v>
      </c>
      <c r="BB176" s="4794">
        <f t="shared" si="242"/>
        <v>56.661315837306653</v>
      </c>
      <c r="BC176" s="4794">
        <f t="shared" si="243"/>
        <v>69.550120960570581</v>
      </c>
      <c r="BD176" s="4794">
        <f t="shared" si="244"/>
        <v>82.279823139757454</v>
      </c>
      <c r="BE176" s="4794">
        <f t="shared" si="245"/>
        <v>25.053302178614707</v>
      </c>
      <c r="BF176" s="4794">
        <f t="shared" si="246"/>
        <v>41.978781470545229</v>
      </c>
      <c r="BG176" s="4794">
        <f t="shared" si="247"/>
        <v>55.167787951402232</v>
      </c>
      <c r="BH176" s="4794">
        <f t="shared" si="248"/>
        <v>67.94722287956273</v>
      </c>
      <c r="BI176" s="4794">
        <f t="shared" si="249"/>
        <v>80.352277658536607</v>
      </c>
      <c r="BJ176" s="4794">
        <f t="shared" si="250"/>
        <v>92.394674896322726</v>
      </c>
      <c r="BK176" s="4794">
        <f t="shared" si="251"/>
        <v>104.05878500305586</v>
      </c>
      <c r="BL176" s="4794">
        <f t="shared" si="252"/>
        <v>0</v>
      </c>
      <c r="BM176" s="4794">
        <f t="shared" si="253"/>
        <v>0</v>
      </c>
      <c r="BN176" s="4794">
        <f t="shared" si="254"/>
        <v>0</v>
      </c>
      <c r="BO176" s="4794">
        <f t="shared" si="255"/>
        <v>0</v>
      </c>
      <c r="BP176" s="4794">
        <f t="shared" si="256"/>
        <v>0</v>
      </c>
      <c r="BQ176" s="4794">
        <f t="shared" si="257"/>
        <v>0</v>
      </c>
      <c r="BR176" s="4794">
        <f t="shared" si="258"/>
        <v>0</v>
      </c>
      <c r="BS176" s="4794">
        <f t="shared" si="259"/>
        <v>0</v>
      </c>
      <c r="BT176" s="4794">
        <f t="shared" si="260"/>
        <v>0</v>
      </c>
      <c r="BU176" s="4794">
        <f t="shared" si="261"/>
        <v>0</v>
      </c>
      <c r="BV176" s="4794">
        <f t="shared" si="262"/>
        <v>0</v>
      </c>
      <c r="BW176" s="4794">
        <f t="shared" si="263"/>
        <v>0</v>
      </c>
      <c r="BX176" s="4794">
        <f t="shared" si="264"/>
        <v>0</v>
      </c>
      <c r="BY176" s="4794">
        <f t="shared" si="265"/>
        <v>0</v>
      </c>
    </row>
    <row r="177" spans="1:77" s="1344" customFormat="1" ht="24">
      <c r="A177" s="2683">
        <v>6</v>
      </c>
      <c r="B177" s="2684">
        <v>2030502</v>
      </c>
      <c r="C177" s="2690">
        <v>0.1</v>
      </c>
      <c r="D177" s="2720" t="s">
        <v>695</v>
      </c>
      <c r="E177" s="2815">
        <f t="shared" si="230"/>
        <v>217</v>
      </c>
      <c r="F177" s="1247">
        <f t="shared" si="225"/>
        <v>214</v>
      </c>
      <c r="G177" s="1243">
        <f t="shared" si="225"/>
        <v>197.5</v>
      </c>
      <c r="H177" s="1243">
        <f t="shared" si="225"/>
        <v>178</v>
      </c>
      <c r="I177" s="1243">
        <f t="shared" si="225"/>
        <v>155.5</v>
      </c>
      <c r="J177" s="1243">
        <f t="shared" si="225"/>
        <v>130</v>
      </c>
      <c r="K177" s="1248">
        <f t="shared" si="225"/>
        <v>101.5</v>
      </c>
      <c r="L177" s="2815">
        <f t="shared" si="225"/>
        <v>0</v>
      </c>
      <c r="M177" s="1247">
        <f t="shared" si="226"/>
        <v>0</v>
      </c>
      <c r="N177" s="1243">
        <f t="shared" si="226"/>
        <v>0</v>
      </c>
      <c r="O177" s="1243">
        <f t="shared" si="226"/>
        <v>0</v>
      </c>
      <c r="P177" s="1243">
        <f t="shared" si="226"/>
        <v>0</v>
      </c>
      <c r="Q177" s="1243">
        <f t="shared" si="226"/>
        <v>0</v>
      </c>
      <c r="R177" s="1248">
        <f t="shared" si="226"/>
        <v>0</v>
      </c>
      <c r="S177" s="2815">
        <f t="shared" si="226"/>
        <v>0</v>
      </c>
      <c r="T177" s="1247">
        <f t="shared" si="227"/>
        <v>0</v>
      </c>
      <c r="U177" s="1243">
        <f t="shared" si="227"/>
        <v>0</v>
      </c>
      <c r="V177" s="1243">
        <f t="shared" si="227"/>
        <v>0</v>
      </c>
      <c r="W177" s="1243">
        <f t="shared" si="227"/>
        <v>0</v>
      </c>
      <c r="X177" s="1243">
        <f t="shared" si="227"/>
        <v>0</v>
      </c>
      <c r="Y177" s="1248">
        <f t="shared" si="227"/>
        <v>0</v>
      </c>
      <c r="Z177" s="2815">
        <f t="shared" si="227"/>
        <v>0</v>
      </c>
      <c r="AA177" s="1247">
        <f t="shared" si="228"/>
        <v>0</v>
      </c>
      <c r="AB177" s="1243">
        <f t="shared" si="228"/>
        <v>0</v>
      </c>
      <c r="AC177" s="1243">
        <f t="shared" si="228"/>
        <v>0</v>
      </c>
      <c r="AD177" s="1243">
        <f t="shared" si="228"/>
        <v>0</v>
      </c>
      <c r="AE177" s="1243">
        <f t="shared" si="228"/>
        <v>0</v>
      </c>
      <c r="AF177" s="1248">
        <f t="shared" si="228"/>
        <v>0</v>
      </c>
      <c r="AG177" s="2815">
        <f t="shared" si="228"/>
        <v>0</v>
      </c>
      <c r="AH177" s="1247">
        <f t="shared" si="228"/>
        <v>0</v>
      </c>
      <c r="AI177" s="1243">
        <f t="shared" si="228"/>
        <v>0</v>
      </c>
      <c r="AJ177" s="1243">
        <f t="shared" si="228"/>
        <v>0</v>
      </c>
      <c r="AK177" s="1243">
        <f t="shared" si="228"/>
        <v>0</v>
      </c>
      <c r="AL177" s="1243">
        <f t="shared" si="228"/>
        <v>0</v>
      </c>
      <c r="AM177" s="1248">
        <f t="shared" si="228"/>
        <v>0</v>
      </c>
      <c r="AN177" s="2681"/>
      <c r="AO177" s="2719"/>
      <c r="AP177" s="4775"/>
      <c r="AQ177" s="4794">
        <f t="shared" si="231"/>
        <v>110.95033821957941</v>
      </c>
      <c r="AR177" s="4794">
        <f t="shared" si="232"/>
        <v>109.41646257599076</v>
      </c>
      <c r="AS177" s="4794">
        <f t="shared" si="233"/>
        <v>100.98014653625316</v>
      </c>
      <c r="AT177" s="4794">
        <f t="shared" si="234"/>
        <v>91.009954852926896</v>
      </c>
      <c r="AU177" s="4794">
        <f t="shared" si="235"/>
        <v>79.505887526011975</v>
      </c>
      <c r="AV177" s="4794">
        <f t="shared" si="236"/>
        <v>66.46794455550841</v>
      </c>
      <c r="AW177" s="4794">
        <f t="shared" si="237"/>
        <v>51.89612594141618</v>
      </c>
      <c r="AX177" s="4794">
        <f t="shared" si="238"/>
        <v>0</v>
      </c>
      <c r="AY177" s="4794">
        <f t="shared" si="239"/>
        <v>0</v>
      </c>
      <c r="AZ177" s="4794">
        <f t="shared" si="240"/>
        <v>0</v>
      </c>
      <c r="BA177" s="4794">
        <f t="shared" si="241"/>
        <v>0</v>
      </c>
      <c r="BB177" s="4794">
        <f t="shared" si="242"/>
        <v>0</v>
      </c>
      <c r="BC177" s="4794">
        <f t="shared" si="243"/>
        <v>0</v>
      </c>
      <c r="BD177" s="4794">
        <f t="shared" si="244"/>
        <v>0</v>
      </c>
      <c r="BE177" s="4794">
        <f t="shared" si="245"/>
        <v>0</v>
      </c>
      <c r="BF177" s="4794">
        <f t="shared" si="246"/>
        <v>0</v>
      </c>
      <c r="BG177" s="4794">
        <f t="shared" si="247"/>
        <v>0</v>
      </c>
      <c r="BH177" s="4794">
        <f t="shared" si="248"/>
        <v>0</v>
      </c>
      <c r="BI177" s="4794">
        <f t="shared" si="249"/>
        <v>0</v>
      </c>
      <c r="BJ177" s="4794">
        <f t="shared" si="250"/>
        <v>0</v>
      </c>
      <c r="BK177" s="4794">
        <f t="shared" si="251"/>
        <v>0</v>
      </c>
      <c r="BL177" s="4794">
        <f t="shared" si="252"/>
        <v>0</v>
      </c>
      <c r="BM177" s="4794">
        <f t="shared" si="253"/>
        <v>0</v>
      </c>
      <c r="BN177" s="4794">
        <f t="shared" si="254"/>
        <v>0</v>
      </c>
      <c r="BO177" s="4794">
        <f t="shared" si="255"/>
        <v>0</v>
      </c>
      <c r="BP177" s="4794">
        <f t="shared" si="256"/>
        <v>0</v>
      </c>
      <c r="BQ177" s="4794">
        <f t="shared" si="257"/>
        <v>0</v>
      </c>
      <c r="BR177" s="4794">
        <f t="shared" si="258"/>
        <v>0</v>
      </c>
      <c r="BS177" s="4794">
        <f t="shared" si="259"/>
        <v>0</v>
      </c>
      <c r="BT177" s="4794">
        <f t="shared" si="260"/>
        <v>0</v>
      </c>
      <c r="BU177" s="4794">
        <f t="shared" si="261"/>
        <v>0</v>
      </c>
      <c r="BV177" s="4794">
        <f t="shared" si="262"/>
        <v>0</v>
      </c>
      <c r="BW177" s="4794">
        <f t="shared" si="263"/>
        <v>0</v>
      </c>
      <c r="BX177" s="4794">
        <f t="shared" si="264"/>
        <v>0</v>
      </c>
      <c r="BY177" s="4794">
        <f t="shared" si="265"/>
        <v>0</v>
      </c>
    </row>
    <row r="178" spans="1:77" s="1344" customFormat="1">
      <c r="A178" s="2683">
        <v>7</v>
      </c>
      <c r="B178" s="2684">
        <v>2030503</v>
      </c>
      <c r="C178" s="2690">
        <v>0.1</v>
      </c>
      <c r="D178" s="2720" t="s">
        <v>713</v>
      </c>
      <c r="E178" s="2815">
        <f t="shared" si="230"/>
        <v>77</v>
      </c>
      <c r="F178" s="1247">
        <f t="shared" si="225"/>
        <v>66</v>
      </c>
      <c r="G178" s="1243">
        <f t="shared" si="225"/>
        <v>55</v>
      </c>
      <c r="H178" s="1243">
        <f t="shared" si="225"/>
        <v>44</v>
      </c>
      <c r="I178" s="1243">
        <f t="shared" si="225"/>
        <v>33</v>
      </c>
      <c r="J178" s="1243">
        <f t="shared" si="225"/>
        <v>22</v>
      </c>
      <c r="K178" s="1248">
        <f t="shared" si="225"/>
        <v>11</v>
      </c>
      <c r="L178" s="2815">
        <f t="shared" si="225"/>
        <v>0</v>
      </c>
      <c r="M178" s="1247">
        <f t="shared" si="226"/>
        <v>0</v>
      </c>
      <c r="N178" s="1243">
        <f t="shared" si="226"/>
        <v>0</v>
      </c>
      <c r="O178" s="1243">
        <f t="shared" si="226"/>
        <v>0</v>
      </c>
      <c r="P178" s="1243">
        <f t="shared" si="226"/>
        <v>0</v>
      </c>
      <c r="Q178" s="1243">
        <f t="shared" si="226"/>
        <v>0</v>
      </c>
      <c r="R178" s="1248">
        <f t="shared" si="226"/>
        <v>0</v>
      </c>
      <c r="S178" s="2815">
        <f t="shared" si="226"/>
        <v>0</v>
      </c>
      <c r="T178" s="1247">
        <f t="shared" si="227"/>
        <v>0</v>
      </c>
      <c r="U178" s="1243">
        <f t="shared" si="227"/>
        <v>0</v>
      </c>
      <c r="V178" s="1243">
        <f t="shared" si="227"/>
        <v>0</v>
      </c>
      <c r="W178" s="1243">
        <f t="shared" si="227"/>
        <v>0</v>
      </c>
      <c r="X178" s="1243">
        <f t="shared" si="227"/>
        <v>0</v>
      </c>
      <c r="Y178" s="1248">
        <f t="shared" si="227"/>
        <v>0</v>
      </c>
      <c r="Z178" s="2815">
        <f t="shared" si="227"/>
        <v>0</v>
      </c>
      <c r="AA178" s="1247">
        <f t="shared" si="228"/>
        <v>0</v>
      </c>
      <c r="AB178" s="1243">
        <f t="shared" si="228"/>
        <v>0</v>
      </c>
      <c r="AC178" s="1243">
        <f t="shared" si="228"/>
        <v>0</v>
      </c>
      <c r="AD178" s="1243">
        <f t="shared" si="228"/>
        <v>0</v>
      </c>
      <c r="AE178" s="1243">
        <f t="shared" si="228"/>
        <v>0</v>
      </c>
      <c r="AF178" s="1248">
        <f t="shared" si="228"/>
        <v>0</v>
      </c>
      <c r="AG178" s="2815">
        <f t="shared" si="228"/>
        <v>0</v>
      </c>
      <c r="AH178" s="1247">
        <f t="shared" si="228"/>
        <v>0</v>
      </c>
      <c r="AI178" s="1243">
        <f t="shared" si="228"/>
        <v>0</v>
      </c>
      <c r="AJ178" s="1243">
        <f t="shared" si="228"/>
        <v>0</v>
      </c>
      <c r="AK178" s="1243">
        <f t="shared" si="228"/>
        <v>0</v>
      </c>
      <c r="AL178" s="1243">
        <f t="shared" si="228"/>
        <v>0</v>
      </c>
      <c r="AM178" s="1248">
        <f t="shared" si="228"/>
        <v>0</v>
      </c>
      <c r="AN178" s="2681"/>
      <c r="AO178" s="2719"/>
      <c r="AP178" s="4775"/>
      <c r="AQ178" s="4794">
        <f t="shared" si="231"/>
        <v>39.369474852108823</v>
      </c>
      <c r="AR178" s="4794">
        <f t="shared" si="232"/>
        <v>33.74526415895042</v>
      </c>
      <c r="AS178" s="4794">
        <f t="shared" si="233"/>
        <v>28.121053465792016</v>
      </c>
      <c r="AT178" s="4794">
        <f t="shared" si="234"/>
        <v>22.496842772633613</v>
      </c>
      <c r="AU178" s="4794">
        <f t="shared" si="235"/>
        <v>16.87263207947521</v>
      </c>
      <c r="AV178" s="4794">
        <f t="shared" si="236"/>
        <v>11.248421386316807</v>
      </c>
      <c r="AW178" s="4794">
        <f t="shared" si="237"/>
        <v>5.6242106931584033</v>
      </c>
      <c r="AX178" s="4794">
        <f t="shared" si="238"/>
        <v>0</v>
      </c>
      <c r="AY178" s="4794">
        <f t="shared" si="239"/>
        <v>0</v>
      </c>
      <c r="AZ178" s="4794">
        <f t="shared" si="240"/>
        <v>0</v>
      </c>
      <c r="BA178" s="4794">
        <f t="shared" si="241"/>
        <v>0</v>
      </c>
      <c r="BB178" s="4794">
        <f t="shared" si="242"/>
        <v>0</v>
      </c>
      <c r="BC178" s="4794">
        <f t="shared" si="243"/>
        <v>0</v>
      </c>
      <c r="BD178" s="4794">
        <f t="shared" si="244"/>
        <v>0</v>
      </c>
      <c r="BE178" s="4794">
        <f t="shared" si="245"/>
        <v>0</v>
      </c>
      <c r="BF178" s="4794">
        <f t="shared" si="246"/>
        <v>0</v>
      </c>
      <c r="BG178" s="4794">
        <f t="shared" si="247"/>
        <v>0</v>
      </c>
      <c r="BH178" s="4794">
        <f t="shared" si="248"/>
        <v>0</v>
      </c>
      <c r="BI178" s="4794">
        <f t="shared" si="249"/>
        <v>0</v>
      </c>
      <c r="BJ178" s="4794">
        <f t="shared" si="250"/>
        <v>0</v>
      </c>
      <c r="BK178" s="4794">
        <f t="shared" si="251"/>
        <v>0</v>
      </c>
      <c r="BL178" s="4794">
        <f t="shared" si="252"/>
        <v>0</v>
      </c>
      <c r="BM178" s="4794">
        <f t="shared" si="253"/>
        <v>0</v>
      </c>
      <c r="BN178" s="4794">
        <f t="shared" si="254"/>
        <v>0</v>
      </c>
      <c r="BO178" s="4794">
        <f t="shared" si="255"/>
        <v>0</v>
      </c>
      <c r="BP178" s="4794">
        <f t="shared" si="256"/>
        <v>0</v>
      </c>
      <c r="BQ178" s="4794">
        <f t="shared" si="257"/>
        <v>0</v>
      </c>
      <c r="BR178" s="4794">
        <f t="shared" si="258"/>
        <v>0</v>
      </c>
      <c r="BS178" s="4794">
        <f t="shared" si="259"/>
        <v>0</v>
      </c>
      <c r="BT178" s="4794">
        <f t="shared" si="260"/>
        <v>0</v>
      </c>
      <c r="BU178" s="4794">
        <f t="shared" si="261"/>
        <v>0</v>
      </c>
      <c r="BV178" s="4794">
        <f t="shared" si="262"/>
        <v>0</v>
      </c>
      <c r="BW178" s="4794">
        <f t="shared" si="263"/>
        <v>0</v>
      </c>
      <c r="BX178" s="4794">
        <f t="shared" si="264"/>
        <v>0</v>
      </c>
      <c r="BY178" s="4794">
        <f t="shared" si="265"/>
        <v>0</v>
      </c>
    </row>
    <row r="179" spans="1:77" s="1344" customFormat="1">
      <c r="A179" s="2683">
        <v>8</v>
      </c>
      <c r="B179" s="2684">
        <v>2040101</v>
      </c>
      <c r="C179" s="2740">
        <v>0.1</v>
      </c>
      <c r="D179" s="2714" t="s">
        <v>1016</v>
      </c>
      <c r="E179" s="2815">
        <f t="shared" si="230"/>
        <v>0</v>
      </c>
      <c r="F179" s="1247">
        <f t="shared" si="225"/>
        <v>0</v>
      </c>
      <c r="G179" s="1243">
        <f t="shared" si="225"/>
        <v>0</v>
      </c>
      <c r="H179" s="1243">
        <f t="shared" si="225"/>
        <v>0</v>
      </c>
      <c r="I179" s="1243">
        <f t="shared" si="225"/>
        <v>0</v>
      </c>
      <c r="J179" s="1243">
        <f t="shared" si="225"/>
        <v>0</v>
      </c>
      <c r="K179" s="1248">
        <f t="shared" si="225"/>
        <v>0</v>
      </c>
      <c r="L179" s="2815">
        <f t="shared" si="225"/>
        <v>0</v>
      </c>
      <c r="M179" s="1247">
        <f t="shared" si="226"/>
        <v>0</v>
      </c>
      <c r="N179" s="1243">
        <f t="shared" si="226"/>
        <v>0</v>
      </c>
      <c r="O179" s="1243">
        <f t="shared" si="226"/>
        <v>0</v>
      </c>
      <c r="P179" s="1243">
        <f t="shared" si="226"/>
        <v>0</v>
      </c>
      <c r="Q179" s="1243">
        <f t="shared" si="226"/>
        <v>0</v>
      </c>
      <c r="R179" s="1248">
        <f t="shared" si="226"/>
        <v>0</v>
      </c>
      <c r="S179" s="2815">
        <f t="shared" si="226"/>
        <v>0</v>
      </c>
      <c r="T179" s="1247">
        <f t="shared" si="227"/>
        <v>0</v>
      </c>
      <c r="U179" s="1243">
        <f t="shared" si="227"/>
        <v>0</v>
      </c>
      <c r="V179" s="1243">
        <f t="shared" si="227"/>
        <v>0</v>
      </c>
      <c r="W179" s="1243">
        <f t="shared" si="227"/>
        <v>0</v>
      </c>
      <c r="X179" s="1243">
        <f t="shared" si="227"/>
        <v>0</v>
      </c>
      <c r="Y179" s="1248">
        <f t="shared" si="227"/>
        <v>0</v>
      </c>
      <c r="Z179" s="2815">
        <f t="shared" si="227"/>
        <v>0</v>
      </c>
      <c r="AA179" s="1247">
        <f t="shared" si="228"/>
        <v>0</v>
      </c>
      <c r="AB179" s="1243">
        <f t="shared" si="228"/>
        <v>0</v>
      </c>
      <c r="AC179" s="1243">
        <f t="shared" si="228"/>
        <v>0</v>
      </c>
      <c r="AD179" s="1243">
        <f t="shared" si="228"/>
        <v>0</v>
      </c>
      <c r="AE179" s="1243">
        <f t="shared" si="228"/>
        <v>0</v>
      </c>
      <c r="AF179" s="1248">
        <f t="shared" si="228"/>
        <v>0</v>
      </c>
      <c r="AG179" s="2815">
        <f t="shared" si="228"/>
        <v>0</v>
      </c>
      <c r="AH179" s="1247">
        <f t="shared" si="228"/>
        <v>0</v>
      </c>
      <c r="AI179" s="1243">
        <f t="shared" si="228"/>
        <v>0</v>
      </c>
      <c r="AJ179" s="1243">
        <f t="shared" si="228"/>
        <v>0</v>
      </c>
      <c r="AK179" s="1243">
        <f t="shared" si="228"/>
        <v>0</v>
      </c>
      <c r="AL179" s="1243">
        <f t="shared" si="228"/>
        <v>0</v>
      </c>
      <c r="AM179" s="1248">
        <f t="shared" si="228"/>
        <v>0</v>
      </c>
      <c r="AN179" s="2681"/>
      <c r="AO179" s="2719"/>
      <c r="AP179" s="4775"/>
      <c r="AQ179" s="4794">
        <f t="shared" si="231"/>
        <v>0</v>
      </c>
      <c r="AR179" s="4794">
        <f t="shared" si="232"/>
        <v>0</v>
      </c>
      <c r="AS179" s="4794">
        <f t="shared" si="233"/>
        <v>0</v>
      </c>
      <c r="AT179" s="4794">
        <f t="shared" si="234"/>
        <v>0</v>
      </c>
      <c r="AU179" s="4794">
        <f t="shared" si="235"/>
        <v>0</v>
      </c>
      <c r="AV179" s="4794">
        <f t="shared" si="236"/>
        <v>0</v>
      </c>
      <c r="AW179" s="4794">
        <f t="shared" si="237"/>
        <v>0</v>
      </c>
      <c r="AX179" s="4794">
        <f t="shared" si="238"/>
        <v>0</v>
      </c>
      <c r="AY179" s="4794">
        <f t="shared" si="239"/>
        <v>0</v>
      </c>
      <c r="AZ179" s="4794">
        <f t="shared" si="240"/>
        <v>0</v>
      </c>
      <c r="BA179" s="4794">
        <f t="shared" si="241"/>
        <v>0</v>
      </c>
      <c r="BB179" s="4794">
        <f t="shared" si="242"/>
        <v>0</v>
      </c>
      <c r="BC179" s="4794">
        <f t="shared" si="243"/>
        <v>0</v>
      </c>
      <c r="BD179" s="4794">
        <f t="shared" si="244"/>
        <v>0</v>
      </c>
      <c r="BE179" s="4794">
        <f t="shared" si="245"/>
        <v>0</v>
      </c>
      <c r="BF179" s="4794">
        <f t="shared" si="246"/>
        <v>0</v>
      </c>
      <c r="BG179" s="4794">
        <f t="shared" si="247"/>
        <v>0</v>
      </c>
      <c r="BH179" s="4794">
        <f t="shared" si="248"/>
        <v>0</v>
      </c>
      <c r="BI179" s="4794">
        <f t="shared" si="249"/>
        <v>0</v>
      </c>
      <c r="BJ179" s="4794">
        <f t="shared" si="250"/>
        <v>0</v>
      </c>
      <c r="BK179" s="4794">
        <f t="shared" si="251"/>
        <v>0</v>
      </c>
      <c r="BL179" s="4794">
        <f t="shared" si="252"/>
        <v>0</v>
      </c>
      <c r="BM179" s="4794">
        <f t="shared" si="253"/>
        <v>0</v>
      </c>
      <c r="BN179" s="4794">
        <f t="shared" si="254"/>
        <v>0</v>
      </c>
      <c r="BO179" s="4794">
        <f t="shared" si="255"/>
        <v>0</v>
      </c>
      <c r="BP179" s="4794">
        <f t="shared" si="256"/>
        <v>0</v>
      </c>
      <c r="BQ179" s="4794">
        <f t="shared" si="257"/>
        <v>0</v>
      </c>
      <c r="BR179" s="4794">
        <f t="shared" si="258"/>
        <v>0</v>
      </c>
      <c r="BS179" s="4794">
        <f t="shared" si="259"/>
        <v>0</v>
      </c>
      <c r="BT179" s="4794">
        <f t="shared" si="260"/>
        <v>0</v>
      </c>
      <c r="BU179" s="4794">
        <f t="shared" si="261"/>
        <v>0</v>
      </c>
      <c r="BV179" s="4794">
        <f t="shared" si="262"/>
        <v>0</v>
      </c>
      <c r="BW179" s="4794">
        <f t="shared" si="263"/>
        <v>0</v>
      </c>
      <c r="BX179" s="4794">
        <f t="shared" si="264"/>
        <v>0</v>
      </c>
      <c r="BY179" s="4794">
        <f t="shared" si="265"/>
        <v>0</v>
      </c>
    </row>
    <row r="180" spans="1:77" s="1344" customFormat="1">
      <c r="A180" s="2741">
        <v>9</v>
      </c>
      <c r="B180" s="2684">
        <v>2040102</v>
      </c>
      <c r="C180" s="2740">
        <v>0.04</v>
      </c>
      <c r="D180" s="2714" t="s">
        <v>432</v>
      </c>
      <c r="E180" s="2815">
        <f t="shared" si="230"/>
        <v>0</v>
      </c>
      <c r="F180" s="1247">
        <f t="shared" si="225"/>
        <v>0</v>
      </c>
      <c r="G180" s="1243">
        <f t="shared" si="225"/>
        <v>0</v>
      </c>
      <c r="H180" s="1243">
        <f t="shared" si="225"/>
        <v>0</v>
      </c>
      <c r="I180" s="1243">
        <f t="shared" si="225"/>
        <v>0</v>
      </c>
      <c r="J180" s="1243">
        <f t="shared" si="225"/>
        <v>0</v>
      </c>
      <c r="K180" s="1248">
        <f t="shared" si="225"/>
        <v>0</v>
      </c>
      <c r="L180" s="2815">
        <f t="shared" si="225"/>
        <v>0</v>
      </c>
      <c r="M180" s="1247">
        <f t="shared" si="226"/>
        <v>0</v>
      </c>
      <c r="N180" s="1243">
        <f t="shared" si="226"/>
        <v>0</v>
      </c>
      <c r="O180" s="1243">
        <f t="shared" si="226"/>
        <v>0</v>
      </c>
      <c r="P180" s="1243">
        <f t="shared" si="226"/>
        <v>0</v>
      </c>
      <c r="Q180" s="1243">
        <f t="shared" si="226"/>
        <v>0</v>
      </c>
      <c r="R180" s="1248">
        <f t="shared" si="226"/>
        <v>0</v>
      </c>
      <c r="S180" s="2815">
        <f t="shared" si="226"/>
        <v>0</v>
      </c>
      <c r="T180" s="1247">
        <f t="shared" si="227"/>
        <v>0</v>
      </c>
      <c r="U180" s="1243">
        <f t="shared" si="227"/>
        <v>0</v>
      </c>
      <c r="V180" s="1243">
        <f t="shared" si="227"/>
        <v>0</v>
      </c>
      <c r="W180" s="1243">
        <f t="shared" si="227"/>
        <v>0</v>
      </c>
      <c r="X180" s="1243">
        <f t="shared" si="227"/>
        <v>0</v>
      </c>
      <c r="Y180" s="1248">
        <f t="shared" si="227"/>
        <v>0</v>
      </c>
      <c r="Z180" s="2815">
        <f t="shared" si="227"/>
        <v>0</v>
      </c>
      <c r="AA180" s="1247">
        <f t="shared" si="228"/>
        <v>0</v>
      </c>
      <c r="AB180" s="1243">
        <f t="shared" si="228"/>
        <v>0</v>
      </c>
      <c r="AC180" s="1243">
        <f t="shared" si="228"/>
        <v>0</v>
      </c>
      <c r="AD180" s="1243">
        <f t="shared" si="228"/>
        <v>0</v>
      </c>
      <c r="AE180" s="1243">
        <f t="shared" si="228"/>
        <v>0</v>
      </c>
      <c r="AF180" s="1248">
        <f t="shared" si="228"/>
        <v>0</v>
      </c>
      <c r="AG180" s="2815">
        <f t="shared" si="228"/>
        <v>0</v>
      </c>
      <c r="AH180" s="1247">
        <f t="shared" si="228"/>
        <v>0</v>
      </c>
      <c r="AI180" s="1243">
        <f t="shared" si="228"/>
        <v>0</v>
      </c>
      <c r="AJ180" s="1243">
        <f t="shared" si="228"/>
        <v>0</v>
      </c>
      <c r="AK180" s="1243">
        <f t="shared" si="228"/>
        <v>0</v>
      </c>
      <c r="AL180" s="1243">
        <f t="shared" si="228"/>
        <v>0</v>
      </c>
      <c r="AM180" s="1248">
        <f t="shared" si="228"/>
        <v>0</v>
      </c>
      <c r="AN180" s="2681"/>
      <c r="AO180" s="2719"/>
      <c r="AP180" s="4775"/>
      <c r="AQ180" s="4794">
        <f t="shared" si="231"/>
        <v>0</v>
      </c>
      <c r="AR180" s="4794">
        <f t="shared" si="232"/>
        <v>0</v>
      </c>
      <c r="AS180" s="4794">
        <f t="shared" si="233"/>
        <v>0</v>
      </c>
      <c r="AT180" s="4794">
        <f t="shared" si="234"/>
        <v>0</v>
      </c>
      <c r="AU180" s="4794">
        <f t="shared" si="235"/>
        <v>0</v>
      </c>
      <c r="AV180" s="4794">
        <f t="shared" si="236"/>
        <v>0</v>
      </c>
      <c r="AW180" s="4794">
        <f t="shared" si="237"/>
        <v>0</v>
      </c>
      <c r="AX180" s="4794">
        <f t="shared" si="238"/>
        <v>0</v>
      </c>
      <c r="AY180" s="4794">
        <f t="shared" si="239"/>
        <v>0</v>
      </c>
      <c r="AZ180" s="4794">
        <f t="shared" si="240"/>
        <v>0</v>
      </c>
      <c r="BA180" s="4794">
        <f t="shared" si="241"/>
        <v>0</v>
      </c>
      <c r="BB180" s="4794">
        <f t="shared" si="242"/>
        <v>0</v>
      </c>
      <c r="BC180" s="4794">
        <f t="shared" si="243"/>
        <v>0</v>
      </c>
      <c r="BD180" s="4794">
        <f t="shared" si="244"/>
        <v>0</v>
      </c>
      <c r="BE180" s="4794">
        <f t="shared" si="245"/>
        <v>0</v>
      </c>
      <c r="BF180" s="4794">
        <f t="shared" si="246"/>
        <v>0</v>
      </c>
      <c r="BG180" s="4794">
        <f t="shared" si="247"/>
        <v>0</v>
      </c>
      <c r="BH180" s="4794">
        <f t="shared" si="248"/>
        <v>0</v>
      </c>
      <c r="BI180" s="4794">
        <f t="shared" si="249"/>
        <v>0</v>
      </c>
      <c r="BJ180" s="4794">
        <f t="shared" si="250"/>
        <v>0</v>
      </c>
      <c r="BK180" s="4794">
        <f t="shared" si="251"/>
        <v>0</v>
      </c>
      <c r="BL180" s="4794">
        <f t="shared" si="252"/>
        <v>0</v>
      </c>
      <c r="BM180" s="4794">
        <f t="shared" si="253"/>
        <v>0</v>
      </c>
      <c r="BN180" s="4794">
        <f t="shared" si="254"/>
        <v>0</v>
      </c>
      <c r="BO180" s="4794">
        <f t="shared" si="255"/>
        <v>0</v>
      </c>
      <c r="BP180" s="4794">
        <f t="shared" si="256"/>
        <v>0</v>
      </c>
      <c r="BQ180" s="4794">
        <f t="shared" si="257"/>
        <v>0</v>
      </c>
      <c r="BR180" s="4794">
        <f t="shared" si="258"/>
        <v>0</v>
      </c>
      <c r="BS180" s="4794">
        <f t="shared" si="259"/>
        <v>0</v>
      </c>
      <c r="BT180" s="4794">
        <f t="shared" si="260"/>
        <v>0</v>
      </c>
      <c r="BU180" s="4794">
        <f t="shared" si="261"/>
        <v>0</v>
      </c>
      <c r="BV180" s="4794">
        <f t="shared" si="262"/>
        <v>0</v>
      </c>
      <c r="BW180" s="4794">
        <f t="shared" si="263"/>
        <v>0</v>
      </c>
      <c r="BX180" s="4794">
        <f t="shared" si="264"/>
        <v>0</v>
      </c>
      <c r="BY180" s="4794">
        <f t="shared" si="265"/>
        <v>0</v>
      </c>
    </row>
    <row r="181" spans="1:77" s="1344" customFormat="1">
      <c r="A181" s="2741">
        <v>10</v>
      </c>
      <c r="B181" s="2684">
        <v>2040201</v>
      </c>
      <c r="C181" s="2685">
        <v>0.02</v>
      </c>
      <c r="D181" s="2715" t="s">
        <v>738</v>
      </c>
      <c r="E181" s="2815">
        <f t="shared" si="230"/>
        <v>0</v>
      </c>
      <c r="F181" s="1247">
        <f t="shared" si="225"/>
        <v>0</v>
      </c>
      <c r="G181" s="1243">
        <f t="shared" si="225"/>
        <v>0</v>
      </c>
      <c r="H181" s="1243">
        <f t="shared" si="225"/>
        <v>0</v>
      </c>
      <c r="I181" s="1243">
        <f t="shared" si="225"/>
        <v>0</v>
      </c>
      <c r="J181" s="1243">
        <f t="shared" si="225"/>
        <v>0</v>
      </c>
      <c r="K181" s="1248">
        <f t="shared" si="225"/>
        <v>0</v>
      </c>
      <c r="L181" s="2815">
        <f t="shared" si="225"/>
        <v>0</v>
      </c>
      <c r="M181" s="1247">
        <f t="shared" si="226"/>
        <v>0</v>
      </c>
      <c r="N181" s="1243">
        <f t="shared" si="226"/>
        <v>0</v>
      </c>
      <c r="O181" s="1243">
        <f t="shared" si="226"/>
        <v>0</v>
      </c>
      <c r="P181" s="1243">
        <f t="shared" si="226"/>
        <v>0</v>
      </c>
      <c r="Q181" s="1243">
        <f t="shared" si="226"/>
        <v>0</v>
      </c>
      <c r="R181" s="1248">
        <f t="shared" si="226"/>
        <v>0</v>
      </c>
      <c r="S181" s="2815">
        <f t="shared" si="226"/>
        <v>0</v>
      </c>
      <c r="T181" s="1247">
        <f t="shared" si="227"/>
        <v>0</v>
      </c>
      <c r="U181" s="1243">
        <f t="shared" si="227"/>
        <v>0</v>
      </c>
      <c r="V181" s="1243">
        <f t="shared" si="227"/>
        <v>0</v>
      </c>
      <c r="W181" s="1243">
        <f t="shared" si="227"/>
        <v>0</v>
      </c>
      <c r="X181" s="1243">
        <f t="shared" si="227"/>
        <v>0</v>
      </c>
      <c r="Y181" s="1248">
        <f t="shared" si="227"/>
        <v>0</v>
      </c>
      <c r="Z181" s="2815">
        <f t="shared" si="227"/>
        <v>0</v>
      </c>
      <c r="AA181" s="1247">
        <f t="shared" si="228"/>
        <v>0</v>
      </c>
      <c r="AB181" s="1243">
        <f t="shared" si="228"/>
        <v>0</v>
      </c>
      <c r="AC181" s="1243">
        <f t="shared" si="228"/>
        <v>0</v>
      </c>
      <c r="AD181" s="1243">
        <f t="shared" si="228"/>
        <v>0</v>
      </c>
      <c r="AE181" s="1243">
        <f t="shared" si="228"/>
        <v>0</v>
      </c>
      <c r="AF181" s="1248">
        <f t="shared" si="228"/>
        <v>0</v>
      </c>
      <c r="AG181" s="2815">
        <f t="shared" si="228"/>
        <v>0</v>
      </c>
      <c r="AH181" s="1247">
        <f t="shared" si="228"/>
        <v>0</v>
      </c>
      <c r="AI181" s="1243">
        <f t="shared" si="228"/>
        <v>0</v>
      </c>
      <c r="AJ181" s="1243">
        <f t="shared" si="228"/>
        <v>0</v>
      </c>
      <c r="AK181" s="1243">
        <f t="shared" si="228"/>
        <v>0</v>
      </c>
      <c r="AL181" s="1243">
        <f t="shared" si="228"/>
        <v>0</v>
      </c>
      <c r="AM181" s="1248">
        <f t="shared" si="228"/>
        <v>0</v>
      </c>
      <c r="AN181" s="2681"/>
      <c r="AO181" s="2719"/>
      <c r="AP181" s="4775"/>
      <c r="AQ181" s="4794">
        <f t="shared" si="231"/>
        <v>0</v>
      </c>
      <c r="AR181" s="4794">
        <f t="shared" si="232"/>
        <v>0</v>
      </c>
      <c r="AS181" s="4794">
        <f t="shared" si="233"/>
        <v>0</v>
      </c>
      <c r="AT181" s="4794">
        <f t="shared" si="234"/>
        <v>0</v>
      </c>
      <c r="AU181" s="4794">
        <f t="shared" si="235"/>
        <v>0</v>
      </c>
      <c r="AV181" s="4794">
        <f t="shared" si="236"/>
        <v>0</v>
      </c>
      <c r="AW181" s="4794">
        <f t="shared" si="237"/>
        <v>0</v>
      </c>
      <c r="AX181" s="4794">
        <f t="shared" si="238"/>
        <v>0</v>
      </c>
      <c r="AY181" s="4794">
        <f t="shared" si="239"/>
        <v>0</v>
      </c>
      <c r="AZ181" s="4794">
        <f t="shared" si="240"/>
        <v>0</v>
      </c>
      <c r="BA181" s="4794">
        <f t="shared" si="241"/>
        <v>0</v>
      </c>
      <c r="BB181" s="4794">
        <f t="shared" si="242"/>
        <v>0</v>
      </c>
      <c r="BC181" s="4794">
        <f t="shared" si="243"/>
        <v>0</v>
      </c>
      <c r="BD181" s="4794">
        <f t="shared" si="244"/>
        <v>0</v>
      </c>
      <c r="BE181" s="4794">
        <f t="shared" si="245"/>
        <v>0</v>
      </c>
      <c r="BF181" s="4794">
        <f t="shared" si="246"/>
        <v>0</v>
      </c>
      <c r="BG181" s="4794">
        <f t="shared" si="247"/>
        <v>0</v>
      </c>
      <c r="BH181" s="4794">
        <f t="shared" si="248"/>
        <v>0</v>
      </c>
      <c r="BI181" s="4794">
        <f t="shared" si="249"/>
        <v>0</v>
      </c>
      <c r="BJ181" s="4794">
        <f t="shared" si="250"/>
        <v>0</v>
      </c>
      <c r="BK181" s="4794">
        <f t="shared" si="251"/>
        <v>0</v>
      </c>
      <c r="BL181" s="4794">
        <f t="shared" si="252"/>
        <v>0</v>
      </c>
      <c r="BM181" s="4794">
        <f t="shared" si="253"/>
        <v>0</v>
      </c>
      <c r="BN181" s="4794">
        <f t="shared" si="254"/>
        <v>0</v>
      </c>
      <c r="BO181" s="4794">
        <f t="shared" si="255"/>
        <v>0</v>
      </c>
      <c r="BP181" s="4794">
        <f t="shared" si="256"/>
        <v>0</v>
      </c>
      <c r="BQ181" s="4794">
        <f t="shared" si="257"/>
        <v>0</v>
      </c>
      <c r="BR181" s="4794">
        <f t="shared" si="258"/>
        <v>0</v>
      </c>
      <c r="BS181" s="4794">
        <f t="shared" si="259"/>
        <v>0</v>
      </c>
      <c r="BT181" s="4794">
        <f t="shared" si="260"/>
        <v>0</v>
      </c>
      <c r="BU181" s="4794">
        <f t="shared" si="261"/>
        <v>0</v>
      </c>
      <c r="BV181" s="4794">
        <f t="shared" si="262"/>
        <v>0</v>
      </c>
      <c r="BW181" s="4794">
        <f t="shared" si="263"/>
        <v>0</v>
      </c>
      <c r="BX181" s="4794">
        <f t="shared" si="264"/>
        <v>0</v>
      </c>
      <c r="BY181" s="4794">
        <f t="shared" si="265"/>
        <v>0</v>
      </c>
    </row>
    <row r="182" spans="1:77" s="1344" customFormat="1">
      <c r="A182" s="2741">
        <v>11</v>
      </c>
      <c r="B182" s="2684">
        <v>2040202</v>
      </c>
      <c r="C182" s="2685">
        <v>0.02</v>
      </c>
      <c r="D182" s="2715" t="s">
        <v>739</v>
      </c>
      <c r="E182" s="2815">
        <f t="shared" si="230"/>
        <v>218</v>
      </c>
      <c r="F182" s="1247">
        <f t="shared" si="225"/>
        <v>312</v>
      </c>
      <c r="G182" s="1243">
        <f t="shared" si="225"/>
        <v>354.5</v>
      </c>
      <c r="H182" s="1243">
        <f t="shared" si="225"/>
        <v>376.2</v>
      </c>
      <c r="I182" s="1243">
        <f t="shared" si="225"/>
        <v>397.3</v>
      </c>
      <c r="J182" s="1243">
        <f t="shared" si="225"/>
        <v>417.8</v>
      </c>
      <c r="K182" s="1248">
        <f t="shared" si="225"/>
        <v>437.7</v>
      </c>
      <c r="L182" s="2815">
        <f t="shared" si="225"/>
        <v>0</v>
      </c>
      <c r="M182" s="1247">
        <f t="shared" si="226"/>
        <v>0</v>
      </c>
      <c r="N182" s="1243">
        <f t="shared" si="226"/>
        <v>0</v>
      </c>
      <c r="O182" s="1243">
        <f t="shared" si="226"/>
        <v>0</v>
      </c>
      <c r="P182" s="1243">
        <f t="shared" si="226"/>
        <v>0</v>
      </c>
      <c r="Q182" s="1243">
        <f t="shared" si="226"/>
        <v>0</v>
      </c>
      <c r="R182" s="1248">
        <f t="shared" si="226"/>
        <v>0</v>
      </c>
      <c r="S182" s="2815">
        <f t="shared" si="226"/>
        <v>0</v>
      </c>
      <c r="T182" s="1247">
        <f t="shared" si="227"/>
        <v>0</v>
      </c>
      <c r="U182" s="1243">
        <f t="shared" si="227"/>
        <v>0</v>
      </c>
      <c r="V182" s="1243">
        <f t="shared" si="227"/>
        <v>0</v>
      </c>
      <c r="W182" s="1243">
        <f t="shared" si="227"/>
        <v>0</v>
      </c>
      <c r="X182" s="1243">
        <f t="shared" si="227"/>
        <v>0</v>
      </c>
      <c r="Y182" s="1248">
        <f t="shared" si="227"/>
        <v>0</v>
      </c>
      <c r="Z182" s="2815">
        <f t="shared" si="227"/>
        <v>0</v>
      </c>
      <c r="AA182" s="1247">
        <f t="shared" si="228"/>
        <v>0</v>
      </c>
      <c r="AB182" s="1243">
        <f t="shared" si="228"/>
        <v>0</v>
      </c>
      <c r="AC182" s="1243">
        <f t="shared" si="228"/>
        <v>0</v>
      </c>
      <c r="AD182" s="1243">
        <f t="shared" si="228"/>
        <v>0</v>
      </c>
      <c r="AE182" s="1243">
        <f t="shared" si="228"/>
        <v>0</v>
      </c>
      <c r="AF182" s="1248">
        <f t="shared" si="228"/>
        <v>0</v>
      </c>
      <c r="AG182" s="2815">
        <f t="shared" si="228"/>
        <v>0</v>
      </c>
      <c r="AH182" s="1247">
        <f t="shared" si="228"/>
        <v>0</v>
      </c>
      <c r="AI182" s="1243">
        <f t="shared" si="228"/>
        <v>0</v>
      </c>
      <c r="AJ182" s="1243">
        <f t="shared" si="228"/>
        <v>0</v>
      </c>
      <c r="AK182" s="1243">
        <f t="shared" si="228"/>
        <v>0</v>
      </c>
      <c r="AL182" s="1243">
        <f t="shared" si="228"/>
        <v>0</v>
      </c>
      <c r="AM182" s="1248">
        <f t="shared" si="228"/>
        <v>0</v>
      </c>
      <c r="AN182" s="2681"/>
      <c r="AO182" s="2719"/>
      <c r="AP182" s="4775"/>
      <c r="AQ182" s="4794">
        <f t="shared" si="231"/>
        <v>111.46163010077564</v>
      </c>
      <c r="AR182" s="4794">
        <f t="shared" si="232"/>
        <v>159.52306693322018</v>
      </c>
      <c r="AS182" s="4794">
        <f t="shared" si="233"/>
        <v>181.25297188405946</v>
      </c>
      <c r="AT182" s="4794">
        <f t="shared" si="234"/>
        <v>192.3480057060174</v>
      </c>
      <c r="AU182" s="4794">
        <f t="shared" si="235"/>
        <v>203.13626439925761</v>
      </c>
      <c r="AV182" s="4794">
        <f t="shared" si="236"/>
        <v>213.61774796378009</v>
      </c>
      <c r="AW182" s="4794">
        <f t="shared" si="237"/>
        <v>223.79245639958484</v>
      </c>
      <c r="AX182" s="4794">
        <f t="shared" si="238"/>
        <v>0</v>
      </c>
      <c r="AY182" s="4794">
        <f t="shared" si="239"/>
        <v>0</v>
      </c>
      <c r="AZ182" s="4794">
        <f t="shared" si="240"/>
        <v>0</v>
      </c>
      <c r="BA182" s="4794">
        <f t="shared" si="241"/>
        <v>0</v>
      </c>
      <c r="BB182" s="4794">
        <f t="shared" si="242"/>
        <v>0</v>
      </c>
      <c r="BC182" s="4794">
        <f t="shared" si="243"/>
        <v>0</v>
      </c>
      <c r="BD182" s="4794">
        <f t="shared" si="244"/>
        <v>0</v>
      </c>
      <c r="BE182" s="4794">
        <f t="shared" si="245"/>
        <v>0</v>
      </c>
      <c r="BF182" s="4794">
        <f t="shared" si="246"/>
        <v>0</v>
      </c>
      <c r="BG182" s="4794">
        <f t="shared" si="247"/>
        <v>0</v>
      </c>
      <c r="BH182" s="4794">
        <f t="shared" si="248"/>
        <v>0</v>
      </c>
      <c r="BI182" s="4794">
        <f t="shared" si="249"/>
        <v>0</v>
      </c>
      <c r="BJ182" s="4794">
        <f t="shared" si="250"/>
        <v>0</v>
      </c>
      <c r="BK182" s="4794">
        <f t="shared" si="251"/>
        <v>0</v>
      </c>
      <c r="BL182" s="4794">
        <f t="shared" si="252"/>
        <v>0</v>
      </c>
      <c r="BM182" s="4794">
        <f t="shared" si="253"/>
        <v>0</v>
      </c>
      <c r="BN182" s="4794">
        <f t="shared" si="254"/>
        <v>0</v>
      </c>
      <c r="BO182" s="4794">
        <f t="shared" si="255"/>
        <v>0</v>
      </c>
      <c r="BP182" s="4794">
        <f t="shared" si="256"/>
        <v>0</v>
      </c>
      <c r="BQ182" s="4794">
        <f t="shared" si="257"/>
        <v>0</v>
      </c>
      <c r="BR182" s="4794">
        <f t="shared" si="258"/>
        <v>0</v>
      </c>
      <c r="BS182" s="4794">
        <f t="shared" si="259"/>
        <v>0</v>
      </c>
      <c r="BT182" s="4794">
        <f t="shared" si="260"/>
        <v>0</v>
      </c>
      <c r="BU182" s="4794">
        <f t="shared" si="261"/>
        <v>0</v>
      </c>
      <c r="BV182" s="4794">
        <f t="shared" si="262"/>
        <v>0</v>
      </c>
      <c r="BW182" s="4794">
        <f t="shared" si="263"/>
        <v>0</v>
      </c>
      <c r="BX182" s="4794">
        <f t="shared" si="264"/>
        <v>0</v>
      </c>
      <c r="BY182" s="4794">
        <f t="shared" si="265"/>
        <v>0</v>
      </c>
    </row>
    <row r="183" spans="1:77" s="1344" customFormat="1">
      <c r="A183" s="2741">
        <v>12</v>
      </c>
      <c r="B183" s="2684">
        <v>2040203</v>
      </c>
      <c r="C183" s="2685">
        <v>0.02</v>
      </c>
      <c r="D183" s="2715" t="s">
        <v>418</v>
      </c>
      <c r="E183" s="2815">
        <f t="shared" si="230"/>
        <v>0</v>
      </c>
      <c r="F183" s="1247">
        <f t="shared" si="225"/>
        <v>0</v>
      </c>
      <c r="G183" s="1243">
        <f t="shared" si="225"/>
        <v>0</v>
      </c>
      <c r="H183" s="1243">
        <f t="shared" si="225"/>
        <v>0</v>
      </c>
      <c r="I183" s="1243">
        <f t="shared" si="225"/>
        <v>0</v>
      </c>
      <c r="J183" s="1243">
        <f t="shared" si="225"/>
        <v>0</v>
      </c>
      <c r="K183" s="1248">
        <f t="shared" si="225"/>
        <v>0</v>
      </c>
      <c r="L183" s="2815">
        <f t="shared" si="225"/>
        <v>0</v>
      </c>
      <c r="M183" s="1247">
        <f t="shared" si="226"/>
        <v>0</v>
      </c>
      <c r="N183" s="1243">
        <f t="shared" si="226"/>
        <v>0</v>
      </c>
      <c r="O183" s="1243">
        <f t="shared" si="226"/>
        <v>0</v>
      </c>
      <c r="P183" s="1243">
        <f t="shared" si="226"/>
        <v>0</v>
      </c>
      <c r="Q183" s="1243">
        <f t="shared" si="226"/>
        <v>0</v>
      </c>
      <c r="R183" s="1248">
        <f t="shared" si="226"/>
        <v>0</v>
      </c>
      <c r="S183" s="2815">
        <f t="shared" si="226"/>
        <v>0</v>
      </c>
      <c r="T183" s="1247">
        <f t="shared" si="227"/>
        <v>0</v>
      </c>
      <c r="U183" s="1243">
        <f t="shared" si="227"/>
        <v>0</v>
      </c>
      <c r="V183" s="1243">
        <f t="shared" si="227"/>
        <v>0</v>
      </c>
      <c r="W183" s="1243">
        <f t="shared" si="227"/>
        <v>0</v>
      </c>
      <c r="X183" s="1243">
        <f t="shared" si="227"/>
        <v>0</v>
      </c>
      <c r="Y183" s="1248">
        <f t="shared" si="227"/>
        <v>0</v>
      </c>
      <c r="Z183" s="2815">
        <f t="shared" si="227"/>
        <v>0</v>
      </c>
      <c r="AA183" s="1247">
        <f t="shared" si="228"/>
        <v>0</v>
      </c>
      <c r="AB183" s="1243">
        <f t="shared" si="228"/>
        <v>0</v>
      </c>
      <c r="AC183" s="1243">
        <f t="shared" si="228"/>
        <v>0</v>
      </c>
      <c r="AD183" s="1243">
        <f t="shared" si="228"/>
        <v>0</v>
      </c>
      <c r="AE183" s="1243">
        <f t="shared" si="228"/>
        <v>0</v>
      </c>
      <c r="AF183" s="1248">
        <f t="shared" si="228"/>
        <v>0</v>
      </c>
      <c r="AG183" s="2815">
        <f t="shared" si="228"/>
        <v>0</v>
      </c>
      <c r="AH183" s="1247">
        <f t="shared" si="228"/>
        <v>0</v>
      </c>
      <c r="AI183" s="1243">
        <f t="shared" si="228"/>
        <v>0</v>
      </c>
      <c r="AJ183" s="1243">
        <f t="shared" si="228"/>
        <v>0</v>
      </c>
      <c r="AK183" s="1243">
        <f t="shared" si="228"/>
        <v>0</v>
      </c>
      <c r="AL183" s="1243">
        <f t="shared" si="228"/>
        <v>0</v>
      </c>
      <c r="AM183" s="1248">
        <f t="shared" si="228"/>
        <v>0</v>
      </c>
      <c r="AN183" s="2681"/>
      <c r="AO183" s="2719"/>
      <c r="AP183" s="4775"/>
      <c r="AQ183" s="4794">
        <f t="shared" si="231"/>
        <v>0</v>
      </c>
      <c r="AR183" s="4794">
        <f t="shared" si="232"/>
        <v>0</v>
      </c>
      <c r="AS183" s="4794">
        <f t="shared" si="233"/>
        <v>0</v>
      </c>
      <c r="AT183" s="4794">
        <f t="shared" si="234"/>
        <v>0</v>
      </c>
      <c r="AU183" s="4794">
        <f t="shared" si="235"/>
        <v>0</v>
      </c>
      <c r="AV183" s="4794">
        <f t="shared" si="236"/>
        <v>0</v>
      </c>
      <c r="AW183" s="4794">
        <f t="shared" si="237"/>
        <v>0</v>
      </c>
      <c r="AX183" s="4794">
        <f t="shared" si="238"/>
        <v>0</v>
      </c>
      <c r="AY183" s="4794">
        <f t="shared" si="239"/>
        <v>0</v>
      </c>
      <c r="AZ183" s="4794">
        <f t="shared" si="240"/>
        <v>0</v>
      </c>
      <c r="BA183" s="4794">
        <f t="shared" si="241"/>
        <v>0</v>
      </c>
      <c r="BB183" s="4794">
        <f t="shared" si="242"/>
        <v>0</v>
      </c>
      <c r="BC183" s="4794">
        <f t="shared" si="243"/>
        <v>0</v>
      </c>
      <c r="BD183" s="4794">
        <f t="shared" si="244"/>
        <v>0</v>
      </c>
      <c r="BE183" s="4794">
        <f t="shared" si="245"/>
        <v>0</v>
      </c>
      <c r="BF183" s="4794">
        <f t="shared" si="246"/>
        <v>0</v>
      </c>
      <c r="BG183" s="4794">
        <f t="shared" si="247"/>
        <v>0</v>
      </c>
      <c r="BH183" s="4794">
        <f t="shared" si="248"/>
        <v>0</v>
      </c>
      <c r="BI183" s="4794">
        <f t="shared" si="249"/>
        <v>0</v>
      </c>
      <c r="BJ183" s="4794">
        <f t="shared" si="250"/>
        <v>0</v>
      </c>
      <c r="BK183" s="4794">
        <f t="shared" si="251"/>
        <v>0</v>
      </c>
      <c r="BL183" s="4794">
        <f t="shared" si="252"/>
        <v>0</v>
      </c>
      <c r="BM183" s="4794">
        <f t="shared" si="253"/>
        <v>0</v>
      </c>
      <c r="BN183" s="4794">
        <f t="shared" si="254"/>
        <v>0</v>
      </c>
      <c r="BO183" s="4794">
        <f t="shared" si="255"/>
        <v>0</v>
      </c>
      <c r="BP183" s="4794">
        <f t="shared" si="256"/>
        <v>0</v>
      </c>
      <c r="BQ183" s="4794">
        <f t="shared" si="257"/>
        <v>0</v>
      </c>
      <c r="BR183" s="4794">
        <f t="shared" si="258"/>
        <v>0</v>
      </c>
      <c r="BS183" s="4794">
        <f t="shared" si="259"/>
        <v>0</v>
      </c>
      <c r="BT183" s="4794">
        <f t="shared" si="260"/>
        <v>0</v>
      </c>
      <c r="BU183" s="4794">
        <f t="shared" si="261"/>
        <v>0</v>
      </c>
      <c r="BV183" s="4794">
        <f t="shared" si="262"/>
        <v>0</v>
      </c>
      <c r="BW183" s="4794">
        <f t="shared" si="263"/>
        <v>0</v>
      </c>
      <c r="BX183" s="4794">
        <f t="shared" si="264"/>
        <v>0</v>
      </c>
      <c r="BY183" s="4794">
        <f t="shared" si="265"/>
        <v>0</v>
      </c>
    </row>
    <row r="184" spans="1:77" s="1344" customFormat="1">
      <c r="A184" s="2741">
        <v>13</v>
      </c>
      <c r="B184" s="2684">
        <v>2040204</v>
      </c>
      <c r="C184" s="2685">
        <v>0.02</v>
      </c>
      <c r="D184" s="2714" t="s">
        <v>419</v>
      </c>
      <c r="E184" s="2815">
        <f t="shared" si="230"/>
        <v>40</v>
      </c>
      <c r="F184" s="1247">
        <f t="shared" si="225"/>
        <v>39</v>
      </c>
      <c r="G184" s="1243">
        <f t="shared" si="225"/>
        <v>38</v>
      </c>
      <c r="H184" s="1243">
        <f t="shared" si="225"/>
        <v>37</v>
      </c>
      <c r="I184" s="1243">
        <f t="shared" si="225"/>
        <v>36</v>
      </c>
      <c r="J184" s="1243">
        <f t="shared" si="225"/>
        <v>35</v>
      </c>
      <c r="K184" s="1248">
        <f t="shared" si="225"/>
        <v>34</v>
      </c>
      <c r="L184" s="2815">
        <f t="shared" si="225"/>
        <v>0</v>
      </c>
      <c r="M184" s="1247">
        <f t="shared" si="226"/>
        <v>0</v>
      </c>
      <c r="N184" s="1243">
        <f t="shared" si="226"/>
        <v>0</v>
      </c>
      <c r="O184" s="1243">
        <f t="shared" si="226"/>
        <v>0</v>
      </c>
      <c r="P184" s="1243">
        <f t="shared" si="226"/>
        <v>0</v>
      </c>
      <c r="Q184" s="1243">
        <f t="shared" si="226"/>
        <v>0</v>
      </c>
      <c r="R184" s="1248">
        <f t="shared" si="226"/>
        <v>0</v>
      </c>
      <c r="S184" s="2815">
        <f t="shared" si="226"/>
        <v>0</v>
      </c>
      <c r="T184" s="1247">
        <f t="shared" si="227"/>
        <v>0</v>
      </c>
      <c r="U184" s="1243">
        <f t="shared" si="227"/>
        <v>0</v>
      </c>
      <c r="V184" s="1243">
        <f t="shared" si="227"/>
        <v>0</v>
      </c>
      <c r="W184" s="1243">
        <f t="shared" si="227"/>
        <v>0</v>
      </c>
      <c r="X184" s="1243">
        <f t="shared" si="227"/>
        <v>0</v>
      </c>
      <c r="Y184" s="1248">
        <f t="shared" si="227"/>
        <v>0</v>
      </c>
      <c r="Z184" s="2815">
        <f t="shared" si="227"/>
        <v>0</v>
      </c>
      <c r="AA184" s="1247">
        <f t="shared" si="228"/>
        <v>0</v>
      </c>
      <c r="AB184" s="1243">
        <f t="shared" si="228"/>
        <v>0</v>
      </c>
      <c r="AC184" s="1243">
        <f t="shared" si="228"/>
        <v>0</v>
      </c>
      <c r="AD184" s="1243">
        <f t="shared" si="228"/>
        <v>0</v>
      </c>
      <c r="AE184" s="1243">
        <f t="shared" si="228"/>
        <v>0</v>
      </c>
      <c r="AF184" s="1248">
        <f t="shared" si="228"/>
        <v>0</v>
      </c>
      <c r="AG184" s="2815">
        <f t="shared" si="228"/>
        <v>0</v>
      </c>
      <c r="AH184" s="1247">
        <f t="shared" si="228"/>
        <v>0</v>
      </c>
      <c r="AI184" s="1243">
        <f t="shared" si="228"/>
        <v>0</v>
      </c>
      <c r="AJ184" s="1243">
        <f t="shared" si="228"/>
        <v>0</v>
      </c>
      <c r="AK184" s="1243">
        <f t="shared" si="228"/>
        <v>0</v>
      </c>
      <c r="AL184" s="1243">
        <f t="shared" si="228"/>
        <v>0</v>
      </c>
      <c r="AM184" s="1248">
        <f t="shared" si="228"/>
        <v>0</v>
      </c>
      <c r="AN184" s="2681"/>
      <c r="AO184" s="2719"/>
      <c r="AP184" s="4775"/>
      <c r="AQ184" s="4794">
        <f t="shared" si="231"/>
        <v>20.45167524784874</v>
      </c>
      <c r="AR184" s="4794">
        <f t="shared" si="232"/>
        <v>19.940383366652522</v>
      </c>
      <c r="AS184" s="4794">
        <f t="shared" si="233"/>
        <v>19.429091485456304</v>
      </c>
      <c r="AT184" s="4794">
        <f t="shared" si="234"/>
        <v>18.917799604260086</v>
      </c>
      <c r="AU184" s="4794">
        <f t="shared" si="235"/>
        <v>18.406507723063864</v>
      </c>
      <c r="AV184" s="4794">
        <f t="shared" si="236"/>
        <v>17.895215841867646</v>
      </c>
      <c r="AW184" s="4794">
        <f t="shared" si="237"/>
        <v>17.383923960671428</v>
      </c>
      <c r="AX184" s="4794">
        <f t="shared" si="238"/>
        <v>0</v>
      </c>
      <c r="AY184" s="4794">
        <f t="shared" si="239"/>
        <v>0</v>
      </c>
      <c r="AZ184" s="4794">
        <f t="shared" si="240"/>
        <v>0</v>
      </c>
      <c r="BA184" s="4794">
        <f t="shared" si="241"/>
        <v>0</v>
      </c>
      <c r="BB184" s="4794">
        <f t="shared" si="242"/>
        <v>0</v>
      </c>
      <c r="BC184" s="4794">
        <f t="shared" si="243"/>
        <v>0</v>
      </c>
      <c r="BD184" s="4794">
        <f t="shared" si="244"/>
        <v>0</v>
      </c>
      <c r="BE184" s="4794">
        <f t="shared" si="245"/>
        <v>0</v>
      </c>
      <c r="BF184" s="4794">
        <f t="shared" si="246"/>
        <v>0</v>
      </c>
      <c r="BG184" s="4794">
        <f t="shared" si="247"/>
        <v>0</v>
      </c>
      <c r="BH184" s="4794">
        <f t="shared" si="248"/>
        <v>0</v>
      </c>
      <c r="BI184" s="4794">
        <f t="shared" si="249"/>
        <v>0</v>
      </c>
      <c r="BJ184" s="4794">
        <f t="shared" si="250"/>
        <v>0</v>
      </c>
      <c r="BK184" s="4794">
        <f t="shared" si="251"/>
        <v>0</v>
      </c>
      <c r="BL184" s="4794">
        <f t="shared" si="252"/>
        <v>0</v>
      </c>
      <c r="BM184" s="4794">
        <f t="shared" si="253"/>
        <v>0</v>
      </c>
      <c r="BN184" s="4794">
        <f t="shared" si="254"/>
        <v>0</v>
      </c>
      <c r="BO184" s="4794">
        <f t="shared" si="255"/>
        <v>0</v>
      </c>
      <c r="BP184" s="4794">
        <f t="shared" si="256"/>
        <v>0</v>
      </c>
      <c r="BQ184" s="4794">
        <f t="shared" si="257"/>
        <v>0</v>
      </c>
      <c r="BR184" s="4794">
        <f t="shared" si="258"/>
        <v>0</v>
      </c>
      <c r="BS184" s="4794">
        <f t="shared" si="259"/>
        <v>0</v>
      </c>
      <c r="BT184" s="4794">
        <f t="shared" si="260"/>
        <v>0</v>
      </c>
      <c r="BU184" s="4794">
        <f t="shared" si="261"/>
        <v>0</v>
      </c>
      <c r="BV184" s="4794">
        <f t="shared" si="262"/>
        <v>0</v>
      </c>
      <c r="BW184" s="4794">
        <f t="shared" si="263"/>
        <v>0</v>
      </c>
      <c r="BX184" s="4794">
        <f t="shared" si="264"/>
        <v>0</v>
      </c>
      <c r="BY184" s="4794">
        <f t="shared" si="265"/>
        <v>0</v>
      </c>
    </row>
    <row r="185" spans="1:77" s="1344" customFormat="1">
      <c r="A185" s="2741">
        <v>14</v>
      </c>
      <c r="B185" s="2684">
        <v>2040205</v>
      </c>
      <c r="C185" s="2685">
        <v>0.02</v>
      </c>
      <c r="D185" s="2715" t="s">
        <v>420</v>
      </c>
      <c r="E185" s="2815">
        <f t="shared" si="230"/>
        <v>18066</v>
      </c>
      <c r="F185" s="1247">
        <f t="shared" si="225"/>
        <v>21810.33</v>
      </c>
      <c r="G185" s="1243">
        <f t="shared" si="225"/>
        <v>24580.66</v>
      </c>
      <c r="H185" s="1243">
        <f t="shared" si="225"/>
        <v>26790.989999999998</v>
      </c>
      <c r="I185" s="1243">
        <f t="shared" si="225"/>
        <v>28877.02</v>
      </c>
      <c r="J185" s="1243">
        <f t="shared" si="225"/>
        <v>30845.1</v>
      </c>
      <c r="K185" s="1248">
        <f t="shared" si="225"/>
        <v>32894.53</v>
      </c>
      <c r="L185" s="2815">
        <f t="shared" si="225"/>
        <v>0</v>
      </c>
      <c r="M185" s="1247">
        <f t="shared" si="226"/>
        <v>0</v>
      </c>
      <c r="N185" s="1243">
        <f t="shared" si="226"/>
        <v>0</v>
      </c>
      <c r="O185" s="1243">
        <f t="shared" si="226"/>
        <v>0</v>
      </c>
      <c r="P185" s="1243">
        <f t="shared" si="226"/>
        <v>0</v>
      </c>
      <c r="Q185" s="1243">
        <f t="shared" si="226"/>
        <v>0</v>
      </c>
      <c r="R185" s="1248">
        <f t="shared" si="226"/>
        <v>0</v>
      </c>
      <c r="S185" s="2815">
        <f t="shared" si="226"/>
        <v>0</v>
      </c>
      <c r="T185" s="1247">
        <f t="shared" si="227"/>
        <v>0</v>
      </c>
      <c r="U185" s="1243">
        <f t="shared" si="227"/>
        <v>0</v>
      </c>
      <c r="V185" s="1243">
        <f t="shared" si="227"/>
        <v>0</v>
      </c>
      <c r="W185" s="1243">
        <f t="shared" si="227"/>
        <v>0</v>
      </c>
      <c r="X185" s="1243">
        <f t="shared" si="227"/>
        <v>0</v>
      </c>
      <c r="Y185" s="1248">
        <f t="shared" si="227"/>
        <v>0</v>
      </c>
      <c r="Z185" s="2815">
        <f t="shared" si="227"/>
        <v>0</v>
      </c>
      <c r="AA185" s="1247">
        <f t="shared" si="228"/>
        <v>0</v>
      </c>
      <c r="AB185" s="1243">
        <f t="shared" si="228"/>
        <v>0</v>
      </c>
      <c r="AC185" s="1243">
        <f t="shared" si="228"/>
        <v>0</v>
      </c>
      <c r="AD185" s="1243">
        <f t="shared" si="228"/>
        <v>0</v>
      </c>
      <c r="AE185" s="1243">
        <f t="shared" si="228"/>
        <v>0</v>
      </c>
      <c r="AF185" s="1248">
        <f t="shared" si="228"/>
        <v>0</v>
      </c>
      <c r="AG185" s="2815">
        <f t="shared" si="228"/>
        <v>0</v>
      </c>
      <c r="AH185" s="1247">
        <f t="shared" si="228"/>
        <v>0</v>
      </c>
      <c r="AI185" s="1243">
        <f t="shared" si="228"/>
        <v>0</v>
      </c>
      <c r="AJ185" s="1243">
        <f t="shared" si="228"/>
        <v>0</v>
      </c>
      <c r="AK185" s="1243">
        <f t="shared" si="228"/>
        <v>0</v>
      </c>
      <c r="AL185" s="1243">
        <f t="shared" si="228"/>
        <v>0</v>
      </c>
      <c r="AM185" s="1248">
        <f t="shared" si="228"/>
        <v>0</v>
      </c>
      <c r="AN185" s="2681"/>
      <c r="AO185" s="2719"/>
      <c r="AP185" s="4775"/>
      <c r="AQ185" s="4794">
        <f t="shared" si="231"/>
        <v>9236.9991256908834</v>
      </c>
      <c r="AR185" s="4794">
        <f t="shared" si="232"/>
        <v>11151.444655210322</v>
      </c>
      <c r="AS185" s="4794">
        <f t="shared" si="233"/>
        <v>12567.891892444641</v>
      </c>
      <c r="AT185" s="4794">
        <f t="shared" si="234"/>
        <v>13698.015676209077</v>
      </c>
      <c r="AU185" s="4794">
        <f t="shared" si="235"/>
        <v>14764.585879140826</v>
      </c>
      <c r="AV185" s="4794">
        <f t="shared" si="236"/>
        <v>15770.849204685479</v>
      </c>
      <c r="AW185" s="4794">
        <f t="shared" si="237"/>
        <v>16818.706124765446</v>
      </c>
      <c r="AX185" s="4794">
        <f t="shared" si="238"/>
        <v>0</v>
      </c>
      <c r="AY185" s="4794">
        <f t="shared" si="239"/>
        <v>0</v>
      </c>
      <c r="AZ185" s="4794">
        <f t="shared" si="240"/>
        <v>0</v>
      </c>
      <c r="BA185" s="4794">
        <f t="shared" si="241"/>
        <v>0</v>
      </c>
      <c r="BB185" s="4794">
        <f t="shared" si="242"/>
        <v>0</v>
      </c>
      <c r="BC185" s="4794">
        <f t="shared" si="243"/>
        <v>0</v>
      </c>
      <c r="BD185" s="4794">
        <f t="shared" si="244"/>
        <v>0</v>
      </c>
      <c r="BE185" s="4794">
        <f t="shared" si="245"/>
        <v>0</v>
      </c>
      <c r="BF185" s="4794">
        <f t="shared" si="246"/>
        <v>0</v>
      </c>
      <c r="BG185" s="4794">
        <f t="shared" si="247"/>
        <v>0</v>
      </c>
      <c r="BH185" s="4794">
        <f t="shared" si="248"/>
        <v>0</v>
      </c>
      <c r="BI185" s="4794">
        <f t="shared" si="249"/>
        <v>0</v>
      </c>
      <c r="BJ185" s="4794">
        <f t="shared" si="250"/>
        <v>0</v>
      </c>
      <c r="BK185" s="4794">
        <f t="shared" si="251"/>
        <v>0</v>
      </c>
      <c r="BL185" s="4794">
        <f t="shared" si="252"/>
        <v>0</v>
      </c>
      <c r="BM185" s="4794">
        <f t="shared" si="253"/>
        <v>0</v>
      </c>
      <c r="BN185" s="4794">
        <f t="shared" si="254"/>
        <v>0</v>
      </c>
      <c r="BO185" s="4794">
        <f t="shared" si="255"/>
        <v>0</v>
      </c>
      <c r="BP185" s="4794">
        <f t="shared" si="256"/>
        <v>0</v>
      </c>
      <c r="BQ185" s="4794">
        <f t="shared" si="257"/>
        <v>0</v>
      </c>
      <c r="BR185" s="4794">
        <f t="shared" si="258"/>
        <v>0</v>
      </c>
      <c r="BS185" s="4794">
        <f t="shared" si="259"/>
        <v>0</v>
      </c>
      <c r="BT185" s="4794">
        <f t="shared" si="260"/>
        <v>0</v>
      </c>
      <c r="BU185" s="4794">
        <f t="shared" si="261"/>
        <v>0</v>
      </c>
      <c r="BV185" s="4794">
        <f t="shared" si="262"/>
        <v>0</v>
      </c>
      <c r="BW185" s="4794">
        <f t="shared" si="263"/>
        <v>0</v>
      </c>
      <c r="BX185" s="4794">
        <f t="shared" si="264"/>
        <v>0</v>
      </c>
      <c r="BY185" s="4794">
        <f t="shared" si="265"/>
        <v>0</v>
      </c>
    </row>
    <row r="186" spans="1:77" s="1344" customFormat="1">
      <c r="A186" s="2741">
        <v>15</v>
      </c>
      <c r="B186" s="2684">
        <v>2040206</v>
      </c>
      <c r="C186" s="2685">
        <v>0.02</v>
      </c>
      <c r="D186" s="2720" t="s">
        <v>421</v>
      </c>
      <c r="E186" s="2815">
        <f t="shared" si="230"/>
        <v>0</v>
      </c>
      <c r="F186" s="1247">
        <f t="shared" si="225"/>
        <v>0</v>
      </c>
      <c r="G186" s="1243">
        <f t="shared" si="225"/>
        <v>0</v>
      </c>
      <c r="H186" s="1243">
        <f t="shared" si="225"/>
        <v>0</v>
      </c>
      <c r="I186" s="1243">
        <f t="shared" si="225"/>
        <v>0</v>
      </c>
      <c r="J186" s="1243">
        <f t="shared" si="225"/>
        <v>0</v>
      </c>
      <c r="K186" s="1248">
        <f t="shared" si="225"/>
        <v>0</v>
      </c>
      <c r="L186" s="2815">
        <f t="shared" si="225"/>
        <v>1433</v>
      </c>
      <c r="M186" s="1247">
        <f t="shared" si="226"/>
        <v>1522.86</v>
      </c>
      <c r="N186" s="1243">
        <f t="shared" si="226"/>
        <v>1649.92</v>
      </c>
      <c r="O186" s="1243">
        <f t="shared" si="226"/>
        <v>1773.78</v>
      </c>
      <c r="P186" s="1243">
        <f t="shared" si="226"/>
        <v>1894.44</v>
      </c>
      <c r="Q186" s="1243">
        <f t="shared" si="226"/>
        <v>2002</v>
      </c>
      <c r="R186" s="1248">
        <f t="shared" si="226"/>
        <v>2106.56</v>
      </c>
      <c r="S186" s="2815">
        <f t="shared" si="226"/>
        <v>0</v>
      </c>
      <c r="T186" s="1247">
        <f t="shared" si="227"/>
        <v>0</v>
      </c>
      <c r="U186" s="1243">
        <f t="shared" si="227"/>
        <v>0</v>
      </c>
      <c r="V186" s="1243">
        <f t="shared" si="227"/>
        <v>0</v>
      </c>
      <c r="W186" s="1243">
        <f t="shared" si="227"/>
        <v>0</v>
      </c>
      <c r="X186" s="1243">
        <f t="shared" si="227"/>
        <v>0</v>
      </c>
      <c r="Y186" s="1248">
        <f t="shared" si="227"/>
        <v>0</v>
      </c>
      <c r="Z186" s="2815">
        <f t="shared" si="227"/>
        <v>0</v>
      </c>
      <c r="AA186" s="1247">
        <f t="shared" si="228"/>
        <v>0</v>
      </c>
      <c r="AB186" s="1243">
        <f t="shared" si="228"/>
        <v>0</v>
      </c>
      <c r="AC186" s="1243">
        <f t="shared" si="228"/>
        <v>0</v>
      </c>
      <c r="AD186" s="1243">
        <f t="shared" si="228"/>
        <v>0</v>
      </c>
      <c r="AE186" s="1243">
        <f t="shared" si="228"/>
        <v>0</v>
      </c>
      <c r="AF186" s="1248">
        <f t="shared" si="228"/>
        <v>0</v>
      </c>
      <c r="AG186" s="2815">
        <f t="shared" si="228"/>
        <v>0</v>
      </c>
      <c r="AH186" s="1247">
        <f t="shared" si="228"/>
        <v>0</v>
      </c>
      <c r="AI186" s="1243">
        <f t="shared" si="228"/>
        <v>0</v>
      </c>
      <c r="AJ186" s="1243">
        <f t="shared" si="228"/>
        <v>0</v>
      </c>
      <c r="AK186" s="1243">
        <f t="shared" si="228"/>
        <v>0</v>
      </c>
      <c r="AL186" s="1243">
        <f t="shared" si="228"/>
        <v>0</v>
      </c>
      <c r="AM186" s="1248">
        <f t="shared" si="228"/>
        <v>0</v>
      </c>
      <c r="AN186" s="2681"/>
      <c r="AO186" s="2719"/>
      <c r="AP186" s="4775"/>
      <c r="AQ186" s="4794">
        <f t="shared" si="231"/>
        <v>0</v>
      </c>
      <c r="AR186" s="4794">
        <f t="shared" si="232"/>
        <v>0</v>
      </c>
      <c r="AS186" s="4794">
        <f t="shared" si="233"/>
        <v>0</v>
      </c>
      <c r="AT186" s="4794">
        <f t="shared" si="234"/>
        <v>0</v>
      </c>
      <c r="AU186" s="4794">
        <f t="shared" si="235"/>
        <v>0</v>
      </c>
      <c r="AV186" s="4794">
        <f t="shared" si="236"/>
        <v>0</v>
      </c>
      <c r="AW186" s="4794">
        <f t="shared" si="237"/>
        <v>0</v>
      </c>
      <c r="AX186" s="4794">
        <f t="shared" si="238"/>
        <v>732.68126575418114</v>
      </c>
      <c r="AY186" s="4794">
        <f t="shared" si="239"/>
        <v>778.62595419847321</v>
      </c>
      <c r="AZ186" s="4794">
        <f t="shared" si="240"/>
        <v>843.59070062326487</v>
      </c>
      <c r="BA186" s="4794">
        <f t="shared" si="241"/>
        <v>906.91931302822843</v>
      </c>
      <c r="BB186" s="4794">
        <f t="shared" si="242"/>
        <v>968.61179141336424</v>
      </c>
      <c r="BC186" s="4794">
        <f t="shared" si="243"/>
        <v>1023.6063461548295</v>
      </c>
      <c r="BD186" s="4794">
        <f t="shared" si="244"/>
        <v>1077.0670252527061</v>
      </c>
      <c r="BE186" s="4794">
        <f t="shared" si="245"/>
        <v>0</v>
      </c>
      <c r="BF186" s="4794">
        <f t="shared" si="246"/>
        <v>0</v>
      </c>
      <c r="BG186" s="4794">
        <f t="shared" si="247"/>
        <v>0</v>
      </c>
      <c r="BH186" s="4794">
        <f t="shared" si="248"/>
        <v>0</v>
      </c>
      <c r="BI186" s="4794">
        <f t="shared" si="249"/>
        <v>0</v>
      </c>
      <c r="BJ186" s="4794">
        <f t="shared" si="250"/>
        <v>0</v>
      </c>
      <c r="BK186" s="4794">
        <f t="shared" si="251"/>
        <v>0</v>
      </c>
      <c r="BL186" s="4794">
        <f t="shared" si="252"/>
        <v>0</v>
      </c>
      <c r="BM186" s="4794">
        <f t="shared" si="253"/>
        <v>0</v>
      </c>
      <c r="BN186" s="4794">
        <f t="shared" si="254"/>
        <v>0</v>
      </c>
      <c r="BO186" s="4794">
        <f t="shared" si="255"/>
        <v>0</v>
      </c>
      <c r="BP186" s="4794">
        <f t="shared" si="256"/>
        <v>0</v>
      </c>
      <c r="BQ186" s="4794">
        <f t="shared" si="257"/>
        <v>0</v>
      </c>
      <c r="BR186" s="4794">
        <f t="shared" si="258"/>
        <v>0</v>
      </c>
      <c r="BS186" s="4794">
        <f t="shared" si="259"/>
        <v>0</v>
      </c>
      <c r="BT186" s="4794">
        <f t="shared" si="260"/>
        <v>0</v>
      </c>
      <c r="BU186" s="4794">
        <f t="shared" si="261"/>
        <v>0</v>
      </c>
      <c r="BV186" s="4794">
        <f t="shared" si="262"/>
        <v>0</v>
      </c>
      <c r="BW186" s="4794">
        <f t="shared" si="263"/>
        <v>0</v>
      </c>
      <c r="BX186" s="4794">
        <f t="shared" si="264"/>
        <v>0</v>
      </c>
      <c r="BY186" s="4794">
        <f t="shared" si="265"/>
        <v>0</v>
      </c>
    </row>
    <row r="187" spans="1:77" s="1344" customFormat="1" ht="24">
      <c r="A187" s="2741">
        <v>16</v>
      </c>
      <c r="B187" s="2684">
        <v>2040207</v>
      </c>
      <c r="C187" s="2685">
        <v>0.04</v>
      </c>
      <c r="D187" s="2720" t="s">
        <v>422</v>
      </c>
      <c r="E187" s="2815">
        <f t="shared" si="230"/>
        <v>1678</v>
      </c>
      <c r="F187" s="1247">
        <f t="shared" si="225"/>
        <v>1777.58</v>
      </c>
      <c r="G187" s="1243">
        <f t="shared" si="225"/>
        <v>1790.3600000000001</v>
      </c>
      <c r="H187" s="1243">
        <f t="shared" si="225"/>
        <v>1768.54</v>
      </c>
      <c r="I187" s="1243">
        <f t="shared" si="225"/>
        <v>1742.72</v>
      </c>
      <c r="J187" s="1243">
        <f t="shared" si="225"/>
        <v>1712.9</v>
      </c>
      <c r="K187" s="1248">
        <f t="shared" si="225"/>
        <v>1679.0800000000002</v>
      </c>
      <c r="L187" s="2815">
        <f t="shared" si="225"/>
        <v>0</v>
      </c>
      <c r="M187" s="1247">
        <f t="shared" si="226"/>
        <v>0</v>
      </c>
      <c r="N187" s="1243">
        <f t="shared" si="226"/>
        <v>0</v>
      </c>
      <c r="O187" s="1243">
        <f t="shared" si="226"/>
        <v>0</v>
      </c>
      <c r="P187" s="1243">
        <f t="shared" si="226"/>
        <v>0</v>
      </c>
      <c r="Q187" s="1243">
        <f t="shared" si="226"/>
        <v>0</v>
      </c>
      <c r="R187" s="1248">
        <f t="shared" si="226"/>
        <v>0</v>
      </c>
      <c r="S187" s="2815">
        <f t="shared" si="226"/>
        <v>828</v>
      </c>
      <c r="T187" s="1247">
        <f t="shared" si="227"/>
        <v>889.14</v>
      </c>
      <c r="U187" s="1243">
        <f t="shared" si="227"/>
        <v>946.28</v>
      </c>
      <c r="V187" s="1243">
        <f t="shared" si="227"/>
        <v>999.42</v>
      </c>
      <c r="W187" s="1243">
        <f t="shared" si="227"/>
        <v>1048.56</v>
      </c>
      <c r="X187" s="1243">
        <f t="shared" si="227"/>
        <v>1093.6999999999998</v>
      </c>
      <c r="Y187" s="1248">
        <f t="shared" si="227"/>
        <v>1134.8399999999999</v>
      </c>
      <c r="Z187" s="2815">
        <f t="shared" si="227"/>
        <v>0</v>
      </c>
      <c r="AA187" s="1247">
        <f t="shared" si="228"/>
        <v>0</v>
      </c>
      <c r="AB187" s="1243">
        <f t="shared" si="228"/>
        <v>0</v>
      </c>
      <c r="AC187" s="1243">
        <f t="shared" si="228"/>
        <v>0</v>
      </c>
      <c r="AD187" s="1243">
        <f t="shared" si="228"/>
        <v>0</v>
      </c>
      <c r="AE187" s="1243">
        <f t="shared" si="228"/>
        <v>0</v>
      </c>
      <c r="AF187" s="1248">
        <f t="shared" si="228"/>
        <v>0</v>
      </c>
      <c r="AG187" s="2815">
        <f t="shared" si="228"/>
        <v>0</v>
      </c>
      <c r="AH187" s="1247">
        <f t="shared" si="228"/>
        <v>0</v>
      </c>
      <c r="AI187" s="1243">
        <f t="shared" si="228"/>
        <v>0</v>
      </c>
      <c r="AJ187" s="1243">
        <f t="shared" si="228"/>
        <v>0</v>
      </c>
      <c r="AK187" s="1243">
        <f t="shared" si="228"/>
        <v>0</v>
      </c>
      <c r="AL187" s="1243">
        <f t="shared" si="228"/>
        <v>0</v>
      </c>
      <c r="AM187" s="1248">
        <f t="shared" si="228"/>
        <v>0</v>
      </c>
      <c r="AN187" s="2681"/>
      <c r="AO187" s="2719"/>
      <c r="AP187" s="4775"/>
      <c r="AQ187" s="4794">
        <f t="shared" si="231"/>
        <v>857.94777664725461</v>
      </c>
      <c r="AR187" s="4794">
        <f t="shared" si="232"/>
        <v>908.86222217677403</v>
      </c>
      <c r="AS187" s="4794">
        <f t="shared" si="233"/>
        <v>915.39653241846179</v>
      </c>
      <c r="AT187" s="4794">
        <f t="shared" si="234"/>
        <v>904.24014357076021</v>
      </c>
      <c r="AU187" s="4794">
        <f t="shared" si="235"/>
        <v>891.03858719827394</v>
      </c>
      <c r="AV187" s="4794">
        <f t="shared" si="236"/>
        <v>875.79186330100276</v>
      </c>
      <c r="AW187" s="4794">
        <f t="shared" si="237"/>
        <v>858.49997187894667</v>
      </c>
      <c r="AX187" s="4794">
        <f t="shared" si="238"/>
        <v>0</v>
      </c>
      <c r="AY187" s="4794">
        <f t="shared" si="239"/>
        <v>0</v>
      </c>
      <c r="AZ187" s="4794">
        <f t="shared" si="240"/>
        <v>0</v>
      </c>
      <c r="BA187" s="4794">
        <f t="shared" si="241"/>
        <v>0</v>
      </c>
      <c r="BB187" s="4794">
        <f t="shared" si="242"/>
        <v>0</v>
      </c>
      <c r="BC187" s="4794">
        <f t="shared" si="243"/>
        <v>0</v>
      </c>
      <c r="BD187" s="4794">
        <f t="shared" si="244"/>
        <v>0</v>
      </c>
      <c r="BE187" s="4794">
        <f t="shared" si="245"/>
        <v>423.34967763046893</v>
      </c>
      <c r="BF187" s="4794">
        <f t="shared" si="246"/>
        <v>454.61006324680568</v>
      </c>
      <c r="BG187" s="4794">
        <f t="shared" si="247"/>
        <v>483.82528133835763</v>
      </c>
      <c r="BH187" s="4794">
        <f t="shared" si="248"/>
        <v>510.99533190512466</v>
      </c>
      <c r="BI187" s="4794">
        <f t="shared" si="249"/>
        <v>536.12021494710689</v>
      </c>
      <c r="BJ187" s="4794">
        <f t="shared" si="250"/>
        <v>559.19993046430409</v>
      </c>
      <c r="BK187" s="4794">
        <f t="shared" si="251"/>
        <v>580.2344784567166</v>
      </c>
      <c r="BL187" s="4794">
        <f t="shared" si="252"/>
        <v>0</v>
      </c>
      <c r="BM187" s="4794">
        <f t="shared" si="253"/>
        <v>0</v>
      </c>
      <c r="BN187" s="4794">
        <f t="shared" si="254"/>
        <v>0</v>
      </c>
      <c r="BO187" s="4794">
        <f t="shared" si="255"/>
        <v>0</v>
      </c>
      <c r="BP187" s="4794">
        <f t="shared" si="256"/>
        <v>0</v>
      </c>
      <c r="BQ187" s="4794">
        <f t="shared" si="257"/>
        <v>0</v>
      </c>
      <c r="BR187" s="4794">
        <f t="shared" si="258"/>
        <v>0</v>
      </c>
      <c r="BS187" s="4794">
        <f t="shared" si="259"/>
        <v>0</v>
      </c>
      <c r="BT187" s="4794">
        <f t="shared" si="260"/>
        <v>0</v>
      </c>
      <c r="BU187" s="4794">
        <f t="shared" si="261"/>
        <v>0</v>
      </c>
      <c r="BV187" s="4794">
        <f t="shared" si="262"/>
        <v>0</v>
      </c>
      <c r="BW187" s="4794">
        <f t="shared" si="263"/>
        <v>0</v>
      </c>
      <c r="BX187" s="4794">
        <f t="shared" si="264"/>
        <v>0</v>
      </c>
      <c r="BY187" s="4794">
        <f t="shared" si="265"/>
        <v>0</v>
      </c>
    </row>
    <row r="188" spans="1:77" s="1344" customFormat="1">
      <c r="A188" s="2741">
        <v>17</v>
      </c>
      <c r="B188" s="2684">
        <v>2040208</v>
      </c>
      <c r="C188" s="2685">
        <v>0.04</v>
      </c>
      <c r="D188" s="2720" t="s">
        <v>423</v>
      </c>
      <c r="E188" s="2815">
        <f t="shared" si="230"/>
        <v>30</v>
      </c>
      <c r="F188" s="1247">
        <f t="shared" ref="F188:T189" si="266">F128-F168</f>
        <v>28</v>
      </c>
      <c r="G188" s="1243">
        <f t="shared" si="266"/>
        <v>26</v>
      </c>
      <c r="H188" s="1243">
        <f t="shared" si="266"/>
        <v>24</v>
      </c>
      <c r="I188" s="1243">
        <f t="shared" si="266"/>
        <v>22</v>
      </c>
      <c r="J188" s="1243">
        <f t="shared" si="266"/>
        <v>20</v>
      </c>
      <c r="K188" s="1248">
        <f t="shared" si="266"/>
        <v>18</v>
      </c>
      <c r="L188" s="2815">
        <f t="shared" si="266"/>
        <v>3</v>
      </c>
      <c r="M188" s="1247">
        <f t="shared" si="266"/>
        <v>3</v>
      </c>
      <c r="N188" s="1243">
        <f t="shared" si="266"/>
        <v>3</v>
      </c>
      <c r="O188" s="1243">
        <f t="shared" si="266"/>
        <v>3</v>
      </c>
      <c r="P188" s="1243">
        <f t="shared" si="266"/>
        <v>3</v>
      </c>
      <c r="Q188" s="1243">
        <f t="shared" si="266"/>
        <v>3</v>
      </c>
      <c r="R188" s="1248">
        <f t="shared" si="266"/>
        <v>3</v>
      </c>
      <c r="S188" s="2815">
        <f t="shared" si="266"/>
        <v>0</v>
      </c>
      <c r="T188" s="1247">
        <f t="shared" si="266"/>
        <v>0</v>
      </c>
      <c r="U188" s="1243">
        <f t="shared" ref="T188:AM190" si="267">U128-U168</f>
        <v>0</v>
      </c>
      <c r="V188" s="1243">
        <f t="shared" si="267"/>
        <v>0</v>
      </c>
      <c r="W188" s="1243">
        <f t="shared" si="267"/>
        <v>0</v>
      </c>
      <c r="X188" s="1243">
        <f t="shared" si="267"/>
        <v>0</v>
      </c>
      <c r="Y188" s="1248">
        <f t="shared" si="267"/>
        <v>0</v>
      </c>
      <c r="Z188" s="2815">
        <f t="shared" si="267"/>
        <v>0</v>
      </c>
      <c r="AA188" s="1247">
        <f t="shared" si="267"/>
        <v>0</v>
      </c>
      <c r="AB188" s="1243">
        <f t="shared" si="267"/>
        <v>0</v>
      </c>
      <c r="AC188" s="1243">
        <f t="shared" si="267"/>
        <v>0</v>
      </c>
      <c r="AD188" s="1243">
        <f t="shared" si="267"/>
        <v>0</v>
      </c>
      <c r="AE188" s="1243">
        <f t="shared" si="267"/>
        <v>0</v>
      </c>
      <c r="AF188" s="1248">
        <f t="shared" si="267"/>
        <v>0</v>
      </c>
      <c r="AG188" s="2815">
        <f t="shared" si="267"/>
        <v>0</v>
      </c>
      <c r="AH188" s="1247">
        <f t="shared" si="267"/>
        <v>0</v>
      </c>
      <c r="AI188" s="1243">
        <f t="shared" si="267"/>
        <v>0</v>
      </c>
      <c r="AJ188" s="1243">
        <f t="shared" si="267"/>
        <v>0</v>
      </c>
      <c r="AK188" s="1243">
        <f t="shared" si="267"/>
        <v>0</v>
      </c>
      <c r="AL188" s="1243">
        <f t="shared" si="267"/>
        <v>0</v>
      </c>
      <c r="AM188" s="1248">
        <f t="shared" si="267"/>
        <v>0</v>
      </c>
      <c r="AN188" s="2681"/>
      <c r="AO188" s="2719"/>
      <c r="AP188" s="4775"/>
      <c r="AQ188" s="4794">
        <f t="shared" si="231"/>
        <v>15.338756435886555</v>
      </c>
      <c r="AR188" s="4794">
        <f t="shared" si="232"/>
        <v>14.316172673494117</v>
      </c>
      <c r="AS188" s="4794">
        <f t="shared" si="233"/>
        <v>13.293588911101681</v>
      </c>
      <c r="AT188" s="4794">
        <f t="shared" si="234"/>
        <v>12.271005148709245</v>
      </c>
      <c r="AU188" s="4794">
        <f t="shared" si="235"/>
        <v>11.248421386316807</v>
      </c>
      <c r="AV188" s="4794">
        <f t="shared" si="236"/>
        <v>10.22583762392437</v>
      </c>
      <c r="AW188" s="4794">
        <f t="shared" si="237"/>
        <v>9.2032538615319321</v>
      </c>
      <c r="AX188" s="4794">
        <f t="shared" si="238"/>
        <v>1.5338756435886556</v>
      </c>
      <c r="AY188" s="4794">
        <f t="shared" si="239"/>
        <v>1.5338756435886556</v>
      </c>
      <c r="AZ188" s="4794">
        <f t="shared" si="240"/>
        <v>1.5338756435886556</v>
      </c>
      <c r="BA188" s="4794">
        <f t="shared" si="241"/>
        <v>1.5338756435886556</v>
      </c>
      <c r="BB188" s="4794">
        <f t="shared" si="242"/>
        <v>1.5338756435886556</v>
      </c>
      <c r="BC188" s="4794">
        <f t="shared" si="243"/>
        <v>1.5338756435886556</v>
      </c>
      <c r="BD188" s="4794">
        <f t="shared" si="244"/>
        <v>1.5338756435886556</v>
      </c>
      <c r="BE188" s="4794">
        <f t="shared" si="245"/>
        <v>0</v>
      </c>
      <c r="BF188" s="4794">
        <f t="shared" si="246"/>
        <v>0</v>
      </c>
      <c r="BG188" s="4794">
        <f t="shared" si="247"/>
        <v>0</v>
      </c>
      <c r="BH188" s="4794">
        <f t="shared" si="248"/>
        <v>0</v>
      </c>
      <c r="BI188" s="4794">
        <f t="shared" si="249"/>
        <v>0</v>
      </c>
      <c r="BJ188" s="4794">
        <f t="shared" si="250"/>
        <v>0</v>
      </c>
      <c r="BK188" s="4794">
        <f t="shared" si="251"/>
        <v>0</v>
      </c>
      <c r="BL188" s="4794">
        <f t="shared" si="252"/>
        <v>0</v>
      </c>
      <c r="BM188" s="4794">
        <f t="shared" si="253"/>
        <v>0</v>
      </c>
      <c r="BN188" s="4794">
        <f t="shared" si="254"/>
        <v>0</v>
      </c>
      <c r="BO188" s="4794">
        <f t="shared" si="255"/>
        <v>0</v>
      </c>
      <c r="BP188" s="4794">
        <f t="shared" si="256"/>
        <v>0</v>
      </c>
      <c r="BQ188" s="4794">
        <f t="shared" si="257"/>
        <v>0</v>
      </c>
      <c r="BR188" s="4794">
        <f t="shared" si="258"/>
        <v>0</v>
      </c>
      <c r="BS188" s="4794">
        <f t="shared" si="259"/>
        <v>0</v>
      </c>
      <c r="BT188" s="4794">
        <f t="shared" si="260"/>
        <v>0</v>
      </c>
      <c r="BU188" s="4794">
        <f t="shared" si="261"/>
        <v>0</v>
      </c>
      <c r="BV188" s="4794">
        <f t="shared" si="262"/>
        <v>0</v>
      </c>
      <c r="BW188" s="4794">
        <f t="shared" si="263"/>
        <v>0</v>
      </c>
      <c r="BX188" s="4794">
        <f t="shared" si="264"/>
        <v>0</v>
      </c>
      <c r="BY188" s="4794">
        <f t="shared" si="265"/>
        <v>0</v>
      </c>
    </row>
    <row r="189" spans="1:77" s="1344" customFormat="1">
      <c r="A189" s="2741">
        <v>18</v>
      </c>
      <c r="B189" s="2742" t="s">
        <v>1051</v>
      </c>
      <c r="C189" s="2685">
        <v>0.04</v>
      </c>
      <c r="D189" s="2739" t="s">
        <v>434</v>
      </c>
      <c r="E189" s="2815">
        <f t="shared" si="230"/>
        <v>0</v>
      </c>
      <c r="F189" s="1247">
        <f t="shared" si="266"/>
        <v>0</v>
      </c>
      <c r="G189" s="1243">
        <f t="shared" si="266"/>
        <v>0</v>
      </c>
      <c r="H189" s="1243">
        <f t="shared" si="266"/>
        <v>0</v>
      </c>
      <c r="I189" s="1243">
        <f t="shared" si="266"/>
        <v>0</v>
      </c>
      <c r="J189" s="1243">
        <f t="shared" si="266"/>
        <v>0</v>
      </c>
      <c r="K189" s="1248">
        <f t="shared" si="266"/>
        <v>0</v>
      </c>
      <c r="L189" s="2815">
        <f t="shared" si="266"/>
        <v>0</v>
      </c>
      <c r="M189" s="1247">
        <f t="shared" si="266"/>
        <v>0</v>
      </c>
      <c r="N189" s="1243">
        <f t="shared" si="266"/>
        <v>0</v>
      </c>
      <c r="O189" s="1243">
        <f t="shared" si="266"/>
        <v>0</v>
      </c>
      <c r="P189" s="1243">
        <f t="shared" si="266"/>
        <v>0</v>
      </c>
      <c r="Q189" s="1243">
        <f t="shared" si="266"/>
        <v>0</v>
      </c>
      <c r="R189" s="1248">
        <f t="shared" si="266"/>
        <v>0</v>
      </c>
      <c r="S189" s="2815">
        <f t="shared" si="266"/>
        <v>0</v>
      </c>
      <c r="T189" s="1247">
        <f t="shared" si="267"/>
        <v>0</v>
      </c>
      <c r="U189" s="1243">
        <f t="shared" si="267"/>
        <v>0</v>
      </c>
      <c r="V189" s="1243">
        <f t="shared" si="267"/>
        <v>0</v>
      </c>
      <c r="W189" s="1243">
        <f t="shared" si="267"/>
        <v>0</v>
      </c>
      <c r="X189" s="1243">
        <f t="shared" si="267"/>
        <v>0</v>
      </c>
      <c r="Y189" s="1248">
        <f t="shared" si="267"/>
        <v>0</v>
      </c>
      <c r="Z189" s="2815">
        <f t="shared" si="267"/>
        <v>0</v>
      </c>
      <c r="AA189" s="1247">
        <f t="shared" si="267"/>
        <v>0</v>
      </c>
      <c r="AB189" s="1243">
        <f t="shared" si="267"/>
        <v>0</v>
      </c>
      <c r="AC189" s="1243">
        <f t="shared" si="267"/>
        <v>0</v>
      </c>
      <c r="AD189" s="1243">
        <f t="shared" si="267"/>
        <v>0</v>
      </c>
      <c r="AE189" s="1243">
        <f t="shared" si="267"/>
        <v>0</v>
      </c>
      <c r="AF189" s="1248">
        <f t="shared" si="267"/>
        <v>0</v>
      </c>
      <c r="AG189" s="2815">
        <f t="shared" si="267"/>
        <v>0</v>
      </c>
      <c r="AH189" s="1247">
        <f t="shared" si="267"/>
        <v>0</v>
      </c>
      <c r="AI189" s="1243">
        <f t="shared" si="267"/>
        <v>0</v>
      </c>
      <c r="AJ189" s="1243">
        <f t="shared" si="267"/>
        <v>0</v>
      </c>
      <c r="AK189" s="1243">
        <f t="shared" si="267"/>
        <v>0</v>
      </c>
      <c r="AL189" s="1243">
        <f t="shared" si="267"/>
        <v>0</v>
      </c>
      <c r="AM189" s="1248">
        <f t="shared" si="267"/>
        <v>0</v>
      </c>
      <c r="AN189" s="2681"/>
      <c r="AO189" s="2719"/>
      <c r="AP189" s="4775"/>
      <c r="AQ189" s="4794">
        <f t="shared" si="231"/>
        <v>0</v>
      </c>
      <c r="AR189" s="4794">
        <f t="shared" si="232"/>
        <v>0</v>
      </c>
      <c r="AS189" s="4794">
        <f t="shared" si="233"/>
        <v>0</v>
      </c>
      <c r="AT189" s="4794">
        <f t="shared" si="234"/>
        <v>0</v>
      </c>
      <c r="AU189" s="4794">
        <f t="shared" si="235"/>
        <v>0</v>
      </c>
      <c r="AV189" s="4794">
        <f t="shared" si="236"/>
        <v>0</v>
      </c>
      <c r="AW189" s="4794">
        <f t="shared" si="237"/>
        <v>0</v>
      </c>
      <c r="AX189" s="4794">
        <f t="shared" si="238"/>
        <v>0</v>
      </c>
      <c r="AY189" s="4794">
        <f t="shared" si="239"/>
        <v>0</v>
      </c>
      <c r="AZ189" s="4794">
        <f t="shared" si="240"/>
        <v>0</v>
      </c>
      <c r="BA189" s="4794">
        <f t="shared" si="241"/>
        <v>0</v>
      </c>
      <c r="BB189" s="4794">
        <f t="shared" si="242"/>
        <v>0</v>
      </c>
      <c r="BC189" s="4794">
        <f t="shared" si="243"/>
        <v>0</v>
      </c>
      <c r="BD189" s="4794">
        <f t="shared" si="244"/>
        <v>0</v>
      </c>
      <c r="BE189" s="4794">
        <f t="shared" si="245"/>
        <v>0</v>
      </c>
      <c r="BF189" s="4794">
        <f t="shared" si="246"/>
        <v>0</v>
      </c>
      <c r="BG189" s="4794">
        <f t="shared" si="247"/>
        <v>0</v>
      </c>
      <c r="BH189" s="4794">
        <f t="shared" si="248"/>
        <v>0</v>
      </c>
      <c r="BI189" s="4794">
        <f t="shared" si="249"/>
        <v>0</v>
      </c>
      <c r="BJ189" s="4794">
        <f t="shared" si="250"/>
        <v>0</v>
      </c>
      <c r="BK189" s="4794">
        <f t="shared" si="251"/>
        <v>0</v>
      </c>
      <c r="BL189" s="4794">
        <f t="shared" si="252"/>
        <v>0</v>
      </c>
      <c r="BM189" s="4794">
        <f t="shared" si="253"/>
        <v>0</v>
      </c>
      <c r="BN189" s="4794">
        <f t="shared" si="254"/>
        <v>0</v>
      </c>
      <c r="BO189" s="4794">
        <f t="shared" si="255"/>
        <v>0</v>
      </c>
      <c r="BP189" s="4794">
        <f t="shared" si="256"/>
        <v>0</v>
      </c>
      <c r="BQ189" s="4794">
        <f t="shared" si="257"/>
        <v>0</v>
      </c>
      <c r="BR189" s="4794">
        <f t="shared" si="258"/>
        <v>0</v>
      </c>
      <c r="BS189" s="4794">
        <f t="shared" si="259"/>
        <v>0</v>
      </c>
      <c r="BT189" s="4794">
        <f t="shared" si="260"/>
        <v>0</v>
      </c>
      <c r="BU189" s="4794">
        <f t="shared" si="261"/>
        <v>0</v>
      </c>
      <c r="BV189" s="4794">
        <f t="shared" si="262"/>
        <v>0</v>
      </c>
      <c r="BW189" s="4794">
        <f t="shared" si="263"/>
        <v>0</v>
      </c>
      <c r="BX189" s="4794">
        <f t="shared" si="264"/>
        <v>0</v>
      </c>
      <c r="BY189" s="4794">
        <f t="shared" si="265"/>
        <v>0</v>
      </c>
    </row>
    <row r="190" spans="1:77" s="1344" customFormat="1" ht="24.75" thickBot="1">
      <c r="A190" s="2741">
        <v>19</v>
      </c>
      <c r="B190" s="2684">
        <v>215</v>
      </c>
      <c r="C190" s="2690">
        <v>0.2</v>
      </c>
      <c r="D190" s="2720" t="s">
        <v>679</v>
      </c>
      <c r="E190" s="2815">
        <f t="shared" si="230"/>
        <v>1</v>
      </c>
      <c r="F190" s="1249">
        <f t="shared" ref="F190:S190" si="268">F130-F170</f>
        <v>10</v>
      </c>
      <c r="G190" s="1244">
        <f t="shared" si="268"/>
        <v>17</v>
      </c>
      <c r="H190" s="1244">
        <f t="shared" si="268"/>
        <v>22</v>
      </c>
      <c r="I190" s="1244">
        <f t="shared" si="268"/>
        <v>25</v>
      </c>
      <c r="J190" s="1244">
        <f t="shared" si="268"/>
        <v>26</v>
      </c>
      <c r="K190" s="1250">
        <f t="shared" si="268"/>
        <v>25</v>
      </c>
      <c r="L190" s="2815">
        <f t="shared" si="268"/>
        <v>0</v>
      </c>
      <c r="M190" s="1249">
        <f t="shared" si="268"/>
        <v>0</v>
      </c>
      <c r="N190" s="1244">
        <f t="shared" si="268"/>
        <v>0</v>
      </c>
      <c r="O190" s="1244">
        <f t="shared" si="268"/>
        <v>0</v>
      </c>
      <c r="P190" s="1244">
        <f t="shared" si="268"/>
        <v>0</v>
      </c>
      <c r="Q190" s="1244">
        <f t="shared" si="268"/>
        <v>0</v>
      </c>
      <c r="R190" s="1250">
        <f t="shared" si="268"/>
        <v>0</v>
      </c>
      <c r="S190" s="2815">
        <f t="shared" si="268"/>
        <v>0</v>
      </c>
      <c r="T190" s="1249">
        <f t="shared" si="267"/>
        <v>0</v>
      </c>
      <c r="U190" s="1244">
        <f t="shared" si="267"/>
        <v>0</v>
      </c>
      <c r="V190" s="1244">
        <f t="shared" si="267"/>
        <v>0</v>
      </c>
      <c r="W190" s="1244">
        <f t="shared" si="267"/>
        <v>0</v>
      </c>
      <c r="X190" s="1244">
        <f t="shared" si="267"/>
        <v>0</v>
      </c>
      <c r="Y190" s="1250">
        <f t="shared" si="267"/>
        <v>0</v>
      </c>
      <c r="Z190" s="2815">
        <f t="shared" si="267"/>
        <v>0</v>
      </c>
      <c r="AA190" s="1249">
        <f t="shared" si="267"/>
        <v>0</v>
      </c>
      <c r="AB190" s="1244">
        <f t="shared" si="267"/>
        <v>0</v>
      </c>
      <c r="AC190" s="1244">
        <f t="shared" si="267"/>
        <v>0</v>
      </c>
      <c r="AD190" s="1244">
        <f t="shared" si="267"/>
        <v>0</v>
      </c>
      <c r="AE190" s="1244">
        <f t="shared" si="267"/>
        <v>0</v>
      </c>
      <c r="AF190" s="1250">
        <f t="shared" si="267"/>
        <v>0</v>
      </c>
      <c r="AG190" s="2815">
        <f t="shared" si="267"/>
        <v>0</v>
      </c>
      <c r="AH190" s="1249">
        <f t="shared" si="267"/>
        <v>0</v>
      </c>
      <c r="AI190" s="1244">
        <f t="shared" si="267"/>
        <v>0</v>
      </c>
      <c r="AJ190" s="1244">
        <f t="shared" si="267"/>
        <v>0</v>
      </c>
      <c r="AK190" s="1244">
        <f t="shared" si="267"/>
        <v>0</v>
      </c>
      <c r="AL190" s="1244">
        <f t="shared" si="267"/>
        <v>0</v>
      </c>
      <c r="AM190" s="1250">
        <f t="shared" si="267"/>
        <v>0</v>
      </c>
      <c r="AN190" s="2681"/>
      <c r="AO190" s="2719"/>
      <c r="AP190" s="4775"/>
      <c r="AQ190" s="4794">
        <f t="shared" si="231"/>
        <v>0.51129188119621849</v>
      </c>
      <c r="AR190" s="4794">
        <f t="shared" si="232"/>
        <v>5.1129188119621851</v>
      </c>
      <c r="AS190" s="4794">
        <f t="shared" si="233"/>
        <v>8.691961980335714</v>
      </c>
      <c r="AT190" s="4794">
        <f t="shared" si="234"/>
        <v>11.248421386316807</v>
      </c>
      <c r="AU190" s="4794">
        <f t="shared" si="235"/>
        <v>12.782297029905463</v>
      </c>
      <c r="AV190" s="4794">
        <f t="shared" si="236"/>
        <v>13.293588911101681</v>
      </c>
      <c r="AW190" s="4794">
        <f t="shared" si="237"/>
        <v>12.782297029905463</v>
      </c>
      <c r="AX190" s="4794">
        <f t="shared" si="238"/>
        <v>0</v>
      </c>
      <c r="AY190" s="4794">
        <f t="shared" si="239"/>
        <v>0</v>
      </c>
      <c r="AZ190" s="4794">
        <f t="shared" si="240"/>
        <v>0</v>
      </c>
      <c r="BA190" s="4794">
        <f t="shared" si="241"/>
        <v>0</v>
      </c>
      <c r="BB190" s="4794">
        <f t="shared" si="242"/>
        <v>0</v>
      </c>
      <c r="BC190" s="4794">
        <f t="shared" si="243"/>
        <v>0</v>
      </c>
      <c r="BD190" s="4794">
        <f t="shared" si="244"/>
        <v>0</v>
      </c>
      <c r="BE190" s="4794">
        <f t="shared" si="245"/>
        <v>0</v>
      </c>
      <c r="BF190" s="4794">
        <f t="shared" si="246"/>
        <v>0</v>
      </c>
      <c r="BG190" s="4794">
        <f t="shared" si="247"/>
        <v>0</v>
      </c>
      <c r="BH190" s="4794">
        <f t="shared" si="248"/>
        <v>0</v>
      </c>
      <c r="BI190" s="4794">
        <f t="shared" si="249"/>
        <v>0</v>
      </c>
      <c r="BJ190" s="4794">
        <f t="shared" si="250"/>
        <v>0</v>
      </c>
      <c r="BK190" s="4794">
        <f t="shared" si="251"/>
        <v>0</v>
      </c>
      <c r="BL190" s="4794">
        <f t="shared" si="252"/>
        <v>0</v>
      </c>
      <c r="BM190" s="4794">
        <f t="shared" si="253"/>
        <v>0</v>
      </c>
      <c r="BN190" s="4794">
        <f t="shared" si="254"/>
        <v>0</v>
      </c>
      <c r="BO190" s="4794">
        <f t="shared" si="255"/>
        <v>0</v>
      </c>
      <c r="BP190" s="4794">
        <f t="shared" si="256"/>
        <v>0</v>
      </c>
      <c r="BQ190" s="4794">
        <f t="shared" si="257"/>
        <v>0</v>
      </c>
      <c r="BR190" s="4794">
        <f t="shared" si="258"/>
        <v>0</v>
      </c>
      <c r="BS190" s="4794">
        <f t="shared" si="259"/>
        <v>0</v>
      </c>
      <c r="BT190" s="4794">
        <f t="shared" si="260"/>
        <v>0</v>
      </c>
      <c r="BU190" s="4794">
        <f t="shared" si="261"/>
        <v>0</v>
      </c>
      <c r="BV190" s="4794">
        <f t="shared" si="262"/>
        <v>0</v>
      </c>
      <c r="BW190" s="4794">
        <f t="shared" si="263"/>
        <v>0</v>
      </c>
      <c r="BX190" s="4794">
        <f t="shared" si="264"/>
        <v>0</v>
      </c>
      <c r="BY190" s="4794">
        <f t="shared" si="265"/>
        <v>0</v>
      </c>
    </row>
    <row r="191" spans="1:77" ht="36.75" thickBot="1">
      <c r="A191" s="2736" t="s">
        <v>424</v>
      </c>
      <c r="B191" s="2736"/>
      <c r="C191" s="2736"/>
      <c r="D191" s="2737" t="s">
        <v>645</v>
      </c>
      <c r="E191" s="2804"/>
      <c r="F191" s="2805"/>
      <c r="G191" s="2663"/>
      <c r="H191" s="2663"/>
      <c r="I191" s="2663"/>
      <c r="J191" s="2663"/>
      <c r="K191" s="2806"/>
      <c r="L191" s="2804"/>
      <c r="M191" s="2805"/>
      <c r="N191" s="2663"/>
      <c r="O191" s="2663"/>
      <c r="P191" s="2663"/>
      <c r="Q191" s="2663"/>
      <c r="R191" s="2806"/>
      <c r="S191" s="2804"/>
      <c r="T191" s="2805"/>
      <c r="U191" s="2663"/>
      <c r="V191" s="2663"/>
      <c r="W191" s="2663"/>
      <c r="X191" s="2663"/>
      <c r="Y191" s="2806"/>
      <c r="Z191" s="2804"/>
      <c r="AA191" s="2805"/>
      <c r="AB191" s="2663"/>
      <c r="AC191" s="2663"/>
      <c r="AD191" s="2663"/>
      <c r="AE191" s="2663"/>
      <c r="AF191" s="2806"/>
      <c r="AG191" s="2804"/>
      <c r="AH191" s="2805"/>
      <c r="AI191" s="2663"/>
      <c r="AJ191" s="2663"/>
      <c r="AK191" s="2663"/>
      <c r="AL191" s="2663"/>
      <c r="AM191" s="2806"/>
      <c r="AN191" s="2738"/>
      <c r="AO191" s="2717"/>
      <c r="AP191" s="4775"/>
    </row>
    <row r="192" spans="1:77" s="1344" customFormat="1" ht="13.5" thickBot="1">
      <c r="A192" s="2669" t="s">
        <v>205</v>
      </c>
      <c r="B192" s="2670"/>
      <c r="C192" s="2670"/>
      <c r="D192" s="2670" t="s">
        <v>334</v>
      </c>
      <c r="E192" s="1265">
        <f t="shared" ref="E192" si="269">SUM(E193:E213)</f>
        <v>91306</v>
      </c>
      <c r="F192" s="2807">
        <f t="shared" ref="F192:AM192" si="270">SUM(F193:F213)</f>
        <v>91306</v>
      </c>
      <c r="G192" s="1166">
        <f t="shared" si="270"/>
        <v>91306</v>
      </c>
      <c r="H192" s="1166">
        <f t="shared" si="270"/>
        <v>91306</v>
      </c>
      <c r="I192" s="1167">
        <f t="shared" si="270"/>
        <v>91306</v>
      </c>
      <c r="J192" s="1166">
        <f t="shared" si="270"/>
        <v>91306</v>
      </c>
      <c r="K192" s="1166">
        <f t="shared" si="270"/>
        <v>91306</v>
      </c>
      <c r="L192" s="1265">
        <f t="shared" si="270"/>
        <v>81397</v>
      </c>
      <c r="M192" s="2807">
        <f t="shared" si="270"/>
        <v>81397</v>
      </c>
      <c r="N192" s="1166">
        <f t="shared" si="270"/>
        <v>81397</v>
      </c>
      <c r="O192" s="1166">
        <f t="shared" si="270"/>
        <v>81397</v>
      </c>
      <c r="P192" s="1167">
        <f t="shared" si="270"/>
        <v>81397</v>
      </c>
      <c r="Q192" s="1166">
        <f t="shared" si="270"/>
        <v>81397</v>
      </c>
      <c r="R192" s="1166">
        <f t="shared" si="270"/>
        <v>81397</v>
      </c>
      <c r="S192" s="1265">
        <f t="shared" si="270"/>
        <v>39365</v>
      </c>
      <c r="T192" s="2807">
        <f t="shared" si="270"/>
        <v>39365</v>
      </c>
      <c r="U192" s="1166">
        <f t="shared" si="270"/>
        <v>39365</v>
      </c>
      <c r="V192" s="1166">
        <f t="shared" si="270"/>
        <v>39365</v>
      </c>
      <c r="W192" s="1167">
        <f t="shared" si="270"/>
        <v>39365</v>
      </c>
      <c r="X192" s="1166">
        <f t="shared" si="270"/>
        <v>39365</v>
      </c>
      <c r="Y192" s="2808">
        <f t="shared" si="270"/>
        <v>39365</v>
      </c>
      <c r="Z192" s="1265">
        <f t="shared" si="270"/>
        <v>0</v>
      </c>
      <c r="AA192" s="2807">
        <f t="shared" si="270"/>
        <v>0</v>
      </c>
      <c r="AB192" s="1166">
        <f t="shared" si="270"/>
        <v>0</v>
      </c>
      <c r="AC192" s="1166">
        <f t="shared" si="270"/>
        <v>0</v>
      </c>
      <c r="AD192" s="1167">
        <f t="shared" si="270"/>
        <v>0</v>
      </c>
      <c r="AE192" s="1166">
        <f t="shared" si="270"/>
        <v>0</v>
      </c>
      <c r="AF192" s="2808">
        <f t="shared" si="270"/>
        <v>0</v>
      </c>
      <c r="AG192" s="1265">
        <f t="shared" si="270"/>
        <v>0</v>
      </c>
      <c r="AH192" s="2807">
        <f t="shared" si="270"/>
        <v>0</v>
      </c>
      <c r="AI192" s="1166">
        <f t="shared" si="270"/>
        <v>0</v>
      </c>
      <c r="AJ192" s="1166">
        <f t="shared" si="270"/>
        <v>0</v>
      </c>
      <c r="AK192" s="1167">
        <f t="shared" si="270"/>
        <v>0</v>
      </c>
      <c r="AL192" s="1166">
        <f t="shared" si="270"/>
        <v>0</v>
      </c>
      <c r="AM192" s="2808">
        <f t="shared" si="270"/>
        <v>0</v>
      </c>
      <c r="AN192" s="2681"/>
      <c r="AO192" s="2719"/>
      <c r="AP192" s="4775"/>
      <c r="AQ192" s="4794">
        <f t="shared" ref="AQ192:AQ255" si="271">IFERROR(E192/$D$1,0)</f>
        <v>46684.016504501924</v>
      </c>
      <c r="AR192" s="4794">
        <f t="shared" ref="AR192:AR255" si="272">IFERROR(F192/$D$1,0)</f>
        <v>46684.016504501924</v>
      </c>
      <c r="AS192" s="4794">
        <f t="shared" ref="AS192:AS255" si="273">IFERROR(G192/$D$1,0)</f>
        <v>46684.016504501924</v>
      </c>
      <c r="AT192" s="4794">
        <f t="shared" ref="AT192:AT255" si="274">IFERROR(H192/$D$1,0)</f>
        <v>46684.016504501924</v>
      </c>
      <c r="AU192" s="4794">
        <f t="shared" ref="AU192:AU255" si="275">IFERROR(I192/$D$1,0)</f>
        <v>46684.016504501924</v>
      </c>
      <c r="AV192" s="4794">
        <f t="shared" ref="AV192:AV255" si="276">IFERROR(J192/$D$1,0)</f>
        <v>46684.016504501924</v>
      </c>
      <c r="AW192" s="4794">
        <f t="shared" ref="AW192:AW255" si="277">IFERROR(K192/$D$1,0)</f>
        <v>46684.016504501924</v>
      </c>
      <c r="AX192" s="4794">
        <f t="shared" ref="AX192:AX255" si="278">IFERROR(L192/$D$1,0)</f>
        <v>41617.625253728598</v>
      </c>
      <c r="AY192" s="4794">
        <f t="shared" ref="AY192:AY255" si="279">IFERROR(M192/$D$1,0)</f>
        <v>41617.625253728598</v>
      </c>
      <c r="AZ192" s="4794">
        <f t="shared" ref="AZ192:AZ255" si="280">IFERROR(N192/$D$1,0)</f>
        <v>41617.625253728598</v>
      </c>
      <c r="BA192" s="4794">
        <f t="shared" ref="BA192:BA255" si="281">IFERROR(O192/$D$1,0)</f>
        <v>41617.625253728598</v>
      </c>
      <c r="BB192" s="4794">
        <f t="shared" ref="BB192:BB255" si="282">IFERROR(P192/$D$1,0)</f>
        <v>41617.625253728598</v>
      </c>
      <c r="BC192" s="4794">
        <f t="shared" ref="BC192:BC255" si="283">IFERROR(Q192/$D$1,0)</f>
        <v>41617.625253728598</v>
      </c>
      <c r="BD192" s="4794">
        <f t="shared" ref="BD192:BD255" si="284">IFERROR(R192/$D$1,0)</f>
        <v>41617.625253728598</v>
      </c>
      <c r="BE192" s="4794">
        <f t="shared" ref="BE192:BE255" si="285">IFERROR(S192/$D$1,0)</f>
        <v>20127.00490328914</v>
      </c>
      <c r="BF192" s="4794">
        <f t="shared" ref="BF192:BF255" si="286">IFERROR(T192/$D$1,0)</f>
        <v>20127.00490328914</v>
      </c>
      <c r="BG192" s="4794">
        <f t="shared" ref="BG192:BG255" si="287">IFERROR(U192/$D$1,0)</f>
        <v>20127.00490328914</v>
      </c>
      <c r="BH192" s="4794">
        <f t="shared" ref="BH192:BH255" si="288">IFERROR(V192/$D$1,0)</f>
        <v>20127.00490328914</v>
      </c>
      <c r="BI192" s="4794">
        <f t="shared" ref="BI192:BI255" si="289">IFERROR(W192/$D$1,0)</f>
        <v>20127.00490328914</v>
      </c>
      <c r="BJ192" s="4794">
        <f t="shared" ref="BJ192:BJ255" si="290">IFERROR(X192/$D$1,0)</f>
        <v>20127.00490328914</v>
      </c>
      <c r="BK192" s="4794">
        <f t="shared" ref="BK192:BK255" si="291">IFERROR(Y192/$D$1,0)</f>
        <v>20127.00490328914</v>
      </c>
      <c r="BL192" s="4794">
        <f t="shared" ref="BL192:BL255" si="292">IFERROR(Z192/$D$1,0)</f>
        <v>0</v>
      </c>
      <c r="BM192" s="4794">
        <f t="shared" ref="BM192:BM255" si="293">IFERROR(AA192/$D$1,0)</f>
        <v>0</v>
      </c>
      <c r="BN192" s="4794">
        <f t="shared" ref="BN192:BN255" si="294">IFERROR(AB192/$D$1,0)</f>
        <v>0</v>
      </c>
      <c r="BO192" s="4794">
        <f t="shared" ref="BO192:BO255" si="295">IFERROR(AC192/$D$1,0)</f>
        <v>0</v>
      </c>
      <c r="BP192" s="4794">
        <f t="shared" ref="BP192:BP255" si="296">IFERROR(AD192/$D$1,0)</f>
        <v>0</v>
      </c>
      <c r="BQ192" s="4794">
        <f t="shared" ref="BQ192:BQ255" si="297">IFERROR(AE192/$D$1,0)</f>
        <v>0</v>
      </c>
      <c r="BR192" s="4794">
        <f t="shared" ref="BR192:BR255" si="298">IFERROR(AF192/$D$1,0)</f>
        <v>0</v>
      </c>
      <c r="BS192" s="4794">
        <f t="shared" ref="BS192:BS255" si="299">IFERROR(AG192/$D$1,0)</f>
        <v>0</v>
      </c>
      <c r="BT192" s="4794">
        <f t="shared" ref="BT192:BT255" si="300">IFERROR(AH192/$D$1,0)</f>
        <v>0</v>
      </c>
      <c r="BU192" s="4794">
        <f t="shared" ref="BU192:BU255" si="301">IFERROR(AI192/$D$1,0)</f>
        <v>0</v>
      </c>
      <c r="BV192" s="4794">
        <f t="shared" ref="BV192:BV255" si="302">IFERROR(AJ192/$D$1,0)</f>
        <v>0</v>
      </c>
      <c r="BW192" s="4794">
        <f t="shared" ref="BW192:BW255" si="303">IFERROR(AK192/$D$1,0)</f>
        <v>0</v>
      </c>
      <c r="BX192" s="4794">
        <f t="shared" ref="BX192:BX255" si="304">IFERROR(AL192/$D$1,0)</f>
        <v>0</v>
      </c>
      <c r="BY192" s="4794">
        <f t="shared" ref="BY192:BY255" si="305">IFERROR(AM192/$D$1,0)</f>
        <v>0</v>
      </c>
    </row>
    <row r="193" spans="1:77" s="1344" customFormat="1">
      <c r="A193" s="2683">
        <v>1</v>
      </c>
      <c r="B193" s="2744" t="s">
        <v>696</v>
      </c>
      <c r="C193" s="2701">
        <v>0</v>
      </c>
      <c r="D193" s="2731" t="s">
        <v>558</v>
      </c>
      <c r="E193" s="4738">
        <f>+'11.3. ДА Базова година'!H154</f>
        <v>27</v>
      </c>
      <c r="F193" s="2789">
        <f>E193+SUMIF('11.2. ДА за периода'!$B$111:$B$131,$B193,'11.2. ДА за периода'!F$111:F$131)</f>
        <v>27</v>
      </c>
      <c r="G193" s="1164">
        <f>F193+SUMIF('11.2. ДА за периода'!$B$111:$B$131,$B193,'11.2. ДА за периода'!G$111:G$131)</f>
        <v>27</v>
      </c>
      <c r="H193" s="1164">
        <f>G193+SUMIF('11.2. ДА за периода'!$B$111:$B$131,$B193,'11.2. ДА за периода'!H$111:H$131)</f>
        <v>27</v>
      </c>
      <c r="I193" s="1164">
        <f>H193+SUMIF('11.2. ДА за периода'!$B$111:$B$131,$B193,'11.2. ДА за периода'!I$111:I$131)</f>
        <v>27</v>
      </c>
      <c r="J193" s="1164">
        <f>I193+SUMIF('11.2. ДА за периода'!$B$111:$B$131,$B193,'11.2. ДА за периода'!J$111:J$131)</f>
        <v>27</v>
      </c>
      <c r="K193" s="2790">
        <f>J193+SUMIF('11.2. ДА за периода'!$B$111:$B$131,$B193,'11.2. ДА за периода'!K$111:K$131)</f>
        <v>27</v>
      </c>
      <c r="L193" s="4738">
        <f>+'11.3. ДА Базова година'!L154</f>
        <v>0</v>
      </c>
      <c r="M193" s="2789">
        <f>L193+SUMIF('11.2. ДА за периода'!$B$111:$B$131,$B193,'11.2. ДА за периода'!M$111:M$131)</f>
        <v>0</v>
      </c>
      <c r="N193" s="1164">
        <f>M193+SUMIF('11.2. ДА за периода'!$B$111:$B$131,$B193,'11.2. ДА за периода'!N$111:N$131)</f>
        <v>0</v>
      </c>
      <c r="O193" s="1164">
        <f>N193+SUMIF('11.2. ДА за периода'!$B$111:$B$131,$B193,'11.2. ДА за периода'!O$111:O$131)</f>
        <v>0</v>
      </c>
      <c r="P193" s="1164">
        <f>O193+SUMIF('11.2. ДА за периода'!$B$111:$B$131,$B193,'11.2. ДА за периода'!P$111:P$131)</f>
        <v>0</v>
      </c>
      <c r="Q193" s="1164">
        <f>P193+SUMIF('11.2. ДА за периода'!$B$111:$B$131,$B193,'11.2. ДА за периода'!Q$111:Q$131)</f>
        <v>0</v>
      </c>
      <c r="R193" s="2790">
        <f>Q193+SUMIF('11.2. ДА за периода'!$B$111:$B$131,$B193,'11.2. ДА за периода'!R$111:R$131)</f>
        <v>0</v>
      </c>
      <c r="S193" s="4738">
        <f>+'11.3. ДА Базова година'!P154</f>
        <v>0</v>
      </c>
      <c r="T193" s="2789">
        <f>S193+SUMIF('11.2. ДА за периода'!$B$111:$B$131,$B193,'11.2. ДА за периода'!T$111:T$131)</f>
        <v>0</v>
      </c>
      <c r="U193" s="1164">
        <f>T193+SUMIF('11.2. ДА за периода'!$B$111:$B$131,$B193,'11.2. ДА за периода'!U$111:U$131)</f>
        <v>0</v>
      </c>
      <c r="V193" s="1164">
        <f>U193+SUMIF('11.2. ДА за периода'!$B$111:$B$131,$B193,'11.2. ДА за периода'!V$111:V$131)</f>
        <v>0</v>
      </c>
      <c r="W193" s="1164">
        <f>V193+SUMIF('11.2. ДА за периода'!$B$111:$B$131,$B193,'11.2. ДА за периода'!W$111:W$131)</f>
        <v>0</v>
      </c>
      <c r="X193" s="1164">
        <f>W193+SUMIF('11.2. ДА за периода'!$B$111:$B$131,$B193,'11.2. ДА за периода'!X$111:X$131)</f>
        <v>0</v>
      </c>
      <c r="Y193" s="2790">
        <f>X193+SUMIF('11.2. ДА за периода'!$B$111:$B$131,$B193,'11.2. ДА за периода'!Y$111:Y$131)</f>
        <v>0</v>
      </c>
      <c r="Z193" s="4738">
        <f>+'11.3. ДА Базова година'!T154</f>
        <v>0</v>
      </c>
      <c r="AA193" s="2789">
        <f>Z193+SUMIF('11.2. ДА за периода'!$B$111:$B$131,$B193,'11.2. ДА за периода'!AA$111:AA$131)</f>
        <v>0</v>
      </c>
      <c r="AB193" s="1164">
        <f>AA193+SUMIF('11.2. ДА за периода'!$B$111:$B$131,$B193,'11.2. ДА за периода'!AB$111:AB$131)</f>
        <v>0</v>
      </c>
      <c r="AC193" s="1164">
        <f>AB193+SUMIF('11.2. ДА за периода'!$B$111:$B$131,$B193,'11.2. ДА за периода'!AC$111:AC$131)</f>
        <v>0</v>
      </c>
      <c r="AD193" s="1164">
        <f>AC193+SUMIF('11.2. ДА за периода'!$B$111:$B$131,$B193,'11.2. ДА за периода'!AD$111:AD$131)</f>
        <v>0</v>
      </c>
      <c r="AE193" s="1164">
        <f>AD193+SUMIF('11.2. ДА за периода'!$B$111:$B$131,$B193,'11.2. ДА за периода'!AE$111:AE$131)</f>
        <v>0</v>
      </c>
      <c r="AF193" s="2790">
        <f>AE193+SUMIF('11.2. ДА за периода'!$B$111:$B$131,$B193,'11.2. ДА за периода'!AF$111:AF$131)</f>
        <v>0</v>
      </c>
      <c r="AG193" s="4738">
        <f>+'11.3. ДА Базова година'!X154</f>
        <v>0</v>
      </c>
      <c r="AH193" s="2789">
        <f>AG193+SUMIF('11.2. ДА за периода'!$B$111:$B$131,$B193,'11.2. ДА за периода'!AH$111:AH$131)</f>
        <v>0</v>
      </c>
      <c r="AI193" s="1164">
        <f>AH193+SUMIF('11.2. ДА за периода'!$B$111:$B$131,$B193,'11.2. ДА за периода'!AI$111:AI$131)</f>
        <v>0</v>
      </c>
      <c r="AJ193" s="1164">
        <f>AI193+SUMIF('11.2. ДА за периода'!$B$111:$B$131,$B193,'11.2. ДА за периода'!AJ$111:AJ$131)</f>
        <v>0</v>
      </c>
      <c r="AK193" s="1164">
        <f>AJ193+SUMIF('11.2. ДА за периода'!$B$111:$B$131,$B193,'11.2. ДА за периода'!AK$111:AK$131)</f>
        <v>0</v>
      </c>
      <c r="AL193" s="1164">
        <f>AK193+SUMIF('11.2. ДА за периода'!$B$111:$B$131,$B193,'11.2. ДА за периода'!AL$111:AL$131)</f>
        <v>0</v>
      </c>
      <c r="AM193" s="2790">
        <f>AL193+SUMIF('11.2. ДА за периода'!$B$111:$B$131,$B193,'11.2. ДА за периода'!AM$111:AM$131)</f>
        <v>0</v>
      </c>
      <c r="AN193" s="2681"/>
      <c r="AO193" s="2719"/>
      <c r="AP193" s="4775"/>
      <c r="AQ193" s="4794">
        <f t="shared" si="271"/>
        <v>13.804880792297899</v>
      </c>
      <c r="AR193" s="4794">
        <f t="shared" si="272"/>
        <v>13.804880792297899</v>
      </c>
      <c r="AS193" s="4794">
        <f t="shared" si="273"/>
        <v>13.804880792297899</v>
      </c>
      <c r="AT193" s="4794">
        <f t="shared" si="274"/>
        <v>13.804880792297899</v>
      </c>
      <c r="AU193" s="4794">
        <f t="shared" si="275"/>
        <v>13.804880792297899</v>
      </c>
      <c r="AV193" s="4794">
        <f t="shared" si="276"/>
        <v>13.804880792297899</v>
      </c>
      <c r="AW193" s="4794">
        <f t="shared" si="277"/>
        <v>13.804880792297899</v>
      </c>
      <c r="AX193" s="4794">
        <f t="shared" si="278"/>
        <v>0</v>
      </c>
      <c r="AY193" s="4794">
        <f t="shared" si="279"/>
        <v>0</v>
      </c>
      <c r="AZ193" s="4794">
        <f t="shared" si="280"/>
        <v>0</v>
      </c>
      <c r="BA193" s="4794">
        <f t="shared" si="281"/>
        <v>0</v>
      </c>
      <c r="BB193" s="4794">
        <f t="shared" si="282"/>
        <v>0</v>
      </c>
      <c r="BC193" s="4794">
        <f t="shared" si="283"/>
        <v>0</v>
      </c>
      <c r="BD193" s="4794">
        <f t="shared" si="284"/>
        <v>0</v>
      </c>
      <c r="BE193" s="4794">
        <f t="shared" si="285"/>
        <v>0</v>
      </c>
      <c r="BF193" s="4794">
        <f t="shared" si="286"/>
        <v>0</v>
      </c>
      <c r="BG193" s="4794">
        <f t="shared" si="287"/>
        <v>0</v>
      </c>
      <c r="BH193" s="4794">
        <f t="shared" si="288"/>
        <v>0</v>
      </c>
      <c r="BI193" s="4794">
        <f t="shared" si="289"/>
        <v>0</v>
      </c>
      <c r="BJ193" s="4794">
        <f t="shared" si="290"/>
        <v>0</v>
      </c>
      <c r="BK193" s="4794">
        <f t="shared" si="291"/>
        <v>0</v>
      </c>
      <c r="BL193" s="4794">
        <f t="shared" si="292"/>
        <v>0</v>
      </c>
      <c r="BM193" s="4794">
        <f t="shared" si="293"/>
        <v>0</v>
      </c>
      <c r="BN193" s="4794">
        <f t="shared" si="294"/>
        <v>0</v>
      </c>
      <c r="BO193" s="4794">
        <f t="shared" si="295"/>
        <v>0</v>
      </c>
      <c r="BP193" s="4794">
        <f t="shared" si="296"/>
        <v>0</v>
      </c>
      <c r="BQ193" s="4794">
        <f t="shared" si="297"/>
        <v>0</v>
      </c>
      <c r="BR193" s="4794">
        <f t="shared" si="298"/>
        <v>0</v>
      </c>
      <c r="BS193" s="4794">
        <f t="shared" si="299"/>
        <v>0</v>
      </c>
      <c r="BT193" s="4794">
        <f t="shared" si="300"/>
        <v>0</v>
      </c>
      <c r="BU193" s="4794">
        <f t="shared" si="301"/>
        <v>0</v>
      </c>
      <c r="BV193" s="4794">
        <f t="shared" si="302"/>
        <v>0</v>
      </c>
      <c r="BW193" s="4794">
        <f t="shared" si="303"/>
        <v>0</v>
      </c>
      <c r="BX193" s="4794">
        <f t="shared" si="304"/>
        <v>0</v>
      </c>
      <c r="BY193" s="4794">
        <f t="shared" si="305"/>
        <v>0</v>
      </c>
    </row>
    <row r="194" spans="1:77" s="1344" customFormat="1">
      <c r="A194" s="2683">
        <v>2</v>
      </c>
      <c r="B194" s="2684" t="s">
        <v>697</v>
      </c>
      <c r="C194" s="2685">
        <v>0.03</v>
      </c>
      <c r="D194" s="2739" t="s">
        <v>426</v>
      </c>
      <c r="E194" s="4738">
        <f>+'11.3. ДА Базова година'!H155</f>
        <v>286</v>
      </c>
      <c r="F194" s="2792">
        <f>E194+SUMIF('11.2. ДА за периода'!$B$111:$B$131,$B194,'11.2. ДА за периода'!F$111:F$131)</f>
        <v>286</v>
      </c>
      <c r="G194" s="1155">
        <f>F194+SUMIF('11.2. ДА за периода'!$B$111:$B$131,$B194,'11.2. ДА за периода'!G$111:G$131)</f>
        <v>286</v>
      </c>
      <c r="H194" s="1155">
        <f>G194+SUMIF('11.2. ДА за периода'!$B$111:$B$131,$B194,'11.2. ДА за периода'!H$111:H$131)</f>
        <v>286</v>
      </c>
      <c r="I194" s="1155">
        <f>H194+SUMIF('11.2. ДА за периода'!$B$111:$B$131,$B194,'11.2. ДА за периода'!I$111:I$131)</f>
        <v>286</v>
      </c>
      <c r="J194" s="1155">
        <f>I194+SUMIF('11.2. ДА за периода'!$B$111:$B$131,$B194,'11.2. ДА за периода'!J$111:J$131)</f>
        <v>286</v>
      </c>
      <c r="K194" s="2793">
        <f>J194+SUMIF('11.2. ДА за периода'!$B$111:$B$131,$B194,'11.2. ДА за периода'!K$111:K$131)</f>
        <v>286</v>
      </c>
      <c r="L194" s="4738">
        <f>+'11.3. ДА Базова година'!L155</f>
        <v>0</v>
      </c>
      <c r="M194" s="2792">
        <f>L194+SUMIF('11.2. ДА за периода'!$B$111:$B$131,$B194,'11.2. ДА за периода'!M$111:M$131)</f>
        <v>0</v>
      </c>
      <c r="N194" s="1155">
        <f>M194+SUMIF('11.2. ДА за периода'!$B$111:$B$131,$B194,'11.2. ДА за периода'!N$111:N$131)</f>
        <v>0</v>
      </c>
      <c r="O194" s="1155">
        <f>N194+SUMIF('11.2. ДА за периода'!$B$111:$B$131,$B194,'11.2. ДА за периода'!O$111:O$131)</f>
        <v>0</v>
      </c>
      <c r="P194" s="1155">
        <f>O194+SUMIF('11.2. ДА за периода'!$B$111:$B$131,$B194,'11.2. ДА за периода'!P$111:P$131)</f>
        <v>0</v>
      </c>
      <c r="Q194" s="1155">
        <f>P194+SUMIF('11.2. ДА за периода'!$B$111:$B$131,$B194,'11.2. ДА за периода'!Q$111:Q$131)</f>
        <v>0</v>
      </c>
      <c r="R194" s="2793">
        <f>Q194+SUMIF('11.2. ДА за периода'!$B$111:$B$131,$B194,'11.2. ДА за периода'!R$111:R$131)</f>
        <v>0</v>
      </c>
      <c r="S194" s="4738">
        <f>+'11.3. ДА Базова година'!P155</f>
        <v>12360</v>
      </c>
      <c r="T194" s="2792">
        <f>S194+SUMIF('11.2. ДА за периода'!$B$111:$B$131,$B194,'11.2. ДА за периода'!T$111:T$131)</f>
        <v>12360</v>
      </c>
      <c r="U194" s="1155">
        <f>T194+SUMIF('11.2. ДА за периода'!$B$111:$B$131,$B194,'11.2. ДА за периода'!U$111:U$131)</f>
        <v>12360</v>
      </c>
      <c r="V194" s="1155">
        <f>U194+SUMIF('11.2. ДА за периода'!$B$111:$B$131,$B194,'11.2. ДА за периода'!V$111:V$131)</f>
        <v>12360</v>
      </c>
      <c r="W194" s="1155">
        <f>V194+SUMIF('11.2. ДА за периода'!$B$111:$B$131,$B194,'11.2. ДА за периода'!W$111:W$131)</f>
        <v>12360</v>
      </c>
      <c r="X194" s="1155">
        <f>W194+SUMIF('11.2. ДА за периода'!$B$111:$B$131,$B194,'11.2. ДА за периода'!X$111:X$131)</f>
        <v>12360</v>
      </c>
      <c r="Y194" s="2793">
        <f>X194+SUMIF('11.2. ДА за периода'!$B$111:$B$131,$B194,'11.2. ДА за периода'!Y$111:Y$131)</f>
        <v>12360</v>
      </c>
      <c r="Z194" s="4738">
        <f>+'11.3. ДА Базова година'!T155</f>
        <v>0</v>
      </c>
      <c r="AA194" s="2792">
        <f>Z194+SUMIF('11.2. ДА за периода'!$B$111:$B$131,$B194,'11.2. ДА за периода'!AA$111:AA$131)</f>
        <v>0</v>
      </c>
      <c r="AB194" s="1155">
        <f>AA194+SUMIF('11.2. ДА за периода'!$B$111:$B$131,$B194,'11.2. ДА за периода'!AB$111:AB$131)</f>
        <v>0</v>
      </c>
      <c r="AC194" s="1155">
        <f>AB194+SUMIF('11.2. ДА за периода'!$B$111:$B$131,$B194,'11.2. ДА за периода'!AC$111:AC$131)</f>
        <v>0</v>
      </c>
      <c r="AD194" s="1155">
        <f>AC194+SUMIF('11.2. ДА за периода'!$B$111:$B$131,$B194,'11.2. ДА за периода'!AD$111:AD$131)</f>
        <v>0</v>
      </c>
      <c r="AE194" s="1155">
        <f>AD194+SUMIF('11.2. ДА за периода'!$B$111:$B$131,$B194,'11.2. ДА за периода'!AE$111:AE$131)</f>
        <v>0</v>
      </c>
      <c r="AF194" s="2793">
        <f>AE194+SUMIF('11.2. ДА за периода'!$B$111:$B$131,$B194,'11.2. ДА за периода'!AF$111:AF$131)</f>
        <v>0</v>
      </c>
      <c r="AG194" s="4738">
        <f>+'11.3. ДА Базова година'!X155</f>
        <v>0</v>
      </c>
      <c r="AH194" s="2792">
        <f>AG194+SUMIF('11.2. ДА за периода'!$B$111:$B$131,$B194,'11.2. ДА за периода'!AH$111:AH$131)</f>
        <v>0</v>
      </c>
      <c r="AI194" s="1155">
        <f>AH194+SUMIF('11.2. ДА за периода'!$B$111:$B$131,$B194,'11.2. ДА за периода'!AI$111:AI$131)</f>
        <v>0</v>
      </c>
      <c r="AJ194" s="1155">
        <f>AI194+SUMIF('11.2. ДА за периода'!$B$111:$B$131,$B194,'11.2. ДА за периода'!AJ$111:AJ$131)</f>
        <v>0</v>
      </c>
      <c r="AK194" s="1155">
        <f>AJ194+SUMIF('11.2. ДА за периода'!$B$111:$B$131,$B194,'11.2. ДА за периода'!AK$111:AK$131)</f>
        <v>0</v>
      </c>
      <c r="AL194" s="1155">
        <f>AK194+SUMIF('11.2. ДА за периода'!$B$111:$B$131,$B194,'11.2. ДА за периода'!AL$111:AL$131)</f>
        <v>0</v>
      </c>
      <c r="AM194" s="2793">
        <f>AL194+SUMIF('11.2. ДА за периода'!$B$111:$B$131,$B194,'11.2. ДА за периода'!AM$111:AM$131)</f>
        <v>0</v>
      </c>
      <c r="AN194" s="2681"/>
      <c r="AO194" s="2719"/>
      <c r="AP194" s="4775"/>
      <c r="AQ194" s="4794">
        <f t="shared" si="271"/>
        <v>146.22947802211849</v>
      </c>
      <c r="AR194" s="4794">
        <f t="shared" si="272"/>
        <v>146.22947802211849</v>
      </c>
      <c r="AS194" s="4794">
        <f t="shared" si="273"/>
        <v>146.22947802211849</v>
      </c>
      <c r="AT194" s="4794">
        <f t="shared" si="274"/>
        <v>146.22947802211849</v>
      </c>
      <c r="AU194" s="4794">
        <f t="shared" si="275"/>
        <v>146.22947802211849</v>
      </c>
      <c r="AV194" s="4794">
        <f t="shared" si="276"/>
        <v>146.22947802211849</v>
      </c>
      <c r="AW194" s="4794">
        <f t="shared" si="277"/>
        <v>146.22947802211849</v>
      </c>
      <c r="AX194" s="4794">
        <f t="shared" si="278"/>
        <v>0</v>
      </c>
      <c r="AY194" s="4794">
        <f t="shared" si="279"/>
        <v>0</v>
      </c>
      <c r="AZ194" s="4794">
        <f t="shared" si="280"/>
        <v>0</v>
      </c>
      <c r="BA194" s="4794">
        <f t="shared" si="281"/>
        <v>0</v>
      </c>
      <c r="BB194" s="4794">
        <f t="shared" si="282"/>
        <v>0</v>
      </c>
      <c r="BC194" s="4794">
        <f t="shared" si="283"/>
        <v>0</v>
      </c>
      <c r="BD194" s="4794">
        <f t="shared" si="284"/>
        <v>0</v>
      </c>
      <c r="BE194" s="4794">
        <f t="shared" si="285"/>
        <v>6319.567651585261</v>
      </c>
      <c r="BF194" s="4794">
        <f t="shared" si="286"/>
        <v>6319.567651585261</v>
      </c>
      <c r="BG194" s="4794">
        <f t="shared" si="287"/>
        <v>6319.567651585261</v>
      </c>
      <c r="BH194" s="4794">
        <f t="shared" si="288"/>
        <v>6319.567651585261</v>
      </c>
      <c r="BI194" s="4794">
        <f t="shared" si="289"/>
        <v>6319.567651585261</v>
      </c>
      <c r="BJ194" s="4794">
        <f t="shared" si="290"/>
        <v>6319.567651585261</v>
      </c>
      <c r="BK194" s="4794">
        <f t="shared" si="291"/>
        <v>6319.567651585261</v>
      </c>
      <c r="BL194" s="4794">
        <f t="shared" si="292"/>
        <v>0</v>
      </c>
      <c r="BM194" s="4794">
        <f t="shared" si="293"/>
        <v>0</v>
      </c>
      <c r="BN194" s="4794">
        <f t="shared" si="294"/>
        <v>0</v>
      </c>
      <c r="BO194" s="4794">
        <f t="shared" si="295"/>
        <v>0</v>
      </c>
      <c r="BP194" s="4794">
        <f t="shared" si="296"/>
        <v>0</v>
      </c>
      <c r="BQ194" s="4794">
        <f t="shared" si="297"/>
        <v>0</v>
      </c>
      <c r="BR194" s="4794">
        <f t="shared" si="298"/>
        <v>0</v>
      </c>
      <c r="BS194" s="4794">
        <f t="shared" si="299"/>
        <v>0</v>
      </c>
      <c r="BT194" s="4794">
        <f t="shared" si="300"/>
        <v>0</v>
      </c>
      <c r="BU194" s="4794">
        <f t="shared" si="301"/>
        <v>0</v>
      </c>
      <c r="BV194" s="4794">
        <f t="shared" si="302"/>
        <v>0</v>
      </c>
      <c r="BW194" s="4794">
        <f t="shared" si="303"/>
        <v>0</v>
      </c>
      <c r="BX194" s="4794">
        <f t="shared" si="304"/>
        <v>0</v>
      </c>
      <c r="BY194" s="4794">
        <f t="shared" si="305"/>
        <v>0</v>
      </c>
    </row>
    <row r="195" spans="1:77" s="1344" customFormat="1">
      <c r="A195" s="2683">
        <v>3</v>
      </c>
      <c r="B195" s="2684">
        <v>911301</v>
      </c>
      <c r="C195" s="2685">
        <v>0.1</v>
      </c>
      <c r="D195" s="2739" t="s">
        <v>427</v>
      </c>
      <c r="E195" s="4738">
        <f>+'11.3. ДА Базова година'!H156</f>
        <v>0</v>
      </c>
      <c r="F195" s="2792">
        <f>E195+SUMIF('11.2. ДА за периода'!$B$111:$B$131,$B195,'11.2. ДА за периода'!F$111:F$131)</f>
        <v>0</v>
      </c>
      <c r="G195" s="1155">
        <f>F195+SUMIF('11.2. ДА за периода'!$B$111:$B$131,$B195,'11.2. ДА за периода'!G$111:G$131)</f>
        <v>0</v>
      </c>
      <c r="H195" s="1155">
        <f>G195+SUMIF('11.2. ДА за периода'!$B$111:$B$131,$B195,'11.2. ДА за периода'!H$111:H$131)</f>
        <v>0</v>
      </c>
      <c r="I195" s="1155">
        <f>H195+SUMIF('11.2. ДА за периода'!$B$111:$B$131,$B195,'11.2. ДА за периода'!I$111:I$131)</f>
        <v>0</v>
      </c>
      <c r="J195" s="1155">
        <f>I195+SUMIF('11.2. ДА за периода'!$B$111:$B$131,$B195,'11.2. ДА за периода'!J$111:J$131)</f>
        <v>0</v>
      </c>
      <c r="K195" s="2793">
        <f>J195+SUMIF('11.2. ДА за периода'!$B$111:$B$131,$B195,'11.2. ДА за периода'!K$111:K$131)</f>
        <v>0</v>
      </c>
      <c r="L195" s="4738">
        <f>+'11.3. ДА Базова година'!L156</f>
        <v>0</v>
      </c>
      <c r="M195" s="2792">
        <f>L195+SUMIF('11.2. ДА за периода'!$B$111:$B$131,$B195,'11.2. ДА за периода'!M$111:M$131)</f>
        <v>0</v>
      </c>
      <c r="N195" s="1155">
        <f>M195+SUMIF('11.2. ДА за периода'!$B$111:$B$131,$B195,'11.2. ДА за периода'!N$111:N$131)</f>
        <v>0</v>
      </c>
      <c r="O195" s="1155">
        <f>N195+SUMIF('11.2. ДА за периода'!$B$111:$B$131,$B195,'11.2. ДА за периода'!O$111:O$131)</f>
        <v>0</v>
      </c>
      <c r="P195" s="1155">
        <f>O195+SUMIF('11.2. ДА за периода'!$B$111:$B$131,$B195,'11.2. ДА за периода'!P$111:P$131)</f>
        <v>0</v>
      </c>
      <c r="Q195" s="1155">
        <f>P195+SUMIF('11.2. ДА за периода'!$B$111:$B$131,$B195,'11.2. ДА за периода'!Q$111:Q$131)</f>
        <v>0</v>
      </c>
      <c r="R195" s="2793">
        <f>Q195+SUMIF('11.2. ДА за периода'!$B$111:$B$131,$B195,'11.2. ДА за периода'!R$111:R$131)</f>
        <v>0</v>
      </c>
      <c r="S195" s="4738">
        <f>+'11.3. ДА Базова година'!P156</f>
        <v>0</v>
      </c>
      <c r="T195" s="2792">
        <f>S195+SUMIF('11.2. ДА за периода'!$B$111:$B$131,$B195,'11.2. ДА за периода'!T$111:T$131)</f>
        <v>0</v>
      </c>
      <c r="U195" s="1155">
        <f>T195+SUMIF('11.2. ДА за периода'!$B$111:$B$131,$B195,'11.2. ДА за периода'!U$111:U$131)</f>
        <v>0</v>
      </c>
      <c r="V195" s="1155">
        <f>U195+SUMIF('11.2. ДА за периода'!$B$111:$B$131,$B195,'11.2. ДА за периода'!V$111:V$131)</f>
        <v>0</v>
      </c>
      <c r="W195" s="1155">
        <f>V195+SUMIF('11.2. ДА за периода'!$B$111:$B$131,$B195,'11.2. ДА за периода'!W$111:W$131)</f>
        <v>0</v>
      </c>
      <c r="X195" s="1155">
        <f>W195+SUMIF('11.2. ДА за периода'!$B$111:$B$131,$B195,'11.2. ДА за периода'!X$111:X$131)</f>
        <v>0</v>
      </c>
      <c r="Y195" s="2793">
        <f>X195+SUMIF('11.2. ДА за периода'!$B$111:$B$131,$B195,'11.2. ДА за периода'!Y$111:Y$131)</f>
        <v>0</v>
      </c>
      <c r="Z195" s="4738">
        <f>+'11.3. ДА Базова година'!T156</f>
        <v>0</v>
      </c>
      <c r="AA195" s="2792">
        <f>Z195+SUMIF('11.2. ДА за периода'!$B$111:$B$131,$B195,'11.2. ДА за периода'!AA$111:AA$131)</f>
        <v>0</v>
      </c>
      <c r="AB195" s="1155">
        <f>AA195+SUMIF('11.2. ДА за периода'!$B$111:$B$131,$B195,'11.2. ДА за периода'!AB$111:AB$131)</f>
        <v>0</v>
      </c>
      <c r="AC195" s="1155">
        <f>AB195+SUMIF('11.2. ДА за периода'!$B$111:$B$131,$B195,'11.2. ДА за периода'!AC$111:AC$131)</f>
        <v>0</v>
      </c>
      <c r="AD195" s="1155">
        <f>AC195+SUMIF('11.2. ДА за периода'!$B$111:$B$131,$B195,'11.2. ДА за периода'!AD$111:AD$131)</f>
        <v>0</v>
      </c>
      <c r="AE195" s="1155">
        <f>AD195+SUMIF('11.2. ДА за периода'!$B$111:$B$131,$B195,'11.2. ДА за периода'!AE$111:AE$131)</f>
        <v>0</v>
      </c>
      <c r="AF195" s="2793">
        <f>AE195+SUMIF('11.2. ДА за периода'!$B$111:$B$131,$B195,'11.2. ДА за периода'!AF$111:AF$131)</f>
        <v>0</v>
      </c>
      <c r="AG195" s="4738">
        <f>+'11.3. ДА Базова година'!X156</f>
        <v>0</v>
      </c>
      <c r="AH195" s="2792">
        <f>AG195+SUMIF('11.2. ДА за периода'!$B$111:$B$131,$B195,'11.2. ДА за периода'!AH$111:AH$131)</f>
        <v>0</v>
      </c>
      <c r="AI195" s="1155">
        <f>AH195+SUMIF('11.2. ДА за периода'!$B$111:$B$131,$B195,'11.2. ДА за периода'!AI$111:AI$131)</f>
        <v>0</v>
      </c>
      <c r="AJ195" s="1155">
        <f>AI195+SUMIF('11.2. ДА за периода'!$B$111:$B$131,$B195,'11.2. ДА за периода'!AJ$111:AJ$131)</f>
        <v>0</v>
      </c>
      <c r="AK195" s="1155">
        <f>AJ195+SUMIF('11.2. ДА за периода'!$B$111:$B$131,$B195,'11.2. ДА за периода'!AK$111:AK$131)</f>
        <v>0</v>
      </c>
      <c r="AL195" s="1155">
        <f>AK195+SUMIF('11.2. ДА за периода'!$B$111:$B$131,$B195,'11.2. ДА за периода'!AL$111:AL$131)</f>
        <v>0</v>
      </c>
      <c r="AM195" s="2793">
        <f>AL195+SUMIF('11.2. ДА за периода'!$B$111:$B$131,$B195,'11.2. ДА за периода'!AM$111:AM$131)</f>
        <v>0</v>
      </c>
      <c r="AN195" s="2681"/>
      <c r="AO195" s="2719"/>
      <c r="AP195" s="4775"/>
      <c r="AQ195" s="4794">
        <f t="shared" si="271"/>
        <v>0</v>
      </c>
      <c r="AR195" s="4794">
        <f t="shared" si="272"/>
        <v>0</v>
      </c>
      <c r="AS195" s="4794">
        <f t="shared" si="273"/>
        <v>0</v>
      </c>
      <c r="AT195" s="4794">
        <f t="shared" si="274"/>
        <v>0</v>
      </c>
      <c r="AU195" s="4794">
        <f t="shared" si="275"/>
        <v>0</v>
      </c>
      <c r="AV195" s="4794">
        <f t="shared" si="276"/>
        <v>0</v>
      </c>
      <c r="AW195" s="4794">
        <f t="shared" si="277"/>
        <v>0</v>
      </c>
      <c r="AX195" s="4794">
        <f t="shared" si="278"/>
        <v>0</v>
      </c>
      <c r="AY195" s="4794">
        <f t="shared" si="279"/>
        <v>0</v>
      </c>
      <c r="AZ195" s="4794">
        <f t="shared" si="280"/>
        <v>0</v>
      </c>
      <c r="BA195" s="4794">
        <f t="shared" si="281"/>
        <v>0</v>
      </c>
      <c r="BB195" s="4794">
        <f t="shared" si="282"/>
        <v>0</v>
      </c>
      <c r="BC195" s="4794">
        <f t="shared" si="283"/>
        <v>0</v>
      </c>
      <c r="BD195" s="4794">
        <f t="shared" si="284"/>
        <v>0</v>
      </c>
      <c r="BE195" s="4794">
        <f t="shared" si="285"/>
        <v>0</v>
      </c>
      <c r="BF195" s="4794">
        <f t="shared" si="286"/>
        <v>0</v>
      </c>
      <c r="BG195" s="4794">
        <f t="shared" si="287"/>
        <v>0</v>
      </c>
      <c r="BH195" s="4794">
        <f t="shared" si="288"/>
        <v>0</v>
      </c>
      <c r="BI195" s="4794">
        <f t="shared" si="289"/>
        <v>0</v>
      </c>
      <c r="BJ195" s="4794">
        <f t="shared" si="290"/>
        <v>0</v>
      </c>
      <c r="BK195" s="4794">
        <f t="shared" si="291"/>
        <v>0</v>
      </c>
      <c r="BL195" s="4794">
        <f t="shared" si="292"/>
        <v>0</v>
      </c>
      <c r="BM195" s="4794">
        <f t="shared" si="293"/>
        <v>0</v>
      </c>
      <c r="BN195" s="4794">
        <f t="shared" si="294"/>
        <v>0</v>
      </c>
      <c r="BO195" s="4794">
        <f t="shared" si="295"/>
        <v>0</v>
      </c>
      <c r="BP195" s="4794">
        <f t="shared" si="296"/>
        <v>0</v>
      </c>
      <c r="BQ195" s="4794">
        <f t="shared" si="297"/>
        <v>0</v>
      </c>
      <c r="BR195" s="4794">
        <f t="shared" si="298"/>
        <v>0</v>
      </c>
      <c r="BS195" s="4794">
        <f t="shared" si="299"/>
        <v>0</v>
      </c>
      <c r="BT195" s="4794">
        <f t="shared" si="300"/>
        <v>0</v>
      </c>
      <c r="BU195" s="4794">
        <f t="shared" si="301"/>
        <v>0</v>
      </c>
      <c r="BV195" s="4794">
        <f t="shared" si="302"/>
        <v>0</v>
      </c>
      <c r="BW195" s="4794">
        <f t="shared" si="303"/>
        <v>0</v>
      </c>
      <c r="BX195" s="4794">
        <f t="shared" si="304"/>
        <v>0</v>
      </c>
      <c r="BY195" s="4794">
        <f t="shared" si="305"/>
        <v>0</v>
      </c>
    </row>
    <row r="196" spans="1:77" s="1344" customFormat="1">
      <c r="A196" s="2683">
        <v>4</v>
      </c>
      <c r="B196" s="2684">
        <v>911302</v>
      </c>
      <c r="C196" s="2685">
        <v>0.1</v>
      </c>
      <c r="D196" s="2739" t="s">
        <v>428</v>
      </c>
      <c r="E196" s="4738">
        <f>+'11.3. ДА Базова година'!H157</f>
        <v>0</v>
      </c>
      <c r="F196" s="2792">
        <f>E196+SUMIF('11.2. ДА за периода'!$B$111:$B$131,$B196,'11.2. ДА за периода'!F$111:F$131)</f>
        <v>0</v>
      </c>
      <c r="G196" s="1155">
        <f>F196+SUMIF('11.2. ДА за периода'!$B$111:$B$131,$B196,'11.2. ДА за периода'!G$111:G$131)</f>
        <v>0</v>
      </c>
      <c r="H196" s="1155">
        <f>G196+SUMIF('11.2. ДА за периода'!$B$111:$B$131,$B196,'11.2. ДА за периода'!H$111:H$131)</f>
        <v>0</v>
      </c>
      <c r="I196" s="1155">
        <f>H196+SUMIF('11.2. ДА за периода'!$B$111:$B$131,$B196,'11.2. ДА за периода'!I$111:I$131)</f>
        <v>0</v>
      </c>
      <c r="J196" s="1155">
        <f>I196+SUMIF('11.2. ДА за периода'!$B$111:$B$131,$B196,'11.2. ДА за периода'!J$111:J$131)</f>
        <v>0</v>
      </c>
      <c r="K196" s="2793">
        <f>J196+SUMIF('11.2. ДА за периода'!$B$111:$B$131,$B196,'11.2. ДА за периода'!K$111:K$131)</f>
        <v>0</v>
      </c>
      <c r="L196" s="4738">
        <f>+'11.3. ДА Базова година'!L157</f>
        <v>0</v>
      </c>
      <c r="M196" s="2792">
        <f>L196+SUMIF('11.2. ДА за периода'!$B$111:$B$131,$B196,'11.2. ДА за периода'!M$111:M$131)</f>
        <v>0</v>
      </c>
      <c r="N196" s="1155">
        <f>M196+SUMIF('11.2. ДА за периода'!$B$111:$B$131,$B196,'11.2. ДА за периода'!N$111:N$131)</f>
        <v>0</v>
      </c>
      <c r="O196" s="1155">
        <f>N196+SUMIF('11.2. ДА за периода'!$B$111:$B$131,$B196,'11.2. ДА за периода'!O$111:O$131)</f>
        <v>0</v>
      </c>
      <c r="P196" s="1155">
        <f>O196+SUMIF('11.2. ДА за периода'!$B$111:$B$131,$B196,'11.2. ДА за периода'!P$111:P$131)</f>
        <v>0</v>
      </c>
      <c r="Q196" s="1155">
        <f>P196+SUMIF('11.2. ДА за периода'!$B$111:$B$131,$B196,'11.2. ДА за периода'!Q$111:Q$131)</f>
        <v>0</v>
      </c>
      <c r="R196" s="2793">
        <f>Q196+SUMIF('11.2. ДА за периода'!$B$111:$B$131,$B196,'11.2. ДА за периода'!R$111:R$131)</f>
        <v>0</v>
      </c>
      <c r="S196" s="4738">
        <f>+'11.3. ДА Базова година'!P157</f>
        <v>0</v>
      </c>
      <c r="T196" s="2792">
        <f>S196+SUMIF('11.2. ДА за периода'!$B$111:$B$131,$B196,'11.2. ДА за периода'!T$111:T$131)</f>
        <v>0</v>
      </c>
      <c r="U196" s="1155">
        <f>T196+SUMIF('11.2. ДА за периода'!$B$111:$B$131,$B196,'11.2. ДА за периода'!U$111:U$131)</f>
        <v>0</v>
      </c>
      <c r="V196" s="1155">
        <f>U196+SUMIF('11.2. ДА за периода'!$B$111:$B$131,$B196,'11.2. ДА за периода'!V$111:V$131)</f>
        <v>0</v>
      </c>
      <c r="W196" s="1155">
        <f>V196+SUMIF('11.2. ДА за периода'!$B$111:$B$131,$B196,'11.2. ДА за периода'!W$111:W$131)</f>
        <v>0</v>
      </c>
      <c r="X196" s="1155">
        <f>W196+SUMIF('11.2. ДА за периода'!$B$111:$B$131,$B196,'11.2. ДА за периода'!X$111:X$131)</f>
        <v>0</v>
      </c>
      <c r="Y196" s="2793">
        <f>X196+SUMIF('11.2. ДА за периода'!$B$111:$B$131,$B196,'11.2. ДА за периода'!Y$111:Y$131)</f>
        <v>0</v>
      </c>
      <c r="Z196" s="4738">
        <f>+'11.3. ДА Базова година'!T157</f>
        <v>0</v>
      </c>
      <c r="AA196" s="2792">
        <f>Z196+SUMIF('11.2. ДА за периода'!$B$111:$B$131,$B196,'11.2. ДА за периода'!AA$111:AA$131)</f>
        <v>0</v>
      </c>
      <c r="AB196" s="1155">
        <f>AA196+SUMIF('11.2. ДА за периода'!$B$111:$B$131,$B196,'11.2. ДА за периода'!AB$111:AB$131)</f>
        <v>0</v>
      </c>
      <c r="AC196" s="1155">
        <f>AB196+SUMIF('11.2. ДА за периода'!$B$111:$B$131,$B196,'11.2. ДА за периода'!AC$111:AC$131)</f>
        <v>0</v>
      </c>
      <c r="AD196" s="1155">
        <f>AC196+SUMIF('11.2. ДА за периода'!$B$111:$B$131,$B196,'11.2. ДА за периода'!AD$111:AD$131)</f>
        <v>0</v>
      </c>
      <c r="AE196" s="1155">
        <f>AD196+SUMIF('11.2. ДА за периода'!$B$111:$B$131,$B196,'11.2. ДА за периода'!AE$111:AE$131)</f>
        <v>0</v>
      </c>
      <c r="AF196" s="2793">
        <f>AE196+SUMIF('11.2. ДА за периода'!$B$111:$B$131,$B196,'11.2. ДА за периода'!AF$111:AF$131)</f>
        <v>0</v>
      </c>
      <c r="AG196" s="4738">
        <f>+'11.3. ДА Базова година'!X157</f>
        <v>0</v>
      </c>
      <c r="AH196" s="2792">
        <f>AG196+SUMIF('11.2. ДА за периода'!$B$111:$B$131,$B196,'11.2. ДА за периода'!AH$111:AH$131)</f>
        <v>0</v>
      </c>
      <c r="AI196" s="1155">
        <f>AH196+SUMIF('11.2. ДА за периода'!$B$111:$B$131,$B196,'11.2. ДА за периода'!AI$111:AI$131)</f>
        <v>0</v>
      </c>
      <c r="AJ196" s="1155">
        <f>AI196+SUMIF('11.2. ДА за периода'!$B$111:$B$131,$B196,'11.2. ДА за периода'!AJ$111:AJ$131)</f>
        <v>0</v>
      </c>
      <c r="AK196" s="1155">
        <f>AJ196+SUMIF('11.2. ДА за периода'!$B$111:$B$131,$B196,'11.2. ДА за периода'!AK$111:AK$131)</f>
        <v>0</v>
      </c>
      <c r="AL196" s="1155">
        <f>AK196+SUMIF('11.2. ДА за периода'!$B$111:$B$131,$B196,'11.2. ДА за периода'!AL$111:AL$131)</f>
        <v>0</v>
      </c>
      <c r="AM196" s="2793">
        <f>AL196+SUMIF('11.2. ДА за периода'!$B$111:$B$131,$B196,'11.2. ДА за периода'!AM$111:AM$131)</f>
        <v>0</v>
      </c>
      <c r="AN196" s="2681"/>
      <c r="AO196" s="2719"/>
      <c r="AP196" s="4775"/>
      <c r="AQ196" s="4794">
        <f t="shared" si="271"/>
        <v>0</v>
      </c>
      <c r="AR196" s="4794">
        <f t="shared" si="272"/>
        <v>0</v>
      </c>
      <c r="AS196" s="4794">
        <f t="shared" si="273"/>
        <v>0</v>
      </c>
      <c r="AT196" s="4794">
        <f t="shared" si="274"/>
        <v>0</v>
      </c>
      <c r="AU196" s="4794">
        <f t="shared" si="275"/>
        <v>0</v>
      </c>
      <c r="AV196" s="4794">
        <f t="shared" si="276"/>
        <v>0</v>
      </c>
      <c r="AW196" s="4794">
        <f t="shared" si="277"/>
        <v>0</v>
      </c>
      <c r="AX196" s="4794">
        <f t="shared" si="278"/>
        <v>0</v>
      </c>
      <c r="AY196" s="4794">
        <f t="shared" si="279"/>
        <v>0</v>
      </c>
      <c r="AZ196" s="4794">
        <f t="shared" si="280"/>
        <v>0</v>
      </c>
      <c r="BA196" s="4794">
        <f t="shared" si="281"/>
        <v>0</v>
      </c>
      <c r="BB196" s="4794">
        <f t="shared" si="282"/>
        <v>0</v>
      </c>
      <c r="BC196" s="4794">
        <f t="shared" si="283"/>
        <v>0</v>
      </c>
      <c r="BD196" s="4794">
        <f t="shared" si="284"/>
        <v>0</v>
      </c>
      <c r="BE196" s="4794">
        <f t="shared" si="285"/>
        <v>0</v>
      </c>
      <c r="BF196" s="4794">
        <f t="shared" si="286"/>
        <v>0</v>
      </c>
      <c r="BG196" s="4794">
        <f t="shared" si="287"/>
        <v>0</v>
      </c>
      <c r="BH196" s="4794">
        <f t="shared" si="288"/>
        <v>0</v>
      </c>
      <c r="BI196" s="4794">
        <f t="shared" si="289"/>
        <v>0</v>
      </c>
      <c r="BJ196" s="4794">
        <f t="shared" si="290"/>
        <v>0</v>
      </c>
      <c r="BK196" s="4794">
        <f t="shared" si="291"/>
        <v>0</v>
      </c>
      <c r="BL196" s="4794">
        <f t="shared" si="292"/>
        <v>0</v>
      </c>
      <c r="BM196" s="4794">
        <f t="shared" si="293"/>
        <v>0</v>
      </c>
      <c r="BN196" s="4794">
        <f t="shared" si="294"/>
        <v>0</v>
      </c>
      <c r="BO196" s="4794">
        <f t="shared" si="295"/>
        <v>0</v>
      </c>
      <c r="BP196" s="4794">
        <f t="shared" si="296"/>
        <v>0</v>
      </c>
      <c r="BQ196" s="4794">
        <f t="shared" si="297"/>
        <v>0</v>
      </c>
      <c r="BR196" s="4794">
        <f t="shared" si="298"/>
        <v>0</v>
      </c>
      <c r="BS196" s="4794">
        <f t="shared" si="299"/>
        <v>0</v>
      </c>
      <c r="BT196" s="4794">
        <f t="shared" si="300"/>
        <v>0</v>
      </c>
      <c r="BU196" s="4794">
        <f t="shared" si="301"/>
        <v>0</v>
      </c>
      <c r="BV196" s="4794">
        <f t="shared" si="302"/>
        <v>0</v>
      </c>
      <c r="BW196" s="4794">
        <f t="shared" si="303"/>
        <v>0</v>
      </c>
      <c r="BX196" s="4794">
        <f t="shared" si="304"/>
        <v>0</v>
      </c>
      <c r="BY196" s="4794">
        <f t="shared" si="305"/>
        <v>0</v>
      </c>
    </row>
    <row r="197" spans="1:77" s="1344" customFormat="1">
      <c r="A197" s="2683">
        <v>5</v>
      </c>
      <c r="B197" s="2684" t="s">
        <v>714</v>
      </c>
      <c r="C197" s="2685">
        <v>0.1</v>
      </c>
      <c r="D197" s="2720" t="s">
        <v>407</v>
      </c>
      <c r="E197" s="4738">
        <f>+'11.3. ДА Базова година'!H158</f>
        <v>23</v>
      </c>
      <c r="F197" s="2792">
        <f>E197+SUMIF('11.2. ДА за периода'!$B$111:$B$131,$B197,'11.2. ДА за периода'!F$111:F$131)</f>
        <v>23</v>
      </c>
      <c r="G197" s="1155">
        <f>F197+SUMIF('11.2. ДА за периода'!$B$111:$B$131,$B197,'11.2. ДА за периода'!G$111:G$131)</f>
        <v>23</v>
      </c>
      <c r="H197" s="1155">
        <f>G197+SUMIF('11.2. ДА за периода'!$B$111:$B$131,$B197,'11.2. ДА за периода'!H$111:H$131)</f>
        <v>23</v>
      </c>
      <c r="I197" s="1155">
        <f>H197+SUMIF('11.2. ДА за периода'!$B$111:$B$131,$B197,'11.2. ДА за периода'!I$111:I$131)</f>
        <v>23</v>
      </c>
      <c r="J197" s="1155">
        <f>I197+SUMIF('11.2. ДА за периода'!$B$111:$B$131,$B197,'11.2. ДА за периода'!J$111:J$131)</f>
        <v>23</v>
      </c>
      <c r="K197" s="2793">
        <f>J197+SUMIF('11.2. ДА за периода'!$B$111:$B$131,$B197,'11.2. ДА за периода'!K$111:K$131)</f>
        <v>23</v>
      </c>
      <c r="L197" s="4738">
        <f>+'11.3. ДА Базова година'!L158</f>
        <v>0</v>
      </c>
      <c r="M197" s="2792">
        <f>L197+SUMIF('11.2. ДА за периода'!$B$111:$B$131,$B197,'11.2. ДА за периода'!M$111:M$131)</f>
        <v>0</v>
      </c>
      <c r="N197" s="1155">
        <f>M197+SUMIF('11.2. ДА за периода'!$B$111:$B$131,$B197,'11.2. ДА за периода'!N$111:N$131)</f>
        <v>0</v>
      </c>
      <c r="O197" s="1155">
        <f>N197+SUMIF('11.2. ДА за периода'!$B$111:$B$131,$B197,'11.2. ДА за периода'!O$111:O$131)</f>
        <v>0</v>
      </c>
      <c r="P197" s="1155">
        <f>O197+SUMIF('11.2. ДА за периода'!$B$111:$B$131,$B197,'11.2. ДА за периода'!P$111:P$131)</f>
        <v>0</v>
      </c>
      <c r="Q197" s="1155">
        <f>P197+SUMIF('11.2. ДА за периода'!$B$111:$B$131,$B197,'11.2. ДА за периода'!Q$111:Q$131)</f>
        <v>0</v>
      </c>
      <c r="R197" s="2793">
        <f>Q197+SUMIF('11.2. ДА за периода'!$B$111:$B$131,$B197,'11.2. ДА за периода'!R$111:R$131)</f>
        <v>0</v>
      </c>
      <c r="S197" s="4738">
        <f>+'11.3. ДА Базова година'!P158</f>
        <v>2</v>
      </c>
      <c r="T197" s="2792">
        <f>S197+SUMIF('11.2. ДА за периода'!$B$111:$B$131,$B197,'11.2. ДА за периода'!T$111:T$131)</f>
        <v>2</v>
      </c>
      <c r="U197" s="1155">
        <f>T197+SUMIF('11.2. ДА за периода'!$B$111:$B$131,$B197,'11.2. ДА за периода'!U$111:U$131)</f>
        <v>2</v>
      </c>
      <c r="V197" s="1155">
        <f>U197+SUMIF('11.2. ДА за периода'!$B$111:$B$131,$B197,'11.2. ДА за периода'!V$111:V$131)</f>
        <v>2</v>
      </c>
      <c r="W197" s="1155">
        <f>V197+SUMIF('11.2. ДА за периода'!$B$111:$B$131,$B197,'11.2. ДА за периода'!W$111:W$131)</f>
        <v>2</v>
      </c>
      <c r="X197" s="1155">
        <f>W197+SUMIF('11.2. ДА за периода'!$B$111:$B$131,$B197,'11.2. ДА за периода'!X$111:X$131)</f>
        <v>2</v>
      </c>
      <c r="Y197" s="2793">
        <f>X197+SUMIF('11.2. ДА за периода'!$B$111:$B$131,$B197,'11.2. ДА за периода'!Y$111:Y$131)</f>
        <v>2</v>
      </c>
      <c r="Z197" s="4738">
        <f>+'11.3. ДА Базова година'!T158</f>
        <v>0</v>
      </c>
      <c r="AA197" s="2792">
        <f>Z197+SUMIF('11.2. ДА за периода'!$B$111:$B$131,$B197,'11.2. ДА за периода'!AA$111:AA$131)</f>
        <v>0</v>
      </c>
      <c r="AB197" s="1155">
        <f>AA197+SUMIF('11.2. ДА за периода'!$B$111:$B$131,$B197,'11.2. ДА за периода'!AB$111:AB$131)</f>
        <v>0</v>
      </c>
      <c r="AC197" s="1155">
        <f>AB197+SUMIF('11.2. ДА за периода'!$B$111:$B$131,$B197,'11.2. ДА за периода'!AC$111:AC$131)</f>
        <v>0</v>
      </c>
      <c r="AD197" s="1155">
        <f>AC197+SUMIF('11.2. ДА за периода'!$B$111:$B$131,$B197,'11.2. ДА за периода'!AD$111:AD$131)</f>
        <v>0</v>
      </c>
      <c r="AE197" s="1155">
        <f>AD197+SUMIF('11.2. ДА за периода'!$B$111:$B$131,$B197,'11.2. ДА за периода'!AE$111:AE$131)</f>
        <v>0</v>
      </c>
      <c r="AF197" s="2793">
        <f>AE197+SUMIF('11.2. ДА за периода'!$B$111:$B$131,$B197,'11.2. ДА за периода'!AF$111:AF$131)</f>
        <v>0</v>
      </c>
      <c r="AG197" s="4738">
        <f>+'11.3. ДА Базова година'!X158</f>
        <v>0</v>
      </c>
      <c r="AH197" s="2792">
        <f>AG197+SUMIF('11.2. ДА за периода'!$B$111:$B$131,$B197,'11.2. ДА за периода'!AH$111:AH$131)</f>
        <v>0</v>
      </c>
      <c r="AI197" s="1155">
        <f>AH197+SUMIF('11.2. ДА за периода'!$B$111:$B$131,$B197,'11.2. ДА за периода'!AI$111:AI$131)</f>
        <v>0</v>
      </c>
      <c r="AJ197" s="1155">
        <f>AI197+SUMIF('11.2. ДА за периода'!$B$111:$B$131,$B197,'11.2. ДА за периода'!AJ$111:AJ$131)</f>
        <v>0</v>
      </c>
      <c r="AK197" s="1155">
        <f>AJ197+SUMIF('11.2. ДА за периода'!$B$111:$B$131,$B197,'11.2. ДА за периода'!AK$111:AK$131)</f>
        <v>0</v>
      </c>
      <c r="AL197" s="1155">
        <f>AK197+SUMIF('11.2. ДА за периода'!$B$111:$B$131,$B197,'11.2. ДА за периода'!AL$111:AL$131)</f>
        <v>0</v>
      </c>
      <c r="AM197" s="2793">
        <f>AL197+SUMIF('11.2. ДА за периода'!$B$111:$B$131,$B197,'11.2. ДА за периода'!AM$111:AM$131)</f>
        <v>0</v>
      </c>
      <c r="AN197" s="2681"/>
      <c r="AO197" s="2719"/>
      <c r="AP197" s="4775"/>
      <c r="AQ197" s="4794">
        <f t="shared" si="271"/>
        <v>11.759713267513025</v>
      </c>
      <c r="AR197" s="4794">
        <f t="shared" si="272"/>
        <v>11.759713267513025</v>
      </c>
      <c r="AS197" s="4794">
        <f t="shared" si="273"/>
        <v>11.759713267513025</v>
      </c>
      <c r="AT197" s="4794">
        <f t="shared" si="274"/>
        <v>11.759713267513025</v>
      </c>
      <c r="AU197" s="4794">
        <f t="shared" si="275"/>
        <v>11.759713267513025</v>
      </c>
      <c r="AV197" s="4794">
        <f t="shared" si="276"/>
        <v>11.759713267513025</v>
      </c>
      <c r="AW197" s="4794">
        <f t="shared" si="277"/>
        <v>11.759713267513025</v>
      </c>
      <c r="AX197" s="4794">
        <f t="shared" si="278"/>
        <v>0</v>
      </c>
      <c r="AY197" s="4794">
        <f t="shared" si="279"/>
        <v>0</v>
      </c>
      <c r="AZ197" s="4794">
        <f t="shared" si="280"/>
        <v>0</v>
      </c>
      <c r="BA197" s="4794">
        <f t="shared" si="281"/>
        <v>0</v>
      </c>
      <c r="BB197" s="4794">
        <f t="shared" si="282"/>
        <v>0</v>
      </c>
      <c r="BC197" s="4794">
        <f t="shared" si="283"/>
        <v>0</v>
      </c>
      <c r="BD197" s="4794">
        <f t="shared" si="284"/>
        <v>0</v>
      </c>
      <c r="BE197" s="4794">
        <f t="shared" si="285"/>
        <v>1.022583762392437</v>
      </c>
      <c r="BF197" s="4794">
        <f t="shared" si="286"/>
        <v>1.022583762392437</v>
      </c>
      <c r="BG197" s="4794">
        <f t="shared" si="287"/>
        <v>1.022583762392437</v>
      </c>
      <c r="BH197" s="4794">
        <f t="shared" si="288"/>
        <v>1.022583762392437</v>
      </c>
      <c r="BI197" s="4794">
        <f t="shared" si="289"/>
        <v>1.022583762392437</v>
      </c>
      <c r="BJ197" s="4794">
        <f t="shared" si="290"/>
        <v>1.022583762392437</v>
      </c>
      <c r="BK197" s="4794">
        <f t="shared" si="291"/>
        <v>1.022583762392437</v>
      </c>
      <c r="BL197" s="4794">
        <f t="shared" si="292"/>
        <v>0</v>
      </c>
      <c r="BM197" s="4794">
        <f t="shared" si="293"/>
        <v>0</v>
      </c>
      <c r="BN197" s="4794">
        <f t="shared" si="294"/>
        <v>0</v>
      </c>
      <c r="BO197" s="4794">
        <f t="shared" si="295"/>
        <v>0</v>
      </c>
      <c r="BP197" s="4794">
        <f t="shared" si="296"/>
        <v>0</v>
      </c>
      <c r="BQ197" s="4794">
        <f t="shared" si="297"/>
        <v>0</v>
      </c>
      <c r="BR197" s="4794">
        <f t="shared" si="298"/>
        <v>0</v>
      </c>
      <c r="BS197" s="4794">
        <f t="shared" si="299"/>
        <v>0</v>
      </c>
      <c r="BT197" s="4794">
        <f t="shared" si="300"/>
        <v>0</v>
      </c>
      <c r="BU197" s="4794">
        <f t="shared" si="301"/>
        <v>0</v>
      </c>
      <c r="BV197" s="4794">
        <f t="shared" si="302"/>
        <v>0</v>
      </c>
      <c r="BW197" s="4794">
        <f t="shared" si="303"/>
        <v>0</v>
      </c>
      <c r="BX197" s="4794">
        <f t="shared" si="304"/>
        <v>0</v>
      </c>
      <c r="BY197" s="4794">
        <f t="shared" si="305"/>
        <v>0</v>
      </c>
    </row>
    <row r="198" spans="1:77" s="1344" customFormat="1">
      <c r="A198" s="2683">
        <v>6</v>
      </c>
      <c r="B198" s="2684" t="s">
        <v>715</v>
      </c>
      <c r="C198" s="2685">
        <v>0.1</v>
      </c>
      <c r="D198" s="2720" t="s">
        <v>1001</v>
      </c>
      <c r="E198" s="4738">
        <f>+'11.3. ДА Базова година'!H159</f>
        <v>71</v>
      </c>
      <c r="F198" s="2792">
        <f>E198+SUMIF('11.2. ДА за периода'!$B$111:$B$131,$B198,'11.2. ДА за периода'!F$111:F$131)</f>
        <v>71</v>
      </c>
      <c r="G198" s="1155">
        <f>F198+SUMIF('11.2. ДА за периода'!$B$111:$B$131,$B198,'11.2. ДА за периода'!G$111:G$131)</f>
        <v>71</v>
      </c>
      <c r="H198" s="1155">
        <f>G198+SUMIF('11.2. ДА за периода'!$B$111:$B$131,$B198,'11.2. ДА за периода'!H$111:H$131)</f>
        <v>71</v>
      </c>
      <c r="I198" s="1155">
        <f>H198+SUMIF('11.2. ДА за периода'!$B$111:$B$131,$B198,'11.2. ДА за периода'!I$111:I$131)</f>
        <v>71</v>
      </c>
      <c r="J198" s="1155">
        <f>I198+SUMIF('11.2. ДА за периода'!$B$111:$B$131,$B198,'11.2. ДА за периода'!J$111:J$131)</f>
        <v>71</v>
      </c>
      <c r="K198" s="2793">
        <f>J198+SUMIF('11.2. ДА за периода'!$B$111:$B$131,$B198,'11.2. ДА за периода'!K$111:K$131)</f>
        <v>71</v>
      </c>
      <c r="L198" s="4738">
        <f>+'11.3. ДА Базова година'!L159</f>
        <v>0</v>
      </c>
      <c r="M198" s="2792">
        <f>L198+SUMIF('11.2. ДА за периода'!$B$111:$B$131,$B198,'11.2. ДА за периода'!M$111:M$131)</f>
        <v>0</v>
      </c>
      <c r="N198" s="1155">
        <f>M198+SUMIF('11.2. ДА за периода'!$B$111:$B$131,$B198,'11.2. ДА за периода'!N$111:N$131)</f>
        <v>0</v>
      </c>
      <c r="O198" s="1155">
        <f>N198+SUMIF('11.2. ДА за периода'!$B$111:$B$131,$B198,'11.2. ДА за периода'!O$111:O$131)</f>
        <v>0</v>
      </c>
      <c r="P198" s="1155">
        <f>O198+SUMIF('11.2. ДА за периода'!$B$111:$B$131,$B198,'11.2. ДА за периода'!P$111:P$131)</f>
        <v>0</v>
      </c>
      <c r="Q198" s="1155">
        <f>P198+SUMIF('11.2. ДА за периода'!$B$111:$B$131,$B198,'11.2. ДА за периода'!Q$111:Q$131)</f>
        <v>0</v>
      </c>
      <c r="R198" s="2793">
        <f>Q198+SUMIF('11.2. ДА за периода'!$B$111:$B$131,$B198,'11.2. ДА за периода'!R$111:R$131)</f>
        <v>0</v>
      </c>
      <c r="S198" s="4738">
        <f>+'11.3. ДА Базова година'!P159</f>
        <v>0</v>
      </c>
      <c r="T198" s="2792">
        <f>S198+SUMIF('11.2. ДА за периода'!$B$111:$B$131,$B198,'11.2. ДА за периода'!T$111:T$131)</f>
        <v>0</v>
      </c>
      <c r="U198" s="1155">
        <f>T198+SUMIF('11.2. ДА за периода'!$B$111:$B$131,$B198,'11.2. ДА за периода'!U$111:U$131)</f>
        <v>0</v>
      </c>
      <c r="V198" s="1155">
        <f>U198+SUMIF('11.2. ДА за периода'!$B$111:$B$131,$B198,'11.2. ДА за периода'!V$111:V$131)</f>
        <v>0</v>
      </c>
      <c r="W198" s="1155">
        <f>V198+SUMIF('11.2. ДА за периода'!$B$111:$B$131,$B198,'11.2. ДА за периода'!W$111:W$131)</f>
        <v>0</v>
      </c>
      <c r="X198" s="1155">
        <f>W198+SUMIF('11.2. ДА за периода'!$B$111:$B$131,$B198,'11.2. ДА за периода'!X$111:X$131)</f>
        <v>0</v>
      </c>
      <c r="Y198" s="2793">
        <f>X198+SUMIF('11.2. ДА за периода'!$B$111:$B$131,$B198,'11.2. ДА за периода'!Y$111:Y$131)</f>
        <v>0</v>
      </c>
      <c r="Z198" s="4738">
        <f>+'11.3. ДА Базова година'!T159</f>
        <v>0</v>
      </c>
      <c r="AA198" s="2792">
        <f>Z198+SUMIF('11.2. ДА за периода'!$B$111:$B$131,$B198,'11.2. ДА за периода'!AA$111:AA$131)</f>
        <v>0</v>
      </c>
      <c r="AB198" s="1155">
        <f>AA198+SUMIF('11.2. ДА за периода'!$B$111:$B$131,$B198,'11.2. ДА за периода'!AB$111:AB$131)</f>
        <v>0</v>
      </c>
      <c r="AC198" s="1155">
        <f>AB198+SUMIF('11.2. ДА за периода'!$B$111:$B$131,$B198,'11.2. ДА за периода'!AC$111:AC$131)</f>
        <v>0</v>
      </c>
      <c r="AD198" s="1155">
        <f>AC198+SUMIF('11.2. ДА за периода'!$B$111:$B$131,$B198,'11.2. ДА за периода'!AD$111:AD$131)</f>
        <v>0</v>
      </c>
      <c r="AE198" s="1155">
        <f>AD198+SUMIF('11.2. ДА за периода'!$B$111:$B$131,$B198,'11.2. ДА за периода'!AE$111:AE$131)</f>
        <v>0</v>
      </c>
      <c r="AF198" s="2793">
        <f>AE198+SUMIF('11.2. ДА за периода'!$B$111:$B$131,$B198,'11.2. ДА за периода'!AF$111:AF$131)</f>
        <v>0</v>
      </c>
      <c r="AG198" s="4738">
        <f>+'11.3. ДА Базова година'!X159</f>
        <v>0</v>
      </c>
      <c r="AH198" s="2792">
        <f>AG198+SUMIF('11.2. ДА за периода'!$B$111:$B$131,$B198,'11.2. ДА за периода'!AH$111:AH$131)</f>
        <v>0</v>
      </c>
      <c r="AI198" s="1155">
        <f>AH198+SUMIF('11.2. ДА за периода'!$B$111:$B$131,$B198,'11.2. ДА за периода'!AI$111:AI$131)</f>
        <v>0</v>
      </c>
      <c r="AJ198" s="1155">
        <f>AI198+SUMIF('11.2. ДА за периода'!$B$111:$B$131,$B198,'11.2. ДА за периода'!AJ$111:AJ$131)</f>
        <v>0</v>
      </c>
      <c r="AK198" s="1155">
        <f>AJ198+SUMIF('11.2. ДА за периода'!$B$111:$B$131,$B198,'11.2. ДА за периода'!AK$111:AK$131)</f>
        <v>0</v>
      </c>
      <c r="AL198" s="1155">
        <f>AK198+SUMIF('11.2. ДА за периода'!$B$111:$B$131,$B198,'11.2. ДА за периода'!AL$111:AL$131)</f>
        <v>0</v>
      </c>
      <c r="AM198" s="2793">
        <f>AL198+SUMIF('11.2. ДА за периода'!$B$111:$B$131,$B198,'11.2. ДА за периода'!AM$111:AM$131)</f>
        <v>0</v>
      </c>
      <c r="AN198" s="2681"/>
      <c r="AO198" s="2719"/>
      <c r="AP198" s="4775"/>
      <c r="AQ198" s="4794">
        <f t="shared" si="271"/>
        <v>36.301723564931514</v>
      </c>
      <c r="AR198" s="4794">
        <f t="shared" si="272"/>
        <v>36.301723564931514</v>
      </c>
      <c r="AS198" s="4794">
        <f t="shared" si="273"/>
        <v>36.301723564931514</v>
      </c>
      <c r="AT198" s="4794">
        <f t="shared" si="274"/>
        <v>36.301723564931514</v>
      </c>
      <c r="AU198" s="4794">
        <f t="shared" si="275"/>
        <v>36.301723564931514</v>
      </c>
      <c r="AV198" s="4794">
        <f t="shared" si="276"/>
        <v>36.301723564931514</v>
      </c>
      <c r="AW198" s="4794">
        <f t="shared" si="277"/>
        <v>36.301723564931514</v>
      </c>
      <c r="AX198" s="4794">
        <f t="shared" si="278"/>
        <v>0</v>
      </c>
      <c r="AY198" s="4794">
        <f t="shared" si="279"/>
        <v>0</v>
      </c>
      <c r="AZ198" s="4794">
        <f t="shared" si="280"/>
        <v>0</v>
      </c>
      <c r="BA198" s="4794">
        <f t="shared" si="281"/>
        <v>0</v>
      </c>
      <c r="BB198" s="4794">
        <f t="shared" si="282"/>
        <v>0</v>
      </c>
      <c r="BC198" s="4794">
        <f t="shared" si="283"/>
        <v>0</v>
      </c>
      <c r="BD198" s="4794">
        <f t="shared" si="284"/>
        <v>0</v>
      </c>
      <c r="BE198" s="4794">
        <f t="shared" si="285"/>
        <v>0</v>
      </c>
      <c r="BF198" s="4794">
        <f t="shared" si="286"/>
        <v>0</v>
      </c>
      <c r="BG198" s="4794">
        <f t="shared" si="287"/>
        <v>0</v>
      </c>
      <c r="BH198" s="4794">
        <f t="shared" si="288"/>
        <v>0</v>
      </c>
      <c r="BI198" s="4794">
        <f t="shared" si="289"/>
        <v>0</v>
      </c>
      <c r="BJ198" s="4794">
        <f t="shared" si="290"/>
        <v>0</v>
      </c>
      <c r="BK198" s="4794">
        <f t="shared" si="291"/>
        <v>0</v>
      </c>
      <c r="BL198" s="4794">
        <f t="shared" si="292"/>
        <v>0</v>
      </c>
      <c r="BM198" s="4794">
        <f t="shared" si="293"/>
        <v>0</v>
      </c>
      <c r="BN198" s="4794">
        <f t="shared" si="294"/>
        <v>0</v>
      </c>
      <c r="BO198" s="4794">
        <f t="shared" si="295"/>
        <v>0</v>
      </c>
      <c r="BP198" s="4794">
        <f t="shared" si="296"/>
        <v>0</v>
      </c>
      <c r="BQ198" s="4794">
        <f t="shared" si="297"/>
        <v>0</v>
      </c>
      <c r="BR198" s="4794">
        <f t="shared" si="298"/>
        <v>0</v>
      </c>
      <c r="BS198" s="4794">
        <f t="shared" si="299"/>
        <v>0</v>
      </c>
      <c r="BT198" s="4794">
        <f t="shared" si="300"/>
        <v>0</v>
      </c>
      <c r="BU198" s="4794">
        <f t="shared" si="301"/>
        <v>0</v>
      </c>
      <c r="BV198" s="4794">
        <f t="shared" si="302"/>
        <v>0</v>
      </c>
      <c r="BW198" s="4794">
        <f t="shared" si="303"/>
        <v>0</v>
      </c>
      <c r="BX198" s="4794">
        <f t="shared" si="304"/>
        <v>0</v>
      </c>
      <c r="BY198" s="4794">
        <f t="shared" si="305"/>
        <v>0</v>
      </c>
    </row>
    <row r="199" spans="1:77" s="1344" customFormat="1" ht="24">
      <c r="A199" s="2683">
        <v>7</v>
      </c>
      <c r="B199" s="2684" t="s">
        <v>706</v>
      </c>
      <c r="C199" s="2685">
        <v>0.1</v>
      </c>
      <c r="D199" s="2720" t="s">
        <v>695</v>
      </c>
      <c r="E199" s="4738">
        <f>+'11.3. ДА Базова година'!H160</f>
        <v>79</v>
      </c>
      <c r="F199" s="2792">
        <f>E199+SUMIF('11.2. ДА за периода'!$B$111:$B$131,$B199,'11.2. ДА за периода'!F$111:F$131)</f>
        <v>79</v>
      </c>
      <c r="G199" s="1155">
        <f>F199+SUMIF('11.2. ДА за периода'!$B$111:$B$131,$B199,'11.2. ДА за периода'!G$111:G$131)</f>
        <v>79</v>
      </c>
      <c r="H199" s="1155">
        <f>G199+SUMIF('11.2. ДА за периода'!$B$111:$B$131,$B199,'11.2. ДА за периода'!H$111:H$131)</f>
        <v>79</v>
      </c>
      <c r="I199" s="1155">
        <f>H199+SUMIF('11.2. ДА за периода'!$B$111:$B$131,$B199,'11.2. ДА за периода'!I$111:I$131)</f>
        <v>79</v>
      </c>
      <c r="J199" s="1155">
        <f>I199+SUMIF('11.2. ДА за периода'!$B$111:$B$131,$B199,'11.2. ДА за периода'!J$111:J$131)</f>
        <v>79</v>
      </c>
      <c r="K199" s="2793">
        <f>J199+SUMIF('11.2. ДА за периода'!$B$111:$B$131,$B199,'11.2. ДА за периода'!K$111:K$131)</f>
        <v>79</v>
      </c>
      <c r="L199" s="4738">
        <f>+'11.3. ДА Базова година'!L160</f>
        <v>0</v>
      </c>
      <c r="M199" s="2792">
        <f>L199+SUMIF('11.2. ДА за периода'!$B$111:$B$131,$B199,'11.2. ДА за периода'!M$111:M$131)</f>
        <v>0</v>
      </c>
      <c r="N199" s="1155">
        <f>M199+SUMIF('11.2. ДА за периода'!$B$111:$B$131,$B199,'11.2. ДА за периода'!N$111:N$131)</f>
        <v>0</v>
      </c>
      <c r="O199" s="1155">
        <f>N199+SUMIF('11.2. ДА за периода'!$B$111:$B$131,$B199,'11.2. ДА за периода'!O$111:O$131)</f>
        <v>0</v>
      </c>
      <c r="P199" s="1155">
        <f>O199+SUMIF('11.2. ДА за периода'!$B$111:$B$131,$B199,'11.2. ДА за периода'!P$111:P$131)</f>
        <v>0</v>
      </c>
      <c r="Q199" s="1155">
        <f>P199+SUMIF('11.2. ДА за периода'!$B$111:$B$131,$B199,'11.2. ДА за периода'!Q$111:Q$131)</f>
        <v>0</v>
      </c>
      <c r="R199" s="2793">
        <f>Q199+SUMIF('11.2. ДА за периода'!$B$111:$B$131,$B199,'11.2. ДА за периода'!R$111:R$131)</f>
        <v>0</v>
      </c>
      <c r="S199" s="4738">
        <f>+'11.3. ДА Базова година'!P160</f>
        <v>0</v>
      </c>
      <c r="T199" s="2792">
        <f>S199+SUMIF('11.2. ДА за периода'!$B$111:$B$131,$B199,'11.2. ДА за периода'!T$111:T$131)</f>
        <v>0</v>
      </c>
      <c r="U199" s="1155">
        <f>T199+SUMIF('11.2. ДА за периода'!$B$111:$B$131,$B199,'11.2. ДА за периода'!U$111:U$131)</f>
        <v>0</v>
      </c>
      <c r="V199" s="1155">
        <f>U199+SUMIF('11.2. ДА за периода'!$B$111:$B$131,$B199,'11.2. ДА за периода'!V$111:V$131)</f>
        <v>0</v>
      </c>
      <c r="W199" s="1155">
        <f>V199+SUMIF('11.2. ДА за периода'!$B$111:$B$131,$B199,'11.2. ДА за периода'!W$111:W$131)</f>
        <v>0</v>
      </c>
      <c r="X199" s="1155">
        <f>W199+SUMIF('11.2. ДА за периода'!$B$111:$B$131,$B199,'11.2. ДА за периода'!X$111:X$131)</f>
        <v>0</v>
      </c>
      <c r="Y199" s="2793">
        <f>X199+SUMIF('11.2. ДА за периода'!$B$111:$B$131,$B199,'11.2. ДА за периода'!Y$111:Y$131)</f>
        <v>0</v>
      </c>
      <c r="Z199" s="4738">
        <f>+'11.3. ДА Базова година'!T160</f>
        <v>0</v>
      </c>
      <c r="AA199" s="2792">
        <f>Z199+SUMIF('11.2. ДА за периода'!$B$111:$B$131,$B199,'11.2. ДА за периода'!AA$111:AA$131)</f>
        <v>0</v>
      </c>
      <c r="AB199" s="1155">
        <f>AA199+SUMIF('11.2. ДА за периода'!$B$111:$B$131,$B199,'11.2. ДА за периода'!AB$111:AB$131)</f>
        <v>0</v>
      </c>
      <c r="AC199" s="1155">
        <f>AB199+SUMIF('11.2. ДА за периода'!$B$111:$B$131,$B199,'11.2. ДА за периода'!AC$111:AC$131)</f>
        <v>0</v>
      </c>
      <c r="AD199" s="1155">
        <f>AC199+SUMIF('11.2. ДА за периода'!$B$111:$B$131,$B199,'11.2. ДА за периода'!AD$111:AD$131)</f>
        <v>0</v>
      </c>
      <c r="AE199" s="1155">
        <f>AD199+SUMIF('11.2. ДА за периода'!$B$111:$B$131,$B199,'11.2. ДА за периода'!AE$111:AE$131)</f>
        <v>0</v>
      </c>
      <c r="AF199" s="2793">
        <f>AE199+SUMIF('11.2. ДА за периода'!$B$111:$B$131,$B199,'11.2. ДА за периода'!AF$111:AF$131)</f>
        <v>0</v>
      </c>
      <c r="AG199" s="4738">
        <f>+'11.3. ДА Базова година'!X160</f>
        <v>0</v>
      </c>
      <c r="AH199" s="2792">
        <f>AG199+SUMIF('11.2. ДА за периода'!$B$111:$B$131,$B199,'11.2. ДА за периода'!AH$111:AH$131)</f>
        <v>0</v>
      </c>
      <c r="AI199" s="1155">
        <f>AH199+SUMIF('11.2. ДА за периода'!$B$111:$B$131,$B199,'11.2. ДА за периода'!AI$111:AI$131)</f>
        <v>0</v>
      </c>
      <c r="AJ199" s="1155">
        <f>AI199+SUMIF('11.2. ДА за периода'!$B$111:$B$131,$B199,'11.2. ДА за периода'!AJ$111:AJ$131)</f>
        <v>0</v>
      </c>
      <c r="AK199" s="1155">
        <f>AJ199+SUMIF('11.2. ДА за периода'!$B$111:$B$131,$B199,'11.2. ДА за периода'!AK$111:AK$131)</f>
        <v>0</v>
      </c>
      <c r="AL199" s="1155">
        <f>AK199+SUMIF('11.2. ДА за периода'!$B$111:$B$131,$B199,'11.2. ДА за периода'!AL$111:AL$131)</f>
        <v>0</v>
      </c>
      <c r="AM199" s="2793">
        <f>AL199+SUMIF('11.2. ДА за периода'!$B$111:$B$131,$B199,'11.2. ДА за периода'!AM$111:AM$131)</f>
        <v>0</v>
      </c>
      <c r="AN199" s="2681"/>
      <c r="AO199" s="2719"/>
      <c r="AP199" s="4775"/>
      <c r="AQ199" s="4794">
        <f t="shared" si="271"/>
        <v>40.392058614501259</v>
      </c>
      <c r="AR199" s="4794">
        <f t="shared" si="272"/>
        <v>40.392058614501259</v>
      </c>
      <c r="AS199" s="4794">
        <f t="shared" si="273"/>
        <v>40.392058614501259</v>
      </c>
      <c r="AT199" s="4794">
        <f t="shared" si="274"/>
        <v>40.392058614501259</v>
      </c>
      <c r="AU199" s="4794">
        <f t="shared" si="275"/>
        <v>40.392058614501259</v>
      </c>
      <c r="AV199" s="4794">
        <f t="shared" si="276"/>
        <v>40.392058614501259</v>
      </c>
      <c r="AW199" s="4794">
        <f t="shared" si="277"/>
        <v>40.392058614501259</v>
      </c>
      <c r="AX199" s="4794">
        <f t="shared" si="278"/>
        <v>0</v>
      </c>
      <c r="AY199" s="4794">
        <f t="shared" si="279"/>
        <v>0</v>
      </c>
      <c r="AZ199" s="4794">
        <f t="shared" si="280"/>
        <v>0</v>
      </c>
      <c r="BA199" s="4794">
        <f t="shared" si="281"/>
        <v>0</v>
      </c>
      <c r="BB199" s="4794">
        <f t="shared" si="282"/>
        <v>0</v>
      </c>
      <c r="BC199" s="4794">
        <f t="shared" si="283"/>
        <v>0</v>
      </c>
      <c r="BD199" s="4794">
        <f t="shared" si="284"/>
        <v>0</v>
      </c>
      <c r="BE199" s="4794">
        <f t="shared" si="285"/>
        <v>0</v>
      </c>
      <c r="BF199" s="4794">
        <f t="shared" si="286"/>
        <v>0</v>
      </c>
      <c r="BG199" s="4794">
        <f t="shared" si="287"/>
        <v>0</v>
      </c>
      <c r="BH199" s="4794">
        <f t="shared" si="288"/>
        <v>0</v>
      </c>
      <c r="BI199" s="4794">
        <f t="shared" si="289"/>
        <v>0</v>
      </c>
      <c r="BJ199" s="4794">
        <f t="shared" si="290"/>
        <v>0</v>
      </c>
      <c r="BK199" s="4794">
        <f t="shared" si="291"/>
        <v>0</v>
      </c>
      <c r="BL199" s="4794">
        <f t="shared" si="292"/>
        <v>0</v>
      </c>
      <c r="BM199" s="4794">
        <f t="shared" si="293"/>
        <v>0</v>
      </c>
      <c r="BN199" s="4794">
        <f t="shared" si="294"/>
        <v>0</v>
      </c>
      <c r="BO199" s="4794">
        <f t="shared" si="295"/>
        <v>0</v>
      </c>
      <c r="BP199" s="4794">
        <f t="shared" si="296"/>
        <v>0</v>
      </c>
      <c r="BQ199" s="4794">
        <f t="shared" si="297"/>
        <v>0</v>
      </c>
      <c r="BR199" s="4794">
        <f t="shared" si="298"/>
        <v>0</v>
      </c>
      <c r="BS199" s="4794">
        <f t="shared" si="299"/>
        <v>0</v>
      </c>
      <c r="BT199" s="4794">
        <f t="shared" si="300"/>
        <v>0</v>
      </c>
      <c r="BU199" s="4794">
        <f t="shared" si="301"/>
        <v>0</v>
      </c>
      <c r="BV199" s="4794">
        <f t="shared" si="302"/>
        <v>0</v>
      </c>
      <c r="BW199" s="4794">
        <f t="shared" si="303"/>
        <v>0</v>
      </c>
      <c r="BX199" s="4794">
        <f t="shared" si="304"/>
        <v>0</v>
      </c>
      <c r="BY199" s="4794">
        <f t="shared" si="305"/>
        <v>0</v>
      </c>
    </row>
    <row r="200" spans="1:77" s="1344" customFormat="1">
      <c r="A200" s="2683">
        <v>8</v>
      </c>
      <c r="B200" s="2684" t="s">
        <v>716</v>
      </c>
      <c r="C200" s="2685">
        <v>0.1</v>
      </c>
      <c r="D200" s="2720" t="s">
        <v>713</v>
      </c>
      <c r="E200" s="4738">
        <f>+'11.3. ДА Базова година'!H161</f>
        <v>1280</v>
      </c>
      <c r="F200" s="2792">
        <f>E200+SUMIF('11.2. ДА за периода'!$B$111:$B$131,$B200,'11.2. ДА за периода'!F$111:F$131)</f>
        <v>1280</v>
      </c>
      <c r="G200" s="1155">
        <f>F200+SUMIF('11.2. ДА за периода'!$B$111:$B$131,$B200,'11.2. ДА за периода'!G$111:G$131)</f>
        <v>1280</v>
      </c>
      <c r="H200" s="1155">
        <f>G200+SUMIF('11.2. ДА за периода'!$B$111:$B$131,$B200,'11.2. ДА за периода'!H$111:H$131)</f>
        <v>1280</v>
      </c>
      <c r="I200" s="1155">
        <f>H200+SUMIF('11.2. ДА за периода'!$B$111:$B$131,$B200,'11.2. ДА за периода'!I$111:I$131)</f>
        <v>1280</v>
      </c>
      <c r="J200" s="1155">
        <f>I200+SUMIF('11.2. ДА за периода'!$B$111:$B$131,$B200,'11.2. ДА за периода'!J$111:J$131)</f>
        <v>1280</v>
      </c>
      <c r="K200" s="2793">
        <f>J200+SUMIF('11.2. ДА за периода'!$B$111:$B$131,$B200,'11.2. ДА за периода'!K$111:K$131)</f>
        <v>1280</v>
      </c>
      <c r="L200" s="4738">
        <f>+'11.3. ДА Базова година'!L161</f>
        <v>0</v>
      </c>
      <c r="M200" s="2792">
        <f>L200+SUMIF('11.2. ДА за периода'!$B$111:$B$131,$B200,'11.2. ДА за периода'!M$111:M$131)</f>
        <v>0</v>
      </c>
      <c r="N200" s="1155">
        <f>M200+SUMIF('11.2. ДА за периода'!$B$111:$B$131,$B200,'11.2. ДА за периода'!N$111:N$131)</f>
        <v>0</v>
      </c>
      <c r="O200" s="1155">
        <f>N200+SUMIF('11.2. ДА за периода'!$B$111:$B$131,$B200,'11.2. ДА за периода'!O$111:O$131)</f>
        <v>0</v>
      </c>
      <c r="P200" s="1155">
        <f>O200+SUMIF('11.2. ДА за периода'!$B$111:$B$131,$B200,'11.2. ДА за периода'!P$111:P$131)</f>
        <v>0</v>
      </c>
      <c r="Q200" s="1155">
        <f>P200+SUMIF('11.2. ДА за периода'!$B$111:$B$131,$B200,'11.2. ДА за периода'!Q$111:Q$131)</f>
        <v>0</v>
      </c>
      <c r="R200" s="2793">
        <f>Q200+SUMIF('11.2. ДА за периода'!$B$111:$B$131,$B200,'11.2. ДА за периода'!R$111:R$131)</f>
        <v>0</v>
      </c>
      <c r="S200" s="4738">
        <f>+'11.3. ДА Базова година'!P161</f>
        <v>0</v>
      </c>
      <c r="T200" s="2792">
        <f>S200+SUMIF('11.2. ДА за периода'!$B$111:$B$131,$B200,'11.2. ДА за периода'!T$111:T$131)</f>
        <v>0</v>
      </c>
      <c r="U200" s="1155">
        <f>T200+SUMIF('11.2. ДА за периода'!$B$111:$B$131,$B200,'11.2. ДА за периода'!U$111:U$131)</f>
        <v>0</v>
      </c>
      <c r="V200" s="1155">
        <f>U200+SUMIF('11.2. ДА за периода'!$B$111:$B$131,$B200,'11.2. ДА за периода'!V$111:V$131)</f>
        <v>0</v>
      </c>
      <c r="W200" s="1155">
        <f>V200+SUMIF('11.2. ДА за периода'!$B$111:$B$131,$B200,'11.2. ДА за периода'!W$111:W$131)</f>
        <v>0</v>
      </c>
      <c r="X200" s="1155">
        <f>W200+SUMIF('11.2. ДА за периода'!$B$111:$B$131,$B200,'11.2. ДА за периода'!X$111:X$131)</f>
        <v>0</v>
      </c>
      <c r="Y200" s="2793">
        <f>X200+SUMIF('11.2. ДА за периода'!$B$111:$B$131,$B200,'11.2. ДА за периода'!Y$111:Y$131)</f>
        <v>0</v>
      </c>
      <c r="Z200" s="4738">
        <f>+'11.3. ДА Базова година'!T161</f>
        <v>0</v>
      </c>
      <c r="AA200" s="2792">
        <f>Z200+SUMIF('11.2. ДА за периода'!$B$111:$B$131,$B200,'11.2. ДА за периода'!AA$111:AA$131)</f>
        <v>0</v>
      </c>
      <c r="AB200" s="1155">
        <f>AA200+SUMIF('11.2. ДА за периода'!$B$111:$B$131,$B200,'11.2. ДА за периода'!AB$111:AB$131)</f>
        <v>0</v>
      </c>
      <c r="AC200" s="1155">
        <f>AB200+SUMIF('11.2. ДА за периода'!$B$111:$B$131,$B200,'11.2. ДА за периода'!AC$111:AC$131)</f>
        <v>0</v>
      </c>
      <c r="AD200" s="1155">
        <f>AC200+SUMIF('11.2. ДА за периода'!$B$111:$B$131,$B200,'11.2. ДА за периода'!AD$111:AD$131)</f>
        <v>0</v>
      </c>
      <c r="AE200" s="1155">
        <f>AD200+SUMIF('11.2. ДА за периода'!$B$111:$B$131,$B200,'11.2. ДА за периода'!AE$111:AE$131)</f>
        <v>0</v>
      </c>
      <c r="AF200" s="2793">
        <f>AE200+SUMIF('11.2. ДА за периода'!$B$111:$B$131,$B200,'11.2. ДА за периода'!AF$111:AF$131)</f>
        <v>0</v>
      </c>
      <c r="AG200" s="4738">
        <f>+'11.3. ДА Базова година'!X161</f>
        <v>0</v>
      </c>
      <c r="AH200" s="2792">
        <f>AG200+SUMIF('11.2. ДА за периода'!$B$111:$B$131,$B200,'11.2. ДА за периода'!AH$111:AH$131)</f>
        <v>0</v>
      </c>
      <c r="AI200" s="1155">
        <f>AH200+SUMIF('11.2. ДА за периода'!$B$111:$B$131,$B200,'11.2. ДА за периода'!AI$111:AI$131)</f>
        <v>0</v>
      </c>
      <c r="AJ200" s="1155">
        <f>AI200+SUMIF('11.2. ДА за периода'!$B$111:$B$131,$B200,'11.2. ДА за периода'!AJ$111:AJ$131)</f>
        <v>0</v>
      </c>
      <c r="AK200" s="1155">
        <f>AJ200+SUMIF('11.2. ДА за периода'!$B$111:$B$131,$B200,'11.2. ДА за периода'!AK$111:AK$131)</f>
        <v>0</v>
      </c>
      <c r="AL200" s="1155">
        <f>AK200+SUMIF('11.2. ДА за периода'!$B$111:$B$131,$B200,'11.2. ДА за периода'!AL$111:AL$131)</f>
        <v>0</v>
      </c>
      <c r="AM200" s="2793">
        <f>AL200+SUMIF('11.2. ДА за периода'!$B$111:$B$131,$B200,'11.2. ДА за периода'!AM$111:AM$131)</f>
        <v>0</v>
      </c>
      <c r="AN200" s="2681"/>
      <c r="AO200" s="2719"/>
      <c r="AP200" s="4775"/>
      <c r="AQ200" s="4794">
        <f t="shared" si="271"/>
        <v>654.45360793115969</v>
      </c>
      <c r="AR200" s="4794">
        <f t="shared" si="272"/>
        <v>654.45360793115969</v>
      </c>
      <c r="AS200" s="4794">
        <f t="shared" si="273"/>
        <v>654.45360793115969</v>
      </c>
      <c r="AT200" s="4794">
        <f t="shared" si="274"/>
        <v>654.45360793115969</v>
      </c>
      <c r="AU200" s="4794">
        <f t="shared" si="275"/>
        <v>654.45360793115969</v>
      </c>
      <c r="AV200" s="4794">
        <f t="shared" si="276"/>
        <v>654.45360793115969</v>
      </c>
      <c r="AW200" s="4794">
        <f t="shared" si="277"/>
        <v>654.45360793115969</v>
      </c>
      <c r="AX200" s="4794">
        <f t="shared" si="278"/>
        <v>0</v>
      </c>
      <c r="AY200" s="4794">
        <f t="shared" si="279"/>
        <v>0</v>
      </c>
      <c r="AZ200" s="4794">
        <f t="shared" si="280"/>
        <v>0</v>
      </c>
      <c r="BA200" s="4794">
        <f t="shared" si="281"/>
        <v>0</v>
      </c>
      <c r="BB200" s="4794">
        <f t="shared" si="282"/>
        <v>0</v>
      </c>
      <c r="BC200" s="4794">
        <f t="shared" si="283"/>
        <v>0</v>
      </c>
      <c r="BD200" s="4794">
        <f t="shared" si="284"/>
        <v>0</v>
      </c>
      <c r="BE200" s="4794">
        <f t="shared" si="285"/>
        <v>0</v>
      </c>
      <c r="BF200" s="4794">
        <f t="shared" si="286"/>
        <v>0</v>
      </c>
      <c r="BG200" s="4794">
        <f t="shared" si="287"/>
        <v>0</v>
      </c>
      <c r="BH200" s="4794">
        <f t="shared" si="288"/>
        <v>0</v>
      </c>
      <c r="BI200" s="4794">
        <f t="shared" si="289"/>
        <v>0</v>
      </c>
      <c r="BJ200" s="4794">
        <f t="shared" si="290"/>
        <v>0</v>
      </c>
      <c r="BK200" s="4794">
        <f t="shared" si="291"/>
        <v>0</v>
      </c>
      <c r="BL200" s="4794">
        <f t="shared" si="292"/>
        <v>0</v>
      </c>
      <c r="BM200" s="4794">
        <f t="shared" si="293"/>
        <v>0</v>
      </c>
      <c r="BN200" s="4794">
        <f t="shared" si="294"/>
        <v>0</v>
      </c>
      <c r="BO200" s="4794">
        <f t="shared" si="295"/>
        <v>0</v>
      </c>
      <c r="BP200" s="4794">
        <f t="shared" si="296"/>
        <v>0</v>
      </c>
      <c r="BQ200" s="4794">
        <f t="shared" si="297"/>
        <v>0</v>
      </c>
      <c r="BR200" s="4794">
        <f t="shared" si="298"/>
        <v>0</v>
      </c>
      <c r="BS200" s="4794">
        <f t="shared" si="299"/>
        <v>0</v>
      </c>
      <c r="BT200" s="4794">
        <f t="shared" si="300"/>
        <v>0</v>
      </c>
      <c r="BU200" s="4794">
        <f t="shared" si="301"/>
        <v>0</v>
      </c>
      <c r="BV200" s="4794">
        <f t="shared" si="302"/>
        <v>0</v>
      </c>
      <c r="BW200" s="4794">
        <f t="shared" si="303"/>
        <v>0</v>
      </c>
      <c r="BX200" s="4794">
        <f t="shared" si="304"/>
        <v>0</v>
      </c>
      <c r="BY200" s="4794">
        <f t="shared" si="305"/>
        <v>0</v>
      </c>
    </row>
    <row r="201" spans="1:77" s="1344" customFormat="1">
      <c r="A201" s="2741">
        <v>9</v>
      </c>
      <c r="B201" s="2684">
        <v>911306</v>
      </c>
      <c r="C201" s="2685">
        <v>0.1</v>
      </c>
      <c r="D201" s="2720" t="s">
        <v>1032</v>
      </c>
      <c r="E201" s="4738">
        <f>+'11.3. ДА Базова година'!H162</f>
        <v>80</v>
      </c>
      <c r="F201" s="2792">
        <f>E201+SUMIF('11.2. ДА за периода'!$B$111:$B$131,$B201,'11.2. ДА за периода'!F$111:F$131)</f>
        <v>80</v>
      </c>
      <c r="G201" s="1155">
        <f>F201+SUMIF('11.2. ДА за периода'!$B$111:$B$131,$B201,'11.2. ДА за периода'!G$111:G$131)</f>
        <v>80</v>
      </c>
      <c r="H201" s="1155">
        <f>G201+SUMIF('11.2. ДА за периода'!$B$111:$B$131,$B201,'11.2. ДА за периода'!H$111:H$131)</f>
        <v>80</v>
      </c>
      <c r="I201" s="1155">
        <f>H201+SUMIF('11.2. ДА за периода'!$B$111:$B$131,$B201,'11.2. ДА за периода'!I$111:I$131)</f>
        <v>80</v>
      </c>
      <c r="J201" s="1155">
        <f>I201+SUMIF('11.2. ДА за периода'!$B$111:$B$131,$B201,'11.2. ДА за периода'!J$111:J$131)</f>
        <v>80</v>
      </c>
      <c r="K201" s="2793">
        <f>J201+SUMIF('11.2. ДА за периода'!$B$111:$B$131,$B201,'11.2. ДА за периода'!K$111:K$131)</f>
        <v>80</v>
      </c>
      <c r="L201" s="4738">
        <f>+'11.3. ДА Базова година'!L162</f>
        <v>0</v>
      </c>
      <c r="M201" s="2792">
        <f>L201+SUMIF('11.2. ДА за периода'!$B$111:$B$131,$B201,'11.2. ДА за периода'!M$111:M$131)</f>
        <v>0</v>
      </c>
      <c r="N201" s="1155">
        <f>M201+SUMIF('11.2. ДА за периода'!$B$111:$B$131,$B201,'11.2. ДА за периода'!N$111:N$131)</f>
        <v>0</v>
      </c>
      <c r="O201" s="1155">
        <f>N201+SUMIF('11.2. ДА за периода'!$B$111:$B$131,$B201,'11.2. ДА за периода'!O$111:O$131)</f>
        <v>0</v>
      </c>
      <c r="P201" s="1155">
        <f>O201+SUMIF('11.2. ДА за периода'!$B$111:$B$131,$B201,'11.2. ДА за периода'!P$111:P$131)</f>
        <v>0</v>
      </c>
      <c r="Q201" s="1155">
        <f>P201+SUMIF('11.2. ДА за периода'!$B$111:$B$131,$B201,'11.2. ДА за периода'!Q$111:Q$131)</f>
        <v>0</v>
      </c>
      <c r="R201" s="2793">
        <f>Q201+SUMIF('11.2. ДА за периода'!$B$111:$B$131,$B201,'11.2. ДА за периода'!R$111:R$131)</f>
        <v>0</v>
      </c>
      <c r="S201" s="4738">
        <f>+'11.3. ДА Базова година'!P162</f>
        <v>279</v>
      </c>
      <c r="T201" s="2792">
        <f>S201+SUMIF('11.2. ДА за периода'!$B$111:$B$131,$B201,'11.2. ДА за периода'!T$111:T$131)</f>
        <v>279</v>
      </c>
      <c r="U201" s="1155">
        <f>T201+SUMIF('11.2. ДА за периода'!$B$111:$B$131,$B201,'11.2. ДА за периода'!U$111:U$131)</f>
        <v>279</v>
      </c>
      <c r="V201" s="1155">
        <f>U201+SUMIF('11.2. ДА за периода'!$B$111:$B$131,$B201,'11.2. ДА за периода'!V$111:V$131)</f>
        <v>279</v>
      </c>
      <c r="W201" s="1155">
        <f>V201+SUMIF('11.2. ДА за периода'!$B$111:$B$131,$B201,'11.2. ДА за периода'!W$111:W$131)</f>
        <v>279</v>
      </c>
      <c r="X201" s="1155">
        <f>W201+SUMIF('11.2. ДА за периода'!$B$111:$B$131,$B201,'11.2. ДА за периода'!X$111:X$131)</f>
        <v>279</v>
      </c>
      <c r="Y201" s="2793">
        <f>X201+SUMIF('11.2. ДА за периода'!$B$111:$B$131,$B201,'11.2. ДА за периода'!Y$111:Y$131)</f>
        <v>279</v>
      </c>
      <c r="Z201" s="4738">
        <f>+'11.3. ДА Базова година'!T162</f>
        <v>0</v>
      </c>
      <c r="AA201" s="2792">
        <f>Z201+SUMIF('11.2. ДА за периода'!$B$111:$B$131,$B201,'11.2. ДА за периода'!AA$111:AA$131)</f>
        <v>0</v>
      </c>
      <c r="AB201" s="1155">
        <f>AA201+SUMIF('11.2. ДА за периода'!$B$111:$B$131,$B201,'11.2. ДА за периода'!AB$111:AB$131)</f>
        <v>0</v>
      </c>
      <c r="AC201" s="1155">
        <f>AB201+SUMIF('11.2. ДА за периода'!$B$111:$B$131,$B201,'11.2. ДА за периода'!AC$111:AC$131)</f>
        <v>0</v>
      </c>
      <c r="AD201" s="1155">
        <f>AC201+SUMIF('11.2. ДА за периода'!$B$111:$B$131,$B201,'11.2. ДА за периода'!AD$111:AD$131)</f>
        <v>0</v>
      </c>
      <c r="AE201" s="1155">
        <f>AD201+SUMIF('11.2. ДА за периода'!$B$111:$B$131,$B201,'11.2. ДА за периода'!AE$111:AE$131)</f>
        <v>0</v>
      </c>
      <c r="AF201" s="2793">
        <f>AE201+SUMIF('11.2. ДА за периода'!$B$111:$B$131,$B201,'11.2. ДА за периода'!AF$111:AF$131)</f>
        <v>0</v>
      </c>
      <c r="AG201" s="4738">
        <f>+'11.3. ДА Базова година'!X162</f>
        <v>0</v>
      </c>
      <c r="AH201" s="2792">
        <f>AG201+SUMIF('11.2. ДА за периода'!$B$111:$B$131,$B201,'11.2. ДА за периода'!AH$111:AH$131)</f>
        <v>0</v>
      </c>
      <c r="AI201" s="1155">
        <f>AH201+SUMIF('11.2. ДА за периода'!$B$111:$B$131,$B201,'11.2. ДА за периода'!AI$111:AI$131)</f>
        <v>0</v>
      </c>
      <c r="AJ201" s="1155">
        <f>AI201+SUMIF('11.2. ДА за периода'!$B$111:$B$131,$B201,'11.2. ДА за периода'!AJ$111:AJ$131)</f>
        <v>0</v>
      </c>
      <c r="AK201" s="1155">
        <f>AJ201+SUMIF('11.2. ДА за периода'!$B$111:$B$131,$B201,'11.2. ДА за периода'!AK$111:AK$131)</f>
        <v>0</v>
      </c>
      <c r="AL201" s="1155">
        <f>AK201+SUMIF('11.2. ДА за периода'!$B$111:$B$131,$B201,'11.2. ДА за периода'!AL$111:AL$131)</f>
        <v>0</v>
      </c>
      <c r="AM201" s="2793">
        <f>AL201+SUMIF('11.2. ДА за периода'!$B$111:$B$131,$B201,'11.2. ДА за периода'!AM$111:AM$131)</f>
        <v>0</v>
      </c>
      <c r="AN201" s="2681"/>
      <c r="AO201" s="2719"/>
      <c r="AP201" s="4775"/>
      <c r="AQ201" s="4794">
        <f t="shared" si="271"/>
        <v>40.903350495697481</v>
      </c>
      <c r="AR201" s="4794">
        <f t="shared" si="272"/>
        <v>40.903350495697481</v>
      </c>
      <c r="AS201" s="4794">
        <f t="shared" si="273"/>
        <v>40.903350495697481</v>
      </c>
      <c r="AT201" s="4794">
        <f t="shared" si="274"/>
        <v>40.903350495697481</v>
      </c>
      <c r="AU201" s="4794">
        <f t="shared" si="275"/>
        <v>40.903350495697481</v>
      </c>
      <c r="AV201" s="4794">
        <f t="shared" si="276"/>
        <v>40.903350495697481</v>
      </c>
      <c r="AW201" s="4794">
        <f t="shared" si="277"/>
        <v>40.903350495697481</v>
      </c>
      <c r="AX201" s="4794">
        <f t="shared" si="278"/>
        <v>0</v>
      </c>
      <c r="AY201" s="4794">
        <f t="shared" si="279"/>
        <v>0</v>
      </c>
      <c r="AZ201" s="4794">
        <f t="shared" si="280"/>
        <v>0</v>
      </c>
      <c r="BA201" s="4794">
        <f t="shared" si="281"/>
        <v>0</v>
      </c>
      <c r="BB201" s="4794">
        <f t="shared" si="282"/>
        <v>0</v>
      </c>
      <c r="BC201" s="4794">
        <f t="shared" si="283"/>
        <v>0</v>
      </c>
      <c r="BD201" s="4794">
        <f t="shared" si="284"/>
        <v>0</v>
      </c>
      <c r="BE201" s="4794">
        <f t="shared" si="285"/>
        <v>142.65043485374497</v>
      </c>
      <c r="BF201" s="4794">
        <f t="shared" si="286"/>
        <v>142.65043485374497</v>
      </c>
      <c r="BG201" s="4794">
        <f t="shared" si="287"/>
        <v>142.65043485374497</v>
      </c>
      <c r="BH201" s="4794">
        <f t="shared" si="288"/>
        <v>142.65043485374497</v>
      </c>
      <c r="BI201" s="4794">
        <f t="shared" si="289"/>
        <v>142.65043485374497</v>
      </c>
      <c r="BJ201" s="4794">
        <f t="shared" si="290"/>
        <v>142.65043485374497</v>
      </c>
      <c r="BK201" s="4794">
        <f t="shared" si="291"/>
        <v>142.65043485374497</v>
      </c>
      <c r="BL201" s="4794">
        <f t="shared" si="292"/>
        <v>0</v>
      </c>
      <c r="BM201" s="4794">
        <f t="shared" si="293"/>
        <v>0</v>
      </c>
      <c r="BN201" s="4794">
        <f t="shared" si="294"/>
        <v>0</v>
      </c>
      <c r="BO201" s="4794">
        <f t="shared" si="295"/>
        <v>0</v>
      </c>
      <c r="BP201" s="4794">
        <f t="shared" si="296"/>
        <v>0</v>
      </c>
      <c r="BQ201" s="4794">
        <f t="shared" si="297"/>
        <v>0</v>
      </c>
      <c r="BR201" s="4794">
        <f t="shared" si="298"/>
        <v>0</v>
      </c>
      <c r="BS201" s="4794">
        <f t="shared" si="299"/>
        <v>0</v>
      </c>
      <c r="BT201" s="4794">
        <f t="shared" si="300"/>
        <v>0</v>
      </c>
      <c r="BU201" s="4794">
        <f t="shared" si="301"/>
        <v>0</v>
      </c>
      <c r="BV201" s="4794">
        <f t="shared" si="302"/>
        <v>0</v>
      </c>
      <c r="BW201" s="4794">
        <f t="shared" si="303"/>
        <v>0</v>
      </c>
      <c r="BX201" s="4794">
        <f t="shared" si="304"/>
        <v>0</v>
      </c>
      <c r="BY201" s="4794">
        <f t="shared" si="305"/>
        <v>0</v>
      </c>
    </row>
    <row r="202" spans="1:77" s="1344" customFormat="1">
      <c r="A202" s="2741">
        <v>10</v>
      </c>
      <c r="B202" s="2684">
        <v>91140101</v>
      </c>
      <c r="C202" s="2740">
        <v>0.1</v>
      </c>
      <c r="D202" s="2714" t="s">
        <v>1016</v>
      </c>
      <c r="E202" s="4738">
        <f>+'11.3. ДА Базова година'!H163</f>
        <v>8</v>
      </c>
      <c r="F202" s="2792">
        <f>E202+SUMIF('11.2. ДА за периода'!$B$111:$B$131,$B202,'11.2. ДА за периода'!F$111:F$131)</f>
        <v>8</v>
      </c>
      <c r="G202" s="1155">
        <f>F202+SUMIF('11.2. ДА за периода'!$B$111:$B$131,$B202,'11.2. ДА за периода'!G$111:G$131)</f>
        <v>8</v>
      </c>
      <c r="H202" s="1155">
        <f>G202+SUMIF('11.2. ДА за периода'!$B$111:$B$131,$B202,'11.2. ДА за периода'!H$111:H$131)</f>
        <v>8</v>
      </c>
      <c r="I202" s="1155">
        <f>H202+SUMIF('11.2. ДА за периода'!$B$111:$B$131,$B202,'11.2. ДА за периода'!I$111:I$131)</f>
        <v>8</v>
      </c>
      <c r="J202" s="1155">
        <f>I202+SUMIF('11.2. ДА за периода'!$B$111:$B$131,$B202,'11.2. ДА за периода'!J$111:J$131)</f>
        <v>8</v>
      </c>
      <c r="K202" s="2793">
        <f>J202+SUMIF('11.2. ДА за периода'!$B$111:$B$131,$B202,'11.2. ДА за периода'!K$111:K$131)</f>
        <v>8</v>
      </c>
      <c r="L202" s="4738">
        <f>+'11.3. ДА Базова година'!L163</f>
        <v>0</v>
      </c>
      <c r="M202" s="2792">
        <f>L202+SUMIF('11.2. ДА за периода'!$B$111:$B$131,$B202,'11.2. ДА за периода'!M$111:M$131)</f>
        <v>0</v>
      </c>
      <c r="N202" s="1155">
        <f>M202+SUMIF('11.2. ДА за периода'!$B$111:$B$131,$B202,'11.2. ДА за периода'!N$111:N$131)</f>
        <v>0</v>
      </c>
      <c r="O202" s="1155">
        <f>N202+SUMIF('11.2. ДА за периода'!$B$111:$B$131,$B202,'11.2. ДА за периода'!O$111:O$131)</f>
        <v>0</v>
      </c>
      <c r="P202" s="1155">
        <f>O202+SUMIF('11.2. ДА за периода'!$B$111:$B$131,$B202,'11.2. ДА за периода'!P$111:P$131)</f>
        <v>0</v>
      </c>
      <c r="Q202" s="1155">
        <f>P202+SUMIF('11.2. ДА за периода'!$B$111:$B$131,$B202,'11.2. ДА за периода'!Q$111:Q$131)</f>
        <v>0</v>
      </c>
      <c r="R202" s="2793">
        <f>Q202+SUMIF('11.2. ДА за периода'!$B$111:$B$131,$B202,'11.2. ДА за периода'!R$111:R$131)</f>
        <v>0</v>
      </c>
      <c r="S202" s="4738">
        <f>+'11.3. ДА Базова година'!P163</f>
        <v>0</v>
      </c>
      <c r="T202" s="2792">
        <f>S202+SUMIF('11.2. ДА за периода'!$B$111:$B$131,$B202,'11.2. ДА за периода'!T$111:T$131)</f>
        <v>0</v>
      </c>
      <c r="U202" s="1155">
        <f>T202+SUMIF('11.2. ДА за периода'!$B$111:$B$131,$B202,'11.2. ДА за периода'!U$111:U$131)</f>
        <v>0</v>
      </c>
      <c r="V202" s="1155">
        <f>U202+SUMIF('11.2. ДА за периода'!$B$111:$B$131,$B202,'11.2. ДА за периода'!V$111:V$131)</f>
        <v>0</v>
      </c>
      <c r="W202" s="1155">
        <f>V202+SUMIF('11.2. ДА за периода'!$B$111:$B$131,$B202,'11.2. ДА за периода'!W$111:W$131)</f>
        <v>0</v>
      </c>
      <c r="X202" s="1155">
        <f>W202+SUMIF('11.2. ДА за периода'!$B$111:$B$131,$B202,'11.2. ДА за периода'!X$111:X$131)</f>
        <v>0</v>
      </c>
      <c r="Y202" s="2793">
        <f>X202+SUMIF('11.2. ДА за периода'!$B$111:$B$131,$B202,'11.2. ДА за периода'!Y$111:Y$131)</f>
        <v>0</v>
      </c>
      <c r="Z202" s="4738">
        <f>+'11.3. ДА Базова година'!T163</f>
        <v>0</v>
      </c>
      <c r="AA202" s="2792">
        <f>Z202+SUMIF('11.2. ДА за периода'!$B$111:$B$131,$B202,'11.2. ДА за периода'!AA$111:AA$131)</f>
        <v>0</v>
      </c>
      <c r="AB202" s="1155">
        <f>AA202+SUMIF('11.2. ДА за периода'!$B$111:$B$131,$B202,'11.2. ДА за периода'!AB$111:AB$131)</f>
        <v>0</v>
      </c>
      <c r="AC202" s="1155">
        <f>AB202+SUMIF('11.2. ДА за периода'!$B$111:$B$131,$B202,'11.2. ДА за периода'!AC$111:AC$131)</f>
        <v>0</v>
      </c>
      <c r="AD202" s="1155">
        <f>AC202+SUMIF('11.2. ДА за периода'!$B$111:$B$131,$B202,'11.2. ДА за периода'!AD$111:AD$131)</f>
        <v>0</v>
      </c>
      <c r="AE202" s="1155">
        <f>AD202+SUMIF('11.2. ДА за периода'!$B$111:$B$131,$B202,'11.2. ДА за периода'!AE$111:AE$131)</f>
        <v>0</v>
      </c>
      <c r="AF202" s="2793">
        <f>AE202+SUMIF('11.2. ДА за периода'!$B$111:$B$131,$B202,'11.2. ДА за периода'!AF$111:AF$131)</f>
        <v>0</v>
      </c>
      <c r="AG202" s="4738">
        <f>+'11.3. ДА Базова година'!X163</f>
        <v>0</v>
      </c>
      <c r="AH202" s="2792">
        <f>AG202+SUMIF('11.2. ДА за периода'!$B$111:$B$131,$B202,'11.2. ДА за периода'!AH$111:AH$131)</f>
        <v>0</v>
      </c>
      <c r="AI202" s="1155">
        <f>AH202+SUMIF('11.2. ДА за периода'!$B$111:$B$131,$B202,'11.2. ДА за периода'!AI$111:AI$131)</f>
        <v>0</v>
      </c>
      <c r="AJ202" s="1155">
        <f>AI202+SUMIF('11.2. ДА за периода'!$B$111:$B$131,$B202,'11.2. ДА за периода'!AJ$111:AJ$131)</f>
        <v>0</v>
      </c>
      <c r="AK202" s="1155">
        <f>AJ202+SUMIF('11.2. ДА за периода'!$B$111:$B$131,$B202,'11.2. ДА за периода'!AK$111:AK$131)</f>
        <v>0</v>
      </c>
      <c r="AL202" s="1155">
        <f>AK202+SUMIF('11.2. ДА за периода'!$B$111:$B$131,$B202,'11.2. ДА за периода'!AL$111:AL$131)</f>
        <v>0</v>
      </c>
      <c r="AM202" s="2793">
        <f>AL202+SUMIF('11.2. ДА за периода'!$B$111:$B$131,$B202,'11.2. ДА за периода'!AM$111:AM$131)</f>
        <v>0</v>
      </c>
      <c r="AN202" s="2681"/>
      <c r="AO202" s="2719"/>
      <c r="AP202" s="4775"/>
      <c r="AQ202" s="4794">
        <f t="shared" si="271"/>
        <v>4.0903350495697479</v>
      </c>
      <c r="AR202" s="4794">
        <f t="shared" si="272"/>
        <v>4.0903350495697479</v>
      </c>
      <c r="AS202" s="4794">
        <f t="shared" si="273"/>
        <v>4.0903350495697479</v>
      </c>
      <c r="AT202" s="4794">
        <f t="shared" si="274"/>
        <v>4.0903350495697479</v>
      </c>
      <c r="AU202" s="4794">
        <f t="shared" si="275"/>
        <v>4.0903350495697479</v>
      </c>
      <c r="AV202" s="4794">
        <f t="shared" si="276"/>
        <v>4.0903350495697479</v>
      </c>
      <c r="AW202" s="4794">
        <f t="shared" si="277"/>
        <v>4.0903350495697479</v>
      </c>
      <c r="AX202" s="4794">
        <f t="shared" si="278"/>
        <v>0</v>
      </c>
      <c r="AY202" s="4794">
        <f t="shared" si="279"/>
        <v>0</v>
      </c>
      <c r="AZ202" s="4794">
        <f t="shared" si="280"/>
        <v>0</v>
      </c>
      <c r="BA202" s="4794">
        <f t="shared" si="281"/>
        <v>0</v>
      </c>
      <c r="BB202" s="4794">
        <f t="shared" si="282"/>
        <v>0</v>
      </c>
      <c r="BC202" s="4794">
        <f t="shared" si="283"/>
        <v>0</v>
      </c>
      <c r="BD202" s="4794">
        <f t="shared" si="284"/>
        <v>0</v>
      </c>
      <c r="BE202" s="4794">
        <f t="shared" si="285"/>
        <v>0</v>
      </c>
      <c r="BF202" s="4794">
        <f t="shared" si="286"/>
        <v>0</v>
      </c>
      <c r="BG202" s="4794">
        <f t="shared" si="287"/>
        <v>0</v>
      </c>
      <c r="BH202" s="4794">
        <f t="shared" si="288"/>
        <v>0</v>
      </c>
      <c r="BI202" s="4794">
        <f t="shared" si="289"/>
        <v>0</v>
      </c>
      <c r="BJ202" s="4794">
        <f t="shared" si="290"/>
        <v>0</v>
      </c>
      <c r="BK202" s="4794">
        <f t="shared" si="291"/>
        <v>0</v>
      </c>
      <c r="BL202" s="4794">
        <f t="shared" si="292"/>
        <v>0</v>
      </c>
      <c r="BM202" s="4794">
        <f t="shared" si="293"/>
        <v>0</v>
      </c>
      <c r="BN202" s="4794">
        <f t="shared" si="294"/>
        <v>0</v>
      </c>
      <c r="BO202" s="4794">
        <f t="shared" si="295"/>
        <v>0</v>
      </c>
      <c r="BP202" s="4794">
        <f t="shared" si="296"/>
        <v>0</v>
      </c>
      <c r="BQ202" s="4794">
        <f t="shared" si="297"/>
        <v>0</v>
      </c>
      <c r="BR202" s="4794">
        <f t="shared" si="298"/>
        <v>0</v>
      </c>
      <c r="BS202" s="4794">
        <f t="shared" si="299"/>
        <v>0</v>
      </c>
      <c r="BT202" s="4794">
        <f t="shared" si="300"/>
        <v>0</v>
      </c>
      <c r="BU202" s="4794">
        <f t="shared" si="301"/>
        <v>0</v>
      </c>
      <c r="BV202" s="4794">
        <f t="shared" si="302"/>
        <v>0</v>
      </c>
      <c r="BW202" s="4794">
        <f t="shared" si="303"/>
        <v>0</v>
      </c>
      <c r="BX202" s="4794">
        <f t="shared" si="304"/>
        <v>0</v>
      </c>
      <c r="BY202" s="4794">
        <f t="shared" si="305"/>
        <v>0</v>
      </c>
    </row>
    <row r="203" spans="1:77" s="1344" customFormat="1">
      <c r="A203" s="2741">
        <v>11</v>
      </c>
      <c r="B203" s="2684">
        <v>91140102</v>
      </c>
      <c r="C203" s="2740">
        <v>0.04</v>
      </c>
      <c r="D203" s="2714" t="s">
        <v>432</v>
      </c>
      <c r="E203" s="4738">
        <f>+'11.3. ДА Базова година'!H164</f>
        <v>0</v>
      </c>
      <c r="F203" s="2792">
        <f>E203+SUMIF('11.2. ДА за периода'!$B$111:$B$131,$B203,'11.2. ДА за периода'!F$111:F$131)</f>
        <v>0</v>
      </c>
      <c r="G203" s="1155">
        <f>F203+SUMIF('11.2. ДА за периода'!$B$111:$B$131,$B203,'11.2. ДА за периода'!G$111:G$131)</f>
        <v>0</v>
      </c>
      <c r="H203" s="1155">
        <f>G203+SUMIF('11.2. ДА за периода'!$B$111:$B$131,$B203,'11.2. ДА за периода'!H$111:H$131)</f>
        <v>0</v>
      </c>
      <c r="I203" s="1155">
        <f>H203+SUMIF('11.2. ДА за периода'!$B$111:$B$131,$B203,'11.2. ДА за периода'!I$111:I$131)</f>
        <v>0</v>
      </c>
      <c r="J203" s="1155">
        <f>I203+SUMIF('11.2. ДА за периода'!$B$111:$B$131,$B203,'11.2. ДА за периода'!J$111:J$131)</f>
        <v>0</v>
      </c>
      <c r="K203" s="2793">
        <f>J203+SUMIF('11.2. ДА за периода'!$B$111:$B$131,$B203,'11.2. ДА за периода'!K$111:K$131)</f>
        <v>0</v>
      </c>
      <c r="L203" s="4738">
        <f>+'11.3. ДА Базова година'!L164</f>
        <v>0</v>
      </c>
      <c r="M203" s="2792">
        <f>L203+SUMIF('11.2. ДА за периода'!$B$111:$B$131,$B203,'11.2. ДА за периода'!M$111:M$131)</f>
        <v>0</v>
      </c>
      <c r="N203" s="1155">
        <f>M203+SUMIF('11.2. ДА за периода'!$B$111:$B$131,$B203,'11.2. ДА за периода'!N$111:N$131)</f>
        <v>0</v>
      </c>
      <c r="O203" s="1155">
        <f>N203+SUMIF('11.2. ДА за периода'!$B$111:$B$131,$B203,'11.2. ДА за периода'!O$111:O$131)</f>
        <v>0</v>
      </c>
      <c r="P203" s="1155">
        <f>O203+SUMIF('11.2. ДА за периода'!$B$111:$B$131,$B203,'11.2. ДА за периода'!P$111:P$131)</f>
        <v>0</v>
      </c>
      <c r="Q203" s="1155">
        <f>P203+SUMIF('11.2. ДА за периода'!$B$111:$B$131,$B203,'11.2. ДА за периода'!Q$111:Q$131)</f>
        <v>0</v>
      </c>
      <c r="R203" s="2793">
        <f>Q203+SUMIF('11.2. ДА за периода'!$B$111:$B$131,$B203,'11.2. ДА за периода'!R$111:R$131)</f>
        <v>0</v>
      </c>
      <c r="S203" s="4738">
        <f>+'11.3. ДА Базова година'!P164</f>
        <v>0</v>
      </c>
      <c r="T203" s="2792">
        <f>S203+SUMIF('11.2. ДА за периода'!$B$111:$B$131,$B203,'11.2. ДА за периода'!T$111:T$131)</f>
        <v>0</v>
      </c>
      <c r="U203" s="1155">
        <f>T203+SUMIF('11.2. ДА за периода'!$B$111:$B$131,$B203,'11.2. ДА за периода'!U$111:U$131)</f>
        <v>0</v>
      </c>
      <c r="V203" s="1155">
        <f>U203+SUMIF('11.2. ДА за периода'!$B$111:$B$131,$B203,'11.2. ДА за периода'!V$111:V$131)</f>
        <v>0</v>
      </c>
      <c r="W203" s="1155">
        <f>V203+SUMIF('11.2. ДА за периода'!$B$111:$B$131,$B203,'11.2. ДА за периода'!W$111:W$131)</f>
        <v>0</v>
      </c>
      <c r="X203" s="1155">
        <f>W203+SUMIF('11.2. ДА за периода'!$B$111:$B$131,$B203,'11.2. ДА за периода'!X$111:X$131)</f>
        <v>0</v>
      </c>
      <c r="Y203" s="2793">
        <f>X203+SUMIF('11.2. ДА за периода'!$B$111:$B$131,$B203,'11.2. ДА за периода'!Y$111:Y$131)</f>
        <v>0</v>
      </c>
      <c r="Z203" s="4738">
        <f>+'11.3. ДА Базова година'!T164</f>
        <v>0</v>
      </c>
      <c r="AA203" s="2792">
        <f>Z203+SUMIF('11.2. ДА за периода'!$B$111:$B$131,$B203,'11.2. ДА за периода'!AA$111:AA$131)</f>
        <v>0</v>
      </c>
      <c r="AB203" s="1155">
        <f>AA203+SUMIF('11.2. ДА за периода'!$B$111:$B$131,$B203,'11.2. ДА за периода'!AB$111:AB$131)</f>
        <v>0</v>
      </c>
      <c r="AC203" s="1155">
        <f>AB203+SUMIF('11.2. ДА за периода'!$B$111:$B$131,$B203,'11.2. ДА за периода'!AC$111:AC$131)</f>
        <v>0</v>
      </c>
      <c r="AD203" s="1155">
        <f>AC203+SUMIF('11.2. ДА за периода'!$B$111:$B$131,$B203,'11.2. ДА за периода'!AD$111:AD$131)</f>
        <v>0</v>
      </c>
      <c r="AE203" s="1155">
        <f>AD203+SUMIF('11.2. ДА за периода'!$B$111:$B$131,$B203,'11.2. ДА за периода'!AE$111:AE$131)</f>
        <v>0</v>
      </c>
      <c r="AF203" s="2793">
        <f>AE203+SUMIF('11.2. ДА за периода'!$B$111:$B$131,$B203,'11.2. ДА за периода'!AF$111:AF$131)</f>
        <v>0</v>
      </c>
      <c r="AG203" s="4738">
        <f>+'11.3. ДА Базова година'!X164</f>
        <v>0</v>
      </c>
      <c r="AH203" s="2792">
        <f>AG203+SUMIF('11.2. ДА за периода'!$B$111:$B$131,$B203,'11.2. ДА за периода'!AH$111:AH$131)</f>
        <v>0</v>
      </c>
      <c r="AI203" s="1155">
        <f>AH203+SUMIF('11.2. ДА за периода'!$B$111:$B$131,$B203,'11.2. ДА за периода'!AI$111:AI$131)</f>
        <v>0</v>
      </c>
      <c r="AJ203" s="1155">
        <f>AI203+SUMIF('11.2. ДА за периода'!$B$111:$B$131,$B203,'11.2. ДА за периода'!AJ$111:AJ$131)</f>
        <v>0</v>
      </c>
      <c r="AK203" s="1155">
        <f>AJ203+SUMIF('11.2. ДА за периода'!$B$111:$B$131,$B203,'11.2. ДА за периода'!AK$111:AK$131)</f>
        <v>0</v>
      </c>
      <c r="AL203" s="1155">
        <f>AK203+SUMIF('11.2. ДА за периода'!$B$111:$B$131,$B203,'11.2. ДА за периода'!AL$111:AL$131)</f>
        <v>0</v>
      </c>
      <c r="AM203" s="2793">
        <f>AL203+SUMIF('11.2. ДА за периода'!$B$111:$B$131,$B203,'11.2. ДА за периода'!AM$111:AM$131)</f>
        <v>0</v>
      </c>
      <c r="AN203" s="2681"/>
      <c r="AO203" s="2719"/>
      <c r="AP203" s="4775"/>
      <c r="AQ203" s="4794">
        <f t="shared" si="271"/>
        <v>0</v>
      </c>
      <c r="AR203" s="4794">
        <f t="shared" si="272"/>
        <v>0</v>
      </c>
      <c r="AS203" s="4794">
        <f t="shared" si="273"/>
        <v>0</v>
      </c>
      <c r="AT203" s="4794">
        <f t="shared" si="274"/>
        <v>0</v>
      </c>
      <c r="AU203" s="4794">
        <f t="shared" si="275"/>
        <v>0</v>
      </c>
      <c r="AV203" s="4794">
        <f t="shared" si="276"/>
        <v>0</v>
      </c>
      <c r="AW203" s="4794">
        <f t="shared" si="277"/>
        <v>0</v>
      </c>
      <c r="AX203" s="4794">
        <f t="shared" si="278"/>
        <v>0</v>
      </c>
      <c r="AY203" s="4794">
        <f t="shared" si="279"/>
        <v>0</v>
      </c>
      <c r="AZ203" s="4794">
        <f t="shared" si="280"/>
        <v>0</v>
      </c>
      <c r="BA203" s="4794">
        <f t="shared" si="281"/>
        <v>0</v>
      </c>
      <c r="BB203" s="4794">
        <f t="shared" si="282"/>
        <v>0</v>
      </c>
      <c r="BC203" s="4794">
        <f t="shared" si="283"/>
        <v>0</v>
      </c>
      <c r="BD203" s="4794">
        <f t="shared" si="284"/>
        <v>0</v>
      </c>
      <c r="BE203" s="4794">
        <f t="shared" si="285"/>
        <v>0</v>
      </c>
      <c r="BF203" s="4794">
        <f t="shared" si="286"/>
        <v>0</v>
      </c>
      <c r="BG203" s="4794">
        <f t="shared" si="287"/>
        <v>0</v>
      </c>
      <c r="BH203" s="4794">
        <f t="shared" si="288"/>
        <v>0</v>
      </c>
      <c r="BI203" s="4794">
        <f t="shared" si="289"/>
        <v>0</v>
      </c>
      <c r="BJ203" s="4794">
        <f t="shared" si="290"/>
        <v>0</v>
      </c>
      <c r="BK203" s="4794">
        <f t="shared" si="291"/>
        <v>0</v>
      </c>
      <c r="BL203" s="4794">
        <f t="shared" si="292"/>
        <v>0</v>
      </c>
      <c r="BM203" s="4794">
        <f t="shared" si="293"/>
        <v>0</v>
      </c>
      <c r="BN203" s="4794">
        <f t="shared" si="294"/>
        <v>0</v>
      </c>
      <c r="BO203" s="4794">
        <f t="shared" si="295"/>
        <v>0</v>
      </c>
      <c r="BP203" s="4794">
        <f t="shared" si="296"/>
        <v>0</v>
      </c>
      <c r="BQ203" s="4794">
        <f t="shared" si="297"/>
        <v>0</v>
      </c>
      <c r="BR203" s="4794">
        <f t="shared" si="298"/>
        <v>0</v>
      </c>
      <c r="BS203" s="4794">
        <f t="shared" si="299"/>
        <v>0</v>
      </c>
      <c r="BT203" s="4794">
        <f t="shared" si="300"/>
        <v>0</v>
      </c>
      <c r="BU203" s="4794">
        <f t="shared" si="301"/>
        <v>0</v>
      </c>
      <c r="BV203" s="4794">
        <f t="shared" si="302"/>
        <v>0</v>
      </c>
      <c r="BW203" s="4794">
        <f t="shared" si="303"/>
        <v>0</v>
      </c>
      <c r="BX203" s="4794">
        <f t="shared" si="304"/>
        <v>0</v>
      </c>
      <c r="BY203" s="4794">
        <f t="shared" si="305"/>
        <v>0</v>
      </c>
    </row>
    <row r="204" spans="1:77" s="1344" customFormat="1">
      <c r="A204" s="2741">
        <v>12</v>
      </c>
      <c r="B204" s="2684" t="s">
        <v>698</v>
      </c>
      <c r="C204" s="2685">
        <v>0.02</v>
      </c>
      <c r="D204" s="2715" t="s">
        <v>738</v>
      </c>
      <c r="E204" s="4738">
        <f>+'11.3. ДА Базова година'!H165</f>
        <v>0</v>
      </c>
      <c r="F204" s="2792">
        <f>E204+SUMIF('11.2. ДА за периода'!$B$111:$B$131,$B204,'11.2. ДА за периода'!F$111:F$131)</f>
        <v>0</v>
      </c>
      <c r="G204" s="1155">
        <f>F204+SUMIF('11.2. ДА за периода'!$B$111:$B$131,$B204,'11.2. ДА за периода'!G$111:G$131)</f>
        <v>0</v>
      </c>
      <c r="H204" s="1155">
        <f>G204+SUMIF('11.2. ДА за периода'!$B$111:$B$131,$B204,'11.2. ДА за периода'!H$111:H$131)</f>
        <v>0</v>
      </c>
      <c r="I204" s="1155">
        <f>H204+SUMIF('11.2. ДА за периода'!$B$111:$B$131,$B204,'11.2. ДА за периода'!I$111:I$131)</f>
        <v>0</v>
      </c>
      <c r="J204" s="1155">
        <f>I204+SUMIF('11.2. ДА за периода'!$B$111:$B$131,$B204,'11.2. ДА за периода'!J$111:J$131)</f>
        <v>0</v>
      </c>
      <c r="K204" s="2793">
        <f>J204+SUMIF('11.2. ДА за периода'!$B$111:$B$131,$B204,'11.2. ДА за периода'!K$111:K$131)</f>
        <v>0</v>
      </c>
      <c r="L204" s="4738">
        <f>+'11.3. ДА Базова година'!L165</f>
        <v>0</v>
      </c>
      <c r="M204" s="2792">
        <f>L204+SUMIF('11.2. ДА за периода'!$B$111:$B$131,$B204,'11.2. ДА за периода'!M$111:M$131)</f>
        <v>0</v>
      </c>
      <c r="N204" s="1155">
        <f>M204+SUMIF('11.2. ДА за периода'!$B$111:$B$131,$B204,'11.2. ДА за периода'!N$111:N$131)</f>
        <v>0</v>
      </c>
      <c r="O204" s="1155">
        <f>N204+SUMIF('11.2. ДА за периода'!$B$111:$B$131,$B204,'11.2. ДА за периода'!O$111:O$131)</f>
        <v>0</v>
      </c>
      <c r="P204" s="1155">
        <f>O204+SUMIF('11.2. ДА за периода'!$B$111:$B$131,$B204,'11.2. ДА за периода'!P$111:P$131)</f>
        <v>0</v>
      </c>
      <c r="Q204" s="1155">
        <f>P204+SUMIF('11.2. ДА за периода'!$B$111:$B$131,$B204,'11.2. ДА за периода'!Q$111:Q$131)</f>
        <v>0</v>
      </c>
      <c r="R204" s="2793">
        <f>Q204+SUMIF('11.2. ДА за периода'!$B$111:$B$131,$B204,'11.2. ДА за периода'!R$111:R$131)</f>
        <v>0</v>
      </c>
      <c r="S204" s="4738">
        <f>+'11.3. ДА Базова година'!P165</f>
        <v>0</v>
      </c>
      <c r="T204" s="2792">
        <f>S204+SUMIF('11.2. ДА за периода'!$B$111:$B$131,$B204,'11.2. ДА за периода'!T$111:T$131)</f>
        <v>0</v>
      </c>
      <c r="U204" s="1155">
        <f>T204+SUMIF('11.2. ДА за периода'!$B$111:$B$131,$B204,'11.2. ДА за периода'!U$111:U$131)</f>
        <v>0</v>
      </c>
      <c r="V204" s="1155">
        <f>U204+SUMIF('11.2. ДА за периода'!$B$111:$B$131,$B204,'11.2. ДА за периода'!V$111:V$131)</f>
        <v>0</v>
      </c>
      <c r="W204" s="1155">
        <f>V204+SUMIF('11.2. ДА за периода'!$B$111:$B$131,$B204,'11.2. ДА за периода'!W$111:W$131)</f>
        <v>0</v>
      </c>
      <c r="X204" s="1155">
        <f>W204+SUMIF('11.2. ДА за периода'!$B$111:$B$131,$B204,'11.2. ДА за периода'!X$111:X$131)</f>
        <v>0</v>
      </c>
      <c r="Y204" s="2793">
        <f>X204+SUMIF('11.2. ДА за периода'!$B$111:$B$131,$B204,'11.2. ДА за периода'!Y$111:Y$131)</f>
        <v>0</v>
      </c>
      <c r="Z204" s="4738">
        <f>+'11.3. ДА Базова година'!T165</f>
        <v>0</v>
      </c>
      <c r="AA204" s="2792">
        <f>Z204+SUMIF('11.2. ДА за периода'!$B$111:$B$131,$B204,'11.2. ДА за периода'!AA$111:AA$131)</f>
        <v>0</v>
      </c>
      <c r="AB204" s="1155">
        <f>AA204+SUMIF('11.2. ДА за периода'!$B$111:$B$131,$B204,'11.2. ДА за периода'!AB$111:AB$131)</f>
        <v>0</v>
      </c>
      <c r="AC204" s="1155">
        <f>AB204+SUMIF('11.2. ДА за периода'!$B$111:$B$131,$B204,'11.2. ДА за периода'!AC$111:AC$131)</f>
        <v>0</v>
      </c>
      <c r="AD204" s="1155">
        <f>AC204+SUMIF('11.2. ДА за периода'!$B$111:$B$131,$B204,'11.2. ДА за периода'!AD$111:AD$131)</f>
        <v>0</v>
      </c>
      <c r="AE204" s="1155">
        <f>AD204+SUMIF('11.2. ДА за периода'!$B$111:$B$131,$B204,'11.2. ДА за периода'!AE$111:AE$131)</f>
        <v>0</v>
      </c>
      <c r="AF204" s="2793">
        <f>AE204+SUMIF('11.2. ДА за периода'!$B$111:$B$131,$B204,'11.2. ДА за периода'!AF$111:AF$131)</f>
        <v>0</v>
      </c>
      <c r="AG204" s="4738">
        <f>+'11.3. ДА Базова година'!X165</f>
        <v>0</v>
      </c>
      <c r="AH204" s="2792">
        <f>AG204+SUMIF('11.2. ДА за периода'!$B$111:$B$131,$B204,'11.2. ДА за периода'!AH$111:AH$131)</f>
        <v>0</v>
      </c>
      <c r="AI204" s="1155">
        <f>AH204+SUMIF('11.2. ДА за периода'!$B$111:$B$131,$B204,'11.2. ДА за периода'!AI$111:AI$131)</f>
        <v>0</v>
      </c>
      <c r="AJ204" s="1155">
        <f>AI204+SUMIF('11.2. ДА за периода'!$B$111:$B$131,$B204,'11.2. ДА за периода'!AJ$111:AJ$131)</f>
        <v>0</v>
      </c>
      <c r="AK204" s="1155">
        <f>AJ204+SUMIF('11.2. ДА за периода'!$B$111:$B$131,$B204,'11.2. ДА за периода'!AK$111:AK$131)</f>
        <v>0</v>
      </c>
      <c r="AL204" s="1155">
        <f>AK204+SUMIF('11.2. ДА за периода'!$B$111:$B$131,$B204,'11.2. ДА за периода'!AL$111:AL$131)</f>
        <v>0</v>
      </c>
      <c r="AM204" s="2793">
        <f>AL204+SUMIF('11.2. ДА за периода'!$B$111:$B$131,$B204,'11.2. ДА за периода'!AM$111:AM$131)</f>
        <v>0</v>
      </c>
      <c r="AN204" s="2681"/>
      <c r="AO204" s="2719"/>
      <c r="AP204" s="4775"/>
      <c r="AQ204" s="4794">
        <f t="shared" si="271"/>
        <v>0</v>
      </c>
      <c r="AR204" s="4794">
        <f t="shared" si="272"/>
        <v>0</v>
      </c>
      <c r="AS204" s="4794">
        <f t="shared" si="273"/>
        <v>0</v>
      </c>
      <c r="AT204" s="4794">
        <f t="shared" si="274"/>
        <v>0</v>
      </c>
      <c r="AU204" s="4794">
        <f t="shared" si="275"/>
        <v>0</v>
      </c>
      <c r="AV204" s="4794">
        <f t="shared" si="276"/>
        <v>0</v>
      </c>
      <c r="AW204" s="4794">
        <f t="shared" si="277"/>
        <v>0</v>
      </c>
      <c r="AX204" s="4794">
        <f t="shared" si="278"/>
        <v>0</v>
      </c>
      <c r="AY204" s="4794">
        <f t="shared" si="279"/>
        <v>0</v>
      </c>
      <c r="AZ204" s="4794">
        <f t="shared" si="280"/>
        <v>0</v>
      </c>
      <c r="BA204" s="4794">
        <f t="shared" si="281"/>
        <v>0</v>
      </c>
      <c r="BB204" s="4794">
        <f t="shared" si="282"/>
        <v>0</v>
      </c>
      <c r="BC204" s="4794">
        <f t="shared" si="283"/>
        <v>0</v>
      </c>
      <c r="BD204" s="4794">
        <f t="shared" si="284"/>
        <v>0</v>
      </c>
      <c r="BE204" s="4794">
        <f t="shared" si="285"/>
        <v>0</v>
      </c>
      <c r="BF204" s="4794">
        <f t="shared" si="286"/>
        <v>0</v>
      </c>
      <c r="BG204" s="4794">
        <f t="shared" si="287"/>
        <v>0</v>
      </c>
      <c r="BH204" s="4794">
        <f t="shared" si="288"/>
        <v>0</v>
      </c>
      <c r="BI204" s="4794">
        <f t="shared" si="289"/>
        <v>0</v>
      </c>
      <c r="BJ204" s="4794">
        <f t="shared" si="290"/>
        <v>0</v>
      </c>
      <c r="BK204" s="4794">
        <f t="shared" si="291"/>
        <v>0</v>
      </c>
      <c r="BL204" s="4794">
        <f t="shared" si="292"/>
        <v>0</v>
      </c>
      <c r="BM204" s="4794">
        <f t="shared" si="293"/>
        <v>0</v>
      </c>
      <c r="BN204" s="4794">
        <f t="shared" si="294"/>
        <v>0</v>
      </c>
      <c r="BO204" s="4794">
        <f t="shared" si="295"/>
        <v>0</v>
      </c>
      <c r="BP204" s="4794">
        <f t="shared" si="296"/>
        <v>0</v>
      </c>
      <c r="BQ204" s="4794">
        <f t="shared" si="297"/>
        <v>0</v>
      </c>
      <c r="BR204" s="4794">
        <f t="shared" si="298"/>
        <v>0</v>
      </c>
      <c r="BS204" s="4794">
        <f t="shared" si="299"/>
        <v>0</v>
      </c>
      <c r="BT204" s="4794">
        <f t="shared" si="300"/>
        <v>0</v>
      </c>
      <c r="BU204" s="4794">
        <f t="shared" si="301"/>
        <v>0</v>
      </c>
      <c r="BV204" s="4794">
        <f t="shared" si="302"/>
        <v>0</v>
      </c>
      <c r="BW204" s="4794">
        <f t="shared" si="303"/>
        <v>0</v>
      </c>
      <c r="BX204" s="4794">
        <f t="shared" si="304"/>
        <v>0</v>
      </c>
      <c r="BY204" s="4794">
        <f t="shared" si="305"/>
        <v>0</v>
      </c>
    </row>
    <row r="205" spans="1:77" s="1344" customFormat="1">
      <c r="A205" s="2741">
        <v>13</v>
      </c>
      <c r="B205" s="2684" t="s">
        <v>699</v>
      </c>
      <c r="C205" s="2685">
        <v>0.02</v>
      </c>
      <c r="D205" s="2715" t="s">
        <v>739</v>
      </c>
      <c r="E205" s="4738">
        <f>+'11.3. ДА Базова година'!H166</f>
        <v>3276</v>
      </c>
      <c r="F205" s="2792">
        <f>E205+SUMIF('11.2. ДА за периода'!$B$111:$B$131,$B205,'11.2. ДА за периода'!F$111:F$131)</f>
        <v>3276</v>
      </c>
      <c r="G205" s="1155">
        <f>F205+SUMIF('11.2. ДА за периода'!$B$111:$B$131,$B205,'11.2. ДА за периода'!G$111:G$131)</f>
        <v>3276</v>
      </c>
      <c r="H205" s="1155">
        <f>G205+SUMIF('11.2. ДА за периода'!$B$111:$B$131,$B205,'11.2. ДА за периода'!H$111:H$131)</f>
        <v>3276</v>
      </c>
      <c r="I205" s="1155">
        <f>H205+SUMIF('11.2. ДА за периода'!$B$111:$B$131,$B205,'11.2. ДА за периода'!I$111:I$131)</f>
        <v>3276</v>
      </c>
      <c r="J205" s="1155">
        <f>I205+SUMIF('11.2. ДА за периода'!$B$111:$B$131,$B205,'11.2. ДА за периода'!J$111:J$131)</f>
        <v>3276</v>
      </c>
      <c r="K205" s="2793">
        <f>J205+SUMIF('11.2. ДА за периода'!$B$111:$B$131,$B205,'11.2. ДА за периода'!K$111:K$131)</f>
        <v>3276</v>
      </c>
      <c r="L205" s="4738">
        <f>+'11.3. ДА Базова година'!L166</f>
        <v>0</v>
      </c>
      <c r="M205" s="2792">
        <f>L205+SUMIF('11.2. ДА за периода'!$B$111:$B$131,$B205,'11.2. ДА за периода'!M$111:M$131)</f>
        <v>0</v>
      </c>
      <c r="N205" s="1155">
        <f>M205+SUMIF('11.2. ДА за периода'!$B$111:$B$131,$B205,'11.2. ДА за периода'!N$111:N$131)</f>
        <v>0</v>
      </c>
      <c r="O205" s="1155">
        <f>N205+SUMIF('11.2. ДА за периода'!$B$111:$B$131,$B205,'11.2. ДА за периода'!O$111:O$131)</f>
        <v>0</v>
      </c>
      <c r="P205" s="1155">
        <f>O205+SUMIF('11.2. ДА за периода'!$B$111:$B$131,$B205,'11.2. ДА за периода'!P$111:P$131)</f>
        <v>0</v>
      </c>
      <c r="Q205" s="1155">
        <f>P205+SUMIF('11.2. ДА за периода'!$B$111:$B$131,$B205,'11.2. ДА за периода'!Q$111:Q$131)</f>
        <v>0</v>
      </c>
      <c r="R205" s="2793">
        <f>Q205+SUMIF('11.2. ДА за периода'!$B$111:$B$131,$B205,'11.2. ДА за периода'!R$111:R$131)</f>
        <v>0</v>
      </c>
      <c r="S205" s="4738">
        <f>+'11.3. ДА Базова година'!P166</f>
        <v>0</v>
      </c>
      <c r="T205" s="2792">
        <f>S205+SUMIF('11.2. ДА за периода'!$B$111:$B$131,$B205,'11.2. ДА за периода'!T$111:T$131)</f>
        <v>0</v>
      </c>
      <c r="U205" s="1155">
        <f>T205+SUMIF('11.2. ДА за периода'!$B$111:$B$131,$B205,'11.2. ДА за периода'!U$111:U$131)</f>
        <v>0</v>
      </c>
      <c r="V205" s="1155">
        <f>U205+SUMIF('11.2. ДА за периода'!$B$111:$B$131,$B205,'11.2. ДА за периода'!V$111:V$131)</f>
        <v>0</v>
      </c>
      <c r="W205" s="1155">
        <f>V205+SUMIF('11.2. ДА за периода'!$B$111:$B$131,$B205,'11.2. ДА за периода'!W$111:W$131)</f>
        <v>0</v>
      </c>
      <c r="X205" s="1155">
        <f>W205+SUMIF('11.2. ДА за периода'!$B$111:$B$131,$B205,'11.2. ДА за периода'!X$111:X$131)</f>
        <v>0</v>
      </c>
      <c r="Y205" s="2793">
        <f>X205+SUMIF('11.2. ДА за периода'!$B$111:$B$131,$B205,'11.2. ДА за периода'!Y$111:Y$131)</f>
        <v>0</v>
      </c>
      <c r="Z205" s="4738">
        <f>+'11.3. ДА Базова година'!T166</f>
        <v>0</v>
      </c>
      <c r="AA205" s="2792">
        <f>Z205+SUMIF('11.2. ДА за периода'!$B$111:$B$131,$B205,'11.2. ДА за периода'!AA$111:AA$131)</f>
        <v>0</v>
      </c>
      <c r="AB205" s="1155">
        <f>AA205+SUMIF('11.2. ДА за периода'!$B$111:$B$131,$B205,'11.2. ДА за периода'!AB$111:AB$131)</f>
        <v>0</v>
      </c>
      <c r="AC205" s="1155">
        <f>AB205+SUMIF('11.2. ДА за периода'!$B$111:$B$131,$B205,'11.2. ДА за периода'!AC$111:AC$131)</f>
        <v>0</v>
      </c>
      <c r="AD205" s="1155">
        <f>AC205+SUMIF('11.2. ДА за периода'!$B$111:$B$131,$B205,'11.2. ДА за периода'!AD$111:AD$131)</f>
        <v>0</v>
      </c>
      <c r="AE205" s="1155">
        <f>AD205+SUMIF('11.2. ДА за периода'!$B$111:$B$131,$B205,'11.2. ДА за периода'!AE$111:AE$131)</f>
        <v>0</v>
      </c>
      <c r="AF205" s="2793">
        <f>AE205+SUMIF('11.2. ДА за периода'!$B$111:$B$131,$B205,'11.2. ДА за периода'!AF$111:AF$131)</f>
        <v>0</v>
      </c>
      <c r="AG205" s="4738">
        <f>+'11.3. ДА Базова година'!X166</f>
        <v>0</v>
      </c>
      <c r="AH205" s="2792">
        <f>AG205+SUMIF('11.2. ДА за периода'!$B$111:$B$131,$B205,'11.2. ДА за периода'!AH$111:AH$131)</f>
        <v>0</v>
      </c>
      <c r="AI205" s="1155">
        <f>AH205+SUMIF('11.2. ДА за периода'!$B$111:$B$131,$B205,'11.2. ДА за периода'!AI$111:AI$131)</f>
        <v>0</v>
      </c>
      <c r="AJ205" s="1155">
        <f>AI205+SUMIF('11.2. ДА за периода'!$B$111:$B$131,$B205,'11.2. ДА за периода'!AJ$111:AJ$131)</f>
        <v>0</v>
      </c>
      <c r="AK205" s="1155">
        <f>AJ205+SUMIF('11.2. ДА за периода'!$B$111:$B$131,$B205,'11.2. ДА за периода'!AK$111:AK$131)</f>
        <v>0</v>
      </c>
      <c r="AL205" s="1155">
        <f>AK205+SUMIF('11.2. ДА за периода'!$B$111:$B$131,$B205,'11.2. ДА за периода'!AL$111:AL$131)</f>
        <v>0</v>
      </c>
      <c r="AM205" s="2793">
        <f>AL205+SUMIF('11.2. ДА за периода'!$B$111:$B$131,$B205,'11.2. ДА за периода'!AM$111:AM$131)</f>
        <v>0</v>
      </c>
      <c r="AN205" s="2681"/>
      <c r="AO205" s="2719"/>
      <c r="AP205" s="4775"/>
      <c r="AQ205" s="4794">
        <f t="shared" si="271"/>
        <v>1674.9922027988118</v>
      </c>
      <c r="AR205" s="4794">
        <f t="shared" si="272"/>
        <v>1674.9922027988118</v>
      </c>
      <c r="AS205" s="4794">
        <f t="shared" si="273"/>
        <v>1674.9922027988118</v>
      </c>
      <c r="AT205" s="4794">
        <f t="shared" si="274"/>
        <v>1674.9922027988118</v>
      </c>
      <c r="AU205" s="4794">
        <f t="shared" si="275"/>
        <v>1674.9922027988118</v>
      </c>
      <c r="AV205" s="4794">
        <f t="shared" si="276"/>
        <v>1674.9922027988118</v>
      </c>
      <c r="AW205" s="4794">
        <f t="shared" si="277"/>
        <v>1674.9922027988118</v>
      </c>
      <c r="AX205" s="4794">
        <f t="shared" si="278"/>
        <v>0</v>
      </c>
      <c r="AY205" s="4794">
        <f t="shared" si="279"/>
        <v>0</v>
      </c>
      <c r="AZ205" s="4794">
        <f t="shared" si="280"/>
        <v>0</v>
      </c>
      <c r="BA205" s="4794">
        <f t="shared" si="281"/>
        <v>0</v>
      </c>
      <c r="BB205" s="4794">
        <f t="shared" si="282"/>
        <v>0</v>
      </c>
      <c r="BC205" s="4794">
        <f t="shared" si="283"/>
        <v>0</v>
      </c>
      <c r="BD205" s="4794">
        <f t="shared" si="284"/>
        <v>0</v>
      </c>
      <c r="BE205" s="4794">
        <f t="shared" si="285"/>
        <v>0</v>
      </c>
      <c r="BF205" s="4794">
        <f t="shared" si="286"/>
        <v>0</v>
      </c>
      <c r="BG205" s="4794">
        <f t="shared" si="287"/>
        <v>0</v>
      </c>
      <c r="BH205" s="4794">
        <f t="shared" si="288"/>
        <v>0</v>
      </c>
      <c r="BI205" s="4794">
        <f t="shared" si="289"/>
        <v>0</v>
      </c>
      <c r="BJ205" s="4794">
        <f t="shared" si="290"/>
        <v>0</v>
      </c>
      <c r="BK205" s="4794">
        <f t="shared" si="291"/>
        <v>0</v>
      </c>
      <c r="BL205" s="4794">
        <f t="shared" si="292"/>
        <v>0</v>
      </c>
      <c r="BM205" s="4794">
        <f t="shared" si="293"/>
        <v>0</v>
      </c>
      <c r="BN205" s="4794">
        <f t="shared" si="294"/>
        <v>0</v>
      </c>
      <c r="BO205" s="4794">
        <f t="shared" si="295"/>
        <v>0</v>
      </c>
      <c r="BP205" s="4794">
        <f t="shared" si="296"/>
        <v>0</v>
      </c>
      <c r="BQ205" s="4794">
        <f t="shared" si="297"/>
        <v>0</v>
      </c>
      <c r="BR205" s="4794">
        <f t="shared" si="298"/>
        <v>0</v>
      </c>
      <c r="BS205" s="4794">
        <f t="shared" si="299"/>
        <v>0</v>
      </c>
      <c r="BT205" s="4794">
        <f t="shared" si="300"/>
        <v>0</v>
      </c>
      <c r="BU205" s="4794">
        <f t="shared" si="301"/>
        <v>0</v>
      </c>
      <c r="BV205" s="4794">
        <f t="shared" si="302"/>
        <v>0</v>
      </c>
      <c r="BW205" s="4794">
        <f t="shared" si="303"/>
        <v>0</v>
      </c>
      <c r="BX205" s="4794">
        <f t="shared" si="304"/>
        <v>0</v>
      </c>
      <c r="BY205" s="4794">
        <f t="shared" si="305"/>
        <v>0</v>
      </c>
    </row>
    <row r="206" spans="1:77" s="1344" customFormat="1">
      <c r="A206" s="2741">
        <v>14</v>
      </c>
      <c r="B206" s="2684" t="s">
        <v>700</v>
      </c>
      <c r="C206" s="2685">
        <v>0.02</v>
      </c>
      <c r="D206" s="2715" t="s">
        <v>418</v>
      </c>
      <c r="E206" s="4738">
        <f>+'11.3. ДА Базова година'!H167</f>
        <v>204</v>
      </c>
      <c r="F206" s="2792">
        <f>E206+SUMIF('11.2. ДА за периода'!$B$111:$B$131,$B206,'11.2. ДА за периода'!F$111:F$131)</f>
        <v>204</v>
      </c>
      <c r="G206" s="1155">
        <f>F206+SUMIF('11.2. ДА за периода'!$B$111:$B$131,$B206,'11.2. ДА за периода'!G$111:G$131)</f>
        <v>204</v>
      </c>
      <c r="H206" s="1155">
        <f>G206+SUMIF('11.2. ДА за периода'!$B$111:$B$131,$B206,'11.2. ДА за периода'!H$111:H$131)</f>
        <v>204</v>
      </c>
      <c r="I206" s="1155">
        <f>H206+SUMIF('11.2. ДА за периода'!$B$111:$B$131,$B206,'11.2. ДА за периода'!I$111:I$131)</f>
        <v>204</v>
      </c>
      <c r="J206" s="1155">
        <f>I206+SUMIF('11.2. ДА за периода'!$B$111:$B$131,$B206,'11.2. ДА за периода'!J$111:J$131)</f>
        <v>204</v>
      </c>
      <c r="K206" s="2793">
        <f>J206+SUMIF('11.2. ДА за периода'!$B$111:$B$131,$B206,'11.2. ДА за периода'!K$111:K$131)</f>
        <v>204</v>
      </c>
      <c r="L206" s="4738">
        <f>+'11.3. ДА Базова година'!L167</f>
        <v>0</v>
      </c>
      <c r="M206" s="2792">
        <f>L206+SUMIF('11.2. ДА за периода'!$B$111:$B$131,$B206,'11.2. ДА за периода'!M$111:M$131)</f>
        <v>0</v>
      </c>
      <c r="N206" s="1155">
        <f>M206+SUMIF('11.2. ДА за периода'!$B$111:$B$131,$B206,'11.2. ДА за периода'!N$111:N$131)</f>
        <v>0</v>
      </c>
      <c r="O206" s="1155">
        <f>N206+SUMIF('11.2. ДА за периода'!$B$111:$B$131,$B206,'11.2. ДА за периода'!O$111:O$131)</f>
        <v>0</v>
      </c>
      <c r="P206" s="1155">
        <f>O206+SUMIF('11.2. ДА за периода'!$B$111:$B$131,$B206,'11.2. ДА за периода'!P$111:P$131)</f>
        <v>0</v>
      </c>
      <c r="Q206" s="1155">
        <f>P206+SUMIF('11.2. ДА за периода'!$B$111:$B$131,$B206,'11.2. ДА за периода'!Q$111:Q$131)</f>
        <v>0</v>
      </c>
      <c r="R206" s="2793">
        <f>Q206+SUMIF('11.2. ДА за периода'!$B$111:$B$131,$B206,'11.2. ДА за периода'!R$111:R$131)</f>
        <v>0</v>
      </c>
      <c r="S206" s="4738">
        <f>+'11.3. ДА Базова година'!P167</f>
        <v>0</v>
      </c>
      <c r="T206" s="2792">
        <f>S206+SUMIF('11.2. ДА за периода'!$B$111:$B$131,$B206,'11.2. ДА за периода'!T$111:T$131)</f>
        <v>0</v>
      </c>
      <c r="U206" s="1155">
        <f>T206+SUMIF('11.2. ДА за периода'!$B$111:$B$131,$B206,'11.2. ДА за периода'!U$111:U$131)</f>
        <v>0</v>
      </c>
      <c r="V206" s="1155">
        <f>U206+SUMIF('11.2. ДА за периода'!$B$111:$B$131,$B206,'11.2. ДА за периода'!V$111:V$131)</f>
        <v>0</v>
      </c>
      <c r="W206" s="1155">
        <f>V206+SUMIF('11.2. ДА за периода'!$B$111:$B$131,$B206,'11.2. ДА за периода'!W$111:W$131)</f>
        <v>0</v>
      </c>
      <c r="X206" s="1155">
        <f>W206+SUMIF('11.2. ДА за периода'!$B$111:$B$131,$B206,'11.2. ДА за периода'!X$111:X$131)</f>
        <v>0</v>
      </c>
      <c r="Y206" s="2793">
        <f>X206+SUMIF('11.2. ДА за периода'!$B$111:$B$131,$B206,'11.2. ДА за периода'!Y$111:Y$131)</f>
        <v>0</v>
      </c>
      <c r="Z206" s="4738">
        <f>+'11.3. ДА Базова година'!T167</f>
        <v>0</v>
      </c>
      <c r="AA206" s="2792">
        <f>Z206+SUMIF('11.2. ДА за периода'!$B$111:$B$131,$B206,'11.2. ДА за периода'!AA$111:AA$131)</f>
        <v>0</v>
      </c>
      <c r="AB206" s="1155">
        <f>AA206+SUMIF('11.2. ДА за периода'!$B$111:$B$131,$B206,'11.2. ДА за периода'!AB$111:AB$131)</f>
        <v>0</v>
      </c>
      <c r="AC206" s="1155">
        <f>AB206+SUMIF('11.2. ДА за периода'!$B$111:$B$131,$B206,'11.2. ДА за периода'!AC$111:AC$131)</f>
        <v>0</v>
      </c>
      <c r="AD206" s="1155">
        <f>AC206+SUMIF('11.2. ДА за периода'!$B$111:$B$131,$B206,'11.2. ДА за периода'!AD$111:AD$131)</f>
        <v>0</v>
      </c>
      <c r="AE206" s="1155">
        <f>AD206+SUMIF('11.2. ДА за периода'!$B$111:$B$131,$B206,'11.2. ДА за периода'!AE$111:AE$131)</f>
        <v>0</v>
      </c>
      <c r="AF206" s="2793">
        <f>AE206+SUMIF('11.2. ДА за периода'!$B$111:$B$131,$B206,'11.2. ДА за периода'!AF$111:AF$131)</f>
        <v>0</v>
      </c>
      <c r="AG206" s="4738">
        <f>+'11.3. ДА Базова година'!X167</f>
        <v>0</v>
      </c>
      <c r="AH206" s="2792">
        <f>AG206+SUMIF('11.2. ДА за периода'!$B$111:$B$131,$B206,'11.2. ДА за периода'!AH$111:AH$131)</f>
        <v>0</v>
      </c>
      <c r="AI206" s="1155">
        <f>AH206+SUMIF('11.2. ДА за периода'!$B$111:$B$131,$B206,'11.2. ДА за периода'!AI$111:AI$131)</f>
        <v>0</v>
      </c>
      <c r="AJ206" s="1155">
        <f>AI206+SUMIF('11.2. ДА за периода'!$B$111:$B$131,$B206,'11.2. ДА за периода'!AJ$111:AJ$131)</f>
        <v>0</v>
      </c>
      <c r="AK206" s="1155">
        <f>AJ206+SUMIF('11.2. ДА за периода'!$B$111:$B$131,$B206,'11.2. ДА за периода'!AK$111:AK$131)</f>
        <v>0</v>
      </c>
      <c r="AL206" s="1155">
        <f>AK206+SUMIF('11.2. ДА за периода'!$B$111:$B$131,$B206,'11.2. ДА за периода'!AL$111:AL$131)</f>
        <v>0</v>
      </c>
      <c r="AM206" s="2793">
        <f>AL206+SUMIF('11.2. ДА за периода'!$B$111:$B$131,$B206,'11.2. ДА за периода'!AM$111:AM$131)</f>
        <v>0</v>
      </c>
      <c r="AN206" s="2681"/>
      <c r="AO206" s="2719"/>
      <c r="AP206" s="4775"/>
      <c r="AQ206" s="4794">
        <f t="shared" si="271"/>
        <v>104.30354376402857</v>
      </c>
      <c r="AR206" s="4794">
        <f t="shared" si="272"/>
        <v>104.30354376402857</v>
      </c>
      <c r="AS206" s="4794">
        <f t="shared" si="273"/>
        <v>104.30354376402857</v>
      </c>
      <c r="AT206" s="4794">
        <f t="shared" si="274"/>
        <v>104.30354376402857</v>
      </c>
      <c r="AU206" s="4794">
        <f t="shared" si="275"/>
        <v>104.30354376402857</v>
      </c>
      <c r="AV206" s="4794">
        <f t="shared" si="276"/>
        <v>104.30354376402857</v>
      </c>
      <c r="AW206" s="4794">
        <f t="shared" si="277"/>
        <v>104.30354376402857</v>
      </c>
      <c r="AX206" s="4794">
        <f t="shared" si="278"/>
        <v>0</v>
      </c>
      <c r="AY206" s="4794">
        <f t="shared" si="279"/>
        <v>0</v>
      </c>
      <c r="AZ206" s="4794">
        <f t="shared" si="280"/>
        <v>0</v>
      </c>
      <c r="BA206" s="4794">
        <f t="shared" si="281"/>
        <v>0</v>
      </c>
      <c r="BB206" s="4794">
        <f t="shared" si="282"/>
        <v>0</v>
      </c>
      <c r="BC206" s="4794">
        <f t="shared" si="283"/>
        <v>0</v>
      </c>
      <c r="BD206" s="4794">
        <f t="shared" si="284"/>
        <v>0</v>
      </c>
      <c r="BE206" s="4794">
        <f t="shared" si="285"/>
        <v>0</v>
      </c>
      <c r="BF206" s="4794">
        <f t="shared" si="286"/>
        <v>0</v>
      </c>
      <c r="BG206" s="4794">
        <f t="shared" si="287"/>
        <v>0</v>
      </c>
      <c r="BH206" s="4794">
        <f t="shared" si="288"/>
        <v>0</v>
      </c>
      <c r="BI206" s="4794">
        <f t="shared" si="289"/>
        <v>0</v>
      </c>
      <c r="BJ206" s="4794">
        <f t="shared" si="290"/>
        <v>0</v>
      </c>
      <c r="BK206" s="4794">
        <f t="shared" si="291"/>
        <v>0</v>
      </c>
      <c r="BL206" s="4794">
        <f t="shared" si="292"/>
        <v>0</v>
      </c>
      <c r="BM206" s="4794">
        <f t="shared" si="293"/>
        <v>0</v>
      </c>
      <c r="BN206" s="4794">
        <f t="shared" si="294"/>
        <v>0</v>
      </c>
      <c r="BO206" s="4794">
        <f t="shared" si="295"/>
        <v>0</v>
      </c>
      <c r="BP206" s="4794">
        <f t="shared" si="296"/>
        <v>0</v>
      </c>
      <c r="BQ206" s="4794">
        <f t="shared" si="297"/>
        <v>0</v>
      </c>
      <c r="BR206" s="4794">
        <f t="shared" si="298"/>
        <v>0</v>
      </c>
      <c r="BS206" s="4794">
        <f t="shared" si="299"/>
        <v>0</v>
      </c>
      <c r="BT206" s="4794">
        <f t="shared" si="300"/>
        <v>0</v>
      </c>
      <c r="BU206" s="4794">
        <f t="shared" si="301"/>
        <v>0</v>
      </c>
      <c r="BV206" s="4794">
        <f t="shared" si="302"/>
        <v>0</v>
      </c>
      <c r="BW206" s="4794">
        <f t="shared" si="303"/>
        <v>0</v>
      </c>
      <c r="BX206" s="4794">
        <f t="shared" si="304"/>
        <v>0</v>
      </c>
      <c r="BY206" s="4794">
        <f t="shared" si="305"/>
        <v>0</v>
      </c>
    </row>
    <row r="207" spans="1:77" s="1344" customFormat="1">
      <c r="A207" s="2741">
        <v>15</v>
      </c>
      <c r="B207" s="2684" t="s">
        <v>701</v>
      </c>
      <c r="C207" s="2685">
        <v>0.02</v>
      </c>
      <c r="D207" s="2714" t="s">
        <v>419</v>
      </c>
      <c r="E207" s="4738">
        <f>+'11.3. ДА Базова година'!H168</f>
        <v>14</v>
      </c>
      <c r="F207" s="2792">
        <f>E207+SUMIF('11.2. ДА за периода'!$B$111:$B$131,$B207,'11.2. ДА за периода'!F$111:F$131)</f>
        <v>14</v>
      </c>
      <c r="G207" s="1155">
        <f>F207+SUMIF('11.2. ДА за периода'!$B$111:$B$131,$B207,'11.2. ДА за периода'!G$111:G$131)</f>
        <v>14</v>
      </c>
      <c r="H207" s="1155">
        <f>G207+SUMIF('11.2. ДА за периода'!$B$111:$B$131,$B207,'11.2. ДА за периода'!H$111:H$131)</f>
        <v>14</v>
      </c>
      <c r="I207" s="1155">
        <f>H207+SUMIF('11.2. ДА за периода'!$B$111:$B$131,$B207,'11.2. ДА за периода'!I$111:I$131)</f>
        <v>14</v>
      </c>
      <c r="J207" s="1155">
        <f>I207+SUMIF('11.2. ДА за периода'!$B$111:$B$131,$B207,'11.2. ДА за периода'!J$111:J$131)</f>
        <v>14</v>
      </c>
      <c r="K207" s="2793">
        <f>J207+SUMIF('11.2. ДА за периода'!$B$111:$B$131,$B207,'11.2. ДА за периода'!K$111:K$131)</f>
        <v>14</v>
      </c>
      <c r="L207" s="4738">
        <f>+'11.3. ДА Базова година'!L168</f>
        <v>0</v>
      </c>
      <c r="M207" s="2792">
        <f>L207+SUMIF('11.2. ДА за периода'!$B$111:$B$131,$B207,'11.2. ДА за периода'!M$111:M$131)</f>
        <v>0</v>
      </c>
      <c r="N207" s="1155">
        <f>M207+SUMIF('11.2. ДА за периода'!$B$111:$B$131,$B207,'11.2. ДА за периода'!N$111:N$131)</f>
        <v>0</v>
      </c>
      <c r="O207" s="1155">
        <f>N207+SUMIF('11.2. ДА за периода'!$B$111:$B$131,$B207,'11.2. ДА за периода'!O$111:O$131)</f>
        <v>0</v>
      </c>
      <c r="P207" s="1155">
        <f>O207+SUMIF('11.2. ДА за периода'!$B$111:$B$131,$B207,'11.2. ДА за периода'!P$111:P$131)</f>
        <v>0</v>
      </c>
      <c r="Q207" s="1155">
        <f>P207+SUMIF('11.2. ДА за периода'!$B$111:$B$131,$B207,'11.2. ДА за периода'!Q$111:Q$131)</f>
        <v>0</v>
      </c>
      <c r="R207" s="2793">
        <f>Q207+SUMIF('11.2. ДА за периода'!$B$111:$B$131,$B207,'11.2. ДА за периода'!R$111:R$131)</f>
        <v>0</v>
      </c>
      <c r="S207" s="4738">
        <f>+'11.3. ДА Базова година'!P168</f>
        <v>0</v>
      </c>
      <c r="T207" s="2792">
        <f>S207+SUMIF('11.2. ДА за периода'!$B$111:$B$131,$B207,'11.2. ДА за периода'!T$111:T$131)</f>
        <v>0</v>
      </c>
      <c r="U207" s="1155">
        <f>T207+SUMIF('11.2. ДА за периода'!$B$111:$B$131,$B207,'11.2. ДА за периода'!U$111:U$131)</f>
        <v>0</v>
      </c>
      <c r="V207" s="1155">
        <f>U207+SUMIF('11.2. ДА за периода'!$B$111:$B$131,$B207,'11.2. ДА за периода'!V$111:V$131)</f>
        <v>0</v>
      </c>
      <c r="W207" s="1155">
        <f>V207+SUMIF('11.2. ДА за периода'!$B$111:$B$131,$B207,'11.2. ДА за периода'!W$111:W$131)</f>
        <v>0</v>
      </c>
      <c r="X207" s="1155">
        <f>W207+SUMIF('11.2. ДА за периода'!$B$111:$B$131,$B207,'11.2. ДА за периода'!X$111:X$131)</f>
        <v>0</v>
      </c>
      <c r="Y207" s="2793">
        <f>X207+SUMIF('11.2. ДА за периода'!$B$111:$B$131,$B207,'11.2. ДА за периода'!Y$111:Y$131)</f>
        <v>0</v>
      </c>
      <c r="Z207" s="4738">
        <f>+'11.3. ДА Базова година'!T168</f>
        <v>0</v>
      </c>
      <c r="AA207" s="2792">
        <f>Z207+SUMIF('11.2. ДА за периода'!$B$111:$B$131,$B207,'11.2. ДА за периода'!AA$111:AA$131)</f>
        <v>0</v>
      </c>
      <c r="AB207" s="1155">
        <f>AA207+SUMIF('11.2. ДА за периода'!$B$111:$B$131,$B207,'11.2. ДА за периода'!AB$111:AB$131)</f>
        <v>0</v>
      </c>
      <c r="AC207" s="1155">
        <f>AB207+SUMIF('11.2. ДА за периода'!$B$111:$B$131,$B207,'11.2. ДА за периода'!AC$111:AC$131)</f>
        <v>0</v>
      </c>
      <c r="AD207" s="1155">
        <f>AC207+SUMIF('11.2. ДА за периода'!$B$111:$B$131,$B207,'11.2. ДА за периода'!AD$111:AD$131)</f>
        <v>0</v>
      </c>
      <c r="AE207" s="1155">
        <f>AD207+SUMIF('11.2. ДА за периода'!$B$111:$B$131,$B207,'11.2. ДА за периода'!AE$111:AE$131)</f>
        <v>0</v>
      </c>
      <c r="AF207" s="2793">
        <f>AE207+SUMIF('11.2. ДА за периода'!$B$111:$B$131,$B207,'11.2. ДА за периода'!AF$111:AF$131)</f>
        <v>0</v>
      </c>
      <c r="AG207" s="4738">
        <f>+'11.3. ДА Базова година'!X168</f>
        <v>0</v>
      </c>
      <c r="AH207" s="2792">
        <f>AG207+SUMIF('11.2. ДА за периода'!$B$111:$B$131,$B207,'11.2. ДА за периода'!AH$111:AH$131)</f>
        <v>0</v>
      </c>
      <c r="AI207" s="1155">
        <f>AH207+SUMIF('11.2. ДА за периода'!$B$111:$B$131,$B207,'11.2. ДА за периода'!AI$111:AI$131)</f>
        <v>0</v>
      </c>
      <c r="AJ207" s="1155">
        <f>AI207+SUMIF('11.2. ДА за периода'!$B$111:$B$131,$B207,'11.2. ДА за периода'!AJ$111:AJ$131)</f>
        <v>0</v>
      </c>
      <c r="AK207" s="1155">
        <f>AJ207+SUMIF('11.2. ДА за периода'!$B$111:$B$131,$B207,'11.2. ДА за периода'!AK$111:AK$131)</f>
        <v>0</v>
      </c>
      <c r="AL207" s="1155">
        <f>AK207+SUMIF('11.2. ДА за периода'!$B$111:$B$131,$B207,'11.2. ДА за периода'!AL$111:AL$131)</f>
        <v>0</v>
      </c>
      <c r="AM207" s="2793">
        <f>AL207+SUMIF('11.2. ДА за периода'!$B$111:$B$131,$B207,'11.2. ДА за периода'!AM$111:AM$131)</f>
        <v>0</v>
      </c>
      <c r="AN207" s="2681"/>
      <c r="AO207" s="2719"/>
      <c r="AP207" s="4775"/>
      <c r="AQ207" s="4794">
        <f t="shared" si="271"/>
        <v>7.1580863367470586</v>
      </c>
      <c r="AR207" s="4794">
        <f t="shared" si="272"/>
        <v>7.1580863367470586</v>
      </c>
      <c r="AS207" s="4794">
        <f t="shared" si="273"/>
        <v>7.1580863367470586</v>
      </c>
      <c r="AT207" s="4794">
        <f t="shared" si="274"/>
        <v>7.1580863367470586</v>
      </c>
      <c r="AU207" s="4794">
        <f t="shared" si="275"/>
        <v>7.1580863367470586</v>
      </c>
      <c r="AV207" s="4794">
        <f t="shared" si="276"/>
        <v>7.1580863367470586</v>
      </c>
      <c r="AW207" s="4794">
        <f t="shared" si="277"/>
        <v>7.1580863367470586</v>
      </c>
      <c r="AX207" s="4794">
        <f t="shared" si="278"/>
        <v>0</v>
      </c>
      <c r="AY207" s="4794">
        <f t="shared" si="279"/>
        <v>0</v>
      </c>
      <c r="AZ207" s="4794">
        <f t="shared" si="280"/>
        <v>0</v>
      </c>
      <c r="BA207" s="4794">
        <f t="shared" si="281"/>
        <v>0</v>
      </c>
      <c r="BB207" s="4794">
        <f t="shared" si="282"/>
        <v>0</v>
      </c>
      <c r="BC207" s="4794">
        <f t="shared" si="283"/>
        <v>0</v>
      </c>
      <c r="BD207" s="4794">
        <f t="shared" si="284"/>
        <v>0</v>
      </c>
      <c r="BE207" s="4794">
        <f t="shared" si="285"/>
        <v>0</v>
      </c>
      <c r="BF207" s="4794">
        <f t="shared" si="286"/>
        <v>0</v>
      </c>
      <c r="BG207" s="4794">
        <f t="shared" si="287"/>
        <v>0</v>
      </c>
      <c r="BH207" s="4794">
        <f t="shared" si="288"/>
        <v>0</v>
      </c>
      <c r="BI207" s="4794">
        <f t="shared" si="289"/>
        <v>0</v>
      </c>
      <c r="BJ207" s="4794">
        <f t="shared" si="290"/>
        <v>0</v>
      </c>
      <c r="BK207" s="4794">
        <f t="shared" si="291"/>
        <v>0</v>
      </c>
      <c r="BL207" s="4794">
        <f t="shared" si="292"/>
        <v>0</v>
      </c>
      <c r="BM207" s="4794">
        <f t="shared" si="293"/>
        <v>0</v>
      </c>
      <c r="BN207" s="4794">
        <f t="shared" si="294"/>
        <v>0</v>
      </c>
      <c r="BO207" s="4794">
        <f t="shared" si="295"/>
        <v>0</v>
      </c>
      <c r="BP207" s="4794">
        <f t="shared" si="296"/>
        <v>0</v>
      </c>
      <c r="BQ207" s="4794">
        <f t="shared" si="297"/>
        <v>0</v>
      </c>
      <c r="BR207" s="4794">
        <f t="shared" si="298"/>
        <v>0</v>
      </c>
      <c r="BS207" s="4794">
        <f t="shared" si="299"/>
        <v>0</v>
      </c>
      <c r="BT207" s="4794">
        <f t="shared" si="300"/>
        <v>0</v>
      </c>
      <c r="BU207" s="4794">
        <f t="shared" si="301"/>
        <v>0</v>
      </c>
      <c r="BV207" s="4794">
        <f t="shared" si="302"/>
        <v>0</v>
      </c>
      <c r="BW207" s="4794">
        <f t="shared" si="303"/>
        <v>0</v>
      </c>
      <c r="BX207" s="4794">
        <f t="shared" si="304"/>
        <v>0</v>
      </c>
      <c r="BY207" s="4794">
        <f t="shared" si="305"/>
        <v>0</v>
      </c>
    </row>
    <row r="208" spans="1:77" s="1344" customFormat="1">
      <c r="A208" s="2741">
        <v>16</v>
      </c>
      <c r="B208" s="2684" t="s">
        <v>702</v>
      </c>
      <c r="C208" s="2685">
        <v>0.02</v>
      </c>
      <c r="D208" s="2715" t="s">
        <v>420</v>
      </c>
      <c r="E208" s="4738">
        <f>+'11.3. ДА Базова година'!H169</f>
        <v>81927</v>
      </c>
      <c r="F208" s="2792">
        <f>E208+SUMIF('11.2. ДА за периода'!$B$111:$B$131,$B208,'11.2. ДА за периода'!F$111:F$131)</f>
        <v>81927</v>
      </c>
      <c r="G208" s="1155">
        <f>F208+SUMIF('11.2. ДА за периода'!$B$111:$B$131,$B208,'11.2. ДА за периода'!G$111:G$131)</f>
        <v>81927</v>
      </c>
      <c r="H208" s="1155">
        <f>G208+SUMIF('11.2. ДА за периода'!$B$111:$B$131,$B208,'11.2. ДА за периода'!H$111:H$131)</f>
        <v>81927</v>
      </c>
      <c r="I208" s="1155">
        <f>H208+SUMIF('11.2. ДА за периода'!$B$111:$B$131,$B208,'11.2. ДА за периода'!I$111:I$131)</f>
        <v>81927</v>
      </c>
      <c r="J208" s="1155">
        <f>I208+SUMIF('11.2. ДА за периода'!$B$111:$B$131,$B208,'11.2. ДА за периода'!J$111:J$131)</f>
        <v>81927</v>
      </c>
      <c r="K208" s="2793">
        <f>J208+SUMIF('11.2. ДА за периода'!$B$111:$B$131,$B208,'11.2. ДА за периода'!K$111:K$131)</f>
        <v>81927</v>
      </c>
      <c r="L208" s="4738">
        <f>+'11.3. ДА Базова година'!L169</f>
        <v>0</v>
      </c>
      <c r="M208" s="2792">
        <f>L208+SUMIF('11.2. ДА за периода'!$B$111:$B$131,$B208,'11.2. ДА за периода'!M$111:M$131)</f>
        <v>0</v>
      </c>
      <c r="N208" s="1155">
        <f>M208+SUMIF('11.2. ДА за периода'!$B$111:$B$131,$B208,'11.2. ДА за периода'!N$111:N$131)</f>
        <v>0</v>
      </c>
      <c r="O208" s="1155">
        <f>N208+SUMIF('11.2. ДА за периода'!$B$111:$B$131,$B208,'11.2. ДА за периода'!O$111:O$131)</f>
        <v>0</v>
      </c>
      <c r="P208" s="1155">
        <f>O208+SUMIF('11.2. ДА за периода'!$B$111:$B$131,$B208,'11.2. ДА за периода'!P$111:P$131)</f>
        <v>0</v>
      </c>
      <c r="Q208" s="1155">
        <f>P208+SUMIF('11.2. ДА за периода'!$B$111:$B$131,$B208,'11.2. ДА за периода'!Q$111:Q$131)</f>
        <v>0</v>
      </c>
      <c r="R208" s="2793">
        <f>Q208+SUMIF('11.2. ДА за периода'!$B$111:$B$131,$B208,'11.2. ДА за периода'!R$111:R$131)</f>
        <v>0</v>
      </c>
      <c r="S208" s="4738">
        <f>+'11.3. ДА Базова година'!P169</f>
        <v>0</v>
      </c>
      <c r="T208" s="2792">
        <f>S208+SUMIF('11.2. ДА за периода'!$B$111:$B$131,$B208,'11.2. ДА за периода'!T$111:T$131)</f>
        <v>0</v>
      </c>
      <c r="U208" s="1155">
        <f>T208+SUMIF('11.2. ДА за периода'!$B$111:$B$131,$B208,'11.2. ДА за периода'!U$111:U$131)</f>
        <v>0</v>
      </c>
      <c r="V208" s="1155">
        <f>U208+SUMIF('11.2. ДА за периода'!$B$111:$B$131,$B208,'11.2. ДА за периода'!V$111:V$131)</f>
        <v>0</v>
      </c>
      <c r="W208" s="1155">
        <f>V208+SUMIF('11.2. ДА за периода'!$B$111:$B$131,$B208,'11.2. ДА за периода'!W$111:W$131)</f>
        <v>0</v>
      </c>
      <c r="X208" s="1155">
        <f>W208+SUMIF('11.2. ДА за периода'!$B$111:$B$131,$B208,'11.2. ДА за периода'!X$111:X$131)</f>
        <v>0</v>
      </c>
      <c r="Y208" s="2793">
        <f>X208+SUMIF('11.2. ДА за периода'!$B$111:$B$131,$B208,'11.2. ДА за периода'!Y$111:Y$131)</f>
        <v>0</v>
      </c>
      <c r="Z208" s="4738">
        <f>+'11.3. ДА Базова година'!T169</f>
        <v>0</v>
      </c>
      <c r="AA208" s="2792">
        <f>Z208+SUMIF('11.2. ДА за периода'!$B$111:$B$131,$B208,'11.2. ДА за периода'!AA$111:AA$131)</f>
        <v>0</v>
      </c>
      <c r="AB208" s="1155">
        <f>AA208+SUMIF('11.2. ДА за периода'!$B$111:$B$131,$B208,'11.2. ДА за периода'!AB$111:AB$131)</f>
        <v>0</v>
      </c>
      <c r="AC208" s="1155">
        <f>AB208+SUMIF('11.2. ДА за периода'!$B$111:$B$131,$B208,'11.2. ДА за периода'!AC$111:AC$131)</f>
        <v>0</v>
      </c>
      <c r="AD208" s="1155">
        <f>AC208+SUMIF('11.2. ДА за периода'!$B$111:$B$131,$B208,'11.2. ДА за периода'!AD$111:AD$131)</f>
        <v>0</v>
      </c>
      <c r="AE208" s="1155">
        <f>AD208+SUMIF('11.2. ДА за периода'!$B$111:$B$131,$B208,'11.2. ДА за периода'!AE$111:AE$131)</f>
        <v>0</v>
      </c>
      <c r="AF208" s="2793">
        <f>AE208+SUMIF('11.2. ДА за периода'!$B$111:$B$131,$B208,'11.2. ДА за периода'!AF$111:AF$131)</f>
        <v>0</v>
      </c>
      <c r="AG208" s="4738">
        <f>+'11.3. ДА Базова година'!X169</f>
        <v>0</v>
      </c>
      <c r="AH208" s="2792">
        <f>AG208+SUMIF('11.2. ДА за периода'!$B$111:$B$131,$B208,'11.2. ДА за периода'!AH$111:AH$131)</f>
        <v>0</v>
      </c>
      <c r="AI208" s="1155">
        <f>AH208+SUMIF('11.2. ДА за периода'!$B$111:$B$131,$B208,'11.2. ДА за периода'!AI$111:AI$131)</f>
        <v>0</v>
      </c>
      <c r="AJ208" s="1155">
        <f>AI208+SUMIF('11.2. ДА за периода'!$B$111:$B$131,$B208,'11.2. ДА за периода'!AJ$111:AJ$131)</f>
        <v>0</v>
      </c>
      <c r="AK208" s="1155">
        <f>AJ208+SUMIF('11.2. ДА за периода'!$B$111:$B$131,$B208,'11.2. ДА за периода'!AK$111:AK$131)</f>
        <v>0</v>
      </c>
      <c r="AL208" s="1155">
        <f>AK208+SUMIF('11.2. ДА за периода'!$B$111:$B$131,$B208,'11.2. ДА за периода'!AL$111:AL$131)</f>
        <v>0</v>
      </c>
      <c r="AM208" s="2793">
        <f>AL208+SUMIF('11.2. ДА за периода'!$B$111:$B$131,$B208,'11.2. ДА за периода'!AM$111:AM$131)</f>
        <v>0</v>
      </c>
      <c r="AN208" s="2681"/>
      <c r="AO208" s="2719"/>
      <c r="AP208" s="4775"/>
      <c r="AQ208" s="4794">
        <f t="shared" si="271"/>
        <v>41888.609950762591</v>
      </c>
      <c r="AR208" s="4794">
        <f t="shared" si="272"/>
        <v>41888.609950762591</v>
      </c>
      <c r="AS208" s="4794">
        <f t="shared" si="273"/>
        <v>41888.609950762591</v>
      </c>
      <c r="AT208" s="4794">
        <f t="shared" si="274"/>
        <v>41888.609950762591</v>
      </c>
      <c r="AU208" s="4794">
        <f t="shared" si="275"/>
        <v>41888.609950762591</v>
      </c>
      <c r="AV208" s="4794">
        <f t="shared" si="276"/>
        <v>41888.609950762591</v>
      </c>
      <c r="AW208" s="4794">
        <f t="shared" si="277"/>
        <v>41888.609950762591</v>
      </c>
      <c r="AX208" s="4794">
        <f t="shared" si="278"/>
        <v>0</v>
      </c>
      <c r="AY208" s="4794">
        <f t="shared" si="279"/>
        <v>0</v>
      </c>
      <c r="AZ208" s="4794">
        <f t="shared" si="280"/>
        <v>0</v>
      </c>
      <c r="BA208" s="4794">
        <f t="shared" si="281"/>
        <v>0</v>
      </c>
      <c r="BB208" s="4794">
        <f t="shared" si="282"/>
        <v>0</v>
      </c>
      <c r="BC208" s="4794">
        <f t="shared" si="283"/>
        <v>0</v>
      </c>
      <c r="BD208" s="4794">
        <f t="shared" si="284"/>
        <v>0</v>
      </c>
      <c r="BE208" s="4794">
        <f t="shared" si="285"/>
        <v>0</v>
      </c>
      <c r="BF208" s="4794">
        <f t="shared" si="286"/>
        <v>0</v>
      </c>
      <c r="BG208" s="4794">
        <f t="shared" si="287"/>
        <v>0</v>
      </c>
      <c r="BH208" s="4794">
        <f t="shared" si="288"/>
        <v>0</v>
      </c>
      <c r="BI208" s="4794">
        <f t="shared" si="289"/>
        <v>0</v>
      </c>
      <c r="BJ208" s="4794">
        <f t="shared" si="290"/>
        <v>0</v>
      </c>
      <c r="BK208" s="4794">
        <f t="shared" si="291"/>
        <v>0</v>
      </c>
      <c r="BL208" s="4794">
        <f t="shared" si="292"/>
        <v>0</v>
      </c>
      <c r="BM208" s="4794">
        <f t="shared" si="293"/>
        <v>0</v>
      </c>
      <c r="BN208" s="4794">
        <f t="shared" si="294"/>
        <v>0</v>
      </c>
      <c r="BO208" s="4794">
        <f t="shared" si="295"/>
        <v>0</v>
      </c>
      <c r="BP208" s="4794">
        <f t="shared" si="296"/>
        <v>0</v>
      </c>
      <c r="BQ208" s="4794">
        <f t="shared" si="297"/>
        <v>0</v>
      </c>
      <c r="BR208" s="4794">
        <f t="shared" si="298"/>
        <v>0</v>
      </c>
      <c r="BS208" s="4794">
        <f t="shared" si="299"/>
        <v>0</v>
      </c>
      <c r="BT208" s="4794">
        <f t="shared" si="300"/>
        <v>0</v>
      </c>
      <c r="BU208" s="4794">
        <f t="shared" si="301"/>
        <v>0</v>
      </c>
      <c r="BV208" s="4794">
        <f t="shared" si="302"/>
        <v>0</v>
      </c>
      <c r="BW208" s="4794">
        <f t="shared" si="303"/>
        <v>0</v>
      </c>
      <c r="BX208" s="4794">
        <f t="shared" si="304"/>
        <v>0</v>
      </c>
      <c r="BY208" s="4794">
        <f t="shared" si="305"/>
        <v>0</v>
      </c>
    </row>
    <row r="209" spans="1:77" s="1344" customFormat="1">
      <c r="A209" s="2741">
        <v>17</v>
      </c>
      <c r="B209" s="2684" t="s">
        <v>703</v>
      </c>
      <c r="C209" s="2685">
        <v>0.02</v>
      </c>
      <c r="D209" s="2720" t="s">
        <v>421</v>
      </c>
      <c r="E209" s="4738">
        <f>+'11.3. ДА Базова година'!H170</f>
        <v>0</v>
      </c>
      <c r="F209" s="2792">
        <f>E209+SUMIF('11.2. ДА за периода'!$B$111:$B$131,$B209,'11.2. ДА за периода'!F$111:F$131)</f>
        <v>0</v>
      </c>
      <c r="G209" s="1155">
        <f>F209+SUMIF('11.2. ДА за периода'!$B$111:$B$131,$B209,'11.2. ДА за периода'!G$111:G$131)</f>
        <v>0</v>
      </c>
      <c r="H209" s="1155">
        <f>G209+SUMIF('11.2. ДА за периода'!$B$111:$B$131,$B209,'11.2. ДА за периода'!H$111:H$131)</f>
        <v>0</v>
      </c>
      <c r="I209" s="1155">
        <f>H209+SUMIF('11.2. ДА за периода'!$B$111:$B$131,$B209,'11.2. ДА за периода'!I$111:I$131)</f>
        <v>0</v>
      </c>
      <c r="J209" s="1155">
        <f>I209+SUMIF('11.2. ДА за периода'!$B$111:$B$131,$B209,'11.2. ДА за периода'!J$111:J$131)</f>
        <v>0</v>
      </c>
      <c r="K209" s="2793">
        <f>J209+SUMIF('11.2. ДА за периода'!$B$111:$B$131,$B209,'11.2. ДА за периода'!K$111:K$131)</f>
        <v>0</v>
      </c>
      <c r="L209" s="4738">
        <f>+'11.3. ДА Базова година'!L170</f>
        <v>81361</v>
      </c>
      <c r="M209" s="2792">
        <f>L209+SUMIF('11.2. ДА за периода'!$B$111:$B$131,$B209,'11.2. ДА за периода'!M$111:M$131)</f>
        <v>81361</v>
      </c>
      <c r="N209" s="1155">
        <f>M209+SUMIF('11.2. ДА за периода'!$B$111:$B$131,$B209,'11.2. ДА за периода'!N$111:N$131)</f>
        <v>81361</v>
      </c>
      <c r="O209" s="1155">
        <f>N209+SUMIF('11.2. ДА за периода'!$B$111:$B$131,$B209,'11.2. ДА за периода'!O$111:O$131)</f>
        <v>81361</v>
      </c>
      <c r="P209" s="1155">
        <f>O209+SUMIF('11.2. ДА за периода'!$B$111:$B$131,$B209,'11.2. ДА за периода'!P$111:P$131)</f>
        <v>81361</v>
      </c>
      <c r="Q209" s="1155">
        <f>P209+SUMIF('11.2. ДА за периода'!$B$111:$B$131,$B209,'11.2. ДА за периода'!Q$111:Q$131)</f>
        <v>81361</v>
      </c>
      <c r="R209" s="2793">
        <f>Q209+SUMIF('11.2. ДА за периода'!$B$111:$B$131,$B209,'11.2. ДА за периода'!R$111:R$131)</f>
        <v>81361</v>
      </c>
      <c r="S209" s="4738">
        <f>+'11.3. ДА Базова година'!P170</f>
        <v>0</v>
      </c>
      <c r="T209" s="2792">
        <f>S209+SUMIF('11.2. ДА за периода'!$B$111:$B$131,$B209,'11.2. ДА за периода'!T$111:T$131)</f>
        <v>0</v>
      </c>
      <c r="U209" s="1155">
        <f>T209+SUMIF('11.2. ДА за периода'!$B$111:$B$131,$B209,'11.2. ДА за периода'!U$111:U$131)</f>
        <v>0</v>
      </c>
      <c r="V209" s="1155">
        <f>U209+SUMIF('11.2. ДА за периода'!$B$111:$B$131,$B209,'11.2. ДА за периода'!V$111:V$131)</f>
        <v>0</v>
      </c>
      <c r="W209" s="1155">
        <f>V209+SUMIF('11.2. ДА за периода'!$B$111:$B$131,$B209,'11.2. ДА за периода'!W$111:W$131)</f>
        <v>0</v>
      </c>
      <c r="X209" s="1155">
        <f>W209+SUMIF('11.2. ДА за периода'!$B$111:$B$131,$B209,'11.2. ДА за периода'!X$111:X$131)</f>
        <v>0</v>
      </c>
      <c r="Y209" s="2793">
        <f>X209+SUMIF('11.2. ДА за периода'!$B$111:$B$131,$B209,'11.2. ДА за периода'!Y$111:Y$131)</f>
        <v>0</v>
      </c>
      <c r="Z209" s="4738">
        <f>+'11.3. ДА Базова година'!T170</f>
        <v>0</v>
      </c>
      <c r="AA209" s="2792">
        <f>Z209+SUMIF('11.2. ДА за периода'!$B$111:$B$131,$B209,'11.2. ДА за периода'!AA$111:AA$131)</f>
        <v>0</v>
      </c>
      <c r="AB209" s="1155">
        <f>AA209+SUMIF('11.2. ДА за периода'!$B$111:$B$131,$B209,'11.2. ДА за периода'!AB$111:AB$131)</f>
        <v>0</v>
      </c>
      <c r="AC209" s="1155">
        <f>AB209+SUMIF('11.2. ДА за периода'!$B$111:$B$131,$B209,'11.2. ДА за периода'!AC$111:AC$131)</f>
        <v>0</v>
      </c>
      <c r="AD209" s="1155">
        <f>AC209+SUMIF('11.2. ДА за периода'!$B$111:$B$131,$B209,'11.2. ДА за периода'!AD$111:AD$131)</f>
        <v>0</v>
      </c>
      <c r="AE209" s="1155">
        <f>AD209+SUMIF('11.2. ДА за периода'!$B$111:$B$131,$B209,'11.2. ДА за периода'!AE$111:AE$131)</f>
        <v>0</v>
      </c>
      <c r="AF209" s="2793">
        <f>AE209+SUMIF('11.2. ДА за периода'!$B$111:$B$131,$B209,'11.2. ДА за периода'!AF$111:AF$131)</f>
        <v>0</v>
      </c>
      <c r="AG209" s="4738">
        <f>+'11.3. ДА Базова година'!X170</f>
        <v>0</v>
      </c>
      <c r="AH209" s="2792">
        <f>AG209+SUMIF('11.2. ДА за периода'!$B$111:$B$131,$B209,'11.2. ДА за периода'!AH$111:AH$131)</f>
        <v>0</v>
      </c>
      <c r="AI209" s="1155">
        <f>AH209+SUMIF('11.2. ДА за периода'!$B$111:$B$131,$B209,'11.2. ДА за периода'!AI$111:AI$131)</f>
        <v>0</v>
      </c>
      <c r="AJ209" s="1155">
        <f>AI209+SUMIF('11.2. ДА за периода'!$B$111:$B$131,$B209,'11.2. ДА за периода'!AJ$111:AJ$131)</f>
        <v>0</v>
      </c>
      <c r="AK209" s="1155">
        <f>AJ209+SUMIF('11.2. ДА за периода'!$B$111:$B$131,$B209,'11.2. ДА за периода'!AK$111:AK$131)</f>
        <v>0</v>
      </c>
      <c r="AL209" s="1155">
        <f>AK209+SUMIF('11.2. ДА за периода'!$B$111:$B$131,$B209,'11.2. ДА за периода'!AL$111:AL$131)</f>
        <v>0</v>
      </c>
      <c r="AM209" s="2793">
        <f>AL209+SUMIF('11.2. ДА за периода'!$B$111:$B$131,$B209,'11.2. ДА за периода'!AM$111:AM$131)</f>
        <v>0</v>
      </c>
      <c r="AN209" s="2681"/>
      <c r="AO209" s="2719"/>
      <c r="AP209" s="4775"/>
      <c r="AQ209" s="4794">
        <f t="shared" si="271"/>
        <v>0</v>
      </c>
      <c r="AR209" s="4794">
        <f t="shared" si="272"/>
        <v>0</v>
      </c>
      <c r="AS209" s="4794">
        <f t="shared" si="273"/>
        <v>0</v>
      </c>
      <c r="AT209" s="4794">
        <f t="shared" si="274"/>
        <v>0</v>
      </c>
      <c r="AU209" s="4794">
        <f t="shared" si="275"/>
        <v>0</v>
      </c>
      <c r="AV209" s="4794">
        <f t="shared" si="276"/>
        <v>0</v>
      </c>
      <c r="AW209" s="4794">
        <f t="shared" si="277"/>
        <v>0</v>
      </c>
      <c r="AX209" s="4794">
        <f t="shared" si="278"/>
        <v>41599.218746005536</v>
      </c>
      <c r="AY209" s="4794">
        <f t="shared" si="279"/>
        <v>41599.218746005536</v>
      </c>
      <c r="AZ209" s="4794">
        <f t="shared" si="280"/>
        <v>41599.218746005536</v>
      </c>
      <c r="BA209" s="4794">
        <f t="shared" si="281"/>
        <v>41599.218746005536</v>
      </c>
      <c r="BB209" s="4794">
        <f t="shared" si="282"/>
        <v>41599.218746005536</v>
      </c>
      <c r="BC209" s="4794">
        <f t="shared" si="283"/>
        <v>41599.218746005536</v>
      </c>
      <c r="BD209" s="4794">
        <f t="shared" si="284"/>
        <v>41599.218746005536</v>
      </c>
      <c r="BE209" s="4794">
        <f t="shared" si="285"/>
        <v>0</v>
      </c>
      <c r="BF209" s="4794">
        <f t="shared" si="286"/>
        <v>0</v>
      </c>
      <c r="BG209" s="4794">
        <f t="shared" si="287"/>
        <v>0</v>
      </c>
      <c r="BH209" s="4794">
        <f t="shared" si="288"/>
        <v>0</v>
      </c>
      <c r="BI209" s="4794">
        <f t="shared" si="289"/>
        <v>0</v>
      </c>
      <c r="BJ209" s="4794">
        <f t="shared" si="290"/>
        <v>0</v>
      </c>
      <c r="BK209" s="4794">
        <f t="shared" si="291"/>
        <v>0</v>
      </c>
      <c r="BL209" s="4794">
        <f t="shared" si="292"/>
        <v>0</v>
      </c>
      <c r="BM209" s="4794">
        <f t="shared" si="293"/>
        <v>0</v>
      </c>
      <c r="BN209" s="4794">
        <f t="shared" si="294"/>
        <v>0</v>
      </c>
      <c r="BO209" s="4794">
        <f t="shared" si="295"/>
        <v>0</v>
      </c>
      <c r="BP209" s="4794">
        <f t="shared" si="296"/>
        <v>0</v>
      </c>
      <c r="BQ209" s="4794">
        <f t="shared" si="297"/>
        <v>0</v>
      </c>
      <c r="BR209" s="4794">
        <f t="shared" si="298"/>
        <v>0</v>
      </c>
      <c r="BS209" s="4794">
        <f t="shared" si="299"/>
        <v>0</v>
      </c>
      <c r="BT209" s="4794">
        <f t="shared" si="300"/>
        <v>0</v>
      </c>
      <c r="BU209" s="4794">
        <f t="shared" si="301"/>
        <v>0</v>
      </c>
      <c r="BV209" s="4794">
        <f t="shared" si="302"/>
        <v>0</v>
      </c>
      <c r="BW209" s="4794">
        <f t="shared" si="303"/>
        <v>0</v>
      </c>
      <c r="BX209" s="4794">
        <f t="shared" si="304"/>
        <v>0</v>
      </c>
      <c r="BY209" s="4794">
        <f t="shared" si="305"/>
        <v>0</v>
      </c>
    </row>
    <row r="210" spans="1:77" s="1344" customFormat="1" ht="24">
      <c r="A210" s="2741">
        <v>18</v>
      </c>
      <c r="B210" s="2684" t="s">
        <v>704</v>
      </c>
      <c r="C210" s="2685">
        <v>0.04</v>
      </c>
      <c r="D210" s="2720" t="s">
        <v>422</v>
      </c>
      <c r="E210" s="4738">
        <f>+'11.3. ДА Базова година'!H171</f>
        <v>3938</v>
      </c>
      <c r="F210" s="2792">
        <f>E210+SUMIF('11.2. ДА за периода'!$B$111:$B$131,$B210,'11.2. ДА за периода'!F$111:F$131)</f>
        <v>3938</v>
      </c>
      <c r="G210" s="1155">
        <f>F210+SUMIF('11.2. ДА за периода'!$B$111:$B$131,$B210,'11.2. ДА за периода'!G$111:G$131)</f>
        <v>3938</v>
      </c>
      <c r="H210" s="1155">
        <f>G210+SUMIF('11.2. ДА за периода'!$B$111:$B$131,$B210,'11.2. ДА за периода'!H$111:H$131)</f>
        <v>3938</v>
      </c>
      <c r="I210" s="1155">
        <f>H210+SUMIF('11.2. ДА за периода'!$B$111:$B$131,$B210,'11.2. ДА за периода'!I$111:I$131)</f>
        <v>3938</v>
      </c>
      <c r="J210" s="1155">
        <f>I210+SUMIF('11.2. ДА за периода'!$B$111:$B$131,$B210,'11.2. ДА за периода'!J$111:J$131)</f>
        <v>3938</v>
      </c>
      <c r="K210" s="2793">
        <f>J210+SUMIF('11.2. ДА за периода'!$B$111:$B$131,$B210,'11.2. ДА за периода'!K$111:K$131)</f>
        <v>3938</v>
      </c>
      <c r="L210" s="4738">
        <f>+'11.3. ДА Базова година'!L171</f>
        <v>31</v>
      </c>
      <c r="M210" s="2792">
        <f>L210+SUMIF('11.2. ДА за периода'!$B$111:$B$131,$B210,'11.2. ДА за периода'!M$111:M$131)</f>
        <v>31</v>
      </c>
      <c r="N210" s="1155">
        <f>M210+SUMIF('11.2. ДА за периода'!$B$111:$B$131,$B210,'11.2. ДА за периода'!N$111:N$131)</f>
        <v>31</v>
      </c>
      <c r="O210" s="1155">
        <f>N210+SUMIF('11.2. ДА за периода'!$B$111:$B$131,$B210,'11.2. ДА за периода'!O$111:O$131)</f>
        <v>31</v>
      </c>
      <c r="P210" s="1155">
        <f>O210+SUMIF('11.2. ДА за периода'!$B$111:$B$131,$B210,'11.2. ДА за периода'!P$111:P$131)</f>
        <v>31</v>
      </c>
      <c r="Q210" s="1155">
        <f>P210+SUMIF('11.2. ДА за периода'!$B$111:$B$131,$B210,'11.2. ДА за периода'!Q$111:Q$131)</f>
        <v>31</v>
      </c>
      <c r="R210" s="2793">
        <f>Q210+SUMIF('11.2. ДА за периода'!$B$111:$B$131,$B210,'11.2. ДА за периода'!R$111:R$131)</f>
        <v>31</v>
      </c>
      <c r="S210" s="4738">
        <f>+'11.3. ДА Базова година'!P171</f>
        <v>23867</v>
      </c>
      <c r="T210" s="2792">
        <f>S210+SUMIF('11.2. ДА за периода'!$B$111:$B$131,$B210,'11.2. ДА за периода'!T$111:T$131)</f>
        <v>23867</v>
      </c>
      <c r="U210" s="1155">
        <f>T210+SUMIF('11.2. ДА за периода'!$B$111:$B$131,$B210,'11.2. ДА за периода'!U$111:U$131)</f>
        <v>23867</v>
      </c>
      <c r="V210" s="1155">
        <f>U210+SUMIF('11.2. ДА за периода'!$B$111:$B$131,$B210,'11.2. ДА за периода'!V$111:V$131)</f>
        <v>23867</v>
      </c>
      <c r="W210" s="1155">
        <f>V210+SUMIF('11.2. ДА за периода'!$B$111:$B$131,$B210,'11.2. ДА за периода'!W$111:W$131)</f>
        <v>23867</v>
      </c>
      <c r="X210" s="1155">
        <f>W210+SUMIF('11.2. ДА за периода'!$B$111:$B$131,$B210,'11.2. ДА за периода'!X$111:X$131)</f>
        <v>23867</v>
      </c>
      <c r="Y210" s="2793">
        <f>X210+SUMIF('11.2. ДА за периода'!$B$111:$B$131,$B210,'11.2. ДА за периода'!Y$111:Y$131)</f>
        <v>23867</v>
      </c>
      <c r="Z210" s="4738">
        <f>+'11.3. ДА Базова година'!T171</f>
        <v>0</v>
      </c>
      <c r="AA210" s="2792">
        <f>Z210+SUMIF('11.2. ДА за периода'!$B$111:$B$131,$B210,'11.2. ДА за периода'!AA$111:AA$131)</f>
        <v>0</v>
      </c>
      <c r="AB210" s="1155">
        <f>AA210+SUMIF('11.2. ДА за периода'!$B$111:$B$131,$B210,'11.2. ДА за периода'!AB$111:AB$131)</f>
        <v>0</v>
      </c>
      <c r="AC210" s="1155">
        <f>AB210+SUMIF('11.2. ДА за периода'!$B$111:$B$131,$B210,'11.2. ДА за периода'!AC$111:AC$131)</f>
        <v>0</v>
      </c>
      <c r="AD210" s="1155">
        <f>AC210+SUMIF('11.2. ДА за периода'!$B$111:$B$131,$B210,'11.2. ДА за периода'!AD$111:AD$131)</f>
        <v>0</v>
      </c>
      <c r="AE210" s="1155">
        <f>AD210+SUMIF('11.2. ДА за периода'!$B$111:$B$131,$B210,'11.2. ДА за периода'!AE$111:AE$131)</f>
        <v>0</v>
      </c>
      <c r="AF210" s="2793">
        <f>AE210+SUMIF('11.2. ДА за периода'!$B$111:$B$131,$B210,'11.2. ДА за периода'!AF$111:AF$131)</f>
        <v>0</v>
      </c>
      <c r="AG210" s="4738">
        <f>+'11.3. ДА Базова година'!X171</f>
        <v>0</v>
      </c>
      <c r="AH210" s="2792">
        <f>AG210+SUMIF('11.2. ДА за периода'!$B$111:$B$131,$B210,'11.2. ДА за периода'!AH$111:AH$131)</f>
        <v>0</v>
      </c>
      <c r="AI210" s="1155">
        <f>AH210+SUMIF('11.2. ДА за периода'!$B$111:$B$131,$B210,'11.2. ДА за периода'!AI$111:AI$131)</f>
        <v>0</v>
      </c>
      <c r="AJ210" s="1155">
        <f>AI210+SUMIF('11.2. ДА за периода'!$B$111:$B$131,$B210,'11.2. ДА за периода'!AJ$111:AJ$131)</f>
        <v>0</v>
      </c>
      <c r="AK210" s="1155">
        <f>AJ210+SUMIF('11.2. ДА за периода'!$B$111:$B$131,$B210,'11.2. ДА за периода'!AK$111:AK$131)</f>
        <v>0</v>
      </c>
      <c r="AL210" s="1155">
        <f>AK210+SUMIF('11.2. ДА за периода'!$B$111:$B$131,$B210,'11.2. ДА за периода'!AL$111:AL$131)</f>
        <v>0</v>
      </c>
      <c r="AM210" s="2793">
        <f>AL210+SUMIF('11.2. ДА за периода'!$B$111:$B$131,$B210,'11.2. ДА за периода'!AM$111:AM$131)</f>
        <v>0</v>
      </c>
      <c r="AN210" s="2681"/>
      <c r="AO210" s="2719"/>
      <c r="AP210" s="4775"/>
      <c r="AQ210" s="4794">
        <f t="shared" si="271"/>
        <v>2013.4674281507084</v>
      </c>
      <c r="AR210" s="4794">
        <f t="shared" si="272"/>
        <v>2013.4674281507084</v>
      </c>
      <c r="AS210" s="4794">
        <f t="shared" si="273"/>
        <v>2013.4674281507084</v>
      </c>
      <c r="AT210" s="4794">
        <f t="shared" si="274"/>
        <v>2013.4674281507084</v>
      </c>
      <c r="AU210" s="4794">
        <f t="shared" si="275"/>
        <v>2013.4674281507084</v>
      </c>
      <c r="AV210" s="4794">
        <f t="shared" si="276"/>
        <v>2013.4674281507084</v>
      </c>
      <c r="AW210" s="4794">
        <f t="shared" si="277"/>
        <v>2013.4674281507084</v>
      </c>
      <c r="AX210" s="4794">
        <f t="shared" si="278"/>
        <v>15.850048317082774</v>
      </c>
      <c r="AY210" s="4794">
        <f t="shared" si="279"/>
        <v>15.850048317082774</v>
      </c>
      <c r="AZ210" s="4794">
        <f t="shared" si="280"/>
        <v>15.850048317082774</v>
      </c>
      <c r="BA210" s="4794">
        <f t="shared" si="281"/>
        <v>15.850048317082774</v>
      </c>
      <c r="BB210" s="4794">
        <f t="shared" si="282"/>
        <v>15.850048317082774</v>
      </c>
      <c r="BC210" s="4794">
        <f t="shared" si="283"/>
        <v>15.850048317082774</v>
      </c>
      <c r="BD210" s="4794">
        <f t="shared" si="284"/>
        <v>15.850048317082774</v>
      </c>
      <c r="BE210" s="4794">
        <f t="shared" si="285"/>
        <v>12203.003328510147</v>
      </c>
      <c r="BF210" s="4794">
        <f t="shared" si="286"/>
        <v>12203.003328510147</v>
      </c>
      <c r="BG210" s="4794">
        <f t="shared" si="287"/>
        <v>12203.003328510147</v>
      </c>
      <c r="BH210" s="4794">
        <f t="shared" si="288"/>
        <v>12203.003328510147</v>
      </c>
      <c r="BI210" s="4794">
        <f t="shared" si="289"/>
        <v>12203.003328510147</v>
      </c>
      <c r="BJ210" s="4794">
        <f t="shared" si="290"/>
        <v>12203.003328510147</v>
      </c>
      <c r="BK210" s="4794">
        <f t="shared" si="291"/>
        <v>12203.003328510147</v>
      </c>
      <c r="BL210" s="4794">
        <f t="shared" si="292"/>
        <v>0</v>
      </c>
      <c r="BM210" s="4794">
        <f t="shared" si="293"/>
        <v>0</v>
      </c>
      <c r="BN210" s="4794">
        <f t="shared" si="294"/>
        <v>0</v>
      </c>
      <c r="BO210" s="4794">
        <f t="shared" si="295"/>
        <v>0</v>
      </c>
      <c r="BP210" s="4794">
        <f t="shared" si="296"/>
        <v>0</v>
      </c>
      <c r="BQ210" s="4794">
        <f t="shared" si="297"/>
        <v>0</v>
      </c>
      <c r="BR210" s="4794">
        <f t="shared" si="298"/>
        <v>0</v>
      </c>
      <c r="BS210" s="4794">
        <f t="shared" si="299"/>
        <v>0</v>
      </c>
      <c r="BT210" s="4794">
        <f t="shared" si="300"/>
        <v>0</v>
      </c>
      <c r="BU210" s="4794">
        <f t="shared" si="301"/>
        <v>0</v>
      </c>
      <c r="BV210" s="4794">
        <f t="shared" si="302"/>
        <v>0</v>
      </c>
      <c r="BW210" s="4794">
        <f t="shared" si="303"/>
        <v>0</v>
      </c>
      <c r="BX210" s="4794">
        <f t="shared" si="304"/>
        <v>0</v>
      </c>
      <c r="BY210" s="4794">
        <f t="shared" si="305"/>
        <v>0</v>
      </c>
    </row>
    <row r="211" spans="1:77" s="1344" customFormat="1">
      <c r="A211" s="2741">
        <v>19</v>
      </c>
      <c r="B211" s="2684" t="s">
        <v>705</v>
      </c>
      <c r="C211" s="2685">
        <v>0.04</v>
      </c>
      <c r="D211" s="2720" t="s">
        <v>423</v>
      </c>
      <c r="E211" s="4738">
        <f>+'11.3. ДА Базова година'!H172</f>
        <v>38</v>
      </c>
      <c r="F211" s="2792">
        <f>E211+SUMIF('11.2. ДА за периода'!$B$111:$B$131,$B211,'11.2. ДА за периода'!F$111:F$131)</f>
        <v>38</v>
      </c>
      <c r="G211" s="1155">
        <f>F211+SUMIF('11.2. ДА за периода'!$B$111:$B$131,$B211,'11.2. ДА за периода'!G$111:G$131)</f>
        <v>38</v>
      </c>
      <c r="H211" s="1155">
        <f>G211+SUMIF('11.2. ДА за периода'!$B$111:$B$131,$B211,'11.2. ДА за периода'!H$111:H$131)</f>
        <v>38</v>
      </c>
      <c r="I211" s="1155">
        <f>H211+SUMIF('11.2. ДА за периода'!$B$111:$B$131,$B211,'11.2. ДА за периода'!I$111:I$131)</f>
        <v>38</v>
      </c>
      <c r="J211" s="1155">
        <f>I211+SUMIF('11.2. ДА за периода'!$B$111:$B$131,$B211,'11.2. ДА за периода'!J$111:J$131)</f>
        <v>38</v>
      </c>
      <c r="K211" s="2793">
        <f>J211+SUMIF('11.2. ДА за периода'!$B$111:$B$131,$B211,'11.2. ДА за периода'!K$111:K$131)</f>
        <v>38</v>
      </c>
      <c r="L211" s="4738">
        <f>+'11.3. ДА Базова година'!L172</f>
        <v>0</v>
      </c>
      <c r="M211" s="2792">
        <f>L211+SUMIF('11.2. ДА за периода'!$B$111:$B$131,$B211,'11.2. ДА за периода'!M$111:M$131)</f>
        <v>0</v>
      </c>
      <c r="N211" s="1155">
        <f>M211+SUMIF('11.2. ДА за периода'!$B$111:$B$131,$B211,'11.2. ДА за периода'!N$111:N$131)</f>
        <v>0</v>
      </c>
      <c r="O211" s="1155">
        <f>N211+SUMIF('11.2. ДА за периода'!$B$111:$B$131,$B211,'11.2. ДА за периода'!O$111:O$131)</f>
        <v>0</v>
      </c>
      <c r="P211" s="1155">
        <f>O211+SUMIF('11.2. ДА за периода'!$B$111:$B$131,$B211,'11.2. ДА за периода'!P$111:P$131)</f>
        <v>0</v>
      </c>
      <c r="Q211" s="1155">
        <f>P211+SUMIF('11.2. ДА за периода'!$B$111:$B$131,$B211,'11.2. ДА за периода'!Q$111:Q$131)</f>
        <v>0</v>
      </c>
      <c r="R211" s="2793">
        <f>Q211+SUMIF('11.2. ДА за периода'!$B$111:$B$131,$B211,'11.2. ДА за периода'!R$111:R$131)</f>
        <v>0</v>
      </c>
      <c r="S211" s="4738">
        <f>+'11.3. ДА Базова година'!P172</f>
        <v>10</v>
      </c>
      <c r="T211" s="2792">
        <f>S211+SUMIF('11.2. ДА за периода'!$B$111:$B$131,$B211,'11.2. ДА за периода'!T$111:T$131)</f>
        <v>10</v>
      </c>
      <c r="U211" s="1155">
        <f>T211+SUMIF('11.2. ДА за периода'!$B$111:$B$131,$B211,'11.2. ДА за периода'!U$111:U$131)</f>
        <v>10</v>
      </c>
      <c r="V211" s="1155">
        <f>U211+SUMIF('11.2. ДА за периода'!$B$111:$B$131,$B211,'11.2. ДА за периода'!V$111:V$131)</f>
        <v>10</v>
      </c>
      <c r="W211" s="1155">
        <f>V211+SUMIF('11.2. ДА за периода'!$B$111:$B$131,$B211,'11.2. ДА за периода'!W$111:W$131)</f>
        <v>10</v>
      </c>
      <c r="X211" s="1155">
        <f>W211+SUMIF('11.2. ДА за периода'!$B$111:$B$131,$B211,'11.2. ДА за периода'!X$111:X$131)</f>
        <v>10</v>
      </c>
      <c r="Y211" s="2793">
        <f>X211+SUMIF('11.2. ДА за периода'!$B$111:$B$131,$B211,'11.2. ДА за периода'!Y$111:Y$131)</f>
        <v>10</v>
      </c>
      <c r="Z211" s="4738">
        <f>+'11.3. ДА Базова година'!T172</f>
        <v>0</v>
      </c>
      <c r="AA211" s="2792">
        <f>Z211+SUMIF('11.2. ДА за периода'!$B$111:$B$131,$B211,'11.2. ДА за периода'!AA$111:AA$131)</f>
        <v>0</v>
      </c>
      <c r="AB211" s="1155">
        <f>AA211+SUMIF('11.2. ДА за периода'!$B$111:$B$131,$B211,'11.2. ДА за периода'!AB$111:AB$131)</f>
        <v>0</v>
      </c>
      <c r="AC211" s="1155">
        <f>AB211+SUMIF('11.2. ДА за периода'!$B$111:$B$131,$B211,'11.2. ДА за периода'!AC$111:AC$131)</f>
        <v>0</v>
      </c>
      <c r="AD211" s="1155">
        <f>AC211+SUMIF('11.2. ДА за периода'!$B$111:$B$131,$B211,'11.2. ДА за периода'!AD$111:AD$131)</f>
        <v>0</v>
      </c>
      <c r="AE211" s="1155">
        <f>AD211+SUMIF('11.2. ДА за периода'!$B$111:$B$131,$B211,'11.2. ДА за периода'!AE$111:AE$131)</f>
        <v>0</v>
      </c>
      <c r="AF211" s="2793">
        <f>AE211+SUMIF('11.2. ДА за периода'!$B$111:$B$131,$B211,'11.2. ДА за периода'!AF$111:AF$131)</f>
        <v>0</v>
      </c>
      <c r="AG211" s="4738">
        <f>+'11.3. ДА Базова година'!X172</f>
        <v>0</v>
      </c>
      <c r="AH211" s="2792">
        <f>AG211+SUMIF('11.2. ДА за периода'!$B$111:$B$131,$B211,'11.2. ДА за периода'!AH$111:AH$131)</f>
        <v>0</v>
      </c>
      <c r="AI211" s="1155">
        <f>AH211+SUMIF('11.2. ДА за периода'!$B$111:$B$131,$B211,'11.2. ДА за периода'!AI$111:AI$131)</f>
        <v>0</v>
      </c>
      <c r="AJ211" s="1155">
        <f>AI211+SUMIF('11.2. ДА за периода'!$B$111:$B$131,$B211,'11.2. ДА за периода'!AJ$111:AJ$131)</f>
        <v>0</v>
      </c>
      <c r="AK211" s="1155">
        <f>AJ211+SUMIF('11.2. ДА за периода'!$B$111:$B$131,$B211,'11.2. ДА за периода'!AK$111:AK$131)</f>
        <v>0</v>
      </c>
      <c r="AL211" s="1155">
        <f>AK211+SUMIF('11.2. ДА за периода'!$B$111:$B$131,$B211,'11.2. ДА за периода'!AL$111:AL$131)</f>
        <v>0</v>
      </c>
      <c r="AM211" s="2793">
        <f>AL211+SUMIF('11.2. ДА за периода'!$B$111:$B$131,$B211,'11.2. ДА за периода'!AM$111:AM$131)</f>
        <v>0</v>
      </c>
      <c r="AN211" s="2681"/>
      <c r="AO211" s="2719"/>
      <c r="AP211" s="4775"/>
      <c r="AQ211" s="4794">
        <f t="shared" si="271"/>
        <v>19.429091485456304</v>
      </c>
      <c r="AR211" s="4794">
        <f t="shared" si="272"/>
        <v>19.429091485456304</v>
      </c>
      <c r="AS211" s="4794">
        <f t="shared" si="273"/>
        <v>19.429091485456304</v>
      </c>
      <c r="AT211" s="4794">
        <f t="shared" si="274"/>
        <v>19.429091485456304</v>
      </c>
      <c r="AU211" s="4794">
        <f t="shared" si="275"/>
        <v>19.429091485456304</v>
      </c>
      <c r="AV211" s="4794">
        <f t="shared" si="276"/>
        <v>19.429091485456304</v>
      </c>
      <c r="AW211" s="4794">
        <f t="shared" si="277"/>
        <v>19.429091485456304</v>
      </c>
      <c r="AX211" s="4794">
        <f t="shared" si="278"/>
        <v>0</v>
      </c>
      <c r="AY211" s="4794">
        <f t="shared" si="279"/>
        <v>0</v>
      </c>
      <c r="AZ211" s="4794">
        <f t="shared" si="280"/>
        <v>0</v>
      </c>
      <c r="BA211" s="4794">
        <f t="shared" si="281"/>
        <v>0</v>
      </c>
      <c r="BB211" s="4794">
        <f t="shared" si="282"/>
        <v>0</v>
      </c>
      <c r="BC211" s="4794">
        <f t="shared" si="283"/>
        <v>0</v>
      </c>
      <c r="BD211" s="4794">
        <f t="shared" si="284"/>
        <v>0</v>
      </c>
      <c r="BE211" s="4794">
        <f t="shared" si="285"/>
        <v>5.1129188119621851</v>
      </c>
      <c r="BF211" s="4794">
        <f t="shared" si="286"/>
        <v>5.1129188119621851</v>
      </c>
      <c r="BG211" s="4794">
        <f t="shared" si="287"/>
        <v>5.1129188119621851</v>
      </c>
      <c r="BH211" s="4794">
        <f t="shared" si="288"/>
        <v>5.1129188119621851</v>
      </c>
      <c r="BI211" s="4794">
        <f t="shared" si="289"/>
        <v>5.1129188119621851</v>
      </c>
      <c r="BJ211" s="4794">
        <f t="shared" si="290"/>
        <v>5.1129188119621851</v>
      </c>
      <c r="BK211" s="4794">
        <f t="shared" si="291"/>
        <v>5.1129188119621851</v>
      </c>
      <c r="BL211" s="4794">
        <f t="shared" si="292"/>
        <v>0</v>
      </c>
      <c r="BM211" s="4794">
        <f t="shared" si="293"/>
        <v>0</v>
      </c>
      <c r="BN211" s="4794">
        <f t="shared" si="294"/>
        <v>0</v>
      </c>
      <c r="BO211" s="4794">
        <f t="shared" si="295"/>
        <v>0</v>
      </c>
      <c r="BP211" s="4794">
        <f t="shared" si="296"/>
        <v>0</v>
      </c>
      <c r="BQ211" s="4794">
        <f t="shared" si="297"/>
        <v>0</v>
      </c>
      <c r="BR211" s="4794">
        <f t="shared" si="298"/>
        <v>0</v>
      </c>
      <c r="BS211" s="4794">
        <f t="shared" si="299"/>
        <v>0</v>
      </c>
      <c r="BT211" s="4794">
        <f t="shared" si="300"/>
        <v>0</v>
      </c>
      <c r="BU211" s="4794">
        <f t="shared" si="301"/>
        <v>0</v>
      </c>
      <c r="BV211" s="4794">
        <f t="shared" si="302"/>
        <v>0</v>
      </c>
      <c r="BW211" s="4794">
        <f t="shared" si="303"/>
        <v>0</v>
      </c>
      <c r="BX211" s="4794">
        <f t="shared" si="304"/>
        <v>0</v>
      </c>
      <c r="BY211" s="4794">
        <f t="shared" si="305"/>
        <v>0</v>
      </c>
    </row>
    <row r="212" spans="1:77" s="1344" customFormat="1">
      <c r="A212" s="2741">
        <v>20</v>
      </c>
      <c r="B212" s="2684" t="s">
        <v>717</v>
      </c>
      <c r="C212" s="2685">
        <v>0.04</v>
      </c>
      <c r="D212" s="2739" t="s">
        <v>434</v>
      </c>
      <c r="E212" s="4738">
        <f>+'11.3. ДА Базова година'!H173</f>
        <v>55</v>
      </c>
      <c r="F212" s="2792">
        <f>E212+SUMIF('11.2. ДА за периода'!$B$111:$B$131,$B212,'11.2. ДА за периода'!F$111:F$131)</f>
        <v>55</v>
      </c>
      <c r="G212" s="1155">
        <f>F212+SUMIF('11.2. ДА за периода'!$B$111:$B$131,$B212,'11.2. ДА за периода'!G$111:G$131)</f>
        <v>55</v>
      </c>
      <c r="H212" s="1155">
        <f>G212+SUMIF('11.2. ДА за периода'!$B$111:$B$131,$B212,'11.2. ДА за периода'!H$111:H$131)</f>
        <v>55</v>
      </c>
      <c r="I212" s="1155">
        <f>H212+SUMIF('11.2. ДА за периода'!$B$111:$B$131,$B212,'11.2. ДА за периода'!I$111:I$131)</f>
        <v>55</v>
      </c>
      <c r="J212" s="1155">
        <f>I212+SUMIF('11.2. ДА за периода'!$B$111:$B$131,$B212,'11.2. ДА за периода'!J$111:J$131)</f>
        <v>55</v>
      </c>
      <c r="K212" s="2793">
        <f>J212+SUMIF('11.2. ДА за периода'!$B$111:$B$131,$B212,'11.2. ДА за периода'!K$111:K$131)</f>
        <v>55</v>
      </c>
      <c r="L212" s="4738">
        <f>+'11.3. ДА Базова година'!L173</f>
        <v>5</v>
      </c>
      <c r="M212" s="2792">
        <f>L212+SUMIF('11.2. ДА за периода'!$B$111:$B$131,$B212,'11.2. ДА за периода'!M$111:M$131)</f>
        <v>5</v>
      </c>
      <c r="N212" s="1155">
        <f>M212+SUMIF('11.2. ДА за периода'!$B$111:$B$131,$B212,'11.2. ДА за периода'!N$111:N$131)</f>
        <v>5</v>
      </c>
      <c r="O212" s="1155">
        <f>N212+SUMIF('11.2. ДА за периода'!$B$111:$B$131,$B212,'11.2. ДА за периода'!O$111:O$131)</f>
        <v>5</v>
      </c>
      <c r="P212" s="1155">
        <f>O212+SUMIF('11.2. ДА за периода'!$B$111:$B$131,$B212,'11.2. ДА за периода'!P$111:P$131)</f>
        <v>5</v>
      </c>
      <c r="Q212" s="1155">
        <f>P212+SUMIF('11.2. ДА за периода'!$B$111:$B$131,$B212,'11.2. ДА за периода'!Q$111:Q$131)</f>
        <v>5</v>
      </c>
      <c r="R212" s="2793">
        <f>Q212+SUMIF('11.2. ДА за периода'!$B$111:$B$131,$B212,'11.2. ДА за периода'!R$111:R$131)</f>
        <v>5</v>
      </c>
      <c r="S212" s="4738">
        <f>+'11.3. ДА Базова година'!P173</f>
        <v>5</v>
      </c>
      <c r="T212" s="2792">
        <f>S212+SUMIF('11.2. ДА за периода'!$B$111:$B$131,$B212,'11.2. ДА за периода'!T$111:T$131)</f>
        <v>5</v>
      </c>
      <c r="U212" s="1155">
        <f>T212+SUMIF('11.2. ДА за периода'!$B$111:$B$131,$B212,'11.2. ДА за периода'!U$111:U$131)</f>
        <v>5</v>
      </c>
      <c r="V212" s="1155">
        <f>U212+SUMIF('11.2. ДА за периода'!$B$111:$B$131,$B212,'11.2. ДА за периода'!V$111:V$131)</f>
        <v>5</v>
      </c>
      <c r="W212" s="1155">
        <f>V212+SUMIF('11.2. ДА за периода'!$B$111:$B$131,$B212,'11.2. ДА за периода'!W$111:W$131)</f>
        <v>5</v>
      </c>
      <c r="X212" s="1155">
        <f>W212+SUMIF('11.2. ДА за периода'!$B$111:$B$131,$B212,'11.2. ДА за периода'!X$111:X$131)</f>
        <v>5</v>
      </c>
      <c r="Y212" s="2793">
        <f>X212+SUMIF('11.2. ДА за периода'!$B$111:$B$131,$B212,'11.2. ДА за периода'!Y$111:Y$131)</f>
        <v>5</v>
      </c>
      <c r="Z212" s="4738">
        <f>+'11.3. ДА Базова година'!T173</f>
        <v>0</v>
      </c>
      <c r="AA212" s="2792">
        <f>Z212+SUMIF('11.2. ДА за периода'!$B$111:$B$131,$B212,'11.2. ДА за периода'!AA$111:AA$131)</f>
        <v>0</v>
      </c>
      <c r="AB212" s="1155">
        <f>AA212+SUMIF('11.2. ДА за периода'!$B$111:$B$131,$B212,'11.2. ДА за периода'!AB$111:AB$131)</f>
        <v>0</v>
      </c>
      <c r="AC212" s="1155">
        <f>AB212+SUMIF('11.2. ДА за периода'!$B$111:$B$131,$B212,'11.2. ДА за периода'!AC$111:AC$131)</f>
        <v>0</v>
      </c>
      <c r="AD212" s="1155">
        <f>AC212+SUMIF('11.2. ДА за периода'!$B$111:$B$131,$B212,'11.2. ДА за периода'!AD$111:AD$131)</f>
        <v>0</v>
      </c>
      <c r="AE212" s="1155">
        <f>AD212+SUMIF('11.2. ДА за периода'!$B$111:$B$131,$B212,'11.2. ДА за периода'!AE$111:AE$131)</f>
        <v>0</v>
      </c>
      <c r="AF212" s="2793">
        <f>AE212+SUMIF('11.2. ДА за периода'!$B$111:$B$131,$B212,'11.2. ДА за периода'!AF$111:AF$131)</f>
        <v>0</v>
      </c>
      <c r="AG212" s="4738">
        <f>+'11.3. ДА Базова година'!X173</f>
        <v>0</v>
      </c>
      <c r="AH212" s="2792">
        <f>AG212+SUMIF('11.2. ДА за периода'!$B$111:$B$131,$B212,'11.2. ДА за периода'!AH$111:AH$131)</f>
        <v>0</v>
      </c>
      <c r="AI212" s="1155">
        <f>AH212+SUMIF('11.2. ДА за периода'!$B$111:$B$131,$B212,'11.2. ДА за периода'!AI$111:AI$131)</f>
        <v>0</v>
      </c>
      <c r="AJ212" s="1155">
        <f>AI212+SUMIF('11.2. ДА за периода'!$B$111:$B$131,$B212,'11.2. ДА за периода'!AJ$111:AJ$131)</f>
        <v>0</v>
      </c>
      <c r="AK212" s="1155">
        <f>AJ212+SUMIF('11.2. ДА за периода'!$B$111:$B$131,$B212,'11.2. ДА за периода'!AK$111:AK$131)</f>
        <v>0</v>
      </c>
      <c r="AL212" s="1155">
        <f>AK212+SUMIF('11.2. ДА за периода'!$B$111:$B$131,$B212,'11.2. ДА за периода'!AL$111:AL$131)</f>
        <v>0</v>
      </c>
      <c r="AM212" s="2793">
        <f>AL212+SUMIF('11.2. ДА за периода'!$B$111:$B$131,$B212,'11.2. ДА за периода'!AM$111:AM$131)</f>
        <v>0</v>
      </c>
      <c r="AN212" s="2681"/>
      <c r="AO212" s="2719"/>
      <c r="AP212" s="4775"/>
      <c r="AQ212" s="4794">
        <f t="shared" si="271"/>
        <v>28.121053465792016</v>
      </c>
      <c r="AR212" s="4794">
        <f t="shared" si="272"/>
        <v>28.121053465792016</v>
      </c>
      <c r="AS212" s="4794">
        <f t="shared" si="273"/>
        <v>28.121053465792016</v>
      </c>
      <c r="AT212" s="4794">
        <f t="shared" si="274"/>
        <v>28.121053465792016</v>
      </c>
      <c r="AU212" s="4794">
        <f t="shared" si="275"/>
        <v>28.121053465792016</v>
      </c>
      <c r="AV212" s="4794">
        <f t="shared" si="276"/>
        <v>28.121053465792016</v>
      </c>
      <c r="AW212" s="4794">
        <f t="shared" si="277"/>
        <v>28.121053465792016</v>
      </c>
      <c r="AX212" s="4794">
        <f t="shared" si="278"/>
        <v>2.5564594059810926</v>
      </c>
      <c r="AY212" s="4794">
        <f t="shared" si="279"/>
        <v>2.5564594059810926</v>
      </c>
      <c r="AZ212" s="4794">
        <f t="shared" si="280"/>
        <v>2.5564594059810926</v>
      </c>
      <c r="BA212" s="4794">
        <f t="shared" si="281"/>
        <v>2.5564594059810926</v>
      </c>
      <c r="BB212" s="4794">
        <f t="shared" si="282"/>
        <v>2.5564594059810926</v>
      </c>
      <c r="BC212" s="4794">
        <f t="shared" si="283"/>
        <v>2.5564594059810926</v>
      </c>
      <c r="BD212" s="4794">
        <f t="shared" si="284"/>
        <v>2.5564594059810926</v>
      </c>
      <c r="BE212" s="4794">
        <f t="shared" si="285"/>
        <v>2.5564594059810926</v>
      </c>
      <c r="BF212" s="4794">
        <f t="shared" si="286"/>
        <v>2.5564594059810926</v>
      </c>
      <c r="BG212" s="4794">
        <f t="shared" si="287"/>
        <v>2.5564594059810926</v>
      </c>
      <c r="BH212" s="4794">
        <f t="shared" si="288"/>
        <v>2.5564594059810926</v>
      </c>
      <c r="BI212" s="4794">
        <f t="shared" si="289"/>
        <v>2.5564594059810926</v>
      </c>
      <c r="BJ212" s="4794">
        <f t="shared" si="290"/>
        <v>2.5564594059810926</v>
      </c>
      <c r="BK212" s="4794">
        <f t="shared" si="291"/>
        <v>2.5564594059810926</v>
      </c>
      <c r="BL212" s="4794">
        <f t="shared" si="292"/>
        <v>0</v>
      </c>
      <c r="BM212" s="4794">
        <f t="shared" si="293"/>
        <v>0</v>
      </c>
      <c r="BN212" s="4794">
        <f t="shared" si="294"/>
        <v>0</v>
      </c>
      <c r="BO212" s="4794">
        <f t="shared" si="295"/>
        <v>0</v>
      </c>
      <c r="BP212" s="4794">
        <f t="shared" si="296"/>
        <v>0</v>
      </c>
      <c r="BQ212" s="4794">
        <f t="shared" si="297"/>
        <v>0</v>
      </c>
      <c r="BR212" s="4794">
        <f t="shared" si="298"/>
        <v>0</v>
      </c>
      <c r="BS212" s="4794">
        <f t="shared" si="299"/>
        <v>0</v>
      </c>
      <c r="BT212" s="4794">
        <f t="shared" si="300"/>
        <v>0</v>
      </c>
      <c r="BU212" s="4794">
        <f t="shared" si="301"/>
        <v>0</v>
      </c>
      <c r="BV212" s="4794">
        <f t="shared" si="302"/>
        <v>0</v>
      </c>
      <c r="BW212" s="4794">
        <f t="shared" si="303"/>
        <v>0</v>
      </c>
      <c r="BX212" s="4794">
        <f t="shared" si="304"/>
        <v>0</v>
      </c>
      <c r="BY212" s="4794">
        <f t="shared" si="305"/>
        <v>0</v>
      </c>
    </row>
    <row r="213" spans="1:77" s="1344" customFormat="1" ht="24.75" thickBot="1">
      <c r="A213" s="2741">
        <v>21</v>
      </c>
      <c r="B213" s="2684" t="s">
        <v>707</v>
      </c>
      <c r="C213" s="2690">
        <v>0.2</v>
      </c>
      <c r="D213" s="2720" t="s">
        <v>679</v>
      </c>
      <c r="E213" s="4738">
        <f>+'11.3. ДА Базова година'!H174</f>
        <v>0</v>
      </c>
      <c r="F213" s="2809">
        <f>E213+SUMIF('11.2. ДА за периода'!$B$111:$B$131,$B213,'11.2. ДА за периода'!F$111:F$131)</f>
        <v>0</v>
      </c>
      <c r="G213" s="1157">
        <f>F213+SUMIF('11.2. ДА за периода'!$B$111:$B$131,$B213,'11.2. ДА за периода'!G$111:G$131)</f>
        <v>0</v>
      </c>
      <c r="H213" s="1157">
        <f>G213+SUMIF('11.2. ДА за периода'!$B$111:$B$131,$B213,'11.2. ДА за периода'!H$111:H$131)</f>
        <v>0</v>
      </c>
      <c r="I213" s="1157">
        <f>H213+SUMIF('11.2. ДА за периода'!$B$111:$B$131,$B213,'11.2. ДА за периода'!I$111:I$131)</f>
        <v>0</v>
      </c>
      <c r="J213" s="1157">
        <f>I213+SUMIF('11.2. ДА за периода'!$B$111:$B$131,$B213,'11.2. ДА за периода'!J$111:J$131)</f>
        <v>0</v>
      </c>
      <c r="K213" s="2810">
        <f>J213+SUMIF('11.2. ДА за периода'!$B$111:$B$131,$B213,'11.2. ДА за периода'!K$111:K$131)</f>
        <v>0</v>
      </c>
      <c r="L213" s="4738">
        <f>+'11.3. ДА Базова година'!L174</f>
        <v>0</v>
      </c>
      <c r="M213" s="2809">
        <f>L213+SUMIF('11.2. ДА за периода'!$B$111:$B$131,$B213,'11.2. ДА за периода'!M$111:M$131)</f>
        <v>0</v>
      </c>
      <c r="N213" s="1157">
        <f>M213+SUMIF('11.2. ДА за периода'!$B$111:$B$131,$B213,'11.2. ДА за периода'!N$111:N$131)</f>
        <v>0</v>
      </c>
      <c r="O213" s="1157">
        <f>N213+SUMIF('11.2. ДА за периода'!$B$111:$B$131,$B213,'11.2. ДА за периода'!O$111:O$131)</f>
        <v>0</v>
      </c>
      <c r="P213" s="1157">
        <f>O213+SUMIF('11.2. ДА за периода'!$B$111:$B$131,$B213,'11.2. ДА за периода'!P$111:P$131)</f>
        <v>0</v>
      </c>
      <c r="Q213" s="1157">
        <f>P213+SUMIF('11.2. ДА за периода'!$B$111:$B$131,$B213,'11.2. ДА за периода'!Q$111:Q$131)</f>
        <v>0</v>
      </c>
      <c r="R213" s="2810">
        <f>Q213+SUMIF('11.2. ДА за периода'!$B$111:$B$131,$B213,'11.2. ДА за периода'!R$111:R$131)</f>
        <v>0</v>
      </c>
      <c r="S213" s="4738">
        <f>+'11.3. ДА Базова година'!P174</f>
        <v>2842</v>
      </c>
      <c r="T213" s="2809">
        <f>S213+SUMIF('11.2. ДА за периода'!$B$111:$B$131,$B213,'11.2. ДА за периода'!T$111:T$131)</f>
        <v>2842</v>
      </c>
      <c r="U213" s="1157">
        <f>T213+SUMIF('11.2. ДА за периода'!$B$111:$B$131,$B213,'11.2. ДА за периода'!U$111:U$131)</f>
        <v>2842</v>
      </c>
      <c r="V213" s="1157">
        <f>U213+SUMIF('11.2. ДА за периода'!$B$111:$B$131,$B213,'11.2. ДА за периода'!V$111:V$131)</f>
        <v>2842</v>
      </c>
      <c r="W213" s="1157">
        <f>V213+SUMIF('11.2. ДА за периода'!$B$111:$B$131,$B213,'11.2. ДА за периода'!W$111:W$131)</f>
        <v>2842</v>
      </c>
      <c r="X213" s="1157">
        <f>W213+SUMIF('11.2. ДА за периода'!$B$111:$B$131,$B213,'11.2. ДА за периода'!X$111:X$131)</f>
        <v>2842</v>
      </c>
      <c r="Y213" s="2810">
        <f>X213+SUMIF('11.2. ДА за периода'!$B$111:$B$131,$B213,'11.2. ДА за периода'!Y$111:Y$131)</f>
        <v>2842</v>
      </c>
      <c r="Z213" s="4738">
        <f>+'11.3. ДА Базова година'!T174</f>
        <v>0</v>
      </c>
      <c r="AA213" s="2809">
        <f>Z213+SUMIF('11.2. ДА за периода'!$B$111:$B$131,$B213,'11.2. ДА за периода'!AA$111:AA$131)</f>
        <v>0</v>
      </c>
      <c r="AB213" s="1157">
        <f>AA213+SUMIF('11.2. ДА за периода'!$B$111:$B$131,$B213,'11.2. ДА за периода'!AB$111:AB$131)</f>
        <v>0</v>
      </c>
      <c r="AC213" s="1157">
        <f>AB213+SUMIF('11.2. ДА за периода'!$B$111:$B$131,$B213,'11.2. ДА за периода'!AC$111:AC$131)</f>
        <v>0</v>
      </c>
      <c r="AD213" s="1157">
        <f>AC213+SUMIF('11.2. ДА за периода'!$B$111:$B$131,$B213,'11.2. ДА за периода'!AD$111:AD$131)</f>
        <v>0</v>
      </c>
      <c r="AE213" s="1157">
        <f>AD213+SUMIF('11.2. ДА за периода'!$B$111:$B$131,$B213,'11.2. ДА за периода'!AE$111:AE$131)</f>
        <v>0</v>
      </c>
      <c r="AF213" s="2810">
        <f>AE213+SUMIF('11.2. ДА за периода'!$B$111:$B$131,$B213,'11.2. ДА за периода'!AF$111:AF$131)</f>
        <v>0</v>
      </c>
      <c r="AG213" s="4738">
        <f>+'11.3. ДА Базова година'!X174</f>
        <v>0</v>
      </c>
      <c r="AH213" s="2809">
        <f>AG213+SUMIF('11.2. ДА за периода'!$B$111:$B$131,$B213,'11.2. ДА за периода'!AH$111:AH$131)</f>
        <v>0</v>
      </c>
      <c r="AI213" s="1157">
        <f>AH213+SUMIF('11.2. ДА за периода'!$B$111:$B$131,$B213,'11.2. ДА за периода'!AI$111:AI$131)</f>
        <v>0</v>
      </c>
      <c r="AJ213" s="1157">
        <f>AI213+SUMIF('11.2. ДА за периода'!$B$111:$B$131,$B213,'11.2. ДА за периода'!AJ$111:AJ$131)</f>
        <v>0</v>
      </c>
      <c r="AK213" s="1157">
        <f>AJ213+SUMIF('11.2. ДА за периода'!$B$111:$B$131,$B213,'11.2. ДА за периода'!AK$111:AK$131)</f>
        <v>0</v>
      </c>
      <c r="AL213" s="1157">
        <f>AK213+SUMIF('11.2. ДА за периода'!$B$111:$B$131,$B213,'11.2. ДА за периода'!AL$111:AL$131)</f>
        <v>0</v>
      </c>
      <c r="AM213" s="2810">
        <f>AL213+SUMIF('11.2. ДА за периода'!$B$111:$B$131,$B213,'11.2. ДА за периода'!AM$111:AM$131)</f>
        <v>0</v>
      </c>
      <c r="AN213" s="2681"/>
      <c r="AO213" s="2719"/>
      <c r="AP213" s="4775"/>
      <c r="AQ213" s="4794">
        <f t="shared" si="271"/>
        <v>0</v>
      </c>
      <c r="AR213" s="4794">
        <f t="shared" si="272"/>
        <v>0</v>
      </c>
      <c r="AS213" s="4794">
        <f t="shared" si="273"/>
        <v>0</v>
      </c>
      <c r="AT213" s="4794">
        <f t="shared" si="274"/>
        <v>0</v>
      </c>
      <c r="AU213" s="4794">
        <f t="shared" si="275"/>
        <v>0</v>
      </c>
      <c r="AV213" s="4794">
        <f t="shared" si="276"/>
        <v>0</v>
      </c>
      <c r="AW213" s="4794">
        <f t="shared" si="277"/>
        <v>0</v>
      </c>
      <c r="AX213" s="4794">
        <f t="shared" si="278"/>
        <v>0</v>
      </c>
      <c r="AY213" s="4794">
        <f t="shared" si="279"/>
        <v>0</v>
      </c>
      <c r="AZ213" s="4794">
        <f t="shared" si="280"/>
        <v>0</v>
      </c>
      <c r="BA213" s="4794">
        <f t="shared" si="281"/>
        <v>0</v>
      </c>
      <c r="BB213" s="4794">
        <f t="shared" si="282"/>
        <v>0</v>
      </c>
      <c r="BC213" s="4794">
        <f t="shared" si="283"/>
        <v>0</v>
      </c>
      <c r="BD213" s="4794">
        <f t="shared" si="284"/>
        <v>0</v>
      </c>
      <c r="BE213" s="4794">
        <f t="shared" si="285"/>
        <v>1453.091526359653</v>
      </c>
      <c r="BF213" s="4794">
        <f t="shared" si="286"/>
        <v>1453.091526359653</v>
      </c>
      <c r="BG213" s="4794">
        <f t="shared" si="287"/>
        <v>1453.091526359653</v>
      </c>
      <c r="BH213" s="4794">
        <f t="shared" si="288"/>
        <v>1453.091526359653</v>
      </c>
      <c r="BI213" s="4794">
        <f t="shared" si="289"/>
        <v>1453.091526359653</v>
      </c>
      <c r="BJ213" s="4794">
        <f t="shared" si="290"/>
        <v>1453.091526359653</v>
      </c>
      <c r="BK213" s="4794">
        <f t="shared" si="291"/>
        <v>1453.091526359653</v>
      </c>
      <c r="BL213" s="4794">
        <f t="shared" si="292"/>
        <v>0</v>
      </c>
      <c r="BM213" s="4794">
        <f t="shared" si="293"/>
        <v>0</v>
      </c>
      <c r="BN213" s="4794">
        <f t="shared" si="294"/>
        <v>0</v>
      </c>
      <c r="BO213" s="4794">
        <f t="shared" si="295"/>
        <v>0</v>
      </c>
      <c r="BP213" s="4794">
        <f t="shared" si="296"/>
        <v>0</v>
      </c>
      <c r="BQ213" s="4794">
        <f t="shared" si="297"/>
        <v>0</v>
      </c>
      <c r="BR213" s="4794">
        <f t="shared" si="298"/>
        <v>0</v>
      </c>
      <c r="BS213" s="4794">
        <f t="shared" si="299"/>
        <v>0</v>
      </c>
      <c r="BT213" s="4794">
        <f t="shared" si="300"/>
        <v>0</v>
      </c>
      <c r="BU213" s="4794">
        <f t="shared" si="301"/>
        <v>0</v>
      </c>
      <c r="BV213" s="4794">
        <f t="shared" si="302"/>
        <v>0</v>
      </c>
      <c r="BW213" s="4794">
        <f t="shared" si="303"/>
        <v>0</v>
      </c>
      <c r="BX213" s="4794">
        <f t="shared" si="304"/>
        <v>0</v>
      </c>
      <c r="BY213" s="4794">
        <f t="shared" si="305"/>
        <v>0</v>
      </c>
    </row>
    <row r="214" spans="1:77" s="1344" customFormat="1" ht="13.5" thickBot="1">
      <c r="A214" s="3951" t="s">
        <v>206</v>
      </c>
      <c r="B214" s="2707"/>
      <c r="C214" s="2707"/>
      <c r="D214" s="2670" t="s">
        <v>218</v>
      </c>
      <c r="E214" s="1265">
        <f t="shared" ref="E214" si="306">SUM(E215:E235)</f>
        <v>2056</v>
      </c>
      <c r="F214" s="2807">
        <f t="shared" ref="F214:AM214" si="307">SUM(F215:F235)</f>
        <v>2056</v>
      </c>
      <c r="G214" s="1166">
        <f t="shared" si="307"/>
        <v>2056</v>
      </c>
      <c r="H214" s="1166">
        <f t="shared" si="307"/>
        <v>2056</v>
      </c>
      <c r="I214" s="1167">
        <f t="shared" si="307"/>
        <v>2056</v>
      </c>
      <c r="J214" s="1166">
        <f t="shared" si="307"/>
        <v>2056</v>
      </c>
      <c r="K214" s="1166">
        <f t="shared" si="307"/>
        <v>2056</v>
      </c>
      <c r="L214" s="1265">
        <f t="shared" si="307"/>
        <v>1628</v>
      </c>
      <c r="M214" s="2807">
        <f t="shared" si="307"/>
        <v>1628</v>
      </c>
      <c r="N214" s="1166">
        <f t="shared" si="307"/>
        <v>1628</v>
      </c>
      <c r="O214" s="1166">
        <f t="shared" si="307"/>
        <v>1628</v>
      </c>
      <c r="P214" s="1167">
        <f t="shared" si="307"/>
        <v>1628</v>
      </c>
      <c r="Q214" s="1166">
        <f t="shared" si="307"/>
        <v>1628</v>
      </c>
      <c r="R214" s="1166">
        <f t="shared" si="307"/>
        <v>1628</v>
      </c>
      <c r="S214" s="1265">
        <f t="shared" si="307"/>
        <v>1440</v>
      </c>
      <c r="T214" s="2807">
        <f t="shared" si="307"/>
        <v>1440</v>
      </c>
      <c r="U214" s="1166">
        <f t="shared" si="307"/>
        <v>1440</v>
      </c>
      <c r="V214" s="1166">
        <f t="shared" si="307"/>
        <v>1440</v>
      </c>
      <c r="W214" s="1167">
        <f t="shared" si="307"/>
        <v>1440</v>
      </c>
      <c r="X214" s="1166">
        <f t="shared" si="307"/>
        <v>1440</v>
      </c>
      <c r="Y214" s="2808">
        <f t="shared" si="307"/>
        <v>1440</v>
      </c>
      <c r="Z214" s="1265">
        <f t="shared" si="307"/>
        <v>0</v>
      </c>
      <c r="AA214" s="2807">
        <f t="shared" si="307"/>
        <v>0</v>
      </c>
      <c r="AB214" s="1166">
        <f t="shared" si="307"/>
        <v>0</v>
      </c>
      <c r="AC214" s="1166">
        <f t="shared" si="307"/>
        <v>0</v>
      </c>
      <c r="AD214" s="1167">
        <f t="shared" si="307"/>
        <v>0</v>
      </c>
      <c r="AE214" s="1166">
        <f t="shared" si="307"/>
        <v>0</v>
      </c>
      <c r="AF214" s="2808">
        <f t="shared" si="307"/>
        <v>0</v>
      </c>
      <c r="AG214" s="1265">
        <f t="shared" si="307"/>
        <v>0</v>
      </c>
      <c r="AH214" s="2807">
        <f t="shared" si="307"/>
        <v>0</v>
      </c>
      <c r="AI214" s="1166">
        <f t="shared" si="307"/>
        <v>0</v>
      </c>
      <c r="AJ214" s="1166">
        <f t="shared" si="307"/>
        <v>0</v>
      </c>
      <c r="AK214" s="1167">
        <f t="shared" si="307"/>
        <v>0</v>
      </c>
      <c r="AL214" s="1166">
        <f t="shared" si="307"/>
        <v>0</v>
      </c>
      <c r="AM214" s="2808">
        <f t="shared" si="307"/>
        <v>0</v>
      </c>
      <c r="AN214" s="2692"/>
      <c r="AO214" s="2719"/>
      <c r="AP214" s="4775"/>
      <c r="AQ214" s="4794">
        <f t="shared" si="271"/>
        <v>1051.2161077394253</v>
      </c>
      <c r="AR214" s="4794">
        <f t="shared" si="272"/>
        <v>1051.2161077394253</v>
      </c>
      <c r="AS214" s="4794">
        <f t="shared" si="273"/>
        <v>1051.2161077394253</v>
      </c>
      <c r="AT214" s="4794">
        <f t="shared" si="274"/>
        <v>1051.2161077394253</v>
      </c>
      <c r="AU214" s="4794">
        <f t="shared" si="275"/>
        <v>1051.2161077394253</v>
      </c>
      <c r="AV214" s="4794">
        <f t="shared" si="276"/>
        <v>1051.2161077394253</v>
      </c>
      <c r="AW214" s="4794">
        <f t="shared" si="277"/>
        <v>1051.2161077394253</v>
      </c>
      <c r="AX214" s="4794">
        <f t="shared" si="278"/>
        <v>832.38318258744368</v>
      </c>
      <c r="AY214" s="4794">
        <f t="shared" si="279"/>
        <v>832.38318258744368</v>
      </c>
      <c r="AZ214" s="4794">
        <f t="shared" si="280"/>
        <v>832.38318258744368</v>
      </c>
      <c r="BA214" s="4794">
        <f t="shared" si="281"/>
        <v>832.38318258744368</v>
      </c>
      <c r="BB214" s="4794">
        <f t="shared" si="282"/>
        <v>832.38318258744368</v>
      </c>
      <c r="BC214" s="4794">
        <f t="shared" si="283"/>
        <v>832.38318258744368</v>
      </c>
      <c r="BD214" s="4794">
        <f t="shared" si="284"/>
        <v>832.38318258744368</v>
      </c>
      <c r="BE214" s="4794">
        <f t="shared" si="285"/>
        <v>736.2603089225546</v>
      </c>
      <c r="BF214" s="4794">
        <f t="shared" si="286"/>
        <v>736.2603089225546</v>
      </c>
      <c r="BG214" s="4794">
        <f t="shared" si="287"/>
        <v>736.2603089225546</v>
      </c>
      <c r="BH214" s="4794">
        <f t="shared" si="288"/>
        <v>736.2603089225546</v>
      </c>
      <c r="BI214" s="4794">
        <f t="shared" si="289"/>
        <v>736.2603089225546</v>
      </c>
      <c r="BJ214" s="4794">
        <f t="shared" si="290"/>
        <v>736.2603089225546</v>
      </c>
      <c r="BK214" s="4794">
        <f t="shared" si="291"/>
        <v>736.2603089225546</v>
      </c>
      <c r="BL214" s="4794">
        <f t="shared" si="292"/>
        <v>0</v>
      </c>
      <c r="BM214" s="4794">
        <f t="shared" si="293"/>
        <v>0</v>
      </c>
      <c r="BN214" s="4794">
        <f t="shared" si="294"/>
        <v>0</v>
      </c>
      <c r="BO214" s="4794">
        <f t="shared" si="295"/>
        <v>0</v>
      </c>
      <c r="BP214" s="4794">
        <f t="shared" si="296"/>
        <v>0</v>
      </c>
      <c r="BQ214" s="4794">
        <f t="shared" si="297"/>
        <v>0</v>
      </c>
      <c r="BR214" s="4794">
        <f t="shared" si="298"/>
        <v>0</v>
      </c>
      <c r="BS214" s="4794">
        <f t="shared" si="299"/>
        <v>0</v>
      </c>
      <c r="BT214" s="4794">
        <f t="shared" si="300"/>
        <v>0</v>
      </c>
      <c r="BU214" s="4794">
        <f t="shared" si="301"/>
        <v>0</v>
      </c>
      <c r="BV214" s="4794">
        <f t="shared" si="302"/>
        <v>0</v>
      </c>
      <c r="BW214" s="4794">
        <f t="shared" si="303"/>
        <v>0</v>
      </c>
      <c r="BX214" s="4794">
        <f t="shared" si="304"/>
        <v>0</v>
      </c>
      <c r="BY214" s="4794">
        <f t="shared" si="305"/>
        <v>0</v>
      </c>
    </row>
    <row r="215" spans="1:77" s="1344" customFormat="1">
      <c r="A215" s="2683">
        <v>1</v>
      </c>
      <c r="B215" s="2744" t="s">
        <v>696</v>
      </c>
      <c r="C215" s="2701">
        <v>0</v>
      </c>
      <c r="D215" s="2745" t="s">
        <v>558</v>
      </c>
      <c r="E215" s="4738">
        <f>+'11.3. ДА Базова година'!F176</f>
        <v>0</v>
      </c>
      <c r="F215" s="2789">
        <f>$E215-SUMIF('11.2. ДА за периода'!$B$155:$B$175,$B215,'11.2. ДА за периода'!$E$155:$E$175)+SUMIF('11.2. ДА за периода'!$B$155:$B$175,$B215,'11.2. ДА за периода'!F$155:F$175)</f>
        <v>0</v>
      </c>
      <c r="G215" s="1164">
        <f>$E215-SUMIF('11.2. ДА за периода'!$B$155:$B$175,$B215,'11.2. ДА за периода'!$E$155:$E$175)+SUMIF('11.2. ДА за периода'!$B$155:$B$175,$B215,'11.2. ДА за периода'!G$155:G$175)</f>
        <v>0</v>
      </c>
      <c r="H215" s="1164">
        <f>$E215-SUMIF('11.2. ДА за периода'!$B$155:$B$175,$B215,'11.2. ДА за периода'!$E$155:$E$175)+SUMIF('11.2. ДА за периода'!$B$155:$B$175,$B215,'11.2. ДА за периода'!H$155:H$175)</f>
        <v>0</v>
      </c>
      <c r="I215" s="1164">
        <f>$E215-SUMIF('11.2. ДА за периода'!$B$155:$B$175,$B215,'11.2. ДА за периода'!$E$155:$E$175)+SUMIF('11.2. ДА за периода'!$B$155:$B$175,$B215,'11.2. ДА за периода'!I$155:I$175)</f>
        <v>0</v>
      </c>
      <c r="J215" s="1164">
        <f>$E215-SUMIF('11.2. ДА за периода'!$B$155:$B$175,$B215,'11.2. ДА за периода'!$E$155:$E$175)+SUMIF('11.2. ДА за периода'!$B$155:$B$175,$B215,'11.2. ДА за периода'!J$155:J$175)</f>
        <v>0</v>
      </c>
      <c r="K215" s="2790">
        <f>$E215-SUMIF('11.2. ДА за периода'!$B$155:$B$175,$B215,'11.2. ДА за периода'!$E$155:$E$175)+SUMIF('11.2. ДА за периода'!$B$155:$B$175,$B215,'11.2. ДА за периода'!K$155:K$175)</f>
        <v>0</v>
      </c>
      <c r="L215" s="4738">
        <f>+'11.3. ДА Базова година'!J176</f>
        <v>0</v>
      </c>
      <c r="M215" s="2789">
        <f>$L215-SUMIF('11.2. ДА за периода'!$B$155:$B$175,$B215,'11.2. ДА за периода'!$L$155:$L$175)+SUMIF('11.2. ДА за периода'!$B$155:$B$175,$B215,'11.2. ДА за периода'!M$155:M$175)</f>
        <v>0</v>
      </c>
      <c r="N215" s="1164">
        <f>$L215-SUMIF('11.2. ДА за периода'!$B$155:$B$175,$B215,'11.2. ДА за периода'!$L$155:$L$175)+SUMIF('11.2. ДА за периода'!$B$155:$B$175,$B215,'11.2. ДА за периода'!N$155:N$175)</f>
        <v>0</v>
      </c>
      <c r="O215" s="1164">
        <f>$L215-SUMIF('11.2. ДА за периода'!$B$155:$B$175,$B215,'11.2. ДА за периода'!$L$155:$L$175)+SUMIF('11.2. ДА за периода'!$B$155:$B$175,$B215,'11.2. ДА за периода'!O$155:O$175)</f>
        <v>0</v>
      </c>
      <c r="P215" s="1164">
        <f>$L215-SUMIF('11.2. ДА за периода'!$B$155:$B$175,$B215,'11.2. ДА за периода'!$L$155:$L$175)+SUMIF('11.2. ДА за периода'!$B$155:$B$175,$B215,'11.2. ДА за периода'!P$155:P$175)</f>
        <v>0</v>
      </c>
      <c r="Q215" s="1164">
        <f>$L215-SUMIF('11.2. ДА за периода'!$B$155:$B$175,$B215,'11.2. ДА за периода'!$L$155:$L$175)+SUMIF('11.2. ДА за периода'!$B$155:$B$175,$B215,'11.2. ДА за периода'!Q$155:Q$175)</f>
        <v>0</v>
      </c>
      <c r="R215" s="2790">
        <f>$L215-SUMIF('11.2. ДА за периода'!$B$155:$B$175,$B215,'11.2. ДА за периода'!$L$155:$L$175)+SUMIF('11.2. ДА за периода'!$B$155:$B$175,$B215,'11.2. ДА за периода'!R$155:R$175)</f>
        <v>0</v>
      </c>
      <c r="S215" s="4738">
        <f>+'11.3. ДА Базова година'!N176</f>
        <v>0</v>
      </c>
      <c r="T215" s="2789">
        <f>$S215-SUMIF('11.2. ДА за периода'!$B$155:$B$175,$B215,'11.2. ДА за периода'!$S$155:$S$175)+SUMIF('11.2. ДА за периода'!$B$155:$B$175,$B215,'11.2. ДА за периода'!T$155:T$175)</f>
        <v>0</v>
      </c>
      <c r="U215" s="1164">
        <f>$S215-SUMIF('11.2. ДА за периода'!$B$155:$B$175,$B215,'11.2. ДА за периода'!$S$155:$S$175)+SUMIF('11.2. ДА за периода'!$B$155:$B$175,$B215,'11.2. ДА за периода'!U$155:U$175)</f>
        <v>0</v>
      </c>
      <c r="V215" s="1164">
        <f>$S215-SUMIF('11.2. ДА за периода'!$B$155:$B$175,$B215,'11.2. ДА за периода'!$S$155:$S$175)+SUMIF('11.2. ДА за периода'!$B$155:$B$175,$B215,'11.2. ДА за периода'!V$155:V$175)</f>
        <v>0</v>
      </c>
      <c r="W215" s="1164">
        <f>$S215-SUMIF('11.2. ДА за периода'!$B$155:$B$175,$B215,'11.2. ДА за периода'!$S$155:$S$175)+SUMIF('11.2. ДА за периода'!$B$155:$B$175,$B215,'11.2. ДА за периода'!W$155:W$175)</f>
        <v>0</v>
      </c>
      <c r="X215" s="1164">
        <f>$S215-SUMIF('11.2. ДА за периода'!$B$155:$B$175,$B215,'11.2. ДА за периода'!$S$155:$S$175)+SUMIF('11.2. ДА за периода'!$B$155:$B$175,$B215,'11.2. ДА за периода'!X$155:X$175)</f>
        <v>0</v>
      </c>
      <c r="Y215" s="2790">
        <f>$S215-SUMIF('11.2. ДА за периода'!$B$155:$B$175,$B215,'11.2. ДА за периода'!$S$155:$S$175)+SUMIF('11.2. ДА за периода'!$B$155:$B$175,$B215,'11.2. ДА за периода'!Y$155:Y$175)</f>
        <v>0</v>
      </c>
      <c r="Z215" s="4738">
        <f>+'11.3. ДА Базова година'!R176</f>
        <v>0</v>
      </c>
      <c r="AA215" s="2789">
        <f>$Z215-SUMIF('11.2. ДА за периода'!$B$155:$B$175,$B215,'11.2. ДА за периода'!$Z$155:$Z$175)+SUMIF('11.2. ДА за периода'!$B$155:$B$175,$B215,'11.2. ДА за периода'!AA$155:AA$175)</f>
        <v>0</v>
      </c>
      <c r="AB215" s="1164">
        <f>$Z215-SUMIF('11.2. ДА за периода'!$B$155:$B$175,$B215,'11.2. ДА за периода'!$Z$155:$Z$175)+SUMIF('11.2. ДА за периода'!$B$155:$B$175,$B215,'11.2. ДА за периода'!AB$155:AB$175)</f>
        <v>0</v>
      </c>
      <c r="AC215" s="1164">
        <f>$Z215-SUMIF('11.2. ДА за периода'!$B$155:$B$175,$B215,'11.2. ДА за периода'!$Z$155:$Z$175)+SUMIF('11.2. ДА за периода'!$B$155:$B$175,$B215,'11.2. ДА за периода'!AC$155:AC$175)</f>
        <v>0</v>
      </c>
      <c r="AD215" s="1164">
        <f>$Z215-SUMIF('11.2. ДА за периода'!$B$155:$B$175,$B215,'11.2. ДА за периода'!$Z$155:$Z$175)+SUMIF('11.2. ДА за периода'!$B$155:$B$175,$B215,'11.2. ДА за периода'!AD$155:AD$175)</f>
        <v>0</v>
      </c>
      <c r="AE215" s="1164">
        <f>$Z215-SUMIF('11.2. ДА за периода'!$B$155:$B$175,$B215,'11.2. ДА за периода'!$Z$155:$Z$175)+SUMIF('11.2. ДА за периода'!$B$155:$B$175,$B215,'11.2. ДА за периода'!AE$155:AE$175)</f>
        <v>0</v>
      </c>
      <c r="AF215" s="2790">
        <f>$Z215-SUMIF('11.2. ДА за периода'!$B$155:$B$175,$B215,'11.2. ДА за периода'!$Z$155:$Z$175)+SUMIF('11.2. ДА за периода'!$B$155:$B$175,$B215,'11.2. ДА за периода'!AF$155:AF$175)</f>
        <v>0</v>
      </c>
      <c r="AG215" s="4738">
        <f>+'11.3. ДА Базова година'!V176</f>
        <v>0</v>
      </c>
      <c r="AH215" s="2789">
        <f>$AG215-SUMIF('11.2. ДА за периода'!$B$155:$B$175,$B215,'11.2. ДА за периода'!$AG$155:$AG$175)+SUMIF('11.2. ДА за периода'!$B$155:$B$175,$B215,'11.2. ДА за периода'!AH$155:AH$175)</f>
        <v>0</v>
      </c>
      <c r="AI215" s="1164">
        <f>$AG215-SUMIF('11.2. ДА за периода'!$B$155:$B$175,$B215,'11.2. ДА за периода'!$AG$155:$AG$175)+SUMIF('11.2. ДА за периода'!$B$155:$B$175,$B215,'11.2. ДА за периода'!AI$155:AI$175)</f>
        <v>0</v>
      </c>
      <c r="AJ215" s="1164">
        <f>$AG215-SUMIF('11.2. ДА за периода'!$B$155:$B$175,$B215,'11.2. ДА за периода'!$AG$155:$AG$175)+SUMIF('11.2. ДА за периода'!$B$155:$B$175,$B215,'11.2. ДА за периода'!AJ$155:AJ$175)</f>
        <v>0</v>
      </c>
      <c r="AK215" s="1164">
        <f>$AG215-SUMIF('11.2. ДА за периода'!$B$155:$B$175,$B215,'11.2. ДА за периода'!$AG$155:$AG$175)+SUMIF('11.2. ДА за периода'!$B$155:$B$175,$B215,'11.2. ДА за периода'!AK$155:AK$175)</f>
        <v>0</v>
      </c>
      <c r="AL215" s="1164">
        <f>$AG215-SUMIF('11.2. ДА за периода'!$B$155:$B$175,$B215,'11.2. ДА за периода'!$AG$155:$AG$175)+SUMIF('11.2. ДА за периода'!$B$155:$B$175,$B215,'11.2. ДА за периода'!AL$155:AL$175)</f>
        <v>0</v>
      </c>
      <c r="AM215" s="2790">
        <f>$AG215-SUMIF('11.2. ДА за периода'!$B$155:$B$175,$B215,'11.2. ДА за периода'!$AG$155:$AG$175)+SUMIF('11.2. ДА за периода'!$B$155:$B$175,$B215,'11.2. ДА за периода'!AM$155:AM$175)</f>
        <v>0</v>
      </c>
      <c r="AN215" s="2692"/>
      <c r="AO215" s="2719"/>
      <c r="AP215" s="4775"/>
      <c r="AQ215" s="4794">
        <f t="shared" si="271"/>
        <v>0</v>
      </c>
      <c r="AR215" s="4794">
        <f t="shared" si="272"/>
        <v>0</v>
      </c>
      <c r="AS215" s="4794">
        <f t="shared" si="273"/>
        <v>0</v>
      </c>
      <c r="AT215" s="4794">
        <f t="shared" si="274"/>
        <v>0</v>
      </c>
      <c r="AU215" s="4794">
        <f t="shared" si="275"/>
        <v>0</v>
      </c>
      <c r="AV215" s="4794">
        <f t="shared" si="276"/>
        <v>0</v>
      </c>
      <c r="AW215" s="4794">
        <f t="shared" si="277"/>
        <v>0</v>
      </c>
      <c r="AX215" s="4794">
        <f t="shared" si="278"/>
        <v>0</v>
      </c>
      <c r="AY215" s="4794">
        <f t="shared" si="279"/>
        <v>0</v>
      </c>
      <c r="AZ215" s="4794">
        <f t="shared" si="280"/>
        <v>0</v>
      </c>
      <c r="BA215" s="4794">
        <f t="shared" si="281"/>
        <v>0</v>
      </c>
      <c r="BB215" s="4794">
        <f t="shared" si="282"/>
        <v>0</v>
      </c>
      <c r="BC215" s="4794">
        <f t="shared" si="283"/>
        <v>0</v>
      </c>
      <c r="BD215" s="4794">
        <f t="shared" si="284"/>
        <v>0</v>
      </c>
      <c r="BE215" s="4794">
        <f t="shared" si="285"/>
        <v>0</v>
      </c>
      <c r="BF215" s="4794">
        <f t="shared" si="286"/>
        <v>0</v>
      </c>
      <c r="BG215" s="4794">
        <f t="shared" si="287"/>
        <v>0</v>
      </c>
      <c r="BH215" s="4794">
        <f t="shared" si="288"/>
        <v>0</v>
      </c>
      <c r="BI215" s="4794">
        <f t="shared" si="289"/>
        <v>0</v>
      </c>
      <c r="BJ215" s="4794">
        <f t="shared" si="290"/>
        <v>0</v>
      </c>
      <c r="BK215" s="4794">
        <f t="shared" si="291"/>
        <v>0</v>
      </c>
      <c r="BL215" s="4794">
        <f t="shared" si="292"/>
        <v>0</v>
      </c>
      <c r="BM215" s="4794">
        <f t="shared" si="293"/>
        <v>0</v>
      </c>
      <c r="BN215" s="4794">
        <f t="shared" si="294"/>
        <v>0</v>
      </c>
      <c r="BO215" s="4794">
        <f t="shared" si="295"/>
        <v>0</v>
      </c>
      <c r="BP215" s="4794">
        <f t="shared" si="296"/>
        <v>0</v>
      </c>
      <c r="BQ215" s="4794">
        <f t="shared" si="297"/>
        <v>0</v>
      </c>
      <c r="BR215" s="4794">
        <f t="shared" si="298"/>
        <v>0</v>
      </c>
      <c r="BS215" s="4794">
        <f t="shared" si="299"/>
        <v>0</v>
      </c>
      <c r="BT215" s="4794">
        <f t="shared" si="300"/>
        <v>0</v>
      </c>
      <c r="BU215" s="4794">
        <f t="shared" si="301"/>
        <v>0</v>
      </c>
      <c r="BV215" s="4794">
        <f t="shared" si="302"/>
        <v>0</v>
      </c>
      <c r="BW215" s="4794">
        <f t="shared" si="303"/>
        <v>0</v>
      </c>
      <c r="BX215" s="4794">
        <f t="shared" si="304"/>
        <v>0</v>
      </c>
      <c r="BY215" s="4794">
        <f t="shared" si="305"/>
        <v>0</v>
      </c>
    </row>
    <row r="216" spans="1:77" s="1344" customFormat="1">
      <c r="A216" s="2683">
        <v>2</v>
      </c>
      <c r="B216" s="2684" t="s">
        <v>697</v>
      </c>
      <c r="C216" s="2685">
        <v>0.03</v>
      </c>
      <c r="D216" s="2739" t="s">
        <v>426</v>
      </c>
      <c r="E216" s="4738">
        <f>+'11.3. ДА Базова година'!F177</f>
        <v>9</v>
      </c>
      <c r="F216" s="2792">
        <f>$E216-SUMIF('11.2. ДА за периода'!$B$155:$B$175,$B216,'11.2. ДА за периода'!$E$155:$E$175)+SUMIF('11.2. ДА за периода'!$B$155:$B$175,$B216,'11.2. ДА за периода'!F$155:F$175)</f>
        <v>9</v>
      </c>
      <c r="G216" s="1155">
        <f>$E216-SUMIF('11.2. ДА за периода'!$B$155:$B$175,$B216,'11.2. ДА за периода'!$E$155:$E$175)+SUMIF('11.2. ДА за периода'!$B$155:$B$175,$B216,'11.2. ДА за периода'!G$155:G$175)</f>
        <v>9</v>
      </c>
      <c r="H216" s="1155">
        <f>$E216-SUMIF('11.2. ДА за периода'!$B$155:$B$175,$B216,'11.2. ДА за периода'!$E$155:$E$175)+SUMIF('11.2. ДА за периода'!$B$155:$B$175,$B216,'11.2. ДА за периода'!H$155:H$175)</f>
        <v>9</v>
      </c>
      <c r="I216" s="1155">
        <f>$E216-SUMIF('11.2. ДА за периода'!$B$155:$B$175,$B216,'11.2. ДА за периода'!$E$155:$E$175)+SUMIF('11.2. ДА за периода'!$B$155:$B$175,$B216,'11.2. ДА за периода'!I$155:I$175)</f>
        <v>9</v>
      </c>
      <c r="J216" s="1155">
        <f>$E216-SUMIF('11.2. ДА за периода'!$B$155:$B$175,$B216,'11.2. ДА за периода'!$E$155:$E$175)+SUMIF('11.2. ДА за периода'!$B$155:$B$175,$B216,'11.2. ДА за периода'!J$155:J$175)</f>
        <v>9</v>
      </c>
      <c r="K216" s="2793">
        <f>$E216-SUMIF('11.2. ДА за периода'!$B$155:$B$175,$B216,'11.2. ДА за периода'!$E$155:$E$175)+SUMIF('11.2. ДА за периода'!$B$155:$B$175,$B216,'11.2. ДА за периода'!K$155:K$175)</f>
        <v>9</v>
      </c>
      <c r="L216" s="4738">
        <f>+'11.3. ДА Базова година'!J177</f>
        <v>0</v>
      </c>
      <c r="M216" s="2792">
        <f>$L216-SUMIF('11.2. ДА за периода'!$B$155:$B$175,$B216,'11.2. ДА за периода'!$L$155:$L$175)+SUMIF('11.2. ДА за периода'!$B$155:$B$175,$B216,'11.2. ДА за периода'!M$155:M$175)</f>
        <v>0</v>
      </c>
      <c r="N216" s="1155">
        <f>$L216-SUMIF('11.2. ДА за периода'!$B$155:$B$175,$B216,'11.2. ДА за периода'!$L$155:$L$175)+SUMIF('11.2. ДА за периода'!$B$155:$B$175,$B216,'11.2. ДА за периода'!N$155:N$175)</f>
        <v>0</v>
      </c>
      <c r="O216" s="1155">
        <f>$L216-SUMIF('11.2. ДА за периода'!$B$155:$B$175,$B216,'11.2. ДА за периода'!$L$155:$L$175)+SUMIF('11.2. ДА за периода'!$B$155:$B$175,$B216,'11.2. ДА за периода'!O$155:O$175)</f>
        <v>0</v>
      </c>
      <c r="P216" s="1155">
        <f>$L216-SUMIF('11.2. ДА за периода'!$B$155:$B$175,$B216,'11.2. ДА за периода'!$L$155:$L$175)+SUMIF('11.2. ДА за периода'!$B$155:$B$175,$B216,'11.2. ДА за периода'!P$155:P$175)</f>
        <v>0</v>
      </c>
      <c r="Q216" s="1155">
        <f>$L216-SUMIF('11.2. ДА за периода'!$B$155:$B$175,$B216,'11.2. ДА за периода'!$L$155:$L$175)+SUMIF('11.2. ДА за периода'!$B$155:$B$175,$B216,'11.2. ДА за периода'!Q$155:Q$175)</f>
        <v>0</v>
      </c>
      <c r="R216" s="2793">
        <f>$L216-SUMIF('11.2. ДА за периода'!$B$155:$B$175,$B216,'11.2. ДА за периода'!$L$155:$L$175)+SUMIF('11.2. ДА за периода'!$B$155:$B$175,$B216,'11.2. ДА за периода'!R$155:R$175)</f>
        <v>0</v>
      </c>
      <c r="S216" s="4738">
        <f>+'11.3. ДА Базова година'!N177</f>
        <v>371</v>
      </c>
      <c r="T216" s="2792">
        <f>$S216-SUMIF('11.2. ДА за периода'!$B$155:$B$175,$B216,'11.2. ДА за периода'!$S$155:$S$175)+SUMIF('11.2. ДА за периода'!$B$155:$B$175,$B216,'11.2. ДА за периода'!T$155:T$175)</f>
        <v>371</v>
      </c>
      <c r="U216" s="1155">
        <f>$S216-SUMIF('11.2. ДА за периода'!$B$155:$B$175,$B216,'11.2. ДА за периода'!$S$155:$S$175)+SUMIF('11.2. ДА за периода'!$B$155:$B$175,$B216,'11.2. ДА за периода'!U$155:U$175)</f>
        <v>371</v>
      </c>
      <c r="V216" s="1155">
        <f>$S216-SUMIF('11.2. ДА за периода'!$B$155:$B$175,$B216,'11.2. ДА за периода'!$S$155:$S$175)+SUMIF('11.2. ДА за периода'!$B$155:$B$175,$B216,'11.2. ДА за периода'!V$155:V$175)</f>
        <v>371</v>
      </c>
      <c r="W216" s="1155">
        <f>$S216-SUMIF('11.2. ДА за периода'!$B$155:$B$175,$B216,'11.2. ДА за периода'!$S$155:$S$175)+SUMIF('11.2. ДА за периода'!$B$155:$B$175,$B216,'11.2. ДА за периода'!W$155:W$175)</f>
        <v>371</v>
      </c>
      <c r="X216" s="1155">
        <f>$S216-SUMIF('11.2. ДА за периода'!$B$155:$B$175,$B216,'11.2. ДА за периода'!$S$155:$S$175)+SUMIF('11.2. ДА за периода'!$B$155:$B$175,$B216,'11.2. ДА за периода'!X$155:X$175)</f>
        <v>371</v>
      </c>
      <c r="Y216" s="2793">
        <f>$S216-SUMIF('11.2. ДА за периода'!$B$155:$B$175,$B216,'11.2. ДА за периода'!$S$155:$S$175)+SUMIF('11.2. ДА за периода'!$B$155:$B$175,$B216,'11.2. ДА за периода'!Y$155:Y$175)</f>
        <v>371</v>
      </c>
      <c r="Z216" s="4738">
        <f>+'11.3. ДА Базова година'!R177</f>
        <v>0</v>
      </c>
      <c r="AA216" s="2792">
        <f>$Z216-SUMIF('11.2. ДА за периода'!$B$155:$B$175,$B216,'11.2. ДА за периода'!$Z$155:$Z$175)+SUMIF('11.2. ДА за периода'!$B$155:$B$175,$B216,'11.2. ДА за периода'!AA$155:AA$175)</f>
        <v>0</v>
      </c>
      <c r="AB216" s="1155">
        <f>$Z216-SUMIF('11.2. ДА за периода'!$B$155:$B$175,$B216,'11.2. ДА за периода'!$Z$155:$Z$175)+SUMIF('11.2. ДА за периода'!$B$155:$B$175,$B216,'11.2. ДА за периода'!AB$155:AB$175)</f>
        <v>0</v>
      </c>
      <c r="AC216" s="1155">
        <f>$Z216-SUMIF('11.2. ДА за периода'!$B$155:$B$175,$B216,'11.2. ДА за периода'!$Z$155:$Z$175)+SUMIF('11.2. ДА за периода'!$B$155:$B$175,$B216,'11.2. ДА за периода'!AC$155:AC$175)</f>
        <v>0</v>
      </c>
      <c r="AD216" s="1155">
        <f>$Z216-SUMIF('11.2. ДА за периода'!$B$155:$B$175,$B216,'11.2. ДА за периода'!$Z$155:$Z$175)+SUMIF('11.2. ДА за периода'!$B$155:$B$175,$B216,'11.2. ДА за периода'!AD$155:AD$175)</f>
        <v>0</v>
      </c>
      <c r="AE216" s="1155">
        <f>$Z216-SUMIF('11.2. ДА за периода'!$B$155:$B$175,$B216,'11.2. ДА за периода'!$Z$155:$Z$175)+SUMIF('11.2. ДА за периода'!$B$155:$B$175,$B216,'11.2. ДА за периода'!AE$155:AE$175)</f>
        <v>0</v>
      </c>
      <c r="AF216" s="2793">
        <f>$Z216-SUMIF('11.2. ДА за периода'!$B$155:$B$175,$B216,'11.2. ДА за периода'!$Z$155:$Z$175)+SUMIF('11.2. ДА за периода'!$B$155:$B$175,$B216,'11.2. ДА за периода'!AF$155:AF$175)</f>
        <v>0</v>
      </c>
      <c r="AG216" s="4738">
        <f>+'11.3. ДА Базова година'!V177</f>
        <v>0</v>
      </c>
      <c r="AH216" s="2792">
        <f>$AG216-SUMIF('11.2. ДА за периода'!$B$155:$B$175,$B216,'11.2. ДА за периода'!$AG$155:$AG$175)+SUMIF('11.2. ДА за периода'!$B$155:$B$175,$B216,'11.2. ДА за периода'!AH$155:AH$175)</f>
        <v>0</v>
      </c>
      <c r="AI216" s="1155">
        <f>$AG216-SUMIF('11.2. ДА за периода'!$B$155:$B$175,$B216,'11.2. ДА за периода'!$AG$155:$AG$175)+SUMIF('11.2. ДА за периода'!$B$155:$B$175,$B216,'11.2. ДА за периода'!AI$155:AI$175)</f>
        <v>0</v>
      </c>
      <c r="AJ216" s="1155">
        <f>$AG216-SUMIF('11.2. ДА за периода'!$B$155:$B$175,$B216,'11.2. ДА за периода'!$AG$155:$AG$175)+SUMIF('11.2. ДА за периода'!$B$155:$B$175,$B216,'11.2. ДА за периода'!AJ$155:AJ$175)</f>
        <v>0</v>
      </c>
      <c r="AK216" s="1155">
        <f>$AG216-SUMIF('11.2. ДА за периода'!$B$155:$B$175,$B216,'11.2. ДА за периода'!$AG$155:$AG$175)+SUMIF('11.2. ДА за периода'!$B$155:$B$175,$B216,'11.2. ДА за периода'!AK$155:AK$175)</f>
        <v>0</v>
      </c>
      <c r="AL216" s="1155">
        <f>$AG216-SUMIF('11.2. ДА за периода'!$B$155:$B$175,$B216,'11.2. ДА за периода'!$AG$155:$AG$175)+SUMIF('11.2. ДА за периода'!$B$155:$B$175,$B216,'11.2. ДА за периода'!AL$155:AL$175)</f>
        <v>0</v>
      </c>
      <c r="AM216" s="2793">
        <f>$AG216-SUMIF('11.2. ДА за периода'!$B$155:$B$175,$B216,'11.2. ДА за периода'!$AG$155:$AG$175)+SUMIF('11.2. ДА за периода'!$B$155:$B$175,$B216,'11.2. ДА за периода'!AM$155:AM$175)</f>
        <v>0</v>
      </c>
      <c r="AN216" s="2692"/>
      <c r="AO216" s="2719"/>
      <c r="AP216" s="4775"/>
      <c r="AQ216" s="4794">
        <f t="shared" si="271"/>
        <v>4.6016269307659661</v>
      </c>
      <c r="AR216" s="4794">
        <f t="shared" si="272"/>
        <v>4.6016269307659661</v>
      </c>
      <c r="AS216" s="4794">
        <f t="shared" si="273"/>
        <v>4.6016269307659661</v>
      </c>
      <c r="AT216" s="4794">
        <f t="shared" si="274"/>
        <v>4.6016269307659661</v>
      </c>
      <c r="AU216" s="4794">
        <f t="shared" si="275"/>
        <v>4.6016269307659661</v>
      </c>
      <c r="AV216" s="4794">
        <f t="shared" si="276"/>
        <v>4.6016269307659661</v>
      </c>
      <c r="AW216" s="4794">
        <f t="shared" si="277"/>
        <v>4.6016269307659661</v>
      </c>
      <c r="AX216" s="4794">
        <f t="shared" si="278"/>
        <v>0</v>
      </c>
      <c r="AY216" s="4794">
        <f t="shared" si="279"/>
        <v>0</v>
      </c>
      <c r="AZ216" s="4794">
        <f t="shared" si="280"/>
        <v>0</v>
      </c>
      <c r="BA216" s="4794">
        <f t="shared" si="281"/>
        <v>0</v>
      </c>
      <c r="BB216" s="4794">
        <f t="shared" si="282"/>
        <v>0</v>
      </c>
      <c r="BC216" s="4794">
        <f t="shared" si="283"/>
        <v>0</v>
      </c>
      <c r="BD216" s="4794">
        <f t="shared" si="284"/>
        <v>0</v>
      </c>
      <c r="BE216" s="4794">
        <f t="shared" si="285"/>
        <v>189.68928792379705</v>
      </c>
      <c r="BF216" s="4794">
        <f t="shared" si="286"/>
        <v>189.68928792379705</v>
      </c>
      <c r="BG216" s="4794">
        <f t="shared" si="287"/>
        <v>189.68928792379705</v>
      </c>
      <c r="BH216" s="4794">
        <f t="shared" si="288"/>
        <v>189.68928792379705</v>
      </c>
      <c r="BI216" s="4794">
        <f t="shared" si="289"/>
        <v>189.68928792379705</v>
      </c>
      <c r="BJ216" s="4794">
        <f t="shared" si="290"/>
        <v>189.68928792379705</v>
      </c>
      <c r="BK216" s="4794">
        <f t="shared" si="291"/>
        <v>189.68928792379705</v>
      </c>
      <c r="BL216" s="4794">
        <f t="shared" si="292"/>
        <v>0</v>
      </c>
      <c r="BM216" s="4794">
        <f t="shared" si="293"/>
        <v>0</v>
      </c>
      <c r="BN216" s="4794">
        <f t="shared" si="294"/>
        <v>0</v>
      </c>
      <c r="BO216" s="4794">
        <f t="shared" si="295"/>
        <v>0</v>
      </c>
      <c r="BP216" s="4794">
        <f t="shared" si="296"/>
        <v>0</v>
      </c>
      <c r="BQ216" s="4794">
        <f t="shared" si="297"/>
        <v>0</v>
      </c>
      <c r="BR216" s="4794">
        <f t="shared" si="298"/>
        <v>0</v>
      </c>
      <c r="BS216" s="4794">
        <f t="shared" si="299"/>
        <v>0</v>
      </c>
      <c r="BT216" s="4794">
        <f t="shared" si="300"/>
        <v>0</v>
      </c>
      <c r="BU216" s="4794">
        <f t="shared" si="301"/>
        <v>0</v>
      </c>
      <c r="BV216" s="4794">
        <f t="shared" si="302"/>
        <v>0</v>
      </c>
      <c r="BW216" s="4794">
        <f t="shared" si="303"/>
        <v>0</v>
      </c>
      <c r="BX216" s="4794">
        <f t="shared" si="304"/>
        <v>0</v>
      </c>
      <c r="BY216" s="4794">
        <f t="shared" si="305"/>
        <v>0</v>
      </c>
    </row>
    <row r="217" spans="1:77" s="1344" customFormat="1">
      <c r="A217" s="2683">
        <v>3</v>
      </c>
      <c r="B217" s="2684">
        <v>911301</v>
      </c>
      <c r="C217" s="2685">
        <v>0.1</v>
      </c>
      <c r="D217" s="2739" t="s">
        <v>427</v>
      </c>
      <c r="E217" s="4738">
        <f>+'11.3. ДА Базова година'!F178</f>
        <v>0</v>
      </c>
      <c r="F217" s="2792">
        <f>$E217-SUMIF('11.2. ДА за периода'!$B$155:$B$175,$B217,'11.2. ДА за периода'!$E$155:$E$175)+SUMIF('11.2. ДА за периода'!$B$155:$B$175,$B217,'11.2. ДА за периода'!F$155:F$175)</f>
        <v>0</v>
      </c>
      <c r="G217" s="1155">
        <f>$E217-SUMIF('11.2. ДА за периода'!$B$155:$B$175,$B217,'11.2. ДА за периода'!$E$155:$E$175)+SUMIF('11.2. ДА за периода'!$B$155:$B$175,$B217,'11.2. ДА за периода'!G$155:G$175)</f>
        <v>0</v>
      </c>
      <c r="H217" s="1155">
        <f>$E217-SUMIF('11.2. ДА за периода'!$B$155:$B$175,$B217,'11.2. ДА за периода'!$E$155:$E$175)+SUMIF('11.2. ДА за периода'!$B$155:$B$175,$B217,'11.2. ДА за периода'!H$155:H$175)</f>
        <v>0</v>
      </c>
      <c r="I217" s="1155">
        <f>$E217-SUMIF('11.2. ДА за периода'!$B$155:$B$175,$B217,'11.2. ДА за периода'!$E$155:$E$175)+SUMIF('11.2. ДА за периода'!$B$155:$B$175,$B217,'11.2. ДА за периода'!I$155:I$175)</f>
        <v>0</v>
      </c>
      <c r="J217" s="1155">
        <f>$E217-SUMIF('11.2. ДА за периода'!$B$155:$B$175,$B217,'11.2. ДА за периода'!$E$155:$E$175)+SUMIF('11.2. ДА за периода'!$B$155:$B$175,$B217,'11.2. ДА за периода'!J$155:J$175)</f>
        <v>0</v>
      </c>
      <c r="K217" s="2793">
        <f>$E217-SUMIF('11.2. ДА за периода'!$B$155:$B$175,$B217,'11.2. ДА за периода'!$E$155:$E$175)+SUMIF('11.2. ДА за периода'!$B$155:$B$175,$B217,'11.2. ДА за периода'!K$155:K$175)</f>
        <v>0</v>
      </c>
      <c r="L217" s="4738">
        <f>+'11.3. ДА Базова година'!J178</f>
        <v>0</v>
      </c>
      <c r="M217" s="2792">
        <f>$L217-SUMIF('11.2. ДА за периода'!$B$155:$B$175,$B217,'11.2. ДА за периода'!$L$155:$L$175)+SUMIF('11.2. ДА за периода'!$B$155:$B$175,$B217,'11.2. ДА за периода'!M$155:M$175)</f>
        <v>0</v>
      </c>
      <c r="N217" s="1155">
        <f>$L217-SUMIF('11.2. ДА за периода'!$B$155:$B$175,$B217,'11.2. ДА за периода'!$L$155:$L$175)+SUMIF('11.2. ДА за периода'!$B$155:$B$175,$B217,'11.2. ДА за периода'!N$155:N$175)</f>
        <v>0</v>
      </c>
      <c r="O217" s="1155">
        <f>$L217-SUMIF('11.2. ДА за периода'!$B$155:$B$175,$B217,'11.2. ДА за периода'!$L$155:$L$175)+SUMIF('11.2. ДА за периода'!$B$155:$B$175,$B217,'11.2. ДА за периода'!O$155:O$175)</f>
        <v>0</v>
      </c>
      <c r="P217" s="1155">
        <f>$L217-SUMIF('11.2. ДА за периода'!$B$155:$B$175,$B217,'11.2. ДА за периода'!$L$155:$L$175)+SUMIF('11.2. ДА за периода'!$B$155:$B$175,$B217,'11.2. ДА за периода'!P$155:P$175)</f>
        <v>0</v>
      </c>
      <c r="Q217" s="1155">
        <f>$L217-SUMIF('11.2. ДА за периода'!$B$155:$B$175,$B217,'11.2. ДА за периода'!$L$155:$L$175)+SUMIF('11.2. ДА за периода'!$B$155:$B$175,$B217,'11.2. ДА за периода'!Q$155:Q$175)</f>
        <v>0</v>
      </c>
      <c r="R217" s="2793">
        <f>$L217-SUMIF('11.2. ДА за периода'!$B$155:$B$175,$B217,'11.2. ДА за периода'!$L$155:$L$175)+SUMIF('11.2. ДА за периода'!$B$155:$B$175,$B217,'11.2. ДА за периода'!R$155:R$175)</f>
        <v>0</v>
      </c>
      <c r="S217" s="4738">
        <f>+'11.3. ДА Базова година'!N178</f>
        <v>0</v>
      </c>
      <c r="T217" s="2792">
        <f>$S217-SUMIF('11.2. ДА за периода'!$B$155:$B$175,$B217,'11.2. ДА за периода'!$S$155:$S$175)+SUMIF('11.2. ДА за периода'!$B$155:$B$175,$B217,'11.2. ДА за периода'!T$155:T$175)</f>
        <v>0</v>
      </c>
      <c r="U217" s="1155">
        <f>$S217-SUMIF('11.2. ДА за периода'!$B$155:$B$175,$B217,'11.2. ДА за периода'!$S$155:$S$175)+SUMIF('11.2. ДА за периода'!$B$155:$B$175,$B217,'11.2. ДА за периода'!U$155:U$175)</f>
        <v>0</v>
      </c>
      <c r="V217" s="1155">
        <f>$S217-SUMIF('11.2. ДА за периода'!$B$155:$B$175,$B217,'11.2. ДА за периода'!$S$155:$S$175)+SUMIF('11.2. ДА за периода'!$B$155:$B$175,$B217,'11.2. ДА за периода'!V$155:V$175)</f>
        <v>0</v>
      </c>
      <c r="W217" s="1155">
        <f>$S217-SUMIF('11.2. ДА за периода'!$B$155:$B$175,$B217,'11.2. ДА за периода'!$S$155:$S$175)+SUMIF('11.2. ДА за периода'!$B$155:$B$175,$B217,'11.2. ДА за периода'!W$155:W$175)</f>
        <v>0</v>
      </c>
      <c r="X217" s="1155">
        <f>$S217-SUMIF('11.2. ДА за периода'!$B$155:$B$175,$B217,'11.2. ДА за периода'!$S$155:$S$175)+SUMIF('11.2. ДА за периода'!$B$155:$B$175,$B217,'11.2. ДА за периода'!X$155:X$175)</f>
        <v>0</v>
      </c>
      <c r="Y217" s="2793">
        <f>$S217-SUMIF('11.2. ДА за периода'!$B$155:$B$175,$B217,'11.2. ДА за периода'!$S$155:$S$175)+SUMIF('11.2. ДА за периода'!$B$155:$B$175,$B217,'11.2. ДА за периода'!Y$155:Y$175)</f>
        <v>0</v>
      </c>
      <c r="Z217" s="4738">
        <f>+'11.3. ДА Базова година'!R178</f>
        <v>0</v>
      </c>
      <c r="AA217" s="2792">
        <f>$Z217-SUMIF('11.2. ДА за периода'!$B$155:$B$175,$B217,'11.2. ДА за периода'!$Z$155:$Z$175)+SUMIF('11.2. ДА за периода'!$B$155:$B$175,$B217,'11.2. ДА за периода'!AA$155:AA$175)</f>
        <v>0</v>
      </c>
      <c r="AB217" s="1155">
        <f>$Z217-SUMIF('11.2. ДА за периода'!$B$155:$B$175,$B217,'11.2. ДА за периода'!$Z$155:$Z$175)+SUMIF('11.2. ДА за периода'!$B$155:$B$175,$B217,'11.2. ДА за периода'!AB$155:AB$175)</f>
        <v>0</v>
      </c>
      <c r="AC217" s="1155">
        <f>$Z217-SUMIF('11.2. ДА за периода'!$B$155:$B$175,$B217,'11.2. ДА за периода'!$Z$155:$Z$175)+SUMIF('11.2. ДА за периода'!$B$155:$B$175,$B217,'11.2. ДА за периода'!AC$155:AC$175)</f>
        <v>0</v>
      </c>
      <c r="AD217" s="1155">
        <f>$Z217-SUMIF('11.2. ДА за периода'!$B$155:$B$175,$B217,'11.2. ДА за периода'!$Z$155:$Z$175)+SUMIF('11.2. ДА за периода'!$B$155:$B$175,$B217,'11.2. ДА за периода'!AD$155:AD$175)</f>
        <v>0</v>
      </c>
      <c r="AE217" s="1155">
        <f>$Z217-SUMIF('11.2. ДА за периода'!$B$155:$B$175,$B217,'11.2. ДА за периода'!$Z$155:$Z$175)+SUMIF('11.2. ДА за периода'!$B$155:$B$175,$B217,'11.2. ДА за периода'!AE$155:AE$175)</f>
        <v>0</v>
      </c>
      <c r="AF217" s="2793">
        <f>$Z217-SUMIF('11.2. ДА за периода'!$B$155:$B$175,$B217,'11.2. ДА за периода'!$Z$155:$Z$175)+SUMIF('11.2. ДА за периода'!$B$155:$B$175,$B217,'11.2. ДА за периода'!AF$155:AF$175)</f>
        <v>0</v>
      </c>
      <c r="AG217" s="4738">
        <f>+'11.3. ДА Базова година'!V178</f>
        <v>0</v>
      </c>
      <c r="AH217" s="2792">
        <f>$AG217-SUMIF('11.2. ДА за периода'!$B$155:$B$175,$B217,'11.2. ДА за периода'!$AG$155:$AG$175)+SUMIF('11.2. ДА за периода'!$B$155:$B$175,$B217,'11.2. ДА за периода'!AH$155:AH$175)</f>
        <v>0</v>
      </c>
      <c r="AI217" s="1155">
        <f>$AG217-SUMIF('11.2. ДА за периода'!$B$155:$B$175,$B217,'11.2. ДА за периода'!$AG$155:$AG$175)+SUMIF('11.2. ДА за периода'!$B$155:$B$175,$B217,'11.2. ДА за периода'!AI$155:AI$175)</f>
        <v>0</v>
      </c>
      <c r="AJ217" s="1155">
        <f>$AG217-SUMIF('11.2. ДА за периода'!$B$155:$B$175,$B217,'11.2. ДА за периода'!$AG$155:$AG$175)+SUMIF('11.2. ДА за периода'!$B$155:$B$175,$B217,'11.2. ДА за периода'!AJ$155:AJ$175)</f>
        <v>0</v>
      </c>
      <c r="AK217" s="1155">
        <f>$AG217-SUMIF('11.2. ДА за периода'!$B$155:$B$175,$B217,'11.2. ДА за периода'!$AG$155:$AG$175)+SUMIF('11.2. ДА за периода'!$B$155:$B$175,$B217,'11.2. ДА за периода'!AK$155:AK$175)</f>
        <v>0</v>
      </c>
      <c r="AL217" s="1155">
        <f>$AG217-SUMIF('11.2. ДА за периода'!$B$155:$B$175,$B217,'11.2. ДА за периода'!$AG$155:$AG$175)+SUMIF('11.2. ДА за периода'!$B$155:$B$175,$B217,'11.2. ДА за периода'!AL$155:AL$175)</f>
        <v>0</v>
      </c>
      <c r="AM217" s="2793">
        <f>$AG217-SUMIF('11.2. ДА за периода'!$B$155:$B$175,$B217,'11.2. ДА за периода'!$AG$155:$AG$175)+SUMIF('11.2. ДА за периода'!$B$155:$B$175,$B217,'11.2. ДА за периода'!AM$155:AM$175)</f>
        <v>0</v>
      </c>
      <c r="AN217" s="2692"/>
      <c r="AO217" s="2719"/>
      <c r="AP217" s="4775"/>
      <c r="AQ217" s="4794">
        <f t="shared" si="271"/>
        <v>0</v>
      </c>
      <c r="AR217" s="4794">
        <f t="shared" si="272"/>
        <v>0</v>
      </c>
      <c r="AS217" s="4794">
        <f t="shared" si="273"/>
        <v>0</v>
      </c>
      <c r="AT217" s="4794">
        <f t="shared" si="274"/>
        <v>0</v>
      </c>
      <c r="AU217" s="4794">
        <f t="shared" si="275"/>
        <v>0</v>
      </c>
      <c r="AV217" s="4794">
        <f t="shared" si="276"/>
        <v>0</v>
      </c>
      <c r="AW217" s="4794">
        <f t="shared" si="277"/>
        <v>0</v>
      </c>
      <c r="AX217" s="4794">
        <f t="shared" si="278"/>
        <v>0</v>
      </c>
      <c r="AY217" s="4794">
        <f t="shared" si="279"/>
        <v>0</v>
      </c>
      <c r="AZ217" s="4794">
        <f t="shared" si="280"/>
        <v>0</v>
      </c>
      <c r="BA217" s="4794">
        <f t="shared" si="281"/>
        <v>0</v>
      </c>
      <c r="BB217" s="4794">
        <f t="shared" si="282"/>
        <v>0</v>
      </c>
      <c r="BC217" s="4794">
        <f t="shared" si="283"/>
        <v>0</v>
      </c>
      <c r="BD217" s="4794">
        <f t="shared" si="284"/>
        <v>0</v>
      </c>
      <c r="BE217" s="4794">
        <f t="shared" si="285"/>
        <v>0</v>
      </c>
      <c r="BF217" s="4794">
        <f t="shared" si="286"/>
        <v>0</v>
      </c>
      <c r="BG217" s="4794">
        <f t="shared" si="287"/>
        <v>0</v>
      </c>
      <c r="BH217" s="4794">
        <f t="shared" si="288"/>
        <v>0</v>
      </c>
      <c r="BI217" s="4794">
        <f t="shared" si="289"/>
        <v>0</v>
      </c>
      <c r="BJ217" s="4794">
        <f t="shared" si="290"/>
        <v>0</v>
      </c>
      <c r="BK217" s="4794">
        <f t="shared" si="291"/>
        <v>0</v>
      </c>
      <c r="BL217" s="4794">
        <f t="shared" si="292"/>
        <v>0</v>
      </c>
      <c r="BM217" s="4794">
        <f t="shared" si="293"/>
        <v>0</v>
      </c>
      <c r="BN217" s="4794">
        <f t="shared" si="294"/>
        <v>0</v>
      </c>
      <c r="BO217" s="4794">
        <f t="shared" si="295"/>
        <v>0</v>
      </c>
      <c r="BP217" s="4794">
        <f t="shared" si="296"/>
        <v>0</v>
      </c>
      <c r="BQ217" s="4794">
        <f t="shared" si="297"/>
        <v>0</v>
      </c>
      <c r="BR217" s="4794">
        <f t="shared" si="298"/>
        <v>0</v>
      </c>
      <c r="BS217" s="4794">
        <f t="shared" si="299"/>
        <v>0</v>
      </c>
      <c r="BT217" s="4794">
        <f t="shared" si="300"/>
        <v>0</v>
      </c>
      <c r="BU217" s="4794">
        <f t="shared" si="301"/>
        <v>0</v>
      </c>
      <c r="BV217" s="4794">
        <f t="shared" si="302"/>
        <v>0</v>
      </c>
      <c r="BW217" s="4794">
        <f t="shared" si="303"/>
        <v>0</v>
      </c>
      <c r="BX217" s="4794">
        <f t="shared" si="304"/>
        <v>0</v>
      </c>
      <c r="BY217" s="4794">
        <f t="shared" si="305"/>
        <v>0</v>
      </c>
    </row>
    <row r="218" spans="1:77" s="1344" customFormat="1">
      <c r="A218" s="2683">
        <v>4</v>
      </c>
      <c r="B218" s="2684">
        <v>911302</v>
      </c>
      <c r="C218" s="2685">
        <v>0.1</v>
      </c>
      <c r="D218" s="2739" t="s">
        <v>428</v>
      </c>
      <c r="E218" s="4738">
        <f>+'11.3. ДА Базова година'!F179</f>
        <v>0</v>
      </c>
      <c r="F218" s="2792">
        <f>$E218-SUMIF('11.2. ДА за периода'!$B$155:$B$175,$B218,'11.2. ДА за периода'!$E$155:$E$175)+SUMIF('11.2. ДА за периода'!$B$155:$B$175,$B218,'11.2. ДА за периода'!F$155:F$175)</f>
        <v>0</v>
      </c>
      <c r="G218" s="1155">
        <f>$E218-SUMIF('11.2. ДА за периода'!$B$155:$B$175,$B218,'11.2. ДА за периода'!$E$155:$E$175)+SUMIF('11.2. ДА за периода'!$B$155:$B$175,$B218,'11.2. ДА за периода'!G$155:G$175)</f>
        <v>0</v>
      </c>
      <c r="H218" s="1155">
        <f>$E218-SUMIF('11.2. ДА за периода'!$B$155:$B$175,$B218,'11.2. ДА за периода'!$E$155:$E$175)+SUMIF('11.2. ДА за периода'!$B$155:$B$175,$B218,'11.2. ДА за периода'!H$155:H$175)</f>
        <v>0</v>
      </c>
      <c r="I218" s="1155">
        <f>$E218-SUMIF('11.2. ДА за периода'!$B$155:$B$175,$B218,'11.2. ДА за периода'!$E$155:$E$175)+SUMIF('11.2. ДА за периода'!$B$155:$B$175,$B218,'11.2. ДА за периода'!I$155:I$175)</f>
        <v>0</v>
      </c>
      <c r="J218" s="1155">
        <f>$E218-SUMIF('11.2. ДА за периода'!$B$155:$B$175,$B218,'11.2. ДА за периода'!$E$155:$E$175)+SUMIF('11.2. ДА за периода'!$B$155:$B$175,$B218,'11.2. ДА за периода'!J$155:J$175)</f>
        <v>0</v>
      </c>
      <c r="K218" s="2793">
        <f>$E218-SUMIF('11.2. ДА за периода'!$B$155:$B$175,$B218,'11.2. ДА за периода'!$E$155:$E$175)+SUMIF('11.2. ДА за периода'!$B$155:$B$175,$B218,'11.2. ДА за периода'!K$155:K$175)</f>
        <v>0</v>
      </c>
      <c r="L218" s="4738">
        <f>+'11.3. ДА Базова година'!J179</f>
        <v>0</v>
      </c>
      <c r="M218" s="2792">
        <f>$L218-SUMIF('11.2. ДА за периода'!$B$155:$B$175,$B218,'11.2. ДА за периода'!$L$155:$L$175)+SUMIF('11.2. ДА за периода'!$B$155:$B$175,$B218,'11.2. ДА за периода'!M$155:M$175)</f>
        <v>0</v>
      </c>
      <c r="N218" s="1155">
        <f>$L218-SUMIF('11.2. ДА за периода'!$B$155:$B$175,$B218,'11.2. ДА за периода'!$L$155:$L$175)+SUMIF('11.2. ДА за периода'!$B$155:$B$175,$B218,'11.2. ДА за периода'!N$155:N$175)</f>
        <v>0</v>
      </c>
      <c r="O218" s="1155">
        <f>$L218-SUMIF('11.2. ДА за периода'!$B$155:$B$175,$B218,'11.2. ДА за периода'!$L$155:$L$175)+SUMIF('11.2. ДА за периода'!$B$155:$B$175,$B218,'11.2. ДА за периода'!O$155:O$175)</f>
        <v>0</v>
      </c>
      <c r="P218" s="1155">
        <f>$L218-SUMIF('11.2. ДА за периода'!$B$155:$B$175,$B218,'11.2. ДА за периода'!$L$155:$L$175)+SUMIF('11.2. ДА за периода'!$B$155:$B$175,$B218,'11.2. ДА за периода'!P$155:P$175)</f>
        <v>0</v>
      </c>
      <c r="Q218" s="1155">
        <f>$L218-SUMIF('11.2. ДА за периода'!$B$155:$B$175,$B218,'11.2. ДА за периода'!$L$155:$L$175)+SUMIF('11.2. ДА за периода'!$B$155:$B$175,$B218,'11.2. ДА за периода'!Q$155:Q$175)</f>
        <v>0</v>
      </c>
      <c r="R218" s="2793">
        <f>$L218-SUMIF('11.2. ДА за периода'!$B$155:$B$175,$B218,'11.2. ДА за периода'!$L$155:$L$175)+SUMIF('11.2. ДА за периода'!$B$155:$B$175,$B218,'11.2. ДА за периода'!R$155:R$175)</f>
        <v>0</v>
      </c>
      <c r="S218" s="4738">
        <f>+'11.3. ДА Базова година'!N179</f>
        <v>0</v>
      </c>
      <c r="T218" s="2792">
        <f>$S218-SUMIF('11.2. ДА за периода'!$B$155:$B$175,$B218,'11.2. ДА за периода'!$S$155:$S$175)+SUMIF('11.2. ДА за периода'!$B$155:$B$175,$B218,'11.2. ДА за периода'!T$155:T$175)</f>
        <v>0</v>
      </c>
      <c r="U218" s="1155">
        <f>$S218-SUMIF('11.2. ДА за периода'!$B$155:$B$175,$B218,'11.2. ДА за периода'!$S$155:$S$175)+SUMIF('11.2. ДА за периода'!$B$155:$B$175,$B218,'11.2. ДА за периода'!U$155:U$175)</f>
        <v>0</v>
      </c>
      <c r="V218" s="1155">
        <f>$S218-SUMIF('11.2. ДА за периода'!$B$155:$B$175,$B218,'11.2. ДА за периода'!$S$155:$S$175)+SUMIF('11.2. ДА за периода'!$B$155:$B$175,$B218,'11.2. ДА за периода'!V$155:V$175)</f>
        <v>0</v>
      </c>
      <c r="W218" s="1155">
        <f>$S218-SUMIF('11.2. ДА за периода'!$B$155:$B$175,$B218,'11.2. ДА за периода'!$S$155:$S$175)+SUMIF('11.2. ДА за периода'!$B$155:$B$175,$B218,'11.2. ДА за периода'!W$155:W$175)</f>
        <v>0</v>
      </c>
      <c r="X218" s="1155">
        <f>$S218-SUMIF('11.2. ДА за периода'!$B$155:$B$175,$B218,'11.2. ДА за периода'!$S$155:$S$175)+SUMIF('11.2. ДА за периода'!$B$155:$B$175,$B218,'11.2. ДА за периода'!X$155:X$175)</f>
        <v>0</v>
      </c>
      <c r="Y218" s="2793">
        <f>$S218-SUMIF('11.2. ДА за периода'!$B$155:$B$175,$B218,'11.2. ДА за периода'!$S$155:$S$175)+SUMIF('11.2. ДА за периода'!$B$155:$B$175,$B218,'11.2. ДА за периода'!Y$155:Y$175)</f>
        <v>0</v>
      </c>
      <c r="Z218" s="4738">
        <f>+'11.3. ДА Базова година'!R179</f>
        <v>0</v>
      </c>
      <c r="AA218" s="2792">
        <f>$Z218-SUMIF('11.2. ДА за периода'!$B$155:$B$175,$B218,'11.2. ДА за периода'!$Z$155:$Z$175)+SUMIF('11.2. ДА за периода'!$B$155:$B$175,$B218,'11.2. ДА за периода'!AA$155:AA$175)</f>
        <v>0</v>
      </c>
      <c r="AB218" s="1155">
        <f>$Z218-SUMIF('11.2. ДА за периода'!$B$155:$B$175,$B218,'11.2. ДА за периода'!$Z$155:$Z$175)+SUMIF('11.2. ДА за периода'!$B$155:$B$175,$B218,'11.2. ДА за периода'!AB$155:AB$175)</f>
        <v>0</v>
      </c>
      <c r="AC218" s="1155">
        <f>$Z218-SUMIF('11.2. ДА за периода'!$B$155:$B$175,$B218,'11.2. ДА за периода'!$Z$155:$Z$175)+SUMIF('11.2. ДА за периода'!$B$155:$B$175,$B218,'11.2. ДА за периода'!AC$155:AC$175)</f>
        <v>0</v>
      </c>
      <c r="AD218" s="1155">
        <f>$Z218-SUMIF('11.2. ДА за периода'!$B$155:$B$175,$B218,'11.2. ДА за периода'!$Z$155:$Z$175)+SUMIF('11.2. ДА за периода'!$B$155:$B$175,$B218,'11.2. ДА за периода'!AD$155:AD$175)</f>
        <v>0</v>
      </c>
      <c r="AE218" s="1155">
        <f>$Z218-SUMIF('11.2. ДА за периода'!$B$155:$B$175,$B218,'11.2. ДА за периода'!$Z$155:$Z$175)+SUMIF('11.2. ДА за периода'!$B$155:$B$175,$B218,'11.2. ДА за периода'!AE$155:AE$175)</f>
        <v>0</v>
      </c>
      <c r="AF218" s="2793">
        <f>$Z218-SUMIF('11.2. ДА за периода'!$B$155:$B$175,$B218,'11.2. ДА за периода'!$Z$155:$Z$175)+SUMIF('11.2. ДА за периода'!$B$155:$B$175,$B218,'11.2. ДА за периода'!AF$155:AF$175)</f>
        <v>0</v>
      </c>
      <c r="AG218" s="4738">
        <f>+'11.3. ДА Базова година'!V179</f>
        <v>0</v>
      </c>
      <c r="AH218" s="2792">
        <f>$AG218-SUMIF('11.2. ДА за периода'!$B$155:$B$175,$B218,'11.2. ДА за периода'!$AG$155:$AG$175)+SUMIF('11.2. ДА за периода'!$B$155:$B$175,$B218,'11.2. ДА за периода'!AH$155:AH$175)</f>
        <v>0</v>
      </c>
      <c r="AI218" s="1155">
        <f>$AG218-SUMIF('11.2. ДА за периода'!$B$155:$B$175,$B218,'11.2. ДА за периода'!$AG$155:$AG$175)+SUMIF('11.2. ДА за периода'!$B$155:$B$175,$B218,'11.2. ДА за периода'!AI$155:AI$175)</f>
        <v>0</v>
      </c>
      <c r="AJ218" s="1155">
        <f>$AG218-SUMIF('11.2. ДА за периода'!$B$155:$B$175,$B218,'11.2. ДА за периода'!$AG$155:$AG$175)+SUMIF('11.2. ДА за периода'!$B$155:$B$175,$B218,'11.2. ДА за периода'!AJ$155:AJ$175)</f>
        <v>0</v>
      </c>
      <c r="AK218" s="1155">
        <f>$AG218-SUMIF('11.2. ДА за периода'!$B$155:$B$175,$B218,'11.2. ДА за периода'!$AG$155:$AG$175)+SUMIF('11.2. ДА за периода'!$B$155:$B$175,$B218,'11.2. ДА за периода'!AK$155:AK$175)</f>
        <v>0</v>
      </c>
      <c r="AL218" s="1155">
        <f>$AG218-SUMIF('11.2. ДА за периода'!$B$155:$B$175,$B218,'11.2. ДА за периода'!$AG$155:$AG$175)+SUMIF('11.2. ДА за периода'!$B$155:$B$175,$B218,'11.2. ДА за периода'!AL$155:AL$175)</f>
        <v>0</v>
      </c>
      <c r="AM218" s="2793">
        <f>$AG218-SUMIF('11.2. ДА за периода'!$B$155:$B$175,$B218,'11.2. ДА за периода'!$AG$155:$AG$175)+SUMIF('11.2. ДА за периода'!$B$155:$B$175,$B218,'11.2. ДА за периода'!AM$155:AM$175)</f>
        <v>0</v>
      </c>
      <c r="AN218" s="2692"/>
      <c r="AO218" s="2719"/>
      <c r="AP218" s="4775"/>
      <c r="AQ218" s="4794">
        <f t="shared" si="271"/>
        <v>0</v>
      </c>
      <c r="AR218" s="4794">
        <f t="shared" si="272"/>
        <v>0</v>
      </c>
      <c r="AS218" s="4794">
        <f t="shared" si="273"/>
        <v>0</v>
      </c>
      <c r="AT218" s="4794">
        <f t="shared" si="274"/>
        <v>0</v>
      </c>
      <c r="AU218" s="4794">
        <f t="shared" si="275"/>
        <v>0</v>
      </c>
      <c r="AV218" s="4794">
        <f t="shared" si="276"/>
        <v>0</v>
      </c>
      <c r="AW218" s="4794">
        <f t="shared" si="277"/>
        <v>0</v>
      </c>
      <c r="AX218" s="4794">
        <f t="shared" si="278"/>
        <v>0</v>
      </c>
      <c r="AY218" s="4794">
        <f t="shared" si="279"/>
        <v>0</v>
      </c>
      <c r="AZ218" s="4794">
        <f t="shared" si="280"/>
        <v>0</v>
      </c>
      <c r="BA218" s="4794">
        <f t="shared" si="281"/>
        <v>0</v>
      </c>
      <c r="BB218" s="4794">
        <f t="shared" si="282"/>
        <v>0</v>
      </c>
      <c r="BC218" s="4794">
        <f t="shared" si="283"/>
        <v>0</v>
      </c>
      <c r="BD218" s="4794">
        <f t="shared" si="284"/>
        <v>0</v>
      </c>
      <c r="BE218" s="4794">
        <f t="shared" si="285"/>
        <v>0</v>
      </c>
      <c r="BF218" s="4794">
        <f t="shared" si="286"/>
        <v>0</v>
      </c>
      <c r="BG218" s="4794">
        <f t="shared" si="287"/>
        <v>0</v>
      </c>
      <c r="BH218" s="4794">
        <f t="shared" si="288"/>
        <v>0</v>
      </c>
      <c r="BI218" s="4794">
        <f t="shared" si="289"/>
        <v>0</v>
      </c>
      <c r="BJ218" s="4794">
        <f t="shared" si="290"/>
        <v>0</v>
      </c>
      <c r="BK218" s="4794">
        <f t="shared" si="291"/>
        <v>0</v>
      </c>
      <c r="BL218" s="4794">
        <f t="shared" si="292"/>
        <v>0</v>
      </c>
      <c r="BM218" s="4794">
        <f t="shared" si="293"/>
        <v>0</v>
      </c>
      <c r="BN218" s="4794">
        <f t="shared" si="294"/>
        <v>0</v>
      </c>
      <c r="BO218" s="4794">
        <f t="shared" si="295"/>
        <v>0</v>
      </c>
      <c r="BP218" s="4794">
        <f t="shared" si="296"/>
        <v>0</v>
      </c>
      <c r="BQ218" s="4794">
        <f t="shared" si="297"/>
        <v>0</v>
      </c>
      <c r="BR218" s="4794">
        <f t="shared" si="298"/>
        <v>0</v>
      </c>
      <c r="BS218" s="4794">
        <f t="shared" si="299"/>
        <v>0</v>
      </c>
      <c r="BT218" s="4794">
        <f t="shared" si="300"/>
        <v>0</v>
      </c>
      <c r="BU218" s="4794">
        <f t="shared" si="301"/>
        <v>0</v>
      </c>
      <c r="BV218" s="4794">
        <f t="shared" si="302"/>
        <v>0</v>
      </c>
      <c r="BW218" s="4794">
        <f t="shared" si="303"/>
        <v>0</v>
      </c>
      <c r="BX218" s="4794">
        <f t="shared" si="304"/>
        <v>0</v>
      </c>
      <c r="BY218" s="4794">
        <f t="shared" si="305"/>
        <v>0</v>
      </c>
    </row>
    <row r="219" spans="1:77" s="1344" customFormat="1">
      <c r="A219" s="2683">
        <v>5</v>
      </c>
      <c r="B219" s="2684" t="s">
        <v>714</v>
      </c>
      <c r="C219" s="2685">
        <v>0.1</v>
      </c>
      <c r="D219" s="2720" t="s">
        <v>407</v>
      </c>
      <c r="E219" s="4738">
        <f>+'11.3. ДА Базова година'!F180</f>
        <v>1</v>
      </c>
      <c r="F219" s="2792">
        <f>$E219-SUMIF('11.2. ДА за периода'!$B$155:$B$175,$B219,'11.2. ДА за периода'!$E$155:$E$175)+SUMIF('11.2. ДА за периода'!$B$155:$B$175,$B219,'11.2. ДА за периода'!F$155:F$175)</f>
        <v>1</v>
      </c>
      <c r="G219" s="1155">
        <f>$E219-SUMIF('11.2. ДА за периода'!$B$155:$B$175,$B219,'11.2. ДА за периода'!$E$155:$E$175)+SUMIF('11.2. ДА за периода'!$B$155:$B$175,$B219,'11.2. ДА за периода'!G$155:G$175)</f>
        <v>1</v>
      </c>
      <c r="H219" s="1155">
        <f>$E219-SUMIF('11.2. ДА за периода'!$B$155:$B$175,$B219,'11.2. ДА за периода'!$E$155:$E$175)+SUMIF('11.2. ДА за периода'!$B$155:$B$175,$B219,'11.2. ДА за периода'!H$155:H$175)</f>
        <v>1</v>
      </c>
      <c r="I219" s="1155">
        <f>$E219-SUMIF('11.2. ДА за периода'!$B$155:$B$175,$B219,'11.2. ДА за периода'!$E$155:$E$175)+SUMIF('11.2. ДА за периода'!$B$155:$B$175,$B219,'11.2. ДА за периода'!I$155:I$175)</f>
        <v>1</v>
      </c>
      <c r="J219" s="1155">
        <f>$E219-SUMIF('11.2. ДА за периода'!$B$155:$B$175,$B219,'11.2. ДА за периода'!$E$155:$E$175)+SUMIF('11.2. ДА за периода'!$B$155:$B$175,$B219,'11.2. ДА за периода'!J$155:J$175)</f>
        <v>1</v>
      </c>
      <c r="K219" s="2793">
        <f>$E219-SUMIF('11.2. ДА за периода'!$B$155:$B$175,$B219,'11.2. ДА за периода'!$E$155:$E$175)+SUMIF('11.2. ДА за периода'!$B$155:$B$175,$B219,'11.2. ДА за периода'!K$155:K$175)</f>
        <v>1</v>
      </c>
      <c r="L219" s="4738">
        <f>+'11.3. ДА Базова година'!J180</f>
        <v>0</v>
      </c>
      <c r="M219" s="2792">
        <f>$L219-SUMIF('11.2. ДА за периода'!$B$155:$B$175,$B219,'11.2. ДА за периода'!$L$155:$L$175)+SUMIF('11.2. ДА за периода'!$B$155:$B$175,$B219,'11.2. ДА за периода'!M$155:M$175)</f>
        <v>0</v>
      </c>
      <c r="N219" s="1155">
        <f>$L219-SUMIF('11.2. ДА за периода'!$B$155:$B$175,$B219,'11.2. ДА за периода'!$L$155:$L$175)+SUMIF('11.2. ДА за периода'!$B$155:$B$175,$B219,'11.2. ДА за периода'!N$155:N$175)</f>
        <v>0</v>
      </c>
      <c r="O219" s="1155">
        <f>$L219-SUMIF('11.2. ДА за периода'!$B$155:$B$175,$B219,'11.2. ДА за периода'!$L$155:$L$175)+SUMIF('11.2. ДА за периода'!$B$155:$B$175,$B219,'11.2. ДА за периода'!O$155:O$175)</f>
        <v>0</v>
      </c>
      <c r="P219" s="1155">
        <f>$L219-SUMIF('11.2. ДА за периода'!$B$155:$B$175,$B219,'11.2. ДА за периода'!$L$155:$L$175)+SUMIF('11.2. ДА за периода'!$B$155:$B$175,$B219,'11.2. ДА за периода'!P$155:P$175)</f>
        <v>0</v>
      </c>
      <c r="Q219" s="1155">
        <f>$L219-SUMIF('11.2. ДА за периода'!$B$155:$B$175,$B219,'11.2. ДА за периода'!$L$155:$L$175)+SUMIF('11.2. ДА за периода'!$B$155:$B$175,$B219,'11.2. ДА за периода'!Q$155:Q$175)</f>
        <v>0</v>
      </c>
      <c r="R219" s="2793">
        <f>$L219-SUMIF('11.2. ДА за периода'!$B$155:$B$175,$B219,'11.2. ДА за периода'!$L$155:$L$175)+SUMIF('11.2. ДА за периода'!$B$155:$B$175,$B219,'11.2. ДА за периода'!R$155:R$175)</f>
        <v>0</v>
      </c>
      <c r="S219" s="4738">
        <f>+'11.3. ДА Базова година'!N180</f>
        <v>0</v>
      </c>
      <c r="T219" s="2792">
        <f>$S219-SUMIF('11.2. ДА за периода'!$B$155:$B$175,$B219,'11.2. ДА за периода'!$S$155:$S$175)+SUMIF('11.2. ДА за периода'!$B$155:$B$175,$B219,'11.2. ДА за периода'!T$155:T$175)</f>
        <v>0</v>
      </c>
      <c r="U219" s="1155">
        <f>$S219-SUMIF('11.2. ДА за периода'!$B$155:$B$175,$B219,'11.2. ДА за периода'!$S$155:$S$175)+SUMIF('11.2. ДА за периода'!$B$155:$B$175,$B219,'11.2. ДА за периода'!U$155:U$175)</f>
        <v>0</v>
      </c>
      <c r="V219" s="1155">
        <f>$S219-SUMIF('11.2. ДА за периода'!$B$155:$B$175,$B219,'11.2. ДА за периода'!$S$155:$S$175)+SUMIF('11.2. ДА за периода'!$B$155:$B$175,$B219,'11.2. ДА за периода'!V$155:V$175)</f>
        <v>0</v>
      </c>
      <c r="W219" s="1155">
        <f>$S219-SUMIF('11.2. ДА за периода'!$B$155:$B$175,$B219,'11.2. ДА за периода'!$S$155:$S$175)+SUMIF('11.2. ДА за периода'!$B$155:$B$175,$B219,'11.2. ДА за периода'!W$155:W$175)</f>
        <v>0</v>
      </c>
      <c r="X219" s="1155">
        <f>$S219-SUMIF('11.2. ДА за периода'!$B$155:$B$175,$B219,'11.2. ДА за периода'!$S$155:$S$175)+SUMIF('11.2. ДА за периода'!$B$155:$B$175,$B219,'11.2. ДА за периода'!X$155:X$175)</f>
        <v>0</v>
      </c>
      <c r="Y219" s="2793">
        <f>$S219-SUMIF('11.2. ДА за периода'!$B$155:$B$175,$B219,'11.2. ДА за периода'!$S$155:$S$175)+SUMIF('11.2. ДА за периода'!$B$155:$B$175,$B219,'11.2. ДА за периода'!Y$155:Y$175)</f>
        <v>0</v>
      </c>
      <c r="Z219" s="4738">
        <f>+'11.3. ДА Базова година'!R180</f>
        <v>0</v>
      </c>
      <c r="AA219" s="2792">
        <f>$Z219-SUMIF('11.2. ДА за периода'!$B$155:$B$175,$B219,'11.2. ДА за периода'!$Z$155:$Z$175)+SUMIF('11.2. ДА за периода'!$B$155:$B$175,$B219,'11.2. ДА за периода'!AA$155:AA$175)</f>
        <v>0</v>
      </c>
      <c r="AB219" s="1155">
        <f>$Z219-SUMIF('11.2. ДА за периода'!$B$155:$B$175,$B219,'11.2. ДА за периода'!$Z$155:$Z$175)+SUMIF('11.2. ДА за периода'!$B$155:$B$175,$B219,'11.2. ДА за периода'!AB$155:AB$175)</f>
        <v>0</v>
      </c>
      <c r="AC219" s="1155">
        <f>$Z219-SUMIF('11.2. ДА за периода'!$B$155:$B$175,$B219,'11.2. ДА за периода'!$Z$155:$Z$175)+SUMIF('11.2. ДА за периода'!$B$155:$B$175,$B219,'11.2. ДА за периода'!AC$155:AC$175)</f>
        <v>0</v>
      </c>
      <c r="AD219" s="1155">
        <f>$Z219-SUMIF('11.2. ДА за периода'!$B$155:$B$175,$B219,'11.2. ДА за периода'!$Z$155:$Z$175)+SUMIF('11.2. ДА за периода'!$B$155:$B$175,$B219,'11.2. ДА за периода'!AD$155:AD$175)</f>
        <v>0</v>
      </c>
      <c r="AE219" s="1155">
        <f>$Z219-SUMIF('11.2. ДА за периода'!$B$155:$B$175,$B219,'11.2. ДА за периода'!$Z$155:$Z$175)+SUMIF('11.2. ДА за периода'!$B$155:$B$175,$B219,'11.2. ДА за периода'!AE$155:AE$175)</f>
        <v>0</v>
      </c>
      <c r="AF219" s="2793">
        <f>$Z219-SUMIF('11.2. ДА за периода'!$B$155:$B$175,$B219,'11.2. ДА за периода'!$Z$155:$Z$175)+SUMIF('11.2. ДА за периода'!$B$155:$B$175,$B219,'11.2. ДА за периода'!AF$155:AF$175)</f>
        <v>0</v>
      </c>
      <c r="AG219" s="4738">
        <f>+'11.3. ДА Базова година'!V180</f>
        <v>0</v>
      </c>
      <c r="AH219" s="2792">
        <f>$AG219-SUMIF('11.2. ДА за периода'!$B$155:$B$175,$B219,'11.2. ДА за периода'!$AG$155:$AG$175)+SUMIF('11.2. ДА за периода'!$B$155:$B$175,$B219,'11.2. ДА за периода'!AH$155:AH$175)</f>
        <v>0</v>
      </c>
      <c r="AI219" s="1155">
        <f>$AG219-SUMIF('11.2. ДА за периода'!$B$155:$B$175,$B219,'11.2. ДА за периода'!$AG$155:$AG$175)+SUMIF('11.2. ДА за периода'!$B$155:$B$175,$B219,'11.2. ДА за периода'!AI$155:AI$175)</f>
        <v>0</v>
      </c>
      <c r="AJ219" s="1155">
        <f>$AG219-SUMIF('11.2. ДА за периода'!$B$155:$B$175,$B219,'11.2. ДА за периода'!$AG$155:$AG$175)+SUMIF('11.2. ДА за периода'!$B$155:$B$175,$B219,'11.2. ДА за периода'!AJ$155:AJ$175)</f>
        <v>0</v>
      </c>
      <c r="AK219" s="1155">
        <f>$AG219-SUMIF('11.2. ДА за периода'!$B$155:$B$175,$B219,'11.2. ДА за периода'!$AG$155:$AG$175)+SUMIF('11.2. ДА за периода'!$B$155:$B$175,$B219,'11.2. ДА за периода'!AK$155:AK$175)</f>
        <v>0</v>
      </c>
      <c r="AL219" s="1155">
        <f>$AG219-SUMIF('11.2. ДА за периода'!$B$155:$B$175,$B219,'11.2. ДА за периода'!$AG$155:$AG$175)+SUMIF('11.2. ДА за периода'!$B$155:$B$175,$B219,'11.2. ДА за периода'!AL$155:AL$175)</f>
        <v>0</v>
      </c>
      <c r="AM219" s="2793">
        <f>$AG219-SUMIF('11.2. ДА за периода'!$B$155:$B$175,$B219,'11.2. ДА за периода'!$AG$155:$AG$175)+SUMIF('11.2. ДА за периода'!$B$155:$B$175,$B219,'11.2. ДА за периода'!AM$155:AM$175)</f>
        <v>0</v>
      </c>
      <c r="AN219" s="2692"/>
      <c r="AO219" s="2719"/>
      <c r="AP219" s="4775"/>
      <c r="AQ219" s="4794">
        <f t="shared" si="271"/>
        <v>0.51129188119621849</v>
      </c>
      <c r="AR219" s="4794">
        <f t="shared" si="272"/>
        <v>0.51129188119621849</v>
      </c>
      <c r="AS219" s="4794">
        <f t="shared" si="273"/>
        <v>0.51129188119621849</v>
      </c>
      <c r="AT219" s="4794">
        <f t="shared" si="274"/>
        <v>0.51129188119621849</v>
      </c>
      <c r="AU219" s="4794">
        <f t="shared" si="275"/>
        <v>0.51129188119621849</v>
      </c>
      <c r="AV219" s="4794">
        <f t="shared" si="276"/>
        <v>0.51129188119621849</v>
      </c>
      <c r="AW219" s="4794">
        <f t="shared" si="277"/>
        <v>0.51129188119621849</v>
      </c>
      <c r="AX219" s="4794">
        <f t="shared" si="278"/>
        <v>0</v>
      </c>
      <c r="AY219" s="4794">
        <f t="shared" si="279"/>
        <v>0</v>
      </c>
      <c r="AZ219" s="4794">
        <f t="shared" si="280"/>
        <v>0</v>
      </c>
      <c r="BA219" s="4794">
        <f t="shared" si="281"/>
        <v>0</v>
      </c>
      <c r="BB219" s="4794">
        <f t="shared" si="282"/>
        <v>0</v>
      </c>
      <c r="BC219" s="4794">
        <f t="shared" si="283"/>
        <v>0</v>
      </c>
      <c r="BD219" s="4794">
        <f t="shared" si="284"/>
        <v>0</v>
      </c>
      <c r="BE219" s="4794">
        <f t="shared" si="285"/>
        <v>0</v>
      </c>
      <c r="BF219" s="4794">
        <f t="shared" si="286"/>
        <v>0</v>
      </c>
      <c r="BG219" s="4794">
        <f t="shared" si="287"/>
        <v>0</v>
      </c>
      <c r="BH219" s="4794">
        <f t="shared" si="288"/>
        <v>0</v>
      </c>
      <c r="BI219" s="4794">
        <f t="shared" si="289"/>
        <v>0</v>
      </c>
      <c r="BJ219" s="4794">
        <f t="shared" si="290"/>
        <v>0</v>
      </c>
      <c r="BK219" s="4794">
        <f t="shared" si="291"/>
        <v>0</v>
      </c>
      <c r="BL219" s="4794">
        <f t="shared" si="292"/>
        <v>0</v>
      </c>
      <c r="BM219" s="4794">
        <f t="shared" si="293"/>
        <v>0</v>
      </c>
      <c r="BN219" s="4794">
        <f t="shared" si="294"/>
        <v>0</v>
      </c>
      <c r="BO219" s="4794">
        <f t="shared" si="295"/>
        <v>0</v>
      </c>
      <c r="BP219" s="4794">
        <f t="shared" si="296"/>
        <v>0</v>
      </c>
      <c r="BQ219" s="4794">
        <f t="shared" si="297"/>
        <v>0</v>
      </c>
      <c r="BR219" s="4794">
        <f t="shared" si="298"/>
        <v>0</v>
      </c>
      <c r="BS219" s="4794">
        <f t="shared" si="299"/>
        <v>0</v>
      </c>
      <c r="BT219" s="4794">
        <f t="shared" si="300"/>
        <v>0</v>
      </c>
      <c r="BU219" s="4794">
        <f t="shared" si="301"/>
        <v>0</v>
      </c>
      <c r="BV219" s="4794">
        <f t="shared" si="302"/>
        <v>0</v>
      </c>
      <c r="BW219" s="4794">
        <f t="shared" si="303"/>
        <v>0</v>
      </c>
      <c r="BX219" s="4794">
        <f t="shared" si="304"/>
        <v>0</v>
      </c>
      <c r="BY219" s="4794">
        <f t="shared" si="305"/>
        <v>0</v>
      </c>
    </row>
    <row r="220" spans="1:77" s="1344" customFormat="1">
      <c r="A220" s="2683">
        <v>6</v>
      </c>
      <c r="B220" s="2684" t="s">
        <v>715</v>
      </c>
      <c r="C220" s="2685">
        <v>0.1</v>
      </c>
      <c r="D220" s="2720" t="s">
        <v>1001</v>
      </c>
      <c r="E220" s="4738">
        <f>+'11.3. ДА Базова година'!F181</f>
        <v>5</v>
      </c>
      <c r="F220" s="2792">
        <f>$E220-SUMIF('11.2. ДА за периода'!$B$155:$B$175,$B220,'11.2. ДА за периода'!$E$155:$E$175)+SUMIF('11.2. ДА за периода'!$B$155:$B$175,$B220,'11.2. ДА за периода'!F$155:F$175)</f>
        <v>5</v>
      </c>
      <c r="G220" s="1155">
        <f>$E220-SUMIF('11.2. ДА за периода'!$B$155:$B$175,$B220,'11.2. ДА за периода'!$E$155:$E$175)+SUMIF('11.2. ДА за периода'!$B$155:$B$175,$B220,'11.2. ДА за периода'!G$155:G$175)</f>
        <v>5</v>
      </c>
      <c r="H220" s="1155">
        <f>$E220-SUMIF('11.2. ДА за периода'!$B$155:$B$175,$B220,'11.2. ДА за периода'!$E$155:$E$175)+SUMIF('11.2. ДА за периода'!$B$155:$B$175,$B220,'11.2. ДА за периода'!H$155:H$175)</f>
        <v>5</v>
      </c>
      <c r="I220" s="1155">
        <f>$E220-SUMIF('11.2. ДА за периода'!$B$155:$B$175,$B220,'11.2. ДА за периода'!$E$155:$E$175)+SUMIF('11.2. ДА за периода'!$B$155:$B$175,$B220,'11.2. ДА за периода'!I$155:I$175)</f>
        <v>5</v>
      </c>
      <c r="J220" s="1155">
        <f>$E220-SUMIF('11.2. ДА за периода'!$B$155:$B$175,$B220,'11.2. ДА за периода'!$E$155:$E$175)+SUMIF('11.2. ДА за периода'!$B$155:$B$175,$B220,'11.2. ДА за периода'!J$155:J$175)</f>
        <v>5</v>
      </c>
      <c r="K220" s="2793">
        <f>$E220-SUMIF('11.2. ДА за периода'!$B$155:$B$175,$B220,'11.2. ДА за периода'!$E$155:$E$175)+SUMIF('11.2. ДА за периода'!$B$155:$B$175,$B220,'11.2. ДА за периода'!K$155:K$175)</f>
        <v>5</v>
      </c>
      <c r="L220" s="4738">
        <f>+'11.3. ДА Базова година'!J181</f>
        <v>0</v>
      </c>
      <c r="M220" s="2792">
        <f>$L220-SUMIF('11.2. ДА за периода'!$B$155:$B$175,$B220,'11.2. ДА за периода'!$L$155:$L$175)+SUMIF('11.2. ДА за периода'!$B$155:$B$175,$B220,'11.2. ДА за периода'!M$155:M$175)</f>
        <v>0</v>
      </c>
      <c r="N220" s="1155">
        <f>$L220-SUMIF('11.2. ДА за периода'!$B$155:$B$175,$B220,'11.2. ДА за периода'!$L$155:$L$175)+SUMIF('11.2. ДА за периода'!$B$155:$B$175,$B220,'11.2. ДА за периода'!N$155:N$175)</f>
        <v>0</v>
      </c>
      <c r="O220" s="1155">
        <f>$L220-SUMIF('11.2. ДА за периода'!$B$155:$B$175,$B220,'11.2. ДА за периода'!$L$155:$L$175)+SUMIF('11.2. ДА за периода'!$B$155:$B$175,$B220,'11.2. ДА за периода'!O$155:O$175)</f>
        <v>0</v>
      </c>
      <c r="P220" s="1155">
        <f>$L220-SUMIF('11.2. ДА за периода'!$B$155:$B$175,$B220,'11.2. ДА за периода'!$L$155:$L$175)+SUMIF('11.2. ДА за периода'!$B$155:$B$175,$B220,'11.2. ДА за периода'!P$155:P$175)</f>
        <v>0</v>
      </c>
      <c r="Q220" s="1155">
        <f>$L220-SUMIF('11.2. ДА за периода'!$B$155:$B$175,$B220,'11.2. ДА за периода'!$L$155:$L$175)+SUMIF('11.2. ДА за периода'!$B$155:$B$175,$B220,'11.2. ДА за периода'!Q$155:Q$175)</f>
        <v>0</v>
      </c>
      <c r="R220" s="2793">
        <f>$L220-SUMIF('11.2. ДА за периода'!$B$155:$B$175,$B220,'11.2. ДА за периода'!$L$155:$L$175)+SUMIF('11.2. ДА за периода'!$B$155:$B$175,$B220,'11.2. ДА за периода'!R$155:R$175)</f>
        <v>0</v>
      </c>
      <c r="S220" s="4738">
        <f>+'11.3. ДА Базова година'!N181</f>
        <v>0</v>
      </c>
      <c r="T220" s="2792">
        <f>$S220-SUMIF('11.2. ДА за периода'!$B$155:$B$175,$B220,'11.2. ДА за периода'!$S$155:$S$175)+SUMIF('11.2. ДА за периода'!$B$155:$B$175,$B220,'11.2. ДА за периода'!T$155:T$175)</f>
        <v>0</v>
      </c>
      <c r="U220" s="1155">
        <f>$S220-SUMIF('11.2. ДА за периода'!$B$155:$B$175,$B220,'11.2. ДА за периода'!$S$155:$S$175)+SUMIF('11.2. ДА за периода'!$B$155:$B$175,$B220,'11.2. ДА за периода'!U$155:U$175)</f>
        <v>0</v>
      </c>
      <c r="V220" s="1155">
        <f>$S220-SUMIF('11.2. ДА за периода'!$B$155:$B$175,$B220,'11.2. ДА за периода'!$S$155:$S$175)+SUMIF('11.2. ДА за периода'!$B$155:$B$175,$B220,'11.2. ДА за периода'!V$155:V$175)</f>
        <v>0</v>
      </c>
      <c r="W220" s="1155">
        <f>$S220-SUMIF('11.2. ДА за периода'!$B$155:$B$175,$B220,'11.2. ДА за периода'!$S$155:$S$175)+SUMIF('11.2. ДА за периода'!$B$155:$B$175,$B220,'11.2. ДА за периода'!W$155:W$175)</f>
        <v>0</v>
      </c>
      <c r="X220" s="1155">
        <f>$S220-SUMIF('11.2. ДА за периода'!$B$155:$B$175,$B220,'11.2. ДА за периода'!$S$155:$S$175)+SUMIF('11.2. ДА за периода'!$B$155:$B$175,$B220,'11.2. ДА за периода'!X$155:X$175)</f>
        <v>0</v>
      </c>
      <c r="Y220" s="2793">
        <f>$S220-SUMIF('11.2. ДА за периода'!$B$155:$B$175,$B220,'11.2. ДА за периода'!$S$155:$S$175)+SUMIF('11.2. ДА за периода'!$B$155:$B$175,$B220,'11.2. ДА за периода'!Y$155:Y$175)</f>
        <v>0</v>
      </c>
      <c r="Z220" s="4738">
        <f>+'11.3. ДА Базова година'!R181</f>
        <v>0</v>
      </c>
      <c r="AA220" s="2792">
        <f>$Z220-SUMIF('11.2. ДА за периода'!$B$155:$B$175,$B220,'11.2. ДА за периода'!$Z$155:$Z$175)+SUMIF('11.2. ДА за периода'!$B$155:$B$175,$B220,'11.2. ДА за периода'!AA$155:AA$175)</f>
        <v>0</v>
      </c>
      <c r="AB220" s="1155">
        <f>$Z220-SUMIF('11.2. ДА за периода'!$B$155:$B$175,$B220,'11.2. ДА за периода'!$Z$155:$Z$175)+SUMIF('11.2. ДА за периода'!$B$155:$B$175,$B220,'11.2. ДА за периода'!AB$155:AB$175)</f>
        <v>0</v>
      </c>
      <c r="AC220" s="1155">
        <f>$Z220-SUMIF('11.2. ДА за периода'!$B$155:$B$175,$B220,'11.2. ДА за периода'!$Z$155:$Z$175)+SUMIF('11.2. ДА за периода'!$B$155:$B$175,$B220,'11.2. ДА за периода'!AC$155:AC$175)</f>
        <v>0</v>
      </c>
      <c r="AD220" s="1155">
        <f>$Z220-SUMIF('11.2. ДА за периода'!$B$155:$B$175,$B220,'11.2. ДА за периода'!$Z$155:$Z$175)+SUMIF('11.2. ДА за периода'!$B$155:$B$175,$B220,'11.2. ДА за периода'!AD$155:AD$175)</f>
        <v>0</v>
      </c>
      <c r="AE220" s="1155">
        <f>$Z220-SUMIF('11.2. ДА за периода'!$B$155:$B$175,$B220,'11.2. ДА за периода'!$Z$155:$Z$175)+SUMIF('11.2. ДА за периода'!$B$155:$B$175,$B220,'11.2. ДА за периода'!AE$155:AE$175)</f>
        <v>0</v>
      </c>
      <c r="AF220" s="2793">
        <f>$Z220-SUMIF('11.2. ДА за периода'!$B$155:$B$175,$B220,'11.2. ДА за периода'!$Z$155:$Z$175)+SUMIF('11.2. ДА за периода'!$B$155:$B$175,$B220,'11.2. ДА за периода'!AF$155:AF$175)</f>
        <v>0</v>
      </c>
      <c r="AG220" s="4738">
        <f>+'11.3. ДА Базова година'!V181</f>
        <v>0</v>
      </c>
      <c r="AH220" s="2792">
        <f>$AG220-SUMIF('11.2. ДА за периода'!$B$155:$B$175,$B220,'11.2. ДА за периода'!$AG$155:$AG$175)+SUMIF('11.2. ДА за периода'!$B$155:$B$175,$B220,'11.2. ДА за периода'!AH$155:AH$175)</f>
        <v>0</v>
      </c>
      <c r="AI220" s="1155">
        <f>$AG220-SUMIF('11.2. ДА за периода'!$B$155:$B$175,$B220,'11.2. ДА за периода'!$AG$155:$AG$175)+SUMIF('11.2. ДА за периода'!$B$155:$B$175,$B220,'11.2. ДА за периода'!AI$155:AI$175)</f>
        <v>0</v>
      </c>
      <c r="AJ220" s="1155">
        <f>$AG220-SUMIF('11.2. ДА за периода'!$B$155:$B$175,$B220,'11.2. ДА за периода'!$AG$155:$AG$175)+SUMIF('11.2. ДА за периода'!$B$155:$B$175,$B220,'11.2. ДА за периода'!AJ$155:AJ$175)</f>
        <v>0</v>
      </c>
      <c r="AK220" s="1155">
        <f>$AG220-SUMIF('11.2. ДА за периода'!$B$155:$B$175,$B220,'11.2. ДА за периода'!$AG$155:$AG$175)+SUMIF('11.2. ДА за периода'!$B$155:$B$175,$B220,'11.2. ДА за периода'!AK$155:AK$175)</f>
        <v>0</v>
      </c>
      <c r="AL220" s="1155">
        <f>$AG220-SUMIF('11.2. ДА за периода'!$B$155:$B$175,$B220,'11.2. ДА за периода'!$AG$155:$AG$175)+SUMIF('11.2. ДА за периода'!$B$155:$B$175,$B220,'11.2. ДА за периода'!AL$155:AL$175)</f>
        <v>0</v>
      </c>
      <c r="AM220" s="2793">
        <f>$AG220-SUMIF('11.2. ДА за периода'!$B$155:$B$175,$B220,'11.2. ДА за периода'!$AG$155:$AG$175)+SUMIF('11.2. ДА за периода'!$B$155:$B$175,$B220,'11.2. ДА за периода'!AM$155:AM$175)</f>
        <v>0</v>
      </c>
      <c r="AN220" s="2692"/>
      <c r="AO220" s="2719"/>
      <c r="AP220" s="4775"/>
      <c r="AQ220" s="4794">
        <f t="shared" si="271"/>
        <v>2.5564594059810926</v>
      </c>
      <c r="AR220" s="4794">
        <f t="shared" si="272"/>
        <v>2.5564594059810926</v>
      </c>
      <c r="AS220" s="4794">
        <f t="shared" si="273"/>
        <v>2.5564594059810926</v>
      </c>
      <c r="AT220" s="4794">
        <f t="shared" si="274"/>
        <v>2.5564594059810926</v>
      </c>
      <c r="AU220" s="4794">
        <f t="shared" si="275"/>
        <v>2.5564594059810926</v>
      </c>
      <c r="AV220" s="4794">
        <f t="shared" si="276"/>
        <v>2.5564594059810926</v>
      </c>
      <c r="AW220" s="4794">
        <f t="shared" si="277"/>
        <v>2.5564594059810926</v>
      </c>
      <c r="AX220" s="4794">
        <f t="shared" si="278"/>
        <v>0</v>
      </c>
      <c r="AY220" s="4794">
        <f t="shared" si="279"/>
        <v>0</v>
      </c>
      <c r="AZ220" s="4794">
        <f t="shared" si="280"/>
        <v>0</v>
      </c>
      <c r="BA220" s="4794">
        <f t="shared" si="281"/>
        <v>0</v>
      </c>
      <c r="BB220" s="4794">
        <f t="shared" si="282"/>
        <v>0</v>
      </c>
      <c r="BC220" s="4794">
        <f t="shared" si="283"/>
        <v>0</v>
      </c>
      <c r="BD220" s="4794">
        <f t="shared" si="284"/>
        <v>0</v>
      </c>
      <c r="BE220" s="4794">
        <f t="shared" si="285"/>
        <v>0</v>
      </c>
      <c r="BF220" s="4794">
        <f t="shared" si="286"/>
        <v>0</v>
      </c>
      <c r="BG220" s="4794">
        <f t="shared" si="287"/>
        <v>0</v>
      </c>
      <c r="BH220" s="4794">
        <f t="shared" si="288"/>
        <v>0</v>
      </c>
      <c r="BI220" s="4794">
        <f t="shared" si="289"/>
        <v>0</v>
      </c>
      <c r="BJ220" s="4794">
        <f t="shared" si="290"/>
        <v>0</v>
      </c>
      <c r="BK220" s="4794">
        <f t="shared" si="291"/>
        <v>0</v>
      </c>
      <c r="BL220" s="4794">
        <f t="shared" si="292"/>
        <v>0</v>
      </c>
      <c r="BM220" s="4794">
        <f t="shared" si="293"/>
        <v>0</v>
      </c>
      <c r="BN220" s="4794">
        <f t="shared" si="294"/>
        <v>0</v>
      </c>
      <c r="BO220" s="4794">
        <f t="shared" si="295"/>
        <v>0</v>
      </c>
      <c r="BP220" s="4794">
        <f t="shared" si="296"/>
        <v>0</v>
      </c>
      <c r="BQ220" s="4794">
        <f t="shared" si="297"/>
        <v>0</v>
      </c>
      <c r="BR220" s="4794">
        <f t="shared" si="298"/>
        <v>0</v>
      </c>
      <c r="BS220" s="4794">
        <f t="shared" si="299"/>
        <v>0</v>
      </c>
      <c r="BT220" s="4794">
        <f t="shared" si="300"/>
        <v>0</v>
      </c>
      <c r="BU220" s="4794">
        <f t="shared" si="301"/>
        <v>0</v>
      </c>
      <c r="BV220" s="4794">
        <f t="shared" si="302"/>
        <v>0</v>
      </c>
      <c r="BW220" s="4794">
        <f t="shared" si="303"/>
        <v>0</v>
      </c>
      <c r="BX220" s="4794">
        <f t="shared" si="304"/>
        <v>0</v>
      </c>
      <c r="BY220" s="4794">
        <f t="shared" si="305"/>
        <v>0</v>
      </c>
    </row>
    <row r="221" spans="1:77" s="1344" customFormat="1" ht="24">
      <c r="A221" s="2683">
        <v>7</v>
      </c>
      <c r="B221" s="2684" t="s">
        <v>706</v>
      </c>
      <c r="C221" s="2685">
        <v>0.1</v>
      </c>
      <c r="D221" s="2720" t="s">
        <v>695</v>
      </c>
      <c r="E221" s="4738">
        <f>+'11.3. ДА Базова година'!F182</f>
        <v>7</v>
      </c>
      <c r="F221" s="2792">
        <f>$E221-SUMIF('11.2. ДА за периода'!$B$155:$B$175,$B221,'11.2. ДА за периода'!$E$155:$E$175)+SUMIF('11.2. ДА за периода'!$B$155:$B$175,$B221,'11.2. ДА за периода'!F$155:F$175)</f>
        <v>7</v>
      </c>
      <c r="G221" s="1155">
        <f>$E221-SUMIF('11.2. ДА за периода'!$B$155:$B$175,$B221,'11.2. ДА за периода'!$E$155:$E$175)+SUMIF('11.2. ДА за периода'!$B$155:$B$175,$B221,'11.2. ДА за периода'!G$155:G$175)</f>
        <v>7</v>
      </c>
      <c r="H221" s="1155">
        <f>$E221-SUMIF('11.2. ДА за периода'!$B$155:$B$175,$B221,'11.2. ДА за периода'!$E$155:$E$175)+SUMIF('11.2. ДА за периода'!$B$155:$B$175,$B221,'11.2. ДА за периода'!H$155:H$175)</f>
        <v>7</v>
      </c>
      <c r="I221" s="1155">
        <f>$E221-SUMIF('11.2. ДА за периода'!$B$155:$B$175,$B221,'11.2. ДА за периода'!$E$155:$E$175)+SUMIF('11.2. ДА за периода'!$B$155:$B$175,$B221,'11.2. ДА за периода'!I$155:I$175)</f>
        <v>7</v>
      </c>
      <c r="J221" s="1155">
        <f>$E221-SUMIF('11.2. ДА за периода'!$B$155:$B$175,$B221,'11.2. ДА за периода'!$E$155:$E$175)+SUMIF('11.2. ДА за периода'!$B$155:$B$175,$B221,'11.2. ДА за периода'!J$155:J$175)</f>
        <v>7</v>
      </c>
      <c r="K221" s="2793">
        <f>$E221-SUMIF('11.2. ДА за периода'!$B$155:$B$175,$B221,'11.2. ДА за периода'!$E$155:$E$175)+SUMIF('11.2. ДА за периода'!$B$155:$B$175,$B221,'11.2. ДА за периода'!K$155:K$175)</f>
        <v>7</v>
      </c>
      <c r="L221" s="4738">
        <f>+'11.3. ДА Базова година'!J182</f>
        <v>0</v>
      </c>
      <c r="M221" s="2792">
        <f>$L221-SUMIF('11.2. ДА за периода'!$B$155:$B$175,$B221,'11.2. ДА за периода'!$L$155:$L$175)+SUMIF('11.2. ДА за периода'!$B$155:$B$175,$B221,'11.2. ДА за периода'!M$155:M$175)</f>
        <v>0</v>
      </c>
      <c r="N221" s="1155">
        <f>$L221-SUMIF('11.2. ДА за периода'!$B$155:$B$175,$B221,'11.2. ДА за периода'!$L$155:$L$175)+SUMIF('11.2. ДА за периода'!$B$155:$B$175,$B221,'11.2. ДА за периода'!N$155:N$175)</f>
        <v>0</v>
      </c>
      <c r="O221" s="1155">
        <f>$L221-SUMIF('11.2. ДА за периода'!$B$155:$B$175,$B221,'11.2. ДА за периода'!$L$155:$L$175)+SUMIF('11.2. ДА за периода'!$B$155:$B$175,$B221,'11.2. ДА за периода'!O$155:O$175)</f>
        <v>0</v>
      </c>
      <c r="P221" s="1155">
        <f>$L221-SUMIF('11.2. ДА за периода'!$B$155:$B$175,$B221,'11.2. ДА за периода'!$L$155:$L$175)+SUMIF('11.2. ДА за периода'!$B$155:$B$175,$B221,'11.2. ДА за периода'!P$155:P$175)</f>
        <v>0</v>
      </c>
      <c r="Q221" s="1155">
        <f>$L221-SUMIF('11.2. ДА за периода'!$B$155:$B$175,$B221,'11.2. ДА за периода'!$L$155:$L$175)+SUMIF('11.2. ДА за периода'!$B$155:$B$175,$B221,'11.2. ДА за периода'!Q$155:Q$175)</f>
        <v>0</v>
      </c>
      <c r="R221" s="2793">
        <f>$L221-SUMIF('11.2. ДА за периода'!$B$155:$B$175,$B221,'11.2. ДА за периода'!$L$155:$L$175)+SUMIF('11.2. ДА за периода'!$B$155:$B$175,$B221,'11.2. ДА за периода'!R$155:R$175)</f>
        <v>0</v>
      </c>
      <c r="S221" s="4738">
        <f>+'11.3. ДА Базова година'!N182</f>
        <v>0</v>
      </c>
      <c r="T221" s="2792">
        <f>$S221-SUMIF('11.2. ДА за периода'!$B$155:$B$175,$B221,'11.2. ДА за периода'!$S$155:$S$175)+SUMIF('11.2. ДА за периода'!$B$155:$B$175,$B221,'11.2. ДА за периода'!T$155:T$175)</f>
        <v>0</v>
      </c>
      <c r="U221" s="1155">
        <f>$S221-SUMIF('11.2. ДА за периода'!$B$155:$B$175,$B221,'11.2. ДА за периода'!$S$155:$S$175)+SUMIF('11.2. ДА за периода'!$B$155:$B$175,$B221,'11.2. ДА за периода'!U$155:U$175)</f>
        <v>0</v>
      </c>
      <c r="V221" s="1155">
        <f>$S221-SUMIF('11.2. ДА за периода'!$B$155:$B$175,$B221,'11.2. ДА за периода'!$S$155:$S$175)+SUMIF('11.2. ДА за периода'!$B$155:$B$175,$B221,'11.2. ДА за периода'!V$155:V$175)</f>
        <v>0</v>
      </c>
      <c r="W221" s="1155">
        <f>$S221-SUMIF('11.2. ДА за периода'!$B$155:$B$175,$B221,'11.2. ДА за периода'!$S$155:$S$175)+SUMIF('11.2. ДА за периода'!$B$155:$B$175,$B221,'11.2. ДА за периода'!W$155:W$175)</f>
        <v>0</v>
      </c>
      <c r="X221" s="1155">
        <f>$S221-SUMIF('11.2. ДА за периода'!$B$155:$B$175,$B221,'11.2. ДА за периода'!$S$155:$S$175)+SUMIF('11.2. ДА за периода'!$B$155:$B$175,$B221,'11.2. ДА за периода'!X$155:X$175)</f>
        <v>0</v>
      </c>
      <c r="Y221" s="2793">
        <f>$S221-SUMIF('11.2. ДА за периода'!$B$155:$B$175,$B221,'11.2. ДА за периода'!$S$155:$S$175)+SUMIF('11.2. ДА за периода'!$B$155:$B$175,$B221,'11.2. ДА за периода'!Y$155:Y$175)</f>
        <v>0</v>
      </c>
      <c r="Z221" s="4738">
        <f>+'11.3. ДА Базова година'!R182</f>
        <v>0</v>
      </c>
      <c r="AA221" s="2792">
        <f>$Z221-SUMIF('11.2. ДА за периода'!$B$155:$B$175,$B221,'11.2. ДА за периода'!$Z$155:$Z$175)+SUMIF('11.2. ДА за периода'!$B$155:$B$175,$B221,'11.2. ДА за периода'!AA$155:AA$175)</f>
        <v>0</v>
      </c>
      <c r="AB221" s="1155">
        <f>$Z221-SUMIF('11.2. ДА за периода'!$B$155:$B$175,$B221,'11.2. ДА за периода'!$Z$155:$Z$175)+SUMIF('11.2. ДА за периода'!$B$155:$B$175,$B221,'11.2. ДА за периода'!AB$155:AB$175)</f>
        <v>0</v>
      </c>
      <c r="AC221" s="1155">
        <f>$Z221-SUMIF('11.2. ДА за периода'!$B$155:$B$175,$B221,'11.2. ДА за периода'!$Z$155:$Z$175)+SUMIF('11.2. ДА за периода'!$B$155:$B$175,$B221,'11.2. ДА за периода'!AC$155:AC$175)</f>
        <v>0</v>
      </c>
      <c r="AD221" s="1155">
        <f>$Z221-SUMIF('11.2. ДА за периода'!$B$155:$B$175,$B221,'11.2. ДА за периода'!$Z$155:$Z$175)+SUMIF('11.2. ДА за периода'!$B$155:$B$175,$B221,'11.2. ДА за периода'!AD$155:AD$175)</f>
        <v>0</v>
      </c>
      <c r="AE221" s="1155">
        <f>$Z221-SUMIF('11.2. ДА за периода'!$B$155:$B$175,$B221,'11.2. ДА за периода'!$Z$155:$Z$175)+SUMIF('11.2. ДА за периода'!$B$155:$B$175,$B221,'11.2. ДА за периода'!AE$155:AE$175)</f>
        <v>0</v>
      </c>
      <c r="AF221" s="2793">
        <f>$Z221-SUMIF('11.2. ДА за периода'!$B$155:$B$175,$B221,'11.2. ДА за периода'!$Z$155:$Z$175)+SUMIF('11.2. ДА за периода'!$B$155:$B$175,$B221,'11.2. ДА за периода'!AF$155:AF$175)</f>
        <v>0</v>
      </c>
      <c r="AG221" s="4738">
        <f>+'11.3. ДА Базова година'!V182</f>
        <v>0</v>
      </c>
      <c r="AH221" s="2792">
        <f>$AG221-SUMIF('11.2. ДА за периода'!$B$155:$B$175,$B221,'11.2. ДА за периода'!$AG$155:$AG$175)+SUMIF('11.2. ДА за периода'!$B$155:$B$175,$B221,'11.2. ДА за периода'!AH$155:AH$175)</f>
        <v>0</v>
      </c>
      <c r="AI221" s="1155">
        <f>$AG221-SUMIF('11.2. ДА за периода'!$B$155:$B$175,$B221,'11.2. ДА за периода'!$AG$155:$AG$175)+SUMIF('11.2. ДА за периода'!$B$155:$B$175,$B221,'11.2. ДА за периода'!AI$155:AI$175)</f>
        <v>0</v>
      </c>
      <c r="AJ221" s="1155">
        <f>$AG221-SUMIF('11.2. ДА за периода'!$B$155:$B$175,$B221,'11.2. ДА за периода'!$AG$155:$AG$175)+SUMIF('11.2. ДА за периода'!$B$155:$B$175,$B221,'11.2. ДА за периода'!AJ$155:AJ$175)</f>
        <v>0</v>
      </c>
      <c r="AK221" s="1155">
        <f>$AG221-SUMIF('11.2. ДА за периода'!$B$155:$B$175,$B221,'11.2. ДА за периода'!$AG$155:$AG$175)+SUMIF('11.2. ДА за периода'!$B$155:$B$175,$B221,'11.2. ДА за периода'!AK$155:AK$175)</f>
        <v>0</v>
      </c>
      <c r="AL221" s="1155">
        <f>$AG221-SUMIF('11.2. ДА за периода'!$B$155:$B$175,$B221,'11.2. ДА за периода'!$AG$155:$AG$175)+SUMIF('11.2. ДА за периода'!$B$155:$B$175,$B221,'11.2. ДА за периода'!AL$155:AL$175)</f>
        <v>0</v>
      </c>
      <c r="AM221" s="2793">
        <f>$AG221-SUMIF('11.2. ДА за периода'!$B$155:$B$175,$B221,'11.2. ДА за периода'!$AG$155:$AG$175)+SUMIF('11.2. ДА за периода'!$B$155:$B$175,$B221,'11.2. ДА за периода'!AM$155:AM$175)</f>
        <v>0</v>
      </c>
      <c r="AN221" s="2692"/>
      <c r="AO221" s="2719"/>
      <c r="AP221" s="4775"/>
      <c r="AQ221" s="4794">
        <f t="shared" si="271"/>
        <v>3.5790431683735293</v>
      </c>
      <c r="AR221" s="4794">
        <f t="shared" si="272"/>
        <v>3.5790431683735293</v>
      </c>
      <c r="AS221" s="4794">
        <f t="shared" si="273"/>
        <v>3.5790431683735293</v>
      </c>
      <c r="AT221" s="4794">
        <f t="shared" si="274"/>
        <v>3.5790431683735293</v>
      </c>
      <c r="AU221" s="4794">
        <f t="shared" si="275"/>
        <v>3.5790431683735293</v>
      </c>
      <c r="AV221" s="4794">
        <f t="shared" si="276"/>
        <v>3.5790431683735293</v>
      </c>
      <c r="AW221" s="4794">
        <f t="shared" si="277"/>
        <v>3.5790431683735293</v>
      </c>
      <c r="AX221" s="4794">
        <f t="shared" si="278"/>
        <v>0</v>
      </c>
      <c r="AY221" s="4794">
        <f t="shared" si="279"/>
        <v>0</v>
      </c>
      <c r="AZ221" s="4794">
        <f t="shared" si="280"/>
        <v>0</v>
      </c>
      <c r="BA221" s="4794">
        <f t="shared" si="281"/>
        <v>0</v>
      </c>
      <c r="BB221" s="4794">
        <f t="shared" si="282"/>
        <v>0</v>
      </c>
      <c r="BC221" s="4794">
        <f t="shared" si="283"/>
        <v>0</v>
      </c>
      <c r="BD221" s="4794">
        <f t="shared" si="284"/>
        <v>0</v>
      </c>
      <c r="BE221" s="4794">
        <f t="shared" si="285"/>
        <v>0</v>
      </c>
      <c r="BF221" s="4794">
        <f t="shared" si="286"/>
        <v>0</v>
      </c>
      <c r="BG221" s="4794">
        <f t="shared" si="287"/>
        <v>0</v>
      </c>
      <c r="BH221" s="4794">
        <f t="shared" si="288"/>
        <v>0</v>
      </c>
      <c r="BI221" s="4794">
        <f t="shared" si="289"/>
        <v>0</v>
      </c>
      <c r="BJ221" s="4794">
        <f t="shared" si="290"/>
        <v>0</v>
      </c>
      <c r="BK221" s="4794">
        <f t="shared" si="291"/>
        <v>0</v>
      </c>
      <c r="BL221" s="4794">
        <f t="shared" si="292"/>
        <v>0</v>
      </c>
      <c r="BM221" s="4794">
        <f t="shared" si="293"/>
        <v>0</v>
      </c>
      <c r="BN221" s="4794">
        <f t="shared" si="294"/>
        <v>0</v>
      </c>
      <c r="BO221" s="4794">
        <f t="shared" si="295"/>
        <v>0</v>
      </c>
      <c r="BP221" s="4794">
        <f t="shared" si="296"/>
        <v>0</v>
      </c>
      <c r="BQ221" s="4794">
        <f t="shared" si="297"/>
        <v>0</v>
      </c>
      <c r="BR221" s="4794">
        <f t="shared" si="298"/>
        <v>0</v>
      </c>
      <c r="BS221" s="4794">
        <f t="shared" si="299"/>
        <v>0</v>
      </c>
      <c r="BT221" s="4794">
        <f t="shared" si="300"/>
        <v>0</v>
      </c>
      <c r="BU221" s="4794">
        <f t="shared" si="301"/>
        <v>0</v>
      </c>
      <c r="BV221" s="4794">
        <f t="shared" si="302"/>
        <v>0</v>
      </c>
      <c r="BW221" s="4794">
        <f t="shared" si="303"/>
        <v>0</v>
      </c>
      <c r="BX221" s="4794">
        <f t="shared" si="304"/>
        <v>0</v>
      </c>
      <c r="BY221" s="4794">
        <f t="shared" si="305"/>
        <v>0</v>
      </c>
    </row>
    <row r="222" spans="1:77" s="1344" customFormat="1">
      <c r="A222" s="2683">
        <v>8</v>
      </c>
      <c r="B222" s="2684" t="s">
        <v>716</v>
      </c>
      <c r="C222" s="2685">
        <v>0.1</v>
      </c>
      <c r="D222" s="2720" t="s">
        <v>713</v>
      </c>
      <c r="E222" s="4738">
        <f>+'11.3. ДА Базова година'!F183</f>
        <v>134</v>
      </c>
      <c r="F222" s="2792">
        <f>$E222-SUMIF('11.2. ДА за периода'!$B$155:$B$175,$B222,'11.2. ДА за периода'!$E$155:$E$175)+SUMIF('11.2. ДА за периода'!$B$155:$B$175,$B222,'11.2. ДА за периода'!F$155:F$175)</f>
        <v>134</v>
      </c>
      <c r="G222" s="1155">
        <f>$E222-SUMIF('11.2. ДА за периода'!$B$155:$B$175,$B222,'11.2. ДА за периода'!$E$155:$E$175)+SUMIF('11.2. ДА за периода'!$B$155:$B$175,$B222,'11.2. ДА за периода'!G$155:G$175)</f>
        <v>134</v>
      </c>
      <c r="H222" s="1155">
        <f>$E222-SUMIF('11.2. ДА за периода'!$B$155:$B$175,$B222,'11.2. ДА за периода'!$E$155:$E$175)+SUMIF('11.2. ДА за периода'!$B$155:$B$175,$B222,'11.2. ДА за периода'!H$155:H$175)</f>
        <v>134</v>
      </c>
      <c r="I222" s="1155">
        <f>$E222-SUMIF('11.2. ДА за периода'!$B$155:$B$175,$B222,'11.2. ДА за периода'!$E$155:$E$175)+SUMIF('11.2. ДА за периода'!$B$155:$B$175,$B222,'11.2. ДА за периода'!I$155:I$175)</f>
        <v>134</v>
      </c>
      <c r="J222" s="1155">
        <f>$E222-SUMIF('11.2. ДА за периода'!$B$155:$B$175,$B222,'11.2. ДА за периода'!$E$155:$E$175)+SUMIF('11.2. ДА за периода'!$B$155:$B$175,$B222,'11.2. ДА за периода'!J$155:J$175)</f>
        <v>134</v>
      </c>
      <c r="K222" s="2793">
        <f>$E222-SUMIF('11.2. ДА за периода'!$B$155:$B$175,$B222,'11.2. ДА за периода'!$E$155:$E$175)+SUMIF('11.2. ДА за периода'!$B$155:$B$175,$B222,'11.2. ДА за периода'!K$155:K$175)</f>
        <v>134</v>
      </c>
      <c r="L222" s="4738">
        <f>+'11.3. ДА Базова година'!J183</f>
        <v>0</v>
      </c>
      <c r="M222" s="2792">
        <f>$L222-SUMIF('11.2. ДА за периода'!$B$155:$B$175,$B222,'11.2. ДА за периода'!$L$155:$L$175)+SUMIF('11.2. ДА за периода'!$B$155:$B$175,$B222,'11.2. ДА за периода'!M$155:M$175)</f>
        <v>0</v>
      </c>
      <c r="N222" s="1155">
        <f>$L222-SUMIF('11.2. ДА за периода'!$B$155:$B$175,$B222,'11.2. ДА за периода'!$L$155:$L$175)+SUMIF('11.2. ДА за периода'!$B$155:$B$175,$B222,'11.2. ДА за периода'!N$155:N$175)</f>
        <v>0</v>
      </c>
      <c r="O222" s="1155">
        <f>$L222-SUMIF('11.2. ДА за периода'!$B$155:$B$175,$B222,'11.2. ДА за периода'!$L$155:$L$175)+SUMIF('11.2. ДА за периода'!$B$155:$B$175,$B222,'11.2. ДА за периода'!O$155:O$175)</f>
        <v>0</v>
      </c>
      <c r="P222" s="1155">
        <f>$L222-SUMIF('11.2. ДА за периода'!$B$155:$B$175,$B222,'11.2. ДА за периода'!$L$155:$L$175)+SUMIF('11.2. ДА за периода'!$B$155:$B$175,$B222,'11.2. ДА за периода'!P$155:P$175)</f>
        <v>0</v>
      </c>
      <c r="Q222" s="1155">
        <f>$L222-SUMIF('11.2. ДА за периода'!$B$155:$B$175,$B222,'11.2. ДА за периода'!$L$155:$L$175)+SUMIF('11.2. ДА за периода'!$B$155:$B$175,$B222,'11.2. ДА за периода'!Q$155:Q$175)</f>
        <v>0</v>
      </c>
      <c r="R222" s="2793">
        <f>$L222-SUMIF('11.2. ДА за периода'!$B$155:$B$175,$B222,'11.2. ДА за периода'!$L$155:$L$175)+SUMIF('11.2. ДА за периода'!$B$155:$B$175,$B222,'11.2. ДА за периода'!R$155:R$175)</f>
        <v>0</v>
      </c>
      <c r="S222" s="4738">
        <f>+'11.3. ДА Базова година'!N183</f>
        <v>0</v>
      </c>
      <c r="T222" s="2792">
        <f>$S222-SUMIF('11.2. ДА за периода'!$B$155:$B$175,$B222,'11.2. ДА за периода'!$S$155:$S$175)+SUMIF('11.2. ДА за периода'!$B$155:$B$175,$B222,'11.2. ДА за периода'!T$155:T$175)</f>
        <v>0</v>
      </c>
      <c r="U222" s="1155">
        <f>$S222-SUMIF('11.2. ДА за периода'!$B$155:$B$175,$B222,'11.2. ДА за периода'!$S$155:$S$175)+SUMIF('11.2. ДА за периода'!$B$155:$B$175,$B222,'11.2. ДА за периода'!U$155:U$175)</f>
        <v>0</v>
      </c>
      <c r="V222" s="1155">
        <f>$S222-SUMIF('11.2. ДА за периода'!$B$155:$B$175,$B222,'11.2. ДА за периода'!$S$155:$S$175)+SUMIF('11.2. ДА за периода'!$B$155:$B$175,$B222,'11.2. ДА за периода'!V$155:V$175)</f>
        <v>0</v>
      </c>
      <c r="W222" s="1155">
        <f>$S222-SUMIF('11.2. ДА за периода'!$B$155:$B$175,$B222,'11.2. ДА за периода'!$S$155:$S$175)+SUMIF('11.2. ДА за периода'!$B$155:$B$175,$B222,'11.2. ДА за периода'!W$155:W$175)</f>
        <v>0</v>
      </c>
      <c r="X222" s="1155">
        <f>$S222-SUMIF('11.2. ДА за периода'!$B$155:$B$175,$B222,'11.2. ДА за периода'!$S$155:$S$175)+SUMIF('11.2. ДА за периода'!$B$155:$B$175,$B222,'11.2. ДА за периода'!X$155:X$175)</f>
        <v>0</v>
      </c>
      <c r="Y222" s="2793">
        <f>$S222-SUMIF('11.2. ДА за периода'!$B$155:$B$175,$B222,'11.2. ДА за периода'!$S$155:$S$175)+SUMIF('11.2. ДА за периода'!$B$155:$B$175,$B222,'11.2. ДА за периода'!Y$155:Y$175)</f>
        <v>0</v>
      </c>
      <c r="Z222" s="4738">
        <f>+'11.3. ДА Базова година'!R183</f>
        <v>0</v>
      </c>
      <c r="AA222" s="2792">
        <f>$Z222-SUMIF('11.2. ДА за периода'!$B$155:$B$175,$B222,'11.2. ДА за периода'!$Z$155:$Z$175)+SUMIF('11.2. ДА за периода'!$B$155:$B$175,$B222,'11.2. ДА за периода'!AA$155:AA$175)</f>
        <v>0</v>
      </c>
      <c r="AB222" s="1155">
        <f>$Z222-SUMIF('11.2. ДА за периода'!$B$155:$B$175,$B222,'11.2. ДА за периода'!$Z$155:$Z$175)+SUMIF('11.2. ДА за периода'!$B$155:$B$175,$B222,'11.2. ДА за периода'!AB$155:AB$175)</f>
        <v>0</v>
      </c>
      <c r="AC222" s="1155">
        <f>$Z222-SUMIF('11.2. ДА за периода'!$B$155:$B$175,$B222,'11.2. ДА за периода'!$Z$155:$Z$175)+SUMIF('11.2. ДА за периода'!$B$155:$B$175,$B222,'11.2. ДА за периода'!AC$155:AC$175)</f>
        <v>0</v>
      </c>
      <c r="AD222" s="1155">
        <f>$Z222-SUMIF('11.2. ДА за периода'!$B$155:$B$175,$B222,'11.2. ДА за периода'!$Z$155:$Z$175)+SUMIF('11.2. ДА за периода'!$B$155:$B$175,$B222,'11.2. ДА за периода'!AD$155:AD$175)</f>
        <v>0</v>
      </c>
      <c r="AE222" s="1155">
        <f>$Z222-SUMIF('11.2. ДА за периода'!$B$155:$B$175,$B222,'11.2. ДА за периода'!$Z$155:$Z$175)+SUMIF('11.2. ДА за периода'!$B$155:$B$175,$B222,'11.2. ДА за периода'!AE$155:AE$175)</f>
        <v>0</v>
      </c>
      <c r="AF222" s="2793">
        <f>$Z222-SUMIF('11.2. ДА за периода'!$B$155:$B$175,$B222,'11.2. ДА за периода'!$Z$155:$Z$175)+SUMIF('11.2. ДА за периода'!$B$155:$B$175,$B222,'11.2. ДА за периода'!AF$155:AF$175)</f>
        <v>0</v>
      </c>
      <c r="AG222" s="4738">
        <f>+'11.3. ДА Базова година'!V183</f>
        <v>0</v>
      </c>
      <c r="AH222" s="2792">
        <f>$AG222-SUMIF('11.2. ДА за периода'!$B$155:$B$175,$B222,'11.2. ДА за периода'!$AG$155:$AG$175)+SUMIF('11.2. ДА за периода'!$B$155:$B$175,$B222,'11.2. ДА за периода'!AH$155:AH$175)</f>
        <v>0</v>
      </c>
      <c r="AI222" s="1155">
        <f>$AG222-SUMIF('11.2. ДА за периода'!$B$155:$B$175,$B222,'11.2. ДА за периода'!$AG$155:$AG$175)+SUMIF('11.2. ДА за периода'!$B$155:$B$175,$B222,'11.2. ДА за периода'!AI$155:AI$175)</f>
        <v>0</v>
      </c>
      <c r="AJ222" s="1155">
        <f>$AG222-SUMIF('11.2. ДА за периода'!$B$155:$B$175,$B222,'11.2. ДА за периода'!$AG$155:$AG$175)+SUMIF('11.2. ДА за периода'!$B$155:$B$175,$B222,'11.2. ДА за периода'!AJ$155:AJ$175)</f>
        <v>0</v>
      </c>
      <c r="AK222" s="1155">
        <f>$AG222-SUMIF('11.2. ДА за периода'!$B$155:$B$175,$B222,'11.2. ДА за периода'!$AG$155:$AG$175)+SUMIF('11.2. ДА за периода'!$B$155:$B$175,$B222,'11.2. ДА за периода'!AK$155:AK$175)</f>
        <v>0</v>
      </c>
      <c r="AL222" s="1155">
        <f>$AG222-SUMIF('11.2. ДА за периода'!$B$155:$B$175,$B222,'11.2. ДА за периода'!$AG$155:$AG$175)+SUMIF('11.2. ДА за периода'!$B$155:$B$175,$B222,'11.2. ДА за периода'!AL$155:AL$175)</f>
        <v>0</v>
      </c>
      <c r="AM222" s="2793">
        <f>$AG222-SUMIF('11.2. ДА за периода'!$B$155:$B$175,$B222,'11.2. ДА за периода'!$AG$155:$AG$175)+SUMIF('11.2. ДА за периода'!$B$155:$B$175,$B222,'11.2. ДА за периода'!AM$155:AM$175)</f>
        <v>0</v>
      </c>
      <c r="AN222" s="2692"/>
      <c r="AO222" s="2719"/>
      <c r="AP222" s="4775"/>
      <c r="AQ222" s="4794">
        <f t="shared" si="271"/>
        <v>68.513112080293283</v>
      </c>
      <c r="AR222" s="4794">
        <f t="shared" si="272"/>
        <v>68.513112080293283</v>
      </c>
      <c r="AS222" s="4794">
        <f t="shared" si="273"/>
        <v>68.513112080293283</v>
      </c>
      <c r="AT222" s="4794">
        <f t="shared" si="274"/>
        <v>68.513112080293283</v>
      </c>
      <c r="AU222" s="4794">
        <f t="shared" si="275"/>
        <v>68.513112080293283</v>
      </c>
      <c r="AV222" s="4794">
        <f t="shared" si="276"/>
        <v>68.513112080293283</v>
      </c>
      <c r="AW222" s="4794">
        <f t="shared" si="277"/>
        <v>68.513112080293283</v>
      </c>
      <c r="AX222" s="4794">
        <f t="shared" si="278"/>
        <v>0</v>
      </c>
      <c r="AY222" s="4794">
        <f t="shared" si="279"/>
        <v>0</v>
      </c>
      <c r="AZ222" s="4794">
        <f t="shared" si="280"/>
        <v>0</v>
      </c>
      <c r="BA222" s="4794">
        <f t="shared" si="281"/>
        <v>0</v>
      </c>
      <c r="BB222" s="4794">
        <f t="shared" si="282"/>
        <v>0</v>
      </c>
      <c r="BC222" s="4794">
        <f t="shared" si="283"/>
        <v>0</v>
      </c>
      <c r="BD222" s="4794">
        <f t="shared" si="284"/>
        <v>0</v>
      </c>
      <c r="BE222" s="4794">
        <f t="shared" si="285"/>
        <v>0</v>
      </c>
      <c r="BF222" s="4794">
        <f t="shared" si="286"/>
        <v>0</v>
      </c>
      <c r="BG222" s="4794">
        <f t="shared" si="287"/>
        <v>0</v>
      </c>
      <c r="BH222" s="4794">
        <f t="shared" si="288"/>
        <v>0</v>
      </c>
      <c r="BI222" s="4794">
        <f t="shared" si="289"/>
        <v>0</v>
      </c>
      <c r="BJ222" s="4794">
        <f t="shared" si="290"/>
        <v>0</v>
      </c>
      <c r="BK222" s="4794">
        <f t="shared" si="291"/>
        <v>0</v>
      </c>
      <c r="BL222" s="4794">
        <f t="shared" si="292"/>
        <v>0</v>
      </c>
      <c r="BM222" s="4794">
        <f t="shared" si="293"/>
        <v>0</v>
      </c>
      <c r="BN222" s="4794">
        <f t="shared" si="294"/>
        <v>0</v>
      </c>
      <c r="BO222" s="4794">
        <f t="shared" si="295"/>
        <v>0</v>
      </c>
      <c r="BP222" s="4794">
        <f t="shared" si="296"/>
        <v>0</v>
      </c>
      <c r="BQ222" s="4794">
        <f t="shared" si="297"/>
        <v>0</v>
      </c>
      <c r="BR222" s="4794">
        <f t="shared" si="298"/>
        <v>0</v>
      </c>
      <c r="BS222" s="4794">
        <f t="shared" si="299"/>
        <v>0</v>
      </c>
      <c r="BT222" s="4794">
        <f t="shared" si="300"/>
        <v>0</v>
      </c>
      <c r="BU222" s="4794">
        <f t="shared" si="301"/>
        <v>0</v>
      </c>
      <c r="BV222" s="4794">
        <f t="shared" si="302"/>
        <v>0</v>
      </c>
      <c r="BW222" s="4794">
        <f t="shared" si="303"/>
        <v>0</v>
      </c>
      <c r="BX222" s="4794">
        <f t="shared" si="304"/>
        <v>0</v>
      </c>
      <c r="BY222" s="4794">
        <f t="shared" si="305"/>
        <v>0</v>
      </c>
    </row>
    <row r="223" spans="1:77" s="1344" customFormat="1">
      <c r="A223" s="2741">
        <v>9</v>
      </c>
      <c r="B223" s="2684">
        <v>911306</v>
      </c>
      <c r="C223" s="2685">
        <v>0.1</v>
      </c>
      <c r="D223" s="2720" t="s">
        <v>1032</v>
      </c>
      <c r="E223" s="4738">
        <f>+'11.3. ДА Базова година'!F184</f>
        <v>36</v>
      </c>
      <c r="F223" s="2792">
        <f>$E223-SUMIF('11.2. ДА за периода'!$B$155:$B$175,$B223,'11.2. ДА за периода'!$E$155:$E$175)+SUMIF('11.2. ДА за периода'!$B$155:$B$175,$B223,'11.2. ДА за периода'!F$155:F$175)</f>
        <v>36</v>
      </c>
      <c r="G223" s="1155">
        <f>$E223-SUMIF('11.2. ДА за периода'!$B$155:$B$175,$B223,'11.2. ДА за периода'!$E$155:$E$175)+SUMIF('11.2. ДА за периода'!$B$155:$B$175,$B223,'11.2. ДА за периода'!G$155:G$175)</f>
        <v>36</v>
      </c>
      <c r="H223" s="1155">
        <f>$E223-SUMIF('11.2. ДА за периода'!$B$155:$B$175,$B223,'11.2. ДА за периода'!$E$155:$E$175)+SUMIF('11.2. ДА за периода'!$B$155:$B$175,$B223,'11.2. ДА за периода'!H$155:H$175)</f>
        <v>36</v>
      </c>
      <c r="I223" s="1155">
        <f>$E223-SUMIF('11.2. ДА за периода'!$B$155:$B$175,$B223,'11.2. ДА за периода'!$E$155:$E$175)+SUMIF('11.2. ДА за периода'!$B$155:$B$175,$B223,'11.2. ДА за периода'!I$155:I$175)</f>
        <v>36</v>
      </c>
      <c r="J223" s="1155">
        <f>$E223-SUMIF('11.2. ДА за периода'!$B$155:$B$175,$B223,'11.2. ДА за периода'!$E$155:$E$175)+SUMIF('11.2. ДА за периода'!$B$155:$B$175,$B223,'11.2. ДА за периода'!J$155:J$175)</f>
        <v>36</v>
      </c>
      <c r="K223" s="2793">
        <f>$E223-SUMIF('11.2. ДА за периода'!$B$155:$B$175,$B223,'11.2. ДА за периода'!$E$155:$E$175)+SUMIF('11.2. ДА за периода'!$B$155:$B$175,$B223,'11.2. ДА за периода'!K$155:K$175)</f>
        <v>36</v>
      </c>
      <c r="L223" s="4738">
        <f>+'11.3. ДА Базова година'!J184</f>
        <v>0</v>
      </c>
      <c r="M223" s="2792">
        <f>$L223-SUMIF('11.2. ДА за периода'!$B$155:$B$175,$B223,'11.2. ДА за периода'!$L$155:$L$175)+SUMIF('11.2. ДА за периода'!$B$155:$B$175,$B223,'11.2. ДА за периода'!M$155:M$175)</f>
        <v>0</v>
      </c>
      <c r="N223" s="1155">
        <f>$L223-SUMIF('11.2. ДА за периода'!$B$155:$B$175,$B223,'11.2. ДА за периода'!$L$155:$L$175)+SUMIF('11.2. ДА за периода'!$B$155:$B$175,$B223,'11.2. ДА за периода'!N$155:N$175)</f>
        <v>0</v>
      </c>
      <c r="O223" s="1155">
        <f>$L223-SUMIF('11.2. ДА за периода'!$B$155:$B$175,$B223,'11.2. ДА за периода'!$L$155:$L$175)+SUMIF('11.2. ДА за периода'!$B$155:$B$175,$B223,'11.2. ДА за периода'!O$155:O$175)</f>
        <v>0</v>
      </c>
      <c r="P223" s="1155">
        <f>$L223-SUMIF('11.2. ДА за периода'!$B$155:$B$175,$B223,'11.2. ДА за периода'!$L$155:$L$175)+SUMIF('11.2. ДА за периода'!$B$155:$B$175,$B223,'11.2. ДА за периода'!P$155:P$175)</f>
        <v>0</v>
      </c>
      <c r="Q223" s="1155">
        <f>$L223-SUMIF('11.2. ДА за периода'!$B$155:$B$175,$B223,'11.2. ДА за периода'!$L$155:$L$175)+SUMIF('11.2. ДА за периода'!$B$155:$B$175,$B223,'11.2. ДА за периода'!Q$155:Q$175)</f>
        <v>0</v>
      </c>
      <c r="R223" s="2793">
        <f>$L223-SUMIF('11.2. ДА за периода'!$B$155:$B$175,$B223,'11.2. ДА за периода'!$L$155:$L$175)+SUMIF('11.2. ДА за периода'!$B$155:$B$175,$B223,'11.2. ДА за периода'!R$155:R$175)</f>
        <v>0</v>
      </c>
      <c r="S223" s="4738">
        <f>+'11.3. ДА Базова година'!N184</f>
        <v>1</v>
      </c>
      <c r="T223" s="2792">
        <f>$S223-SUMIF('11.2. ДА за периода'!$B$155:$B$175,$B223,'11.2. ДА за периода'!$S$155:$S$175)+SUMIF('11.2. ДА за периода'!$B$155:$B$175,$B223,'11.2. ДА за периода'!T$155:T$175)</f>
        <v>1</v>
      </c>
      <c r="U223" s="1155">
        <f>$S223-SUMIF('11.2. ДА за периода'!$B$155:$B$175,$B223,'11.2. ДА за периода'!$S$155:$S$175)+SUMIF('11.2. ДА за периода'!$B$155:$B$175,$B223,'11.2. ДА за периода'!U$155:U$175)</f>
        <v>1</v>
      </c>
      <c r="V223" s="1155">
        <f>$S223-SUMIF('11.2. ДА за периода'!$B$155:$B$175,$B223,'11.2. ДА за периода'!$S$155:$S$175)+SUMIF('11.2. ДА за периода'!$B$155:$B$175,$B223,'11.2. ДА за периода'!V$155:V$175)</f>
        <v>1</v>
      </c>
      <c r="W223" s="1155">
        <f>$S223-SUMIF('11.2. ДА за периода'!$B$155:$B$175,$B223,'11.2. ДА за периода'!$S$155:$S$175)+SUMIF('11.2. ДА за периода'!$B$155:$B$175,$B223,'11.2. ДА за периода'!W$155:W$175)</f>
        <v>1</v>
      </c>
      <c r="X223" s="1155">
        <f>$S223-SUMIF('11.2. ДА за периода'!$B$155:$B$175,$B223,'11.2. ДА за периода'!$S$155:$S$175)+SUMIF('11.2. ДА за периода'!$B$155:$B$175,$B223,'11.2. ДА за периода'!X$155:X$175)</f>
        <v>1</v>
      </c>
      <c r="Y223" s="2793">
        <f>$S223-SUMIF('11.2. ДА за периода'!$B$155:$B$175,$B223,'11.2. ДА за периода'!$S$155:$S$175)+SUMIF('11.2. ДА за периода'!$B$155:$B$175,$B223,'11.2. ДА за периода'!Y$155:Y$175)</f>
        <v>1</v>
      </c>
      <c r="Z223" s="4738">
        <f>+'11.3. ДА Базова година'!R184</f>
        <v>0</v>
      </c>
      <c r="AA223" s="2792">
        <f>$Z223-SUMIF('11.2. ДА за периода'!$B$155:$B$175,$B223,'11.2. ДА за периода'!$Z$155:$Z$175)+SUMIF('11.2. ДА за периода'!$B$155:$B$175,$B223,'11.2. ДА за периода'!AA$155:AA$175)</f>
        <v>0</v>
      </c>
      <c r="AB223" s="1155">
        <f>$Z223-SUMIF('11.2. ДА за периода'!$B$155:$B$175,$B223,'11.2. ДА за периода'!$Z$155:$Z$175)+SUMIF('11.2. ДА за периода'!$B$155:$B$175,$B223,'11.2. ДА за периода'!AB$155:AB$175)</f>
        <v>0</v>
      </c>
      <c r="AC223" s="1155">
        <f>$Z223-SUMIF('11.2. ДА за периода'!$B$155:$B$175,$B223,'11.2. ДА за периода'!$Z$155:$Z$175)+SUMIF('11.2. ДА за периода'!$B$155:$B$175,$B223,'11.2. ДА за периода'!AC$155:AC$175)</f>
        <v>0</v>
      </c>
      <c r="AD223" s="1155">
        <f>$Z223-SUMIF('11.2. ДА за периода'!$B$155:$B$175,$B223,'11.2. ДА за периода'!$Z$155:$Z$175)+SUMIF('11.2. ДА за периода'!$B$155:$B$175,$B223,'11.2. ДА за периода'!AD$155:AD$175)</f>
        <v>0</v>
      </c>
      <c r="AE223" s="1155">
        <f>$Z223-SUMIF('11.2. ДА за периода'!$B$155:$B$175,$B223,'11.2. ДА за периода'!$Z$155:$Z$175)+SUMIF('11.2. ДА за периода'!$B$155:$B$175,$B223,'11.2. ДА за периода'!AE$155:AE$175)</f>
        <v>0</v>
      </c>
      <c r="AF223" s="2793">
        <f>$Z223-SUMIF('11.2. ДА за периода'!$B$155:$B$175,$B223,'11.2. ДА за периода'!$Z$155:$Z$175)+SUMIF('11.2. ДА за периода'!$B$155:$B$175,$B223,'11.2. ДА за периода'!AF$155:AF$175)</f>
        <v>0</v>
      </c>
      <c r="AG223" s="4738">
        <f>+'11.3. ДА Базова година'!V184</f>
        <v>0</v>
      </c>
      <c r="AH223" s="2792">
        <f>$AG223-SUMIF('11.2. ДА за периода'!$B$155:$B$175,$B223,'11.2. ДА за периода'!$AG$155:$AG$175)+SUMIF('11.2. ДА за периода'!$B$155:$B$175,$B223,'11.2. ДА за периода'!AH$155:AH$175)</f>
        <v>0</v>
      </c>
      <c r="AI223" s="1155">
        <f>$AG223-SUMIF('11.2. ДА за периода'!$B$155:$B$175,$B223,'11.2. ДА за периода'!$AG$155:$AG$175)+SUMIF('11.2. ДА за периода'!$B$155:$B$175,$B223,'11.2. ДА за периода'!AI$155:AI$175)</f>
        <v>0</v>
      </c>
      <c r="AJ223" s="1155">
        <f>$AG223-SUMIF('11.2. ДА за периода'!$B$155:$B$175,$B223,'11.2. ДА за периода'!$AG$155:$AG$175)+SUMIF('11.2. ДА за периода'!$B$155:$B$175,$B223,'11.2. ДА за периода'!AJ$155:AJ$175)</f>
        <v>0</v>
      </c>
      <c r="AK223" s="1155">
        <f>$AG223-SUMIF('11.2. ДА за периода'!$B$155:$B$175,$B223,'11.2. ДА за периода'!$AG$155:$AG$175)+SUMIF('11.2. ДА за периода'!$B$155:$B$175,$B223,'11.2. ДА за периода'!AK$155:AK$175)</f>
        <v>0</v>
      </c>
      <c r="AL223" s="1155">
        <f>$AG223-SUMIF('11.2. ДА за периода'!$B$155:$B$175,$B223,'11.2. ДА за периода'!$AG$155:$AG$175)+SUMIF('11.2. ДА за периода'!$B$155:$B$175,$B223,'11.2. ДА за периода'!AL$155:AL$175)</f>
        <v>0</v>
      </c>
      <c r="AM223" s="2793">
        <f>$AG223-SUMIF('11.2. ДА за периода'!$B$155:$B$175,$B223,'11.2. ДА за периода'!$AG$155:$AG$175)+SUMIF('11.2. ДА за периода'!$B$155:$B$175,$B223,'11.2. ДА за периода'!AM$155:AM$175)</f>
        <v>0</v>
      </c>
      <c r="AN223" s="2692"/>
      <c r="AO223" s="2719"/>
      <c r="AP223" s="4775"/>
      <c r="AQ223" s="4794">
        <f t="shared" si="271"/>
        <v>18.406507723063864</v>
      </c>
      <c r="AR223" s="4794">
        <f t="shared" si="272"/>
        <v>18.406507723063864</v>
      </c>
      <c r="AS223" s="4794">
        <f t="shared" si="273"/>
        <v>18.406507723063864</v>
      </c>
      <c r="AT223" s="4794">
        <f t="shared" si="274"/>
        <v>18.406507723063864</v>
      </c>
      <c r="AU223" s="4794">
        <f t="shared" si="275"/>
        <v>18.406507723063864</v>
      </c>
      <c r="AV223" s="4794">
        <f t="shared" si="276"/>
        <v>18.406507723063864</v>
      </c>
      <c r="AW223" s="4794">
        <f t="shared" si="277"/>
        <v>18.406507723063864</v>
      </c>
      <c r="AX223" s="4794">
        <f t="shared" si="278"/>
        <v>0</v>
      </c>
      <c r="AY223" s="4794">
        <f t="shared" si="279"/>
        <v>0</v>
      </c>
      <c r="AZ223" s="4794">
        <f t="shared" si="280"/>
        <v>0</v>
      </c>
      <c r="BA223" s="4794">
        <f t="shared" si="281"/>
        <v>0</v>
      </c>
      <c r="BB223" s="4794">
        <f t="shared" si="282"/>
        <v>0</v>
      </c>
      <c r="BC223" s="4794">
        <f t="shared" si="283"/>
        <v>0</v>
      </c>
      <c r="BD223" s="4794">
        <f t="shared" si="284"/>
        <v>0</v>
      </c>
      <c r="BE223" s="4794">
        <f t="shared" si="285"/>
        <v>0.51129188119621849</v>
      </c>
      <c r="BF223" s="4794">
        <f t="shared" si="286"/>
        <v>0.51129188119621849</v>
      </c>
      <c r="BG223" s="4794">
        <f t="shared" si="287"/>
        <v>0.51129188119621849</v>
      </c>
      <c r="BH223" s="4794">
        <f t="shared" si="288"/>
        <v>0.51129188119621849</v>
      </c>
      <c r="BI223" s="4794">
        <f t="shared" si="289"/>
        <v>0.51129188119621849</v>
      </c>
      <c r="BJ223" s="4794">
        <f t="shared" si="290"/>
        <v>0.51129188119621849</v>
      </c>
      <c r="BK223" s="4794">
        <f t="shared" si="291"/>
        <v>0.51129188119621849</v>
      </c>
      <c r="BL223" s="4794">
        <f t="shared" si="292"/>
        <v>0</v>
      </c>
      <c r="BM223" s="4794">
        <f t="shared" si="293"/>
        <v>0</v>
      </c>
      <c r="BN223" s="4794">
        <f t="shared" si="294"/>
        <v>0</v>
      </c>
      <c r="BO223" s="4794">
        <f t="shared" si="295"/>
        <v>0</v>
      </c>
      <c r="BP223" s="4794">
        <f t="shared" si="296"/>
        <v>0</v>
      </c>
      <c r="BQ223" s="4794">
        <f t="shared" si="297"/>
        <v>0</v>
      </c>
      <c r="BR223" s="4794">
        <f t="shared" si="298"/>
        <v>0</v>
      </c>
      <c r="BS223" s="4794">
        <f t="shared" si="299"/>
        <v>0</v>
      </c>
      <c r="BT223" s="4794">
        <f t="shared" si="300"/>
        <v>0</v>
      </c>
      <c r="BU223" s="4794">
        <f t="shared" si="301"/>
        <v>0</v>
      </c>
      <c r="BV223" s="4794">
        <f t="shared" si="302"/>
        <v>0</v>
      </c>
      <c r="BW223" s="4794">
        <f t="shared" si="303"/>
        <v>0</v>
      </c>
      <c r="BX223" s="4794">
        <f t="shared" si="304"/>
        <v>0</v>
      </c>
      <c r="BY223" s="4794">
        <f t="shared" si="305"/>
        <v>0</v>
      </c>
    </row>
    <row r="224" spans="1:77" s="1344" customFormat="1">
      <c r="A224" s="2741">
        <v>10</v>
      </c>
      <c r="B224" s="2684">
        <v>91140101</v>
      </c>
      <c r="C224" s="2740">
        <v>0.1</v>
      </c>
      <c r="D224" s="2714" t="s">
        <v>1016</v>
      </c>
      <c r="E224" s="4738">
        <f>+'11.3. ДА Базова година'!F185</f>
        <v>1</v>
      </c>
      <c r="F224" s="2792">
        <f>$E224-SUMIF('11.2. ДА за периода'!$B$155:$B$175,$B224,'11.2. ДА за периода'!$E$155:$E$175)+SUMIF('11.2. ДА за периода'!$B$155:$B$175,$B224,'11.2. ДА за периода'!F$155:F$175)</f>
        <v>1</v>
      </c>
      <c r="G224" s="1155">
        <f>$E224-SUMIF('11.2. ДА за периода'!$B$155:$B$175,$B224,'11.2. ДА за периода'!$E$155:$E$175)+SUMIF('11.2. ДА за периода'!$B$155:$B$175,$B224,'11.2. ДА за периода'!G$155:G$175)</f>
        <v>1</v>
      </c>
      <c r="H224" s="1155">
        <f>$E224-SUMIF('11.2. ДА за периода'!$B$155:$B$175,$B224,'11.2. ДА за периода'!$E$155:$E$175)+SUMIF('11.2. ДА за периода'!$B$155:$B$175,$B224,'11.2. ДА за периода'!H$155:H$175)</f>
        <v>1</v>
      </c>
      <c r="I224" s="1155">
        <f>$E224-SUMIF('11.2. ДА за периода'!$B$155:$B$175,$B224,'11.2. ДА за периода'!$E$155:$E$175)+SUMIF('11.2. ДА за периода'!$B$155:$B$175,$B224,'11.2. ДА за периода'!I$155:I$175)</f>
        <v>1</v>
      </c>
      <c r="J224" s="1155">
        <f>$E224-SUMIF('11.2. ДА за периода'!$B$155:$B$175,$B224,'11.2. ДА за периода'!$E$155:$E$175)+SUMIF('11.2. ДА за периода'!$B$155:$B$175,$B224,'11.2. ДА за периода'!J$155:J$175)</f>
        <v>1</v>
      </c>
      <c r="K224" s="2793">
        <f>$E224-SUMIF('11.2. ДА за периода'!$B$155:$B$175,$B224,'11.2. ДА за периода'!$E$155:$E$175)+SUMIF('11.2. ДА за периода'!$B$155:$B$175,$B224,'11.2. ДА за периода'!K$155:K$175)</f>
        <v>1</v>
      </c>
      <c r="L224" s="4738">
        <f>+'11.3. ДА Базова година'!J185</f>
        <v>0</v>
      </c>
      <c r="M224" s="2792">
        <f>$L224-SUMIF('11.2. ДА за периода'!$B$155:$B$175,$B224,'11.2. ДА за периода'!$L$155:$L$175)+SUMIF('11.2. ДА за периода'!$B$155:$B$175,$B224,'11.2. ДА за периода'!M$155:M$175)</f>
        <v>0</v>
      </c>
      <c r="N224" s="1155">
        <f>$L224-SUMIF('11.2. ДА за периода'!$B$155:$B$175,$B224,'11.2. ДА за периода'!$L$155:$L$175)+SUMIF('11.2. ДА за периода'!$B$155:$B$175,$B224,'11.2. ДА за периода'!N$155:N$175)</f>
        <v>0</v>
      </c>
      <c r="O224" s="1155">
        <f>$L224-SUMIF('11.2. ДА за периода'!$B$155:$B$175,$B224,'11.2. ДА за периода'!$L$155:$L$175)+SUMIF('11.2. ДА за периода'!$B$155:$B$175,$B224,'11.2. ДА за периода'!O$155:O$175)</f>
        <v>0</v>
      </c>
      <c r="P224" s="1155">
        <f>$L224-SUMIF('11.2. ДА за периода'!$B$155:$B$175,$B224,'11.2. ДА за периода'!$L$155:$L$175)+SUMIF('11.2. ДА за периода'!$B$155:$B$175,$B224,'11.2. ДА за периода'!P$155:P$175)</f>
        <v>0</v>
      </c>
      <c r="Q224" s="1155">
        <f>$L224-SUMIF('11.2. ДА за периода'!$B$155:$B$175,$B224,'11.2. ДА за периода'!$L$155:$L$175)+SUMIF('11.2. ДА за периода'!$B$155:$B$175,$B224,'11.2. ДА за периода'!Q$155:Q$175)</f>
        <v>0</v>
      </c>
      <c r="R224" s="2793">
        <f>$L224-SUMIF('11.2. ДА за периода'!$B$155:$B$175,$B224,'11.2. ДА за периода'!$L$155:$L$175)+SUMIF('11.2. ДА за периода'!$B$155:$B$175,$B224,'11.2. ДА за периода'!R$155:R$175)</f>
        <v>0</v>
      </c>
      <c r="S224" s="4738">
        <f>+'11.3. ДА Базова година'!N185</f>
        <v>0</v>
      </c>
      <c r="T224" s="2792">
        <f>$S224-SUMIF('11.2. ДА за периода'!$B$155:$B$175,$B224,'11.2. ДА за периода'!$S$155:$S$175)+SUMIF('11.2. ДА за периода'!$B$155:$B$175,$B224,'11.2. ДА за периода'!T$155:T$175)</f>
        <v>0</v>
      </c>
      <c r="U224" s="1155">
        <f>$S224-SUMIF('11.2. ДА за периода'!$B$155:$B$175,$B224,'11.2. ДА за периода'!$S$155:$S$175)+SUMIF('11.2. ДА за периода'!$B$155:$B$175,$B224,'11.2. ДА за периода'!U$155:U$175)</f>
        <v>0</v>
      </c>
      <c r="V224" s="1155">
        <f>$S224-SUMIF('11.2. ДА за периода'!$B$155:$B$175,$B224,'11.2. ДА за периода'!$S$155:$S$175)+SUMIF('11.2. ДА за периода'!$B$155:$B$175,$B224,'11.2. ДА за периода'!V$155:V$175)</f>
        <v>0</v>
      </c>
      <c r="W224" s="1155">
        <f>$S224-SUMIF('11.2. ДА за периода'!$B$155:$B$175,$B224,'11.2. ДА за периода'!$S$155:$S$175)+SUMIF('11.2. ДА за периода'!$B$155:$B$175,$B224,'11.2. ДА за периода'!W$155:W$175)</f>
        <v>0</v>
      </c>
      <c r="X224" s="1155">
        <f>$S224-SUMIF('11.2. ДА за периода'!$B$155:$B$175,$B224,'11.2. ДА за периода'!$S$155:$S$175)+SUMIF('11.2. ДА за периода'!$B$155:$B$175,$B224,'11.2. ДА за периода'!X$155:X$175)</f>
        <v>0</v>
      </c>
      <c r="Y224" s="2793">
        <f>$S224-SUMIF('11.2. ДА за периода'!$B$155:$B$175,$B224,'11.2. ДА за периода'!$S$155:$S$175)+SUMIF('11.2. ДА за периода'!$B$155:$B$175,$B224,'11.2. ДА за периода'!Y$155:Y$175)</f>
        <v>0</v>
      </c>
      <c r="Z224" s="4738">
        <f>+'11.3. ДА Базова година'!R185</f>
        <v>0</v>
      </c>
      <c r="AA224" s="2792">
        <f>$Z224-SUMIF('11.2. ДА за периода'!$B$155:$B$175,$B224,'11.2. ДА за периода'!$Z$155:$Z$175)+SUMIF('11.2. ДА за периода'!$B$155:$B$175,$B224,'11.2. ДА за периода'!AA$155:AA$175)</f>
        <v>0</v>
      </c>
      <c r="AB224" s="1155">
        <f>$Z224-SUMIF('11.2. ДА за периода'!$B$155:$B$175,$B224,'11.2. ДА за периода'!$Z$155:$Z$175)+SUMIF('11.2. ДА за периода'!$B$155:$B$175,$B224,'11.2. ДА за периода'!AB$155:AB$175)</f>
        <v>0</v>
      </c>
      <c r="AC224" s="1155">
        <f>$Z224-SUMIF('11.2. ДА за периода'!$B$155:$B$175,$B224,'11.2. ДА за периода'!$Z$155:$Z$175)+SUMIF('11.2. ДА за периода'!$B$155:$B$175,$B224,'11.2. ДА за периода'!AC$155:AC$175)</f>
        <v>0</v>
      </c>
      <c r="AD224" s="1155">
        <f>$Z224-SUMIF('11.2. ДА за периода'!$B$155:$B$175,$B224,'11.2. ДА за периода'!$Z$155:$Z$175)+SUMIF('11.2. ДА за периода'!$B$155:$B$175,$B224,'11.2. ДА за периода'!AD$155:AD$175)</f>
        <v>0</v>
      </c>
      <c r="AE224" s="1155">
        <f>$Z224-SUMIF('11.2. ДА за периода'!$B$155:$B$175,$B224,'11.2. ДА за периода'!$Z$155:$Z$175)+SUMIF('11.2. ДА за периода'!$B$155:$B$175,$B224,'11.2. ДА за периода'!AE$155:AE$175)</f>
        <v>0</v>
      </c>
      <c r="AF224" s="2793">
        <f>$Z224-SUMIF('11.2. ДА за периода'!$B$155:$B$175,$B224,'11.2. ДА за периода'!$Z$155:$Z$175)+SUMIF('11.2. ДА за периода'!$B$155:$B$175,$B224,'11.2. ДА за периода'!AF$155:AF$175)</f>
        <v>0</v>
      </c>
      <c r="AG224" s="4738">
        <f>+'11.3. ДА Базова година'!V185</f>
        <v>0</v>
      </c>
      <c r="AH224" s="2792">
        <f>$AG224-SUMIF('11.2. ДА за периода'!$B$155:$B$175,$B224,'11.2. ДА за периода'!$AG$155:$AG$175)+SUMIF('11.2. ДА за периода'!$B$155:$B$175,$B224,'11.2. ДА за периода'!AH$155:AH$175)</f>
        <v>0</v>
      </c>
      <c r="AI224" s="1155">
        <f>$AG224-SUMIF('11.2. ДА за периода'!$B$155:$B$175,$B224,'11.2. ДА за периода'!$AG$155:$AG$175)+SUMIF('11.2. ДА за периода'!$B$155:$B$175,$B224,'11.2. ДА за периода'!AI$155:AI$175)</f>
        <v>0</v>
      </c>
      <c r="AJ224" s="1155">
        <f>$AG224-SUMIF('11.2. ДА за периода'!$B$155:$B$175,$B224,'11.2. ДА за периода'!$AG$155:$AG$175)+SUMIF('11.2. ДА за периода'!$B$155:$B$175,$B224,'11.2. ДА за периода'!AJ$155:AJ$175)</f>
        <v>0</v>
      </c>
      <c r="AK224" s="1155">
        <f>$AG224-SUMIF('11.2. ДА за периода'!$B$155:$B$175,$B224,'11.2. ДА за периода'!$AG$155:$AG$175)+SUMIF('11.2. ДА за периода'!$B$155:$B$175,$B224,'11.2. ДА за периода'!AK$155:AK$175)</f>
        <v>0</v>
      </c>
      <c r="AL224" s="1155">
        <f>$AG224-SUMIF('11.2. ДА за периода'!$B$155:$B$175,$B224,'11.2. ДА за периода'!$AG$155:$AG$175)+SUMIF('11.2. ДА за периода'!$B$155:$B$175,$B224,'11.2. ДА за периода'!AL$155:AL$175)</f>
        <v>0</v>
      </c>
      <c r="AM224" s="2793">
        <f>$AG224-SUMIF('11.2. ДА за периода'!$B$155:$B$175,$B224,'11.2. ДА за периода'!$AG$155:$AG$175)+SUMIF('11.2. ДА за периода'!$B$155:$B$175,$B224,'11.2. ДА за периода'!AM$155:AM$175)</f>
        <v>0</v>
      </c>
      <c r="AN224" s="2692"/>
      <c r="AO224" s="2719"/>
      <c r="AP224" s="4775"/>
      <c r="AQ224" s="4794">
        <f t="shared" si="271"/>
        <v>0.51129188119621849</v>
      </c>
      <c r="AR224" s="4794">
        <f t="shared" si="272"/>
        <v>0.51129188119621849</v>
      </c>
      <c r="AS224" s="4794">
        <f t="shared" si="273"/>
        <v>0.51129188119621849</v>
      </c>
      <c r="AT224" s="4794">
        <f t="shared" si="274"/>
        <v>0.51129188119621849</v>
      </c>
      <c r="AU224" s="4794">
        <f t="shared" si="275"/>
        <v>0.51129188119621849</v>
      </c>
      <c r="AV224" s="4794">
        <f t="shared" si="276"/>
        <v>0.51129188119621849</v>
      </c>
      <c r="AW224" s="4794">
        <f t="shared" si="277"/>
        <v>0.51129188119621849</v>
      </c>
      <c r="AX224" s="4794">
        <f t="shared" si="278"/>
        <v>0</v>
      </c>
      <c r="AY224" s="4794">
        <f t="shared" si="279"/>
        <v>0</v>
      </c>
      <c r="AZ224" s="4794">
        <f t="shared" si="280"/>
        <v>0</v>
      </c>
      <c r="BA224" s="4794">
        <f t="shared" si="281"/>
        <v>0</v>
      </c>
      <c r="BB224" s="4794">
        <f t="shared" si="282"/>
        <v>0</v>
      </c>
      <c r="BC224" s="4794">
        <f t="shared" si="283"/>
        <v>0</v>
      </c>
      <c r="BD224" s="4794">
        <f t="shared" si="284"/>
        <v>0</v>
      </c>
      <c r="BE224" s="4794">
        <f t="shared" si="285"/>
        <v>0</v>
      </c>
      <c r="BF224" s="4794">
        <f t="shared" si="286"/>
        <v>0</v>
      </c>
      <c r="BG224" s="4794">
        <f t="shared" si="287"/>
        <v>0</v>
      </c>
      <c r="BH224" s="4794">
        <f t="shared" si="288"/>
        <v>0</v>
      </c>
      <c r="BI224" s="4794">
        <f t="shared" si="289"/>
        <v>0</v>
      </c>
      <c r="BJ224" s="4794">
        <f t="shared" si="290"/>
        <v>0</v>
      </c>
      <c r="BK224" s="4794">
        <f t="shared" si="291"/>
        <v>0</v>
      </c>
      <c r="BL224" s="4794">
        <f t="shared" si="292"/>
        <v>0</v>
      </c>
      <c r="BM224" s="4794">
        <f t="shared" si="293"/>
        <v>0</v>
      </c>
      <c r="BN224" s="4794">
        <f t="shared" si="294"/>
        <v>0</v>
      </c>
      <c r="BO224" s="4794">
        <f t="shared" si="295"/>
        <v>0</v>
      </c>
      <c r="BP224" s="4794">
        <f t="shared" si="296"/>
        <v>0</v>
      </c>
      <c r="BQ224" s="4794">
        <f t="shared" si="297"/>
        <v>0</v>
      </c>
      <c r="BR224" s="4794">
        <f t="shared" si="298"/>
        <v>0</v>
      </c>
      <c r="BS224" s="4794">
        <f t="shared" si="299"/>
        <v>0</v>
      </c>
      <c r="BT224" s="4794">
        <f t="shared" si="300"/>
        <v>0</v>
      </c>
      <c r="BU224" s="4794">
        <f t="shared" si="301"/>
        <v>0</v>
      </c>
      <c r="BV224" s="4794">
        <f t="shared" si="302"/>
        <v>0</v>
      </c>
      <c r="BW224" s="4794">
        <f t="shared" si="303"/>
        <v>0</v>
      </c>
      <c r="BX224" s="4794">
        <f t="shared" si="304"/>
        <v>0</v>
      </c>
      <c r="BY224" s="4794">
        <f t="shared" si="305"/>
        <v>0</v>
      </c>
    </row>
    <row r="225" spans="1:77" s="1344" customFormat="1">
      <c r="A225" s="2741">
        <v>11</v>
      </c>
      <c r="B225" s="2684">
        <v>91140102</v>
      </c>
      <c r="C225" s="2740">
        <v>0.04</v>
      </c>
      <c r="D225" s="2714" t="s">
        <v>432</v>
      </c>
      <c r="E225" s="4738">
        <f>+'11.3. ДА Базова година'!F186</f>
        <v>0</v>
      </c>
      <c r="F225" s="2792">
        <f>$E225-SUMIF('11.2. ДА за периода'!$B$155:$B$175,$B225,'11.2. ДА за периода'!$E$155:$E$175)+SUMIF('11.2. ДА за периода'!$B$155:$B$175,$B225,'11.2. ДА за периода'!F$155:F$175)</f>
        <v>0</v>
      </c>
      <c r="G225" s="1155">
        <f>$E225-SUMIF('11.2. ДА за периода'!$B$155:$B$175,$B225,'11.2. ДА за периода'!$E$155:$E$175)+SUMIF('11.2. ДА за периода'!$B$155:$B$175,$B225,'11.2. ДА за периода'!G$155:G$175)</f>
        <v>0</v>
      </c>
      <c r="H225" s="1155">
        <f>$E225-SUMIF('11.2. ДА за периода'!$B$155:$B$175,$B225,'11.2. ДА за периода'!$E$155:$E$175)+SUMIF('11.2. ДА за периода'!$B$155:$B$175,$B225,'11.2. ДА за периода'!H$155:H$175)</f>
        <v>0</v>
      </c>
      <c r="I225" s="1155">
        <f>$E225-SUMIF('11.2. ДА за периода'!$B$155:$B$175,$B225,'11.2. ДА за периода'!$E$155:$E$175)+SUMIF('11.2. ДА за периода'!$B$155:$B$175,$B225,'11.2. ДА за периода'!I$155:I$175)</f>
        <v>0</v>
      </c>
      <c r="J225" s="1155">
        <f>$E225-SUMIF('11.2. ДА за периода'!$B$155:$B$175,$B225,'11.2. ДА за периода'!$E$155:$E$175)+SUMIF('11.2. ДА за периода'!$B$155:$B$175,$B225,'11.2. ДА за периода'!J$155:J$175)</f>
        <v>0</v>
      </c>
      <c r="K225" s="2793">
        <f>$E225-SUMIF('11.2. ДА за периода'!$B$155:$B$175,$B225,'11.2. ДА за периода'!$E$155:$E$175)+SUMIF('11.2. ДА за периода'!$B$155:$B$175,$B225,'11.2. ДА за периода'!K$155:K$175)</f>
        <v>0</v>
      </c>
      <c r="L225" s="4738">
        <f>+'11.3. ДА Базова година'!J186</f>
        <v>0</v>
      </c>
      <c r="M225" s="2792">
        <f>$L225-SUMIF('11.2. ДА за периода'!$B$155:$B$175,$B225,'11.2. ДА за периода'!$L$155:$L$175)+SUMIF('11.2. ДА за периода'!$B$155:$B$175,$B225,'11.2. ДА за периода'!M$155:M$175)</f>
        <v>0</v>
      </c>
      <c r="N225" s="1155">
        <f>$L225-SUMIF('11.2. ДА за периода'!$B$155:$B$175,$B225,'11.2. ДА за периода'!$L$155:$L$175)+SUMIF('11.2. ДА за периода'!$B$155:$B$175,$B225,'11.2. ДА за периода'!N$155:N$175)</f>
        <v>0</v>
      </c>
      <c r="O225" s="1155">
        <f>$L225-SUMIF('11.2. ДА за периода'!$B$155:$B$175,$B225,'11.2. ДА за периода'!$L$155:$L$175)+SUMIF('11.2. ДА за периода'!$B$155:$B$175,$B225,'11.2. ДА за периода'!O$155:O$175)</f>
        <v>0</v>
      </c>
      <c r="P225" s="1155">
        <f>$L225-SUMIF('11.2. ДА за периода'!$B$155:$B$175,$B225,'11.2. ДА за периода'!$L$155:$L$175)+SUMIF('11.2. ДА за периода'!$B$155:$B$175,$B225,'11.2. ДА за периода'!P$155:P$175)</f>
        <v>0</v>
      </c>
      <c r="Q225" s="1155">
        <f>$L225-SUMIF('11.2. ДА за периода'!$B$155:$B$175,$B225,'11.2. ДА за периода'!$L$155:$L$175)+SUMIF('11.2. ДА за периода'!$B$155:$B$175,$B225,'11.2. ДА за периода'!Q$155:Q$175)</f>
        <v>0</v>
      </c>
      <c r="R225" s="2793">
        <f>$L225-SUMIF('11.2. ДА за периода'!$B$155:$B$175,$B225,'11.2. ДА за периода'!$L$155:$L$175)+SUMIF('11.2. ДА за периода'!$B$155:$B$175,$B225,'11.2. ДА за периода'!R$155:R$175)</f>
        <v>0</v>
      </c>
      <c r="S225" s="4738">
        <f>+'11.3. ДА Базова година'!N186</f>
        <v>0</v>
      </c>
      <c r="T225" s="2792">
        <f>$S225-SUMIF('11.2. ДА за периода'!$B$155:$B$175,$B225,'11.2. ДА за периода'!$S$155:$S$175)+SUMIF('11.2. ДА за периода'!$B$155:$B$175,$B225,'11.2. ДА за периода'!T$155:T$175)</f>
        <v>0</v>
      </c>
      <c r="U225" s="1155">
        <f>$S225-SUMIF('11.2. ДА за периода'!$B$155:$B$175,$B225,'11.2. ДА за периода'!$S$155:$S$175)+SUMIF('11.2. ДА за периода'!$B$155:$B$175,$B225,'11.2. ДА за периода'!U$155:U$175)</f>
        <v>0</v>
      </c>
      <c r="V225" s="1155">
        <f>$S225-SUMIF('11.2. ДА за периода'!$B$155:$B$175,$B225,'11.2. ДА за периода'!$S$155:$S$175)+SUMIF('11.2. ДА за периода'!$B$155:$B$175,$B225,'11.2. ДА за периода'!V$155:V$175)</f>
        <v>0</v>
      </c>
      <c r="W225" s="1155">
        <f>$S225-SUMIF('11.2. ДА за периода'!$B$155:$B$175,$B225,'11.2. ДА за периода'!$S$155:$S$175)+SUMIF('11.2. ДА за периода'!$B$155:$B$175,$B225,'11.2. ДА за периода'!W$155:W$175)</f>
        <v>0</v>
      </c>
      <c r="X225" s="1155">
        <f>$S225-SUMIF('11.2. ДА за периода'!$B$155:$B$175,$B225,'11.2. ДА за периода'!$S$155:$S$175)+SUMIF('11.2. ДА за периода'!$B$155:$B$175,$B225,'11.2. ДА за периода'!X$155:X$175)</f>
        <v>0</v>
      </c>
      <c r="Y225" s="2793">
        <f>$S225-SUMIF('11.2. ДА за периода'!$B$155:$B$175,$B225,'11.2. ДА за периода'!$S$155:$S$175)+SUMIF('11.2. ДА за периода'!$B$155:$B$175,$B225,'11.2. ДА за периода'!Y$155:Y$175)</f>
        <v>0</v>
      </c>
      <c r="Z225" s="4738">
        <f>+'11.3. ДА Базова година'!R186</f>
        <v>0</v>
      </c>
      <c r="AA225" s="2792">
        <f>$Z225-SUMIF('11.2. ДА за периода'!$B$155:$B$175,$B225,'11.2. ДА за периода'!$Z$155:$Z$175)+SUMIF('11.2. ДА за периода'!$B$155:$B$175,$B225,'11.2. ДА за периода'!AA$155:AA$175)</f>
        <v>0</v>
      </c>
      <c r="AB225" s="1155">
        <f>$Z225-SUMIF('11.2. ДА за периода'!$B$155:$B$175,$B225,'11.2. ДА за периода'!$Z$155:$Z$175)+SUMIF('11.2. ДА за периода'!$B$155:$B$175,$B225,'11.2. ДА за периода'!AB$155:AB$175)</f>
        <v>0</v>
      </c>
      <c r="AC225" s="1155">
        <f>$Z225-SUMIF('11.2. ДА за периода'!$B$155:$B$175,$B225,'11.2. ДА за периода'!$Z$155:$Z$175)+SUMIF('11.2. ДА за периода'!$B$155:$B$175,$B225,'11.2. ДА за периода'!AC$155:AC$175)</f>
        <v>0</v>
      </c>
      <c r="AD225" s="1155">
        <f>$Z225-SUMIF('11.2. ДА за периода'!$B$155:$B$175,$B225,'11.2. ДА за периода'!$Z$155:$Z$175)+SUMIF('11.2. ДА за периода'!$B$155:$B$175,$B225,'11.2. ДА за периода'!AD$155:AD$175)</f>
        <v>0</v>
      </c>
      <c r="AE225" s="1155">
        <f>$Z225-SUMIF('11.2. ДА за периода'!$B$155:$B$175,$B225,'11.2. ДА за периода'!$Z$155:$Z$175)+SUMIF('11.2. ДА за периода'!$B$155:$B$175,$B225,'11.2. ДА за периода'!AE$155:AE$175)</f>
        <v>0</v>
      </c>
      <c r="AF225" s="2793">
        <f>$Z225-SUMIF('11.2. ДА за периода'!$B$155:$B$175,$B225,'11.2. ДА за периода'!$Z$155:$Z$175)+SUMIF('11.2. ДА за периода'!$B$155:$B$175,$B225,'11.2. ДА за периода'!AF$155:AF$175)</f>
        <v>0</v>
      </c>
      <c r="AG225" s="4738">
        <f>+'11.3. ДА Базова година'!V186</f>
        <v>0</v>
      </c>
      <c r="AH225" s="2792">
        <f>$AG225-SUMIF('11.2. ДА за периода'!$B$155:$B$175,$B225,'11.2. ДА за периода'!$AG$155:$AG$175)+SUMIF('11.2. ДА за периода'!$B$155:$B$175,$B225,'11.2. ДА за периода'!AH$155:AH$175)</f>
        <v>0</v>
      </c>
      <c r="AI225" s="1155">
        <f>$AG225-SUMIF('11.2. ДА за периода'!$B$155:$B$175,$B225,'11.2. ДА за периода'!$AG$155:$AG$175)+SUMIF('11.2. ДА за периода'!$B$155:$B$175,$B225,'11.2. ДА за периода'!AI$155:AI$175)</f>
        <v>0</v>
      </c>
      <c r="AJ225" s="1155">
        <f>$AG225-SUMIF('11.2. ДА за периода'!$B$155:$B$175,$B225,'11.2. ДА за периода'!$AG$155:$AG$175)+SUMIF('11.2. ДА за периода'!$B$155:$B$175,$B225,'11.2. ДА за периода'!AJ$155:AJ$175)</f>
        <v>0</v>
      </c>
      <c r="AK225" s="1155">
        <f>$AG225-SUMIF('11.2. ДА за периода'!$B$155:$B$175,$B225,'11.2. ДА за периода'!$AG$155:$AG$175)+SUMIF('11.2. ДА за периода'!$B$155:$B$175,$B225,'11.2. ДА за периода'!AK$155:AK$175)</f>
        <v>0</v>
      </c>
      <c r="AL225" s="1155">
        <f>$AG225-SUMIF('11.2. ДА за периода'!$B$155:$B$175,$B225,'11.2. ДА за периода'!$AG$155:$AG$175)+SUMIF('11.2. ДА за периода'!$B$155:$B$175,$B225,'11.2. ДА за периода'!AL$155:AL$175)</f>
        <v>0</v>
      </c>
      <c r="AM225" s="2793">
        <f>$AG225-SUMIF('11.2. ДА за периода'!$B$155:$B$175,$B225,'11.2. ДА за периода'!$AG$155:$AG$175)+SUMIF('11.2. ДА за периода'!$B$155:$B$175,$B225,'11.2. ДА за периода'!AM$155:AM$175)</f>
        <v>0</v>
      </c>
      <c r="AN225" s="2692"/>
      <c r="AO225" s="2719"/>
      <c r="AP225" s="4775"/>
      <c r="AQ225" s="4794">
        <f t="shared" si="271"/>
        <v>0</v>
      </c>
      <c r="AR225" s="4794">
        <f t="shared" si="272"/>
        <v>0</v>
      </c>
      <c r="AS225" s="4794">
        <f t="shared" si="273"/>
        <v>0</v>
      </c>
      <c r="AT225" s="4794">
        <f t="shared" si="274"/>
        <v>0</v>
      </c>
      <c r="AU225" s="4794">
        <f t="shared" si="275"/>
        <v>0</v>
      </c>
      <c r="AV225" s="4794">
        <f t="shared" si="276"/>
        <v>0</v>
      </c>
      <c r="AW225" s="4794">
        <f t="shared" si="277"/>
        <v>0</v>
      </c>
      <c r="AX225" s="4794">
        <f t="shared" si="278"/>
        <v>0</v>
      </c>
      <c r="AY225" s="4794">
        <f t="shared" si="279"/>
        <v>0</v>
      </c>
      <c r="AZ225" s="4794">
        <f t="shared" si="280"/>
        <v>0</v>
      </c>
      <c r="BA225" s="4794">
        <f t="shared" si="281"/>
        <v>0</v>
      </c>
      <c r="BB225" s="4794">
        <f t="shared" si="282"/>
        <v>0</v>
      </c>
      <c r="BC225" s="4794">
        <f t="shared" si="283"/>
        <v>0</v>
      </c>
      <c r="BD225" s="4794">
        <f t="shared" si="284"/>
        <v>0</v>
      </c>
      <c r="BE225" s="4794">
        <f t="shared" si="285"/>
        <v>0</v>
      </c>
      <c r="BF225" s="4794">
        <f t="shared" si="286"/>
        <v>0</v>
      </c>
      <c r="BG225" s="4794">
        <f t="shared" si="287"/>
        <v>0</v>
      </c>
      <c r="BH225" s="4794">
        <f t="shared" si="288"/>
        <v>0</v>
      </c>
      <c r="BI225" s="4794">
        <f t="shared" si="289"/>
        <v>0</v>
      </c>
      <c r="BJ225" s="4794">
        <f t="shared" si="290"/>
        <v>0</v>
      </c>
      <c r="BK225" s="4794">
        <f t="shared" si="291"/>
        <v>0</v>
      </c>
      <c r="BL225" s="4794">
        <f t="shared" si="292"/>
        <v>0</v>
      </c>
      <c r="BM225" s="4794">
        <f t="shared" si="293"/>
        <v>0</v>
      </c>
      <c r="BN225" s="4794">
        <f t="shared" si="294"/>
        <v>0</v>
      </c>
      <c r="BO225" s="4794">
        <f t="shared" si="295"/>
        <v>0</v>
      </c>
      <c r="BP225" s="4794">
        <f t="shared" si="296"/>
        <v>0</v>
      </c>
      <c r="BQ225" s="4794">
        <f t="shared" si="297"/>
        <v>0</v>
      </c>
      <c r="BR225" s="4794">
        <f t="shared" si="298"/>
        <v>0</v>
      </c>
      <c r="BS225" s="4794">
        <f t="shared" si="299"/>
        <v>0</v>
      </c>
      <c r="BT225" s="4794">
        <f t="shared" si="300"/>
        <v>0</v>
      </c>
      <c r="BU225" s="4794">
        <f t="shared" si="301"/>
        <v>0</v>
      </c>
      <c r="BV225" s="4794">
        <f t="shared" si="302"/>
        <v>0</v>
      </c>
      <c r="BW225" s="4794">
        <f t="shared" si="303"/>
        <v>0</v>
      </c>
      <c r="BX225" s="4794">
        <f t="shared" si="304"/>
        <v>0</v>
      </c>
      <c r="BY225" s="4794">
        <f t="shared" si="305"/>
        <v>0</v>
      </c>
    </row>
    <row r="226" spans="1:77" s="1344" customFormat="1">
      <c r="A226" s="2741">
        <v>12</v>
      </c>
      <c r="B226" s="2684" t="s">
        <v>698</v>
      </c>
      <c r="C226" s="2685">
        <v>0.02</v>
      </c>
      <c r="D226" s="2715" t="s">
        <v>738</v>
      </c>
      <c r="E226" s="4738">
        <f>+'11.3. ДА Базова година'!F187</f>
        <v>0</v>
      </c>
      <c r="F226" s="2792">
        <f>$E226-SUMIF('11.2. ДА за периода'!$B$155:$B$175,$B226,'11.2. ДА за периода'!$E$155:$E$175)+SUMIF('11.2. ДА за периода'!$B$155:$B$175,$B226,'11.2. ДА за периода'!F$155:F$175)</f>
        <v>0</v>
      </c>
      <c r="G226" s="1155">
        <f>$E226-SUMIF('11.2. ДА за периода'!$B$155:$B$175,$B226,'11.2. ДА за периода'!$E$155:$E$175)+SUMIF('11.2. ДА за периода'!$B$155:$B$175,$B226,'11.2. ДА за периода'!G$155:G$175)</f>
        <v>0</v>
      </c>
      <c r="H226" s="1155">
        <f>$E226-SUMIF('11.2. ДА за периода'!$B$155:$B$175,$B226,'11.2. ДА за периода'!$E$155:$E$175)+SUMIF('11.2. ДА за периода'!$B$155:$B$175,$B226,'11.2. ДА за периода'!H$155:H$175)</f>
        <v>0</v>
      </c>
      <c r="I226" s="1155">
        <f>$E226-SUMIF('11.2. ДА за периода'!$B$155:$B$175,$B226,'11.2. ДА за периода'!$E$155:$E$175)+SUMIF('11.2. ДА за периода'!$B$155:$B$175,$B226,'11.2. ДА за периода'!I$155:I$175)</f>
        <v>0</v>
      </c>
      <c r="J226" s="1155">
        <f>$E226-SUMIF('11.2. ДА за периода'!$B$155:$B$175,$B226,'11.2. ДА за периода'!$E$155:$E$175)+SUMIF('11.2. ДА за периода'!$B$155:$B$175,$B226,'11.2. ДА за периода'!J$155:J$175)</f>
        <v>0</v>
      </c>
      <c r="K226" s="2793">
        <f>$E226-SUMIF('11.2. ДА за периода'!$B$155:$B$175,$B226,'11.2. ДА за периода'!$E$155:$E$175)+SUMIF('11.2. ДА за периода'!$B$155:$B$175,$B226,'11.2. ДА за периода'!K$155:K$175)</f>
        <v>0</v>
      </c>
      <c r="L226" s="4738">
        <f>+'11.3. ДА Базова година'!J187</f>
        <v>0</v>
      </c>
      <c r="M226" s="2792">
        <f>$L226-SUMIF('11.2. ДА за периода'!$B$155:$B$175,$B226,'11.2. ДА за периода'!$L$155:$L$175)+SUMIF('11.2. ДА за периода'!$B$155:$B$175,$B226,'11.2. ДА за периода'!M$155:M$175)</f>
        <v>0</v>
      </c>
      <c r="N226" s="1155">
        <f>$L226-SUMIF('11.2. ДА за периода'!$B$155:$B$175,$B226,'11.2. ДА за периода'!$L$155:$L$175)+SUMIF('11.2. ДА за периода'!$B$155:$B$175,$B226,'11.2. ДА за периода'!N$155:N$175)</f>
        <v>0</v>
      </c>
      <c r="O226" s="1155">
        <f>$L226-SUMIF('11.2. ДА за периода'!$B$155:$B$175,$B226,'11.2. ДА за периода'!$L$155:$L$175)+SUMIF('11.2. ДА за периода'!$B$155:$B$175,$B226,'11.2. ДА за периода'!O$155:O$175)</f>
        <v>0</v>
      </c>
      <c r="P226" s="1155">
        <f>$L226-SUMIF('11.2. ДА за периода'!$B$155:$B$175,$B226,'11.2. ДА за периода'!$L$155:$L$175)+SUMIF('11.2. ДА за периода'!$B$155:$B$175,$B226,'11.2. ДА за периода'!P$155:P$175)</f>
        <v>0</v>
      </c>
      <c r="Q226" s="1155">
        <f>$L226-SUMIF('11.2. ДА за периода'!$B$155:$B$175,$B226,'11.2. ДА за периода'!$L$155:$L$175)+SUMIF('11.2. ДА за периода'!$B$155:$B$175,$B226,'11.2. ДА за периода'!Q$155:Q$175)</f>
        <v>0</v>
      </c>
      <c r="R226" s="2793">
        <f>$L226-SUMIF('11.2. ДА за периода'!$B$155:$B$175,$B226,'11.2. ДА за периода'!$L$155:$L$175)+SUMIF('11.2. ДА за периода'!$B$155:$B$175,$B226,'11.2. ДА за периода'!R$155:R$175)</f>
        <v>0</v>
      </c>
      <c r="S226" s="4738">
        <f>+'11.3. ДА Базова година'!N187</f>
        <v>0</v>
      </c>
      <c r="T226" s="2792">
        <f>$S226-SUMIF('11.2. ДА за периода'!$B$155:$B$175,$B226,'11.2. ДА за периода'!$S$155:$S$175)+SUMIF('11.2. ДА за периода'!$B$155:$B$175,$B226,'11.2. ДА за периода'!T$155:T$175)</f>
        <v>0</v>
      </c>
      <c r="U226" s="1155">
        <f>$S226-SUMIF('11.2. ДА за периода'!$B$155:$B$175,$B226,'11.2. ДА за периода'!$S$155:$S$175)+SUMIF('11.2. ДА за периода'!$B$155:$B$175,$B226,'11.2. ДА за периода'!U$155:U$175)</f>
        <v>0</v>
      </c>
      <c r="V226" s="1155">
        <f>$S226-SUMIF('11.2. ДА за периода'!$B$155:$B$175,$B226,'11.2. ДА за периода'!$S$155:$S$175)+SUMIF('11.2. ДА за периода'!$B$155:$B$175,$B226,'11.2. ДА за периода'!V$155:V$175)</f>
        <v>0</v>
      </c>
      <c r="W226" s="1155">
        <f>$S226-SUMIF('11.2. ДА за периода'!$B$155:$B$175,$B226,'11.2. ДА за периода'!$S$155:$S$175)+SUMIF('11.2. ДА за периода'!$B$155:$B$175,$B226,'11.2. ДА за периода'!W$155:W$175)</f>
        <v>0</v>
      </c>
      <c r="X226" s="1155">
        <f>$S226-SUMIF('11.2. ДА за периода'!$B$155:$B$175,$B226,'11.2. ДА за периода'!$S$155:$S$175)+SUMIF('11.2. ДА за периода'!$B$155:$B$175,$B226,'11.2. ДА за периода'!X$155:X$175)</f>
        <v>0</v>
      </c>
      <c r="Y226" s="2793">
        <f>$S226-SUMIF('11.2. ДА за периода'!$B$155:$B$175,$B226,'11.2. ДА за периода'!$S$155:$S$175)+SUMIF('11.2. ДА за периода'!$B$155:$B$175,$B226,'11.2. ДА за периода'!Y$155:Y$175)</f>
        <v>0</v>
      </c>
      <c r="Z226" s="4738">
        <f>+'11.3. ДА Базова година'!R187</f>
        <v>0</v>
      </c>
      <c r="AA226" s="2792">
        <f>$Z226-SUMIF('11.2. ДА за периода'!$B$155:$B$175,$B226,'11.2. ДА за периода'!$Z$155:$Z$175)+SUMIF('11.2. ДА за периода'!$B$155:$B$175,$B226,'11.2. ДА за периода'!AA$155:AA$175)</f>
        <v>0</v>
      </c>
      <c r="AB226" s="1155">
        <f>$Z226-SUMIF('11.2. ДА за периода'!$B$155:$B$175,$B226,'11.2. ДА за периода'!$Z$155:$Z$175)+SUMIF('11.2. ДА за периода'!$B$155:$B$175,$B226,'11.2. ДА за периода'!AB$155:AB$175)</f>
        <v>0</v>
      </c>
      <c r="AC226" s="1155">
        <f>$Z226-SUMIF('11.2. ДА за периода'!$B$155:$B$175,$B226,'11.2. ДА за периода'!$Z$155:$Z$175)+SUMIF('11.2. ДА за периода'!$B$155:$B$175,$B226,'11.2. ДА за периода'!AC$155:AC$175)</f>
        <v>0</v>
      </c>
      <c r="AD226" s="1155">
        <f>$Z226-SUMIF('11.2. ДА за периода'!$B$155:$B$175,$B226,'11.2. ДА за периода'!$Z$155:$Z$175)+SUMIF('11.2. ДА за периода'!$B$155:$B$175,$B226,'11.2. ДА за периода'!AD$155:AD$175)</f>
        <v>0</v>
      </c>
      <c r="AE226" s="1155">
        <f>$Z226-SUMIF('11.2. ДА за периода'!$B$155:$B$175,$B226,'11.2. ДА за периода'!$Z$155:$Z$175)+SUMIF('11.2. ДА за периода'!$B$155:$B$175,$B226,'11.2. ДА за периода'!AE$155:AE$175)</f>
        <v>0</v>
      </c>
      <c r="AF226" s="2793">
        <f>$Z226-SUMIF('11.2. ДА за периода'!$B$155:$B$175,$B226,'11.2. ДА за периода'!$Z$155:$Z$175)+SUMIF('11.2. ДА за периода'!$B$155:$B$175,$B226,'11.2. ДА за периода'!AF$155:AF$175)</f>
        <v>0</v>
      </c>
      <c r="AG226" s="4738">
        <f>+'11.3. ДА Базова година'!V187</f>
        <v>0</v>
      </c>
      <c r="AH226" s="2792">
        <f>$AG226-SUMIF('11.2. ДА за периода'!$B$155:$B$175,$B226,'11.2. ДА за периода'!$AG$155:$AG$175)+SUMIF('11.2. ДА за периода'!$B$155:$B$175,$B226,'11.2. ДА за периода'!AH$155:AH$175)</f>
        <v>0</v>
      </c>
      <c r="AI226" s="1155">
        <f>$AG226-SUMIF('11.2. ДА за периода'!$B$155:$B$175,$B226,'11.2. ДА за периода'!$AG$155:$AG$175)+SUMIF('11.2. ДА за периода'!$B$155:$B$175,$B226,'11.2. ДА за периода'!AI$155:AI$175)</f>
        <v>0</v>
      </c>
      <c r="AJ226" s="1155">
        <f>$AG226-SUMIF('11.2. ДА за периода'!$B$155:$B$175,$B226,'11.2. ДА за периода'!$AG$155:$AG$175)+SUMIF('11.2. ДА за периода'!$B$155:$B$175,$B226,'11.2. ДА за периода'!AJ$155:AJ$175)</f>
        <v>0</v>
      </c>
      <c r="AK226" s="1155">
        <f>$AG226-SUMIF('11.2. ДА за периода'!$B$155:$B$175,$B226,'11.2. ДА за периода'!$AG$155:$AG$175)+SUMIF('11.2. ДА за периода'!$B$155:$B$175,$B226,'11.2. ДА за периода'!AK$155:AK$175)</f>
        <v>0</v>
      </c>
      <c r="AL226" s="1155">
        <f>$AG226-SUMIF('11.2. ДА за периода'!$B$155:$B$175,$B226,'11.2. ДА за периода'!$AG$155:$AG$175)+SUMIF('11.2. ДА за периода'!$B$155:$B$175,$B226,'11.2. ДА за периода'!AL$155:AL$175)</f>
        <v>0</v>
      </c>
      <c r="AM226" s="2793">
        <f>$AG226-SUMIF('11.2. ДА за периода'!$B$155:$B$175,$B226,'11.2. ДА за периода'!$AG$155:$AG$175)+SUMIF('11.2. ДА за периода'!$B$155:$B$175,$B226,'11.2. ДА за периода'!AM$155:AM$175)</f>
        <v>0</v>
      </c>
      <c r="AN226" s="2692"/>
      <c r="AO226" s="2719"/>
      <c r="AP226" s="4775"/>
      <c r="AQ226" s="4794">
        <f t="shared" si="271"/>
        <v>0</v>
      </c>
      <c r="AR226" s="4794">
        <f t="shared" si="272"/>
        <v>0</v>
      </c>
      <c r="AS226" s="4794">
        <f t="shared" si="273"/>
        <v>0</v>
      </c>
      <c r="AT226" s="4794">
        <f t="shared" si="274"/>
        <v>0</v>
      </c>
      <c r="AU226" s="4794">
        <f t="shared" si="275"/>
        <v>0</v>
      </c>
      <c r="AV226" s="4794">
        <f t="shared" si="276"/>
        <v>0</v>
      </c>
      <c r="AW226" s="4794">
        <f t="shared" si="277"/>
        <v>0</v>
      </c>
      <c r="AX226" s="4794">
        <f t="shared" si="278"/>
        <v>0</v>
      </c>
      <c r="AY226" s="4794">
        <f t="shared" si="279"/>
        <v>0</v>
      </c>
      <c r="AZ226" s="4794">
        <f t="shared" si="280"/>
        <v>0</v>
      </c>
      <c r="BA226" s="4794">
        <f t="shared" si="281"/>
        <v>0</v>
      </c>
      <c r="BB226" s="4794">
        <f t="shared" si="282"/>
        <v>0</v>
      </c>
      <c r="BC226" s="4794">
        <f t="shared" si="283"/>
        <v>0</v>
      </c>
      <c r="BD226" s="4794">
        <f t="shared" si="284"/>
        <v>0</v>
      </c>
      <c r="BE226" s="4794">
        <f t="shared" si="285"/>
        <v>0</v>
      </c>
      <c r="BF226" s="4794">
        <f t="shared" si="286"/>
        <v>0</v>
      </c>
      <c r="BG226" s="4794">
        <f t="shared" si="287"/>
        <v>0</v>
      </c>
      <c r="BH226" s="4794">
        <f t="shared" si="288"/>
        <v>0</v>
      </c>
      <c r="BI226" s="4794">
        <f t="shared" si="289"/>
        <v>0</v>
      </c>
      <c r="BJ226" s="4794">
        <f t="shared" si="290"/>
        <v>0</v>
      </c>
      <c r="BK226" s="4794">
        <f t="shared" si="291"/>
        <v>0</v>
      </c>
      <c r="BL226" s="4794">
        <f t="shared" si="292"/>
        <v>0</v>
      </c>
      <c r="BM226" s="4794">
        <f t="shared" si="293"/>
        <v>0</v>
      </c>
      <c r="BN226" s="4794">
        <f t="shared" si="294"/>
        <v>0</v>
      </c>
      <c r="BO226" s="4794">
        <f t="shared" si="295"/>
        <v>0</v>
      </c>
      <c r="BP226" s="4794">
        <f t="shared" si="296"/>
        <v>0</v>
      </c>
      <c r="BQ226" s="4794">
        <f t="shared" si="297"/>
        <v>0</v>
      </c>
      <c r="BR226" s="4794">
        <f t="shared" si="298"/>
        <v>0</v>
      </c>
      <c r="BS226" s="4794">
        <f t="shared" si="299"/>
        <v>0</v>
      </c>
      <c r="BT226" s="4794">
        <f t="shared" si="300"/>
        <v>0</v>
      </c>
      <c r="BU226" s="4794">
        <f t="shared" si="301"/>
        <v>0</v>
      </c>
      <c r="BV226" s="4794">
        <f t="shared" si="302"/>
        <v>0</v>
      </c>
      <c r="BW226" s="4794">
        <f t="shared" si="303"/>
        <v>0</v>
      </c>
      <c r="BX226" s="4794">
        <f t="shared" si="304"/>
        <v>0</v>
      </c>
      <c r="BY226" s="4794">
        <f t="shared" si="305"/>
        <v>0</v>
      </c>
    </row>
    <row r="227" spans="1:77" s="1344" customFormat="1">
      <c r="A227" s="2741">
        <v>13</v>
      </c>
      <c r="B227" s="2684" t="s">
        <v>699</v>
      </c>
      <c r="C227" s="2685">
        <v>0.02</v>
      </c>
      <c r="D227" s="2715" t="s">
        <v>739</v>
      </c>
      <c r="E227" s="4738">
        <f>+'11.3. ДА Базова година'!F188</f>
        <v>66</v>
      </c>
      <c r="F227" s="2792">
        <f>$E227-SUMIF('11.2. ДА за периода'!$B$155:$B$175,$B227,'11.2. ДА за периода'!$E$155:$E$175)+SUMIF('11.2. ДА за периода'!$B$155:$B$175,$B227,'11.2. ДА за периода'!F$155:F$175)</f>
        <v>66</v>
      </c>
      <c r="G227" s="1155">
        <f>$E227-SUMIF('11.2. ДА за периода'!$B$155:$B$175,$B227,'11.2. ДА за периода'!$E$155:$E$175)+SUMIF('11.2. ДА за периода'!$B$155:$B$175,$B227,'11.2. ДА за периода'!G$155:G$175)</f>
        <v>66</v>
      </c>
      <c r="H227" s="1155">
        <f>$E227-SUMIF('11.2. ДА за периода'!$B$155:$B$175,$B227,'11.2. ДА за периода'!$E$155:$E$175)+SUMIF('11.2. ДА за периода'!$B$155:$B$175,$B227,'11.2. ДА за периода'!H$155:H$175)</f>
        <v>66</v>
      </c>
      <c r="I227" s="1155">
        <f>$E227-SUMIF('11.2. ДА за периода'!$B$155:$B$175,$B227,'11.2. ДА за периода'!$E$155:$E$175)+SUMIF('11.2. ДА за периода'!$B$155:$B$175,$B227,'11.2. ДА за периода'!I$155:I$175)</f>
        <v>66</v>
      </c>
      <c r="J227" s="1155">
        <f>$E227-SUMIF('11.2. ДА за периода'!$B$155:$B$175,$B227,'11.2. ДА за периода'!$E$155:$E$175)+SUMIF('11.2. ДА за периода'!$B$155:$B$175,$B227,'11.2. ДА за периода'!J$155:J$175)</f>
        <v>66</v>
      </c>
      <c r="K227" s="2793">
        <f>$E227-SUMIF('11.2. ДА за периода'!$B$155:$B$175,$B227,'11.2. ДА за периода'!$E$155:$E$175)+SUMIF('11.2. ДА за периода'!$B$155:$B$175,$B227,'11.2. ДА за периода'!K$155:K$175)</f>
        <v>66</v>
      </c>
      <c r="L227" s="4738">
        <f>+'11.3. ДА Базова година'!J188</f>
        <v>0</v>
      </c>
      <c r="M227" s="2792">
        <f>$L227-SUMIF('11.2. ДА за периода'!$B$155:$B$175,$B227,'11.2. ДА за периода'!$L$155:$L$175)+SUMIF('11.2. ДА за периода'!$B$155:$B$175,$B227,'11.2. ДА за периода'!M$155:M$175)</f>
        <v>0</v>
      </c>
      <c r="N227" s="1155">
        <f>$L227-SUMIF('11.2. ДА за периода'!$B$155:$B$175,$B227,'11.2. ДА за периода'!$L$155:$L$175)+SUMIF('11.2. ДА за периода'!$B$155:$B$175,$B227,'11.2. ДА за периода'!N$155:N$175)</f>
        <v>0</v>
      </c>
      <c r="O227" s="1155">
        <f>$L227-SUMIF('11.2. ДА за периода'!$B$155:$B$175,$B227,'11.2. ДА за периода'!$L$155:$L$175)+SUMIF('11.2. ДА за периода'!$B$155:$B$175,$B227,'11.2. ДА за периода'!O$155:O$175)</f>
        <v>0</v>
      </c>
      <c r="P227" s="1155">
        <f>$L227-SUMIF('11.2. ДА за периода'!$B$155:$B$175,$B227,'11.2. ДА за периода'!$L$155:$L$175)+SUMIF('11.2. ДА за периода'!$B$155:$B$175,$B227,'11.2. ДА за периода'!P$155:P$175)</f>
        <v>0</v>
      </c>
      <c r="Q227" s="1155">
        <f>$L227-SUMIF('11.2. ДА за периода'!$B$155:$B$175,$B227,'11.2. ДА за периода'!$L$155:$L$175)+SUMIF('11.2. ДА за периода'!$B$155:$B$175,$B227,'11.2. ДА за периода'!Q$155:Q$175)</f>
        <v>0</v>
      </c>
      <c r="R227" s="2793">
        <f>$L227-SUMIF('11.2. ДА за периода'!$B$155:$B$175,$B227,'11.2. ДА за периода'!$L$155:$L$175)+SUMIF('11.2. ДА за периода'!$B$155:$B$175,$B227,'11.2. ДА за периода'!R$155:R$175)</f>
        <v>0</v>
      </c>
      <c r="S227" s="4738">
        <f>+'11.3. ДА Базова година'!N188</f>
        <v>0</v>
      </c>
      <c r="T227" s="2792">
        <f>$S227-SUMIF('11.2. ДА за периода'!$B$155:$B$175,$B227,'11.2. ДА за периода'!$S$155:$S$175)+SUMIF('11.2. ДА за периода'!$B$155:$B$175,$B227,'11.2. ДА за периода'!T$155:T$175)</f>
        <v>0</v>
      </c>
      <c r="U227" s="1155">
        <f>$S227-SUMIF('11.2. ДА за периода'!$B$155:$B$175,$B227,'11.2. ДА за периода'!$S$155:$S$175)+SUMIF('11.2. ДА за периода'!$B$155:$B$175,$B227,'11.2. ДА за периода'!U$155:U$175)</f>
        <v>0</v>
      </c>
      <c r="V227" s="1155">
        <f>$S227-SUMIF('11.2. ДА за периода'!$B$155:$B$175,$B227,'11.2. ДА за периода'!$S$155:$S$175)+SUMIF('11.2. ДА за периода'!$B$155:$B$175,$B227,'11.2. ДА за периода'!V$155:V$175)</f>
        <v>0</v>
      </c>
      <c r="W227" s="1155">
        <f>$S227-SUMIF('11.2. ДА за периода'!$B$155:$B$175,$B227,'11.2. ДА за периода'!$S$155:$S$175)+SUMIF('11.2. ДА за периода'!$B$155:$B$175,$B227,'11.2. ДА за периода'!W$155:W$175)</f>
        <v>0</v>
      </c>
      <c r="X227" s="1155">
        <f>$S227-SUMIF('11.2. ДА за периода'!$B$155:$B$175,$B227,'11.2. ДА за периода'!$S$155:$S$175)+SUMIF('11.2. ДА за периода'!$B$155:$B$175,$B227,'11.2. ДА за периода'!X$155:X$175)</f>
        <v>0</v>
      </c>
      <c r="Y227" s="2793">
        <f>$S227-SUMIF('11.2. ДА за периода'!$B$155:$B$175,$B227,'11.2. ДА за периода'!$S$155:$S$175)+SUMIF('11.2. ДА за периода'!$B$155:$B$175,$B227,'11.2. ДА за периода'!Y$155:Y$175)</f>
        <v>0</v>
      </c>
      <c r="Z227" s="4738">
        <f>+'11.3. ДА Базова година'!R188</f>
        <v>0</v>
      </c>
      <c r="AA227" s="2792">
        <f>$Z227-SUMIF('11.2. ДА за периода'!$B$155:$B$175,$B227,'11.2. ДА за периода'!$Z$155:$Z$175)+SUMIF('11.2. ДА за периода'!$B$155:$B$175,$B227,'11.2. ДА за периода'!AA$155:AA$175)</f>
        <v>0</v>
      </c>
      <c r="AB227" s="1155">
        <f>$Z227-SUMIF('11.2. ДА за периода'!$B$155:$B$175,$B227,'11.2. ДА за периода'!$Z$155:$Z$175)+SUMIF('11.2. ДА за периода'!$B$155:$B$175,$B227,'11.2. ДА за периода'!AB$155:AB$175)</f>
        <v>0</v>
      </c>
      <c r="AC227" s="1155">
        <f>$Z227-SUMIF('11.2. ДА за периода'!$B$155:$B$175,$B227,'11.2. ДА за периода'!$Z$155:$Z$175)+SUMIF('11.2. ДА за периода'!$B$155:$B$175,$B227,'11.2. ДА за периода'!AC$155:AC$175)</f>
        <v>0</v>
      </c>
      <c r="AD227" s="1155">
        <f>$Z227-SUMIF('11.2. ДА за периода'!$B$155:$B$175,$B227,'11.2. ДА за периода'!$Z$155:$Z$175)+SUMIF('11.2. ДА за периода'!$B$155:$B$175,$B227,'11.2. ДА за периода'!AD$155:AD$175)</f>
        <v>0</v>
      </c>
      <c r="AE227" s="1155">
        <f>$Z227-SUMIF('11.2. ДА за периода'!$B$155:$B$175,$B227,'11.2. ДА за периода'!$Z$155:$Z$175)+SUMIF('11.2. ДА за периода'!$B$155:$B$175,$B227,'11.2. ДА за периода'!AE$155:AE$175)</f>
        <v>0</v>
      </c>
      <c r="AF227" s="2793">
        <f>$Z227-SUMIF('11.2. ДА за периода'!$B$155:$B$175,$B227,'11.2. ДА за периода'!$Z$155:$Z$175)+SUMIF('11.2. ДА за периода'!$B$155:$B$175,$B227,'11.2. ДА за периода'!AF$155:AF$175)</f>
        <v>0</v>
      </c>
      <c r="AG227" s="4738">
        <f>+'11.3. ДА Базова година'!V188</f>
        <v>0</v>
      </c>
      <c r="AH227" s="2792">
        <f>$AG227-SUMIF('11.2. ДА за периода'!$B$155:$B$175,$B227,'11.2. ДА за периода'!$AG$155:$AG$175)+SUMIF('11.2. ДА за периода'!$B$155:$B$175,$B227,'11.2. ДА за периода'!AH$155:AH$175)</f>
        <v>0</v>
      </c>
      <c r="AI227" s="1155">
        <f>$AG227-SUMIF('11.2. ДА за периода'!$B$155:$B$175,$B227,'11.2. ДА за периода'!$AG$155:$AG$175)+SUMIF('11.2. ДА за периода'!$B$155:$B$175,$B227,'11.2. ДА за периода'!AI$155:AI$175)</f>
        <v>0</v>
      </c>
      <c r="AJ227" s="1155">
        <f>$AG227-SUMIF('11.2. ДА за периода'!$B$155:$B$175,$B227,'11.2. ДА за периода'!$AG$155:$AG$175)+SUMIF('11.2. ДА за периода'!$B$155:$B$175,$B227,'11.2. ДА за периода'!AJ$155:AJ$175)</f>
        <v>0</v>
      </c>
      <c r="AK227" s="1155">
        <f>$AG227-SUMIF('11.2. ДА за периода'!$B$155:$B$175,$B227,'11.2. ДА за периода'!$AG$155:$AG$175)+SUMIF('11.2. ДА за периода'!$B$155:$B$175,$B227,'11.2. ДА за периода'!AK$155:AK$175)</f>
        <v>0</v>
      </c>
      <c r="AL227" s="1155">
        <f>$AG227-SUMIF('11.2. ДА за периода'!$B$155:$B$175,$B227,'11.2. ДА за периода'!$AG$155:$AG$175)+SUMIF('11.2. ДА за периода'!$B$155:$B$175,$B227,'11.2. ДА за периода'!AL$155:AL$175)</f>
        <v>0</v>
      </c>
      <c r="AM227" s="2793">
        <f>$AG227-SUMIF('11.2. ДА за периода'!$B$155:$B$175,$B227,'11.2. ДА за периода'!$AG$155:$AG$175)+SUMIF('11.2. ДА за периода'!$B$155:$B$175,$B227,'11.2. ДА за периода'!AM$155:AM$175)</f>
        <v>0</v>
      </c>
      <c r="AN227" s="2692"/>
      <c r="AO227" s="2719"/>
      <c r="AP227" s="4775"/>
      <c r="AQ227" s="4794">
        <f t="shared" si="271"/>
        <v>33.74526415895042</v>
      </c>
      <c r="AR227" s="4794">
        <f t="shared" si="272"/>
        <v>33.74526415895042</v>
      </c>
      <c r="AS227" s="4794">
        <f t="shared" si="273"/>
        <v>33.74526415895042</v>
      </c>
      <c r="AT227" s="4794">
        <f t="shared" si="274"/>
        <v>33.74526415895042</v>
      </c>
      <c r="AU227" s="4794">
        <f t="shared" si="275"/>
        <v>33.74526415895042</v>
      </c>
      <c r="AV227" s="4794">
        <f t="shared" si="276"/>
        <v>33.74526415895042</v>
      </c>
      <c r="AW227" s="4794">
        <f t="shared" si="277"/>
        <v>33.74526415895042</v>
      </c>
      <c r="AX227" s="4794">
        <f t="shared" si="278"/>
        <v>0</v>
      </c>
      <c r="AY227" s="4794">
        <f t="shared" si="279"/>
        <v>0</v>
      </c>
      <c r="AZ227" s="4794">
        <f t="shared" si="280"/>
        <v>0</v>
      </c>
      <c r="BA227" s="4794">
        <f t="shared" si="281"/>
        <v>0</v>
      </c>
      <c r="BB227" s="4794">
        <f t="shared" si="282"/>
        <v>0</v>
      </c>
      <c r="BC227" s="4794">
        <f t="shared" si="283"/>
        <v>0</v>
      </c>
      <c r="BD227" s="4794">
        <f t="shared" si="284"/>
        <v>0</v>
      </c>
      <c r="BE227" s="4794">
        <f t="shared" si="285"/>
        <v>0</v>
      </c>
      <c r="BF227" s="4794">
        <f t="shared" si="286"/>
        <v>0</v>
      </c>
      <c r="BG227" s="4794">
        <f t="shared" si="287"/>
        <v>0</v>
      </c>
      <c r="BH227" s="4794">
        <f t="shared" si="288"/>
        <v>0</v>
      </c>
      <c r="BI227" s="4794">
        <f t="shared" si="289"/>
        <v>0</v>
      </c>
      <c r="BJ227" s="4794">
        <f t="shared" si="290"/>
        <v>0</v>
      </c>
      <c r="BK227" s="4794">
        <f t="shared" si="291"/>
        <v>0</v>
      </c>
      <c r="BL227" s="4794">
        <f t="shared" si="292"/>
        <v>0</v>
      </c>
      <c r="BM227" s="4794">
        <f t="shared" si="293"/>
        <v>0</v>
      </c>
      <c r="BN227" s="4794">
        <f t="shared" si="294"/>
        <v>0</v>
      </c>
      <c r="BO227" s="4794">
        <f t="shared" si="295"/>
        <v>0</v>
      </c>
      <c r="BP227" s="4794">
        <f t="shared" si="296"/>
        <v>0</v>
      </c>
      <c r="BQ227" s="4794">
        <f t="shared" si="297"/>
        <v>0</v>
      </c>
      <c r="BR227" s="4794">
        <f t="shared" si="298"/>
        <v>0</v>
      </c>
      <c r="BS227" s="4794">
        <f t="shared" si="299"/>
        <v>0</v>
      </c>
      <c r="BT227" s="4794">
        <f t="shared" si="300"/>
        <v>0</v>
      </c>
      <c r="BU227" s="4794">
        <f t="shared" si="301"/>
        <v>0</v>
      </c>
      <c r="BV227" s="4794">
        <f t="shared" si="302"/>
        <v>0</v>
      </c>
      <c r="BW227" s="4794">
        <f t="shared" si="303"/>
        <v>0</v>
      </c>
      <c r="BX227" s="4794">
        <f t="shared" si="304"/>
        <v>0</v>
      </c>
      <c r="BY227" s="4794">
        <f t="shared" si="305"/>
        <v>0</v>
      </c>
    </row>
    <row r="228" spans="1:77" s="1344" customFormat="1">
      <c r="A228" s="2741">
        <v>14</v>
      </c>
      <c r="B228" s="2684" t="s">
        <v>700</v>
      </c>
      <c r="C228" s="2685">
        <v>0.02</v>
      </c>
      <c r="D228" s="2715" t="s">
        <v>418</v>
      </c>
      <c r="E228" s="4738">
        <f>+'11.3. ДА Базова година'!F189</f>
        <v>4</v>
      </c>
      <c r="F228" s="2792">
        <f>$E228-SUMIF('11.2. ДА за периода'!$B$155:$B$175,$B228,'11.2. ДА за периода'!$E$155:$E$175)+SUMIF('11.2. ДА за периода'!$B$155:$B$175,$B228,'11.2. ДА за периода'!F$155:F$175)</f>
        <v>4</v>
      </c>
      <c r="G228" s="1155">
        <f>$E228-SUMIF('11.2. ДА за периода'!$B$155:$B$175,$B228,'11.2. ДА за периода'!$E$155:$E$175)+SUMIF('11.2. ДА за периода'!$B$155:$B$175,$B228,'11.2. ДА за периода'!G$155:G$175)</f>
        <v>4</v>
      </c>
      <c r="H228" s="1155">
        <f>$E228-SUMIF('11.2. ДА за периода'!$B$155:$B$175,$B228,'11.2. ДА за периода'!$E$155:$E$175)+SUMIF('11.2. ДА за периода'!$B$155:$B$175,$B228,'11.2. ДА за периода'!H$155:H$175)</f>
        <v>4</v>
      </c>
      <c r="I228" s="1155">
        <f>$E228-SUMIF('11.2. ДА за периода'!$B$155:$B$175,$B228,'11.2. ДА за периода'!$E$155:$E$175)+SUMIF('11.2. ДА за периода'!$B$155:$B$175,$B228,'11.2. ДА за периода'!I$155:I$175)</f>
        <v>4</v>
      </c>
      <c r="J228" s="1155">
        <f>$E228-SUMIF('11.2. ДА за периода'!$B$155:$B$175,$B228,'11.2. ДА за периода'!$E$155:$E$175)+SUMIF('11.2. ДА за периода'!$B$155:$B$175,$B228,'11.2. ДА за периода'!J$155:J$175)</f>
        <v>4</v>
      </c>
      <c r="K228" s="2793">
        <f>$E228-SUMIF('11.2. ДА за периода'!$B$155:$B$175,$B228,'11.2. ДА за периода'!$E$155:$E$175)+SUMIF('11.2. ДА за периода'!$B$155:$B$175,$B228,'11.2. ДА за периода'!K$155:K$175)</f>
        <v>4</v>
      </c>
      <c r="L228" s="4738">
        <f>+'11.3. ДА Базова година'!J189</f>
        <v>0</v>
      </c>
      <c r="M228" s="2792">
        <f>$L228-SUMIF('11.2. ДА за периода'!$B$155:$B$175,$B228,'11.2. ДА за периода'!$L$155:$L$175)+SUMIF('11.2. ДА за периода'!$B$155:$B$175,$B228,'11.2. ДА за периода'!M$155:M$175)</f>
        <v>0</v>
      </c>
      <c r="N228" s="1155">
        <f>$L228-SUMIF('11.2. ДА за периода'!$B$155:$B$175,$B228,'11.2. ДА за периода'!$L$155:$L$175)+SUMIF('11.2. ДА за периода'!$B$155:$B$175,$B228,'11.2. ДА за периода'!N$155:N$175)</f>
        <v>0</v>
      </c>
      <c r="O228" s="1155">
        <f>$L228-SUMIF('11.2. ДА за периода'!$B$155:$B$175,$B228,'11.2. ДА за периода'!$L$155:$L$175)+SUMIF('11.2. ДА за периода'!$B$155:$B$175,$B228,'11.2. ДА за периода'!O$155:O$175)</f>
        <v>0</v>
      </c>
      <c r="P228" s="1155">
        <f>$L228-SUMIF('11.2. ДА за периода'!$B$155:$B$175,$B228,'11.2. ДА за периода'!$L$155:$L$175)+SUMIF('11.2. ДА за периода'!$B$155:$B$175,$B228,'11.2. ДА за периода'!P$155:P$175)</f>
        <v>0</v>
      </c>
      <c r="Q228" s="1155">
        <f>$L228-SUMIF('11.2. ДА за периода'!$B$155:$B$175,$B228,'11.2. ДА за периода'!$L$155:$L$175)+SUMIF('11.2. ДА за периода'!$B$155:$B$175,$B228,'11.2. ДА за периода'!Q$155:Q$175)</f>
        <v>0</v>
      </c>
      <c r="R228" s="2793">
        <f>$L228-SUMIF('11.2. ДА за периода'!$B$155:$B$175,$B228,'11.2. ДА за периода'!$L$155:$L$175)+SUMIF('11.2. ДА за периода'!$B$155:$B$175,$B228,'11.2. ДА за периода'!R$155:R$175)</f>
        <v>0</v>
      </c>
      <c r="S228" s="4738">
        <f>+'11.3. ДА Базова година'!N189</f>
        <v>0</v>
      </c>
      <c r="T228" s="2792">
        <f>$S228-SUMIF('11.2. ДА за периода'!$B$155:$B$175,$B228,'11.2. ДА за периода'!$S$155:$S$175)+SUMIF('11.2. ДА за периода'!$B$155:$B$175,$B228,'11.2. ДА за периода'!T$155:T$175)</f>
        <v>0</v>
      </c>
      <c r="U228" s="1155">
        <f>$S228-SUMIF('11.2. ДА за периода'!$B$155:$B$175,$B228,'11.2. ДА за периода'!$S$155:$S$175)+SUMIF('11.2. ДА за периода'!$B$155:$B$175,$B228,'11.2. ДА за периода'!U$155:U$175)</f>
        <v>0</v>
      </c>
      <c r="V228" s="1155">
        <f>$S228-SUMIF('11.2. ДА за периода'!$B$155:$B$175,$B228,'11.2. ДА за периода'!$S$155:$S$175)+SUMIF('11.2. ДА за периода'!$B$155:$B$175,$B228,'11.2. ДА за периода'!V$155:V$175)</f>
        <v>0</v>
      </c>
      <c r="W228" s="1155">
        <f>$S228-SUMIF('11.2. ДА за периода'!$B$155:$B$175,$B228,'11.2. ДА за периода'!$S$155:$S$175)+SUMIF('11.2. ДА за периода'!$B$155:$B$175,$B228,'11.2. ДА за периода'!W$155:W$175)</f>
        <v>0</v>
      </c>
      <c r="X228" s="1155">
        <f>$S228-SUMIF('11.2. ДА за периода'!$B$155:$B$175,$B228,'11.2. ДА за периода'!$S$155:$S$175)+SUMIF('11.2. ДА за периода'!$B$155:$B$175,$B228,'11.2. ДА за периода'!X$155:X$175)</f>
        <v>0</v>
      </c>
      <c r="Y228" s="2793">
        <f>$S228-SUMIF('11.2. ДА за периода'!$B$155:$B$175,$B228,'11.2. ДА за периода'!$S$155:$S$175)+SUMIF('11.2. ДА за периода'!$B$155:$B$175,$B228,'11.2. ДА за периода'!Y$155:Y$175)</f>
        <v>0</v>
      </c>
      <c r="Z228" s="4738">
        <f>+'11.3. ДА Базова година'!R189</f>
        <v>0</v>
      </c>
      <c r="AA228" s="2792">
        <f>$Z228-SUMIF('11.2. ДА за периода'!$B$155:$B$175,$B228,'11.2. ДА за периода'!$Z$155:$Z$175)+SUMIF('11.2. ДА за периода'!$B$155:$B$175,$B228,'11.2. ДА за периода'!AA$155:AA$175)</f>
        <v>0</v>
      </c>
      <c r="AB228" s="1155">
        <f>$Z228-SUMIF('11.2. ДА за периода'!$B$155:$B$175,$B228,'11.2. ДА за периода'!$Z$155:$Z$175)+SUMIF('11.2. ДА за периода'!$B$155:$B$175,$B228,'11.2. ДА за периода'!AB$155:AB$175)</f>
        <v>0</v>
      </c>
      <c r="AC228" s="1155">
        <f>$Z228-SUMIF('11.2. ДА за периода'!$B$155:$B$175,$B228,'11.2. ДА за периода'!$Z$155:$Z$175)+SUMIF('11.2. ДА за периода'!$B$155:$B$175,$B228,'11.2. ДА за периода'!AC$155:AC$175)</f>
        <v>0</v>
      </c>
      <c r="AD228" s="1155">
        <f>$Z228-SUMIF('11.2. ДА за периода'!$B$155:$B$175,$B228,'11.2. ДА за периода'!$Z$155:$Z$175)+SUMIF('11.2. ДА за периода'!$B$155:$B$175,$B228,'11.2. ДА за периода'!AD$155:AD$175)</f>
        <v>0</v>
      </c>
      <c r="AE228" s="1155">
        <f>$Z228-SUMIF('11.2. ДА за периода'!$B$155:$B$175,$B228,'11.2. ДА за периода'!$Z$155:$Z$175)+SUMIF('11.2. ДА за периода'!$B$155:$B$175,$B228,'11.2. ДА за периода'!AE$155:AE$175)</f>
        <v>0</v>
      </c>
      <c r="AF228" s="2793">
        <f>$Z228-SUMIF('11.2. ДА за периода'!$B$155:$B$175,$B228,'11.2. ДА за периода'!$Z$155:$Z$175)+SUMIF('11.2. ДА за периода'!$B$155:$B$175,$B228,'11.2. ДА за периода'!AF$155:AF$175)</f>
        <v>0</v>
      </c>
      <c r="AG228" s="4738">
        <f>+'11.3. ДА Базова година'!V189</f>
        <v>0</v>
      </c>
      <c r="AH228" s="2792">
        <f>$AG228-SUMIF('11.2. ДА за периода'!$B$155:$B$175,$B228,'11.2. ДА за периода'!$AG$155:$AG$175)+SUMIF('11.2. ДА за периода'!$B$155:$B$175,$B228,'11.2. ДА за периода'!AH$155:AH$175)</f>
        <v>0</v>
      </c>
      <c r="AI228" s="1155">
        <f>$AG228-SUMIF('11.2. ДА за периода'!$B$155:$B$175,$B228,'11.2. ДА за периода'!$AG$155:$AG$175)+SUMIF('11.2. ДА за периода'!$B$155:$B$175,$B228,'11.2. ДА за периода'!AI$155:AI$175)</f>
        <v>0</v>
      </c>
      <c r="AJ228" s="1155">
        <f>$AG228-SUMIF('11.2. ДА за периода'!$B$155:$B$175,$B228,'11.2. ДА за периода'!$AG$155:$AG$175)+SUMIF('11.2. ДА за периода'!$B$155:$B$175,$B228,'11.2. ДА за периода'!AJ$155:AJ$175)</f>
        <v>0</v>
      </c>
      <c r="AK228" s="1155">
        <f>$AG228-SUMIF('11.2. ДА за периода'!$B$155:$B$175,$B228,'11.2. ДА за периода'!$AG$155:$AG$175)+SUMIF('11.2. ДА за периода'!$B$155:$B$175,$B228,'11.2. ДА за периода'!AK$155:AK$175)</f>
        <v>0</v>
      </c>
      <c r="AL228" s="1155">
        <f>$AG228-SUMIF('11.2. ДА за периода'!$B$155:$B$175,$B228,'11.2. ДА за периода'!$AG$155:$AG$175)+SUMIF('11.2. ДА за периода'!$B$155:$B$175,$B228,'11.2. ДА за периода'!AL$155:AL$175)</f>
        <v>0</v>
      </c>
      <c r="AM228" s="2793">
        <f>$AG228-SUMIF('11.2. ДА за периода'!$B$155:$B$175,$B228,'11.2. ДА за периода'!$AG$155:$AG$175)+SUMIF('11.2. ДА за периода'!$B$155:$B$175,$B228,'11.2. ДА за периода'!AM$155:AM$175)</f>
        <v>0</v>
      </c>
      <c r="AN228" s="2692"/>
      <c r="AO228" s="2719"/>
      <c r="AP228" s="4775"/>
      <c r="AQ228" s="4794">
        <f t="shared" si="271"/>
        <v>2.045167524784874</v>
      </c>
      <c r="AR228" s="4794">
        <f t="shared" si="272"/>
        <v>2.045167524784874</v>
      </c>
      <c r="AS228" s="4794">
        <f t="shared" si="273"/>
        <v>2.045167524784874</v>
      </c>
      <c r="AT228" s="4794">
        <f t="shared" si="274"/>
        <v>2.045167524784874</v>
      </c>
      <c r="AU228" s="4794">
        <f t="shared" si="275"/>
        <v>2.045167524784874</v>
      </c>
      <c r="AV228" s="4794">
        <f t="shared" si="276"/>
        <v>2.045167524784874</v>
      </c>
      <c r="AW228" s="4794">
        <f t="shared" si="277"/>
        <v>2.045167524784874</v>
      </c>
      <c r="AX228" s="4794">
        <f t="shared" si="278"/>
        <v>0</v>
      </c>
      <c r="AY228" s="4794">
        <f t="shared" si="279"/>
        <v>0</v>
      </c>
      <c r="AZ228" s="4794">
        <f t="shared" si="280"/>
        <v>0</v>
      </c>
      <c r="BA228" s="4794">
        <f t="shared" si="281"/>
        <v>0</v>
      </c>
      <c r="BB228" s="4794">
        <f t="shared" si="282"/>
        <v>0</v>
      </c>
      <c r="BC228" s="4794">
        <f t="shared" si="283"/>
        <v>0</v>
      </c>
      <c r="BD228" s="4794">
        <f t="shared" si="284"/>
        <v>0</v>
      </c>
      <c r="BE228" s="4794">
        <f t="shared" si="285"/>
        <v>0</v>
      </c>
      <c r="BF228" s="4794">
        <f t="shared" si="286"/>
        <v>0</v>
      </c>
      <c r="BG228" s="4794">
        <f t="shared" si="287"/>
        <v>0</v>
      </c>
      <c r="BH228" s="4794">
        <f t="shared" si="288"/>
        <v>0</v>
      </c>
      <c r="BI228" s="4794">
        <f t="shared" si="289"/>
        <v>0</v>
      </c>
      <c r="BJ228" s="4794">
        <f t="shared" si="290"/>
        <v>0</v>
      </c>
      <c r="BK228" s="4794">
        <f t="shared" si="291"/>
        <v>0</v>
      </c>
      <c r="BL228" s="4794">
        <f t="shared" si="292"/>
        <v>0</v>
      </c>
      <c r="BM228" s="4794">
        <f t="shared" si="293"/>
        <v>0</v>
      </c>
      <c r="BN228" s="4794">
        <f t="shared" si="294"/>
        <v>0</v>
      </c>
      <c r="BO228" s="4794">
        <f t="shared" si="295"/>
        <v>0</v>
      </c>
      <c r="BP228" s="4794">
        <f t="shared" si="296"/>
        <v>0</v>
      </c>
      <c r="BQ228" s="4794">
        <f t="shared" si="297"/>
        <v>0</v>
      </c>
      <c r="BR228" s="4794">
        <f t="shared" si="298"/>
        <v>0</v>
      </c>
      <c r="BS228" s="4794">
        <f t="shared" si="299"/>
        <v>0</v>
      </c>
      <c r="BT228" s="4794">
        <f t="shared" si="300"/>
        <v>0</v>
      </c>
      <c r="BU228" s="4794">
        <f t="shared" si="301"/>
        <v>0</v>
      </c>
      <c r="BV228" s="4794">
        <f t="shared" si="302"/>
        <v>0</v>
      </c>
      <c r="BW228" s="4794">
        <f t="shared" si="303"/>
        <v>0</v>
      </c>
      <c r="BX228" s="4794">
        <f t="shared" si="304"/>
        <v>0</v>
      </c>
      <c r="BY228" s="4794">
        <f t="shared" si="305"/>
        <v>0</v>
      </c>
    </row>
    <row r="229" spans="1:77" s="1344" customFormat="1">
      <c r="A229" s="2741">
        <v>15</v>
      </c>
      <c r="B229" s="2684" t="s">
        <v>701</v>
      </c>
      <c r="C229" s="2685">
        <v>0.02</v>
      </c>
      <c r="D229" s="2714" t="s">
        <v>419</v>
      </c>
      <c r="E229" s="4738">
        <f>+'11.3. ДА Базова година'!F190</f>
        <v>0</v>
      </c>
      <c r="F229" s="2792">
        <f>$E229-SUMIF('11.2. ДА за периода'!$B$155:$B$175,$B229,'11.2. ДА за периода'!$E$155:$E$175)+SUMIF('11.2. ДА за периода'!$B$155:$B$175,$B229,'11.2. ДА за периода'!F$155:F$175)</f>
        <v>0</v>
      </c>
      <c r="G229" s="1155">
        <f>$E229-SUMIF('11.2. ДА за периода'!$B$155:$B$175,$B229,'11.2. ДА за периода'!$E$155:$E$175)+SUMIF('11.2. ДА за периода'!$B$155:$B$175,$B229,'11.2. ДА за периода'!G$155:G$175)</f>
        <v>0</v>
      </c>
      <c r="H229" s="1155">
        <f>$E229-SUMIF('11.2. ДА за периода'!$B$155:$B$175,$B229,'11.2. ДА за периода'!$E$155:$E$175)+SUMIF('11.2. ДА за периода'!$B$155:$B$175,$B229,'11.2. ДА за периода'!H$155:H$175)</f>
        <v>0</v>
      </c>
      <c r="I229" s="1155">
        <f>$E229-SUMIF('11.2. ДА за периода'!$B$155:$B$175,$B229,'11.2. ДА за периода'!$E$155:$E$175)+SUMIF('11.2. ДА за периода'!$B$155:$B$175,$B229,'11.2. ДА за периода'!I$155:I$175)</f>
        <v>0</v>
      </c>
      <c r="J229" s="1155">
        <f>$E229-SUMIF('11.2. ДА за периода'!$B$155:$B$175,$B229,'11.2. ДА за периода'!$E$155:$E$175)+SUMIF('11.2. ДА за периода'!$B$155:$B$175,$B229,'11.2. ДА за периода'!J$155:J$175)</f>
        <v>0</v>
      </c>
      <c r="K229" s="2793">
        <f>$E229-SUMIF('11.2. ДА за периода'!$B$155:$B$175,$B229,'11.2. ДА за периода'!$E$155:$E$175)+SUMIF('11.2. ДА за периода'!$B$155:$B$175,$B229,'11.2. ДА за периода'!K$155:K$175)</f>
        <v>0</v>
      </c>
      <c r="L229" s="4738">
        <f>+'11.3. ДА Базова година'!J190</f>
        <v>0</v>
      </c>
      <c r="M229" s="2792">
        <f>$L229-SUMIF('11.2. ДА за периода'!$B$155:$B$175,$B229,'11.2. ДА за периода'!$L$155:$L$175)+SUMIF('11.2. ДА за периода'!$B$155:$B$175,$B229,'11.2. ДА за периода'!M$155:M$175)</f>
        <v>0</v>
      </c>
      <c r="N229" s="1155">
        <f>$L229-SUMIF('11.2. ДА за периода'!$B$155:$B$175,$B229,'11.2. ДА за периода'!$L$155:$L$175)+SUMIF('11.2. ДА за периода'!$B$155:$B$175,$B229,'11.2. ДА за периода'!N$155:N$175)</f>
        <v>0</v>
      </c>
      <c r="O229" s="1155">
        <f>$L229-SUMIF('11.2. ДА за периода'!$B$155:$B$175,$B229,'11.2. ДА за периода'!$L$155:$L$175)+SUMIF('11.2. ДА за периода'!$B$155:$B$175,$B229,'11.2. ДА за периода'!O$155:O$175)</f>
        <v>0</v>
      </c>
      <c r="P229" s="1155">
        <f>$L229-SUMIF('11.2. ДА за периода'!$B$155:$B$175,$B229,'11.2. ДА за периода'!$L$155:$L$175)+SUMIF('11.2. ДА за периода'!$B$155:$B$175,$B229,'11.2. ДА за периода'!P$155:P$175)</f>
        <v>0</v>
      </c>
      <c r="Q229" s="1155">
        <f>$L229-SUMIF('11.2. ДА за периода'!$B$155:$B$175,$B229,'11.2. ДА за периода'!$L$155:$L$175)+SUMIF('11.2. ДА за периода'!$B$155:$B$175,$B229,'11.2. ДА за периода'!Q$155:Q$175)</f>
        <v>0</v>
      </c>
      <c r="R229" s="2793">
        <f>$L229-SUMIF('11.2. ДА за периода'!$B$155:$B$175,$B229,'11.2. ДА за периода'!$L$155:$L$175)+SUMIF('11.2. ДА за периода'!$B$155:$B$175,$B229,'11.2. ДА за периода'!R$155:R$175)</f>
        <v>0</v>
      </c>
      <c r="S229" s="4738">
        <f>+'11.3. ДА Базова година'!N190</f>
        <v>0</v>
      </c>
      <c r="T229" s="2792">
        <f>$S229-SUMIF('11.2. ДА за периода'!$B$155:$B$175,$B229,'11.2. ДА за периода'!$S$155:$S$175)+SUMIF('11.2. ДА за периода'!$B$155:$B$175,$B229,'11.2. ДА за периода'!T$155:T$175)</f>
        <v>0</v>
      </c>
      <c r="U229" s="1155">
        <f>$S229-SUMIF('11.2. ДА за периода'!$B$155:$B$175,$B229,'11.2. ДА за периода'!$S$155:$S$175)+SUMIF('11.2. ДА за периода'!$B$155:$B$175,$B229,'11.2. ДА за периода'!U$155:U$175)</f>
        <v>0</v>
      </c>
      <c r="V229" s="1155">
        <f>$S229-SUMIF('11.2. ДА за периода'!$B$155:$B$175,$B229,'11.2. ДА за периода'!$S$155:$S$175)+SUMIF('11.2. ДА за периода'!$B$155:$B$175,$B229,'11.2. ДА за периода'!V$155:V$175)</f>
        <v>0</v>
      </c>
      <c r="W229" s="1155">
        <f>$S229-SUMIF('11.2. ДА за периода'!$B$155:$B$175,$B229,'11.2. ДА за периода'!$S$155:$S$175)+SUMIF('11.2. ДА за периода'!$B$155:$B$175,$B229,'11.2. ДА за периода'!W$155:W$175)</f>
        <v>0</v>
      </c>
      <c r="X229" s="1155">
        <f>$S229-SUMIF('11.2. ДА за периода'!$B$155:$B$175,$B229,'11.2. ДА за периода'!$S$155:$S$175)+SUMIF('11.2. ДА за периода'!$B$155:$B$175,$B229,'11.2. ДА за периода'!X$155:X$175)</f>
        <v>0</v>
      </c>
      <c r="Y229" s="2793">
        <f>$S229-SUMIF('11.2. ДА за периода'!$B$155:$B$175,$B229,'11.2. ДА за периода'!$S$155:$S$175)+SUMIF('11.2. ДА за периода'!$B$155:$B$175,$B229,'11.2. ДА за периода'!Y$155:Y$175)</f>
        <v>0</v>
      </c>
      <c r="Z229" s="4738">
        <f>+'11.3. ДА Базова година'!R190</f>
        <v>0</v>
      </c>
      <c r="AA229" s="2792">
        <f>$Z229-SUMIF('11.2. ДА за периода'!$B$155:$B$175,$B229,'11.2. ДА за периода'!$Z$155:$Z$175)+SUMIF('11.2. ДА за периода'!$B$155:$B$175,$B229,'11.2. ДА за периода'!AA$155:AA$175)</f>
        <v>0</v>
      </c>
      <c r="AB229" s="1155">
        <f>$Z229-SUMIF('11.2. ДА за периода'!$B$155:$B$175,$B229,'11.2. ДА за периода'!$Z$155:$Z$175)+SUMIF('11.2. ДА за периода'!$B$155:$B$175,$B229,'11.2. ДА за периода'!AB$155:AB$175)</f>
        <v>0</v>
      </c>
      <c r="AC229" s="1155">
        <f>$Z229-SUMIF('11.2. ДА за периода'!$B$155:$B$175,$B229,'11.2. ДА за периода'!$Z$155:$Z$175)+SUMIF('11.2. ДА за периода'!$B$155:$B$175,$B229,'11.2. ДА за периода'!AC$155:AC$175)</f>
        <v>0</v>
      </c>
      <c r="AD229" s="1155">
        <f>$Z229-SUMIF('11.2. ДА за периода'!$B$155:$B$175,$B229,'11.2. ДА за периода'!$Z$155:$Z$175)+SUMIF('11.2. ДА за периода'!$B$155:$B$175,$B229,'11.2. ДА за периода'!AD$155:AD$175)</f>
        <v>0</v>
      </c>
      <c r="AE229" s="1155">
        <f>$Z229-SUMIF('11.2. ДА за периода'!$B$155:$B$175,$B229,'11.2. ДА за периода'!$Z$155:$Z$175)+SUMIF('11.2. ДА за периода'!$B$155:$B$175,$B229,'11.2. ДА за периода'!AE$155:AE$175)</f>
        <v>0</v>
      </c>
      <c r="AF229" s="2793">
        <f>$Z229-SUMIF('11.2. ДА за периода'!$B$155:$B$175,$B229,'11.2. ДА за периода'!$Z$155:$Z$175)+SUMIF('11.2. ДА за периода'!$B$155:$B$175,$B229,'11.2. ДА за периода'!AF$155:AF$175)</f>
        <v>0</v>
      </c>
      <c r="AG229" s="4738">
        <f>+'11.3. ДА Базова година'!V190</f>
        <v>0</v>
      </c>
      <c r="AH229" s="2792">
        <f>$AG229-SUMIF('11.2. ДА за периода'!$B$155:$B$175,$B229,'11.2. ДА за периода'!$AG$155:$AG$175)+SUMIF('11.2. ДА за периода'!$B$155:$B$175,$B229,'11.2. ДА за периода'!AH$155:AH$175)</f>
        <v>0</v>
      </c>
      <c r="AI229" s="1155">
        <f>$AG229-SUMIF('11.2. ДА за периода'!$B$155:$B$175,$B229,'11.2. ДА за периода'!$AG$155:$AG$175)+SUMIF('11.2. ДА за периода'!$B$155:$B$175,$B229,'11.2. ДА за периода'!AI$155:AI$175)</f>
        <v>0</v>
      </c>
      <c r="AJ229" s="1155">
        <f>$AG229-SUMIF('11.2. ДА за периода'!$B$155:$B$175,$B229,'11.2. ДА за периода'!$AG$155:$AG$175)+SUMIF('11.2. ДА за периода'!$B$155:$B$175,$B229,'11.2. ДА за периода'!AJ$155:AJ$175)</f>
        <v>0</v>
      </c>
      <c r="AK229" s="1155">
        <f>$AG229-SUMIF('11.2. ДА за периода'!$B$155:$B$175,$B229,'11.2. ДА за периода'!$AG$155:$AG$175)+SUMIF('11.2. ДА за периода'!$B$155:$B$175,$B229,'11.2. ДА за периода'!AK$155:AK$175)</f>
        <v>0</v>
      </c>
      <c r="AL229" s="1155">
        <f>$AG229-SUMIF('11.2. ДА за периода'!$B$155:$B$175,$B229,'11.2. ДА за периода'!$AG$155:$AG$175)+SUMIF('11.2. ДА за периода'!$B$155:$B$175,$B229,'11.2. ДА за периода'!AL$155:AL$175)</f>
        <v>0</v>
      </c>
      <c r="AM229" s="2793">
        <f>$AG229-SUMIF('11.2. ДА за периода'!$B$155:$B$175,$B229,'11.2. ДА за периода'!$AG$155:$AG$175)+SUMIF('11.2. ДА за периода'!$B$155:$B$175,$B229,'11.2. ДА за периода'!AM$155:AM$175)</f>
        <v>0</v>
      </c>
      <c r="AN229" s="2692"/>
      <c r="AO229" s="2719"/>
      <c r="AP229" s="4775"/>
      <c r="AQ229" s="4794">
        <f t="shared" si="271"/>
        <v>0</v>
      </c>
      <c r="AR229" s="4794">
        <f t="shared" si="272"/>
        <v>0</v>
      </c>
      <c r="AS229" s="4794">
        <f t="shared" si="273"/>
        <v>0</v>
      </c>
      <c r="AT229" s="4794">
        <f t="shared" si="274"/>
        <v>0</v>
      </c>
      <c r="AU229" s="4794">
        <f t="shared" si="275"/>
        <v>0</v>
      </c>
      <c r="AV229" s="4794">
        <f t="shared" si="276"/>
        <v>0</v>
      </c>
      <c r="AW229" s="4794">
        <f t="shared" si="277"/>
        <v>0</v>
      </c>
      <c r="AX229" s="4794">
        <f t="shared" si="278"/>
        <v>0</v>
      </c>
      <c r="AY229" s="4794">
        <f t="shared" si="279"/>
        <v>0</v>
      </c>
      <c r="AZ229" s="4794">
        <f t="shared" si="280"/>
        <v>0</v>
      </c>
      <c r="BA229" s="4794">
        <f t="shared" si="281"/>
        <v>0</v>
      </c>
      <c r="BB229" s="4794">
        <f t="shared" si="282"/>
        <v>0</v>
      </c>
      <c r="BC229" s="4794">
        <f t="shared" si="283"/>
        <v>0</v>
      </c>
      <c r="BD229" s="4794">
        <f t="shared" si="284"/>
        <v>0</v>
      </c>
      <c r="BE229" s="4794">
        <f t="shared" si="285"/>
        <v>0</v>
      </c>
      <c r="BF229" s="4794">
        <f t="shared" si="286"/>
        <v>0</v>
      </c>
      <c r="BG229" s="4794">
        <f t="shared" si="287"/>
        <v>0</v>
      </c>
      <c r="BH229" s="4794">
        <f t="shared" si="288"/>
        <v>0</v>
      </c>
      <c r="BI229" s="4794">
        <f t="shared" si="289"/>
        <v>0</v>
      </c>
      <c r="BJ229" s="4794">
        <f t="shared" si="290"/>
        <v>0</v>
      </c>
      <c r="BK229" s="4794">
        <f t="shared" si="291"/>
        <v>0</v>
      </c>
      <c r="BL229" s="4794">
        <f t="shared" si="292"/>
        <v>0</v>
      </c>
      <c r="BM229" s="4794">
        <f t="shared" si="293"/>
        <v>0</v>
      </c>
      <c r="BN229" s="4794">
        <f t="shared" si="294"/>
        <v>0</v>
      </c>
      <c r="BO229" s="4794">
        <f t="shared" si="295"/>
        <v>0</v>
      </c>
      <c r="BP229" s="4794">
        <f t="shared" si="296"/>
        <v>0</v>
      </c>
      <c r="BQ229" s="4794">
        <f t="shared" si="297"/>
        <v>0</v>
      </c>
      <c r="BR229" s="4794">
        <f t="shared" si="298"/>
        <v>0</v>
      </c>
      <c r="BS229" s="4794">
        <f t="shared" si="299"/>
        <v>0</v>
      </c>
      <c r="BT229" s="4794">
        <f t="shared" si="300"/>
        <v>0</v>
      </c>
      <c r="BU229" s="4794">
        <f t="shared" si="301"/>
        <v>0</v>
      </c>
      <c r="BV229" s="4794">
        <f t="shared" si="302"/>
        <v>0</v>
      </c>
      <c r="BW229" s="4794">
        <f t="shared" si="303"/>
        <v>0</v>
      </c>
      <c r="BX229" s="4794">
        <f t="shared" si="304"/>
        <v>0</v>
      </c>
      <c r="BY229" s="4794">
        <f t="shared" si="305"/>
        <v>0</v>
      </c>
    </row>
    <row r="230" spans="1:77" s="1344" customFormat="1">
      <c r="A230" s="2741">
        <v>16</v>
      </c>
      <c r="B230" s="2684" t="s">
        <v>702</v>
      </c>
      <c r="C230" s="2685">
        <v>0.02</v>
      </c>
      <c r="D230" s="2715" t="s">
        <v>420</v>
      </c>
      <c r="E230" s="4738">
        <f>+'11.3. ДА Базова година'!F191</f>
        <v>1637</v>
      </c>
      <c r="F230" s="2792">
        <f>$E230-SUMIF('11.2. ДА за периода'!$B$155:$B$175,$B230,'11.2. ДА за периода'!$E$155:$E$175)+SUMIF('11.2. ДА за периода'!$B$155:$B$175,$B230,'11.2. ДА за периода'!F$155:F$175)</f>
        <v>1637</v>
      </c>
      <c r="G230" s="1155">
        <f>$E230-SUMIF('11.2. ДА за периода'!$B$155:$B$175,$B230,'11.2. ДА за периода'!$E$155:$E$175)+SUMIF('11.2. ДА за периода'!$B$155:$B$175,$B230,'11.2. ДА за периода'!G$155:G$175)</f>
        <v>1637</v>
      </c>
      <c r="H230" s="1155">
        <f>$E230-SUMIF('11.2. ДА за периода'!$B$155:$B$175,$B230,'11.2. ДА за периода'!$E$155:$E$175)+SUMIF('11.2. ДА за периода'!$B$155:$B$175,$B230,'11.2. ДА за периода'!H$155:H$175)</f>
        <v>1637</v>
      </c>
      <c r="I230" s="1155">
        <f>$E230-SUMIF('11.2. ДА за периода'!$B$155:$B$175,$B230,'11.2. ДА за периода'!$E$155:$E$175)+SUMIF('11.2. ДА за периода'!$B$155:$B$175,$B230,'11.2. ДА за периода'!I$155:I$175)</f>
        <v>1637</v>
      </c>
      <c r="J230" s="1155">
        <f>$E230-SUMIF('11.2. ДА за периода'!$B$155:$B$175,$B230,'11.2. ДА за периода'!$E$155:$E$175)+SUMIF('11.2. ДА за периода'!$B$155:$B$175,$B230,'11.2. ДА за периода'!J$155:J$175)</f>
        <v>1637</v>
      </c>
      <c r="K230" s="2793">
        <f>$E230-SUMIF('11.2. ДА за периода'!$B$155:$B$175,$B230,'11.2. ДА за периода'!$E$155:$E$175)+SUMIF('11.2. ДА за периода'!$B$155:$B$175,$B230,'11.2. ДА за периода'!K$155:K$175)</f>
        <v>1637</v>
      </c>
      <c r="L230" s="4738">
        <f>+'11.3. ДА Базова година'!J191</f>
        <v>0</v>
      </c>
      <c r="M230" s="2792">
        <f>$L230-SUMIF('11.2. ДА за периода'!$B$155:$B$175,$B230,'11.2. ДА за периода'!$L$155:$L$175)+SUMIF('11.2. ДА за периода'!$B$155:$B$175,$B230,'11.2. ДА за периода'!M$155:M$175)</f>
        <v>0</v>
      </c>
      <c r="N230" s="1155">
        <f>$L230-SUMIF('11.2. ДА за периода'!$B$155:$B$175,$B230,'11.2. ДА за периода'!$L$155:$L$175)+SUMIF('11.2. ДА за периода'!$B$155:$B$175,$B230,'11.2. ДА за периода'!N$155:N$175)</f>
        <v>0</v>
      </c>
      <c r="O230" s="1155">
        <f>$L230-SUMIF('11.2. ДА за периода'!$B$155:$B$175,$B230,'11.2. ДА за периода'!$L$155:$L$175)+SUMIF('11.2. ДА за периода'!$B$155:$B$175,$B230,'11.2. ДА за периода'!O$155:O$175)</f>
        <v>0</v>
      </c>
      <c r="P230" s="1155">
        <f>$L230-SUMIF('11.2. ДА за периода'!$B$155:$B$175,$B230,'11.2. ДА за периода'!$L$155:$L$175)+SUMIF('11.2. ДА за периода'!$B$155:$B$175,$B230,'11.2. ДА за периода'!P$155:P$175)</f>
        <v>0</v>
      </c>
      <c r="Q230" s="1155">
        <f>$L230-SUMIF('11.2. ДА за периода'!$B$155:$B$175,$B230,'11.2. ДА за периода'!$L$155:$L$175)+SUMIF('11.2. ДА за периода'!$B$155:$B$175,$B230,'11.2. ДА за периода'!Q$155:Q$175)</f>
        <v>0</v>
      </c>
      <c r="R230" s="2793">
        <f>$L230-SUMIF('11.2. ДА за периода'!$B$155:$B$175,$B230,'11.2. ДА за периода'!$L$155:$L$175)+SUMIF('11.2. ДА за периода'!$B$155:$B$175,$B230,'11.2. ДА за периода'!R$155:R$175)</f>
        <v>0</v>
      </c>
      <c r="S230" s="4738">
        <f>+'11.3. ДА Базова година'!N191</f>
        <v>0</v>
      </c>
      <c r="T230" s="2792">
        <f>$S230-SUMIF('11.2. ДА за периода'!$B$155:$B$175,$B230,'11.2. ДА за периода'!$S$155:$S$175)+SUMIF('11.2. ДА за периода'!$B$155:$B$175,$B230,'11.2. ДА за периода'!T$155:T$175)</f>
        <v>0</v>
      </c>
      <c r="U230" s="1155">
        <f>$S230-SUMIF('11.2. ДА за периода'!$B$155:$B$175,$B230,'11.2. ДА за периода'!$S$155:$S$175)+SUMIF('11.2. ДА за периода'!$B$155:$B$175,$B230,'11.2. ДА за периода'!U$155:U$175)</f>
        <v>0</v>
      </c>
      <c r="V230" s="1155">
        <f>$S230-SUMIF('11.2. ДА за периода'!$B$155:$B$175,$B230,'11.2. ДА за периода'!$S$155:$S$175)+SUMIF('11.2. ДА за периода'!$B$155:$B$175,$B230,'11.2. ДА за периода'!V$155:V$175)</f>
        <v>0</v>
      </c>
      <c r="W230" s="1155">
        <f>$S230-SUMIF('11.2. ДА за периода'!$B$155:$B$175,$B230,'11.2. ДА за периода'!$S$155:$S$175)+SUMIF('11.2. ДА за периода'!$B$155:$B$175,$B230,'11.2. ДА за периода'!W$155:W$175)</f>
        <v>0</v>
      </c>
      <c r="X230" s="1155">
        <f>$S230-SUMIF('11.2. ДА за периода'!$B$155:$B$175,$B230,'11.2. ДА за периода'!$S$155:$S$175)+SUMIF('11.2. ДА за периода'!$B$155:$B$175,$B230,'11.2. ДА за периода'!X$155:X$175)</f>
        <v>0</v>
      </c>
      <c r="Y230" s="2793">
        <f>$S230-SUMIF('11.2. ДА за периода'!$B$155:$B$175,$B230,'11.2. ДА за периода'!$S$155:$S$175)+SUMIF('11.2. ДА за периода'!$B$155:$B$175,$B230,'11.2. ДА за периода'!Y$155:Y$175)</f>
        <v>0</v>
      </c>
      <c r="Z230" s="4738">
        <f>+'11.3. ДА Базова година'!R191</f>
        <v>0</v>
      </c>
      <c r="AA230" s="2792">
        <f>$Z230-SUMIF('11.2. ДА за периода'!$B$155:$B$175,$B230,'11.2. ДА за периода'!$Z$155:$Z$175)+SUMIF('11.2. ДА за периода'!$B$155:$B$175,$B230,'11.2. ДА за периода'!AA$155:AA$175)</f>
        <v>0</v>
      </c>
      <c r="AB230" s="1155">
        <f>$Z230-SUMIF('11.2. ДА за периода'!$B$155:$B$175,$B230,'11.2. ДА за периода'!$Z$155:$Z$175)+SUMIF('11.2. ДА за периода'!$B$155:$B$175,$B230,'11.2. ДА за периода'!AB$155:AB$175)</f>
        <v>0</v>
      </c>
      <c r="AC230" s="1155">
        <f>$Z230-SUMIF('11.2. ДА за периода'!$B$155:$B$175,$B230,'11.2. ДА за периода'!$Z$155:$Z$175)+SUMIF('11.2. ДА за периода'!$B$155:$B$175,$B230,'11.2. ДА за периода'!AC$155:AC$175)</f>
        <v>0</v>
      </c>
      <c r="AD230" s="1155">
        <f>$Z230-SUMIF('11.2. ДА за периода'!$B$155:$B$175,$B230,'11.2. ДА за периода'!$Z$155:$Z$175)+SUMIF('11.2. ДА за периода'!$B$155:$B$175,$B230,'11.2. ДА за периода'!AD$155:AD$175)</f>
        <v>0</v>
      </c>
      <c r="AE230" s="1155">
        <f>$Z230-SUMIF('11.2. ДА за периода'!$B$155:$B$175,$B230,'11.2. ДА за периода'!$Z$155:$Z$175)+SUMIF('11.2. ДА за периода'!$B$155:$B$175,$B230,'11.2. ДА за периода'!AE$155:AE$175)</f>
        <v>0</v>
      </c>
      <c r="AF230" s="2793">
        <f>$Z230-SUMIF('11.2. ДА за периода'!$B$155:$B$175,$B230,'11.2. ДА за периода'!$Z$155:$Z$175)+SUMIF('11.2. ДА за периода'!$B$155:$B$175,$B230,'11.2. ДА за периода'!AF$155:AF$175)</f>
        <v>0</v>
      </c>
      <c r="AG230" s="4738">
        <f>+'11.3. ДА Базова година'!V191</f>
        <v>0</v>
      </c>
      <c r="AH230" s="2792">
        <f>$AG230-SUMIF('11.2. ДА за периода'!$B$155:$B$175,$B230,'11.2. ДА за периода'!$AG$155:$AG$175)+SUMIF('11.2. ДА за периода'!$B$155:$B$175,$B230,'11.2. ДА за периода'!AH$155:AH$175)</f>
        <v>0</v>
      </c>
      <c r="AI230" s="1155">
        <f>$AG230-SUMIF('11.2. ДА за периода'!$B$155:$B$175,$B230,'11.2. ДА за периода'!$AG$155:$AG$175)+SUMIF('11.2. ДА за периода'!$B$155:$B$175,$B230,'11.2. ДА за периода'!AI$155:AI$175)</f>
        <v>0</v>
      </c>
      <c r="AJ230" s="1155">
        <f>$AG230-SUMIF('11.2. ДА за периода'!$B$155:$B$175,$B230,'11.2. ДА за периода'!$AG$155:$AG$175)+SUMIF('11.2. ДА за периода'!$B$155:$B$175,$B230,'11.2. ДА за периода'!AJ$155:AJ$175)</f>
        <v>0</v>
      </c>
      <c r="AK230" s="1155">
        <f>$AG230-SUMIF('11.2. ДА за периода'!$B$155:$B$175,$B230,'11.2. ДА за периода'!$AG$155:$AG$175)+SUMIF('11.2. ДА за периода'!$B$155:$B$175,$B230,'11.2. ДА за периода'!AK$155:AK$175)</f>
        <v>0</v>
      </c>
      <c r="AL230" s="1155">
        <f>$AG230-SUMIF('11.2. ДА за периода'!$B$155:$B$175,$B230,'11.2. ДА за периода'!$AG$155:$AG$175)+SUMIF('11.2. ДА за периода'!$B$155:$B$175,$B230,'11.2. ДА за периода'!AL$155:AL$175)</f>
        <v>0</v>
      </c>
      <c r="AM230" s="2793">
        <f>$AG230-SUMIF('11.2. ДА за периода'!$B$155:$B$175,$B230,'11.2. ДА за периода'!$AG$155:$AG$175)+SUMIF('11.2. ДА за периода'!$B$155:$B$175,$B230,'11.2. ДА за периода'!AM$155:AM$175)</f>
        <v>0</v>
      </c>
      <c r="AN230" s="2692"/>
      <c r="AO230" s="2719"/>
      <c r="AP230" s="4775"/>
      <c r="AQ230" s="4794">
        <f t="shared" si="271"/>
        <v>836.98480951820966</v>
      </c>
      <c r="AR230" s="4794">
        <f t="shared" si="272"/>
        <v>836.98480951820966</v>
      </c>
      <c r="AS230" s="4794">
        <f t="shared" si="273"/>
        <v>836.98480951820966</v>
      </c>
      <c r="AT230" s="4794">
        <f t="shared" si="274"/>
        <v>836.98480951820966</v>
      </c>
      <c r="AU230" s="4794">
        <f t="shared" si="275"/>
        <v>836.98480951820966</v>
      </c>
      <c r="AV230" s="4794">
        <f t="shared" si="276"/>
        <v>836.98480951820966</v>
      </c>
      <c r="AW230" s="4794">
        <f t="shared" si="277"/>
        <v>836.98480951820966</v>
      </c>
      <c r="AX230" s="4794">
        <f t="shared" si="278"/>
        <v>0</v>
      </c>
      <c r="AY230" s="4794">
        <f t="shared" si="279"/>
        <v>0</v>
      </c>
      <c r="AZ230" s="4794">
        <f t="shared" si="280"/>
        <v>0</v>
      </c>
      <c r="BA230" s="4794">
        <f t="shared" si="281"/>
        <v>0</v>
      </c>
      <c r="BB230" s="4794">
        <f t="shared" si="282"/>
        <v>0</v>
      </c>
      <c r="BC230" s="4794">
        <f t="shared" si="283"/>
        <v>0</v>
      </c>
      <c r="BD230" s="4794">
        <f t="shared" si="284"/>
        <v>0</v>
      </c>
      <c r="BE230" s="4794">
        <f t="shared" si="285"/>
        <v>0</v>
      </c>
      <c r="BF230" s="4794">
        <f t="shared" si="286"/>
        <v>0</v>
      </c>
      <c r="BG230" s="4794">
        <f t="shared" si="287"/>
        <v>0</v>
      </c>
      <c r="BH230" s="4794">
        <f t="shared" si="288"/>
        <v>0</v>
      </c>
      <c r="BI230" s="4794">
        <f t="shared" si="289"/>
        <v>0</v>
      </c>
      <c r="BJ230" s="4794">
        <f t="shared" si="290"/>
        <v>0</v>
      </c>
      <c r="BK230" s="4794">
        <f t="shared" si="291"/>
        <v>0</v>
      </c>
      <c r="BL230" s="4794">
        <f t="shared" si="292"/>
        <v>0</v>
      </c>
      <c r="BM230" s="4794">
        <f t="shared" si="293"/>
        <v>0</v>
      </c>
      <c r="BN230" s="4794">
        <f t="shared" si="294"/>
        <v>0</v>
      </c>
      <c r="BO230" s="4794">
        <f t="shared" si="295"/>
        <v>0</v>
      </c>
      <c r="BP230" s="4794">
        <f t="shared" si="296"/>
        <v>0</v>
      </c>
      <c r="BQ230" s="4794">
        <f t="shared" si="297"/>
        <v>0</v>
      </c>
      <c r="BR230" s="4794">
        <f t="shared" si="298"/>
        <v>0</v>
      </c>
      <c r="BS230" s="4794">
        <f t="shared" si="299"/>
        <v>0</v>
      </c>
      <c r="BT230" s="4794">
        <f t="shared" si="300"/>
        <v>0</v>
      </c>
      <c r="BU230" s="4794">
        <f t="shared" si="301"/>
        <v>0</v>
      </c>
      <c r="BV230" s="4794">
        <f t="shared" si="302"/>
        <v>0</v>
      </c>
      <c r="BW230" s="4794">
        <f t="shared" si="303"/>
        <v>0</v>
      </c>
      <c r="BX230" s="4794">
        <f t="shared" si="304"/>
        <v>0</v>
      </c>
      <c r="BY230" s="4794">
        <f t="shared" si="305"/>
        <v>0</v>
      </c>
    </row>
    <row r="231" spans="1:77" s="1344" customFormat="1">
      <c r="A231" s="2741">
        <v>17</v>
      </c>
      <c r="B231" s="2684" t="s">
        <v>703</v>
      </c>
      <c r="C231" s="2685">
        <v>0.02</v>
      </c>
      <c r="D231" s="2720" t="s">
        <v>421</v>
      </c>
      <c r="E231" s="4738">
        <f>+'11.3. ДА Базова година'!F192</f>
        <v>0</v>
      </c>
      <c r="F231" s="2792">
        <f>$E231-SUMIF('11.2. ДА за периода'!$B$155:$B$175,$B231,'11.2. ДА за периода'!$E$155:$E$175)+SUMIF('11.2. ДА за периода'!$B$155:$B$175,$B231,'11.2. ДА за периода'!F$155:F$175)</f>
        <v>0</v>
      </c>
      <c r="G231" s="1155">
        <f>$E231-SUMIF('11.2. ДА за периода'!$B$155:$B$175,$B231,'11.2. ДА за периода'!$E$155:$E$175)+SUMIF('11.2. ДА за периода'!$B$155:$B$175,$B231,'11.2. ДА за периода'!G$155:G$175)</f>
        <v>0</v>
      </c>
      <c r="H231" s="1155">
        <f>$E231-SUMIF('11.2. ДА за периода'!$B$155:$B$175,$B231,'11.2. ДА за периода'!$E$155:$E$175)+SUMIF('11.2. ДА за периода'!$B$155:$B$175,$B231,'11.2. ДА за периода'!H$155:H$175)</f>
        <v>0</v>
      </c>
      <c r="I231" s="1155">
        <f>$E231-SUMIF('11.2. ДА за периода'!$B$155:$B$175,$B231,'11.2. ДА за периода'!$E$155:$E$175)+SUMIF('11.2. ДА за периода'!$B$155:$B$175,$B231,'11.2. ДА за периода'!I$155:I$175)</f>
        <v>0</v>
      </c>
      <c r="J231" s="1155">
        <f>$E231-SUMIF('11.2. ДА за периода'!$B$155:$B$175,$B231,'11.2. ДА за периода'!$E$155:$E$175)+SUMIF('11.2. ДА за периода'!$B$155:$B$175,$B231,'11.2. ДА за периода'!J$155:J$175)</f>
        <v>0</v>
      </c>
      <c r="K231" s="2793">
        <f>$E231-SUMIF('11.2. ДА за периода'!$B$155:$B$175,$B231,'11.2. ДА за периода'!$E$155:$E$175)+SUMIF('11.2. ДА за периода'!$B$155:$B$175,$B231,'11.2. ДА за периода'!K$155:K$175)</f>
        <v>0</v>
      </c>
      <c r="L231" s="4738">
        <f>+'11.3. ДА Базова година'!J192</f>
        <v>1627</v>
      </c>
      <c r="M231" s="2792">
        <f>$L231-SUMIF('11.2. ДА за периода'!$B$155:$B$175,$B231,'11.2. ДА за периода'!$L$155:$L$175)+SUMIF('11.2. ДА за периода'!$B$155:$B$175,$B231,'11.2. ДА за периода'!M$155:M$175)</f>
        <v>1627</v>
      </c>
      <c r="N231" s="1155">
        <f>$L231-SUMIF('11.2. ДА за периода'!$B$155:$B$175,$B231,'11.2. ДА за периода'!$L$155:$L$175)+SUMIF('11.2. ДА за периода'!$B$155:$B$175,$B231,'11.2. ДА за периода'!N$155:N$175)</f>
        <v>1627</v>
      </c>
      <c r="O231" s="1155">
        <f>$L231-SUMIF('11.2. ДА за периода'!$B$155:$B$175,$B231,'11.2. ДА за периода'!$L$155:$L$175)+SUMIF('11.2. ДА за периода'!$B$155:$B$175,$B231,'11.2. ДА за периода'!O$155:O$175)</f>
        <v>1627</v>
      </c>
      <c r="P231" s="1155">
        <f>$L231-SUMIF('11.2. ДА за периода'!$B$155:$B$175,$B231,'11.2. ДА за периода'!$L$155:$L$175)+SUMIF('11.2. ДА за периода'!$B$155:$B$175,$B231,'11.2. ДА за периода'!P$155:P$175)</f>
        <v>1627</v>
      </c>
      <c r="Q231" s="1155">
        <f>$L231-SUMIF('11.2. ДА за периода'!$B$155:$B$175,$B231,'11.2. ДА за периода'!$L$155:$L$175)+SUMIF('11.2. ДА за периода'!$B$155:$B$175,$B231,'11.2. ДА за периода'!Q$155:Q$175)</f>
        <v>1627</v>
      </c>
      <c r="R231" s="2793">
        <f>$L231-SUMIF('11.2. ДА за периода'!$B$155:$B$175,$B231,'11.2. ДА за периода'!$L$155:$L$175)+SUMIF('11.2. ДА за периода'!$B$155:$B$175,$B231,'11.2. ДА за периода'!R$155:R$175)</f>
        <v>1627</v>
      </c>
      <c r="S231" s="4738">
        <f>+'11.3. ДА Базова година'!N192</f>
        <v>0</v>
      </c>
      <c r="T231" s="2792">
        <f>$S231-SUMIF('11.2. ДА за периода'!$B$155:$B$175,$B231,'11.2. ДА за периода'!$S$155:$S$175)+SUMIF('11.2. ДА за периода'!$B$155:$B$175,$B231,'11.2. ДА за периода'!T$155:T$175)</f>
        <v>0</v>
      </c>
      <c r="U231" s="1155">
        <f>$S231-SUMIF('11.2. ДА за периода'!$B$155:$B$175,$B231,'11.2. ДА за периода'!$S$155:$S$175)+SUMIF('11.2. ДА за периода'!$B$155:$B$175,$B231,'11.2. ДА за периода'!U$155:U$175)</f>
        <v>0</v>
      </c>
      <c r="V231" s="1155">
        <f>$S231-SUMIF('11.2. ДА за периода'!$B$155:$B$175,$B231,'11.2. ДА за периода'!$S$155:$S$175)+SUMIF('11.2. ДА за периода'!$B$155:$B$175,$B231,'11.2. ДА за периода'!V$155:V$175)</f>
        <v>0</v>
      </c>
      <c r="W231" s="1155">
        <f>$S231-SUMIF('11.2. ДА за периода'!$B$155:$B$175,$B231,'11.2. ДА за периода'!$S$155:$S$175)+SUMIF('11.2. ДА за периода'!$B$155:$B$175,$B231,'11.2. ДА за периода'!W$155:W$175)</f>
        <v>0</v>
      </c>
      <c r="X231" s="1155">
        <f>$S231-SUMIF('11.2. ДА за периода'!$B$155:$B$175,$B231,'11.2. ДА за периода'!$S$155:$S$175)+SUMIF('11.2. ДА за периода'!$B$155:$B$175,$B231,'11.2. ДА за периода'!X$155:X$175)</f>
        <v>0</v>
      </c>
      <c r="Y231" s="2793">
        <f>$S231-SUMIF('11.2. ДА за периода'!$B$155:$B$175,$B231,'11.2. ДА за периода'!$S$155:$S$175)+SUMIF('11.2. ДА за периода'!$B$155:$B$175,$B231,'11.2. ДА за периода'!Y$155:Y$175)</f>
        <v>0</v>
      </c>
      <c r="Z231" s="4738">
        <f>+'11.3. ДА Базова година'!R192</f>
        <v>0</v>
      </c>
      <c r="AA231" s="2792">
        <f>$Z231-SUMIF('11.2. ДА за периода'!$B$155:$B$175,$B231,'11.2. ДА за периода'!$Z$155:$Z$175)+SUMIF('11.2. ДА за периода'!$B$155:$B$175,$B231,'11.2. ДА за периода'!AA$155:AA$175)</f>
        <v>0</v>
      </c>
      <c r="AB231" s="1155">
        <f>$Z231-SUMIF('11.2. ДА за периода'!$B$155:$B$175,$B231,'11.2. ДА за периода'!$Z$155:$Z$175)+SUMIF('11.2. ДА за периода'!$B$155:$B$175,$B231,'11.2. ДА за периода'!AB$155:AB$175)</f>
        <v>0</v>
      </c>
      <c r="AC231" s="1155">
        <f>$Z231-SUMIF('11.2. ДА за периода'!$B$155:$B$175,$B231,'11.2. ДА за периода'!$Z$155:$Z$175)+SUMIF('11.2. ДА за периода'!$B$155:$B$175,$B231,'11.2. ДА за периода'!AC$155:AC$175)</f>
        <v>0</v>
      </c>
      <c r="AD231" s="1155">
        <f>$Z231-SUMIF('11.2. ДА за периода'!$B$155:$B$175,$B231,'11.2. ДА за периода'!$Z$155:$Z$175)+SUMIF('11.2. ДА за периода'!$B$155:$B$175,$B231,'11.2. ДА за периода'!AD$155:AD$175)</f>
        <v>0</v>
      </c>
      <c r="AE231" s="1155">
        <f>$Z231-SUMIF('11.2. ДА за периода'!$B$155:$B$175,$B231,'11.2. ДА за периода'!$Z$155:$Z$175)+SUMIF('11.2. ДА за периода'!$B$155:$B$175,$B231,'11.2. ДА за периода'!AE$155:AE$175)</f>
        <v>0</v>
      </c>
      <c r="AF231" s="2793">
        <f>$Z231-SUMIF('11.2. ДА за периода'!$B$155:$B$175,$B231,'11.2. ДА за периода'!$Z$155:$Z$175)+SUMIF('11.2. ДА за периода'!$B$155:$B$175,$B231,'11.2. ДА за периода'!AF$155:AF$175)</f>
        <v>0</v>
      </c>
      <c r="AG231" s="4738">
        <f>+'11.3. ДА Базова година'!V192</f>
        <v>0</v>
      </c>
      <c r="AH231" s="2792">
        <f>$AG231-SUMIF('11.2. ДА за периода'!$B$155:$B$175,$B231,'11.2. ДА за периода'!$AG$155:$AG$175)+SUMIF('11.2. ДА за периода'!$B$155:$B$175,$B231,'11.2. ДА за периода'!AH$155:AH$175)</f>
        <v>0</v>
      </c>
      <c r="AI231" s="1155">
        <f>$AG231-SUMIF('11.2. ДА за периода'!$B$155:$B$175,$B231,'11.2. ДА за периода'!$AG$155:$AG$175)+SUMIF('11.2. ДА за периода'!$B$155:$B$175,$B231,'11.2. ДА за периода'!AI$155:AI$175)</f>
        <v>0</v>
      </c>
      <c r="AJ231" s="1155">
        <f>$AG231-SUMIF('11.2. ДА за периода'!$B$155:$B$175,$B231,'11.2. ДА за периода'!$AG$155:$AG$175)+SUMIF('11.2. ДА за периода'!$B$155:$B$175,$B231,'11.2. ДА за периода'!AJ$155:AJ$175)</f>
        <v>0</v>
      </c>
      <c r="AK231" s="1155">
        <f>$AG231-SUMIF('11.2. ДА за периода'!$B$155:$B$175,$B231,'11.2. ДА за периода'!$AG$155:$AG$175)+SUMIF('11.2. ДА за периода'!$B$155:$B$175,$B231,'11.2. ДА за периода'!AK$155:AK$175)</f>
        <v>0</v>
      </c>
      <c r="AL231" s="1155">
        <f>$AG231-SUMIF('11.2. ДА за периода'!$B$155:$B$175,$B231,'11.2. ДА за периода'!$AG$155:$AG$175)+SUMIF('11.2. ДА за периода'!$B$155:$B$175,$B231,'11.2. ДА за периода'!AL$155:AL$175)</f>
        <v>0</v>
      </c>
      <c r="AM231" s="2793">
        <f>$AG231-SUMIF('11.2. ДА за периода'!$B$155:$B$175,$B231,'11.2. ДА за периода'!$AG$155:$AG$175)+SUMIF('11.2. ДА за периода'!$B$155:$B$175,$B231,'11.2. ДА за периода'!AM$155:AM$175)</f>
        <v>0</v>
      </c>
      <c r="AN231" s="2692"/>
      <c r="AO231" s="2719"/>
      <c r="AP231" s="4775"/>
      <c r="AQ231" s="4794">
        <f t="shared" si="271"/>
        <v>0</v>
      </c>
      <c r="AR231" s="4794">
        <f t="shared" si="272"/>
        <v>0</v>
      </c>
      <c r="AS231" s="4794">
        <f t="shared" si="273"/>
        <v>0</v>
      </c>
      <c r="AT231" s="4794">
        <f t="shared" si="274"/>
        <v>0</v>
      </c>
      <c r="AU231" s="4794">
        <f t="shared" si="275"/>
        <v>0</v>
      </c>
      <c r="AV231" s="4794">
        <f t="shared" si="276"/>
        <v>0</v>
      </c>
      <c r="AW231" s="4794">
        <f t="shared" si="277"/>
        <v>0</v>
      </c>
      <c r="AX231" s="4794">
        <f t="shared" si="278"/>
        <v>831.87189070624754</v>
      </c>
      <c r="AY231" s="4794">
        <f t="shared" si="279"/>
        <v>831.87189070624754</v>
      </c>
      <c r="AZ231" s="4794">
        <f t="shared" si="280"/>
        <v>831.87189070624754</v>
      </c>
      <c r="BA231" s="4794">
        <f t="shared" si="281"/>
        <v>831.87189070624754</v>
      </c>
      <c r="BB231" s="4794">
        <f t="shared" si="282"/>
        <v>831.87189070624754</v>
      </c>
      <c r="BC231" s="4794">
        <f t="shared" si="283"/>
        <v>831.87189070624754</v>
      </c>
      <c r="BD231" s="4794">
        <f t="shared" si="284"/>
        <v>831.87189070624754</v>
      </c>
      <c r="BE231" s="4794">
        <f t="shared" si="285"/>
        <v>0</v>
      </c>
      <c r="BF231" s="4794">
        <f t="shared" si="286"/>
        <v>0</v>
      </c>
      <c r="BG231" s="4794">
        <f t="shared" si="287"/>
        <v>0</v>
      </c>
      <c r="BH231" s="4794">
        <f t="shared" si="288"/>
        <v>0</v>
      </c>
      <c r="BI231" s="4794">
        <f t="shared" si="289"/>
        <v>0</v>
      </c>
      <c r="BJ231" s="4794">
        <f t="shared" si="290"/>
        <v>0</v>
      </c>
      <c r="BK231" s="4794">
        <f t="shared" si="291"/>
        <v>0</v>
      </c>
      <c r="BL231" s="4794">
        <f t="shared" si="292"/>
        <v>0</v>
      </c>
      <c r="BM231" s="4794">
        <f t="shared" si="293"/>
        <v>0</v>
      </c>
      <c r="BN231" s="4794">
        <f t="shared" si="294"/>
        <v>0</v>
      </c>
      <c r="BO231" s="4794">
        <f t="shared" si="295"/>
        <v>0</v>
      </c>
      <c r="BP231" s="4794">
        <f t="shared" si="296"/>
        <v>0</v>
      </c>
      <c r="BQ231" s="4794">
        <f t="shared" si="297"/>
        <v>0</v>
      </c>
      <c r="BR231" s="4794">
        <f t="shared" si="298"/>
        <v>0</v>
      </c>
      <c r="BS231" s="4794">
        <f t="shared" si="299"/>
        <v>0</v>
      </c>
      <c r="BT231" s="4794">
        <f t="shared" si="300"/>
        <v>0</v>
      </c>
      <c r="BU231" s="4794">
        <f t="shared" si="301"/>
        <v>0</v>
      </c>
      <c r="BV231" s="4794">
        <f t="shared" si="302"/>
        <v>0</v>
      </c>
      <c r="BW231" s="4794">
        <f t="shared" si="303"/>
        <v>0</v>
      </c>
      <c r="BX231" s="4794">
        <f t="shared" si="304"/>
        <v>0</v>
      </c>
      <c r="BY231" s="4794">
        <f t="shared" si="305"/>
        <v>0</v>
      </c>
    </row>
    <row r="232" spans="1:77" s="1344" customFormat="1" ht="24">
      <c r="A232" s="2741">
        <v>18</v>
      </c>
      <c r="B232" s="2684" t="s">
        <v>704</v>
      </c>
      <c r="C232" s="2685">
        <v>0.04</v>
      </c>
      <c r="D232" s="2720" t="s">
        <v>422</v>
      </c>
      <c r="E232" s="4738">
        <f>+'11.3. ДА Базова година'!F193</f>
        <v>153</v>
      </c>
      <c r="F232" s="2792">
        <f>$E232-SUMIF('11.2. ДА за периода'!$B$155:$B$175,$B232,'11.2. ДА за периода'!$E$155:$E$175)+SUMIF('11.2. ДА за периода'!$B$155:$B$175,$B232,'11.2. ДА за периода'!F$155:F$175)</f>
        <v>153</v>
      </c>
      <c r="G232" s="1155">
        <f>$E232-SUMIF('11.2. ДА за периода'!$B$155:$B$175,$B232,'11.2. ДА за периода'!$E$155:$E$175)+SUMIF('11.2. ДА за периода'!$B$155:$B$175,$B232,'11.2. ДА за периода'!G$155:G$175)</f>
        <v>153</v>
      </c>
      <c r="H232" s="1155">
        <f>$E232-SUMIF('11.2. ДА за периода'!$B$155:$B$175,$B232,'11.2. ДА за периода'!$E$155:$E$175)+SUMIF('11.2. ДА за периода'!$B$155:$B$175,$B232,'11.2. ДА за периода'!H$155:H$175)</f>
        <v>153</v>
      </c>
      <c r="I232" s="1155">
        <f>$E232-SUMIF('11.2. ДА за периода'!$B$155:$B$175,$B232,'11.2. ДА за периода'!$E$155:$E$175)+SUMIF('11.2. ДА за периода'!$B$155:$B$175,$B232,'11.2. ДА за периода'!I$155:I$175)</f>
        <v>153</v>
      </c>
      <c r="J232" s="1155">
        <f>$E232-SUMIF('11.2. ДА за периода'!$B$155:$B$175,$B232,'11.2. ДА за периода'!$E$155:$E$175)+SUMIF('11.2. ДА за периода'!$B$155:$B$175,$B232,'11.2. ДА за периода'!J$155:J$175)</f>
        <v>153</v>
      </c>
      <c r="K232" s="2793">
        <f>$E232-SUMIF('11.2. ДА за периода'!$B$155:$B$175,$B232,'11.2. ДА за периода'!$E$155:$E$175)+SUMIF('11.2. ДА за периода'!$B$155:$B$175,$B232,'11.2. ДА за периода'!K$155:K$175)</f>
        <v>153</v>
      </c>
      <c r="L232" s="4738">
        <f>+'11.3. ДА Базова година'!J193</f>
        <v>1</v>
      </c>
      <c r="M232" s="2792">
        <f>$L232-SUMIF('11.2. ДА за периода'!$B$155:$B$175,$B232,'11.2. ДА за периода'!$L$155:$L$175)+SUMIF('11.2. ДА за периода'!$B$155:$B$175,$B232,'11.2. ДА за периода'!M$155:M$175)</f>
        <v>1</v>
      </c>
      <c r="N232" s="1155">
        <f>$L232-SUMIF('11.2. ДА за периода'!$B$155:$B$175,$B232,'11.2. ДА за периода'!$L$155:$L$175)+SUMIF('11.2. ДА за периода'!$B$155:$B$175,$B232,'11.2. ДА за периода'!N$155:N$175)</f>
        <v>1</v>
      </c>
      <c r="O232" s="1155">
        <f>$L232-SUMIF('11.2. ДА за периода'!$B$155:$B$175,$B232,'11.2. ДА за периода'!$L$155:$L$175)+SUMIF('11.2. ДА за периода'!$B$155:$B$175,$B232,'11.2. ДА за периода'!O$155:O$175)</f>
        <v>1</v>
      </c>
      <c r="P232" s="1155">
        <f>$L232-SUMIF('11.2. ДА за периода'!$B$155:$B$175,$B232,'11.2. ДА за периода'!$L$155:$L$175)+SUMIF('11.2. ДА за периода'!$B$155:$B$175,$B232,'11.2. ДА за периода'!P$155:P$175)</f>
        <v>1</v>
      </c>
      <c r="Q232" s="1155">
        <f>$L232-SUMIF('11.2. ДА за периода'!$B$155:$B$175,$B232,'11.2. ДА за периода'!$L$155:$L$175)+SUMIF('11.2. ДА за периода'!$B$155:$B$175,$B232,'11.2. ДА за периода'!Q$155:Q$175)</f>
        <v>1</v>
      </c>
      <c r="R232" s="2793">
        <f>$L232-SUMIF('11.2. ДА за периода'!$B$155:$B$175,$B232,'11.2. ДА за периода'!$L$155:$L$175)+SUMIF('11.2. ДА за периода'!$B$155:$B$175,$B232,'11.2. ДА за периода'!R$155:R$175)</f>
        <v>1</v>
      </c>
      <c r="S232" s="4738">
        <f>+'11.3. ДА Базова година'!N193</f>
        <v>954</v>
      </c>
      <c r="T232" s="2792">
        <f>$S232-SUMIF('11.2. ДА за периода'!$B$155:$B$175,$B232,'11.2. ДА за периода'!$S$155:$S$175)+SUMIF('11.2. ДА за периода'!$B$155:$B$175,$B232,'11.2. ДА за периода'!T$155:T$175)</f>
        <v>954</v>
      </c>
      <c r="U232" s="1155">
        <f>$S232-SUMIF('11.2. ДА за периода'!$B$155:$B$175,$B232,'11.2. ДА за периода'!$S$155:$S$175)+SUMIF('11.2. ДА за периода'!$B$155:$B$175,$B232,'11.2. ДА за периода'!U$155:U$175)</f>
        <v>954</v>
      </c>
      <c r="V232" s="1155">
        <f>$S232-SUMIF('11.2. ДА за периода'!$B$155:$B$175,$B232,'11.2. ДА за периода'!$S$155:$S$175)+SUMIF('11.2. ДА за периода'!$B$155:$B$175,$B232,'11.2. ДА за периода'!V$155:V$175)</f>
        <v>954</v>
      </c>
      <c r="W232" s="1155">
        <f>$S232-SUMIF('11.2. ДА за периода'!$B$155:$B$175,$B232,'11.2. ДА за периода'!$S$155:$S$175)+SUMIF('11.2. ДА за периода'!$B$155:$B$175,$B232,'11.2. ДА за периода'!W$155:W$175)</f>
        <v>954</v>
      </c>
      <c r="X232" s="1155">
        <f>$S232-SUMIF('11.2. ДА за периода'!$B$155:$B$175,$B232,'11.2. ДА за периода'!$S$155:$S$175)+SUMIF('11.2. ДА за периода'!$B$155:$B$175,$B232,'11.2. ДА за периода'!X$155:X$175)</f>
        <v>954</v>
      </c>
      <c r="Y232" s="2793">
        <f>$S232-SUMIF('11.2. ДА за периода'!$B$155:$B$175,$B232,'11.2. ДА за периода'!$S$155:$S$175)+SUMIF('11.2. ДА за периода'!$B$155:$B$175,$B232,'11.2. ДА за периода'!Y$155:Y$175)</f>
        <v>954</v>
      </c>
      <c r="Z232" s="4738">
        <f>+'11.3. ДА Базова година'!R193</f>
        <v>0</v>
      </c>
      <c r="AA232" s="2792">
        <f>$Z232-SUMIF('11.2. ДА за периода'!$B$155:$B$175,$B232,'11.2. ДА за периода'!$Z$155:$Z$175)+SUMIF('11.2. ДА за периода'!$B$155:$B$175,$B232,'11.2. ДА за периода'!AA$155:AA$175)</f>
        <v>0</v>
      </c>
      <c r="AB232" s="1155">
        <f>$Z232-SUMIF('11.2. ДА за периода'!$B$155:$B$175,$B232,'11.2. ДА за периода'!$Z$155:$Z$175)+SUMIF('11.2. ДА за периода'!$B$155:$B$175,$B232,'11.2. ДА за периода'!AB$155:AB$175)</f>
        <v>0</v>
      </c>
      <c r="AC232" s="1155">
        <f>$Z232-SUMIF('11.2. ДА за периода'!$B$155:$B$175,$B232,'11.2. ДА за периода'!$Z$155:$Z$175)+SUMIF('11.2. ДА за периода'!$B$155:$B$175,$B232,'11.2. ДА за периода'!AC$155:AC$175)</f>
        <v>0</v>
      </c>
      <c r="AD232" s="1155">
        <f>$Z232-SUMIF('11.2. ДА за периода'!$B$155:$B$175,$B232,'11.2. ДА за периода'!$Z$155:$Z$175)+SUMIF('11.2. ДА за периода'!$B$155:$B$175,$B232,'11.2. ДА за периода'!AD$155:AD$175)</f>
        <v>0</v>
      </c>
      <c r="AE232" s="1155">
        <f>$Z232-SUMIF('11.2. ДА за периода'!$B$155:$B$175,$B232,'11.2. ДА за периода'!$Z$155:$Z$175)+SUMIF('11.2. ДА за периода'!$B$155:$B$175,$B232,'11.2. ДА за периода'!AE$155:AE$175)</f>
        <v>0</v>
      </c>
      <c r="AF232" s="2793">
        <f>$Z232-SUMIF('11.2. ДА за периода'!$B$155:$B$175,$B232,'11.2. ДА за периода'!$Z$155:$Z$175)+SUMIF('11.2. ДА за периода'!$B$155:$B$175,$B232,'11.2. ДА за периода'!AF$155:AF$175)</f>
        <v>0</v>
      </c>
      <c r="AG232" s="4738">
        <f>+'11.3. ДА Базова година'!V193</f>
        <v>0</v>
      </c>
      <c r="AH232" s="2792">
        <f>$AG232-SUMIF('11.2. ДА за периода'!$B$155:$B$175,$B232,'11.2. ДА за периода'!$AG$155:$AG$175)+SUMIF('11.2. ДА за периода'!$B$155:$B$175,$B232,'11.2. ДА за периода'!AH$155:AH$175)</f>
        <v>0</v>
      </c>
      <c r="AI232" s="1155">
        <f>$AG232-SUMIF('11.2. ДА за периода'!$B$155:$B$175,$B232,'11.2. ДА за периода'!$AG$155:$AG$175)+SUMIF('11.2. ДА за периода'!$B$155:$B$175,$B232,'11.2. ДА за периода'!AI$155:AI$175)</f>
        <v>0</v>
      </c>
      <c r="AJ232" s="1155">
        <f>$AG232-SUMIF('11.2. ДА за периода'!$B$155:$B$175,$B232,'11.2. ДА за периода'!$AG$155:$AG$175)+SUMIF('11.2. ДА за периода'!$B$155:$B$175,$B232,'11.2. ДА за периода'!AJ$155:AJ$175)</f>
        <v>0</v>
      </c>
      <c r="AK232" s="1155">
        <f>$AG232-SUMIF('11.2. ДА за периода'!$B$155:$B$175,$B232,'11.2. ДА за периода'!$AG$155:$AG$175)+SUMIF('11.2. ДА за периода'!$B$155:$B$175,$B232,'11.2. ДА за периода'!AK$155:AK$175)</f>
        <v>0</v>
      </c>
      <c r="AL232" s="1155">
        <f>$AG232-SUMIF('11.2. ДА за периода'!$B$155:$B$175,$B232,'11.2. ДА за периода'!$AG$155:$AG$175)+SUMIF('11.2. ДА за периода'!$B$155:$B$175,$B232,'11.2. ДА за периода'!AL$155:AL$175)</f>
        <v>0</v>
      </c>
      <c r="AM232" s="2793">
        <f>$AG232-SUMIF('11.2. ДА за периода'!$B$155:$B$175,$B232,'11.2. ДА за периода'!$AG$155:$AG$175)+SUMIF('11.2. ДА за периода'!$B$155:$B$175,$B232,'11.2. ДА за периода'!AM$155:AM$175)</f>
        <v>0</v>
      </c>
      <c r="AN232" s="2692"/>
      <c r="AO232" s="2719"/>
      <c r="AP232" s="4775"/>
      <c r="AQ232" s="4794">
        <f t="shared" si="271"/>
        <v>78.227657823021431</v>
      </c>
      <c r="AR232" s="4794">
        <f t="shared" si="272"/>
        <v>78.227657823021431</v>
      </c>
      <c r="AS232" s="4794">
        <f t="shared" si="273"/>
        <v>78.227657823021431</v>
      </c>
      <c r="AT232" s="4794">
        <f t="shared" si="274"/>
        <v>78.227657823021431</v>
      </c>
      <c r="AU232" s="4794">
        <f t="shared" si="275"/>
        <v>78.227657823021431</v>
      </c>
      <c r="AV232" s="4794">
        <f t="shared" si="276"/>
        <v>78.227657823021431</v>
      </c>
      <c r="AW232" s="4794">
        <f t="shared" si="277"/>
        <v>78.227657823021431</v>
      </c>
      <c r="AX232" s="4794">
        <f t="shared" si="278"/>
        <v>0.51129188119621849</v>
      </c>
      <c r="AY232" s="4794">
        <f t="shared" si="279"/>
        <v>0.51129188119621849</v>
      </c>
      <c r="AZ232" s="4794">
        <f t="shared" si="280"/>
        <v>0.51129188119621849</v>
      </c>
      <c r="BA232" s="4794">
        <f t="shared" si="281"/>
        <v>0.51129188119621849</v>
      </c>
      <c r="BB232" s="4794">
        <f t="shared" si="282"/>
        <v>0.51129188119621849</v>
      </c>
      <c r="BC232" s="4794">
        <f t="shared" si="283"/>
        <v>0.51129188119621849</v>
      </c>
      <c r="BD232" s="4794">
        <f t="shared" si="284"/>
        <v>0.51129188119621849</v>
      </c>
      <c r="BE232" s="4794">
        <f t="shared" si="285"/>
        <v>487.77245466119246</v>
      </c>
      <c r="BF232" s="4794">
        <f t="shared" si="286"/>
        <v>487.77245466119246</v>
      </c>
      <c r="BG232" s="4794">
        <f t="shared" si="287"/>
        <v>487.77245466119246</v>
      </c>
      <c r="BH232" s="4794">
        <f t="shared" si="288"/>
        <v>487.77245466119246</v>
      </c>
      <c r="BI232" s="4794">
        <f t="shared" si="289"/>
        <v>487.77245466119246</v>
      </c>
      <c r="BJ232" s="4794">
        <f t="shared" si="290"/>
        <v>487.77245466119246</v>
      </c>
      <c r="BK232" s="4794">
        <f t="shared" si="291"/>
        <v>487.77245466119246</v>
      </c>
      <c r="BL232" s="4794">
        <f t="shared" si="292"/>
        <v>0</v>
      </c>
      <c r="BM232" s="4794">
        <f t="shared" si="293"/>
        <v>0</v>
      </c>
      <c r="BN232" s="4794">
        <f t="shared" si="294"/>
        <v>0</v>
      </c>
      <c r="BO232" s="4794">
        <f t="shared" si="295"/>
        <v>0</v>
      </c>
      <c r="BP232" s="4794">
        <f t="shared" si="296"/>
        <v>0</v>
      </c>
      <c r="BQ232" s="4794">
        <f t="shared" si="297"/>
        <v>0</v>
      </c>
      <c r="BR232" s="4794">
        <f t="shared" si="298"/>
        <v>0</v>
      </c>
      <c r="BS232" s="4794">
        <f t="shared" si="299"/>
        <v>0</v>
      </c>
      <c r="BT232" s="4794">
        <f t="shared" si="300"/>
        <v>0</v>
      </c>
      <c r="BU232" s="4794">
        <f t="shared" si="301"/>
        <v>0</v>
      </c>
      <c r="BV232" s="4794">
        <f t="shared" si="302"/>
        <v>0</v>
      </c>
      <c r="BW232" s="4794">
        <f t="shared" si="303"/>
        <v>0</v>
      </c>
      <c r="BX232" s="4794">
        <f t="shared" si="304"/>
        <v>0</v>
      </c>
      <c r="BY232" s="4794">
        <f t="shared" si="305"/>
        <v>0</v>
      </c>
    </row>
    <row r="233" spans="1:77" s="1344" customFormat="1">
      <c r="A233" s="2741">
        <v>19</v>
      </c>
      <c r="B233" s="2684" t="s">
        <v>705</v>
      </c>
      <c r="C233" s="2685">
        <v>0.04</v>
      </c>
      <c r="D233" s="2720" t="s">
        <v>423</v>
      </c>
      <c r="E233" s="4738">
        <f>+'11.3. ДА Базова година'!F194</f>
        <v>1</v>
      </c>
      <c r="F233" s="2792">
        <f>$E233-SUMIF('11.2. ДА за периода'!$B$155:$B$175,$B233,'11.2. ДА за периода'!$E$155:$E$175)+SUMIF('11.2. ДА за периода'!$B$155:$B$175,$B233,'11.2. ДА за периода'!F$155:F$175)</f>
        <v>1</v>
      </c>
      <c r="G233" s="1155">
        <f>$E233-SUMIF('11.2. ДА за периода'!$B$155:$B$175,$B233,'11.2. ДА за периода'!$E$155:$E$175)+SUMIF('11.2. ДА за периода'!$B$155:$B$175,$B233,'11.2. ДА за периода'!G$155:G$175)</f>
        <v>1</v>
      </c>
      <c r="H233" s="1155">
        <f>$E233-SUMIF('11.2. ДА за периода'!$B$155:$B$175,$B233,'11.2. ДА за периода'!$E$155:$E$175)+SUMIF('11.2. ДА за периода'!$B$155:$B$175,$B233,'11.2. ДА за периода'!H$155:H$175)</f>
        <v>1</v>
      </c>
      <c r="I233" s="1155">
        <f>$E233-SUMIF('11.2. ДА за периода'!$B$155:$B$175,$B233,'11.2. ДА за периода'!$E$155:$E$175)+SUMIF('11.2. ДА за периода'!$B$155:$B$175,$B233,'11.2. ДА за периода'!I$155:I$175)</f>
        <v>1</v>
      </c>
      <c r="J233" s="1155">
        <f>$E233-SUMIF('11.2. ДА за периода'!$B$155:$B$175,$B233,'11.2. ДА за периода'!$E$155:$E$175)+SUMIF('11.2. ДА за периода'!$B$155:$B$175,$B233,'11.2. ДА за периода'!J$155:J$175)</f>
        <v>1</v>
      </c>
      <c r="K233" s="2793">
        <f>$E233-SUMIF('11.2. ДА за периода'!$B$155:$B$175,$B233,'11.2. ДА за периода'!$E$155:$E$175)+SUMIF('11.2. ДА за периода'!$B$155:$B$175,$B233,'11.2. ДА за периода'!K$155:K$175)</f>
        <v>1</v>
      </c>
      <c r="L233" s="4738">
        <f>+'11.3. ДА Базова година'!J194</f>
        <v>0</v>
      </c>
      <c r="M233" s="2792">
        <f>$L233-SUMIF('11.2. ДА за периода'!$B$155:$B$175,$B233,'11.2. ДА за периода'!$L$155:$L$175)+SUMIF('11.2. ДА за периода'!$B$155:$B$175,$B233,'11.2. ДА за периода'!M$155:M$175)</f>
        <v>0</v>
      </c>
      <c r="N233" s="1155">
        <f>$L233-SUMIF('11.2. ДА за периода'!$B$155:$B$175,$B233,'11.2. ДА за периода'!$L$155:$L$175)+SUMIF('11.2. ДА за периода'!$B$155:$B$175,$B233,'11.2. ДА за периода'!N$155:N$175)</f>
        <v>0</v>
      </c>
      <c r="O233" s="1155">
        <f>$L233-SUMIF('11.2. ДА за периода'!$B$155:$B$175,$B233,'11.2. ДА за периода'!$L$155:$L$175)+SUMIF('11.2. ДА за периода'!$B$155:$B$175,$B233,'11.2. ДА за периода'!O$155:O$175)</f>
        <v>0</v>
      </c>
      <c r="P233" s="1155">
        <f>$L233-SUMIF('11.2. ДА за периода'!$B$155:$B$175,$B233,'11.2. ДА за периода'!$L$155:$L$175)+SUMIF('11.2. ДА за периода'!$B$155:$B$175,$B233,'11.2. ДА за периода'!P$155:P$175)</f>
        <v>0</v>
      </c>
      <c r="Q233" s="1155">
        <f>$L233-SUMIF('11.2. ДА за периода'!$B$155:$B$175,$B233,'11.2. ДА за периода'!$L$155:$L$175)+SUMIF('11.2. ДА за периода'!$B$155:$B$175,$B233,'11.2. ДА за периода'!Q$155:Q$175)</f>
        <v>0</v>
      </c>
      <c r="R233" s="2793">
        <f>$L233-SUMIF('11.2. ДА за периода'!$B$155:$B$175,$B233,'11.2. ДА за периода'!$L$155:$L$175)+SUMIF('11.2. ДА за периода'!$B$155:$B$175,$B233,'11.2. ДА за периода'!R$155:R$175)</f>
        <v>0</v>
      </c>
      <c r="S233" s="4738">
        <f>+'11.3. ДА Базова година'!N194</f>
        <v>0</v>
      </c>
      <c r="T233" s="2792">
        <f>$S233-SUMIF('11.2. ДА за периода'!$B$155:$B$175,$B233,'11.2. ДА за периода'!$S$155:$S$175)+SUMIF('11.2. ДА за периода'!$B$155:$B$175,$B233,'11.2. ДА за периода'!T$155:T$175)</f>
        <v>0</v>
      </c>
      <c r="U233" s="1155">
        <f>$S233-SUMIF('11.2. ДА за периода'!$B$155:$B$175,$B233,'11.2. ДА за периода'!$S$155:$S$175)+SUMIF('11.2. ДА за периода'!$B$155:$B$175,$B233,'11.2. ДА за периода'!U$155:U$175)</f>
        <v>0</v>
      </c>
      <c r="V233" s="1155">
        <f>$S233-SUMIF('11.2. ДА за периода'!$B$155:$B$175,$B233,'11.2. ДА за периода'!$S$155:$S$175)+SUMIF('11.2. ДА за периода'!$B$155:$B$175,$B233,'11.2. ДА за периода'!V$155:V$175)</f>
        <v>0</v>
      </c>
      <c r="W233" s="1155">
        <f>$S233-SUMIF('11.2. ДА за периода'!$B$155:$B$175,$B233,'11.2. ДА за периода'!$S$155:$S$175)+SUMIF('11.2. ДА за периода'!$B$155:$B$175,$B233,'11.2. ДА за периода'!W$155:W$175)</f>
        <v>0</v>
      </c>
      <c r="X233" s="1155">
        <f>$S233-SUMIF('11.2. ДА за периода'!$B$155:$B$175,$B233,'11.2. ДА за периода'!$S$155:$S$175)+SUMIF('11.2. ДА за периода'!$B$155:$B$175,$B233,'11.2. ДА за периода'!X$155:X$175)</f>
        <v>0</v>
      </c>
      <c r="Y233" s="2793">
        <f>$S233-SUMIF('11.2. ДА за периода'!$B$155:$B$175,$B233,'11.2. ДА за периода'!$S$155:$S$175)+SUMIF('11.2. ДА за периода'!$B$155:$B$175,$B233,'11.2. ДА за периода'!Y$155:Y$175)</f>
        <v>0</v>
      </c>
      <c r="Z233" s="4738">
        <f>+'11.3. ДА Базова година'!R194</f>
        <v>0</v>
      </c>
      <c r="AA233" s="2792">
        <f>$Z233-SUMIF('11.2. ДА за периода'!$B$155:$B$175,$B233,'11.2. ДА за периода'!$Z$155:$Z$175)+SUMIF('11.2. ДА за периода'!$B$155:$B$175,$B233,'11.2. ДА за периода'!AA$155:AA$175)</f>
        <v>0</v>
      </c>
      <c r="AB233" s="1155">
        <f>$Z233-SUMIF('11.2. ДА за периода'!$B$155:$B$175,$B233,'11.2. ДА за периода'!$Z$155:$Z$175)+SUMIF('11.2. ДА за периода'!$B$155:$B$175,$B233,'11.2. ДА за периода'!AB$155:AB$175)</f>
        <v>0</v>
      </c>
      <c r="AC233" s="1155">
        <f>$Z233-SUMIF('11.2. ДА за периода'!$B$155:$B$175,$B233,'11.2. ДА за периода'!$Z$155:$Z$175)+SUMIF('11.2. ДА за периода'!$B$155:$B$175,$B233,'11.2. ДА за периода'!AC$155:AC$175)</f>
        <v>0</v>
      </c>
      <c r="AD233" s="1155">
        <f>$Z233-SUMIF('11.2. ДА за периода'!$B$155:$B$175,$B233,'11.2. ДА за периода'!$Z$155:$Z$175)+SUMIF('11.2. ДА за периода'!$B$155:$B$175,$B233,'11.2. ДА за периода'!AD$155:AD$175)</f>
        <v>0</v>
      </c>
      <c r="AE233" s="1155">
        <f>$Z233-SUMIF('11.2. ДА за периода'!$B$155:$B$175,$B233,'11.2. ДА за периода'!$Z$155:$Z$175)+SUMIF('11.2. ДА за периода'!$B$155:$B$175,$B233,'11.2. ДА за периода'!AE$155:AE$175)</f>
        <v>0</v>
      </c>
      <c r="AF233" s="2793">
        <f>$Z233-SUMIF('11.2. ДА за периода'!$B$155:$B$175,$B233,'11.2. ДА за периода'!$Z$155:$Z$175)+SUMIF('11.2. ДА за периода'!$B$155:$B$175,$B233,'11.2. ДА за периода'!AF$155:AF$175)</f>
        <v>0</v>
      </c>
      <c r="AG233" s="4738">
        <f>+'11.3. ДА Базова година'!V194</f>
        <v>0</v>
      </c>
      <c r="AH233" s="2792">
        <f>$AG233-SUMIF('11.2. ДА за периода'!$B$155:$B$175,$B233,'11.2. ДА за периода'!$AG$155:$AG$175)+SUMIF('11.2. ДА за периода'!$B$155:$B$175,$B233,'11.2. ДА за периода'!AH$155:AH$175)</f>
        <v>0</v>
      </c>
      <c r="AI233" s="1155">
        <f>$AG233-SUMIF('11.2. ДА за периода'!$B$155:$B$175,$B233,'11.2. ДА за периода'!$AG$155:$AG$175)+SUMIF('11.2. ДА за периода'!$B$155:$B$175,$B233,'11.2. ДА за периода'!AI$155:AI$175)</f>
        <v>0</v>
      </c>
      <c r="AJ233" s="1155">
        <f>$AG233-SUMIF('11.2. ДА за периода'!$B$155:$B$175,$B233,'11.2. ДА за периода'!$AG$155:$AG$175)+SUMIF('11.2. ДА за периода'!$B$155:$B$175,$B233,'11.2. ДА за периода'!AJ$155:AJ$175)</f>
        <v>0</v>
      </c>
      <c r="AK233" s="1155">
        <f>$AG233-SUMIF('11.2. ДА за периода'!$B$155:$B$175,$B233,'11.2. ДА за периода'!$AG$155:$AG$175)+SUMIF('11.2. ДА за периода'!$B$155:$B$175,$B233,'11.2. ДА за периода'!AK$155:AK$175)</f>
        <v>0</v>
      </c>
      <c r="AL233" s="1155">
        <f>$AG233-SUMIF('11.2. ДА за периода'!$B$155:$B$175,$B233,'11.2. ДА за периода'!$AG$155:$AG$175)+SUMIF('11.2. ДА за периода'!$B$155:$B$175,$B233,'11.2. ДА за периода'!AL$155:AL$175)</f>
        <v>0</v>
      </c>
      <c r="AM233" s="2793">
        <f>$AG233-SUMIF('11.2. ДА за периода'!$B$155:$B$175,$B233,'11.2. ДА за периода'!$AG$155:$AG$175)+SUMIF('11.2. ДА за периода'!$B$155:$B$175,$B233,'11.2. ДА за периода'!AM$155:AM$175)</f>
        <v>0</v>
      </c>
      <c r="AN233" s="2692"/>
      <c r="AO233" s="2719"/>
      <c r="AP233" s="4775"/>
      <c r="AQ233" s="4794">
        <f t="shared" si="271"/>
        <v>0.51129188119621849</v>
      </c>
      <c r="AR233" s="4794">
        <f t="shared" si="272"/>
        <v>0.51129188119621849</v>
      </c>
      <c r="AS233" s="4794">
        <f t="shared" si="273"/>
        <v>0.51129188119621849</v>
      </c>
      <c r="AT233" s="4794">
        <f t="shared" si="274"/>
        <v>0.51129188119621849</v>
      </c>
      <c r="AU233" s="4794">
        <f t="shared" si="275"/>
        <v>0.51129188119621849</v>
      </c>
      <c r="AV233" s="4794">
        <f t="shared" si="276"/>
        <v>0.51129188119621849</v>
      </c>
      <c r="AW233" s="4794">
        <f t="shared" si="277"/>
        <v>0.51129188119621849</v>
      </c>
      <c r="AX233" s="4794">
        <f t="shared" si="278"/>
        <v>0</v>
      </c>
      <c r="AY233" s="4794">
        <f t="shared" si="279"/>
        <v>0</v>
      </c>
      <c r="AZ233" s="4794">
        <f t="shared" si="280"/>
        <v>0</v>
      </c>
      <c r="BA233" s="4794">
        <f t="shared" si="281"/>
        <v>0</v>
      </c>
      <c r="BB233" s="4794">
        <f t="shared" si="282"/>
        <v>0</v>
      </c>
      <c r="BC233" s="4794">
        <f t="shared" si="283"/>
        <v>0</v>
      </c>
      <c r="BD233" s="4794">
        <f t="shared" si="284"/>
        <v>0</v>
      </c>
      <c r="BE233" s="4794">
        <f t="shared" si="285"/>
        <v>0</v>
      </c>
      <c r="BF233" s="4794">
        <f t="shared" si="286"/>
        <v>0</v>
      </c>
      <c r="BG233" s="4794">
        <f t="shared" si="287"/>
        <v>0</v>
      </c>
      <c r="BH233" s="4794">
        <f t="shared" si="288"/>
        <v>0</v>
      </c>
      <c r="BI233" s="4794">
        <f t="shared" si="289"/>
        <v>0</v>
      </c>
      <c r="BJ233" s="4794">
        <f t="shared" si="290"/>
        <v>0</v>
      </c>
      <c r="BK233" s="4794">
        <f t="shared" si="291"/>
        <v>0</v>
      </c>
      <c r="BL233" s="4794">
        <f t="shared" si="292"/>
        <v>0</v>
      </c>
      <c r="BM233" s="4794">
        <f t="shared" si="293"/>
        <v>0</v>
      </c>
      <c r="BN233" s="4794">
        <f t="shared" si="294"/>
        <v>0</v>
      </c>
      <c r="BO233" s="4794">
        <f t="shared" si="295"/>
        <v>0</v>
      </c>
      <c r="BP233" s="4794">
        <f t="shared" si="296"/>
        <v>0</v>
      </c>
      <c r="BQ233" s="4794">
        <f t="shared" si="297"/>
        <v>0</v>
      </c>
      <c r="BR233" s="4794">
        <f t="shared" si="298"/>
        <v>0</v>
      </c>
      <c r="BS233" s="4794">
        <f t="shared" si="299"/>
        <v>0</v>
      </c>
      <c r="BT233" s="4794">
        <f t="shared" si="300"/>
        <v>0</v>
      </c>
      <c r="BU233" s="4794">
        <f t="shared" si="301"/>
        <v>0</v>
      </c>
      <c r="BV233" s="4794">
        <f t="shared" si="302"/>
        <v>0</v>
      </c>
      <c r="BW233" s="4794">
        <f t="shared" si="303"/>
        <v>0</v>
      </c>
      <c r="BX233" s="4794">
        <f t="shared" si="304"/>
        <v>0</v>
      </c>
      <c r="BY233" s="4794">
        <f t="shared" si="305"/>
        <v>0</v>
      </c>
    </row>
    <row r="234" spans="1:77" s="1344" customFormat="1">
      <c r="A234" s="2741">
        <v>20</v>
      </c>
      <c r="B234" s="2684" t="s">
        <v>717</v>
      </c>
      <c r="C234" s="2685">
        <v>0.04</v>
      </c>
      <c r="D234" s="2739" t="s">
        <v>434</v>
      </c>
      <c r="E234" s="4738">
        <f>+'11.3. ДА Базова година'!F195</f>
        <v>2</v>
      </c>
      <c r="F234" s="2792">
        <f>$E234-SUMIF('11.2. ДА за периода'!$B$155:$B$175,$B234,'11.2. ДА за периода'!$E$155:$E$175)+SUMIF('11.2. ДА за периода'!$B$155:$B$175,$B234,'11.2. ДА за периода'!F$155:F$175)</f>
        <v>2</v>
      </c>
      <c r="G234" s="1155">
        <f>$E234-SUMIF('11.2. ДА за периода'!$B$155:$B$175,$B234,'11.2. ДА за периода'!$E$155:$E$175)+SUMIF('11.2. ДА за периода'!$B$155:$B$175,$B234,'11.2. ДА за периода'!G$155:G$175)</f>
        <v>2</v>
      </c>
      <c r="H234" s="1155">
        <f>$E234-SUMIF('11.2. ДА за периода'!$B$155:$B$175,$B234,'11.2. ДА за периода'!$E$155:$E$175)+SUMIF('11.2. ДА за периода'!$B$155:$B$175,$B234,'11.2. ДА за периода'!H$155:H$175)</f>
        <v>2</v>
      </c>
      <c r="I234" s="1155">
        <f>$E234-SUMIF('11.2. ДА за периода'!$B$155:$B$175,$B234,'11.2. ДА за периода'!$E$155:$E$175)+SUMIF('11.2. ДА за периода'!$B$155:$B$175,$B234,'11.2. ДА за периода'!I$155:I$175)</f>
        <v>2</v>
      </c>
      <c r="J234" s="1155">
        <f>$E234-SUMIF('11.2. ДА за периода'!$B$155:$B$175,$B234,'11.2. ДА за периода'!$E$155:$E$175)+SUMIF('11.2. ДА за периода'!$B$155:$B$175,$B234,'11.2. ДА за периода'!J$155:J$175)</f>
        <v>2</v>
      </c>
      <c r="K234" s="2793">
        <f>$E234-SUMIF('11.2. ДА за периода'!$B$155:$B$175,$B234,'11.2. ДА за периода'!$E$155:$E$175)+SUMIF('11.2. ДА за периода'!$B$155:$B$175,$B234,'11.2. ДА за периода'!K$155:K$175)</f>
        <v>2</v>
      </c>
      <c r="L234" s="4738">
        <f>+'11.3. ДА Базова година'!J195</f>
        <v>0</v>
      </c>
      <c r="M234" s="2792">
        <f>$L234-SUMIF('11.2. ДА за периода'!$B$155:$B$175,$B234,'11.2. ДА за периода'!$L$155:$L$175)+SUMIF('11.2. ДА за периода'!$B$155:$B$175,$B234,'11.2. ДА за периода'!M$155:M$175)</f>
        <v>0</v>
      </c>
      <c r="N234" s="1155">
        <f>$L234-SUMIF('11.2. ДА за периода'!$B$155:$B$175,$B234,'11.2. ДА за периода'!$L$155:$L$175)+SUMIF('11.2. ДА за периода'!$B$155:$B$175,$B234,'11.2. ДА за периода'!N$155:N$175)</f>
        <v>0</v>
      </c>
      <c r="O234" s="1155">
        <f>$L234-SUMIF('11.2. ДА за периода'!$B$155:$B$175,$B234,'11.2. ДА за периода'!$L$155:$L$175)+SUMIF('11.2. ДА за периода'!$B$155:$B$175,$B234,'11.2. ДА за периода'!O$155:O$175)</f>
        <v>0</v>
      </c>
      <c r="P234" s="1155">
        <f>$L234-SUMIF('11.2. ДА за периода'!$B$155:$B$175,$B234,'11.2. ДА за периода'!$L$155:$L$175)+SUMIF('11.2. ДА за периода'!$B$155:$B$175,$B234,'11.2. ДА за периода'!P$155:P$175)</f>
        <v>0</v>
      </c>
      <c r="Q234" s="1155">
        <f>$L234-SUMIF('11.2. ДА за периода'!$B$155:$B$175,$B234,'11.2. ДА за периода'!$L$155:$L$175)+SUMIF('11.2. ДА за периода'!$B$155:$B$175,$B234,'11.2. ДА за периода'!Q$155:Q$175)</f>
        <v>0</v>
      </c>
      <c r="R234" s="2793">
        <f>$L234-SUMIF('11.2. ДА за периода'!$B$155:$B$175,$B234,'11.2. ДА за периода'!$L$155:$L$175)+SUMIF('11.2. ДА за периода'!$B$155:$B$175,$B234,'11.2. ДА за периода'!R$155:R$175)</f>
        <v>0</v>
      </c>
      <c r="S234" s="4738">
        <f>+'11.3. ДА Базова година'!N195</f>
        <v>0</v>
      </c>
      <c r="T234" s="2792">
        <f>$S234-SUMIF('11.2. ДА за периода'!$B$155:$B$175,$B234,'11.2. ДА за периода'!$S$155:$S$175)+SUMIF('11.2. ДА за периода'!$B$155:$B$175,$B234,'11.2. ДА за периода'!T$155:T$175)</f>
        <v>0</v>
      </c>
      <c r="U234" s="1155">
        <f>$S234-SUMIF('11.2. ДА за периода'!$B$155:$B$175,$B234,'11.2. ДА за периода'!$S$155:$S$175)+SUMIF('11.2. ДА за периода'!$B$155:$B$175,$B234,'11.2. ДА за периода'!U$155:U$175)</f>
        <v>0</v>
      </c>
      <c r="V234" s="1155">
        <f>$S234-SUMIF('11.2. ДА за периода'!$B$155:$B$175,$B234,'11.2. ДА за периода'!$S$155:$S$175)+SUMIF('11.2. ДА за периода'!$B$155:$B$175,$B234,'11.2. ДА за периода'!V$155:V$175)</f>
        <v>0</v>
      </c>
      <c r="W234" s="1155">
        <f>$S234-SUMIF('11.2. ДА за периода'!$B$155:$B$175,$B234,'11.2. ДА за периода'!$S$155:$S$175)+SUMIF('11.2. ДА за периода'!$B$155:$B$175,$B234,'11.2. ДА за периода'!W$155:W$175)</f>
        <v>0</v>
      </c>
      <c r="X234" s="1155">
        <f>$S234-SUMIF('11.2. ДА за периода'!$B$155:$B$175,$B234,'11.2. ДА за периода'!$S$155:$S$175)+SUMIF('11.2. ДА за периода'!$B$155:$B$175,$B234,'11.2. ДА за периода'!X$155:X$175)</f>
        <v>0</v>
      </c>
      <c r="Y234" s="2793">
        <f>$S234-SUMIF('11.2. ДА за периода'!$B$155:$B$175,$B234,'11.2. ДА за периода'!$S$155:$S$175)+SUMIF('11.2. ДА за периода'!$B$155:$B$175,$B234,'11.2. ДА за периода'!Y$155:Y$175)</f>
        <v>0</v>
      </c>
      <c r="Z234" s="4738">
        <f>+'11.3. ДА Базова година'!R195</f>
        <v>0</v>
      </c>
      <c r="AA234" s="2792">
        <f>$Z234-SUMIF('11.2. ДА за периода'!$B$155:$B$175,$B234,'11.2. ДА за периода'!$Z$155:$Z$175)+SUMIF('11.2. ДА за периода'!$B$155:$B$175,$B234,'11.2. ДА за периода'!AA$155:AA$175)</f>
        <v>0</v>
      </c>
      <c r="AB234" s="1155">
        <f>$Z234-SUMIF('11.2. ДА за периода'!$B$155:$B$175,$B234,'11.2. ДА за периода'!$Z$155:$Z$175)+SUMIF('11.2. ДА за периода'!$B$155:$B$175,$B234,'11.2. ДА за периода'!AB$155:AB$175)</f>
        <v>0</v>
      </c>
      <c r="AC234" s="1155">
        <f>$Z234-SUMIF('11.2. ДА за периода'!$B$155:$B$175,$B234,'11.2. ДА за периода'!$Z$155:$Z$175)+SUMIF('11.2. ДА за периода'!$B$155:$B$175,$B234,'11.2. ДА за периода'!AC$155:AC$175)</f>
        <v>0</v>
      </c>
      <c r="AD234" s="1155">
        <f>$Z234-SUMIF('11.2. ДА за периода'!$B$155:$B$175,$B234,'11.2. ДА за периода'!$Z$155:$Z$175)+SUMIF('11.2. ДА за периода'!$B$155:$B$175,$B234,'11.2. ДА за периода'!AD$155:AD$175)</f>
        <v>0</v>
      </c>
      <c r="AE234" s="1155">
        <f>$Z234-SUMIF('11.2. ДА за периода'!$B$155:$B$175,$B234,'11.2. ДА за периода'!$Z$155:$Z$175)+SUMIF('11.2. ДА за периода'!$B$155:$B$175,$B234,'11.2. ДА за периода'!AE$155:AE$175)</f>
        <v>0</v>
      </c>
      <c r="AF234" s="2793">
        <f>$Z234-SUMIF('11.2. ДА за периода'!$B$155:$B$175,$B234,'11.2. ДА за периода'!$Z$155:$Z$175)+SUMIF('11.2. ДА за периода'!$B$155:$B$175,$B234,'11.2. ДА за периода'!AF$155:AF$175)</f>
        <v>0</v>
      </c>
      <c r="AG234" s="4738">
        <f>+'11.3. ДА Базова година'!V195</f>
        <v>0</v>
      </c>
      <c r="AH234" s="2792">
        <f>$AG234-SUMIF('11.2. ДА за периода'!$B$155:$B$175,$B234,'11.2. ДА за периода'!$AG$155:$AG$175)+SUMIF('11.2. ДА за периода'!$B$155:$B$175,$B234,'11.2. ДА за периода'!AH$155:AH$175)</f>
        <v>0</v>
      </c>
      <c r="AI234" s="1155">
        <f>$AG234-SUMIF('11.2. ДА за периода'!$B$155:$B$175,$B234,'11.2. ДА за периода'!$AG$155:$AG$175)+SUMIF('11.2. ДА за периода'!$B$155:$B$175,$B234,'11.2. ДА за периода'!AI$155:AI$175)</f>
        <v>0</v>
      </c>
      <c r="AJ234" s="1155">
        <f>$AG234-SUMIF('11.2. ДА за периода'!$B$155:$B$175,$B234,'11.2. ДА за периода'!$AG$155:$AG$175)+SUMIF('11.2. ДА за периода'!$B$155:$B$175,$B234,'11.2. ДА за периода'!AJ$155:AJ$175)</f>
        <v>0</v>
      </c>
      <c r="AK234" s="1155">
        <f>$AG234-SUMIF('11.2. ДА за периода'!$B$155:$B$175,$B234,'11.2. ДА за периода'!$AG$155:$AG$175)+SUMIF('11.2. ДА за периода'!$B$155:$B$175,$B234,'11.2. ДА за периода'!AK$155:AK$175)</f>
        <v>0</v>
      </c>
      <c r="AL234" s="1155">
        <f>$AG234-SUMIF('11.2. ДА за периода'!$B$155:$B$175,$B234,'11.2. ДА за периода'!$AG$155:$AG$175)+SUMIF('11.2. ДА за периода'!$B$155:$B$175,$B234,'11.2. ДА за периода'!AL$155:AL$175)</f>
        <v>0</v>
      </c>
      <c r="AM234" s="2793">
        <f>$AG234-SUMIF('11.2. ДА за периода'!$B$155:$B$175,$B234,'11.2. ДА за периода'!$AG$155:$AG$175)+SUMIF('11.2. ДА за периода'!$B$155:$B$175,$B234,'11.2. ДА за периода'!AM$155:AM$175)</f>
        <v>0</v>
      </c>
      <c r="AN234" s="2692"/>
      <c r="AO234" s="2719"/>
      <c r="AP234" s="4775"/>
      <c r="AQ234" s="4794">
        <f t="shared" si="271"/>
        <v>1.022583762392437</v>
      </c>
      <c r="AR234" s="4794">
        <f t="shared" si="272"/>
        <v>1.022583762392437</v>
      </c>
      <c r="AS234" s="4794">
        <f t="shared" si="273"/>
        <v>1.022583762392437</v>
      </c>
      <c r="AT234" s="4794">
        <f t="shared" si="274"/>
        <v>1.022583762392437</v>
      </c>
      <c r="AU234" s="4794">
        <f t="shared" si="275"/>
        <v>1.022583762392437</v>
      </c>
      <c r="AV234" s="4794">
        <f t="shared" si="276"/>
        <v>1.022583762392437</v>
      </c>
      <c r="AW234" s="4794">
        <f t="shared" si="277"/>
        <v>1.022583762392437</v>
      </c>
      <c r="AX234" s="4794">
        <f t="shared" si="278"/>
        <v>0</v>
      </c>
      <c r="AY234" s="4794">
        <f t="shared" si="279"/>
        <v>0</v>
      </c>
      <c r="AZ234" s="4794">
        <f t="shared" si="280"/>
        <v>0</v>
      </c>
      <c r="BA234" s="4794">
        <f t="shared" si="281"/>
        <v>0</v>
      </c>
      <c r="BB234" s="4794">
        <f t="shared" si="282"/>
        <v>0</v>
      </c>
      <c r="BC234" s="4794">
        <f t="shared" si="283"/>
        <v>0</v>
      </c>
      <c r="BD234" s="4794">
        <f t="shared" si="284"/>
        <v>0</v>
      </c>
      <c r="BE234" s="4794">
        <f t="shared" si="285"/>
        <v>0</v>
      </c>
      <c r="BF234" s="4794">
        <f t="shared" si="286"/>
        <v>0</v>
      </c>
      <c r="BG234" s="4794">
        <f t="shared" si="287"/>
        <v>0</v>
      </c>
      <c r="BH234" s="4794">
        <f t="shared" si="288"/>
        <v>0</v>
      </c>
      <c r="BI234" s="4794">
        <f t="shared" si="289"/>
        <v>0</v>
      </c>
      <c r="BJ234" s="4794">
        <f t="shared" si="290"/>
        <v>0</v>
      </c>
      <c r="BK234" s="4794">
        <f t="shared" si="291"/>
        <v>0</v>
      </c>
      <c r="BL234" s="4794">
        <f t="shared" si="292"/>
        <v>0</v>
      </c>
      <c r="BM234" s="4794">
        <f t="shared" si="293"/>
        <v>0</v>
      </c>
      <c r="BN234" s="4794">
        <f t="shared" si="294"/>
        <v>0</v>
      </c>
      <c r="BO234" s="4794">
        <f t="shared" si="295"/>
        <v>0</v>
      </c>
      <c r="BP234" s="4794">
        <f t="shared" si="296"/>
        <v>0</v>
      </c>
      <c r="BQ234" s="4794">
        <f t="shared" si="297"/>
        <v>0</v>
      </c>
      <c r="BR234" s="4794">
        <f t="shared" si="298"/>
        <v>0</v>
      </c>
      <c r="BS234" s="4794">
        <f t="shared" si="299"/>
        <v>0</v>
      </c>
      <c r="BT234" s="4794">
        <f t="shared" si="300"/>
        <v>0</v>
      </c>
      <c r="BU234" s="4794">
        <f t="shared" si="301"/>
        <v>0</v>
      </c>
      <c r="BV234" s="4794">
        <f t="shared" si="302"/>
        <v>0</v>
      </c>
      <c r="BW234" s="4794">
        <f t="shared" si="303"/>
        <v>0</v>
      </c>
      <c r="BX234" s="4794">
        <f t="shared" si="304"/>
        <v>0</v>
      </c>
      <c r="BY234" s="4794">
        <f t="shared" si="305"/>
        <v>0</v>
      </c>
    </row>
    <row r="235" spans="1:77" s="1344" customFormat="1" ht="24.75" thickBot="1">
      <c r="A235" s="2741">
        <v>21</v>
      </c>
      <c r="B235" s="2684" t="s">
        <v>707</v>
      </c>
      <c r="C235" s="2690">
        <v>0.2</v>
      </c>
      <c r="D235" s="2720" t="s">
        <v>679</v>
      </c>
      <c r="E235" s="4738">
        <f>+'11.3. ДА Базова година'!F196</f>
        <v>0</v>
      </c>
      <c r="F235" s="2809">
        <f>$E235-SUMIF('11.2. ДА за периода'!$B$155:$B$175,$B235,'11.2. ДА за периода'!$E$155:$E$175)+SUMIF('11.2. ДА за периода'!$B$155:$B$175,$B235,'11.2. ДА за периода'!F$155:F$175)</f>
        <v>0</v>
      </c>
      <c r="G235" s="1157">
        <f>$E235-SUMIF('11.2. ДА за периода'!$B$155:$B$175,$B235,'11.2. ДА за периода'!$E$155:$E$175)+SUMIF('11.2. ДА за периода'!$B$155:$B$175,$B235,'11.2. ДА за периода'!G$155:G$175)</f>
        <v>0</v>
      </c>
      <c r="H235" s="1157">
        <f>$E235-SUMIF('11.2. ДА за периода'!$B$155:$B$175,$B235,'11.2. ДА за периода'!$E$155:$E$175)+SUMIF('11.2. ДА за периода'!$B$155:$B$175,$B235,'11.2. ДА за периода'!H$155:H$175)</f>
        <v>0</v>
      </c>
      <c r="I235" s="1157">
        <f>$E235-SUMIF('11.2. ДА за периода'!$B$155:$B$175,$B235,'11.2. ДА за периода'!$E$155:$E$175)+SUMIF('11.2. ДА за периода'!$B$155:$B$175,$B235,'11.2. ДА за периода'!I$155:I$175)</f>
        <v>0</v>
      </c>
      <c r="J235" s="1157">
        <f>$E235-SUMIF('11.2. ДА за периода'!$B$155:$B$175,$B235,'11.2. ДА за периода'!$E$155:$E$175)+SUMIF('11.2. ДА за периода'!$B$155:$B$175,$B235,'11.2. ДА за периода'!J$155:J$175)</f>
        <v>0</v>
      </c>
      <c r="K235" s="2810">
        <f>$E235-SUMIF('11.2. ДА за периода'!$B$155:$B$175,$B235,'11.2. ДА за периода'!$E$155:$E$175)+SUMIF('11.2. ДА за периода'!$B$155:$B$175,$B235,'11.2. ДА за периода'!K$155:K$175)</f>
        <v>0</v>
      </c>
      <c r="L235" s="4738">
        <f>+'11.3. ДА Базова година'!J196</f>
        <v>0</v>
      </c>
      <c r="M235" s="2809">
        <f>$L235-SUMIF('11.2. ДА за периода'!$B$155:$B$175,$B235,'11.2. ДА за периода'!$L$155:$L$175)+SUMIF('11.2. ДА за периода'!$B$155:$B$175,$B235,'11.2. ДА за периода'!M$155:M$175)</f>
        <v>0</v>
      </c>
      <c r="N235" s="1157">
        <f>$L235-SUMIF('11.2. ДА за периода'!$B$155:$B$175,$B235,'11.2. ДА за периода'!$L$155:$L$175)+SUMIF('11.2. ДА за периода'!$B$155:$B$175,$B235,'11.2. ДА за периода'!N$155:N$175)</f>
        <v>0</v>
      </c>
      <c r="O235" s="1157">
        <f>$L235-SUMIF('11.2. ДА за периода'!$B$155:$B$175,$B235,'11.2. ДА за периода'!$L$155:$L$175)+SUMIF('11.2. ДА за периода'!$B$155:$B$175,$B235,'11.2. ДА за периода'!O$155:O$175)</f>
        <v>0</v>
      </c>
      <c r="P235" s="1157">
        <f>$L235-SUMIF('11.2. ДА за периода'!$B$155:$B$175,$B235,'11.2. ДА за периода'!$L$155:$L$175)+SUMIF('11.2. ДА за периода'!$B$155:$B$175,$B235,'11.2. ДА за периода'!P$155:P$175)</f>
        <v>0</v>
      </c>
      <c r="Q235" s="1157">
        <f>$L235-SUMIF('11.2. ДА за периода'!$B$155:$B$175,$B235,'11.2. ДА за периода'!$L$155:$L$175)+SUMIF('11.2. ДА за периода'!$B$155:$B$175,$B235,'11.2. ДА за периода'!Q$155:Q$175)</f>
        <v>0</v>
      </c>
      <c r="R235" s="2810">
        <f>$L235-SUMIF('11.2. ДА за периода'!$B$155:$B$175,$B235,'11.2. ДА за периода'!$L$155:$L$175)+SUMIF('11.2. ДА за периода'!$B$155:$B$175,$B235,'11.2. ДА за периода'!R$155:R$175)</f>
        <v>0</v>
      </c>
      <c r="S235" s="4738">
        <f>+'11.3. ДА Базова година'!N196</f>
        <v>114</v>
      </c>
      <c r="T235" s="2809">
        <f>$S235-SUMIF('11.2. ДА за периода'!$B$155:$B$175,$B235,'11.2. ДА за периода'!$S$155:$S$175)+SUMIF('11.2. ДА за периода'!$B$155:$B$175,$B235,'11.2. ДА за периода'!T$155:T$175)</f>
        <v>114</v>
      </c>
      <c r="U235" s="1157">
        <f>$S235-SUMIF('11.2. ДА за периода'!$B$155:$B$175,$B235,'11.2. ДА за периода'!$S$155:$S$175)+SUMIF('11.2. ДА за периода'!$B$155:$B$175,$B235,'11.2. ДА за периода'!U$155:U$175)</f>
        <v>114</v>
      </c>
      <c r="V235" s="1157">
        <f>$S235-SUMIF('11.2. ДА за периода'!$B$155:$B$175,$B235,'11.2. ДА за периода'!$S$155:$S$175)+SUMIF('11.2. ДА за периода'!$B$155:$B$175,$B235,'11.2. ДА за периода'!V$155:V$175)</f>
        <v>114</v>
      </c>
      <c r="W235" s="1157">
        <f>$S235-SUMIF('11.2. ДА за периода'!$B$155:$B$175,$B235,'11.2. ДА за периода'!$S$155:$S$175)+SUMIF('11.2. ДА за периода'!$B$155:$B$175,$B235,'11.2. ДА за периода'!W$155:W$175)</f>
        <v>114</v>
      </c>
      <c r="X235" s="1157">
        <f>$S235-SUMIF('11.2. ДА за периода'!$B$155:$B$175,$B235,'11.2. ДА за периода'!$S$155:$S$175)+SUMIF('11.2. ДА за периода'!$B$155:$B$175,$B235,'11.2. ДА за периода'!X$155:X$175)</f>
        <v>114</v>
      </c>
      <c r="Y235" s="2810">
        <f>$S235-SUMIF('11.2. ДА за периода'!$B$155:$B$175,$B235,'11.2. ДА за периода'!$S$155:$S$175)+SUMIF('11.2. ДА за периода'!$B$155:$B$175,$B235,'11.2. ДА за периода'!Y$155:Y$175)</f>
        <v>114</v>
      </c>
      <c r="Z235" s="4738">
        <f>+'11.3. ДА Базова година'!R196</f>
        <v>0</v>
      </c>
      <c r="AA235" s="2809">
        <f>$Z235-SUMIF('11.2. ДА за периода'!$B$155:$B$175,$B235,'11.2. ДА за периода'!$Z$155:$Z$175)+SUMIF('11.2. ДА за периода'!$B$155:$B$175,$B235,'11.2. ДА за периода'!AA$155:AA$175)</f>
        <v>0</v>
      </c>
      <c r="AB235" s="1157">
        <f>$Z235-SUMIF('11.2. ДА за периода'!$B$155:$B$175,$B235,'11.2. ДА за периода'!$Z$155:$Z$175)+SUMIF('11.2. ДА за периода'!$B$155:$B$175,$B235,'11.2. ДА за периода'!AB$155:AB$175)</f>
        <v>0</v>
      </c>
      <c r="AC235" s="1157">
        <f>$Z235-SUMIF('11.2. ДА за периода'!$B$155:$B$175,$B235,'11.2. ДА за периода'!$Z$155:$Z$175)+SUMIF('11.2. ДА за периода'!$B$155:$B$175,$B235,'11.2. ДА за периода'!AC$155:AC$175)</f>
        <v>0</v>
      </c>
      <c r="AD235" s="1157">
        <f>$Z235-SUMIF('11.2. ДА за периода'!$B$155:$B$175,$B235,'11.2. ДА за периода'!$Z$155:$Z$175)+SUMIF('11.2. ДА за периода'!$B$155:$B$175,$B235,'11.2. ДА за периода'!AD$155:AD$175)</f>
        <v>0</v>
      </c>
      <c r="AE235" s="1157">
        <f>$Z235-SUMIF('11.2. ДА за периода'!$B$155:$B$175,$B235,'11.2. ДА за периода'!$Z$155:$Z$175)+SUMIF('11.2. ДА за периода'!$B$155:$B$175,$B235,'11.2. ДА за периода'!AE$155:AE$175)</f>
        <v>0</v>
      </c>
      <c r="AF235" s="2810">
        <f>$Z235-SUMIF('11.2. ДА за периода'!$B$155:$B$175,$B235,'11.2. ДА за периода'!$Z$155:$Z$175)+SUMIF('11.2. ДА за периода'!$B$155:$B$175,$B235,'11.2. ДА за периода'!AF$155:AF$175)</f>
        <v>0</v>
      </c>
      <c r="AG235" s="4738">
        <f>+'11.3. ДА Базова година'!V196</f>
        <v>0</v>
      </c>
      <c r="AH235" s="2809">
        <f>$AG235-SUMIF('11.2. ДА за периода'!$B$155:$B$175,$B235,'11.2. ДА за периода'!$AG$155:$AG$175)+SUMIF('11.2. ДА за периода'!$B$155:$B$175,$B235,'11.2. ДА за периода'!AH$155:AH$175)</f>
        <v>0</v>
      </c>
      <c r="AI235" s="1157">
        <f>$AG235-SUMIF('11.2. ДА за периода'!$B$155:$B$175,$B235,'11.2. ДА за периода'!$AG$155:$AG$175)+SUMIF('11.2. ДА за периода'!$B$155:$B$175,$B235,'11.2. ДА за периода'!AI$155:AI$175)</f>
        <v>0</v>
      </c>
      <c r="AJ235" s="1157">
        <f>$AG235-SUMIF('11.2. ДА за периода'!$B$155:$B$175,$B235,'11.2. ДА за периода'!$AG$155:$AG$175)+SUMIF('11.2. ДА за периода'!$B$155:$B$175,$B235,'11.2. ДА за периода'!AJ$155:AJ$175)</f>
        <v>0</v>
      </c>
      <c r="AK235" s="1157">
        <f>$AG235-SUMIF('11.2. ДА за периода'!$B$155:$B$175,$B235,'11.2. ДА за периода'!$AG$155:$AG$175)+SUMIF('11.2. ДА за периода'!$B$155:$B$175,$B235,'11.2. ДА за периода'!AK$155:AK$175)</f>
        <v>0</v>
      </c>
      <c r="AL235" s="1157">
        <f>$AG235-SUMIF('11.2. ДА за периода'!$B$155:$B$175,$B235,'11.2. ДА за периода'!$AG$155:$AG$175)+SUMIF('11.2. ДА за периода'!$B$155:$B$175,$B235,'11.2. ДА за периода'!AL$155:AL$175)</f>
        <v>0</v>
      </c>
      <c r="AM235" s="2810">
        <f>$AG235-SUMIF('11.2. ДА за периода'!$B$155:$B$175,$B235,'11.2. ДА за периода'!$AG$155:$AG$175)+SUMIF('11.2. ДА за периода'!$B$155:$B$175,$B235,'11.2. ДА за периода'!AM$155:AM$175)</f>
        <v>0</v>
      </c>
      <c r="AN235" s="2692"/>
      <c r="AO235" s="2719"/>
      <c r="AP235" s="4775"/>
      <c r="AQ235" s="4794">
        <f t="shared" si="271"/>
        <v>0</v>
      </c>
      <c r="AR235" s="4794">
        <f t="shared" si="272"/>
        <v>0</v>
      </c>
      <c r="AS235" s="4794">
        <f t="shared" si="273"/>
        <v>0</v>
      </c>
      <c r="AT235" s="4794">
        <f t="shared" si="274"/>
        <v>0</v>
      </c>
      <c r="AU235" s="4794">
        <f t="shared" si="275"/>
        <v>0</v>
      </c>
      <c r="AV235" s="4794">
        <f t="shared" si="276"/>
        <v>0</v>
      </c>
      <c r="AW235" s="4794">
        <f t="shared" si="277"/>
        <v>0</v>
      </c>
      <c r="AX235" s="4794">
        <f t="shared" si="278"/>
        <v>0</v>
      </c>
      <c r="AY235" s="4794">
        <f t="shared" si="279"/>
        <v>0</v>
      </c>
      <c r="AZ235" s="4794">
        <f t="shared" si="280"/>
        <v>0</v>
      </c>
      <c r="BA235" s="4794">
        <f t="shared" si="281"/>
        <v>0</v>
      </c>
      <c r="BB235" s="4794">
        <f t="shared" si="282"/>
        <v>0</v>
      </c>
      <c r="BC235" s="4794">
        <f t="shared" si="283"/>
        <v>0</v>
      </c>
      <c r="BD235" s="4794">
        <f t="shared" si="284"/>
        <v>0</v>
      </c>
      <c r="BE235" s="4794">
        <f t="shared" si="285"/>
        <v>58.287274456368905</v>
      </c>
      <c r="BF235" s="4794">
        <f t="shared" si="286"/>
        <v>58.287274456368905</v>
      </c>
      <c r="BG235" s="4794">
        <f t="shared" si="287"/>
        <v>58.287274456368905</v>
      </c>
      <c r="BH235" s="4794">
        <f t="shared" si="288"/>
        <v>58.287274456368905</v>
      </c>
      <c r="BI235" s="4794">
        <f t="shared" si="289"/>
        <v>58.287274456368905</v>
      </c>
      <c r="BJ235" s="4794">
        <f t="shared" si="290"/>
        <v>58.287274456368905</v>
      </c>
      <c r="BK235" s="4794">
        <f t="shared" si="291"/>
        <v>58.287274456368905</v>
      </c>
      <c r="BL235" s="4794">
        <f t="shared" si="292"/>
        <v>0</v>
      </c>
      <c r="BM235" s="4794">
        <f t="shared" si="293"/>
        <v>0</v>
      </c>
      <c r="BN235" s="4794">
        <f t="shared" si="294"/>
        <v>0</v>
      </c>
      <c r="BO235" s="4794">
        <f t="shared" si="295"/>
        <v>0</v>
      </c>
      <c r="BP235" s="4794">
        <f t="shared" si="296"/>
        <v>0</v>
      </c>
      <c r="BQ235" s="4794">
        <f t="shared" si="297"/>
        <v>0</v>
      </c>
      <c r="BR235" s="4794">
        <f t="shared" si="298"/>
        <v>0</v>
      </c>
      <c r="BS235" s="4794">
        <f t="shared" si="299"/>
        <v>0</v>
      </c>
      <c r="BT235" s="4794">
        <f t="shared" si="300"/>
        <v>0</v>
      </c>
      <c r="BU235" s="4794">
        <f t="shared" si="301"/>
        <v>0</v>
      </c>
      <c r="BV235" s="4794">
        <f t="shared" si="302"/>
        <v>0</v>
      </c>
      <c r="BW235" s="4794">
        <f t="shared" si="303"/>
        <v>0</v>
      </c>
      <c r="BX235" s="4794">
        <f t="shared" si="304"/>
        <v>0</v>
      </c>
      <c r="BY235" s="4794">
        <f t="shared" si="305"/>
        <v>0</v>
      </c>
    </row>
    <row r="236" spans="1:77" s="1344" customFormat="1" ht="13.5" thickBot="1">
      <c r="A236" s="3951" t="s">
        <v>219</v>
      </c>
      <c r="B236" s="2707"/>
      <c r="C236" s="2707"/>
      <c r="D236" s="2670" t="s">
        <v>220</v>
      </c>
      <c r="E236" s="1265">
        <f t="shared" ref="E236" si="308">SUM(E237:E257)</f>
        <v>16642</v>
      </c>
      <c r="F236" s="2807">
        <f t="shared" ref="F236:AM236" si="309">SUM(F237:F257)</f>
        <v>18698</v>
      </c>
      <c r="G236" s="1166">
        <f t="shared" si="309"/>
        <v>20754</v>
      </c>
      <c r="H236" s="1166">
        <f t="shared" si="309"/>
        <v>22810</v>
      </c>
      <c r="I236" s="1166">
        <f t="shared" si="309"/>
        <v>24866</v>
      </c>
      <c r="J236" s="1166">
        <f t="shared" si="309"/>
        <v>26922</v>
      </c>
      <c r="K236" s="2808">
        <f t="shared" si="309"/>
        <v>28978</v>
      </c>
      <c r="L236" s="1265">
        <f t="shared" si="309"/>
        <v>13753</v>
      </c>
      <c r="M236" s="2807">
        <f t="shared" si="309"/>
        <v>15381</v>
      </c>
      <c r="N236" s="1166">
        <f t="shared" si="309"/>
        <v>17009</v>
      </c>
      <c r="O236" s="1166">
        <f t="shared" si="309"/>
        <v>18637</v>
      </c>
      <c r="P236" s="1167">
        <f t="shared" si="309"/>
        <v>20265</v>
      </c>
      <c r="Q236" s="1166">
        <f t="shared" si="309"/>
        <v>21893</v>
      </c>
      <c r="R236" s="1166">
        <f t="shared" si="309"/>
        <v>23521</v>
      </c>
      <c r="S236" s="1265">
        <f t="shared" si="309"/>
        <v>12592</v>
      </c>
      <c r="T236" s="2807">
        <f t="shared" si="309"/>
        <v>14032</v>
      </c>
      <c r="U236" s="1166">
        <f t="shared" si="309"/>
        <v>15472</v>
      </c>
      <c r="V236" s="1166">
        <f t="shared" si="309"/>
        <v>16912</v>
      </c>
      <c r="W236" s="1167">
        <f t="shared" si="309"/>
        <v>18352</v>
      </c>
      <c r="X236" s="1166">
        <f t="shared" si="309"/>
        <v>19792</v>
      </c>
      <c r="Y236" s="2808">
        <f t="shared" si="309"/>
        <v>21232</v>
      </c>
      <c r="Z236" s="1265">
        <f t="shared" si="309"/>
        <v>0</v>
      </c>
      <c r="AA236" s="2807">
        <f t="shared" si="309"/>
        <v>0</v>
      </c>
      <c r="AB236" s="1166">
        <f t="shared" si="309"/>
        <v>0</v>
      </c>
      <c r="AC236" s="1166">
        <f t="shared" si="309"/>
        <v>0</v>
      </c>
      <c r="AD236" s="1167">
        <f t="shared" si="309"/>
        <v>0</v>
      </c>
      <c r="AE236" s="1166">
        <f t="shared" si="309"/>
        <v>0</v>
      </c>
      <c r="AF236" s="2808">
        <f t="shared" si="309"/>
        <v>0</v>
      </c>
      <c r="AG236" s="1265">
        <f t="shared" si="309"/>
        <v>0</v>
      </c>
      <c r="AH236" s="2807">
        <f t="shared" si="309"/>
        <v>0</v>
      </c>
      <c r="AI236" s="1166">
        <f t="shared" si="309"/>
        <v>0</v>
      </c>
      <c r="AJ236" s="1166">
        <f t="shared" si="309"/>
        <v>0</v>
      </c>
      <c r="AK236" s="1167">
        <f t="shared" si="309"/>
        <v>0</v>
      </c>
      <c r="AL236" s="1166">
        <f t="shared" si="309"/>
        <v>0</v>
      </c>
      <c r="AM236" s="2808">
        <f t="shared" si="309"/>
        <v>0</v>
      </c>
      <c r="AN236" s="2681"/>
      <c r="AO236" s="2719"/>
      <c r="AP236" s="4775"/>
      <c r="AQ236" s="4794">
        <f t="shared" si="271"/>
        <v>8508.9194868674676</v>
      </c>
      <c r="AR236" s="4794">
        <f t="shared" si="272"/>
        <v>9560.1355946068943</v>
      </c>
      <c r="AS236" s="4794">
        <f t="shared" si="273"/>
        <v>10611.351702346319</v>
      </c>
      <c r="AT236" s="4794">
        <f t="shared" si="274"/>
        <v>11662.567810085744</v>
      </c>
      <c r="AU236" s="4794">
        <f t="shared" si="275"/>
        <v>12713.783917825169</v>
      </c>
      <c r="AV236" s="4794">
        <f t="shared" si="276"/>
        <v>13765.000025564594</v>
      </c>
      <c r="AW236" s="4794">
        <f t="shared" si="277"/>
        <v>14816.21613330402</v>
      </c>
      <c r="AX236" s="4794">
        <f t="shared" si="278"/>
        <v>7031.797242091593</v>
      </c>
      <c r="AY236" s="4794">
        <f t="shared" si="279"/>
        <v>7864.1804246790371</v>
      </c>
      <c r="AZ236" s="4794">
        <f t="shared" si="280"/>
        <v>8696.5636072664802</v>
      </c>
      <c r="BA236" s="4794">
        <f t="shared" si="281"/>
        <v>9528.9467898539242</v>
      </c>
      <c r="BB236" s="4794">
        <f t="shared" si="282"/>
        <v>10361.329972441368</v>
      </c>
      <c r="BC236" s="4794">
        <f t="shared" si="283"/>
        <v>11193.713155028812</v>
      </c>
      <c r="BD236" s="4794">
        <f t="shared" si="284"/>
        <v>12026.096337616254</v>
      </c>
      <c r="BE236" s="4794">
        <f t="shared" si="285"/>
        <v>6438.1873680227836</v>
      </c>
      <c r="BF236" s="4794">
        <f t="shared" si="286"/>
        <v>7174.4476769453377</v>
      </c>
      <c r="BG236" s="4794">
        <f t="shared" si="287"/>
        <v>7910.7079858678926</v>
      </c>
      <c r="BH236" s="4794">
        <f t="shared" si="288"/>
        <v>8646.9682947904475</v>
      </c>
      <c r="BI236" s="4794">
        <f t="shared" si="289"/>
        <v>9383.2286037130016</v>
      </c>
      <c r="BJ236" s="4794">
        <f t="shared" si="290"/>
        <v>10119.488912635556</v>
      </c>
      <c r="BK236" s="4794">
        <f t="shared" si="291"/>
        <v>10855.749221558111</v>
      </c>
      <c r="BL236" s="4794">
        <f t="shared" si="292"/>
        <v>0</v>
      </c>
      <c r="BM236" s="4794">
        <f t="shared" si="293"/>
        <v>0</v>
      </c>
      <c r="BN236" s="4794">
        <f t="shared" si="294"/>
        <v>0</v>
      </c>
      <c r="BO236" s="4794">
        <f t="shared" si="295"/>
        <v>0</v>
      </c>
      <c r="BP236" s="4794">
        <f t="shared" si="296"/>
        <v>0</v>
      </c>
      <c r="BQ236" s="4794">
        <f t="shared" si="297"/>
        <v>0</v>
      </c>
      <c r="BR236" s="4794">
        <f t="shared" si="298"/>
        <v>0</v>
      </c>
      <c r="BS236" s="4794">
        <f t="shared" si="299"/>
        <v>0</v>
      </c>
      <c r="BT236" s="4794">
        <f t="shared" si="300"/>
        <v>0</v>
      </c>
      <c r="BU236" s="4794">
        <f t="shared" si="301"/>
        <v>0</v>
      </c>
      <c r="BV236" s="4794">
        <f t="shared" si="302"/>
        <v>0</v>
      </c>
      <c r="BW236" s="4794">
        <f t="shared" si="303"/>
        <v>0</v>
      </c>
      <c r="BX236" s="4794">
        <f t="shared" si="304"/>
        <v>0</v>
      </c>
      <c r="BY236" s="4794">
        <f t="shared" si="305"/>
        <v>0</v>
      </c>
    </row>
    <row r="237" spans="1:77" s="1344" customFormat="1">
      <c r="A237" s="2683">
        <v>1</v>
      </c>
      <c r="B237" s="2744" t="s">
        <v>696</v>
      </c>
      <c r="C237" s="2701">
        <v>0</v>
      </c>
      <c r="D237" s="2731" t="s">
        <v>558</v>
      </c>
      <c r="E237" s="4738">
        <f>+'11.3. ДА Базова година'!H176</f>
        <v>0</v>
      </c>
      <c r="F237" s="2780">
        <f t="shared" ref="F237:K252" si="310">E237+F215</f>
        <v>0</v>
      </c>
      <c r="G237" s="2778">
        <f t="shared" si="310"/>
        <v>0</v>
      </c>
      <c r="H237" s="2778">
        <f t="shared" si="310"/>
        <v>0</v>
      </c>
      <c r="I237" s="2778">
        <f t="shared" si="310"/>
        <v>0</v>
      </c>
      <c r="J237" s="2778">
        <f t="shared" si="310"/>
        <v>0</v>
      </c>
      <c r="K237" s="2779">
        <f t="shared" si="310"/>
        <v>0</v>
      </c>
      <c r="L237" s="4738">
        <f>+'11.3. ДА Базова година'!L176</f>
        <v>0</v>
      </c>
      <c r="M237" s="2780">
        <f t="shared" ref="M237:R252" si="311">L237+M215</f>
        <v>0</v>
      </c>
      <c r="N237" s="2778">
        <f t="shared" si="311"/>
        <v>0</v>
      </c>
      <c r="O237" s="2778">
        <f t="shared" si="311"/>
        <v>0</v>
      </c>
      <c r="P237" s="2778">
        <f t="shared" si="311"/>
        <v>0</v>
      </c>
      <c r="Q237" s="2778">
        <f t="shared" si="311"/>
        <v>0</v>
      </c>
      <c r="R237" s="2779">
        <f t="shared" si="311"/>
        <v>0</v>
      </c>
      <c r="S237" s="4738">
        <f>+'11.3. ДА Базова година'!P176</f>
        <v>0</v>
      </c>
      <c r="T237" s="2780">
        <f t="shared" ref="T237:Y252" si="312">S237+T215</f>
        <v>0</v>
      </c>
      <c r="U237" s="2778">
        <f t="shared" si="312"/>
        <v>0</v>
      </c>
      <c r="V237" s="2778">
        <f t="shared" si="312"/>
        <v>0</v>
      </c>
      <c r="W237" s="2778">
        <f t="shared" si="312"/>
        <v>0</v>
      </c>
      <c r="X237" s="2778">
        <f t="shared" si="312"/>
        <v>0</v>
      </c>
      <c r="Y237" s="2779">
        <f t="shared" si="312"/>
        <v>0</v>
      </c>
      <c r="Z237" s="4738">
        <f>+'11.3. ДА Базова година'!T176</f>
        <v>0</v>
      </c>
      <c r="AA237" s="2780">
        <f t="shared" ref="AA237:AF252" si="313">Z237+AA215</f>
        <v>0</v>
      </c>
      <c r="AB237" s="2778">
        <f t="shared" si="313"/>
        <v>0</v>
      </c>
      <c r="AC237" s="2778">
        <f t="shared" si="313"/>
        <v>0</v>
      </c>
      <c r="AD237" s="2778">
        <f t="shared" si="313"/>
        <v>0</v>
      </c>
      <c r="AE237" s="2778">
        <f t="shared" si="313"/>
        <v>0</v>
      </c>
      <c r="AF237" s="2779">
        <f t="shared" si="313"/>
        <v>0</v>
      </c>
      <c r="AG237" s="4738">
        <f>+'11.3. ДА Базова година'!X176</f>
        <v>0</v>
      </c>
      <c r="AH237" s="2780">
        <f t="shared" ref="AH237:AM252" si="314">AG237+AH215</f>
        <v>0</v>
      </c>
      <c r="AI237" s="2778">
        <f t="shared" si="314"/>
        <v>0</v>
      </c>
      <c r="AJ237" s="2778">
        <f t="shared" si="314"/>
        <v>0</v>
      </c>
      <c r="AK237" s="2778">
        <f t="shared" si="314"/>
        <v>0</v>
      </c>
      <c r="AL237" s="2778">
        <f t="shared" si="314"/>
        <v>0</v>
      </c>
      <c r="AM237" s="2779">
        <f t="shared" si="314"/>
        <v>0</v>
      </c>
      <c r="AN237" s="2681"/>
      <c r="AO237" s="2719"/>
      <c r="AP237" s="4775"/>
      <c r="AQ237" s="4794">
        <f t="shared" si="271"/>
        <v>0</v>
      </c>
      <c r="AR237" s="4794">
        <f t="shared" si="272"/>
        <v>0</v>
      </c>
      <c r="AS237" s="4794">
        <f t="shared" si="273"/>
        <v>0</v>
      </c>
      <c r="AT237" s="4794">
        <f t="shared" si="274"/>
        <v>0</v>
      </c>
      <c r="AU237" s="4794">
        <f t="shared" si="275"/>
        <v>0</v>
      </c>
      <c r="AV237" s="4794">
        <f t="shared" si="276"/>
        <v>0</v>
      </c>
      <c r="AW237" s="4794">
        <f t="shared" si="277"/>
        <v>0</v>
      </c>
      <c r="AX237" s="4794">
        <f t="shared" si="278"/>
        <v>0</v>
      </c>
      <c r="AY237" s="4794">
        <f t="shared" si="279"/>
        <v>0</v>
      </c>
      <c r="AZ237" s="4794">
        <f t="shared" si="280"/>
        <v>0</v>
      </c>
      <c r="BA237" s="4794">
        <f t="shared" si="281"/>
        <v>0</v>
      </c>
      <c r="BB237" s="4794">
        <f t="shared" si="282"/>
        <v>0</v>
      </c>
      <c r="BC237" s="4794">
        <f t="shared" si="283"/>
        <v>0</v>
      </c>
      <c r="BD237" s="4794">
        <f t="shared" si="284"/>
        <v>0</v>
      </c>
      <c r="BE237" s="4794">
        <f t="shared" si="285"/>
        <v>0</v>
      </c>
      <c r="BF237" s="4794">
        <f t="shared" si="286"/>
        <v>0</v>
      </c>
      <c r="BG237" s="4794">
        <f t="shared" si="287"/>
        <v>0</v>
      </c>
      <c r="BH237" s="4794">
        <f t="shared" si="288"/>
        <v>0</v>
      </c>
      <c r="BI237" s="4794">
        <f t="shared" si="289"/>
        <v>0</v>
      </c>
      <c r="BJ237" s="4794">
        <f t="shared" si="290"/>
        <v>0</v>
      </c>
      <c r="BK237" s="4794">
        <f t="shared" si="291"/>
        <v>0</v>
      </c>
      <c r="BL237" s="4794">
        <f t="shared" si="292"/>
        <v>0</v>
      </c>
      <c r="BM237" s="4794">
        <f t="shared" si="293"/>
        <v>0</v>
      </c>
      <c r="BN237" s="4794">
        <f t="shared" si="294"/>
        <v>0</v>
      </c>
      <c r="BO237" s="4794">
        <f t="shared" si="295"/>
        <v>0</v>
      </c>
      <c r="BP237" s="4794">
        <f t="shared" si="296"/>
        <v>0</v>
      </c>
      <c r="BQ237" s="4794">
        <f t="shared" si="297"/>
        <v>0</v>
      </c>
      <c r="BR237" s="4794">
        <f t="shared" si="298"/>
        <v>0</v>
      </c>
      <c r="BS237" s="4794">
        <f t="shared" si="299"/>
        <v>0</v>
      </c>
      <c r="BT237" s="4794">
        <f t="shared" si="300"/>
        <v>0</v>
      </c>
      <c r="BU237" s="4794">
        <f t="shared" si="301"/>
        <v>0</v>
      </c>
      <c r="BV237" s="4794">
        <f t="shared" si="302"/>
        <v>0</v>
      </c>
      <c r="BW237" s="4794">
        <f t="shared" si="303"/>
        <v>0</v>
      </c>
      <c r="BX237" s="4794">
        <f t="shared" si="304"/>
        <v>0</v>
      </c>
      <c r="BY237" s="4794">
        <f t="shared" si="305"/>
        <v>0</v>
      </c>
    </row>
    <row r="238" spans="1:77" s="1344" customFormat="1">
      <c r="A238" s="2683">
        <v>2</v>
      </c>
      <c r="B238" s="2684" t="s">
        <v>697</v>
      </c>
      <c r="C238" s="2685">
        <v>0.03</v>
      </c>
      <c r="D238" s="2739" t="s">
        <v>426</v>
      </c>
      <c r="E238" s="4738">
        <f>+'11.3. ДА Базова година'!H177</f>
        <v>83</v>
      </c>
      <c r="F238" s="1247">
        <f t="shared" si="310"/>
        <v>92</v>
      </c>
      <c r="G238" s="1243">
        <f t="shared" si="310"/>
        <v>101</v>
      </c>
      <c r="H238" s="1243">
        <f t="shared" si="310"/>
        <v>110</v>
      </c>
      <c r="I238" s="1243">
        <f t="shared" si="310"/>
        <v>119</v>
      </c>
      <c r="J238" s="1243">
        <f t="shared" si="310"/>
        <v>128</v>
      </c>
      <c r="K238" s="1248">
        <f t="shared" si="310"/>
        <v>137</v>
      </c>
      <c r="L238" s="4738">
        <f>+'11.3. ДА Базова година'!L177</f>
        <v>0</v>
      </c>
      <c r="M238" s="1247">
        <f t="shared" si="311"/>
        <v>0</v>
      </c>
      <c r="N238" s="1243">
        <f t="shared" si="311"/>
        <v>0</v>
      </c>
      <c r="O238" s="1243">
        <f t="shared" si="311"/>
        <v>0</v>
      </c>
      <c r="P238" s="1243">
        <f t="shared" si="311"/>
        <v>0</v>
      </c>
      <c r="Q238" s="1243">
        <f t="shared" si="311"/>
        <v>0</v>
      </c>
      <c r="R238" s="1248">
        <f t="shared" si="311"/>
        <v>0</v>
      </c>
      <c r="S238" s="4738">
        <f>+'11.3. ДА Базова година'!P177</f>
        <v>3077</v>
      </c>
      <c r="T238" s="1247">
        <f t="shared" si="312"/>
        <v>3448</v>
      </c>
      <c r="U238" s="1243">
        <f t="shared" si="312"/>
        <v>3819</v>
      </c>
      <c r="V238" s="1243">
        <f t="shared" si="312"/>
        <v>4190</v>
      </c>
      <c r="W238" s="1243">
        <f t="shared" si="312"/>
        <v>4561</v>
      </c>
      <c r="X238" s="1243">
        <f t="shared" si="312"/>
        <v>4932</v>
      </c>
      <c r="Y238" s="1248">
        <f t="shared" si="312"/>
        <v>5303</v>
      </c>
      <c r="Z238" s="4738">
        <f>+'11.3. ДА Базова година'!T177</f>
        <v>0</v>
      </c>
      <c r="AA238" s="1247">
        <f t="shared" si="313"/>
        <v>0</v>
      </c>
      <c r="AB238" s="1243">
        <f t="shared" si="313"/>
        <v>0</v>
      </c>
      <c r="AC238" s="1243">
        <f t="shared" si="313"/>
        <v>0</v>
      </c>
      <c r="AD238" s="1243">
        <f t="shared" si="313"/>
        <v>0</v>
      </c>
      <c r="AE238" s="1243">
        <f t="shared" si="313"/>
        <v>0</v>
      </c>
      <c r="AF238" s="1248">
        <f t="shared" si="313"/>
        <v>0</v>
      </c>
      <c r="AG238" s="4738">
        <f>+'11.3. ДА Базова година'!X177</f>
        <v>0</v>
      </c>
      <c r="AH238" s="1247">
        <f t="shared" si="314"/>
        <v>0</v>
      </c>
      <c r="AI238" s="1243">
        <f t="shared" si="314"/>
        <v>0</v>
      </c>
      <c r="AJ238" s="1243">
        <f t="shared" si="314"/>
        <v>0</v>
      </c>
      <c r="AK238" s="1243">
        <f t="shared" si="314"/>
        <v>0</v>
      </c>
      <c r="AL238" s="1243">
        <f t="shared" si="314"/>
        <v>0</v>
      </c>
      <c r="AM238" s="1248">
        <f t="shared" si="314"/>
        <v>0</v>
      </c>
      <c r="AN238" s="2681"/>
      <c r="AO238" s="2719"/>
      <c r="AP238" s="4775"/>
      <c r="AQ238" s="4794">
        <f t="shared" si="271"/>
        <v>42.437226139286132</v>
      </c>
      <c r="AR238" s="4794">
        <f t="shared" si="272"/>
        <v>47.038853070052099</v>
      </c>
      <c r="AS238" s="4794">
        <f t="shared" si="273"/>
        <v>51.640480000818066</v>
      </c>
      <c r="AT238" s="4794">
        <f t="shared" si="274"/>
        <v>56.242106931584033</v>
      </c>
      <c r="AU238" s="4794">
        <f t="shared" si="275"/>
        <v>60.84373386235</v>
      </c>
      <c r="AV238" s="4794">
        <f t="shared" si="276"/>
        <v>65.445360793115967</v>
      </c>
      <c r="AW238" s="4794">
        <f t="shared" si="277"/>
        <v>70.046987723881941</v>
      </c>
      <c r="AX238" s="4794">
        <f t="shared" si="278"/>
        <v>0</v>
      </c>
      <c r="AY238" s="4794">
        <f t="shared" si="279"/>
        <v>0</v>
      </c>
      <c r="AZ238" s="4794">
        <f t="shared" si="280"/>
        <v>0</v>
      </c>
      <c r="BA238" s="4794">
        <f t="shared" si="281"/>
        <v>0</v>
      </c>
      <c r="BB238" s="4794">
        <f t="shared" si="282"/>
        <v>0</v>
      </c>
      <c r="BC238" s="4794">
        <f t="shared" si="283"/>
        <v>0</v>
      </c>
      <c r="BD238" s="4794">
        <f t="shared" si="284"/>
        <v>0</v>
      </c>
      <c r="BE238" s="4794">
        <f t="shared" si="285"/>
        <v>1573.2451184407644</v>
      </c>
      <c r="BF238" s="4794">
        <f t="shared" si="286"/>
        <v>1762.9344063645615</v>
      </c>
      <c r="BG238" s="4794">
        <f t="shared" si="287"/>
        <v>1952.6236942883584</v>
      </c>
      <c r="BH238" s="4794">
        <f t="shared" si="288"/>
        <v>2142.3129822121555</v>
      </c>
      <c r="BI238" s="4794">
        <f t="shared" si="289"/>
        <v>2332.0022701359526</v>
      </c>
      <c r="BJ238" s="4794">
        <f t="shared" si="290"/>
        <v>2521.6915580597497</v>
      </c>
      <c r="BK238" s="4794">
        <f t="shared" si="291"/>
        <v>2711.3808459835468</v>
      </c>
      <c r="BL238" s="4794">
        <f t="shared" si="292"/>
        <v>0</v>
      </c>
      <c r="BM238" s="4794">
        <f t="shared" si="293"/>
        <v>0</v>
      </c>
      <c r="BN238" s="4794">
        <f t="shared" si="294"/>
        <v>0</v>
      </c>
      <c r="BO238" s="4794">
        <f t="shared" si="295"/>
        <v>0</v>
      </c>
      <c r="BP238" s="4794">
        <f t="shared" si="296"/>
        <v>0</v>
      </c>
      <c r="BQ238" s="4794">
        <f t="shared" si="297"/>
        <v>0</v>
      </c>
      <c r="BR238" s="4794">
        <f t="shared" si="298"/>
        <v>0</v>
      </c>
      <c r="BS238" s="4794">
        <f t="shared" si="299"/>
        <v>0</v>
      </c>
      <c r="BT238" s="4794">
        <f t="shared" si="300"/>
        <v>0</v>
      </c>
      <c r="BU238" s="4794">
        <f t="shared" si="301"/>
        <v>0</v>
      </c>
      <c r="BV238" s="4794">
        <f t="shared" si="302"/>
        <v>0</v>
      </c>
      <c r="BW238" s="4794">
        <f t="shared" si="303"/>
        <v>0</v>
      </c>
      <c r="BX238" s="4794">
        <f t="shared" si="304"/>
        <v>0</v>
      </c>
      <c r="BY238" s="4794">
        <f t="shared" si="305"/>
        <v>0</v>
      </c>
    </row>
    <row r="239" spans="1:77" s="1344" customFormat="1">
      <c r="A239" s="2683">
        <v>3</v>
      </c>
      <c r="B239" s="2684">
        <v>911301</v>
      </c>
      <c r="C239" s="2685">
        <v>0.1</v>
      </c>
      <c r="D239" s="2739" t="s">
        <v>427</v>
      </c>
      <c r="E239" s="4738">
        <f>+'11.3. ДА Базова година'!H178</f>
        <v>0</v>
      </c>
      <c r="F239" s="1247">
        <f t="shared" si="310"/>
        <v>0</v>
      </c>
      <c r="G239" s="1243">
        <f t="shared" si="310"/>
        <v>0</v>
      </c>
      <c r="H239" s="1243">
        <f t="shared" si="310"/>
        <v>0</v>
      </c>
      <c r="I239" s="1243">
        <f t="shared" si="310"/>
        <v>0</v>
      </c>
      <c r="J239" s="1243">
        <f t="shared" si="310"/>
        <v>0</v>
      </c>
      <c r="K239" s="1248">
        <f t="shared" si="310"/>
        <v>0</v>
      </c>
      <c r="L239" s="4738">
        <f>+'11.3. ДА Базова година'!L178</f>
        <v>0</v>
      </c>
      <c r="M239" s="1247">
        <f t="shared" si="311"/>
        <v>0</v>
      </c>
      <c r="N239" s="1243">
        <f t="shared" si="311"/>
        <v>0</v>
      </c>
      <c r="O239" s="1243">
        <f t="shared" si="311"/>
        <v>0</v>
      </c>
      <c r="P239" s="1243">
        <f t="shared" si="311"/>
        <v>0</v>
      </c>
      <c r="Q239" s="1243">
        <f t="shared" si="311"/>
        <v>0</v>
      </c>
      <c r="R239" s="1248">
        <f t="shared" si="311"/>
        <v>0</v>
      </c>
      <c r="S239" s="4738">
        <f>+'11.3. ДА Базова година'!P178</f>
        <v>0</v>
      </c>
      <c r="T239" s="1247">
        <f t="shared" si="312"/>
        <v>0</v>
      </c>
      <c r="U239" s="1243">
        <f t="shared" si="312"/>
        <v>0</v>
      </c>
      <c r="V239" s="1243">
        <f t="shared" si="312"/>
        <v>0</v>
      </c>
      <c r="W239" s="1243">
        <f t="shared" si="312"/>
        <v>0</v>
      </c>
      <c r="X239" s="1243">
        <f t="shared" si="312"/>
        <v>0</v>
      </c>
      <c r="Y239" s="1248">
        <f t="shared" si="312"/>
        <v>0</v>
      </c>
      <c r="Z239" s="4738">
        <f>+'11.3. ДА Базова година'!T178</f>
        <v>0</v>
      </c>
      <c r="AA239" s="1247">
        <f t="shared" si="313"/>
        <v>0</v>
      </c>
      <c r="AB239" s="1243">
        <f t="shared" si="313"/>
        <v>0</v>
      </c>
      <c r="AC239" s="1243">
        <f t="shared" si="313"/>
        <v>0</v>
      </c>
      <c r="AD239" s="1243">
        <f t="shared" si="313"/>
        <v>0</v>
      </c>
      <c r="AE239" s="1243">
        <f t="shared" si="313"/>
        <v>0</v>
      </c>
      <c r="AF239" s="1248">
        <f t="shared" si="313"/>
        <v>0</v>
      </c>
      <c r="AG239" s="4738">
        <f>+'11.3. ДА Базова година'!X178</f>
        <v>0</v>
      </c>
      <c r="AH239" s="1247">
        <f t="shared" si="314"/>
        <v>0</v>
      </c>
      <c r="AI239" s="1243">
        <f t="shared" si="314"/>
        <v>0</v>
      </c>
      <c r="AJ239" s="1243">
        <f t="shared" si="314"/>
        <v>0</v>
      </c>
      <c r="AK239" s="1243">
        <f t="shared" si="314"/>
        <v>0</v>
      </c>
      <c r="AL239" s="1243">
        <f t="shared" si="314"/>
        <v>0</v>
      </c>
      <c r="AM239" s="1248">
        <f t="shared" si="314"/>
        <v>0</v>
      </c>
      <c r="AN239" s="2681"/>
      <c r="AO239" s="2719"/>
      <c r="AP239" s="4775"/>
      <c r="AQ239" s="4794">
        <f t="shared" si="271"/>
        <v>0</v>
      </c>
      <c r="AR239" s="4794">
        <f t="shared" si="272"/>
        <v>0</v>
      </c>
      <c r="AS239" s="4794">
        <f t="shared" si="273"/>
        <v>0</v>
      </c>
      <c r="AT239" s="4794">
        <f t="shared" si="274"/>
        <v>0</v>
      </c>
      <c r="AU239" s="4794">
        <f t="shared" si="275"/>
        <v>0</v>
      </c>
      <c r="AV239" s="4794">
        <f t="shared" si="276"/>
        <v>0</v>
      </c>
      <c r="AW239" s="4794">
        <f t="shared" si="277"/>
        <v>0</v>
      </c>
      <c r="AX239" s="4794">
        <f t="shared" si="278"/>
        <v>0</v>
      </c>
      <c r="AY239" s="4794">
        <f t="shared" si="279"/>
        <v>0</v>
      </c>
      <c r="AZ239" s="4794">
        <f t="shared" si="280"/>
        <v>0</v>
      </c>
      <c r="BA239" s="4794">
        <f t="shared" si="281"/>
        <v>0</v>
      </c>
      <c r="BB239" s="4794">
        <f t="shared" si="282"/>
        <v>0</v>
      </c>
      <c r="BC239" s="4794">
        <f t="shared" si="283"/>
        <v>0</v>
      </c>
      <c r="BD239" s="4794">
        <f t="shared" si="284"/>
        <v>0</v>
      </c>
      <c r="BE239" s="4794">
        <f t="shared" si="285"/>
        <v>0</v>
      </c>
      <c r="BF239" s="4794">
        <f t="shared" si="286"/>
        <v>0</v>
      </c>
      <c r="BG239" s="4794">
        <f t="shared" si="287"/>
        <v>0</v>
      </c>
      <c r="BH239" s="4794">
        <f t="shared" si="288"/>
        <v>0</v>
      </c>
      <c r="BI239" s="4794">
        <f t="shared" si="289"/>
        <v>0</v>
      </c>
      <c r="BJ239" s="4794">
        <f t="shared" si="290"/>
        <v>0</v>
      </c>
      <c r="BK239" s="4794">
        <f t="shared" si="291"/>
        <v>0</v>
      </c>
      <c r="BL239" s="4794">
        <f t="shared" si="292"/>
        <v>0</v>
      </c>
      <c r="BM239" s="4794">
        <f t="shared" si="293"/>
        <v>0</v>
      </c>
      <c r="BN239" s="4794">
        <f t="shared" si="294"/>
        <v>0</v>
      </c>
      <c r="BO239" s="4794">
        <f t="shared" si="295"/>
        <v>0</v>
      </c>
      <c r="BP239" s="4794">
        <f t="shared" si="296"/>
        <v>0</v>
      </c>
      <c r="BQ239" s="4794">
        <f t="shared" si="297"/>
        <v>0</v>
      </c>
      <c r="BR239" s="4794">
        <f t="shared" si="298"/>
        <v>0</v>
      </c>
      <c r="BS239" s="4794">
        <f t="shared" si="299"/>
        <v>0</v>
      </c>
      <c r="BT239" s="4794">
        <f t="shared" si="300"/>
        <v>0</v>
      </c>
      <c r="BU239" s="4794">
        <f t="shared" si="301"/>
        <v>0</v>
      </c>
      <c r="BV239" s="4794">
        <f t="shared" si="302"/>
        <v>0</v>
      </c>
      <c r="BW239" s="4794">
        <f t="shared" si="303"/>
        <v>0</v>
      </c>
      <c r="BX239" s="4794">
        <f t="shared" si="304"/>
        <v>0</v>
      </c>
      <c r="BY239" s="4794">
        <f t="shared" si="305"/>
        <v>0</v>
      </c>
    </row>
    <row r="240" spans="1:77" s="1344" customFormat="1">
      <c r="A240" s="2683">
        <v>4</v>
      </c>
      <c r="B240" s="2684">
        <v>911302</v>
      </c>
      <c r="C240" s="2685">
        <v>0.1</v>
      </c>
      <c r="D240" s="2739" t="s">
        <v>428</v>
      </c>
      <c r="E240" s="4738">
        <f>+'11.3. ДА Базова година'!H179</f>
        <v>0</v>
      </c>
      <c r="F240" s="1247">
        <f t="shared" si="310"/>
        <v>0</v>
      </c>
      <c r="G240" s="1243">
        <f t="shared" si="310"/>
        <v>0</v>
      </c>
      <c r="H240" s="1243">
        <f t="shared" si="310"/>
        <v>0</v>
      </c>
      <c r="I240" s="1243">
        <f t="shared" si="310"/>
        <v>0</v>
      </c>
      <c r="J240" s="1243">
        <f t="shared" si="310"/>
        <v>0</v>
      </c>
      <c r="K240" s="1248">
        <f t="shared" si="310"/>
        <v>0</v>
      </c>
      <c r="L240" s="4738">
        <f>+'11.3. ДА Базова година'!L179</f>
        <v>0</v>
      </c>
      <c r="M240" s="1247">
        <f t="shared" si="311"/>
        <v>0</v>
      </c>
      <c r="N240" s="1243">
        <f t="shared" si="311"/>
        <v>0</v>
      </c>
      <c r="O240" s="1243">
        <f t="shared" si="311"/>
        <v>0</v>
      </c>
      <c r="P240" s="1243">
        <f t="shared" si="311"/>
        <v>0</v>
      </c>
      <c r="Q240" s="1243">
        <f t="shared" si="311"/>
        <v>0</v>
      </c>
      <c r="R240" s="1248">
        <f t="shared" si="311"/>
        <v>0</v>
      </c>
      <c r="S240" s="4738">
        <f>+'11.3. ДА Базова година'!P179</f>
        <v>0</v>
      </c>
      <c r="T240" s="1247">
        <f t="shared" si="312"/>
        <v>0</v>
      </c>
      <c r="U240" s="1243">
        <f t="shared" si="312"/>
        <v>0</v>
      </c>
      <c r="V240" s="1243">
        <f t="shared" si="312"/>
        <v>0</v>
      </c>
      <c r="W240" s="1243">
        <f t="shared" si="312"/>
        <v>0</v>
      </c>
      <c r="X240" s="1243">
        <f t="shared" si="312"/>
        <v>0</v>
      </c>
      <c r="Y240" s="1248">
        <f t="shared" si="312"/>
        <v>0</v>
      </c>
      <c r="Z240" s="4738">
        <f>+'11.3. ДА Базова година'!T179</f>
        <v>0</v>
      </c>
      <c r="AA240" s="1247">
        <f t="shared" si="313"/>
        <v>0</v>
      </c>
      <c r="AB240" s="1243">
        <f t="shared" si="313"/>
        <v>0</v>
      </c>
      <c r="AC240" s="1243">
        <f t="shared" si="313"/>
        <v>0</v>
      </c>
      <c r="AD240" s="1243">
        <f t="shared" si="313"/>
        <v>0</v>
      </c>
      <c r="AE240" s="1243">
        <f t="shared" si="313"/>
        <v>0</v>
      </c>
      <c r="AF240" s="1248">
        <f t="shared" si="313"/>
        <v>0</v>
      </c>
      <c r="AG240" s="4738">
        <f>+'11.3. ДА Базова година'!X179</f>
        <v>0</v>
      </c>
      <c r="AH240" s="1247">
        <f t="shared" si="314"/>
        <v>0</v>
      </c>
      <c r="AI240" s="1243">
        <f t="shared" si="314"/>
        <v>0</v>
      </c>
      <c r="AJ240" s="1243">
        <f t="shared" si="314"/>
        <v>0</v>
      </c>
      <c r="AK240" s="1243">
        <f t="shared" si="314"/>
        <v>0</v>
      </c>
      <c r="AL240" s="1243">
        <f t="shared" si="314"/>
        <v>0</v>
      </c>
      <c r="AM240" s="1248">
        <f t="shared" si="314"/>
        <v>0</v>
      </c>
      <c r="AN240" s="2681"/>
      <c r="AO240" s="2719"/>
      <c r="AP240" s="4775"/>
      <c r="AQ240" s="4794">
        <f t="shared" si="271"/>
        <v>0</v>
      </c>
      <c r="AR240" s="4794">
        <f t="shared" si="272"/>
        <v>0</v>
      </c>
      <c r="AS240" s="4794">
        <f t="shared" si="273"/>
        <v>0</v>
      </c>
      <c r="AT240" s="4794">
        <f t="shared" si="274"/>
        <v>0</v>
      </c>
      <c r="AU240" s="4794">
        <f t="shared" si="275"/>
        <v>0</v>
      </c>
      <c r="AV240" s="4794">
        <f t="shared" si="276"/>
        <v>0</v>
      </c>
      <c r="AW240" s="4794">
        <f t="shared" si="277"/>
        <v>0</v>
      </c>
      <c r="AX240" s="4794">
        <f t="shared" si="278"/>
        <v>0</v>
      </c>
      <c r="AY240" s="4794">
        <f t="shared" si="279"/>
        <v>0</v>
      </c>
      <c r="AZ240" s="4794">
        <f t="shared" si="280"/>
        <v>0</v>
      </c>
      <c r="BA240" s="4794">
        <f t="shared" si="281"/>
        <v>0</v>
      </c>
      <c r="BB240" s="4794">
        <f t="shared" si="282"/>
        <v>0</v>
      </c>
      <c r="BC240" s="4794">
        <f t="shared" si="283"/>
        <v>0</v>
      </c>
      <c r="BD240" s="4794">
        <f t="shared" si="284"/>
        <v>0</v>
      </c>
      <c r="BE240" s="4794">
        <f t="shared" si="285"/>
        <v>0</v>
      </c>
      <c r="BF240" s="4794">
        <f t="shared" si="286"/>
        <v>0</v>
      </c>
      <c r="BG240" s="4794">
        <f t="shared" si="287"/>
        <v>0</v>
      </c>
      <c r="BH240" s="4794">
        <f t="shared" si="288"/>
        <v>0</v>
      </c>
      <c r="BI240" s="4794">
        <f t="shared" si="289"/>
        <v>0</v>
      </c>
      <c r="BJ240" s="4794">
        <f t="shared" si="290"/>
        <v>0</v>
      </c>
      <c r="BK240" s="4794">
        <f t="shared" si="291"/>
        <v>0</v>
      </c>
      <c r="BL240" s="4794">
        <f t="shared" si="292"/>
        <v>0</v>
      </c>
      <c r="BM240" s="4794">
        <f t="shared" si="293"/>
        <v>0</v>
      </c>
      <c r="BN240" s="4794">
        <f t="shared" si="294"/>
        <v>0</v>
      </c>
      <c r="BO240" s="4794">
        <f t="shared" si="295"/>
        <v>0</v>
      </c>
      <c r="BP240" s="4794">
        <f t="shared" si="296"/>
        <v>0</v>
      </c>
      <c r="BQ240" s="4794">
        <f t="shared" si="297"/>
        <v>0</v>
      </c>
      <c r="BR240" s="4794">
        <f t="shared" si="298"/>
        <v>0</v>
      </c>
      <c r="BS240" s="4794">
        <f t="shared" si="299"/>
        <v>0</v>
      </c>
      <c r="BT240" s="4794">
        <f t="shared" si="300"/>
        <v>0</v>
      </c>
      <c r="BU240" s="4794">
        <f t="shared" si="301"/>
        <v>0</v>
      </c>
      <c r="BV240" s="4794">
        <f t="shared" si="302"/>
        <v>0</v>
      </c>
      <c r="BW240" s="4794">
        <f t="shared" si="303"/>
        <v>0</v>
      </c>
      <c r="BX240" s="4794">
        <f t="shared" si="304"/>
        <v>0</v>
      </c>
      <c r="BY240" s="4794">
        <f t="shared" si="305"/>
        <v>0</v>
      </c>
    </row>
    <row r="241" spans="1:77" s="1344" customFormat="1">
      <c r="A241" s="2683">
        <v>5</v>
      </c>
      <c r="B241" s="2684" t="s">
        <v>714</v>
      </c>
      <c r="C241" s="2685">
        <v>0.1</v>
      </c>
      <c r="D241" s="2720" t="s">
        <v>407</v>
      </c>
      <c r="E241" s="4738">
        <f>+'11.3. ДА Базова година'!H180</f>
        <v>20</v>
      </c>
      <c r="F241" s="1247">
        <f t="shared" si="310"/>
        <v>21</v>
      </c>
      <c r="G241" s="1243">
        <f t="shared" si="310"/>
        <v>22</v>
      </c>
      <c r="H241" s="1243">
        <f t="shared" si="310"/>
        <v>23</v>
      </c>
      <c r="I241" s="1243">
        <f t="shared" si="310"/>
        <v>24</v>
      </c>
      <c r="J241" s="1243">
        <f t="shared" si="310"/>
        <v>25</v>
      </c>
      <c r="K241" s="1248">
        <f t="shared" si="310"/>
        <v>26</v>
      </c>
      <c r="L241" s="4738">
        <f>+'11.3. ДА Базова година'!L180</f>
        <v>0</v>
      </c>
      <c r="M241" s="1247">
        <f t="shared" si="311"/>
        <v>0</v>
      </c>
      <c r="N241" s="1243">
        <f t="shared" si="311"/>
        <v>0</v>
      </c>
      <c r="O241" s="1243">
        <f t="shared" si="311"/>
        <v>0</v>
      </c>
      <c r="P241" s="1243">
        <f t="shared" si="311"/>
        <v>0</v>
      </c>
      <c r="Q241" s="1243">
        <f t="shared" si="311"/>
        <v>0</v>
      </c>
      <c r="R241" s="1248">
        <f t="shared" si="311"/>
        <v>0</v>
      </c>
      <c r="S241" s="4738">
        <f>+'11.3. ДА Базова година'!P180</f>
        <v>0</v>
      </c>
      <c r="T241" s="1247">
        <f t="shared" si="312"/>
        <v>0</v>
      </c>
      <c r="U241" s="1243">
        <f t="shared" si="312"/>
        <v>0</v>
      </c>
      <c r="V241" s="1243">
        <f t="shared" si="312"/>
        <v>0</v>
      </c>
      <c r="W241" s="1243">
        <f t="shared" si="312"/>
        <v>0</v>
      </c>
      <c r="X241" s="1243">
        <f t="shared" si="312"/>
        <v>0</v>
      </c>
      <c r="Y241" s="1248">
        <f t="shared" si="312"/>
        <v>0</v>
      </c>
      <c r="Z241" s="4738">
        <f>+'11.3. ДА Базова година'!T180</f>
        <v>0</v>
      </c>
      <c r="AA241" s="1247">
        <f t="shared" si="313"/>
        <v>0</v>
      </c>
      <c r="AB241" s="1243">
        <f t="shared" si="313"/>
        <v>0</v>
      </c>
      <c r="AC241" s="1243">
        <f t="shared" si="313"/>
        <v>0</v>
      </c>
      <c r="AD241" s="1243">
        <f t="shared" si="313"/>
        <v>0</v>
      </c>
      <c r="AE241" s="1243">
        <f t="shared" si="313"/>
        <v>0</v>
      </c>
      <c r="AF241" s="1248">
        <f t="shared" si="313"/>
        <v>0</v>
      </c>
      <c r="AG241" s="4738">
        <f>+'11.3. ДА Базова година'!X180</f>
        <v>0</v>
      </c>
      <c r="AH241" s="1247">
        <f t="shared" si="314"/>
        <v>0</v>
      </c>
      <c r="AI241" s="1243">
        <f t="shared" si="314"/>
        <v>0</v>
      </c>
      <c r="AJ241" s="1243">
        <f t="shared" si="314"/>
        <v>0</v>
      </c>
      <c r="AK241" s="1243">
        <f t="shared" si="314"/>
        <v>0</v>
      </c>
      <c r="AL241" s="1243">
        <f t="shared" si="314"/>
        <v>0</v>
      </c>
      <c r="AM241" s="1248">
        <f t="shared" si="314"/>
        <v>0</v>
      </c>
      <c r="AN241" s="2681"/>
      <c r="AO241" s="2719"/>
      <c r="AP241" s="4775"/>
      <c r="AQ241" s="4794">
        <f t="shared" si="271"/>
        <v>10.22583762392437</v>
      </c>
      <c r="AR241" s="4794">
        <f t="shared" si="272"/>
        <v>10.737129505120588</v>
      </c>
      <c r="AS241" s="4794">
        <f t="shared" si="273"/>
        <v>11.248421386316807</v>
      </c>
      <c r="AT241" s="4794">
        <f t="shared" si="274"/>
        <v>11.759713267513025</v>
      </c>
      <c r="AU241" s="4794">
        <f t="shared" si="275"/>
        <v>12.271005148709245</v>
      </c>
      <c r="AV241" s="4794">
        <f t="shared" si="276"/>
        <v>12.782297029905463</v>
      </c>
      <c r="AW241" s="4794">
        <f t="shared" si="277"/>
        <v>13.293588911101681</v>
      </c>
      <c r="AX241" s="4794">
        <f t="shared" si="278"/>
        <v>0</v>
      </c>
      <c r="AY241" s="4794">
        <f t="shared" si="279"/>
        <v>0</v>
      </c>
      <c r="AZ241" s="4794">
        <f t="shared" si="280"/>
        <v>0</v>
      </c>
      <c r="BA241" s="4794">
        <f t="shared" si="281"/>
        <v>0</v>
      </c>
      <c r="BB241" s="4794">
        <f t="shared" si="282"/>
        <v>0</v>
      </c>
      <c r="BC241" s="4794">
        <f t="shared" si="283"/>
        <v>0</v>
      </c>
      <c r="BD241" s="4794">
        <f t="shared" si="284"/>
        <v>0</v>
      </c>
      <c r="BE241" s="4794">
        <f t="shared" si="285"/>
        <v>0</v>
      </c>
      <c r="BF241" s="4794">
        <f t="shared" si="286"/>
        <v>0</v>
      </c>
      <c r="BG241" s="4794">
        <f t="shared" si="287"/>
        <v>0</v>
      </c>
      <c r="BH241" s="4794">
        <f t="shared" si="288"/>
        <v>0</v>
      </c>
      <c r="BI241" s="4794">
        <f t="shared" si="289"/>
        <v>0</v>
      </c>
      <c r="BJ241" s="4794">
        <f t="shared" si="290"/>
        <v>0</v>
      </c>
      <c r="BK241" s="4794">
        <f t="shared" si="291"/>
        <v>0</v>
      </c>
      <c r="BL241" s="4794">
        <f t="shared" si="292"/>
        <v>0</v>
      </c>
      <c r="BM241" s="4794">
        <f t="shared" si="293"/>
        <v>0</v>
      </c>
      <c r="BN241" s="4794">
        <f t="shared" si="294"/>
        <v>0</v>
      </c>
      <c r="BO241" s="4794">
        <f t="shared" si="295"/>
        <v>0</v>
      </c>
      <c r="BP241" s="4794">
        <f t="shared" si="296"/>
        <v>0</v>
      </c>
      <c r="BQ241" s="4794">
        <f t="shared" si="297"/>
        <v>0</v>
      </c>
      <c r="BR241" s="4794">
        <f t="shared" si="298"/>
        <v>0</v>
      </c>
      <c r="BS241" s="4794">
        <f t="shared" si="299"/>
        <v>0</v>
      </c>
      <c r="BT241" s="4794">
        <f t="shared" si="300"/>
        <v>0</v>
      </c>
      <c r="BU241" s="4794">
        <f t="shared" si="301"/>
        <v>0</v>
      </c>
      <c r="BV241" s="4794">
        <f t="shared" si="302"/>
        <v>0</v>
      </c>
      <c r="BW241" s="4794">
        <f t="shared" si="303"/>
        <v>0</v>
      </c>
      <c r="BX241" s="4794">
        <f t="shared" si="304"/>
        <v>0</v>
      </c>
      <c r="BY241" s="4794">
        <f t="shared" si="305"/>
        <v>0</v>
      </c>
    </row>
    <row r="242" spans="1:77" s="1344" customFormat="1">
      <c r="A242" s="2683">
        <v>6</v>
      </c>
      <c r="B242" s="2684" t="s">
        <v>715</v>
      </c>
      <c r="C242" s="2685">
        <v>0.1</v>
      </c>
      <c r="D242" s="2720" t="s">
        <v>1001</v>
      </c>
      <c r="E242" s="4738">
        <f>+'11.3. ДА Базова година'!H181</f>
        <v>61</v>
      </c>
      <c r="F242" s="1247">
        <f t="shared" si="310"/>
        <v>66</v>
      </c>
      <c r="G242" s="1243">
        <f t="shared" si="310"/>
        <v>71</v>
      </c>
      <c r="H242" s="1243">
        <f t="shared" si="310"/>
        <v>76</v>
      </c>
      <c r="I242" s="1243">
        <f t="shared" si="310"/>
        <v>81</v>
      </c>
      <c r="J242" s="1243">
        <f t="shared" si="310"/>
        <v>86</v>
      </c>
      <c r="K242" s="1248">
        <f t="shared" si="310"/>
        <v>91</v>
      </c>
      <c r="L242" s="4738">
        <f>+'11.3. ДА Базова година'!L181</f>
        <v>0</v>
      </c>
      <c r="M242" s="1247">
        <f t="shared" si="311"/>
        <v>0</v>
      </c>
      <c r="N242" s="1243">
        <f t="shared" si="311"/>
        <v>0</v>
      </c>
      <c r="O242" s="1243">
        <f t="shared" si="311"/>
        <v>0</v>
      </c>
      <c r="P242" s="1243">
        <f t="shared" si="311"/>
        <v>0</v>
      </c>
      <c r="Q242" s="1243">
        <f t="shared" si="311"/>
        <v>0</v>
      </c>
      <c r="R242" s="1248">
        <f t="shared" si="311"/>
        <v>0</v>
      </c>
      <c r="S242" s="4738">
        <f>+'11.3. ДА Базова година'!P181</f>
        <v>0</v>
      </c>
      <c r="T242" s="1247">
        <f t="shared" si="312"/>
        <v>0</v>
      </c>
      <c r="U242" s="1243">
        <f t="shared" si="312"/>
        <v>0</v>
      </c>
      <c r="V242" s="1243">
        <f t="shared" si="312"/>
        <v>0</v>
      </c>
      <c r="W242" s="1243">
        <f t="shared" si="312"/>
        <v>0</v>
      </c>
      <c r="X242" s="1243">
        <f t="shared" si="312"/>
        <v>0</v>
      </c>
      <c r="Y242" s="1248">
        <f t="shared" si="312"/>
        <v>0</v>
      </c>
      <c r="Z242" s="4738">
        <f>+'11.3. ДА Базова година'!T181</f>
        <v>0</v>
      </c>
      <c r="AA242" s="1247">
        <f t="shared" si="313"/>
        <v>0</v>
      </c>
      <c r="AB242" s="1243">
        <f t="shared" si="313"/>
        <v>0</v>
      </c>
      <c r="AC242" s="1243">
        <f t="shared" si="313"/>
        <v>0</v>
      </c>
      <c r="AD242" s="1243">
        <f t="shared" si="313"/>
        <v>0</v>
      </c>
      <c r="AE242" s="1243">
        <f t="shared" si="313"/>
        <v>0</v>
      </c>
      <c r="AF242" s="1248">
        <f t="shared" si="313"/>
        <v>0</v>
      </c>
      <c r="AG242" s="4738">
        <f>+'11.3. ДА Базова година'!X181</f>
        <v>0</v>
      </c>
      <c r="AH242" s="1247">
        <f t="shared" si="314"/>
        <v>0</v>
      </c>
      <c r="AI242" s="1243">
        <f t="shared" si="314"/>
        <v>0</v>
      </c>
      <c r="AJ242" s="1243">
        <f t="shared" si="314"/>
        <v>0</v>
      </c>
      <c r="AK242" s="1243">
        <f t="shared" si="314"/>
        <v>0</v>
      </c>
      <c r="AL242" s="1243">
        <f t="shared" si="314"/>
        <v>0</v>
      </c>
      <c r="AM242" s="1248">
        <f t="shared" si="314"/>
        <v>0</v>
      </c>
      <c r="AN242" s="2681"/>
      <c r="AO242" s="2719"/>
      <c r="AP242" s="4775"/>
      <c r="AQ242" s="4794">
        <f t="shared" si="271"/>
        <v>31.188804752969329</v>
      </c>
      <c r="AR242" s="4794">
        <f t="shared" si="272"/>
        <v>33.74526415895042</v>
      </c>
      <c r="AS242" s="4794">
        <f t="shared" si="273"/>
        <v>36.301723564931514</v>
      </c>
      <c r="AT242" s="4794">
        <f t="shared" si="274"/>
        <v>38.858182970912608</v>
      </c>
      <c r="AU242" s="4794">
        <f t="shared" si="275"/>
        <v>41.414642376893696</v>
      </c>
      <c r="AV242" s="4794">
        <f t="shared" si="276"/>
        <v>43.97110178287479</v>
      </c>
      <c r="AW242" s="4794">
        <f t="shared" si="277"/>
        <v>46.527561188855884</v>
      </c>
      <c r="AX242" s="4794">
        <f t="shared" si="278"/>
        <v>0</v>
      </c>
      <c r="AY242" s="4794">
        <f t="shared" si="279"/>
        <v>0</v>
      </c>
      <c r="AZ242" s="4794">
        <f t="shared" si="280"/>
        <v>0</v>
      </c>
      <c r="BA242" s="4794">
        <f t="shared" si="281"/>
        <v>0</v>
      </c>
      <c r="BB242" s="4794">
        <f t="shared" si="282"/>
        <v>0</v>
      </c>
      <c r="BC242" s="4794">
        <f t="shared" si="283"/>
        <v>0</v>
      </c>
      <c r="BD242" s="4794">
        <f t="shared" si="284"/>
        <v>0</v>
      </c>
      <c r="BE242" s="4794">
        <f t="shared" si="285"/>
        <v>0</v>
      </c>
      <c r="BF242" s="4794">
        <f t="shared" si="286"/>
        <v>0</v>
      </c>
      <c r="BG242" s="4794">
        <f t="shared" si="287"/>
        <v>0</v>
      </c>
      <c r="BH242" s="4794">
        <f t="shared" si="288"/>
        <v>0</v>
      </c>
      <c r="BI242" s="4794">
        <f t="shared" si="289"/>
        <v>0</v>
      </c>
      <c r="BJ242" s="4794">
        <f t="shared" si="290"/>
        <v>0</v>
      </c>
      <c r="BK242" s="4794">
        <f t="shared" si="291"/>
        <v>0</v>
      </c>
      <c r="BL242" s="4794">
        <f t="shared" si="292"/>
        <v>0</v>
      </c>
      <c r="BM242" s="4794">
        <f t="shared" si="293"/>
        <v>0</v>
      </c>
      <c r="BN242" s="4794">
        <f t="shared" si="294"/>
        <v>0</v>
      </c>
      <c r="BO242" s="4794">
        <f t="shared" si="295"/>
        <v>0</v>
      </c>
      <c r="BP242" s="4794">
        <f t="shared" si="296"/>
        <v>0</v>
      </c>
      <c r="BQ242" s="4794">
        <f t="shared" si="297"/>
        <v>0</v>
      </c>
      <c r="BR242" s="4794">
        <f t="shared" si="298"/>
        <v>0</v>
      </c>
      <c r="BS242" s="4794">
        <f t="shared" si="299"/>
        <v>0</v>
      </c>
      <c r="BT242" s="4794">
        <f t="shared" si="300"/>
        <v>0</v>
      </c>
      <c r="BU242" s="4794">
        <f t="shared" si="301"/>
        <v>0</v>
      </c>
      <c r="BV242" s="4794">
        <f t="shared" si="302"/>
        <v>0</v>
      </c>
      <c r="BW242" s="4794">
        <f t="shared" si="303"/>
        <v>0</v>
      </c>
      <c r="BX242" s="4794">
        <f t="shared" si="304"/>
        <v>0</v>
      </c>
      <c r="BY242" s="4794">
        <f t="shared" si="305"/>
        <v>0</v>
      </c>
    </row>
    <row r="243" spans="1:77" s="1344" customFormat="1" ht="24">
      <c r="A243" s="2683">
        <v>7</v>
      </c>
      <c r="B243" s="2684" t="s">
        <v>706</v>
      </c>
      <c r="C243" s="2685">
        <v>0.1</v>
      </c>
      <c r="D243" s="2720" t="s">
        <v>695</v>
      </c>
      <c r="E243" s="4738">
        <f>+'11.3. ДА Базова година'!H182</f>
        <v>67</v>
      </c>
      <c r="F243" s="1247">
        <f t="shared" si="310"/>
        <v>74</v>
      </c>
      <c r="G243" s="1243">
        <f t="shared" si="310"/>
        <v>81</v>
      </c>
      <c r="H243" s="1243">
        <f t="shared" si="310"/>
        <v>88</v>
      </c>
      <c r="I243" s="1243">
        <f t="shared" si="310"/>
        <v>95</v>
      </c>
      <c r="J243" s="1243">
        <f t="shared" si="310"/>
        <v>102</v>
      </c>
      <c r="K243" s="1248">
        <f t="shared" si="310"/>
        <v>109</v>
      </c>
      <c r="L243" s="4738">
        <f>+'11.3. ДА Базова година'!L182</f>
        <v>0</v>
      </c>
      <c r="M243" s="1247">
        <f t="shared" si="311"/>
        <v>0</v>
      </c>
      <c r="N243" s="1243">
        <f t="shared" si="311"/>
        <v>0</v>
      </c>
      <c r="O243" s="1243">
        <f t="shared" si="311"/>
        <v>0</v>
      </c>
      <c r="P243" s="1243">
        <f t="shared" si="311"/>
        <v>0</v>
      </c>
      <c r="Q243" s="1243">
        <f t="shared" si="311"/>
        <v>0</v>
      </c>
      <c r="R243" s="1248">
        <f t="shared" si="311"/>
        <v>0</v>
      </c>
      <c r="S243" s="4738">
        <f>+'11.3. ДА Базова година'!P182</f>
        <v>0</v>
      </c>
      <c r="T243" s="1247">
        <f t="shared" si="312"/>
        <v>0</v>
      </c>
      <c r="U243" s="1243">
        <f t="shared" si="312"/>
        <v>0</v>
      </c>
      <c r="V243" s="1243">
        <f t="shared" si="312"/>
        <v>0</v>
      </c>
      <c r="W243" s="1243">
        <f t="shared" si="312"/>
        <v>0</v>
      </c>
      <c r="X243" s="1243">
        <f t="shared" si="312"/>
        <v>0</v>
      </c>
      <c r="Y243" s="1248">
        <f t="shared" si="312"/>
        <v>0</v>
      </c>
      <c r="Z243" s="4738">
        <f>+'11.3. ДА Базова година'!T182</f>
        <v>0</v>
      </c>
      <c r="AA243" s="1247">
        <f t="shared" si="313"/>
        <v>0</v>
      </c>
      <c r="AB243" s="1243">
        <f t="shared" si="313"/>
        <v>0</v>
      </c>
      <c r="AC243" s="1243">
        <f t="shared" si="313"/>
        <v>0</v>
      </c>
      <c r="AD243" s="1243">
        <f t="shared" si="313"/>
        <v>0</v>
      </c>
      <c r="AE243" s="1243">
        <f t="shared" si="313"/>
        <v>0</v>
      </c>
      <c r="AF243" s="1248">
        <f t="shared" si="313"/>
        <v>0</v>
      </c>
      <c r="AG243" s="4738">
        <f>+'11.3. ДА Базова година'!X182</f>
        <v>0</v>
      </c>
      <c r="AH243" s="1247">
        <f t="shared" si="314"/>
        <v>0</v>
      </c>
      <c r="AI243" s="1243">
        <f t="shared" si="314"/>
        <v>0</v>
      </c>
      <c r="AJ243" s="1243">
        <f t="shared" si="314"/>
        <v>0</v>
      </c>
      <c r="AK243" s="1243">
        <f t="shared" si="314"/>
        <v>0</v>
      </c>
      <c r="AL243" s="1243">
        <f t="shared" si="314"/>
        <v>0</v>
      </c>
      <c r="AM243" s="1248">
        <f t="shared" si="314"/>
        <v>0</v>
      </c>
      <c r="AN243" s="2681"/>
      <c r="AO243" s="2719"/>
      <c r="AP243" s="4775"/>
      <c r="AQ243" s="4794">
        <f t="shared" si="271"/>
        <v>34.256556040146641</v>
      </c>
      <c r="AR243" s="4794">
        <f t="shared" si="272"/>
        <v>37.835599208520172</v>
      </c>
      <c r="AS243" s="4794">
        <f t="shared" si="273"/>
        <v>41.414642376893696</v>
      </c>
      <c r="AT243" s="4794">
        <f t="shared" si="274"/>
        <v>44.993685545267226</v>
      </c>
      <c r="AU243" s="4794">
        <f t="shared" si="275"/>
        <v>48.572728713640757</v>
      </c>
      <c r="AV243" s="4794">
        <f t="shared" si="276"/>
        <v>52.151771882014287</v>
      </c>
      <c r="AW243" s="4794">
        <f t="shared" si="277"/>
        <v>55.730815050387818</v>
      </c>
      <c r="AX243" s="4794">
        <f t="shared" si="278"/>
        <v>0</v>
      </c>
      <c r="AY243" s="4794">
        <f t="shared" si="279"/>
        <v>0</v>
      </c>
      <c r="AZ243" s="4794">
        <f t="shared" si="280"/>
        <v>0</v>
      </c>
      <c r="BA243" s="4794">
        <f t="shared" si="281"/>
        <v>0</v>
      </c>
      <c r="BB243" s="4794">
        <f t="shared" si="282"/>
        <v>0</v>
      </c>
      <c r="BC243" s="4794">
        <f t="shared" si="283"/>
        <v>0</v>
      </c>
      <c r="BD243" s="4794">
        <f t="shared" si="284"/>
        <v>0</v>
      </c>
      <c r="BE243" s="4794">
        <f t="shared" si="285"/>
        <v>0</v>
      </c>
      <c r="BF243" s="4794">
        <f t="shared" si="286"/>
        <v>0</v>
      </c>
      <c r="BG243" s="4794">
        <f t="shared" si="287"/>
        <v>0</v>
      </c>
      <c r="BH243" s="4794">
        <f t="shared" si="288"/>
        <v>0</v>
      </c>
      <c r="BI243" s="4794">
        <f t="shared" si="289"/>
        <v>0</v>
      </c>
      <c r="BJ243" s="4794">
        <f t="shared" si="290"/>
        <v>0</v>
      </c>
      <c r="BK243" s="4794">
        <f t="shared" si="291"/>
        <v>0</v>
      </c>
      <c r="BL243" s="4794">
        <f t="shared" si="292"/>
        <v>0</v>
      </c>
      <c r="BM243" s="4794">
        <f t="shared" si="293"/>
        <v>0</v>
      </c>
      <c r="BN243" s="4794">
        <f t="shared" si="294"/>
        <v>0</v>
      </c>
      <c r="BO243" s="4794">
        <f t="shared" si="295"/>
        <v>0</v>
      </c>
      <c r="BP243" s="4794">
        <f t="shared" si="296"/>
        <v>0</v>
      </c>
      <c r="BQ243" s="4794">
        <f t="shared" si="297"/>
        <v>0</v>
      </c>
      <c r="BR243" s="4794">
        <f t="shared" si="298"/>
        <v>0</v>
      </c>
      <c r="BS243" s="4794">
        <f t="shared" si="299"/>
        <v>0</v>
      </c>
      <c r="BT243" s="4794">
        <f t="shared" si="300"/>
        <v>0</v>
      </c>
      <c r="BU243" s="4794">
        <f t="shared" si="301"/>
        <v>0</v>
      </c>
      <c r="BV243" s="4794">
        <f t="shared" si="302"/>
        <v>0</v>
      </c>
      <c r="BW243" s="4794">
        <f t="shared" si="303"/>
        <v>0</v>
      </c>
      <c r="BX243" s="4794">
        <f t="shared" si="304"/>
        <v>0</v>
      </c>
      <c r="BY243" s="4794">
        <f t="shared" si="305"/>
        <v>0</v>
      </c>
    </row>
    <row r="244" spans="1:77" s="1344" customFormat="1">
      <c r="A244" s="2683">
        <v>8</v>
      </c>
      <c r="B244" s="2684" t="s">
        <v>716</v>
      </c>
      <c r="C244" s="2685">
        <v>0.1</v>
      </c>
      <c r="D244" s="2720" t="s">
        <v>713</v>
      </c>
      <c r="E244" s="4738">
        <f>+'11.3. ДА Базова година'!H183</f>
        <v>1007</v>
      </c>
      <c r="F244" s="1247">
        <f t="shared" si="310"/>
        <v>1141</v>
      </c>
      <c r="G244" s="1243">
        <f t="shared" si="310"/>
        <v>1275</v>
      </c>
      <c r="H244" s="1243">
        <f t="shared" si="310"/>
        <v>1409</v>
      </c>
      <c r="I244" s="1243">
        <f t="shared" si="310"/>
        <v>1543</v>
      </c>
      <c r="J244" s="1243">
        <f t="shared" si="310"/>
        <v>1677</v>
      </c>
      <c r="K244" s="1248">
        <f t="shared" si="310"/>
        <v>1811</v>
      </c>
      <c r="L244" s="4738">
        <f>+'11.3. ДА Базова година'!L183</f>
        <v>0</v>
      </c>
      <c r="M244" s="1247">
        <f t="shared" si="311"/>
        <v>0</v>
      </c>
      <c r="N244" s="1243">
        <f t="shared" si="311"/>
        <v>0</v>
      </c>
      <c r="O244" s="1243">
        <f t="shared" si="311"/>
        <v>0</v>
      </c>
      <c r="P244" s="1243">
        <f t="shared" si="311"/>
        <v>0</v>
      </c>
      <c r="Q244" s="1243">
        <f t="shared" si="311"/>
        <v>0</v>
      </c>
      <c r="R244" s="1248">
        <f t="shared" si="311"/>
        <v>0</v>
      </c>
      <c r="S244" s="4738">
        <f>+'11.3. ДА Базова година'!P183</f>
        <v>0</v>
      </c>
      <c r="T244" s="1247">
        <f t="shared" si="312"/>
        <v>0</v>
      </c>
      <c r="U244" s="1243">
        <f t="shared" si="312"/>
        <v>0</v>
      </c>
      <c r="V244" s="1243">
        <f t="shared" si="312"/>
        <v>0</v>
      </c>
      <c r="W244" s="1243">
        <f t="shared" si="312"/>
        <v>0</v>
      </c>
      <c r="X244" s="1243">
        <f t="shared" si="312"/>
        <v>0</v>
      </c>
      <c r="Y244" s="1248">
        <f t="shared" si="312"/>
        <v>0</v>
      </c>
      <c r="Z244" s="4738">
        <f>+'11.3. ДА Базова година'!T183</f>
        <v>0</v>
      </c>
      <c r="AA244" s="1247">
        <f t="shared" si="313"/>
        <v>0</v>
      </c>
      <c r="AB244" s="1243">
        <f t="shared" si="313"/>
        <v>0</v>
      </c>
      <c r="AC244" s="1243">
        <f t="shared" si="313"/>
        <v>0</v>
      </c>
      <c r="AD244" s="1243">
        <f t="shared" si="313"/>
        <v>0</v>
      </c>
      <c r="AE244" s="1243">
        <f t="shared" si="313"/>
        <v>0</v>
      </c>
      <c r="AF244" s="1248">
        <f t="shared" si="313"/>
        <v>0</v>
      </c>
      <c r="AG244" s="4738">
        <f>+'11.3. ДА Базова година'!X183</f>
        <v>0</v>
      </c>
      <c r="AH244" s="1247">
        <f t="shared" si="314"/>
        <v>0</v>
      </c>
      <c r="AI244" s="1243">
        <f t="shared" si="314"/>
        <v>0</v>
      </c>
      <c r="AJ244" s="1243">
        <f t="shared" si="314"/>
        <v>0</v>
      </c>
      <c r="AK244" s="1243">
        <f t="shared" si="314"/>
        <v>0</v>
      </c>
      <c r="AL244" s="1243">
        <f t="shared" si="314"/>
        <v>0</v>
      </c>
      <c r="AM244" s="1248">
        <f t="shared" si="314"/>
        <v>0</v>
      </c>
      <c r="AN244" s="2681"/>
      <c r="AO244" s="2719"/>
      <c r="AP244" s="4775"/>
      <c r="AQ244" s="4794">
        <f t="shared" si="271"/>
        <v>514.87092436459204</v>
      </c>
      <c r="AR244" s="4794">
        <f t="shared" si="272"/>
        <v>583.38403644488528</v>
      </c>
      <c r="AS244" s="4794">
        <f t="shared" si="273"/>
        <v>651.89714852517864</v>
      </c>
      <c r="AT244" s="4794">
        <f t="shared" si="274"/>
        <v>720.41026060547188</v>
      </c>
      <c r="AU244" s="4794">
        <f t="shared" si="275"/>
        <v>788.92337268576512</v>
      </c>
      <c r="AV244" s="4794">
        <f t="shared" si="276"/>
        <v>857.43648476605847</v>
      </c>
      <c r="AW244" s="4794">
        <f t="shared" si="277"/>
        <v>925.94959684635171</v>
      </c>
      <c r="AX244" s="4794">
        <f t="shared" si="278"/>
        <v>0</v>
      </c>
      <c r="AY244" s="4794">
        <f t="shared" si="279"/>
        <v>0</v>
      </c>
      <c r="AZ244" s="4794">
        <f t="shared" si="280"/>
        <v>0</v>
      </c>
      <c r="BA244" s="4794">
        <f t="shared" si="281"/>
        <v>0</v>
      </c>
      <c r="BB244" s="4794">
        <f t="shared" si="282"/>
        <v>0</v>
      </c>
      <c r="BC244" s="4794">
        <f t="shared" si="283"/>
        <v>0</v>
      </c>
      <c r="BD244" s="4794">
        <f t="shared" si="284"/>
        <v>0</v>
      </c>
      <c r="BE244" s="4794">
        <f t="shared" si="285"/>
        <v>0</v>
      </c>
      <c r="BF244" s="4794">
        <f t="shared" si="286"/>
        <v>0</v>
      </c>
      <c r="BG244" s="4794">
        <f t="shared" si="287"/>
        <v>0</v>
      </c>
      <c r="BH244" s="4794">
        <f t="shared" si="288"/>
        <v>0</v>
      </c>
      <c r="BI244" s="4794">
        <f t="shared" si="289"/>
        <v>0</v>
      </c>
      <c r="BJ244" s="4794">
        <f t="shared" si="290"/>
        <v>0</v>
      </c>
      <c r="BK244" s="4794">
        <f t="shared" si="291"/>
        <v>0</v>
      </c>
      <c r="BL244" s="4794">
        <f t="shared" si="292"/>
        <v>0</v>
      </c>
      <c r="BM244" s="4794">
        <f t="shared" si="293"/>
        <v>0</v>
      </c>
      <c r="BN244" s="4794">
        <f t="shared" si="294"/>
        <v>0</v>
      </c>
      <c r="BO244" s="4794">
        <f t="shared" si="295"/>
        <v>0</v>
      </c>
      <c r="BP244" s="4794">
        <f t="shared" si="296"/>
        <v>0</v>
      </c>
      <c r="BQ244" s="4794">
        <f t="shared" si="297"/>
        <v>0</v>
      </c>
      <c r="BR244" s="4794">
        <f t="shared" si="298"/>
        <v>0</v>
      </c>
      <c r="BS244" s="4794">
        <f t="shared" si="299"/>
        <v>0</v>
      </c>
      <c r="BT244" s="4794">
        <f t="shared" si="300"/>
        <v>0</v>
      </c>
      <c r="BU244" s="4794">
        <f t="shared" si="301"/>
        <v>0</v>
      </c>
      <c r="BV244" s="4794">
        <f t="shared" si="302"/>
        <v>0</v>
      </c>
      <c r="BW244" s="4794">
        <f t="shared" si="303"/>
        <v>0</v>
      </c>
      <c r="BX244" s="4794">
        <f t="shared" si="304"/>
        <v>0</v>
      </c>
      <c r="BY244" s="4794">
        <f t="shared" si="305"/>
        <v>0</v>
      </c>
    </row>
    <row r="245" spans="1:77" s="1344" customFormat="1">
      <c r="A245" s="2741">
        <v>9</v>
      </c>
      <c r="B245" s="2684">
        <v>911306</v>
      </c>
      <c r="C245" s="2685">
        <v>0.1</v>
      </c>
      <c r="D245" s="2720" t="s">
        <v>1032</v>
      </c>
      <c r="E245" s="4738">
        <f>+'11.3. ДА Базова година'!H184</f>
        <v>116</v>
      </c>
      <c r="F245" s="1247">
        <f t="shared" si="310"/>
        <v>152</v>
      </c>
      <c r="G245" s="1243">
        <f t="shared" si="310"/>
        <v>188</v>
      </c>
      <c r="H245" s="1243">
        <f t="shared" si="310"/>
        <v>224</v>
      </c>
      <c r="I245" s="1243">
        <f t="shared" si="310"/>
        <v>260</v>
      </c>
      <c r="J245" s="1243">
        <f t="shared" si="310"/>
        <v>296</v>
      </c>
      <c r="K245" s="1248">
        <f t="shared" si="310"/>
        <v>332</v>
      </c>
      <c r="L245" s="4738">
        <f>+'11.3. ДА Базова година'!L184</f>
        <v>0</v>
      </c>
      <c r="M245" s="1247">
        <f t="shared" si="311"/>
        <v>0</v>
      </c>
      <c r="N245" s="1243">
        <f t="shared" si="311"/>
        <v>0</v>
      </c>
      <c r="O245" s="1243">
        <f t="shared" si="311"/>
        <v>0</v>
      </c>
      <c r="P245" s="1243">
        <f t="shared" si="311"/>
        <v>0</v>
      </c>
      <c r="Q245" s="1243">
        <f t="shared" si="311"/>
        <v>0</v>
      </c>
      <c r="R245" s="1248">
        <f t="shared" si="311"/>
        <v>0</v>
      </c>
      <c r="S245" s="4738">
        <f>+'11.3. ДА Базова година'!P184</f>
        <v>150</v>
      </c>
      <c r="T245" s="1247">
        <f t="shared" si="312"/>
        <v>151</v>
      </c>
      <c r="U245" s="1243">
        <f t="shared" si="312"/>
        <v>152</v>
      </c>
      <c r="V245" s="1243">
        <f t="shared" si="312"/>
        <v>153</v>
      </c>
      <c r="W245" s="1243">
        <f t="shared" si="312"/>
        <v>154</v>
      </c>
      <c r="X245" s="1243">
        <f t="shared" si="312"/>
        <v>155</v>
      </c>
      <c r="Y245" s="1248">
        <f t="shared" si="312"/>
        <v>156</v>
      </c>
      <c r="Z245" s="4738">
        <f>+'11.3. ДА Базова година'!T184</f>
        <v>0</v>
      </c>
      <c r="AA245" s="1247">
        <f t="shared" si="313"/>
        <v>0</v>
      </c>
      <c r="AB245" s="1243">
        <f t="shared" si="313"/>
        <v>0</v>
      </c>
      <c r="AC245" s="1243">
        <f t="shared" si="313"/>
        <v>0</v>
      </c>
      <c r="AD245" s="1243">
        <f t="shared" si="313"/>
        <v>0</v>
      </c>
      <c r="AE245" s="1243">
        <f t="shared" si="313"/>
        <v>0</v>
      </c>
      <c r="AF245" s="1248">
        <f t="shared" si="313"/>
        <v>0</v>
      </c>
      <c r="AG245" s="4738">
        <f>+'11.3. ДА Базова година'!X184</f>
        <v>0</v>
      </c>
      <c r="AH245" s="1247">
        <f t="shared" si="314"/>
        <v>0</v>
      </c>
      <c r="AI245" s="1243">
        <f t="shared" si="314"/>
        <v>0</v>
      </c>
      <c r="AJ245" s="1243">
        <f t="shared" si="314"/>
        <v>0</v>
      </c>
      <c r="AK245" s="1243">
        <f t="shared" si="314"/>
        <v>0</v>
      </c>
      <c r="AL245" s="1243">
        <f t="shared" si="314"/>
        <v>0</v>
      </c>
      <c r="AM245" s="1248">
        <f t="shared" si="314"/>
        <v>0</v>
      </c>
      <c r="AN245" s="2681"/>
      <c r="AO245" s="2719"/>
      <c r="AP245" s="4775"/>
      <c r="AQ245" s="4794">
        <f t="shared" si="271"/>
        <v>59.309858218761349</v>
      </c>
      <c r="AR245" s="4794">
        <f t="shared" si="272"/>
        <v>77.716365941825217</v>
      </c>
      <c r="AS245" s="4794">
        <f t="shared" si="273"/>
        <v>96.12287366488907</v>
      </c>
      <c r="AT245" s="4794">
        <f t="shared" si="274"/>
        <v>114.52938138795294</v>
      </c>
      <c r="AU245" s="4794">
        <f t="shared" si="275"/>
        <v>132.93588911101682</v>
      </c>
      <c r="AV245" s="4794">
        <f t="shared" si="276"/>
        <v>151.34239683408069</v>
      </c>
      <c r="AW245" s="4794">
        <f t="shared" si="277"/>
        <v>169.74890455714453</v>
      </c>
      <c r="AX245" s="4794">
        <f t="shared" si="278"/>
        <v>0</v>
      </c>
      <c r="AY245" s="4794">
        <f t="shared" si="279"/>
        <v>0</v>
      </c>
      <c r="AZ245" s="4794">
        <f t="shared" si="280"/>
        <v>0</v>
      </c>
      <c r="BA245" s="4794">
        <f t="shared" si="281"/>
        <v>0</v>
      </c>
      <c r="BB245" s="4794">
        <f t="shared" si="282"/>
        <v>0</v>
      </c>
      <c r="BC245" s="4794">
        <f t="shared" si="283"/>
        <v>0</v>
      </c>
      <c r="BD245" s="4794">
        <f t="shared" si="284"/>
        <v>0</v>
      </c>
      <c r="BE245" s="4794">
        <f t="shared" si="285"/>
        <v>76.693782179432773</v>
      </c>
      <c r="BF245" s="4794">
        <f t="shared" si="286"/>
        <v>77.205074060628988</v>
      </c>
      <c r="BG245" s="4794">
        <f t="shared" si="287"/>
        <v>77.716365941825217</v>
      </c>
      <c r="BH245" s="4794">
        <f t="shared" si="288"/>
        <v>78.227657823021431</v>
      </c>
      <c r="BI245" s="4794">
        <f t="shared" si="289"/>
        <v>78.738949704217646</v>
      </c>
      <c r="BJ245" s="4794">
        <f t="shared" si="290"/>
        <v>79.25024158541386</v>
      </c>
      <c r="BK245" s="4794">
        <f t="shared" si="291"/>
        <v>79.761533466610089</v>
      </c>
      <c r="BL245" s="4794">
        <f t="shared" si="292"/>
        <v>0</v>
      </c>
      <c r="BM245" s="4794">
        <f t="shared" si="293"/>
        <v>0</v>
      </c>
      <c r="BN245" s="4794">
        <f t="shared" si="294"/>
        <v>0</v>
      </c>
      <c r="BO245" s="4794">
        <f t="shared" si="295"/>
        <v>0</v>
      </c>
      <c r="BP245" s="4794">
        <f t="shared" si="296"/>
        <v>0</v>
      </c>
      <c r="BQ245" s="4794">
        <f t="shared" si="297"/>
        <v>0</v>
      </c>
      <c r="BR245" s="4794">
        <f t="shared" si="298"/>
        <v>0</v>
      </c>
      <c r="BS245" s="4794">
        <f t="shared" si="299"/>
        <v>0</v>
      </c>
      <c r="BT245" s="4794">
        <f t="shared" si="300"/>
        <v>0</v>
      </c>
      <c r="BU245" s="4794">
        <f t="shared" si="301"/>
        <v>0</v>
      </c>
      <c r="BV245" s="4794">
        <f t="shared" si="302"/>
        <v>0</v>
      </c>
      <c r="BW245" s="4794">
        <f t="shared" si="303"/>
        <v>0</v>
      </c>
      <c r="BX245" s="4794">
        <f t="shared" si="304"/>
        <v>0</v>
      </c>
      <c r="BY245" s="4794">
        <f t="shared" si="305"/>
        <v>0</v>
      </c>
    </row>
    <row r="246" spans="1:77" s="1344" customFormat="1">
      <c r="A246" s="2741">
        <v>10</v>
      </c>
      <c r="B246" s="2684">
        <v>91140101</v>
      </c>
      <c r="C246" s="2740">
        <v>0.1</v>
      </c>
      <c r="D246" s="2714" t="s">
        <v>1016</v>
      </c>
      <c r="E246" s="4738">
        <f>+'11.3. ДА Базова година'!H185</f>
        <v>7</v>
      </c>
      <c r="F246" s="1247">
        <f t="shared" si="310"/>
        <v>8</v>
      </c>
      <c r="G246" s="1243">
        <f t="shared" si="310"/>
        <v>9</v>
      </c>
      <c r="H246" s="1243">
        <f t="shared" si="310"/>
        <v>10</v>
      </c>
      <c r="I246" s="1243">
        <f t="shared" si="310"/>
        <v>11</v>
      </c>
      <c r="J246" s="1243">
        <f t="shared" si="310"/>
        <v>12</v>
      </c>
      <c r="K246" s="1248">
        <f t="shared" si="310"/>
        <v>13</v>
      </c>
      <c r="L246" s="4738">
        <f>+'11.3. ДА Базова година'!L185</f>
        <v>0</v>
      </c>
      <c r="M246" s="1247">
        <f t="shared" si="311"/>
        <v>0</v>
      </c>
      <c r="N246" s="1243">
        <f t="shared" si="311"/>
        <v>0</v>
      </c>
      <c r="O246" s="1243">
        <f t="shared" si="311"/>
        <v>0</v>
      </c>
      <c r="P246" s="1243">
        <f t="shared" si="311"/>
        <v>0</v>
      </c>
      <c r="Q246" s="1243">
        <f t="shared" si="311"/>
        <v>0</v>
      </c>
      <c r="R246" s="1248">
        <f t="shared" si="311"/>
        <v>0</v>
      </c>
      <c r="S246" s="4738">
        <f>+'11.3. ДА Базова година'!P185</f>
        <v>0</v>
      </c>
      <c r="T246" s="1247">
        <f t="shared" si="312"/>
        <v>0</v>
      </c>
      <c r="U246" s="1243">
        <f t="shared" si="312"/>
        <v>0</v>
      </c>
      <c r="V246" s="1243">
        <f t="shared" si="312"/>
        <v>0</v>
      </c>
      <c r="W246" s="1243">
        <f t="shared" si="312"/>
        <v>0</v>
      </c>
      <c r="X246" s="1243">
        <f t="shared" si="312"/>
        <v>0</v>
      </c>
      <c r="Y246" s="1248">
        <f t="shared" si="312"/>
        <v>0</v>
      </c>
      <c r="Z246" s="4738">
        <f>+'11.3. ДА Базова година'!T185</f>
        <v>0</v>
      </c>
      <c r="AA246" s="1247">
        <f t="shared" si="313"/>
        <v>0</v>
      </c>
      <c r="AB246" s="1243">
        <f t="shared" si="313"/>
        <v>0</v>
      </c>
      <c r="AC246" s="1243">
        <f t="shared" si="313"/>
        <v>0</v>
      </c>
      <c r="AD246" s="1243">
        <f t="shared" si="313"/>
        <v>0</v>
      </c>
      <c r="AE246" s="1243">
        <f t="shared" si="313"/>
        <v>0</v>
      </c>
      <c r="AF246" s="1248">
        <f t="shared" si="313"/>
        <v>0</v>
      </c>
      <c r="AG246" s="4738">
        <f>+'11.3. ДА Базова година'!X185</f>
        <v>0</v>
      </c>
      <c r="AH246" s="1247">
        <f t="shared" si="314"/>
        <v>0</v>
      </c>
      <c r="AI246" s="1243">
        <f t="shared" si="314"/>
        <v>0</v>
      </c>
      <c r="AJ246" s="1243">
        <f t="shared" si="314"/>
        <v>0</v>
      </c>
      <c r="AK246" s="1243">
        <f t="shared" si="314"/>
        <v>0</v>
      </c>
      <c r="AL246" s="1243">
        <f t="shared" si="314"/>
        <v>0</v>
      </c>
      <c r="AM246" s="1248">
        <f t="shared" si="314"/>
        <v>0</v>
      </c>
      <c r="AN246" s="2681"/>
      <c r="AO246" s="2719"/>
      <c r="AP246" s="4775"/>
      <c r="AQ246" s="4794">
        <f t="shared" si="271"/>
        <v>3.5790431683735293</v>
      </c>
      <c r="AR246" s="4794">
        <f t="shared" si="272"/>
        <v>4.0903350495697479</v>
      </c>
      <c r="AS246" s="4794">
        <f t="shared" si="273"/>
        <v>4.6016269307659661</v>
      </c>
      <c r="AT246" s="4794">
        <f t="shared" si="274"/>
        <v>5.1129188119621851</v>
      </c>
      <c r="AU246" s="4794">
        <f t="shared" si="275"/>
        <v>5.6242106931584033</v>
      </c>
      <c r="AV246" s="4794">
        <f t="shared" si="276"/>
        <v>6.1355025743546223</v>
      </c>
      <c r="AW246" s="4794">
        <f t="shared" si="277"/>
        <v>6.6467944555508405</v>
      </c>
      <c r="AX246" s="4794">
        <f t="shared" si="278"/>
        <v>0</v>
      </c>
      <c r="AY246" s="4794">
        <f t="shared" si="279"/>
        <v>0</v>
      </c>
      <c r="AZ246" s="4794">
        <f t="shared" si="280"/>
        <v>0</v>
      </c>
      <c r="BA246" s="4794">
        <f t="shared" si="281"/>
        <v>0</v>
      </c>
      <c r="BB246" s="4794">
        <f t="shared" si="282"/>
        <v>0</v>
      </c>
      <c r="BC246" s="4794">
        <f t="shared" si="283"/>
        <v>0</v>
      </c>
      <c r="BD246" s="4794">
        <f t="shared" si="284"/>
        <v>0</v>
      </c>
      <c r="BE246" s="4794">
        <f t="shared" si="285"/>
        <v>0</v>
      </c>
      <c r="BF246" s="4794">
        <f t="shared" si="286"/>
        <v>0</v>
      </c>
      <c r="BG246" s="4794">
        <f t="shared" si="287"/>
        <v>0</v>
      </c>
      <c r="BH246" s="4794">
        <f t="shared" si="288"/>
        <v>0</v>
      </c>
      <c r="BI246" s="4794">
        <f t="shared" si="289"/>
        <v>0</v>
      </c>
      <c r="BJ246" s="4794">
        <f t="shared" si="290"/>
        <v>0</v>
      </c>
      <c r="BK246" s="4794">
        <f t="shared" si="291"/>
        <v>0</v>
      </c>
      <c r="BL246" s="4794">
        <f t="shared" si="292"/>
        <v>0</v>
      </c>
      <c r="BM246" s="4794">
        <f t="shared" si="293"/>
        <v>0</v>
      </c>
      <c r="BN246" s="4794">
        <f t="shared" si="294"/>
        <v>0</v>
      </c>
      <c r="BO246" s="4794">
        <f t="shared" si="295"/>
        <v>0</v>
      </c>
      <c r="BP246" s="4794">
        <f t="shared" si="296"/>
        <v>0</v>
      </c>
      <c r="BQ246" s="4794">
        <f t="shared" si="297"/>
        <v>0</v>
      </c>
      <c r="BR246" s="4794">
        <f t="shared" si="298"/>
        <v>0</v>
      </c>
      <c r="BS246" s="4794">
        <f t="shared" si="299"/>
        <v>0</v>
      </c>
      <c r="BT246" s="4794">
        <f t="shared" si="300"/>
        <v>0</v>
      </c>
      <c r="BU246" s="4794">
        <f t="shared" si="301"/>
        <v>0</v>
      </c>
      <c r="BV246" s="4794">
        <f t="shared" si="302"/>
        <v>0</v>
      </c>
      <c r="BW246" s="4794">
        <f t="shared" si="303"/>
        <v>0</v>
      </c>
      <c r="BX246" s="4794">
        <f t="shared" si="304"/>
        <v>0</v>
      </c>
      <c r="BY246" s="4794">
        <f t="shared" si="305"/>
        <v>0</v>
      </c>
    </row>
    <row r="247" spans="1:77" s="1344" customFormat="1">
      <c r="A247" s="2741">
        <v>11</v>
      </c>
      <c r="B247" s="2684">
        <v>91140102</v>
      </c>
      <c r="C247" s="2740">
        <v>0.04</v>
      </c>
      <c r="D247" s="2714" t="s">
        <v>432</v>
      </c>
      <c r="E247" s="4738">
        <f>+'11.3. ДА Базова година'!H186</f>
        <v>0</v>
      </c>
      <c r="F247" s="1247">
        <f t="shared" si="310"/>
        <v>0</v>
      </c>
      <c r="G247" s="1243">
        <f t="shared" si="310"/>
        <v>0</v>
      </c>
      <c r="H247" s="1243">
        <f t="shared" si="310"/>
        <v>0</v>
      </c>
      <c r="I247" s="1243">
        <f t="shared" si="310"/>
        <v>0</v>
      </c>
      <c r="J247" s="1243">
        <f t="shared" si="310"/>
        <v>0</v>
      </c>
      <c r="K247" s="1248">
        <f t="shared" si="310"/>
        <v>0</v>
      </c>
      <c r="L247" s="4738">
        <f>+'11.3. ДА Базова година'!L186</f>
        <v>0</v>
      </c>
      <c r="M247" s="1247">
        <f t="shared" si="311"/>
        <v>0</v>
      </c>
      <c r="N247" s="1243">
        <f t="shared" si="311"/>
        <v>0</v>
      </c>
      <c r="O247" s="1243">
        <f t="shared" si="311"/>
        <v>0</v>
      </c>
      <c r="P247" s="1243">
        <f t="shared" si="311"/>
        <v>0</v>
      </c>
      <c r="Q247" s="1243">
        <f t="shared" si="311"/>
        <v>0</v>
      </c>
      <c r="R247" s="1248">
        <f t="shared" si="311"/>
        <v>0</v>
      </c>
      <c r="S247" s="4738">
        <f>+'11.3. ДА Базова година'!P186</f>
        <v>0</v>
      </c>
      <c r="T247" s="1247">
        <f t="shared" si="312"/>
        <v>0</v>
      </c>
      <c r="U247" s="1243">
        <f t="shared" si="312"/>
        <v>0</v>
      </c>
      <c r="V247" s="1243">
        <f t="shared" si="312"/>
        <v>0</v>
      </c>
      <c r="W247" s="1243">
        <f t="shared" si="312"/>
        <v>0</v>
      </c>
      <c r="X247" s="1243">
        <f t="shared" si="312"/>
        <v>0</v>
      </c>
      <c r="Y247" s="1248">
        <f t="shared" si="312"/>
        <v>0</v>
      </c>
      <c r="Z247" s="4738">
        <f>+'11.3. ДА Базова година'!T186</f>
        <v>0</v>
      </c>
      <c r="AA247" s="1247">
        <f t="shared" si="313"/>
        <v>0</v>
      </c>
      <c r="AB247" s="1243">
        <f t="shared" si="313"/>
        <v>0</v>
      </c>
      <c r="AC247" s="1243">
        <f t="shared" si="313"/>
        <v>0</v>
      </c>
      <c r="AD247" s="1243">
        <f t="shared" si="313"/>
        <v>0</v>
      </c>
      <c r="AE247" s="1243">
        <f t="shared" si="313"/>
        <v>0</v>
      </c>
      <c r="AF247" s="1248">
        <f t="shared" si="313"/>
        <v>0</v>
      </c>
      <c r="AG247" s="4738">
        <f>+'11.3. ДА Базова година'!X186</f>
        <v>0</v>
      </c>
      <c r="AH247" s="1247">
        <f t="shared" si="314"/>
        <v>0</v>
      </c>
      <c r="AI247" s="1243">
        <f t="shared" si="314"/>
        <v>0</v>
      </c>
      <c r="AJ247" s="1243">
        <f t="shared" si="314"/>
        <v>0</v>
      </c>
      <c r="AK247" s="1243">
        <f t="shared" si="314"/>
        <v>0</v>
      </c>
      <c r="AL247" s="1243">
        <f t="shared" si="314"/>
        <v>0</v>
      </c>
      <c r="AM247" s="1248">
        <f t="shared" si="314"/>
        <v>0</v>
      </c>
      <c r="AN247" s="2681"/>
      <c r="AO247" s="2719"/>
      <c r="AP247" s="4775"/>
      <c r="AQ247" s="4794">
        <f t="shared" si="271"/>
        <v>0</v>
      </c>
      <c r="AR247" s="4794">
        <f t="shared" si="272"/>
        <v>0</v>
      </c>
      <c r="AS247" s="4794">
        <f t="shared" si="273"/>
        <v>0</v>
      </c>
      <c r="AT247" s="4794">
        <f t="shared" si="274"/>
        <v>0</v>
      </c>
      <c r="AU247" s="4794">
        <f t="shared" si="275"/>
        <v>0</v>
      </c>
      <c r="AV247" s="4794">
        <f t="shared" si="276"/>
        <v>0</v>
      </c>
      <c r="AW247" s="4794">
        <f t="shared" si="277"/>
        <v>0</v>
      </c>
      <c r="AX247" s="4794">
        <f t="shared" si="278"/>
        <v>0</v>
      </c>
      <c r="AY247" s="4794">
        <f t="shared" si="279"/>
        <v>0</v>
      </c>
      <c r="AZ247" s="4794">
        <f t="shared" si="280"/>
        <v>0</v>
      </c>
      <c r="BA247" s="4794">
        <f t="shared" si="281"/>
        <v>0</v>
      </c>
      <c r="BB247" s="4794">
        <f t="shared" si="282"/>
        <v>0</v>
      </c>
      <c r="BC247" s="4794">
        <f t="shared" si="283"/>
        <v>0</v>
      </c>
      <c r="BD247" s="4794">
        <f t="shared" si="284"/>
        <v>0</v>
      </c>
      <c r="BE247" s="4794">
        <f t="shared" si="285"/>
        <v>0</v>
      </c>
      <c r="BF247" s="4794">
        <f t="shared" si="286"/>
        <v>0</v>
      </c>
      <c r="BG247" s="4794">
        <f t="shared" si="287"/>
        <v>0</v>
      </c>
      <c r="BH247" s="4794">
        <f t="shared" si="288"/>
        <v>0</v>
      </c>
      <c r="BI247" s="4794">
        <f t="shared" si="289"/>
        <v>0</v>
      </c>
      <c r="BJ247" s="4794">
        <f t="shared" si="290"/>
        <v>0</v>
      </c>
      <c r="BK247" s="4794">
        <f t="shared" si="291"/>
        <v>0</v>
      </c>
      <c r="BL247" s="4794">
        <f t="shared" si="292"/>
        <v>0</v>
      </c>
      <c r="BM247" s="4794">
        <f t="shared" si="293"/>
        <v>0</v>
      </c>
      <c r="BN247" s="4794">
        <f t="shared" si="294"/>
        <v>0</v>
      </c>
      <c r="BO247" s="4794">
        <f t="shared" si="295"/>
        <v>0</v>
      </c>
      <c r="BP247" s="4794">
        <f t="shared" si="296"/>
        <v>0</v>
      </c>
      <c r="BQ247" s="4794">
        <f t="shared" si="297"/>
        <v>0</v>
      </c>
      <c r="BR247" s="4794">
        <f t="shared" si="298"/>
        <v>0</v>
      </c>
      <c r="BS247" s="4794">
        <f t="shared" si="299"/>
        <v>0</v>
      </c>
      <c r="BT247" s="4794">
        <f t="shared" si="300"/>
        <v>0</v>
      </c>
      <c r="BU247" s="4794">
        <f t="shared" si="301"/>
        <v>0</v>
      </c>
      <c r="BV247" s="4794">
        <f t="shared" si="302"/>
        <v>0</v>
      </c>
      <c r="BW247" s="4794">
        <f t="shared" si="303"/>
        <v>0</v>
      </c>
      <c r="BX247" s="4794">
        <f t="shared" si="304"/>
        <v>0</v>
      </c>
      <c r="BY247" s="4794">
        <f t="shared" si="305"/>
        <v>0</v>
      </c>
    </row>
    <row r="248" spans="1:77" s="1344" customFormat="1">
      <c r="A248" s="2741">
        <v>12</v>
      </c>
      <c r="B248" s="2684" t="s">
        <v>698</v>
      </c>
      <c r="C248" s="2685">
        <v>0.02</v>
      </c>
      <c r="D248" s="2715" t="s">
        <v>738</v>
      </c>
      <c r="E248" s="4738">
        <f>+'11.3. ДА Базова година'!H187</f>
        <v>0</v>
      </c>
      <c r="F248" s="1247">
        <f t="shared" si="310"/>
        <v>0</v>
      </c>
      <c r="G248" s="1243">
        <f t="shared" si="310"/>
        <v>0</v>
      </c>
      <c r="H248" s="1243">
        <f t="shared" si="310"/>
        <v>0</v>
      </c>
      <c r="I248" s="1243">
        <f t="shared" si="310"/>
        <v>0</v>
      </c>
      <c r="J248" s="1243">
        <f t="shared" si="310"/>
        <v>0</v>
      </c>
      <c r="K248" s="1248">
        <f t="shared" si="310"/>
        <v>0</v>
      </c>
      <c r="L248" s="4738">
        <f>+'11.3. ДА Базова година'!L187</f>
        <v>0</v>
      </c>
      <c r="M248" s="1247">
        <f t="shared" si="311"/>
        <v>0</v>
      </c>
      <c r="N248" s="1243">
        <f t="shared" si="311"/>
        <v>0</v>
      </c>
      <c r="O248" s="1243">
        <f t="shared" si="311"/>
        <v>0</v>
      </c>
      <c r="P248" s="1243">
        <f t="shared" si="311"/>
        <v>0</v>
      </c>
      <c r="Q248" s="1243">
        <f t="shared" si="311"/>
        <v>0</v>
      </c>
      <c r="R248" s="1248">
        <f t="shared" si="311"/>
        <v>0</v>
      </c>
      <c r="S248" s="4738">
        <f>+'11.3. ДА Базова година'!P187</f>
        <v>0</v>
      </c>
      <c r="T248" s="1247">
        <f t="shared" si="312"/>
        <v>0</v>
      </c>
      <c r="U248" s="1243">
        <f t="shared" si="312"/>
        <v>0</v>
      </c>
      <c r="V248" s="1243">
        <f t="shared" si="312"/>
        <v>0</v>
      </c>
      <c r="W248" s="1243">
        <f t="shared" si="312"/>
        <v>0</v>
      </c>
      <c r="X248" s="1243">
        <f t="shared" si="312"/>
        <v>0</v>
      </c>
      <c r="Y248" s="1248">
        <f t="shared" si="312"/>
        <v>0</v>
      </c>
      <c r="Z248" s="4738">
        <f>+'11.3. ДА Базова година'!T187</f>
        <v>0</v>
      </c>
      <c r="AA248" s="1247">
        <f t="shared" si="313"/>
        <v>0</v>
      </c>
      <c r="AB248" s="1243">
        <f t="shared" si="313"/>
        <v>0</v>
      </c>
      <c r="AC248" s="1243">
        <f t="shared" si="313"/>
        <v>0</v>
      </c>
      <c r="AD248" s="1243">
        <f t="shared" si="313"/>
        <v>0</v>
      </c>
      <c r="AE248" s="1243">
        <f t="shared" si="313"/>
        <v>0</v>
      </c>
      <c r="AF248" s="1248">
        <f t="shared" si="313"/>
        <v>0</v>
      </c>
      <c r="AG248" s="4738">
        <f>+'11.3. ДА Базова година'!X187</f>
        <v>0</v>
      </c>
      <c r="AH248" s="1247">
        <f t="shared" si="314"/>
        <v>0</v>
      </c>
      <c r="AI248" s="1243">
        <f t="shared" si="314"/>
        <v>0</v>
      </c>
      <c r="AJ248" s="1243">
        <f t="shared" si="314"/>
        <v>0</v>
      </c>
      <c r="AK248" s="1243">
        <f t="shared" si="314"/>
        <v>0</v>
      </c>
      <c r="AL248" s="1243">
        <f t="shared" si="314"/>
        <v>0</v>
      </c>
      <c r="AM248" s="1248">
        <f t="shared" si="314"/>
        <v>0</v>
      </c>
      <c r="AN248" s="2681"/>
      <c r="AO248" s="2719"/>
      <c r="AP248" s="4775"/>
      <c r="AQ248" s="4794">
        <f t="shared" si="271"/>
        <v>0</v>
      </c>
      <c r="AR248" s="4794">
        <f t="shared" si="272"/>
        <v>0</v>
      </c>
      <c r="AS248" s="4794">
        <f t="shared" si="273"/>
        <v>0</v>
      </c>
      <c r="AT248" s="4794">
        <f t="shared" si="274"/>
        <v>0</v>
      </c>
      <c r="AU248" s="4794">
        <f t="shared" si="275"/>
        <v>0</v>
      </c>
      <c r="AV248" s="4794">
        <f t="shared" si="276"/>
        <v>0</v>
      </c>
      <c r="AW248" s="4794">
        <f t="shared" si="277"/>
        <v>0</v>
      </c>
      <c r="AX248" s="4794">
        <f t="shared" si="278"/>
        <v>0</v>
      </c>
      <c r="AY248" s="4794">
        <f t="shared" si="279"/>
        <v>0</v>
      </c>
      <c r="AZ248" s="4794">
        <f t="shared" si="280"/>
        <v>0</v>
      </c>
      <c r="BA248" s="4794">
        <f t="shared" si="281"/>
        <v>0</v>
      </c>
      <c r="BB248" s="4794">
        <f t="shared" si="282"/>
        <v>0</v>
      </c>
      <c r="BC248" s="4794">
        <f t="shared" si="283"/>
        <v>0</v>
      </c>
      <c r="BD248" s="4794">
        <f t="shared" si="284"/>
        <v>0</v>
      </c>
      <c r="BE248" s="4794">
        <f t="shared" si="285"/>
        <v>0</v>
      </c>
      <c r="BF248" s="4794">
        <f t="shared" si="286"/>
        <v>0</v>
      </c>
      <c r="BG248" s="4794">
        <f t="shared" si="287"/>
        <v>0</v>
      </c>
      <c r="BH248" s="4794">
        <f t="shared" si="288"/>
        <v>0</v>
      </c>
      <c r="BI248" s="4794">
        <f t="shared" si="289"/>
        <v>0</v>
      </c>
      <c r="BJ248" s="4794">
        <f t="shared" si="290"/>
        <v>0</v>
      </c>
      <c r="BK248" s="4794">
        <f t="shared" si="291"/>
        <v>0</v>
      </c>
      <c r="BL248" s="4794">
        <f t="shared" si="292"/>
        <v>0</v>
      </c>
      <c r="BM248" s="4794">
        <f t="shared" si="293"/>
        <v>0</v>
      </c>
      <c r="BN248" s="4794">
        <f t="shared" si="294"/>
        <v>0</v>
      </c>
      <c r="BO248" s="4794">
        <f t="shared" si="295"/>
        <v>0</v>
      </c>
      <c r="BP248" s="4794">
        <f t="shared" si="296"/>
        <v>0</v>
      </c>
      <c r="BQ248" s="4794">
        <f t="shared" si="297"/>
        <v>0</v>
      </c>
      <c r="BR248" s="4794">
        <f t="shared" si="298"/>
        <v>0</v>
      </c>
      <c r="BS248" s="4794">
        <f t="shared" si="299"/>
        <v>0</v>
      </c>
      <c r="BT248" s="4794">
        <f t="shared" si="300"/>
        <v>0</v>
      </c>
      <c r="BU248" s="4794">
        <f t="shared" si="301"/>
        <v>0</v>
      </c>
      <c r="BV248" s="4794">
        <f t="shared" si="302"/>
        <v>0</v>
      </c>
      <c r="BW248" s="4794">
        <f t="shared" si="303"/>
        <v>0</v>
      </c>
      <c r="BX248" s="4794">
        <f t="shared" si="304"/>
        <v>0</v>
      </c>
      <c r="BY248" s="4794">
        <f t="shared" si="305"/>
        <v>0</v>
      </c>
    </row>
    <row r="249" spans="1:77" s="1344" customFormat="1">
      <c r="A249" s="2741">
        <v>13</v>
      </c>
      <c r="B249" s="2684" t="s">
        <v>699</v>
      </c>
      <c r="C249" s="2685">
        <v>0.02</v>
      </c>
      <c r="D249" s="2715" t="s">
        <v>739</v>
      </c>
      <c r="E249" s="4738">
        <f>+'11.3. ДА Базова година'!H188</f>
        <v>579</v>
      </c>
      <c r="F249" s="1247">
        <f t="shared" si="310"/>
        <v>645</v>
      </c>
      <c r="G249" s="1243">
        <f t="shared" si="310"/>
        <v>711</v>
      </c>
      <c r="H249" s="1243">
        <f t="shared" si="310"/>
        <v>777</v>
      </c>
      <c r="I249" s="1243">
        <f t="shared" si="310"/>
        <v>843</v>
      </c>
      <c r="J249" s="1243">
        <f t="shared" si="310"/>
        <v>909</v>
      </c>
      <c r="K249" s="1248">
        <f t="shared" si="310"/>
        <v>975</v>
      </c>
      <c r="L249" s="4738">
        <f>+'11.3. ДА Базова година'!L188</f>
        <v>0</v>
      </c>
      <c r="M249" s="1247">
        <f t="shared" si="311"/>
        <v>0</v>
      </c>
      <c r="N249" s="1243">
        <f t="shared" si="311"/>
        <v>0</v>
      </c>
      <c r="O249" s="1243">
        <f t="shared" si="311"/>
        <v>0</v>
      </c>
      <c r="P249" s="1243">
        <f t="shared" si="311"/>
        <v>0</v>
      </c>
      <c r="Q249" s="1243">
        <f t="shared" si="311"/>
        <v>0</v>
      </c>
      <c r="R249" s="1248">
        <f t="shared" si="311"/>
        <v>0</v>
      </c>
      <c r="S249" s="4738">
        <f>+'11.3. ДА Базова година'!P188</f>
        <v>0</v>
      </c>
      <c r="T249" s="1247">
        <f t="shared" si="312"/>
        <v>0</v>
      </c>
      <c r="U249" s="1243">
        <f t="shared" si="312"/>
        <v>0</v>
      </c>
      <c r="V249" s="1243">
        <f t="shared" si="312"/>
        <v>0</v>
      </c>
      <c r="W249" s="1243">
        <f t="shared" si="312"/>
        <v>0</v>
      </c>
      <c r="X249" s="1243">
        <f t="shared" si="312"/>
        <v>0</v>
      </c>
      <c r="Y249" s="1248">
        <f t="shared" si="312"/>
        <v>0</v>
      </c>
      <c r="Z249" s="4738">
        <f>+'11.3. ДА Базова година'!T188</f>
        <v>0</v>
      </c>
      <c r="AA249" s="1247">
        <f t="shared" si="313"/>
        <v>0</v>
      </c>
      <c r="AB249" s="1243">
        <f t="shared" si="313"/>
        <v>0</v>
      </c>
      <c r="AC249" s="1243">
        <f t="shared" si="313"/>
        <v>0</v>
      </c>
      <c r="AD249" s="1243">
        <f t="shared" si="313"/>
        <v>0</v>
      </c>
      <c r="AE249" s="1243">
        <f t="shared" si="313"/>
        <v>0</v>
      </c>
      <c r="AF249" s="1248">
        <f t="shared" si="313"/>
        <v>0</v>
      </c>
      <c r="AG249" s="4738">
        <f>+'11.3. ДА Базова година'!X188</f>
        <v>0</v>
      </c>
      <c r="AH249" s="1247">
        <f t="shared" si="314"/>
        <v>0</v>
      </c>
      <c r="AI249" s="1243">
        <f t="shared" si="314"/>
        <v>0</v>
      </c>
      <c r="AJ249" s="1243">
        <f t="shared" si="314"/>
        <v>0</v>
      </c>
      <c r="AK249" s="1243">
        <f t="shared" si="314"/>
        <v>0</v>
      </c>
      <c r="AL249" s="1243">
        <f t="shared" si="314"/>
        <v>0</v>
      </c>
      <c r="AM249" s="1248">
        <f t="shared" si="314"/>
        <v>0</v>
      </c>
      <c r="AN249" s="2681"/>
      <c r="AO249" s="2719"/>
      <c r="AP249" s="4775"/>
      <c r="AQ249" s="4794">
        <f t="shared" si="271"/>
        <v>296.03799921261049</v>
      </c>
      <c r="AR249" s="4794">
        <f t="shared" si="272"/>
        <v>329.78326337156091</v>
      </c>
      <c r="AS249" s="4794">
        <f t="shared" si="273"/>
        <v>363.52852753051133</v>
      </c>
      <c r="AT249" s="4794">
        <f t="shared" si="274"/>
        <v>397.27379168946175</v>
      </c>
      <c r="AU249" s="4794">
        <f t="shared" si="275"/>
        <v>431.01905584841217</v>
      </c>
      <c r="AV249" s="4794">
        <f t="shared" si="276"/>
        <v>464.76432000736258</v>
      </c>
      <c r="AW249" s="4794">
        <f t="shared" si="277"/>
        <v>498.50958416631306</v>
      </c>
      <c r="AX249" s="4794">
        <f t="shared" si="278"/>
        <v>0</v>
      </c>
      <c r="AY249" s="4794">
        <f t="shared" si="279"/>
        <v>0</v>
      </c>
      <c r="AZ249" s="4794">
        <f t="shared" si="280"/>
        <v>0</v>
      </c>
      <c r="BA249" s="4794">
        <f t="shared" si="281"/>
        <v>0</v>
      </c>
      <c r="BB249" s="4794">
        <f t="shared" si="282"/>
        <v>0</v>
      </c>
      <c r="BC249" s="4794">
        <f t="shared" si="283"/>
        <v>0</v>
      </c>
      <c r="BD249" s="4794">
        <f t="shared" si="284"/>
        <v>0</v>
      </c>
      <c r="BE249" s="4794">
        <f t="shared" si="285"/>
        <v>0</v>
      </c>
      <c r="BF249" s="4794">
        <f t="shared" si="286"/>
        <v>0</v>
      </c>
      <c r="BG249" s="4794">
        <f t="shared" si="287"/>
        <v>0</v>
      </c>
      <c r="BH249" s="4794">
        <f t="shared" si="288"/>
        <v>0</v>
      </c>
      <c r="BI249" s="4794">
        <f t="shared" si="289"/>
        <v>0</v>
      </c>
      <c r="BJ249" s="4794">
        <f t="shared" si="290"/>
        <v>0</v>
      </c>
      <c r="BK249" s="4794">
        <f t="shared" si="291"/>
        <v>0</v>
      </c>
      <c r="BL249" s="4794">
        <f t="shared" si="292"/>
        <v>0</v>
      </c>
      <c r="BM249" s="4794">
        <f t="shared" si="293"/>
        <v>0</v>
      </c>
      <c r="BN249" s="4794">
        <f t="shared" si="294"/>
        <v>0</v>
      </c>
      <c r="BO249" s="4794">
        <f t="shared" si="295"/>
        <v>0</v>
      </c>
      <c r="BP249" s="4794">
        <f t="shared" si="296"/>
        <v>0</v>
      </c>
      <c r="BQ249" s="4794">
        <f t="shared" si="297"/>
        <v>0</v>
      </c>
      <c r="BR249" s="4794">
        <f t="shared" si="298"/>
        <v>0</v>
      </c>
      <c r="BS249" s="4794">
        <f t="shared" si="299"/>
        <v>0</v>
      </c>
      <c r="BT249" s="4794">
        <f t="shared" si="300"/>
        <v>0</v>
      </c>
      <c r="BU249" s="4794">
        <f t="shared" si="301"/>
        <v>0</v>
      </c>
      <c r="BV249" s="4794">
        <f t="shared" si="302"/>
        <v>0</v>
      </c>
      <c r="BW249" s="4794">
        <f t="shared" si="303"/>
        <v>0</v>
      </c>
      <c r="BX249" s="4794">
        <f t="shared" si="304"/>
        <v>0</v>
      </c>
      <c r="BY249" s="4794">
        <f t="shared" si="305"/>
        <v>0</v>
      </c>
    </row>
    <row r="250" spans="1:77" s="1344" customFormat="1">
      <c r="A250" s="2741">
        <v>14</v>
      </c>
      <c r="B250" s="2684" t="s">
        <v>700</v>
      </c>
      <c r="C250" s="2685">
        <v>0.02</v>
      </c>
      <c r="D250" s="2715" t="s">
        <v>418</v>
      </c>
      <c r="E250" s="4738">
        <f>+'11.3. ДА Базова година'!H189</f>
        <v>27</v>
      </c>
      <c r="F250" s="1247">
        <f t="shared" si="310"/>
        <v>31</v>
      </c>
      <c r="G250" s="1243">
        <f t="shared" si="310"/>
        <v>35</v>
      </c>
      <c r="H250" s="1243">
        <f t="shared" si="310"/>
        <v>39</v>
      </c>
      <c r="I250" s="1243">
        <f t="shared" si="310"/>
        <v>43</v>
      </c>
      <c r="J250" s="1243">
        <f t="shared" si="310"/>
        <v>47</v>
      </c>
      <c r="K250" s="1248">
        <f t="shared" si="310"/>
        <v>51</v>
      </c>
      <c r="L250" s="4738">
        <f>+'11.3. ДА Базова година'!L189</f>
        <v>0</v>
      </c>
      <c r="M250" s="1247">
        <f t="shared" si="311"/>
        <v>0</v>
      </c>
      <c r="N250" s="1243">
        <f t="shared" si="311"/>
        <v>0</v>
      </c>
      <c r="O250" s="1243">
        <f t="shared" si="311"/>
        <v>0</v>
      </c>
      <c r="P250" s="1243">
        <f t="shared" si="311"/>
        <v>0</v>
      </c>
      <c r="Q250" s="1243">
        <f t="shared" si="311"/>
        <v>0</v>
      </c>
      <c r="R250" s="1248">
        <f t="shared" si="311"/>
        <v>0</v>
      </c>
      <c r="S250" s="4738">
        <f>+'11.3. ДА Базова година'!P189</f>
        <v>0</v>
      </c>
      <c r="T250" s="1247">
        <f t="shared" si="312"/>
        <v>0</v>
      </c>
      <c r="U250" s="1243">
        <f t="shared" si="312"/>
        <v>0</v>
      </c>
      <c r="V250" s="1243">
        <f t="shared" si="312"/>
        <v>0</v>
      </c>
      <c r="W250" s="1243">
        <f t="shared" si="312"/>
        <v>0</v>
      </c>
      <c r="X250" s="1243">
        <f t="shared" si="312"/>
        <v>0</v>
      </c>
      <c r="Y250" s="1248">
        <f t="shared" si="312"/>
        <v>0</v>
      </c>
      <c r="Z250" s="4738">
        <f>+'11.3. ДА Базова година'!T189</f>
        <v>0</v>
      </c>
      <c r="AA250" s="1247">
        <f t="shared" si="313"/>
        <v>0</v>
      </c>
      <c r="AB250" s="1243">
        <f t="shared" si="313"/>
        <v>0</v>
      </c>
      <c r="AC250" s="1243">
        <f t="shared" si="313"/>
        <v>0</v>
      </c>
      <c r="AD250" s="1243">
        <f t="shared" si="313"/>
        <v>0</v>
      </c>
      <c r="AE250" s="1243">
        <f t="shared" si="313"/>
        <v>0</v>
      </c>
      <c r="AF250" s="1248">
        <f t="shared" si="313"/>
        <v>0</v>
      </c>
      <c r="AG250" s="4738">
        <f>+'11.3. ДА Базова година'!X189</f>
        <v>0</v>
      </c>
      <c r="AH250" s="1247">
        <f t="shared" si="314"/>
        <v>0</v>
      </c>
      <c r="AI250" s="1243">
        <f t="shared" si="314"/>
        <v>0</v>
      </c>
      <c r="AJ250" s="1243">
        <f t="shared" si="314"/>
        <v>0</v>
      </c>
      <c r="AK250" s="1243">
        <f t="shared" si="314"/>
        <v>0</v>
      </c>
      <c r="AL250" s="1243">
        <f t="shared" si="314"/>
        <v>0</v>
      </c>
      <c r="AM250" s="1248">
        <f t="shared" si="314"/>
        <v>0</v>
      </c>
      <c r="AN250" s="2681"/>
      <c r="AO250" s="2719"/>
      <c r="AP250" s="4775"/>
      <c r="AQ250" s="4794">
        <f t="shared" si="271"/>
        <v>13.804880792297899</v>
      </c>
      <c r="AR250" s="4794">
        <f t="shared" si="272"/>
        <v>15.850048317082774</v>
      </c>
      <c r="AS250" s="4794">
        <f t="shared" si="273"/>
        <v>17.895215841867646</v>
      </c>
      <c r="AT250" s="4794">
        <f t="shared" si="274"/>
        <v>19.940383366652522</v>
      </c>
      <c r="AU250" s="4794">
        <f t="shared" si="275"/>
        <v>21.985550891437395</v>
      </c>
      <c r="AV250" s="4794">
        <f t="shared" si="276"/>
        <v>24.030718416222268</v>
      </c>
      <c r="AW250" s="4794">
        <f t="shared" si="277"/>
        <v>26.075885941007144</v>
      </c>
      <c r="AX250" s="4794">
        <f t="shared" si="278"/>
        <v>0</v>
      </c>
      <c r="AY250" s="4794">
        <f t="shared" si="279"/>
        <v>0</v>
      </c>
      <c r="AZ250" s="4794">
        <f t="shared" si="280"/>
        <v>0</v>
      </c>
      <c r="BA250" s="4794">
        <f t="shared" si="281"/>
        <v>0</v>
      </c>
      <c r="BB250" s="4794">
        <f t="shared" si="282"/>
        <v>0</v>
      </c>
      <c r="BC250" s="4794">
        <f t="shared" si="283"/>
        <v>0</v>
      </c>
      <c r="BD250" s="4794">
        <f t="shared" si="284"/>
        <v>0</v>
      </c>
      <c r="BE250" s="4794">
        <f t="shared" si="285"/>
        <v>0</v>
      </c>
      <c r="BF250" s="4794">
        <f t="shared" si="286"/>
        <v>0</v>
      </c>
      <c r="BG250" s="4794">
        <f t="shared" si="287"/>
        <v>0</v>
      </c>
      <c r="BH250" s="4794">
        <f t="shared" si="288"/>
        <v>0</v>
      </c>
      <c r="BI250" s="4794">
        <f t="shared" si="289"/>
        <v>0</v>
      </c>
      <c r="BJ250" s="4794">
        <f t="shared" si="290"/>
        <v>0</v>
      </c>
      <c r="BK250" s="4794">
        <f t="shared" si="291"/>
        <v>0</v>
      </c>
      <c r="BL250" s="4794">
        <f t="shared" si="292"/>
        <v>0</v>
      </c>
      <c r="BM250" s="4794">
        <f t="shared" si="293"/>
        <v>0</v>
      </c>
      <c r="BN250" s="4794">
        <f t="shared" si="294"/>
        <v>0</v>
      </c>
      <c r="BO250" s="4794">
        <f t="shared" si="295"/>
        <v>0</v>
      </c>
      <c r="BP250" s="4794">
        <f t="shared" si="296"/>
        <v>0</v>
      </c>
      <c r="BQ250" s="4794">
        <f t="shared" si="297"/>
        <v>0</v>
      </c>
      <c r="BR250" s="4794">
        <f t="shared" si="298"/>
        <v>0</v>
      </c>
      <c r="BS250" s="4794">
        <f t="shared" si="299"/>
        <v>0</v>
      </c>
      <c r="BT250" s="4794">
        <f t="shared" si="300"/>
        <v>0</v>
      </c>
      <c r="BU250" s="4794">
        <f t="shared" si="301"/>
        <v>0</v>
      </c>
      <c r="BV250" s="4794">
        <f t="shared" si="302"/>
        <v>0</v>
      </c>
      <c r="BW250" s="4794">
        <f t="shared" si="303"/>
        <v>0</v>
      </c>
      <c r="BX250" s="4794">
        <f t="shared" si="304"/>
        <v>0</v>
      </c>
      <c r="BY250" s="4794">
        <f t="shared" si="305"/>
        <v>0</v>
      </c>
    </row>
    <row r="251" spans="1:77" s="1344" customFormat="1">
      <c r="A251" s="2741">
        <v>15</v>
      </c>
      <c r="B251" s="2684" t="s">
        <v>701</v>
      </c>
      <c r="C251" s="2685">
        <v>0.02</v>
      </c>
      <c r="D251" s="2714" t="s">
        <v>419</v>
      </c>
      <c r="E251" s="4738">
        <f>+'11.3. ДА Базова година'!H190</f>
        <v>2</v>
      </c>
      <c r="F251" s="1247">
        <f t="shared" si="310"/>
        <v>2</v>
      </c>
      <c r="G251" s="1243">
        <f t="shared" si="310"/>
        <v>2</v>
      </c>
      <c r="H251" s="1243">
        <f t="shared" si="310"/>
        <v>2</v>
      </c>
      <c r="I251" s="1243">
        <f t="shared" si="310"/>
        <v>2</v>
      </c>
      <c r="J251" s="1243">
        <f t="shared" si="310"/>
        <v>2</v>
      </c>
      <c r="K251" s="1248">
        <f t="shared" si="310"/>
        <v>2</v>
      </c>
      <c r="L251" s="4738">
        <f>+'11.3. ДА Базова година'!L190</f>
        <v>0</v>
      </c>
      <c r="M251" s="1247">
        <f t="shared" si="311"/>
        <v>0</v>
      </c>
      <c r="N251" s="1243">
        <f t="shared" si="311"/>
        <v>0</v>
      </c>
      <c r="O251" s="1243">
        <f t="shared" si="311"/>
        <v>0</v>
      </c>
      <c r="P251" s="1243">
        <f t="shared" si="311"/>
        <v>0</v>
      </c>
      <c r="Q251" s="1243">
        <f t="shared" si="311"/>
        <v>0</v>
      </c>
      <c r="R251" s="1248">
        <f t="shared" si="311"/>
        <v>0</v>
      </c>
      <c r="S251" s="4738">
        <f>+'11.3. ДА Базова година'!P190</f>
        <v>0</v>
      </c>
      <c r="T251" s="1247">
        <f t="shared" si="312"/>
        <v>0</v>
      </c>
      <c r="U251" s="1243">
        <f t="shared" si="312"/>
        <v>0</v>
      </c>
      <c r="V251" s="1243">
        <f t="shared" si="312"/>
        <v>0</v>
      </c>
      <c r="W251" s="1243">
        <f t="shared" si="312"/>
        <v>0</v>
      </c>
      <c r="X251" s="1243">
        <f t="shared" si="312"/>
        <v>0</v>
      </c>
      <c r="Y251" s="1248">
        <f t="shared" si="312"/>
        <v>0</v>
      </c>
      <c r="Z251" s="4738">
        <f>+'11.3. ДА Базова година'!T190</f>
        <v>0</v>
      </c>
      <c r="AA251" s="1247">
        <f t="shared" si="313"/>
        <v>0</v>
      </c>
      <c r="AB251" s="1243">
        <f t="shared" si="313"/>
        <v>0</v>
      </c>
      <c r="AC251" s="1243">
        <f t="shared" si="313"/>
        <v>0</v>
      </c>
      <c r="AD251" s="1243">
        <f t="shared" si="313"/>
        <v>0</v>
      </c>
      <c r="AE251" s="1243">
        <f t="shared" si="313"/>
        <v>0</v>
      </c>
      <c r="AF251" s="1248">
        <f t="shared" si="313"/>
        <v>0</v>
      </c>
      <c r="AG251" s="4738">
        <f>+'11.3. ДА Базова година'!X190</f>
        <v>0</v>
      </c>
      <c r="AH251" s="1247">
        <f t="shared" si="314"/>
        <v>0</v>
      </c>
      <c r="AI251" s="1243">
        <f t="shared" si="314"/>
        <v>0</v>
      </c>
      <c r="AJ251" s="1243">
        <f t="shared" si="314"/>
        <v>0</v>
      </c>
      <c r="AK251" s="1243">
        <f t="shared" si="314"/>
        <v>0</v>
      </c>
      <c r="AL251" s="1243">
        <f t="shared" si="314"/>
        <v>0</v>
      </c>
      <c r="AM251" s="1248">
        <f t="shared" si="314"/>
        <v>0</v>
      </c>
      <c r="AN251" s="2681"/>
      <c r="AO251" s="2719"/>
      <c r="AP251" s="4775"/>
      <c r="AQ251" s="4794">
        <f t="shared" si="271"/>
        <v>1.022583762392437</v>
      </c>
      <c r="AR251" s="4794">
        <f t="shared" si="272"/>
        <v>1.022583762392437</v>
      </c>
      <c r="AS251" s="4794">
        <f t="shared" si="273"/>
        <v>1.022583762392437</v>
      </c>
      <c r="AT251" s="4794">
        <f t="shared" si="274"/>
        <v>1.022583762392437</v>
      </c>
      <c r="AU251" s="4794">
        <f t="shared" si="275"/>
        <v>1.022583762392437</v>
      </c>
      <c r="AV251" s="4794">
        <f t="shared" si="276"/>
        <v>1.022583762392437</v>
      </c>
      <c r="AW251" s="4794">
        <f t="shared" si="277"/>
        <v>1.022583762392437</v>
      </c>
      <c r="AX251" s="4794">
        <f t="shared" si="278"/>
        <v>0</v>
      </c>
      <c r="AY251" s="4794">
        <f t="shared" si="279"/>
        <v>0</v>
      </c>
      <c r="AZ251" s="4794">
        <f t="shared" si="280"/>
        <v>0</v>
      </c>
      <c r="BA251" s="4794">
        <f t="shared" si="281"/>
        <v>0</v>
      </c>
      <c r="BB251" s="4794">
        <f t="shared" si="282"/>
        <v>0</v>
      </c>
      <c r="BC251" s="4794">
        <f t="shared" si="283"/>
        <v>0</v>
      </c>
      <c r="BD251" s="4794">
        <f t="shared" si="284"/>
        <v>0</v>
      </c>
      <c r="BE251" s="4794">
        <f t="shared" si="285"/>
        <v>0</v>
      </c>
      <c r="BF251" s="4794">
        <f t="shared" si="286"/>
        <v>0</v>
      </c>
      <c r="BG251" s="4794">
        <f t="shared" si="287"/>
        <v>0</v>
      </c>
      <c r="BH251" s="4794">
        <f t="shared" si="288"/>
        <v>0</v>
      </c>
      <c r="BI251" s="4794">
        <f t="shared" si="289"/>
        <v>0</v>
      </c>
      <c r="BJ251" s="4794">
        <f t="shared" si="290"/>
        <v>0</v>
      </c>
      <c r="BK251" s="4794">
        <f t="shared" si="291"/>
        <v>0</v>
      </c>
      <c r="BL251" s="4794">
        <f t="shared" si="292"/>
        <v>0</v>
      </c>
      <c r="BM251" s="4794">
        <f t="shared" si="293"/>
        <v>0</v>
      </c>
      <c r="BN251" s="4794">
        <f t="shared" si="294"/>
        <v>0</v>
      </c>
      <c r="BO251" s="4794">
        <f t="shared" si="295"/>
        <v>0</v>
      </c>
      <c r="BP251" s="4794">
        <f t="shared" si="296"/>
        <v>0</v>
      </c>
      <c r="BQ251" s="4794">
        <f t="shared" si="297"/>
        <v>0</v>
      </c>
      <c r="BR251" s="4794">
        <f t="shared" si="298"/>
        <v>0</v>
      </c>
      <c r="BS251" s="4794">
        <f t="shared" si="299"/>
        <v>0</v>
      </c>
      <c r="BT251" s="4794">
        <f t="shared" si="300"/>
        <v>0</v>
      </c>
      <c r="BU251" s="4794">
        <f t="shared" si="301"/>
        <v>0</v>
      </c>
      <c r="BV251" s="4794">
        <f t="shared" si="302"/>
        <v>0</v>
      </c>
      <c r="BW251" s="4794">
        <f t="shared" si="303"/>
        <v>0</v>
      </c>
      <c r="BX251" s="4794">
        <f t="shared" si="304"/>
        <v>0</v>
      </c>
      <c r="BY251" s="4794">
        <f t="shared" si="305"/>
        <v>0</v>
      </c>
    </row>
    <row r="252" spans="1:77" s="1344" customFormat="1">
      <c r="A252" s="2741">
        <v>16</v>
      </c>
      <c r="B252" s="2684" t="s">
        <v>702</v>
      </c>
      <c r="C252" s="2685">
        <v>0.02</v>
      </c>
      <c r="D252" s="2715" t="s">
        <v>420</v>
      </c>
      <c r="E252" s="4738">
        <f>+'11.3. ДА Базова година'!H191</f>
        <v>13275</v>
      </c>
      <c r="F252" s="1247">
        <f t="shared" si="310"/>
        <v>14912</v>
      </c>
      <c r="G252" s="1243">
        <f t="shared" si="310"/>
        <v>16549</v>
      </c>
      <c r="H252" s="1243">
        <f t="shared" si="310"/>
        <v>18186</v>
      </c>
      <c r="I252" s="1243">
        <f t="shared" si="310"/>
        <v>19823</v>
      </c>
      <c r="J252" s="1243">
        <f t="shared" si="310"/>
        <v>21460</v>
      </c>
      <c r="K252" s="1248">
        <f t="shared" si="310"/>
        <v>23097</v>
      </c>
      <c r="L252" s="4738">
        <f>+'11.3. ДА Базова година'!L191</f>
        <v>0</v>
      </c>
      <c r="M252" s="1247">
        <f t="shared" si="311"/>
        <v>0</v>
      </c>
      <c r="N252" s="1243">
        <f t="shared" si="311"/>
        <v>0</v>
      </c>
      <c r="O252" s="1243">
        <f t="shared" si="311"/>
        <v>0</v>
      </c>
      <c r="P252" s="1243">
        <f t="shared" si="311"/>
        <v>0</v>
      </c>
      <c r="Q252" s="1243">
        <f t="shared" si="311"/>
        <v>0</v>
      </c>
      <c r="R252" s="1248">
        <f t="shared" si="311"/>
        <v>0</v>
      </c>
      <c r="S252" s="4738">
        <f>+'11.3. ДА Базова година'!P191</f>
        <v>0</v>
      </c>
      <c r="T252" s="1247">
        <f t="shared" si="312"/>
        <v>0</v>
      </c>
      <c r="U252" s="1243">
        <f t="shared" si="312"/>
        <v>0</v>
      </c>
      <c r="V252" s="1243">
        <f t="shared" si="312"/>
        <v>0</v>
      </c>
      <c r="W252" s="1243">
        <f t="shared" si="312"/>
        <v>0</v>
      </c>
      <c r="X252" s="1243">
        <f t="shared" si="312"/>
        <v>0</v>
      </c>
      <c r="Y252" s="1248">
        <f t="shared" si="312"/>
        <v>0</v>
      </c>
      <c r="Z252" s="4738">
        <f>+'11.3. ДА Базова година'!T191</f>
        <v>0</v>
      </c>
      <c r="AA252" s="1247">
        <f t="shared" si="313"/>
        <v>0</v>
      </c>
      <c r="AB252" s="1243">
        <f t="shared" si="313"/>
        <v>0</v>
      </c>
      <c r="AC252" s="1243">
        <f t="shared" si="313"/>
        <v>0</v>
      </c>
      <c r="AD252" s="1243">
        <f t="shared" si="313"/>
        <v>0</v>
      </c>
      <c r="AE252" s="1243">
        <f t="shared" si="313"/>
        <v>0</v>
      </c>
      <c r="AF252" s="1248">
        <f t="shared" si="313"/>
        <v>0</v>
      </c>
      <c r="AG252" s="4738">
        <f>+'11.3. ДА Базова година'!X191</f>
        <v>0</v>
      </c>
      <c r="AH252" s="1247">
        <f t="shared" si="314"/>
        <v>0</v>
      </c>
      <c r="AI252" s="1243">
        <f t="shared" si="314"/>
        <v>0</v>
      </c>
      <c r="AJ252" s="1243">
        <f t="shared" si="314"/>
        <v>0</v>
      </c>
      <c r="AK252" s="1243">
        <f t="shared" si="314"/>
        <v>0</v>
      </c>
      <c r="AL252" s="1243">
        <f t="shared" si="314"/>
        <v>0</v>
      </c>
      <c r="AM252" s="1248">
        <f t="shared" si="314"/>
        <v>0</v>
      </c>
      <c r="AN252" s="2681"/>
      <c r="AO252" s="2719"/>
      <c r="AP252" s="4775"/>
      <c r="AQ252" s="4794">
        <f t="shared" si="271"/>
        <v>6787.3997228798007</v>
      </c>
      <c r="AR252" s="4794">
        <f t="shared" si="272"/>
        <v>7624.3845323980104</v>
      </c>
      <c r="AS252" s="4794">
        <f t="shared" si="273"/>
        <v>8461.3693419162191</v>
      </c>
      <c r="AT252" s="4794">
        <f t="shared" si="274"/>
        <v>9298.3541514344288</v>
      </c>
      <c r="AU252" s="4794">
        <f t="shared" si="275"/>
        <v>10135.338960952638</v>
      </c>
      <c r="AV252" s="4794">
        <f t="shared" si="276"/>
        <v>10972.323770470848</v>
      </c>
      <c r="AW252" s="4794">
        <f t="shared" si="277"/>
        <v>11809.308579989058</v>
      </c>
      <c r="AX252" s="4794">
        <f t="shared" si="278"/>
        <v>0</v>
      </c>
      <c r="AY252" s="4794">
        <f t="shared" si="279"/>
        <v>0</v>
      </c>
      <c r="AZ252" s="4794">
        <f t="shared" si="280"/>
        <v>0</v>
      </c>
      <c r="BA252" s="4794">
        <f t="shared" si="281"/>
        <v>0</v>
      </c>
      <c r="BB252" s="4794">
        <f t="shared" si="282"/>
        <v>0</v>
      </c>
      <c r="BC252" s="4794">
        <f t="shared" si="283"/>
        <v>0</v>
      </c>
      <c r="BD252" s="4794">
        <f t="shared" si="284"/>
        <v>0</v>
      </c>
      <c r="BE252" s="4794">
        <f t="shared" si="285"/>
        <v>0</v>
      </c>
      <c r="BF252" s="4794">
        <f t="shared" si="286"/>
        <v>0</v>
      </c>
      <c r="BG252" s="4794">
        <f t="shared" si="287"/>
        <v>0</v>
      </c>
      <c r="BH252" s="4794">
        <f t="shared" si="288"/>
        <v>0</v>
      </c>
      <c r="BI252" s="4794">
        <f t="shared" si="289"/>
        <v>0</v>
      </c>
      <c r="BJ252" s="4794">
        <f t="shared" si="290"/>
        <v>0</v>
      </c>
      <c r="BK252" s="4794">
        <f t="shared" si="291"/>
        <v>0</v>
      </c>
      <c r="BL252" s="4794">
        <f t="shared" si="292"/>
        <v>0</v>
      </c>
      <c r="BM252" s="4794">
        <f t="shared" si="293"/>
        <v>0</v>
      </c>
      <c r="BN252" s="4794">
        <f t="shared" si="294"/>
        <v>0</v>
      </c>
      <c r="BO252" s="4794">
        <f t="shared" si="295"/>
        <v>0</v>
      </c>
      <c r="BP252" s="4794">
        <f t="shared" si="296"/>
        <v>0</v>
      </c>
      <c r="BQ252" s="4794">
        <f t="shared" si="297"/>
        <v>0</v>
      </c>
      <c r="BR252" s="4794">
        <f t="shared" si="298"/>
        <v>0</v>
      </c>
      <c r="BS252" s="4794">
        <f t="shared" si="299"/>
        <v>0</v>
      </c>
      <c r="BT252" s="4794">
        <f t="shared" si="300"/>
        <v>0</v>
      </c>
      <c r="BU252" s="4794">
        <f t="shared" si="301"/>
        <v>0</v>
      </c>
      <c r="BV252" s="4794">
        <f t="shared" si="302"/>
        <v>0</v>
      </c>
      <c r="BW252" s="4794">
        <f t="shared" si="303"/>
        <v>0</v>
      </c>
      <c r="BX252" s="4794">
        <f t="shared" si="304"/>
        <v>0</v>
      </c>
      <c r="BY252" s="4794">
        <f t="shared" si="305"/>
        <v>0</v>
      </c>
    </row>
    <row r="253" spans="1:77" s="1344" customFormat="1">
      <c r="A253" s="2741">
        <v>17</v>
      </c>
      <c r="B253" s="2684" t="s">
        <v>703</v>
      </c>
      <c r="C253" s="2685">
        <v>0.02</v>
      </c>
      <c r="D253" s="2720" t="s">
        <v>421</v>
      </c>
      <c r="E253" s="4738">
        <f>+'11.3. ДА Базова година'!H192</f>
        <v>0</v>
      </c>
      <c r="F253" s="1247">
        <f t="shared" ref="F253:K257" si="315">E253+F231</f>
        <v>0</v>
      </c>
      <c r="G253" s="1243">
        <f t="shared" si="315"/>
        <v>0</v>
      </c>
      <c r="H253" s="1243">
        <f t="shared" si="315"/>
        <v>0</v>
      </c>
      <c r="I253" s="1243">
        <f t="shared" si="315"/>
        <v>0</v>
      </c>
      <c r="J253" s="1243">
        <f t="shared" si="315"/>
        <v>0</v>
      </c>
      <c r="K253" s="1248">
        <f t="shared" si="315"/>
        <v>0</v>
      </c>
      <c r="L253" s="4738">
        <f>+'11.3. ДА Базова година'!L192</f>
        <v>13740</v>
      </c>
      <c r="M253" s="1247">
        <f t="shared" ref="M253:R257" si="316">L253+M231</f>
        <v>15367</v>
      </c>
      <c r="N253" s="1243">
        <f t="shared" si="316"/>
        <v>16994</v>
      </c>
      <c r="O253" s="1243">
        <f t="shared" si="316"/>
        <v>18621</v>
      </c>
      <c r="P253" s="1243">
        <f t="shared" si="316"/>
        <v>20248</v>
      </c>
      <c r="Q253" s="1243">
        <f t="shared" si="316"/>
        <v>21875</v>
      </c>
      <c r="R253" s="1248">
        <f t="shared" si="316"/>
        <v>23502</v>
      </c>
      <c r="S253" s="4738">
        <f>+'11.3. ДА Базова година'!P192</f>
        <v>0</v>
      </c>
      <c r="T253" s="1247">
        <f t="shared" ref="T253:Y257" si="317">S253+T231</f>
        <v>0</v>
      </c>
      <c r="U253" s="1243">
        <f t="shared" si="317"/>
        <v>0</v>
      </c>
      <c r="V253" s="1243">
        <f t="shared" si="317"/>
        <v>0</v>
      </c>
      <c r="W253" s="1243">
        <f t="shared" si="317"/>
        <v>0</v>
      </c>
      <c r="X253" s="1243">
        <f t="shared" si="317"/>
        <v>0</v>
      </c>
      <c r="Y253" s="1248">
        <f t="shared" si="317"/>
        <v>0</v>
      </c>
      <c r="Z253" s="4738">
        <f>+'11.3. ДА Базова година'!T192</f>
        <v>0</v>
      </c>
      <c r="AA253" s="1247">
        <f t="shared" ref="AA253:AF257" si="318">Z253+AA231</f>
        <v>0</v>
      </c>
      <c r="AB253" s="1243">
        <f t="shared" si="318"/>
        <v>0</v>
      </c>
      <c r="AC253" s="1243">
        <f t="shared" si="318"/>
        <v>0</v>
      </c>
      <c r="AD253" s="1243">
        <f t="shared" si="318"/>
        <v>0</v>
      </c>
      <c r="AE253" s="1243">
        <f t="shared" si="318"/>
        <v>0</v>
      </c>
      <c r="AF253" s="1248">
        <f t="shared" si="318"/>
        <v>0</v>
      </c>
      <c r="AG253" s="4738">
        <f>+'11.3. ДА Базова година'!X192</f>
        <v>0</v>
      </c>
      <c r="AH253" s="1247">
        <f t="shared" ref="AH253:AM257" si="319">AG253+AH231</f>
        <v>0</v>
      </c>
      <c r="AI253" s="1243">
        <f t="shared" si="319"/>
        <v>0</v>
      </c>
      <c r="AJ253" s="1243">
        <f t="shared" si="319"/>
        <v>0</v>
      </c>
      <c r="AK253" s="1243">
        <f t="shared" si="319"/>
        <v>0</v>
      </c>
      <c r="AL253" s="1243">
        <f t="shared" si="319"/>
        <v>0</v>
      </c>
      <c r="AM253" s="1248">
        <f t="shared" si="319"/>
        <v>0</v>
      </c>
      <c r="AN253" s="2681"/>
      <c r="AO253" s="2719"/>
      <c r="AP253" s="4775"/>
      <c r="AQ253" s="4794">
        <f t="shared" si="271"/>
        <v>0</v>
      </c>
      <c r="AR253" s="4794">
        <f t="shared" si="272"/>
        <v>0</v>
      </c>
      <c r="AS253" s="4794">
        <f t="shared" si="273"/>
        <v>0</v>
      </c>
      <c r="AT253" s="4794">
        <f t="shared" si="274"/>
        <v>0</v>
      </c>
      <c r="AU253" s="4794">
        <f t="shared" si="275"/>
        <v>0</v>
      </c>
      <c r="AV253" s="4794">
        <f t="shared" si="276"/>
        <v>0</v>
      </c>
      <c r="AW253" s="4794">
        <f t="shared" si="277"/>
        <v>0</v>
      </c>
      <c r="AX253" s="4794">
        <f t="shared" si="278"/>
        <v>7025.1504476360424</v>
      </c>
      <c r="AY253" s="4794">
        <f t="shared" si="279"/>
        <v>7857.0223383422899</v>
      </c>
      <c r="AZ253" s="4794">
        <f t="shared" si="280"/>
        <v>8688.8942290485375</v>
      </c>
      <c r="BA253" s="4794">
        <f t="shared" si="281"/>
        <v>9520.7661197547841</v>
      </c>
      <c r="BB253" s="4794">
        <f t="shared" si="282"/>
        <v>10352.638010461033</v>
      </c>
      <c r="BC253" s="4794">
        <f t="shared" si="283"/>
        <v>11184.509901167279</v>
      </c>
      <c r="BD253" s="4794">
        <f t="shared" si="284"/>
        <v>12016.381791873528</v>
      </c>
      <c r="BE253" s="4794">
        <f t="shared" si="285"/>
        <v>0</v>
      </c>
      <c r="BF253" s="4794">
        <f t="shared" si="286"/>
        <v>0</v>
      </c>
      <c r="BG253" s="4794">
        <f t="shared" si="287"/>
        <v>0</v>
      </c>
      <c r="BH253" s="4794">
        <f t="shared" si="288"/>
        <v>0</v>
      </c>
      <c r="BI253" s="4794">
        <f t="shared" si="289"/>
        <v>0</v>
      </c>
      <c r="BJ253" s="4794">
        <f t="shared" si="290"/>
        <v>0</v>
      </c>
      <c r="BK253" s="4794">
        <f t="shared" si="291"/>
        <v>0</v>
      </c>
      <c r="BL253" s="4794">
        <f t="shared" si="292"/>
        <v>0</v>
      </c>
      <c r="BM253" s="4794">
        <f t="shared" si="293"/>
        <v>0</v>
      </c>
      <c r="BN253" s="4794">
        <f t="shared" si="294"/>
        <v>0</v>
      </c>
      <c r="BO253" s="4794">
        <f t="shared" si="295"/>
        <v>0</v>
      </c>
      <c r="BP253" s="4794">
        <f t="shared" si="296"/>
        <v>0</v>
      </c>
      <c r="BQ253" s="4794">
        <f t="shared" si="297"/>
        <v>0</v>
      </c>
      <c r="BR253" s="4794">
        <f t="shared" si="298"/>
        <v>0</v>
      </c>
      <c r="BS253" s="4794">
        <f t="shared" si="299"/>
        <v>0</v>
      </c>
      <c r="BT253" s="4794">
        <f t="shared" si="300"/>
        <v>0</v>
      </c>
      <c r="BU253" s="4794">
        <f t="shared" si="301"/>
        <v>0</v>
      </c>
      <c r="BV253" s="4794">
        <f t="shared" si="302"/>
        <v>0</v>
      </c>
      <c r="BW253" s="4794">
        <f t="shared" si="303"/>
        <v>0</v>
      </c>
      <c r="BX253" s="4794">
        <f t="shared" si="304"/>
        <v>0</v>
      </c>
      <c r="BY253" s="4794">
        <f t="shared" si="305"/>
        <v>0</v>
      </c>
    </row>
    <row r="254" spans="1:77" s="1344" customFormat="1" ht="24">
      <c r="A254" s="2741">
        <v>18</v>
      </c>
      <c r="B254" s="2684" t="s">
        <v>704</v>
      </c>
      <c r="C254" s="2685">
        <v>0.04</v>
      </c>
      <c r="D254" s="2720" t="s">
        <v>422</v>
      </c>
      <c r="E254" s="4738">
        <f>+'11.3. ДА Базова година'!H193</f>
        <v>1368</v>
      </c>
      <c r="F254" s="1247">
        <f t="shared" si="315"/>
        <v>1521</v>
      </c>
      <c r="G254" s="1243">
        <f t="shared" si="315"/>
        <v>1674</v>
      </c>
      <c r="H254" s="1243">
        <f t="shared" si="315"/>
        <v>1827</v>
      </c>
      <c r="I254" s="1243">
        <f t="shared" si="315"/>
        <v>1980</v>
      </c>
      <c r="J254" s="1243">
        <f t="shared" si="315"/>
        <v>2133</v>
      </c>
      <c r="K254" s="1248">
        <f t="shared" si="315"/>
        <v>2286</v>
      </c>
      <c r="L254" s="4738">
        <f>+'11.3. ДА Базова година'!L193</f>
        <v>11</v>
      </c>
      <c r="M254" s="1247">
        <f t="shared" si="316"/>
        <v>12</v>
      </c>
      <c r="N254" s="1243">
        <f t="shared" si="316"/>
        <v>13</v>
      </c>
      <c r="O254" s="1243">
        <f t="shared" si="316"/>
        <v>14</v>
      </c>
      <c r="P254" s="1243">
        <f t="shared" si="316"/>
        <v>15</v>
      </c>
      <c r="Q254" s="1243">
        <f t="shared" si="316"/>
        <v>16</v>
      </c>
      <c r="R254" s="1248">
        <f t="shared" si="316"/>
        <v>17</v>
      </c>
      <c r="S254" s="4738">
        <f>+'11.3. ДА Базова година'!P193</f>
        <v>8526</v>
      </c>
      <c r="T254" s="1247">
        <f t="shared" si="317"/>
        <v>9480</v>
      </c>
      <c r="U254" s="1243">
        <f t="shared" si="317"/>
        <v>10434</v>
      </c>
      <c r="V254" s="1243">
        <f t="shared" si="317"/>
        <v>11388</v>
      </c>
      <c r="W254" s="1243">
        <f t="shared" si="317"/>
        <v>12342</v>
      </c>
      <c r="X254" s="1243">
        <f t="shared" si="317"/>
        <v>13296</v>
      </c>
      <c r="Y254" s="1248">
        <f t="shared" si="317"/>
        <v>14250</v>
      </c>
      <c r="Z254" s="4738">
        <f>+'11.3. ДА Базова година'!T193</f>
        <v>0</v>
      </c>
      <c r="AA254" s="1247">
        <f t="shared" si="318"/>
        <v>0</v>
      </c>
      <c r="AB254" s="1243">
        <f t="shared" si="318"/>
        <v>0</v>
      </c>
      <c r="AC254" s="1243">
        <f t="shared" si="318"/>
        <v>0</v>
      </c>
      <c r="AD254" s="1243">
        <f t="shared" si="318"/>
        <v>0</v>
      </c>
      <c r="AE254" s="1243">
        <f t="shared" si="318"/>
        <v>0</v>
      </c>
      <c r="AF254" s="1248">
        <f t="shared" si="318"/>
        <v>0</v>
      </c>
      <c r="AG254" s="4738">
        <f>+'11.3. ДА Базова година'!X193</f>
        <v>0</v>
      </c>
      <c r="AH254" s="1247">
        <f t="shared" si="319"/>
        <v>0</v>
      </c>
      <c r="AI254" s="1243">
        <f t="shared" si="319"/>
        <v>0</v>
      </c>
      <c r="AJ254" s="1243">
        <f t="shared" si="319"/>
        <v>0</v>
      </c>
      <c r="AK254" s="1243">
        <f t="shared" si="319"/>
        <v>0</v>
      </c>
      <c r="AL254" s="1243">
        <f t="shared" si="319"/>
        <v>0</v>
      </c>
      <c r="AM254" s="1248">
        <f t="shared" si="319"/>
        <v>0</v>
      </c>
      <c r="AN254" s="2681"/>
      <c r="AO254" s="2719"/>
      <c r="AP254" s="4775"/>
      <c r="AQ254" s="4794">
        <f t="shared" si="271"/>
        <v>699.44729347642692</v>
      </c>
      <c r="AR254" s="4794">
        <f t="shared" si="272"/>
        <v>777.67495129944837</v>
      </c>
      <c r="AS254" s="4794">
        <f t="shared" si="273"/>
        <v>855.90260912246981</v>
      </c>
      <c r="AT254" s="4794">
        <f t="shared" si="274"/>
        <v>934.13026694549114</v>
      </c>
      <c r="AU254" s="4794">
        <f t="shared" si="275"/>
        <v>1012.3579247685126</v>
      </c>
      <c r="AV254" s="4794">
        <f t="shared" si="276"/>
        <v>1090.5855825915341</v>
      </c>
      <c r="AW254" s="4794">
        <f t="shared" si="277"/>
        <v>1168.8132404145556</v>
      </c>
      <c r="AX254" s="4794">
        <f t="shared" si="278"/>
        <v>5.6242106931584033</v>
      </c>
      <c r="AY254" s="4794">
        <f t="shared" si="279"/>
        <v>6.1355025743546223</v>
      </c>
      <c r="AZ254" s="4794">
        <f t="shared" si="280"/>
        <v>6.6467944555508405</v>
      </c>
      <c r="BA254" s="4794">
        <f t="shared" si="281"/>
        <v>7.1580863367470586</v>
      </c>
      <c r="BB254" s="4794">
        <f t="shared" si="282"/>
        <v>7.6693782179432777</v>
      </c>
      <c r="BC254" s="4794">
        <f t="shared" si="283"/>
        <v>8.1806700991394958</v>
      </c>
      <c r="BD254" s="4794">
        <f t="shared" si="284"/>
        <v>8.691961980335714</v>
      </c>
      <c r="BE254" s="4794">
        <f t="shared" si="285"/>
        <v>4359.2745790789586</v>
      </c>
      <c r="BF254" s="4794">
        <f t="shared" si="286"/>
        <v>4847.0470337401512</v>
      </c>
      <c r="BG254" s="4794">
        <f t="shared" si="287"/>
        <v>5334.8194884013437</v>
      </c>
      <c r="BH254" s="4794">
        <f t="shared" si="288"/>
        <v>5822.5919430625363</v>
      </c>
      <c r="BI254" s="4794">
        <f t="shared" si="289"/>
        <v>6310.3643977237289</v>
      </c>
      <c r="BJ254" s="4794">
        <f t="shared" si="290"/>
        <v>6798.1368523849214</v>
      </c>
      <c r="BK254" s="4794">
        <f t="shared" si="291"/>
        <v>7285.909307046114</v>
      </c>
      <c r="BL254" s="4794">
        <f t="shared" si="292"/>
        <v>0</v>
      </c>
      <c r="BM254" s="4794">
        <f t="shared" si="293"/>
        <v>0</v>
      </c>
      <c r="BN254" s="4794">
        <f t="shared" si="294"/>
        <v>0</v>
      </c>
      <c r="BO254" s="4794">
        <f t="shared" si="295"/>
        <v>0</v>
      </c>
      <c r="BP254" s="4794">
        <f t="shared" si="296"/>
        <v>0</v>
      </c>
      <c r="BQ254" s="4794">
        <f t="shared" si="297"/>
        <v>0</v>
      </c>
      <c r="BR254" s="4794">
        <f t="shared" si="298"/>
        <v>0</v>
      </c>
      <c r="BS254" s="4794">
        <f t="shared" si="299"/>
        <v>0</v>
      </c>
      <c r="BT254" s="4794">
        <f t="shared" si="300"/>
        <v>0</v>
      </c>
      <c r="BU254" s="4794">
        <f t="shared" si="301"/>
        <v>0</v>
      </c>
      <c r="BV254" s="4794">
        <f t="shared" si="302"/>
        <v>0</v>
      </c>
      <c r="BW254" s="4794">
        <f t="shared" si="303"/>
        <v>0</v>
      </c>
      <c r="BX254" s="4794">
        <f t="shared" si="304"/>
        <v>0</v>
      </c>
      <c r="BY254" s="4794">
        <f t="shared" si="305"/>
        <v>0</v>
      </c>
    </row>
    <row r="255" spans="1:77" s="1344" customFormat="1">
      <c r="A255" s="2741">
        <v>19</v>
      </c>
      <c r="B255" s="2684" t="s">
        <v>705</v>
      </c>
      <c r="C255" s="2685">
        <v>0.04</v>
      </c>
      <c r="D255" s="2720" t="s">
        <v>423</v>
      </c>
      <c r="E255" s="4738">
        <f>+'11.3. ДА Базова година'!H194</f>
        <v>12</v>
      </c>
      <c r="F255" s="1247">
        <f t="shared" si="315"/>
        <v>13</v>
      </c>
      <c r="G255" s="1243">
        <f t="shared" si="315"/>
        <v>14</v>
      </c>
      <c r="H255" s="1243">
        <f t="shared" si="315"/>
        <v>15</v>
      </c>
      <c r="I255" s="1243">
        <f t="shared" si="315"/>
        <v>16</v>
      </c>
      <c r="J255" s="1243">
        <f t="shared" si="315"/>
        <v>17</v>
      </c>
      <c r="K255" s="1248">
        <f t="shared" si="315"/>
        <v>18</v>
      </c>
      <c r="L255" s="4738">
        <f>+'11.3. ДА Базова година'!L194</f>
        <v>0</v>
      </c>
      <c r="M255" s="1247">
        <f t="shared" si="316"/>
        <v>0</v>
      </c>
      <c r="N255" s="1243">
        <f t="shared" si="316"/>
        <v>0</v>
      </c>
      <c r="O255" s="1243">
        <f t="shared" si="316"/>
        <v>0</v>
      </c>
      <c r="P255" s="1243">
        <f t="shared" si="316"/>
        <v>0</v>
      </c>
      <c r="Q255" s="1243">
        <f t="shared" si="316"/>
        <v>0</v>
      </c>
      <c r="R255" s="1248">
        <f t="shared" si="316"/>
        <v>0</v>
      </c>
      <c r="S255" s="4738">
        <f>+'11.3. ДА Базова година'!P194</f>
        <v>2</v>
      </c>
      <c r="T255" s="1247">
        <f t="shared" si="317"/>
        <v>2</v>
      </c>
      <c r="U255" s="1243">
        <f t="shared" si="317"/>
        <v>2</v>
      </c>
      <c r="V255" s="1243">
        <f t="shared" si="317"/>
        <v>2</v>
      </c>
      <c r="W255" s="1243">
        <f t="shared" si="317"/>
        <v>2</v>
      </c>
      <c r="X255" s="1243">
        <f t="shared" si="317"/>
        <v>2</v>
      </c>
      <c r="Y255" s="1248">
        <f t="shared" si="317"/>
        <v>2</v>
      </c>
      <c r="Z255" s="4738">
        <f>+'11.3. ДА Базова година'!T194</f>
        <v>0</v>
      </c>
      <c r="AA255" s="1247">
        <f t="shared" si="318"/>
        <v>0</v>
      </c>
      <c r="AB255" s="1243">
        <f t="shared" si="318"/>
        <v>0</v>
      </c>
      <c r="AC255" s="1243">
        <f t="shared" si="318"/>
        <v>0</v>
      </c>
      <c r="AD255" s="1243">
        <f t="shared" si="318"/>
        <v>0</v>
      </c>
      <c r="AE255" s="1243">
        <f t="shared" si="318"/>
        <v>0</v>
      </c>
      <c r="AF255" s="1248">
        <f t="shared" si="318"/>
        <v>0</v>
      </c>
      <c r="AG255" s="4738">
        <f>+'11.3. ДА Базова година'!X194</f>
        <v>0</v>
      </c>
      <c r="AH255" s="1247">
        <f t="shared" si="319"/>
        <v>0</v>
      </c>
      <c r="AI255" s="1243">
        <f t="shared" si="319"/>
        <v>0</v>
      </c>
      <c r="AJ255" s="1243">
        <f t="shared" si="319"/>
        <v>0</v>
      </c>
      <c r="AK255" s="1243">
        <f t="shared" si="319"/>
        <v>0</v>
      </c>
      <c r="AL255" s="1243">
        <f t="shared" si="319"/>
        <v>0</v>
      </c>
      <c r="AM255" s="1248">
        <f t="shared" si="319"/>
        <v>0</v>
      </c>
      <c r="AN255" s="2681"/>
      <c r="AO255" s="2719"/>
      <c r="AP255" s="4775"/>
      <c r="AQ255" s="4794">
        <f t="shared" si="271"/>
        <v>6.1355025743546223</v>
      </c>
      <c r="AR255" s="4794">
        <f t="shared" si="272"/>
        <v>6.6467944555508405</v>
      </c>
      <c r="AS255" s="4794">
        <f t="shared" si="273"/>
        <v>7.1580863367470586</v>
      </c>
      <c r="AT255" s="4794">
        <f t="shared" si="274"/>
        <v>7.6693782179432777</v>
      </c>
      <c r="AU255" s="4794">
        <f t="shared" si="275"/>
        <v>8.1806700991394958</v>
      </c>
      <c r="AV255" s="4794">
        <f t="shared" si="276"/>
        <v>8.691961980335714</v>
      </c>
      <c r="AW255" s="4794">
        <f t="shared" si="277"/>
        <v>9.2032538615319321</v>
      </c>
      <c r="AX255" s="4794">
        <f t="shared" si="278"/>
        <v>0</v>
      </c>
      <c r="AY255" s="4794">
        <f t="shared" si="279"/>
        <v>0</v>
      </c>
      <c r="AZ255" s="4794">
        <f t="shared" si="280"/>
        <v>0</v>
      </c>
      <c r="BA255" s="4794">
        <f t="shared" si="281"/>
        <v>0</v>
      </c>
      <c r="BB255" s="4794">
        <f t="shared" si="282"/>
        <v>0</v>
      </c>
      <c r="BC255" s="4794">
        <f t="shared" si="283"/>
        <v>0</v>
      </c>
      <c r="BD255" s="4794">
        <f t="shared" si="284"/>
        <v>0</v>
      </c>
      <c r="BE255" s="4794">
        <f t="shared" si="285"/>
        <v>1.022583762392437</v>
      </c>
      <c r="BF255" s="4794">
        <f t="shared" si="286"/>
        <v>1.022583762392437</v>
      </c>
      <c r="BG255" s="4794">
        <f t="shared" si="287"/>
        <v>1.022583762392437</v>
      </c>
      <c r="BH255" s="4794">
        <f t="shared" si="288"/>
        <v>1.022583762392437</v>
      </c>
      <c r="BI255" s="4794">
        <f t="shared" si="289"/>
        <v>1.022583762392437</v>
      </c>
      <c r="BJ255" s="4794">
        <f t="shared" si="290"/>
        <v>1.022583762392437</v>
      </c>
      <c r="BK255" s="4794">
        <f t="shared" si="291"/>
        <v>1.022583762392437</v>
      </c>
      <c r="BL255" s="4794">
        <f t="shared" si="292"/>
        <v>0</v>
      </c>
      <c r="BM255" s="4794">
        <f t="shared" si="293"/>
        <v>0</v>
      </c>
      <c r="BN255" s="4794">
        <f t="shared" si="294"/>
        <v>0</v>
      </c>
      <c r="BO255" s="4794">
        <f t="shared" si="295"/>
        <v>0</v>
      </c>
      <c r="BP255" s="4794">
        <f t="shared" si="296"/>
        <v>0</v>
      </c>
      <c r="BQ255" s="4794">
        <f t="shared" si="297"/>
        <v>0</v>
      </c>
      <c r="BR255" s="4794">
        <f t="shared" si="298"/>
        <v>0</v>
      </c>
      <c r="BS255" s="4794">
        <f t="shared" si="299"/>
        <v>0</v>
      </c>
      <c r="BT255" s="4794">
        <f t="shared" si="300"/>
        <v>0</v>
      </c>
      <c r="BU255" s="4794">
        <f t="shared" si="301"/>
        <v>0</v>
      </c>
      <c r="BV255" s="4794">
        <f t="shared" si="302"/>
        <v>0</v>
      </c>
      <c r="BW255" s="4794">
        <f t="shared" si="303"/>
        <v>0</v>
      </c>
      <c r="BX255" s="4794">
        <f t="shared" si="304"/>
        <v>0</v>
      </c>
      <c r="BY255" s="4794">
        <f t="shared" si="305"/>
        <v>0</v>
      </c>
    </row>
    <row r="256" spans="1:77" s="1344" customFormat="1">
      <c r="A256" s="2741">
        <v>20</v>
      </c>
      <c r="B256" s="2684" t="s">
        <v>717</v>
      </c>
      <c r="C256" s="2685">
        <v>0.04</v>
      </c>
      <c r="D256" s="2739" t="s">
        <v>434</v>
      </c>
      <c r="E256" s="4738">
        <f>+'11.3. ДА Базова година'!H195</f>
        <v>18</v>
      </c>
      <c r="F256" s="1247">
        <f t="shared" si="315"/>
        <v>20</v>
      </c>
      <c r="G256" s="1243">
        <f t="shared" si="315"/>
        <v>22</v>
      </c>
      <c r="H256" s="1243">
        <f t="shared" si="315"/>
        <v>24</v>
      </c>
      <c r="I256" s="1243">
        <f t="shared" si="315"/>
        <v>26</v>
      </c>
      <c r="J256" s="1243">
        <f t="shared" si="315"/>
        <v>28</v>
      </c>
      <c r="K256" s="1248">
        <f t="shared" si="315"/>
        <v>30</v>
      </c>
      <c r="L256" s="4738">
        <f>+'11.3. ДА Базова година'!L195</f>
        <v>2</v>
      </c>
      <c r="M256" s="1247">
        <f t="shared" si="316"/>
        <v>2</v>
      </c>
      <c r="N256" s="1243">
        <f t="shared" si="316"/>
        <v>2</v>
      </c>
      <c r="O256" s="1243">
        <f t="shared" si="316"/>
        <v>2</v>
      </c>
      <c r="P256" s="1243">
        <f t="shared" si="316"/>
        <v>2</v>
      </c>
      <c r="Q256" s="1243">
        <f t="shared" si="316"/>
        <v>2</v>
      </c>
      <c r="R256" s="1248">
        <f t="shared" si="316"/>
        <v>2</v>
      </c>
      <c r="S256" s="4738">
        <f>+'11.3. ДА Базова година'!P195</f>
        <v>2</v>
      </c>
      <c r="T256" s="1247">
        <f t="shared" si="317"/>
        <v>2</v>
      </c>
      <c r="U256" s="1243">
        <f t="shared" si="317"/>
        <v>2</v>
      </c>
      <c r="V256" s="1243">
        <f t="shared" si="317"/>
        <v>2</v>
      </c>
      <c r="W256" s="1243">
        <f t="shared" si="317"/>
        <v>2</v>
      </c>
      <c r="X256" s="1243">
        <f t="shared" si="317"/>
        <v>2</v>
      </c>
      <c r="Y256" s="1248">
        <f t="shared" si="317"/>
        <v>2</v>
      </c>
      <c r="Z256" s="4738">
        <f>+'11.3. ДА Базова година'!T195</f>
        <v>0</v>
      </c>
      <c r="AA256" s="1247">
        <f t="shared" si="318"/>
        <v>0</v>
      </c>
      <c r="AB256" s="1243">
        <f t="shared" si="318"/>
        <v>0</v>
      </c>
      <c r="AC256" s="1243">
        <f t="shared" si="318"/>
        <v>0</v>
      </c>
      <c r="AD256" s="1243">
        <f t="shared" si="318"/>
        <v>0</v>
      </c>
      <c r="AE256" s="1243">
        <f t="shared" si="318"/>
        <v>0</v>
      </c>
      <c r="AF256" s="1248">
        <f t="shared" si="318"/>
        <v>0</v>
      </c>
      <c r="AG256" s="4738">
        <f>+'11.3. ДА Базова година'!X195</f>
        <v>0</v>
      </c>
      <c r="AH256" s="1247">
        <f t="shared" si="319"/>
        <v>0</v>
      </c>
      <c r="AI256" s="1243">
        <f t="shared" si="319"/>
        <v>0</v>
      </c>
      <c r="AJ256" s="1243">
        <f t="shared" si="319"/>
        <v>0</v>
      </c>
      <c r="AK256" s="1243">
        <f t="shared" si="319"/>
        <v>0</v>
      </c>
      <c r="AL256" s="1243">
        <f t="shared" si="319"/>
        <v>0</v>
      </c>
      <c r="AM256" s="1248">
        <f t="shared" si="319"/>
        <v>0</v>
      </c>
      <c r="AN256" s="2681"/>
      <c r="AO256" s="2719"/>
      <c r="AP256" s="4775"/>
      <c r="AQ256" s="4794">
        <f t="shared" ref="AQ256:AQ283" si="320">IFERROR(E256/$D$1,0)</f>
        <v>9.2032538615319321</v>
      </c>
      <c r="AR256" s="4794">
        <f t="shared" ref="AR256:AR283" si="321">IFERROR(F256/$D$1,0)</f>
        <v>10.22583762392437</v>
      </c>
      <c r="AS256" s="4794">
        <f t="shared" ref="AS256:AS283" si="322">IFERROR(G256/$D$1,0)</f>
        <v>11.248421386316807</v>
      </c>
      <c r="AT256" s="4794">
        <f t="shared" ref="AT256:AT283" si="323">IFERROR(H256/$D$1,0)</f>
        <v>12.271005148709245</v>
      </c>
      <c r="AU256" s="4794">
        <f t="shared" ref="AU256:AU283" si="324">IFERROR(I256/$D$1,0)</f>
        <v>13.293588911101681</v>
      </c>
      <c r="AV256" s="4794">
        <f t="shared" ref="AV256:AV283" si="325">IFERROR(J256/$D$1,0)</f>
        <v>14.316172673494117</v>
      </c>
      <c r="AW256" s="4794">
        <f t="shared" ref="AW256:AW283" si="326">IFERROR(K256/$D$1,0)</f>
        <v>15.338756435886555</v>
      </c>
      <c r="AX256" s="4794">
        <f t="shared" ref="AX256:AX283" si="327">IFERROR(L256/$D$1,0)</f>
        <v>1.022583762392437</v>
      </c>
      <c r="AY256" s="4794">
        <f t="shared" ref="AY256:AY283" si="328">IFERROR(M256/$D$1,0)</f>
        <v>1.022583762392437</v>
      </c>
      <c r="AZ256" s="4794">
        <f t="shared" ref="AZ256:AZ283" si="329">IFERROR(N256/$D$1,0)</f>
        <v>1.022583762392437</v>
      </c>
      <c r="BA256" s="4794">
        <f t="shared" ref="BA256:BA283" si="330">IFERROR(O256/$D$1,0)</f>
        <v>1.022583762392437</v>
      </c>
      <c r="BB256" s="4794">
        <f t="shared" ref="BB256:BB283" si="331">IFERROR(P256/$D$1,0)</f>
        <v>1.022583762392437</v>
      </c>
      <c r="BC256" s="4794">
        <f t="shared" ref="BC256:BC283" si="332">IFERROR(Q256/$D$1,0)</f>
        <v>1.022583762392437</v>
      </c>
      <c r="BD256" s="4794">
        <f t="shared" ref="BD256:BD283" si="333">IFERROR(R256/$D$1,0)</f>
        <v>1.022583762392437</v>
      </c>
      <c r="BE256" s="4794">
        <f t="shared" ref="BE256:BE283" si="334">IFERROR(S256/$D$1,0)</f>
        <v>1.022583762392437</v>
      </c>
      <c r="BF256" s="4794">
        <f t="shared" ref="BF256:BF283" si="335">IFERROR(T256/$D$1,0)</f>
        <v>1.022583762392437</v>
      </c>
      <c r="BG256" s="4794">
        <f t="shared" ref="BG256:BG283" si="336">IFERROR(U256/$D$1,0)</f>
        <v>1.022583762392437</v>
      </c>
      <c r="BH256" s="4794">
        <f t="shared" ref="BH256:BH283" si="337">IFERROR(V256/$D$1,0)</f>
        <v>1.022583762392437</v>
      </c>
      <c r="BI256" s="4794">
        <f t="shared" ref="BI256:BI283" si="338">IFERROR(W256/$D$1,0)</f>
        <v>1.022583762392437</v>
      </c>
      <c r="BJ256" s="4794">
        <f t="shared" ref="BJ256:BJ283" si="339">IFERROR(X256/$D$1,0)</f>
        <v>1.022583762392437</v>
      </c>
      <c r="BK256" s="4794">
        <f t="shared" ref="BK256:BK283" si="340">IFERROR(Y256/$D$1,0)</f>
        <v>1.022583762392437</v>
      </c>
      <c r="BL256" s="4794">
        <f t="shared" ref="BL256:BL283" si="341">IFERROR(Z256/$D$1,0)</f>
        <v>0</v>
      </c>
      <c r="BM256" s="4794">
        <f t="shared" ref="BM256:BM283" si="342">IFERROR(AA256/$D$1,0)</f>
        <v>0</v>
      </c>
      <c r="BN256" s="4794">
        <f t="shared" ref="BN256:BN283" si="343">IFERROR(AB256/$D$1,0)</f>
        <v>0</v>
      </c>
      <c r="BO256" s="4794">
        <f t="shared" ref="BO256:BO283" si="344">IFERROR(AC256/$D$1,0)</f>
        <v>0</v>
      </c>
      <c r="BP256" s="4794">
        <f t="shared" ref="BP256:BP283" si="345">IFERROR(AD256/$D$1,0)</f>
        <v>0</v>
      </c>
      <c r="BQ256" s="4794">
        <f t="shared" ref="BQ256:BQ283" si="346">IFERROR(AE256/$D$1,0)</f>
        <v>0</v>
      </c>
      <c r="BR256" s="4794">
        <f t="shared" ref="BR256:BR283" si="347">IFERROR(AF256/$D$1,0)</f>
        <v>0</v>
      </c>
      <c r="BS256" s="4794">
        <f t="shared" ref="BS256:BS283" si="348">IFERROR(AG256/$D$1,0)</f>
        <v>0</v>
      </c>
      <c r="BT256" s="4794">
        <f t="shared" ref="BT256:BT283" si="349">IFERROR(AH256/$D$1,0)</f>
        <v>0</v>
      </c>
      <c r="BU256" s="4794">
        <f t="shared" ref="BU256:BU283" si="350">IFERROR(AI256/$D$1,0)</f>
        <v>0</v>
      </c>
      <c r="BV256" s="4794">
        <f t="shared" ref="BV256:BV283" si="351">IFERROR(AJ256/$D$1,0)</f>
        <v>0</v>
      </c>
      <c r="BW256" s="4794">
        <f t="shared" ref="BW256:BW283" si="352">IFERROR(AK256/$D$1,0)</f>
        <v>0</v>
      </c>
      <c r="BX256" s="4794">
        <f t="shared" ref="BX256:BX283" si="353">IFERROR(AL256/$D$1,0)</f>
        <v>0</v>
      </c>
      <c r="BY256" s="4794">
        <f t="shared" ref="BY256:BY283" si="354">IFERROR(AM256/$D$1,0)</f>
        <v>0</v>
      </c>
    </row>
    <row r="257" spans="1:77" s="1344" customFormat="1" ht="24.75" thickBot="1">
      <c r="A257" s="2741">
        <v>21</v>
      </c>
      <c r="B257" s="2684" t="s">
        <v>707</v>
      </c>
      <c r="C257" s="2690">
        <v>0.2</v>
      </c>
      <c r="D257" s="2720" t="s">
        <v>679</v>
      </c>
      <c r="E257" s="4738">
        <f>+'11.3. ДА Базова година'!H196</f>
        <v>0</v>
      </c>
      <c r="F257" s="2811">
        <f t="shared" si="315"/>
        <v>0</v>
      </c>
      <c r="G257" s="2812">
        <f t="shared" si="315"/>
        <v>0</v>
      </c>
      <c r="H257" s="2812">
        <f t="shared" si="315"/>
        <v>0</v>
      </c>
      <c r="I257" s="2812">
        <f t="shared" si="315"/>
        <v>0</v>
      </c>
      <c r="J257" s="2812">
        <f t="shared" si="315"/>
        <v>0</v>
      </c>
      <c r="K257" s="2813">
        <f t="shared" si="315"/>
        <v>0</v>
      </c>
      <c r="L257" s="4738">
        <f>+'11.3. ДА Базова година'!L196</f>
        <v>0</v>
      </c>
      <c r="M257" s="2811">
        <f t="shared" si="316"/>
        <v>0</v>
      </c>
      <c r="N257" s="2812">
        <f t="shared" si="316"/>
        <v>0</v>
      </c>
      <c r="O257" s="2812">
        <f t="shared" si="316"/>
        <v>0</v>
      </c>
      <c r="P257" s="2812">
        <f t="shared" si="316"/>
        <v>0</v>
      </c>
      <c r="Q257" s="2812">
        <f t="shared" si="316"/>
        <v>0</v>
      </c>
      <c r="R257" s="2813">
        <f t="shared" si="316"/>
        <v>0</v>
      </c>
      <c r="S257" s="4738">
        <f>+'11.3. ДА Базова година'!P196</f>
        <v>835</v>
      </c>
      <c r="T257" s="2811">
        <f t="shared" si="317"/>
        <v>949</v>
      </c>
      <c r="U257" s="2812">
        <f t="shared" si="317"/>
        <v>1063</v>
      </c>
      <c r="V257" s="2812">
        <f t="shared" si="317"/>
        <v>1177</v>
      </c>
      <c r="W257" s="2812">
        <f t="shared" si="317"/>
        <v>1291</v>
      </c>
      <c r="X257" s="2812">
        <f t="shared" si="317"/>
        <v>1405</v>
      </c>
      <c r="Y257" s="2813">
        <f t="shared" si="317"/>
        <v>1519</v>
      </c>
      <c r="Z257" s="4738">
        <f>+'11.3. ДА Базова година'!T196</f>
        <v>0</v>
      </c>
      <c r="AA257" s="2811">
        <f t="shared" si="318"/>
        <v>0</v>
      </c>
      <c r="AB257" s="2812">
        <f t="shared" si="318"/>
        <v>0</v>
      </c>
      <c r="AC257" s="2812">
        <f t="shared" si="318"/>
        <v>0</v>
      </c>
      <c r="AD257" s="2812">
        <f t="shared" si="318"/>
        <v>0</v>
      </c>
      <c r="AE257" s="2812">
        <f t="shared" si="318"/>
        <v>0</v>
      </c>
      <c r="AF257" s="2813">
        <f t="shared" si="318"/>
        <v>0</v>
      </c>
      <c r="AG257" s="4738">
        <f>+'11.3. ДА Базова година'!X196</f>
        <v>0</v>
      </c>
      <c r="AH257" s="2811">
        <f t="shared" si="319"/>
        <v>0</v>
      </c>
      <c r="AI257" s="2812">
        <f t="shared" si="319"/>
        <v>0</v>
      </c>
      <c r="AJ257" s="2812">
        <f t="shared" si="319"/>
        <v>0</v>
      </c>
      <c r="AK257" s="2812">
        <f t="shared" si="319"/>
        <v>0</v>
      </c>
      <c r="AL257" s="2812">
        <f t="shared" si="319"/>
        <v>0</v>
      </c>
      <c r="AM257" s="2813">
        <f t="shared" si="319"/>
        <v>0</v>
      </c>
      <c r="AN257" s="2681"/>
      <c r="AO257" s="2719"/>
      <c r="AP257" s="4775"/>
      <c r="AQ257" s="4794">
        <f t="shared" si="320"/>
        <v>0</v>
      </c>
      <c r="AR257" s="4794">
        <f t="shared" si="321"/>
        <v>0</v>
      </c>
      <c r="AS257" s="4794">
        <f t="shared" si="322"/>
        <v>0</v>
      </c>
      <c r="AT257" s="4794">
        <f t="shared" si="323"/>
        <v>0</v>
      </c>
      <c r="AU257" s="4794">
        <f t="shared" si="324"/>
        <v>0</v>
      </c>
      <c r="AV257" s="4794">
        <f t="shared" si="325"/>
        <v>0</v>
      </c>
      <c r="AW257" s="4794">
        <f t="shared" si="326"/>
        <v>0</v>
      </c>
      <c r="AX257" s="4794">
        <f t="shared" si="327"/>
        <v>0</v>
      </c>
      <c r="AY257" s="4794">
        <f t="shared" si="328"/>
        <v>0</v>
      </c>
      <c r="AZ257" s="4794">
        <f t="shared" si="329"/>
        <v>0</v>
      </c>
      <c r="BA257" s="4794">
        <f t="shared" si="330"/>
        <v>0</v>
      </c>
      <c r="BB257" s="4794">
        <f t="shared" si="331"/>
        <v>0</v>
      </c>
      <c r="BC257" s="4794">
        <f t="shared" si="332"/>
        <v>0</v>
      </c>
      <c r="BD257" s="4794">
        <f t="shared" si="333"/>
        <v>0</v>
      </c>
      <c r="BE257" s="4794">
        <f t="shared" si="334"/>
        <v>426.92872079884245</v>
      </c>
      <c r="BF257" s="4794">
        <f t="shared" si="335"/>
        <v>485.21599525521134</v>
      </c>
      <c r="BG257" s="4794">
        <f t="shared" si="336"/>
        <v>543.50326971158029</v>
      </c>
      <c r="BH257" s="4794">
        <f t="shared" si="337"/>
        <v>601.79054416794918</v>
      </c>
      <c r="BI257" s="4794">
        <f t="shared" si="338"/>
        <v>660.07781862431807</v>
      </c>
      <c r="BJ257" s="4794">
        <f t="shared" si="339"/>
        <v>718.36509308068696</v>
      </c>
      <c r="BK257" s="4794">
        <f t="shared" si="340"/>
        <v>776.65236753705585</v>
      </c>
      <c r="BL257" s="4794">
        <f t="shared" si="341"/>
        <v>0</v>
      </c>
      <c r="BM257" s="4794">
        <f t="shared" si="342"/>
        <v>0</v>
      </c>
      <c r="BN257" s="4794">
        <f t="shared" si="343"/>
        <v>0</v>
      </c>
      <c r="BO257" s="4794">
        <f t="shared" si="344"/>
        <v>0</v>
      </c>
      <c r="BP257" s="4794">
        <f t="shared" si="345"/>
        <v>0</v>
      </c>
      <c r="BQ257" s="4794">
        <f t="shared" si="346"/>
        <v>0</v>
      </c>
      <c r="BR257" s="4794">
        <f t="shared" si="347"/>
        <v>0</v>
      </c>
      <c r="BS257" s="4794">
        <f t="shared" si="348"/>
        <v>0</v>
      </c>
      <c r="BT257" s="4794">
        <f t="shared" si="349"/>
        <v>0</v>
      </c>
      <c r="BU257" s="4794">
        <f t="shared" si="350"/>
        <v>0</v>
      </c>
      <c r="BV257" s="4794">
        <f t="shared" si="351"/>
        <v>0</v>
      </c>
      <c r="BW257" s="4794">
        <f t="shared" si="352"/>
        <v>0</v>
      </c>
      <c r="BX257" s="4794">
        <f t="shared" si="353"/>
        <v>0</v>
      </c>
      <c r="BY257" s="4794">
        <f t="shared" si="354"/>
        <v>0</v>
      </c>
    </row>
    <row r="258" spans="1:77" s="1344" customFormat="1" ht="13.5" thickBot="1">
      <c r="A258" s="3951" t="s">
        <v>221</v>
      </c>
      <c r="B258" s="2707"/>
      <c r="C258" s="2707"/>
      <c r="D258" s="2670" t="s">
        <v>222</v>
      </c>
      <c r="E258" s="1265">
        <f t="shared" ref="E258" si="355">SUM(E259:E279)</f>
        <v>74664</v>
      </c>
      <c r="F258" s="2807">
        <f t="shared" ref="F258:AM258" si="356">SUM(F259:F279)</f>
        <v>72608</v>
      </c>
      <c r="G258" s="1166">
        <f t="shared" si="356"/>
        <v>70552</v>
      </c>
      <c r="H258" s="1166">
        <f t="shared" si="356"/>
        <v>68496</v>
      </c>
      <c r="I258" s="1167">
        <f t="shared" si="356"/>
        <v>66440</v>
      </c>
      <c r="J258" s="1166">
        <f t="shared" si="356"/>
        <v>64384</v>
      </c>
      <c r="K258" s="1166">
        <f t="shared" si="356"/>
        <v>62328</v>
      </c>
      <c r="L258" s="1265">
        <f t="shared" si="356"/>
        <v>67644</v>
      </c>
      <c r="M258" s="2807">
        <f t="shared" si="356"/>
        <v>66016</v>
      </c>
      <c r="N258" s="1166">
        <f t="shared" si="356"/>
        <v>64388</v>
      </c>
      <c r="O258" s="1166">
        <f t="shared" si="356"/>
        <v>62760</v>
      </c>
      <c r="P258" s="1167">
        <f t="shared" si="356"/>
        <v>61132</v>
      </c>
      <c r="Q258" s="1166">
        <f t="shared" si="356"/>
        <v>59504</v>
      </c>
      <c r="R258" s="1166">
        <f t="shared" si="356"/>
        <v>57876</v>
      </c>
      <c r="S258" s="1265">
        <f t="shared" si="356"/>
        <v>26773</v>
      </c>
      <c r="T258" s="2807">
        <f t="shared" si="356"/>
        <v>25333</v>
      </c>
      <c r="U258" s="1166">
        <f t="shared" si="356"/>
        <v>23893</v>
      </c>
      <c r="V258" s="1166">
        <f t="shared" si="356"/>
        <v>22453</v>
      </c>
      <c r="W258" s="1167">
        <f t="shared" si="356"/>
        <v>21013</v>
      </c>
      <c r="X258" s="1166">
        <f t="shared" si="356"/>
        <v>19573</v>
      </c>
      <c r="Y258" s="2808">
        <f t="shared" si="356"/>
        <v>18133</v>
      </c>
      <c r="Z258" s="1265">
        <f t="shared" si="356"/>
        <v>0</v>
      </c>
      <c r="AA258" s="2807">
        <f t="shared" si="356"/>
        <v>0</v>
      </c>
      <c r="AB258" s="1166">
        <f t="shared" si="356"/>
        <v>0</v>
      </c>
      <c r="AC258" s="1166">
        <f t="shared" si="356"/>
        <v>0</v>
      </c>
      <c r="AD258" s="1167">
        <f t="shared" si="356"/>
        <v>0</v>
      </c>
      <c r="AE258" s="1166">
        <f t="shared" si="356"/>
        <v>0</v>
      </c>
      <c r="AF258" s="2808">
        <f t="shared" si="356"/>
        <v>0</v>
      </c>
      <c r="AG258" s="1265">
        <f t="shared" si="356"/>
        <v>0</v>
      </c>
      <c r="AH258" s="2807">
        <f t="shared" si="356"/>
        <v>0</v>
      </c>
      <c r="AI258" s="1166">
        <f t="shared" si="356"/>
        <v>0</v>
      </c>
      <c r="AJ258" s="1166">
        <f t="shared" si="356"/>
        <v>0</v>
      </c>
      <c r="AK258" s="1167">
        <f t="shared" si="356"/>
        <v>0</v>
      </c>
      <c r="AL258" s="1166">
        <f t="shared" si="356"/>
        <v>0</v>
      </c>
      <c r="AM258" s="2808">
        <f t="shared" si="356"/>
        <v>0</v>
      </c>
      <c r="AN258" s="2681"/>
      <c r="AO258" s="2719"/>
      <c r="AP258" s="4775"/>
      <c r="AQ258" s="4794">
        <f t="shared" si="320"/>
        <v>38175.097017634456</v>
      </c>
      <c r="AR258" s="4794">
        <f t="shared" si="321"/>
        <v>37123.88090989503</v>
      </c>
      <c r="AS258" s="4794">
        <f t="shared" si="322"/>
        <v>36072.66480215561</v>
      </c>
      <c r="AT258" s="4794">
        <f t="shared" si="323"/>
        <v>35021.448694416184</v>
      </c>
      <c r="AU258" s="4794">
        <f t="shared" si="324"/>
        <v>33970.232586676757</v>
      </c>
      <c r="AV258" s="4794">
        <f t="shared" si="325"/>
        <v>32919.01647893733</v>
      </c>
      <c r="AW258" s="4794">
        <f t="shared" si="326"/>
        <v>31867.800371197907</v>
      </c>
      <c r="AX258" s="4794">
        <f t="shared" si="327"/>
        <v>34585.828011637001</v>
      </c>
      <c r="AY258" s="4794">
        <f t="shared" si="328"/>
        <v>33753.444829049564</v>
      </c>
      <c r="AZ258" s="4794">
        <f t="shared" si="329"/>
        <v>32921.06164646212</v>
      </c>
      <c r="BA258" s="4794">
        <f t="shared" si="330"/>
        <v>32088.678463874672</v>
      </c>
      <c r="BB258" s="4794">
        <f t="shared" si="331"/>
        <v>31256.295281287228</v>
      </c>
      <c r="BC258" s="4794">
        <f t="shared" si="332"/>
        <v>30423.912098699784</v>
      </c>
      <c r="BD258" s="4794">
        <f t="shared" si="333"/>
        <v>29591.52891611234</v>
      </c>
      <c r="BE258" s="4794">
        <f t="shared" si="334"/>
        <v>13688.817535266358</v>
      </c>
      <c r="BF258" s="4794">
        <f t="shared" si="335"/>
        <v>12952.557226343803</v>
      </c>
      <c r="BG258" s="4794">
        <f t="shared" si="336"/>
        <v>12216.296917421249</v>
      </c>
      <c r="BH258" s="4794">
        <f t="shared" si="337"/>
        <v>11480.036608498694</v>
      </c>
      <c r="BI258" s="4794">
        <f t="shared" si="338"/>
        <v>10743.776299576139</v>
      </c>
      <c r="BJ258" s="4794">
        <f t="shared" si="339"/>
        <v>10007.515990653585</v>
      </c>
      <c r="BK258" s="4794">
        <f t="shared" si="340"/>
        <v>9271.2556817310306</v>
      </c>
      <c r="BL258" s="4794">
        <f t="shared" si="341"/>
        <v>0</v>
      </c>
      <c r="BM258" s="4794">
        <f t="shared" si="342"/>
        <v>0</v>
      </c>
      <c r="BN258" s="4794">
        <f t="shared" si="343"/>
        <v>0</v>
      </c>
      <c r="BO258" s="4794">
        <f t="shared" si="344"/>
        <v>0</v>
      </c>
      <c r="BP258" s="4794">
        <f t="shared" si="345"/>
        <v>0</v>
      </c>
      <c r="BQ258" s="4794">
        <f t="shared" si="346"/>
        <v>0</v>
      </c>
      <c r="BR258" s="4794">
        <f t="shared" si="347"/>
        <v>0</v>
      </c>
      <c r="BS258" s="4794">
        <f t="shared" si="348"/>
        <v>0</v>
      </c>
      <c r="BT258" s="4794">
        <f t="shared" si="349"/>
        <v>0</v>
      </c>
      <c r="BU258" s="4794">
        <f t="shared" si="350"/>
        <v>0</v>
      </c>
      <c r="BV258" s="4794">
        <f t="shared" si="351"/>
        <v>0</v>
      </c>
      <c r="BW258" s="4794">
        <f t="shared" si="352"/>
        <v>0</v>
      </c>
      <c r="BX258" s="4794">
        <f t="shared" si="353"/>
        <v>0</v>
      </c>
      <c r="BY258" s="4794">
        <f t="shared" si="354"/>
        <v>0</v>
      </c>
    </row>
    <row r="259" spans="1:77">
      <c r="A259" s="2683">
        <v>1</v>
      </c>
      <c r="B259" s="2744" t="s">
        <v>696</v>
      </c>
      <c r="C259" s="2701">
        <v>0</v>
      </c>
      <c r="D259" s="2731" t="s">
        <v>558</v>
      </c>
      <c r="E259" s="1268">
        <f>E193-E237</f>
        <v>27</v>
      </c>
      <c r="F259" s="2780">
        <f t="shared" ref="F259:L274" si="357">F193-F237</f>
        <v>27</v>
      </c>
      <c r="G259" s="2778">
        <f t="shared" si="357"/>
        <v>27</v>
      </c>
      <c r="H259" s="2778">
        <f t="shared" si="357"/>
        <v>27</v>
      </c>
      <c r="I259" s="2778">
        <f t="shared" si="357"/>
        <v>27</v>
      </c>
      <c r="J259" s="2778">
        <f t="shared" si="357"/>
        <v>27</v>
      </c>
      <c r="K259" s="2779">
        <f t="shared" si="357"/>
        <v>27</v>
      </c>
      <c r="L259" s="2814">
        <f>L193-L237</f>
        <v>0</v>
      </c>
      <c r="M259" s="2777">
        <f t="shared" ref="M259:S274" si="358">M193-M237</f>
        <v>0</v>
      </c>
      <c r="N259" s="2778">
        <f t="shared" si="358"/>
        <v>0</v>
      </c>
      <c r="O259" s="2778">
        <f t="shared" si="358"/>
        <v>0</v>
      </c>
      <c r="P259" s="2778">
        <f t="shared" si="358"/>
        <v>0</v>
      </c>
      <c r="Q259" s="2778">
        <f t="shared" si="358"/>
        <v>0</v>
      </c>
      <c r="R259" s="2779">
        <f t="shared" si="358"/>
        <v>0</v>
      </c>
      <c r="S259" s="1268">
        <f>S193-S237</f>
        <v>0</v>
      </c>
      <c r="T259" s="2780">
        <f t="shared" ref="T259:Z274" si="359">T193-T237</f>
        <v>0</v>
      </c>
      <c r="U259" s="2778">
        <f t="shared" si="359"/>
        <v>0</v>
      </c>
      <c r="V259" s="2778">
        <f t="shared" si="359"/>
        <v>0</v>
      </c>
      <c r="W259" s="2778">
        <f t="shared" si="359"/>
        <v>0</v>
      </c>
      <c r="X259" s="2778">
        <f t="shared" si="359"/>
        <v>0</v>
      </c>
      <c r="Y259" s="2779">
        <f t="shared" si="359"/>
        <v>0</v>
      </c>
      <c r="Z259" s="1268">
        <f>Z193-Z237</f>
        <v>0</v>
      </c>
      <c r="AA259" s="2780">
        <f t="shared" ref="AA259:AM274" si="360">AA193-AA237</f>
        <v>0</v>
      </c>
      <c r="AB259" s="2778">
        <f t="shared" si="360"/>
        <v>0</v>
      </c>
      <c r="AC259" s="2778">
        <f t="shared" si="360"/>
        <v>0</v>
      </c>
      <c r="AD259" s="2778">
        <f t="shared" si="360"/>
        <v>0</v>
      </c>
      <c r="AE259" s="2778">
        <f t="shared" si="360"/>
        <v>0</v>
      </c>
      <c r="AF259" s="2779">
        <f t="shared" si="360"/>
        <v>0</v>
      </c>
      <c r="AG259" s="1268">
        <f>AG193-AG237</f>
        <v>0</v>
      </c>
      <c r="AH259" s="2780">
        <f t="shared" ref="AH259:AM261" si="361">AH193-AH237</f>
        <v>0</v>
      </c>
      <c r="AI259" s="2778">
        <f t="shared" si="361"/>
        <v>0</v>
      </c>
      <c r="AJ259" s="2778">
        <f t="shared" si="361"/>
        <v>0</v>
      </c>
      <c r="AK259" s="2778">
        <f t="shared" si="361"/>
        <v>0</v>
      </c>
      <c r="AL259" s="2778">
        <f t="shared" si="361"/>
        <v>0</v>
      </c>
      <c r="AM259" s="2779">
        <f t="shared" si="361"/>
        <v>0</v>
      </c>
      <c r="AN259" s="2681"/>
      <c r="AO259" s="2719"/>
      <c r="AP259" s="4775"/>
      <c r="AQ259" s="4794">
        <f t="shared" si="320"/>
        <v>13.804880792297899</v>
      </c>
      <c r="AR259" s="4794">
        <f t="shared" si="321"/>
        <v>13.804880792297899</v>
      </c>
      <c r="AS259" s="4794">
        <f t="shared" si="322"/>
        <v>13.804880792297899</v>
      </c>
      <c r="AT259" s="4794">
        <f t="shared" si="323"/>
        <v>13.804880792297899</v>
      </c>
      <c r="AU259" s="4794">
        <f t="shared" si="324"/>
        <v>13.804880792297899</v>
      </c>
      <c r="AV259" s="4794">
        <f t="shared" si="325"/>
        <v>13.804880792297899</v>
      </c>
      <c r="AW259" s="4794">
        <f t="shared" si="326"/>
        <v>13.804880792297899</v>
      </c>
      <c r="AX259" s="4794">
        <f t="shared" si="327"/>
        <v>0</v>
      </c>
      <c r="AY259" s="4794">
        <f t="shared" si="328"/>
        <v>0</v>
      </c>
      <c r="AZ259" s="4794">
        <f t="shared" si="329"/>
        <v>0</v>
      </c>
      <c r="BA259" s="4794">
        <f t="shared" si="330"/>
        <v>0</v>
      </c>
      <c r="BB259" s="4794">
        <f t="shared" si="331"/>
        <v>0</v>
      </c>
      <c r="BC259" s="4794">
        <f t="shared" si="332"/>
        <v>0</v>
      </c>
      <c r="BD259" s="4794">
        <f t="shared" si="333"/>
        <v>0</v>
      </c>
      <c r="BE259" s="4794">
        <f t="shared" si="334"/>
        <v>0</v>
      </c>
      <c r="BF259" s="4794">
        <f t="shared" si="335"/>
        <v>0</v>
      </c>
      <c r="BG259" s="4794">
        <f t="shared" si="336"/>
        <v>0</v>
      </c>
      <c r="BH259" s="4794">
        <f t="shared" si="337"/>
        <v>0</v>
      </c>
      <c r="BI259" s="4794">
        <f t="shared" si="338"/>
        <v>0</v>
      </c>
      <c r="BJ259" s="4794">
        <f t="shared" si="339"/>
        <v>0</v>
      </c>
      <c r="BK259" s="4794">
        <f t="shared" si="340"/>
        <v>0</v>
      </c>
      <c r="BL259" s="4794">
        <f t="shared" si="341"/>
        <v>0</v>
      </c>
      <c r="BM259" s="4794">
        <f t="shared" si="342"/>
        <v>0</v>
      </c>
      <c r="BN259" s="4794">
        <f t="shared" si="343"/>
        <v>0</v>
      </c>
      <c r="BO259" s="4794">
        <f t="shared" si="344"/>
        <v>0</v>
      </c>
      <c r="BP259" s="4794">
        <f t="shared" si="345"/>
        <v>0</v>
      </c>
      <c r="BQ259" s="4794">
        <f t="shared" si="346"/>
        <v>0</v>
      </c>
      <c r="BR259" s="4794">
        <f t="shared" si="347"/>
        <v>0</v>
      </c>
      <c r="BS259" s="4794">
        <f t="shared" si="348"/>
        <v>0</v>
      </c>
      <c r="BT259" s="4794">
        <f t="shared" si="349"/>
        <v>0</v>
      </c>
      <c r="BU259" s="4794">
        <f t="shared" si="350"/>
        <v>0</v>
      </c>
      <c r="BV259" s="4794">
        <f t="shared" si="351"/>
        <v>0</v>
      </c>
      <c r="BW259" s="4794">
        <f t="shared" si="352"/>
        <v>0</v>
      </c>
      <c r="BX259" s="4794">
        <f t="shared" si="353"/>
        <v>0</v>
      </c>
      <c r="BY259" s="4794">
        <f t="shared" si="354"/>
        <v>0</v>
      </c>
    </row>
    <row r="260" spans="1:77">
      <c r="A260" s="2683">
        <v>2</v>
      </c>
      <c r="B260" s="2684" t="s">
        <v>697</v>
      </c>
      <c r="C260" s="2685">
        <v>0.03</v>
      </c>
      <c r="D260" s="2739" t="s">
        <v>426</v>
      </c>
      <c r="E260" s="1268">
        <f>E194-E238</f>
        <v>203</v>
      </c>
      <c r="F260" s="1247">
        <f t="shared" si="357"/>
        <v>194</v>
      </c>
      <c r="G260" s="1243">
        <f t="shared" si="357"/>
        <v>185</v>
      </c>
      <c r="H260" s="1243">
        <f t="shared" si="357"/>
        <v>176</v>
      </c>
      <c r="I260" s="1243">
        <f t="shared" si="357"/>
        <v>167</v>
      </c>
      <c r="J260" s="1243">
        <f t="shared" si="357"/>
        <v>158</v>
      </c>
      <c r="K260" s="1248">
        <f t="shared" si="357"/>
        <v>149</v>
      </c>
      <c r="L260" s="2816">
        <f>L194-L238</f>
        <v>0</v>
      </c>
      <c r="M260" s="927">
        <f t="shared" si="358"/>
        <v>0</v>
      </c>
      <c r="N260" s="1243">
        <f t="shared" si="358"/>
        <v>0</v>
      </c>
      <c r="O260" s="1243">
        <f t="shared" si="358"/>
        <v>0</v>
      </c>
      <c r="P260" s="1243">
        <f t="shared" si="358"/>
        <v>0</v>
      </c>
      <c r="Q260" s="1243">
        <f t="shared" si="358"/>
        <v>0</v>
      </c>
      <c r="R260" s="1248">
        <f t="shared" si="358"/>
        <v>0</v>
      </c>
      <c r="S260" s="1268">
        <f>S194-S238</f>
        <v>9283</v>
      </c>
      <c r="T260" s="1247">
        <f t="shared" si="359"/>
        <v>8912</v>
      </c>
      <c r="U260" s="1243">
        <f t="shared" si="359"/>
        <v>8541</v>
      </c>
      <c r="V260" s="1243">
        <f t="shared" si="359"/>
        <v>8170</v>
      </c>
      <c r="W260" s="1243">
        <f t="shared" si="359"/>
        <v>7799</v>
      </c>
      <c r="X260" s="1243">
        <f t="shared" si="359"/>
        <v>7428</v>
      </c>
      <c r="Y260" s="1248">
        <f t="shared" si="359"/>
        <v>7057</v>
      </c>
      <c r="Z260" s="1268">
        <f>Z194-Z238</f>
        <v>0</v>
      </c>
      <c r="AA260" s="1247">
        <f t="shared" si="360"/>
        <v>0</v>
      </c>
      <c r="AB260" s="1243">
        <f t="shared" si="360"/>
        <v>0</v>
      </c>
      <c r="AC260" s="1243">
        <f t="shared" si="360"/>
        <v>0</v>
      </c>
      <c r="AD260" s="1243">
        <f t="shared" si="360"/>
        <v>0</v>
      </c>
      <c r="AE260" s="1243">
        <f t="shared" si="360"/>
        <v>0</v>
      </c>
      <c r="AF260" s="1248">
        <f t="shared" si="360"/>
        <v>0</v>
      </c>
      <c r="AG260" s="1268">
        <f>AG194-AG238</f>
        <v>0</v>
      </c>
      <c r="AH260" s="1247">
        <f t="shared" si="361"/>
        <v>0</v>
      </c>
      <c r="AI260" s="1243">
        <f t="shared" si="361"/>
        <v>0</v>
      </c>
      <c r="AJ260" s="1243">
        <f t="shared" si="361"/>
        <v>0</v>
      </c>
      <c r="AK260" s="1243">
        <f t="shared" si="361"/>
        <v>0</v>
      </c>
      <c r="AL260" s="1243">
        <f t="shared" si="361"/>
        <v>0</v>
      </c>
      <c r="AM260" s="1248">
        <f t="shared" si="361"/>
        <v>0</v>
      </c>
      <c r="AN260" s="2681"/>
      <c r="AO260" s="2719"/>
      <c r="AP260" s="4775"/>
      <c r="AQ260" s="4794">
        <f t="shared" si="320"/>
        <v>103.79225188283236</v>
      </c>
      <c r="AR260" s="4794">
        <f t="shared" si="321"/>
        <v>99.190624952066386</v>
      </c>
      <c r="AS260" s="4794">
        <f t="shared" si="322"/>
        <v>94.588998021300426</v>
      </c>
      <c r="AT260" s="4794">
        <f t="shared" si="323"/>
        <v>89.987371090534452</v>
      </c>
      <c r="AU260" s="4794">
        <f t="shared" si="324"/>
        <v>85.385744159768493</v>
      </c>
      <c r="AV260" s="4794">
        <f t="shared" si="325"/>
        <v>80.784117229002518</v>
      </c>
      <c r="AW260" s="4794">
        <f t="shared" si="326"/>
        <v>76.182490298236559</v>
      </c>
      <c r="AX260" s="4794">
        <f t="shared" si="327"/>
        <v>0</v>
      </c>
      <c r="AY260" s="4794">
        <f t="shared" si="328"/>
        <v>0</v>
      </c>
      <c r="AZ260" s="4794">
        <f t="shared" si="329"/>
        <v>0</v>
      </c>
      <c r="BA260" s="4794">
        <f t="shared" si="330"/>
        <v>0</v>
      </c>
      <c r="BB260" s="4794">
        <f t="shared" si="331"/>
        <v>0</v>
      </c>
      <c r="BC260" s="4794">
        <f t="shared" si="332"/>
        <v>0</v>
      </c>
      <c r="BD260" s="4794">
        <f t="shared" si="333"/>
        <v>0</v>
      </c>
      <c r="BE260" s="4794">
        <f t="shared" si="334"/>
        <v>4746.3225331444964</v>
      </c>
      <c r="BF260" s="4794">
        <f t="shared" si="335"/>
        <v>4556.6332452206989</v>
      </c>
      <c r="BG260" s="4794">
        <f t="shared" si="336"/>
        <v>4366.9439572969022</v>
      </c>
      <c r="BH260" s="4794">
        <f t="shared" si="337"/>
        <v>4177.2546693731047</v>
      </c>
      <c r="BI260" s="4794">
        <f t="shared" si="338"/>
        <v>3987.565381449308</v>
      </c>
      <c r="BJ260" s="4794">
        <f t="shared" si="339"/>
        <v>3797.8760935255109</v>
      </c>
      <c r="BK260" s="4794">
        <f t="shared" si="340"/>
        <v>3608.1868056017138</v>
      </c>
      <c r="BL260" s="4794">
        <f t="shared" si="341"/>
        <v>0</v>
      </c>
      <c r="BM260" s="4794">
        <f t="shared" si="342"/>
        <v>0</v>
      </c>
      <c r="BN260" s="4794">
        <f t="shared" si="343"/>
        <v>0</v>
      </c>
      <c r="BO260" s="4794">
        <f t="shared" si="344"/>
        <v>0</v>
      </c>
      <c r="BP260" s="4794">
        <f t="shared" si="345"/>
        <v>0</v>
      </c>
      <c r="BQ260" s="4794">
        <f t="shared" si="346"/>
        <v>0</v>
      </c>
      <c r="BR260" s="4794">
        <f t="shared" si="347"/>
        <v>0</v>
      </c>
      <c r="BS260" s="4794">
        <f t="shared" si="348"/>
        <v>0</v>
      </c>
      <c r="BT260" s="4794">
        <f t="shared" si="349"/>
        <v>0</v>
      </c>
      <c r="BU260" s="4794">
        <f t="shared" si="350"/>
        <v>0</v>
      </c>
      <c r="BV260" s="4794">
        <f t="shared" si="351"/>
        <v>0</v>
      </c>
      <c r="BW260" s="4794">
        <f t="shared" si="352"/>
        <v>0</v>
      </c>
      <c r="BX260" s="4794">
        <f t="shared" si="353"/>
        <v>0</v>
      </c>
      <c r="BY260" s="4794">
        <f t="shared" si="354"/>
        <v>0</v>
      </c>
    </row>
    <row r="261" spans="1:77">
      <c r="A261" s="2683">
        <v>3</v>
      </c>
      <c r="B261" s="2684">
        <v>911301</v>
      </c>
      <c r="C261" s="2685">
        <v>0.1</v>
      </c>
      <c r="D261" s="2739" t="s">
        <v>427</v>
      </c>
      <c r="E261" s="1268">
        <f>E195-E239</f>
        <v>0</v>
      </c>
      <c r="F261" s="1247">
        <f t="shared" si="357"/>
        <v>0</v>
      </c>
      <c r="G261" s="1243">
        <f t="shared" si="357"/>
        <v>0</v>
      </c>
      <c r="H261" s="1243">
        <f t="shared" si="357"/>
        <v>0</v>
      </c>
      <c r="I261" s="1243">
        <f t="shared" si="357"/>
        <v>0</v>
      </c>
      <c r="J261" s="1243">
        <f t="shared" si="357"/>
        <v>0</v>
      </c>
      <c r="K261" s="1248">
        <f t="shared" si="357"/>
        <v>0</v>
      </c>
      <c r="L261" s="2816">
        <f>L195-L239</f>
        <v>0</v>
      </c>
      <c r="M261" s="927">
        <f t="shared" si="358"/>
        <v>0</v>
      </c>
      <c r="N261" s="1243">
        <f t="shared" si="358"/>
        <v>0</v>
      </c>
      <c r="O261" s="1243">
        <f t="shared" si="358"/>
        <v>0</v>
      </c>
      <c r="P261" s="1243">
        <f t="shared" si="358"/>
        <v>0</v>
      </c>
      <c r="Q261" s="1243">
        <f t="shared" si="358"/>
        <v>0</v>
      </c>
      <c r="R261" s="1248">
        <f t="shared" si="358"/>
        <v>0</v>
      </c>
      <c r="S261" s="1268">
        <f>S195-S239</f>
        <v>0</v>
      </c>
      <c r="T261" s="1247">
        <f t="shared" si="359"/>
        <v>0</v>
      </c>
      <c r="U261" s="1243">
        <f t="shared" si="359"/>
        <v>0</v>
      </c>
      <c r="V261" s="1243">
        <f t="shared" si="359"/>
        <v>0</v>
      </c>
      <c r="W261" s="1243">
        <f t="shared" si="359"/>
        <v>0</v>
      </c>
      <c r="X261" s="1243">
        <f t="shared" si="359"/>
        <v>0</v>
      </c>
      <c r="Y261" s="1248">
        <f t="shared" si="359"/>
        <v>0</v>
      </c>
      <c r="Z261" s="1268">
        <f>Z195-Z239</f>
        <v>0</v>
      </c>
      <c r="AA261" s="1247">
        <f t="shared" si="360"/>
        <v>0</v>
      </c>
      <c r="AB261" s="1243">
        <f t="shared" si="360"/>
        <v>0</v>
      </c>
      <c r="AC261" s="1243">
        <f t="shared" si="360"/>
        <v>0</v>
      </c>
      <c r="AD261" s="1243">
        <f t="shared" si="360"/>
        <v>0</v>
      </c>
      <c r="AE261" s="1243">
        <f t="shared" si="360"/>
        <v>0</v>
      </c>
      <c r="AF261" s="1248">
        <f t="shared" si="360"/>
        <v>0</v>
      </c>
      <c r="AG261" s="1268">
        <f>AG195-AG239</f>
        <v>0</v>
      </c>
      <c r="AH261" s="1247">
        <f t="shared" si="361"/>
        <v>0</v>
      </c>
      <c r="AI261" s="1243">
        <f t="shared" si="361"/>
        <v>0</v>
      </c>
      <c r="AJ261" s="1243">
        <f t="shared" si="361"/>
        <v>0</v>
      </c>
      <c r="AK261" s="1243">
        <f t="shared" si="361"/>
        <v>0</v>
      </c>
      <c r="AL261" s="1243">
        <f t="shared" si="361"/>
        <v>0</v>
      </c>
      <c r="AM261" s="1248">
        <f t="shared" si="361"/>
        <v>0</v>
      </c>
      <c r="AN261" s="2681"/>
      <c r="AO261" s="2719"/>
      <c r="AP261" s="4775"/>
      <c r="AQ261" s="4794">
        <f t="shared" si="320"/>
        <v>0</v>
      </c>
      <c r="AR261" s="4794">
        <f t="shared" si="321"/>
        <v>0</v>
      </c>
      <c r="AS261" s="4794">
        <f t="shared" si="322"/>
        <v>0</v>
      </c>
      <c r="AT261" s="4794">
        <f t="shared" si="323"/>
        <v>0</v>
      </c>
      <c r="AU261" s="4794">
        <f t="shared" si="324"/>
        <v>0</v>
      </c>
      <c r="AV261" s="4794">
        <f t="shared" si="325"/>
        <v>0</v>
      </c>
      <c r="AW261" s="4794">
        <f t="shared" si="326"/>
        <v>0</v>
      </c>
      <c r="AX261" s="4794">
        <f t="shared" si="327"/>
        <v>0</v>
      </c>
      <c r="AY261" s="4794">
        <f t="shared" si="328"/>
        <v>0</v>
      </c>
      <c r="AZ261" s="4794">
        <f t="shared" si="329"/>
        <v>0</v>
      </c>
      <c r="BA261" s="4794">
        <f t="shared" si="330"/>
        <v>0</v>
      </c>
      <c r="BB261" s="4794">
        <f t="shared" si="331"/>
        <v>0</v>
      </c>
      <c r="BC261" s="4794">
        <f t="shared" si="332"/>
        <v>0</v>
      </c>
      <c r="BD261" s="4794">
        <f t="shared" si="333"/>
        <v>0</v>
      </c>
      <c r="BE261" s="4794">
        <f t="shared" si="334"/>
        <v>0</v>
      </c>
      <c r="BF261" s="4794">
        <f t="shared" si="335"/>
        <v>0</v>
      </c>
      <c r="BG261" s="4794">
        <f t="shared" si="336"/>
        <v>0</v>
      </c>
      <c r="BH261" s="4794">
        <f t="shared" si="337"/>
        <v>0</v>
      </c>
      <c r="BI261" s="4794">
        <f t="shared" si="338"/>
        <v>0</v>
      </c>
      <c r="BJ261" s="4794">
        <f t="shared" si="339"/>
        <v>0</v>
      </c>
      <c r="BK261" s="4794">
        <f t="shared" si="340"/>
        <v>0</v>
      </c>
      <c r="BL261" s="4794">
        <f t="shared" si="341"/>
        <v>0</v>
      </c>
      <c r="BM261" s="4794">
        <f t="shared" si="342"/>
        <v>0</v>
      </c>
      <c r="BN261" s="4794">
        <f t="shared" si="343"/>
        <v>0</v>
      </c>
      <c r="BO261" s="4794">
        <f t="shared" si="344"/>
        <v>0</v>
      </c>
      <c r="BP261" s="4794">
        <f t="shared" si="345"/>
        <v>0</v>
      </c>
      <c r="BQ261" s="4794">
        <f t="shared" si="346"/>
        <v>0</v>
      </c>
      <c r="BR261" s="4794">
        <f t="shared" si="347"/>
        <v>0</v>
      </c>
      <c r="BS261" s="4794">
        <f t="shared" si="348"/>
        <v>0</v>
      </c>
      <c r="BT261" s="4794">
        <f t="shared" si="349"/>
        <v>0</v>
      </c>
      <c r="BU261" s="4794">
        <f t="shared" si="350"/>
        <v>0</v>
      </c>
      <c r="BV261" s="4794">
        <f t="shared" si="351"/>
        <v>0</v>
      </c>
      <c r="BW261" s="4794">
        <f t="shared" si="352"/>
        <v>0</v>
      </c>
      <c r="BX261" s="4794">
        <f t="shared" si="353"/>
        <v>0</v>
      </c>
      <c r="BY261" s="4794">
        <f t="shared" si="354"/>
        <v>0</v>
      </c>
    </row>
    <row r="262" spans="1:77">
      <c r="A262" s="2683">
        <v>4</v>
      </c>
      <c r="B262" s="2684">
        <v>911302</v>
      </c>
      <c r="C262" s="2685">
        <v>0.1</v>
      </c>
      <c r="D262" s="2739" t="s">
        <v>428</v>
      </c>
      <c r="E262" s="1268">
        <f t="shared" ref="E262:E279" si="362">E196-E240</f>
        <v>0</v>
      </c>
      <c r="F262" s="1247">
        <f t="shared" si="357"/>
        <v>0</v>
      </c>
      <c r="G262" s="1243">
        <f t="shared" si="357"/>
        <v>0</v>
      </c>
      <c r="H262" s="1243">
        <f t="shared" si="357"/>
        <v>0</v>
      </c>
      <c r="I262" s="1243">
        <f t="shared" si="357"/>
        <v>0</v>
      </c>
      <c r="J262" s="1243">
        <f t="shared" si="357"/>
        <v>0</v>
      </c>
      <c r="K262" s="1248">
        <f t="shared" si="357"/>
        <v>0</v>
      </c>
      <c r="L262" s="2816">
        <f t="shared" si="357"/>
        <v>0</v>
      </c>
      <c r="M262" s="927">
        <f t="shared" si="358"/>
        <v>0</v>
      </c>
      <c r="N262" s="1243">
        <f t="shared" si="358"/>
        <v>0</v>
      </c>
      <c r="O262" s="1243">
        <f t="shared" si="358"/>
        <v>0</v>
      </c>
      <c r="P262" s="1243">
        <f t="shared" si="358"/>
        <v>0</v>
      </c>
      <c r="Q262" s="1243">
        <f t="shared" si="358"/>
        <v>0</v>
      </c>
      <c r="R262" s="1248">
        <f t="shared" si="358"/>
        <v>0</v>
      </c>
      <c r="S262" s="1268">
        <f t="shared" si="358"/>
        <v>0</v>
      </c>
      <c r="T262" s="1247">
        <f t="shared" si="359"/>
        <v>0</v>
      </c>
      <c r="U262" s="1243">
        <f t="shared" si="359"/>
        <v>0</v>
      </c>
      <c r="V262" s="1243">
        <f t="shared" si="359"/>
        <v>0</v>
      </c>
      <c r="W262" s="1243">
        <f t="shared" si="359"/>
        <v>0</v>
      </c>
      <c r="X262" s="1243">
        <f t="shared" si="359"/>
        <v>0</v>
      </c>
      <c r="Y262" s="1248">
        <f t="shared" si="359"/>
        <v>0</v>
      </c>
      <c r="Z262" s="1268">
        <f t="shared" si="359"/>
        <v>0</v>
      </c>
      <c r="AA262" s="1247">
        <f t="shared" si="360"/>
        <v>0</v>
      </c>
      <c r="AB262" s="1243">
        <f t="shared" si="360"/>
        <v>0</v>
      </c>
      <c r="AC262" s="1243">
        <f t="shared" si="360"/>
        <v>0</v>
      </c>
      <c r="AD262" s="1243">
        <f t="shared" si="360"/>
        <v>0</v>
      </c>
      <c r="AE262" s="1243">
        <f t="shared" si="360"/>
        <v>0</v>
      </c>
      <c r="AF262" s="1248">
        <f t="shared" si="360"/>
        <v>0</v>
      </c>
      <c r="AG262" s="1268">
        <f t="shared" si="360"/>
        <v>0</v>
      </c>
      <c r="AH262" s="1247">
        <f t="shared" si="360"/>
        <v>0</v>
      </c>
      <c r="AI262" s="1243">
        <f t="shared" si="360"/>
        <v>0</v>
      </c>
      <c r="AJ262" s="1243">
        <f t="shared" si="360"/>
        <v>0</v>
      </c>
      <c r="AK262" s="1243">
        <f t="shared" si="360"/>
        <v>0</v>
      </c>
      <c r="AL262" s="1243">
        <f t="shared" si="360"/>
        <v>0</v>
      </c>
      <c r="AM262" s="1248">
        <f t="shared" si="360"/>
        <v>0</v>
      </c>
      <c r="AN262" s="2681"/>
      <c r="AO262" s="2719"/>
      <c r="AP262" s="4775"/>
      <c r="AQ262" s="4794">
        <f t="shared" si="320"/>
        <v>0</v>
      </c>
      <c r="AR262" s="4794">
        <f t="shared" si="321"/>
        <v>0</v>
      </c>
      <c r="AS262" s="4794">
        <f t="shared" si="322"/>
        <v>0</v>
      </c>
      <c r="AT262" s="4794">
        <f t="shared" si="323"/>
        <v>0</v>
      </c>
      <c r="AU262" s="4794">
        <f t="shared" si="324"/>
        <v>0</v>
      </c>
      <c r="AV262" s="4794">
        <f t="shared" si="325"/>
        <v>0</v>
      </c>
      <c r="AW262" s="4794">
        <f t="shared" si="326"/>
        <v>0</v>
      </c>
      <c r="AX262" s="4794">
        <f t="shared" si="327"/>
        <v>0</v>
      </c>
      <c r="AY262" s="4794">
        <f t="shared" si="328"/>
        <v>0</v>
      </c>
      <c r="AZ262" s="4794">
        <f t="shared" si="329"/>
        <v>0</v>
      </c>
      <c r="BA262" s="4794">
        <f t="shared" si="330"/>
        <v>0</v>
      </c>
      <c r="BB262" s="4794">
        <f t="shared" si="331"/>
        <v>0</v>
      </c>
      <c r="BC262" s="4794">
        <f t="shared" si="332"/>
        <v>0</v>
      </c>
      <c r="BD262" s="4794">
        <f t="shared" si="333"/>
        <v>0</v>
      </c>
      <c r="BE262" s="4794">
        <f t="shared" si="334"/>
        <v>0</v>
      </c>
      <c r="BF262" s="4794">
        <f t="shared" si="335"/>
        <v>0</v>
      </c>
      <c r="BG262" s="4794">
        <f t="shared" si="336"/>
        <v>0</v>
      </c>
      <c r="BH262" s="4794">
        <f t="shared" si="337"/>
        <v>0</v>
      </c>
      <c r="BI262" s="4794">
        <f t="shared" si="338"/>
        <v>0</v>
      </c>
      <c r="BJ262" s="4794">
        <f t="shared" si="339"/>
        <v>0</v>
      </c>
      <c r="BK262" s="4794">
        <f t="shared" si="340"/>
        <v>0</v>
      </c>
      <c r="BL262" s="4794">
        <f t="shared" si="341"/>
        <v>0</v>
      </c>
      <c r="BM262" s="4794">
        <f t="shared" si="342"/>
        <v>0</v>
      </c>
      <c r="BN262" s="4794">
        <f t="shared" si="343"/>
        <v>0</v>
      </c>
      <c r="BO262" s="4794">
        <f t="shared" si="344"/>
        <v>0</v>
      </c>
      <c r="BP262" s="4794">
        <f t="shared" si="345"/>
        <v>0</v>
      </c>
      <c r="BQ262" s="4794">
        <f t="shared" si="346"/>
        <v>0</v>
      </c>
      <c r="BR262" s="4794">
        <f t="shared" si="347"/>
        <v>0</v>
      </c>
      <c r="BS262" s="4794">
        <f t="shared" si="348"/>
        <v>0</v>
      </c>
      <c r="BT262" s="4794">
        <f t="shared" si="349"/>
        <v>0</v>
      </c>
      <c r="BU262" s="4794">
        <f t="shared" si="350"/>
        <v>0</v>
      </c>
      <c r="BV262" s="4794">
        <f t="shared" si="351"/>
        <v>0</v>
      </c>
      <c r="BW262" s="4794">
        <f t="shared" si="352"/>
        <v>0</v>
      </c>
      <c r="BX262" s="4794">
        <f t="shared" si="353"/>
        <v>0</v>
      </c>
      <c r="BY262" s="4794">
        <f t="shared" si="354"/>
        <v>0</v>
      </c>
    </row>
    <row r="263" spans="1:77">
      <c r="A263" s="2683">
        <v>5</v>
      </c>
      <c r="B263" s="2684" t="s">
        <v>714</v>
      </c>
      <c r="C263" s="2685">
        <v>0.1</v>
      </c>
      <c r="D263" s="2720" t="s">
        <v>407</v>
      </c>
      <c r="E263" s="1268">
        <f t="shared" si="362"/>
        <v>3</v>
      </c>
      <c r="F263" s="1247">
        <f t="shared" si="357"/>
        <v>2</v>
      </c>
      <c r="G263" s="1243">
        <f t="shared" si="357"/>
        <v>1</v>
      </c>
      <c r="H263" s="1243">
        <f t="shared" si="357"/>
        <v>0</v>
      </c>
      <c r="I263" s="1243">
        <f t="shared" si="357"/>
        <v>-1</v>
      </c>
      <c r="J263" s="1243">
        <f t="shared" si="357"/>
        <v>-2</v>
      </c>
      <c r="K263" s="1248">
        <f t="shared" si="357"/>
        <v>-3</v>
      </c>
      <c r="L263" s="2816">
        <f t="shared" si="357"/>
        <v>0</v>
      </c>
      <c r="M263" s="927">
        <f t="shared" si="358"/>
        <v>0</v>
      </c>
      <c r="N263" s="1243">
        <f t="shared" si="358"/>
        <v>0</v>
      </c>
      <c r="O263" s="1243">
        <f t="shared" si="358"/>
        <v>0</v>
      </c>
      <c r="P263" s="1243">
        <f t="shared" si="358"/>
        <v>0</v>
      </c>
      <c r="Q263" s="1243">
        <f t="shared" si="358"/>
        <v>0</v>
      </c>
      <c r="R263" s="1248">
        <f t="shared" si="358"/>
        <v>0</v>
      </c>
      <c r="S263" s="1268">
        <f t="shared" si="358"/>
        <v>2</v>
      </c>
      <c r="T263" s="1247">
        <f t="shared" si="359"/>
        <v>2</v>
      </c>
      <c r="U263" s="1243">
        <f t="shared" si="359"/>
        <v>2</v>
      </c>
      <c r="V263" s="1243">
        <f t="shared" si="359"/>
        <v>2</v>
      </c>
      <c r="W263" s="1243">
        <f t="shared" si="359"/>
        <v>2</v>
      </c>
      <c r="X263" s="1243">
        <f t="shared" si="359"/>
        <v>2</v>
      </c>
      <c r="Y263" s="1248">
        <f t="shared" si="359"/>
        <v>2</v>
      </c>
      <c r="Z263" s="1268">
        <f t="shared" si="359"/>
        <v>0</v>
      </c>
      <c r="AA263" s="1247">
        <f t="shared" si="360"/>
        <v>0</v>
      </c>
      <c r="AB263" s="1243">
        <f t="shared" si="360"/>
        <v>0</v>
      </c>
      <c r="AC263" s="1243">
        <f t="shared" si="360"/>
        <v>0</v>
      </c>
      <c r="AD263" s="1243">
        <f t="shared" si="360"/>
        <v>0</v>
      </c>
      <c r="AE263" s="1243">
        <f t="shared" si="360"/>
        <v>0</v>
      </c>
      <c r="AF263" s="1248">
        <f t="shared" si="360"/>
        <v>0</v>
      </c>
      <c r="AG263" s="1268">
        <f t="shared" si="360"/>
        <v>0</v>
      </c>
      <c r="AH263" s="1247">
        <f t="shared" si="360"/>
        <v>0</v>
      </c>
      <c r="AI263" s="1243">
        <f t="shared" si="360"/>
        <v>0</v>
      </c>
      <c r="AJ263" s="1243">
        <f t="shared" si="360"/>
        <v>0</v>
      </c>
      <c r="AK263" s="1243">
        <f t="shared" si="360"/>
        <v>0</v>
      </c>
      <c r="AL263" s="1243">
        <f t="shared" si="360"/>
        <v>0</v>
      </c>
      <c r="AM263" s="1248">
        <f t="shared" si="360"/>
        <v>0</v>
      </c>
      <c r="AN263" s="2681"/>
      <c r="AO263" s="2719"/>
      <c r="AP263" s="4775"/>
      <c r="AQ263" s="4794">
        <f t="shared" si="320"/>
        <v>1.5338756435886556</v>
      </c>
      <c r="AR263" s="4794">
        <f t="shared" si="321"/>
        <v>1.022583762392437</v>
      </c>
      <c r="AS263" s="4794">
        <f t="shared" si="322"/>
        <v>0.51129188119621849</v>
      </c>
      <c r="AT263" s="4794">
        <f t="shared" si="323"/>
        <v>0</v>
      </c>
      <c r="AU263" s="4794">
        <f t="shared" si="324"/>
        <v>-0.51129188119621849</v>
      </c>
      <c r="AV263" s="4794">
        <f t="shared" si="325"/>
        <v>-1.022583762392437</v>
      </c>
      <c r="AW263" s="4794">
        <f t="shared" si="326"/>
        <v>-1.5338756435886556</v>
      </c>
      <c r="AX263" s="4794">
        <f t="shared" si="327"/>
        <v>0</v>
      </c>
      <c r="AY263" s="4794">
        <f t="shared" si="328"/>
        <v>0</v>
      </c>
      <c r="AZ263" s="4794">
        <f t="shared" si="329"/>
        <v>0</v>
      </c>
      <c r="BA263" s="4794">
        <f t="shared" si="330"/>
        <v>0</v>
      </c>
      <c r="BB263" s="4794">
        <f t="shared" si="331"/>
        <v>0</v>
      </c>
      <c r="BC263" s="4794">
        <f t="shared" si="332"/>
        <v>0</v>
      </c>
      <c r="BD263" s="4794">
        <f t="shared" si="333"/>
        <v>0</v>
      </c>
      <c r="BE263" s="4794">
        <f t="shared" si="334"/>
        <v>1.022583762392437</v>
      </c>
      <c r="BF263" s="4794">
        <f t="shared" si="335"/>
        <v>1.022583762392437</v>
      </c>
      <c r="BG263" s="4794">
        <f t="shared" si="336"/>
        <v>1.022583762392437</v>
      </c>
      <c r="BH263" s="4794">
        <f t="shared" si="337"/>
        <v>1.022583762392437</v>
      </c>
      <c r="BI263" s="4794">
        <f t="shared" si="338"/>
        <v>1.022583762392437</v>
      </c>
      <c r="BJ263" s="4794">
        <f t="shared" si="339"/>
        <v>1.022583762392437</v>
      </c>
      <c r="BK263" s="4794">
        <f t="shared" si="340"/>
        <v>1.022583762392437</v>
      </c>
      <c r="BL263" s="4794">
        <f t="shared" si="341"/>
        <v>0</v>
      </c>
      <c r="BM263" s="4794">
        <f t="shared" si="342"/>
        <v>0</v>
      </c>
      <c r="BN263" s="4794">
        <f t="shared" si="343"/>
        <v>0</v>
      </c>
      <c r="BO263" s="4794">
        <f t="shared" si="344"/>
        <v>0</v>
      </c>
      <c r="BP263" s="4794">
        <f t="shared" si="345"/>
        <v>0</v>
      </c>
      <c r="BQ263" s="4794">
        <f t="shared" si="346"/>
        <v>0</v>
      </c>
      <c r="BR263" s="4794">
        <f t="shared" si="347"/>
        <v>0</v>
      </c>
      <c r="BS263" s="4794">
        <f t="shared" si="348"/>
        <v>0</v>
      </c>
      <c r="BT263" s="4794">
        <f t="shared" si="349"/>
        <v>0</v>
      </c>
      <c r="BU263" s="4794">
        <f t="shared" si="350"/>
        <v>0</v>
      </c>
      <c r="BV263" s="4794">
        <f t="shared" si="351"/>
        <v>0</v>
      </c>
      <c r="BW263" s="4794">
        <f t="shared" si="352"/>
        <v>0</v>
      </c>
      <c r="BX263" s="4794">
        <f t="shared" si="353"/>
        <v>0</v>
      </c>
      <c r="BY263" s="4794">
        <f t="shared" si="354"/>
        <v>0</v>
      </c>
    </row>
    <row r="264" spans="1:77">
      <c r="A264" s="2683">
        <v>6</v>
      </c>
      <c r="B264" s="2684" t="s">
        <v>715</v>
      </c>
      <c r="C264" s="2685">
        <v>0.1</v>
      </c>
      <c r="D264" s="2720" t="s">
        <v>1001</v>
      </c>
      <c r="E264" s="1268">
        <f t="shared" si="362"/>
        <v>10</v>
      </c>
      <c r="F264" s="1247">
        <f t="shared" si="357"/>
        <v>5</v>
      </c>
      <c r="G264" s="1243">
        <f t="shared" si="357"/>
        <v>0</v>
      </c>
      <c r="H264" s="1243">
        <f t="shared" si="357"/>
        <v>-5</v>
      </c>
      <c r="I264" s="1243">
        <f t="shared" si="357"/>
        <v>-10</v>
      </c>
      <c r="J264" s="1243">
        <f t="shared" si="357"/>
        <v>-15</v>
      </c>
      <c r="K264" s="1248">
        <f t="shared" si="357"/>
        <v>-20</v>
      </c>
      <c r="L264" s="2816">
        <f t="shared" si="357"/>
        <v>0</v>
      </c>
      <c r="M264" s="927">
        <f t="shared" si="358"/>
        <v>0</v>
      </c>
      <c r="N264" s="1243">
        <f t="shared" si="358"/>
        <v>0</v>
      </c>
      <c r="O264" s="1243">
        <f t="shared" si="358"/>
        <v>0</v>
      </c>
      <c r="P264" s="1243">
        <f t="shared" si="358"/>
        <v>0</v>
      </c>
      <c r="Q264" s="1243">
        <f t="shared" si="358"/>
        <v>0</v>
      </c>
      <c r="R264" s="1248">
        <f t="shared" si="358"/>
        <v>0</v>
      </c>
      <c r="S264" s="1268">
        <f t="shared" si="358"/>
        <v>0</v>
      </c>
      <c r="T264" s="1247">
        <f t="shared" si="359"/>
        <v>0</v>
      </c>
      <c r="U264" s="1243">
        <f t="shared" si="359"/>
        <v>0</v>
      </c>
      <c r="V264" s="1243">
        <f t="shared" si="359"/>
        <v>0</v>
      </c>
      <c r="W264" s="1243">
        <f t="shared" si="359"/>
        <v>0</v>
      </c>
      <c r="X264" s="1243">
        <f t="shared" si="359"/>
        <v>0</v>
      </c>
      <c r="Y264" s="1248">
        <f t="shared" si="359"/>
        <v>0</v>
      </c>
      <c r="Z264" s="1268">
        <f t="shared" si="359"/>
        <v>0</v>
      </c>
      <c r="AA264" s="1247">
        <f t="shared" si="360"/>
        <v>0</v>
      </c>
      <c r="AB264" s="1243">
        <f t="shared" si="360"/>
        <v>0</v>
      </c>
      <c r="AC264" s="1243">
        <f t="shared" si="360"/>
        <v>0</v>
      </c>
      <c r="AD264" s="1243">
        <f t="shared" si="360"/>
        <v>0</v>
      </c>
      <c r="AE264" s="1243">
        <f t="shared" si="360"/>
        <v>0</v>
      </c>
      <c r="AF264" s="1248">
        <f t="shared" si="360"/>
        <v>0</v>
      </c>
      <c r="AG264" s="1268">
        <f t="shared" si="360"/>
        <v>0</v>
      </c>
      <c r="AH264" s="1247">
        <f t="shared" si="360"/>
        <v>0</v>
      </c>
      <c r="AI264" s="1243">
        <f t="shared" si="360"/>
        <v>0</v>
      </c>
      <c r="AJ264" s="1243">
        <f t="shared" si="360"/>
        <v>0</v>
      </c>
      <c r="AK264" s="1243">
        <f t="shared" si="360"/>
        <v>0</v>
      </c>
      <c r="AL264" s="1243">
        <f t="shared" si="360"/>
        <v>0</v>
      </c>
      <c r="AM264" s="1248">
        <f t="shared" si="360"/>
        <v>0</v>
      </c>
      <c r="AN264" s="2681"/>
      <c r="AO264" s="2719"/>
      <c r="AP264" s="4775"/>
      <c r="AQ264" s="4794">
        <f t="shared" si="320"/>
        <v>5.1129188119621851</v>
      </c>
      <c r="AR264" s="4794">
        <f t="shared" si="321"/>
        <v>2.5564594059810926</v>
      </c>
      <c r="AS264" s="4794">
        <f t="shared" si="322"/>
        <v>0</v>
      </c>
      <c r="AT264" s="4794">
        <f t="shared" si="323"/>
        <v>-2.5564594059810926</v>
      </c>
      <c r="AU264" s="4794">
        <f t="shared" si="324"/>
        <v>-5.1129188119621851</v>
      </c>
      <c r="AV264" s="4794">
        <f t="shared" si="325"/>
        <v>-7.6693782179432777</v>
      </c>
      <c r="AW264" s="4794">
        <f t="shared" si="326"/>
        <v>-10.22583762392437</v>
      </c>
      <c r="AX264" s="4794">
        <f t="shared" si="327"/>
        <v>0</v>
      </c>
      <c r="AY264" s="4794">
        <f t="shared" si="328"/>
        <v>0</v>
      </c>
      <c r="AZ264" s="4794">
        <f t="shared" si="329"/>
        <v>0</v>
      </c>
      <c r="BA264" s="4794">
        <f t="shared" si="330"/>
        <v>0</v>
      </c>
      <c r="BB264" s="4794">
        <f t="shared" si="331"/>
        <v>0</v>
      </c>
      <c r="BC264" s="4794">
        <f t="shared" si="332"/>
        <v>0</v>
      </c>
      <c r="BD264" s="4794">
        <f t="shared" si="333"/>
        <v>0</v>
      </c>
      <c r="BE264" s="4794">
        <f t="shared" si="334"/>
        <v>0</v>
      </c>
      <c r="BF264" s="4794">
        <f t="shared" si="335"/>
        <v>0</v>
      </c>
      <c r="BG264" s="4794">
        <f t="shared" si="336"/>
        <v>0</v>
      </c>
      <c r="BH264" s="4794">
        <f t="shared" si="337"/>
        <v>0</v>
      </c>
      <c r="BI264" s="4794">
        <f t="shared" si="338"/>
        <v>0</v>
      </c>
      <c r="BJ264" s="4794">
        <f t="shared" si="339"/>
        <v>0</v>
      </c>
      <c r="BK264" s="4794">
        <f t="shared" si="340"/>
        <v>0</v>
      </c>
      <c r="BL264" s="4794">
        <f t="shared" si="341"/>
        <v>0</v>
      </c>
      <c r="BM264" s="4794">
        <f t="shared" si="342"/>
        <v>0</v>
      </c>
      <c r="BN264" s="4794">
        <f t="shared" si="343"/>
        <v>0</v>
      </c>
      <c r="BO264" s="4794">
        <f t="shared" si="344"/>
        <v>0</v>
      </c>
      <c r="BP264" s="4794">
        <f t="shared" si="345"/>
        <v>0</v>
      </c>
      <c r="BQ264" s="4794">
        <f t="shared" si="346"/>
        <v>0</v>
      </c>
      <c r="BR264" s="4794">
        <f t="shared" si="347"/>
        <v>0</v>
      </c>
      <c r="BS264" s="4794">
        <f t="shared" si="348"/>
        <v>0</v>
      </c>
      <c r="BT264" s="4794">
        <f t="shared" si="349"/>
        <v>0</v>
      </c>
      <c r="BU264" s="4794">
        <f t="shared" si="350"/>
        <v>0</v>
      </c>
      <c r="BV264" s="4794">
        <f t="shared" si="351"/>
        <v>0</v>
      </c>
      <c r="BW264" s="4794">
        <f t="shared" si="352"/>
        <v>0</v>
      </c>
      <c r="BX264" s="4794">
        <f t="shared" si="353"/>
        <v>0</v>
      </c>
      <c r="BY264" s="4794">
        <f t="shared" si="354"/>
        <v>0</v>
      </c>
    </row>
    <row r="265" spans="1:77" ht="24">
      <c r="A265" s="2683">
        <v>7</v>
      </c>
      <c r="B265" s="2684" t="s">
        <v>706</v>
      </c>
      <c r="C265" s="2685">
        <v>0.1</v>
      </c>
      <c r="D265" s="2720" t="s">
        <v>695</v>
      </c>
      <c r="E265" s="1268">
        <f t="shared" si="362"/>
        <v>12</v>
      </c>
      <c r="F265" s="1247">
        <f t="shared" si="357"/>
        <v>5</v>
      </c>
      <c r="G265" s="1243">
        <f t="shared" si="357"/>
        <v>-2</v>
      </c>
      <c r="H265" s="1243">
        <f t="shared" si="357"/>
        <v>-9</v>
      </c>
      <c r="I265" s="1243">
        <f t="shared" si="357"/>
        <v>-16</v>
      </c>
      <c r="J265" s="1243">
        <f t="shared" si="357"/>
        <v>-23</v>
      </c>
      <c r="K265" s="1248">
        <f t="shared" si="357"/>
        <v>-30</v>
      </c>
      <c r="L265" s="2816">
        <f t="shared" si="357"/>
        <v>0</v>
      </c>
      <c r="M265" s="927">
        <f t="shared" si="358"/>
        <v>0</v>
      </c>
      <c r="N265" s="1243">
        <f t="shared" si="358"/>
        <v>0</v>
      </c>
      <c r="O265" s="1243">
        <f t="shared" si="358"/>
        <v>0</v>
      </c>
      <c r="P265" s="1243">
        <f t="shared" si="358"/>
        <v>0</v>
      </c>
      <c r="Q265" s="1243">
        <f t="shared" si="358"/>
        <v>0</v>
      </c>
      <c r="R265" s="1248">
        <f t="shared" si="358"/>
        <v>0</v>
      </c>
      <c r="S265" s="1268">
        <f t="shared" si="358"/>
        <v>0</v>
      </c>
      <c r="T265" s="1247">
        <f t="shared" si="359"/>
        <v>0</v>
      </c>
      <c r="U265" s="1243">
        <f t="shared" si="359"/>
        <v>0</v>
      </c>
      <c r="V265" s="1243">
        <f t="shared" si="359"/>
        <v>0</v>
      </c>
      <c r="W265" s="1243">
        <f t="shared" si="359"/>
        <v>0</v>
      </c>
      <c r="X265" s="1243">
        <f t="shared" si="359"/>
        <v>0</v>
      </c>
      <c r="Y265" s="1248">
        <f t="shared" si="359"/>
        <v>0</v>
      </c>
      <c r="Z265" s="1268">
        <f t="shared" si="359"/>
        <v>0</v>
      </c>
      <c r="AA265" s="1247">
        <f t="shared" si="360"/>
        <v>0</v>
      </c>
      <c r="AB265" s="1243">
        <f t="shared" si="360"/>
        <v>0</v>
      </c>
      <c r="AC265" s="1243">
        <f t="shared" si="360"/>
        <v>0</v>
      </c>
      <c r="AD265" s="1243">
        <f t="shared" si="360"/>
        <v>0</v>
      </c>
      <c r="AE265" s="1243">
        <f t="shared" si="360"/>
        <v>0</v>
      </c>
      <c r="AF265" s="1248">
        <f t="shared" si="360"/>
        <v>0</v>
      </c>
      <c r="AG265" s="1268">
        <f t="shared" si="360"/>
        <v>0</v>
      </c>
      <c r="AH265" s="1247">
        <f t="shared" si="360"/>
        <v>0</v>
      </c>
      <c r="AI265" s="1243">
        <f t="shared" si="360"/>
        <v>0</v>
      </c>
      <c r="AJ265" s="1243">
        <f t="shared" si="360"/>
        <v>0</v>
      </c>
      <c r="AK265" s="1243">
        <f t="shared" si="360"/>
        <v>0</v>
      </c>
      <c r="AL265" s="1243">
        <f t="shared" si="360"/>
        <v>0</v>
      </c>
      <c r="AM265" s="1248">
        <f t="shared" si="360"/>
        <v>0</v>
      </c>
      <c r="AN265" s="2681"/>
      <c r="AO265" s="2719"/>
      <c r="AP265" s="4775"/>
      <c r="AQ265" s="4794">
        <f t="shared" si="320"/>
        <v>6.1355025743546223</v>
      </c>
      <c r="AR265" s="4794">
        <f t="shared" si="321"/>
        <v>2.5564594059810926</v>
      </c>
      <c r="AS265" s="4794">
        <f t="shared" si="322"/>
        <v>-1.022583762392437</v>
      </c>
      <c r="AT265" s="4794">
        <f t="shared" si="323"/>
        <v>-4.6016269307659661</v>
      </c>
      <c r="AU265" s="4794">
        <f t="shared" si="324"/>
        <v>-8.1806700991394958</v>
      </c>
      <c r="AV265" s="4794">
        <f t="shared" si="325"/>
        <v>-11.759713267513025</v>
      </c>
      <c r="AW265" s="4794">
        <f t="shared" si="326"/>
        <v>-15.338756435886555</v>
      </c>
      <c r="AX265" s="4794">
        <f t="shared" si="327"/>
        <v>0</v>
      </c>
      <c r="AY265" s="4794">
        <f t="shared" si="328"/>
        <v>0</v>
      </c>
      <c r="AZ265" s="4794">
        <f t="shared" si="329"/>
        <v>0</v>
      </c>
      <c r="BA265" s="4794">
        <f t="shared" si="330"/>
        <v>0</v>
      </c>
      <c r="BB265" s="4794">
        <f t="shared" si="331"/>
        <v>0</v>
      </c>
      <c r="BC265" s="4794">
        <f t="shared" si="332"/>
        <v>0</v>
      </c>
      <c r="BD265" s="4794">
        <f t="shared" si="333"/>
        <v>0</v>
      </c>
      <c r="BE265" s="4794">
        <f t="shared" si="334"/>
        <v>0</v>
      </c>
      <c r="BF265" s="4794">
        <f t="shared" si="335"/>
        <v>0</v>
      </c>
      <c r="BG265" s="4794">
        <f t="shared" si="336"/>
        <v>0</v>
      </c>
      <c r="BH265" s="4794">
        <f t="shared" si="337"/>
        <v>0</v>
      </c>
      <c r="BI265" s="4794">
        <f t="shared" si="338"/>
        <v>0</v>
      </c>
      <c r="BJ265" s="4794">
        <f t="shared" si="339"/>
        <v>0</v>
      </c>
      <c r="BK265" s="4794">
        <f t="shared" si="340"/>
        <v>0</v>
      </c>
      <c r="BL265" s="4794">
        <f t="shared" si="341"/>
        <v>0</v>
      </c>
      <c r="BM265" s="4794">
        <f t="shared" si="342"/>
        <v>0</v>
      </c>
      <c r="BN265" s="4794">
        <f t="shared" si="343"/>
        <v>0</v>
      </c>
      <c r="BO265" s="4794">
        <f t="shared" si="344"/>
        <v>0</v>
      </c>
      <c r="BP265" s="4794">
        <f t="shared" si="345"/>
        <v>0</v>
      </c>
      <c r="BQ265" s="4794">
        <f t="shared" si="346"/>
        <v>0</v>
      </c>
      <c r="BR265" s="4794">
        <f t="shared" si="347"/>
        <v>0</v>
      </c>
      <c r="BS265" s="4794">
        <f t="shared" si="348"/>
        <v>0</v>
      </c>
      <c r="BT265" s="4794">
        <f t="shared" si="349"/>
        <v>0</v>
      </c>
      <c r="BU265" s="4794">
        <f t="shared" si="350"/>
        <v>0</v>
      </c>
      <c r="BV265" s="4794">
        <f t="shared" si="351"/>
        <v>0</v>
      </c>
      <c r="BW265" s="4794">
        <f t="shared" si="352"/>
        <v>0</v>
      </c>
      <c r="BX265" s="4794">
        <f t="shared" si="353"/>
        <v>0</v>
      </c>
      <c r="BY265" s="4794">
        <f t="shared" si="354"/>
        <v>0</v>
      </c>
    </row>
    <row r="266" spans="1:77">
      <c r="A266" s="2683">
        <v>8</v>
      </c>
      <c r="B266" s="2684" t="s">
        <v>716</v>
      </c>
      <c r="C266" s="2685">
        <v>0.1</v>
      </c>
      <c r="D266" s="2720" t="s">
        <v>713</v>
      </c>
      <c r="E266" s="1268">
        <f t="shared" si="362"/>
        <v>273</v>
      </c>
      <c r="F266" s="1247">
        <f t="shared" si="357"/>
        <v>139</v>
      </c>
      <c r="G266" s="1243">
        <f t="shared" si="357"/>
        <v>5</v>
      </c>
      <c r="H266" s="1243">
        <f t="shared" si="357"/>
        <v>-129</v>
      </c>
      <c r="I266" s="1243">
        <f t="shared" si="357"/>
        <v>-263</v>
      </c>
      <c r="J266" s="1243">
        <f t="shared" si="357"/>
        <v>-397</v>
      </c>
      <c r="K266" s="1248">
        <f t="shared" si="357"/>
        <v>-531</v>
      </c>
      <c r="L266" s="2816">
        <f t="shared" si="357"/>
        <v>0</v>
      </c>
      <c r="M266" s="927">
        <f t="shared" si="358"/>
        <v>0</v>
      </c>
      <c r="N266" s="1243">
        <f t="shared" si="358"/>
        <v>0</v>
      </c>
      <c r="O266" s="1243">
        <f t="shared" si="358"/>
        <v>0</v>
      </c>
      <c r="P266" s="1243">
        <f t="shared" si="358"/>
        <v>0</v>
      </c>
      <c r="Q266" s="1243">
        <f t="shared" si="358"/>
        <v>0</v>
      </c>
      <c r="R266" s="1248">
        <f t="shared" si="358"/>
        <v>0</v>
      </c>
      <c r="S266" s="1268">
        <f t="shared" si="358"/>
        <v>0</v>
      </c>
      <c r="T266" s="1247">
        <f t="shared" si="359"/>
        <v>0</v>
      </c>
      <c r="U266" s="1243">
        <f t="shared" si="359"/>
        <v>0</v>
      </c>
      <c r="V266" s="1243">
        <f t="shared" si="359"/>
        <v>0</v>
      </c>
      <c r="W266" s="1243">
        <f t="shared" si="359"/>
        <v>0</v>
      </c>
      <c r="X266" s="1243">
        <f t="shared" si="359"/>
        <v>0</v>
      </c>
      <c r="Y266" s="1248">
        <f t="shared" si="359"/>
        <v>0</v>
      </c>
      <c r="Z266" s="1268">
        <f t="shared" si="359"/>
        <v>0</v>
      </c>
      <c r="AA266" s="1247">
        <f t="shared" si="360"/>
        <v>0</v>
      </c>
      <c r="AB266" s="1243">
        <f t="shared" si="360"/>
        <v>0</v>
      </c>
      <c r="AC266" s="1243">
        <f t="shared" si="360"/>
        <v>0</v>
      </c>
      <c r="AD266" s="1243">
        <f t="shared" si="360"/>
        <v>0</v>
      </c>
      <c r="AE266" s="1243">
        <f t="shared" si="360"/>
        <v>0</v>
      </c>
      <c r="AF266" s="1248">
        <f t="shared" si="360"/>
        <v>0</v>
      </c>
      <c r="AG266" s="1268">
        <f t="shared" si="360"/>
        <v>0</v>
      </c>
      <c r="AH266" s="1247">
        <f t="shared" si="360"/>
        <v>0</v>
      </c>
      <c r="AI266" s="1243">
        <f t="shared" si="360"/>
        <v>0</v>
      </c>
      <c r="AJ266" s="1243">
        <f t="shared" si="360"/>
        <v>0</v>
      </c>
      <c r="AK266" s="1243">
        <f t="shared" si="360"/>
        <v>0</v>
      </c>
      <c r="AL266" s="1243">
        <f t="shared" si="360"/>
        <v>0</v>
      </c>
      <c r="AM266" s="1248">
        <f t="shared" si="360"/>
        <v>0</v>
      </c>
      <c r="AN266" s="2681"/>
      <c r="AO266" s="2719"/>
      <c r="AP266" s="4775"/>
      <c r="AQ266" s="4794">
        <f t="shared" si="320"/>
        <v>139.58268356656765</v>
      </c>
      <c r="AR266" s="4794">
        <f t="shared" si="321"/>
        <v>71.06957148627437</v>
      </c>
      <c r="AS266" s="4794">
        <f t="shared" si="322"/>
        <v>2.5564594059810926</v>
      </c>
      <c r="AT266" s="4794">
        <f t="shared" si="323"/>
        <v>-65.956652674312181</v>
      </c>
      <c r="AU266" s="4794">
        <f t="shared" si="324"/>
        <v>-134.46976475460548</v>
      </c>
      <c r="AV266" s="4794">
        <f t="shared" si="325"/>
        <v>-202.98287683489875</v>
      </c>
      <c r="AW266" s="4794">
        <f t="shared" si="326"/>
        <v>-271.49598891519202</v>
      </c>
      <c r="AX266" s="4794">
        <f t="shared" si="327"/>
        <v>0</v>
      </c>
      <c r="AY266" s="4794">
        <f t="shared" si="328"/>
        <v>0</v>
      </c>
      <c r="AZ266" s="4794">
        <f t="shared" si="329"/>
        <v>0</v>
      </c>
      <c r="BA266" s="4794">
        <f t="shared" si="330"/>
        <v>0</v>
      </c>
      <c r="BB266" s="4794">
        <f t="shared" si="331"/>
        <v>0</v>
      </c>
      <c r="BC266" s="4794">
        <f t="shared" si="332"/>
        <v>0</v>
      </c>
      <c r="BD266" s="4794">
        <f t="shared" si="333"/>
        <v>0</v>
      </c>
      <c r="BE266" s="4794">
        <f t="shared" si="334"/>
        <v>0</v>
      </c>
      <c r="BF266" s="4794">
        <f t="shared" si="335"/>
        <v>0</v>
      </c>
      <c r="BG266" s="4794">
        <f t="shared" si="336"/>
        <v>0</v>
      </c>
      <c r="BH266" s="4794">
        <f t="shared" si="337"/>
        <v>0</v>
      </c>
      <c r="BI266" s="4794">
        <f t="shared" si="338"/>
        <v>0</v>
      </c>
      <c r="BJ266" s="4794">
        <f t="shared" si="339"/>
        <v>0</v>
      </c>
      <c r="BK266" s="4794">
        <f t="shared" si="340"/>
        <v>0</v>
      </c>
      <c r="BL266" s="4794">
        <f t="shared" si="341"/>
        <v>0</v>
      </c>
      <c r="BM266" s="4794">
        <f t="shared" si="342"/>
        <v>0</v>
      </c>
      <c r="BN266" s="4794">
        <f t="shared" si="343"/>
        <v>0</v>
      </c>
      <c r="BO266" s="4794">
        <f t="shared" si="344"/>
        <v>0</v>
      </c>
      <c r="BP266" s="4794">
        <f t="shared" si="345"/>
        <v>0</v>
      </c>
      <c r="BQ266" s="4794">
        <f t="shared" si="346"/>
        <v>0</v>
      </c>
      <c r="BR266" s="4794">
        <f t="shared" si="347"/>
        <v>0</v>
      </c>
      <c r="BS266" s="4794">
        <f t="shared" si="348"/>
        <v>0</v>
      </c>
      <c r="BT266" s="4794">
        <f t="shared" si="349"/>
        <v>0</v>
      </c>
      <c r="BU266" s="4794">
        <f t="shared" si="350"/>
        <v>0</v>
      </c>
      <c r="BV266" s="4794">
        <f t="shared" si="351"/>
        <v>0</v>
      </c>
      <c r="BW266" s="4794">
        <f t="shared" si="352"/>
        <v>0</v>
      </c>
      <c r="BX266" s="4794">
        <f t="shared" si="353"/>
        <v>0</v>
      </c>
      <c r="BY266" s="4794">
        <f t="shared" si="354"/>
        <v>0</v>
      </c>
    </row>
    <row r="267" spans="1:77">
      <c r="A267" s="2741">
        <v>9</v>
      </c>
      <c r="B267" s="2684">
        <v>911306</v>
      </c>
      <c r="C267" s="2685">
        <v>0.1</v>
      </c>
      <c r="D267" s="2720" t="s">
        <v>1032</v>
      </c>
      <c r="E267" s="1268">
        <f t="shared" si="362"/>
        <v>-36</v>
      </c>
      <c r="F267" s="1247">
        <f t="shared" si="357"/>
        <v>-72</v>
      </c>
      <c r="G267" s="1243">
        <f t="shared" si="357"/>
        <v>-108</v>
      </c>
      <c r="H267" s="1243">
        <f t="shared" si="357"/>
        <v>-144</v>
      </c>
      <c r="I267" s="1243">
        <f t="shared" si="357"/>
        <v>-180</v>
      </c>
      <c r="J267" s="1243">
        <f t="shared" si="357"/>
        <v>-216</v>
      </c>
      <c r="K267" s="1248">
        <f t="shared" si="357"/>
        <v>-252</v>
      </c>
      <c r="L267" s="2816">
        <f t="shared" si="357"/>
        <v>0</v>
      </c>
      <c r="M267" s="927">
        <f t="shared" si="358"/>
        <v>0</v>
      </c>
      <c r="N267" s="1243">
        <f t="shared" si="358"/>
        <v>0</v>
      </c>
      <c r="O267" s="1243">
        <f t="shared" si="358"/>
        <v>0</v>
      </c>
      <c r="P267" s="1243">
        <f t="shared" si="358"/>
        <v>0</v>
      </c>
      <c r="Q267" s="1243">
        <f t="shared" si="358"/>
        <v>0</v>
      </c>
      <c r="R267" s="1248">
        <f t="shared" si="358"/>
        <v>0</v>
      </c>
      <c r="S267" s="1268">
        <f t="shared" si="358"/>
        <v>129</v>
      </c>
      <c r="T267" s="1247">
        <f t="shared" si="359"/>
        <v>128</v>
      </c>
      <c r="U267" s="1243">
        <f t="shared" si="359"/>
        <v>127</v>
      </c>
      <c r="V267" s="1243">
        <f t="shared" si="359"/>
        <v>126</v>
      </c>
      <c r="W267" s="1243">
        <f t="shared" si="359"/>
        <v>125</v>
      </c>
      <c r="X267" s="1243">
        <f t="shared" si="359"/>
        <v>124</v>
      </c>
      <c r="Y267" s="1248">
        <f t="shared" si="359"/>
        <v>123</v>
      </c>
      <c r="Z267" s="1268">
        <f t="shared" si="359"/>
        <v>0</v>
      </c>
      <c r="AA267" s="1247">
        <f t="shared" si="360"/>
        <v>0</v>
      </c>
      <c r="AB267" s="1243">
        <f t="shared" si="360"/>
        <v>0</v>
      </c>
      <c r="AC267" s="1243">
        <f t="shared" si="360"/>
        <v>0</v>
      </c>
      <c r="AD267" s="1243">
        <f t="shared" si="360"/>
        <v>0</v>
      </c>
      <c r="AE267" s="1243">
        <f t="shared" si="360"/>
        <v>0</v>
      </c>
      <c r="AF267" s="1248">
        <f t="shared" si="360"/>
        <v>0</v>
      </c>
      <c r="AG267" s="1268">
        <f t="shared" si="360"/>
        <v>0</v>
      </c>
      <c r="AH267" s="1247">
        <f t="shared" si="360"/>
        <v>0</v>
      </c>
      <c r="AI267" s="1243">
        <f t="shared" si="360"/>
        <v>0</v>
      </c>
      <c r="AJ267" s="1243">
        <f t="shared" si="360"/>
        <v>0</v>
      </c>
      <c r="AK267" s="1243">
        <f t="shared" si="360"/>
        <v>0</v>
      </c>
      <c r="AL267" s="1243">
        <f t="shared" si="360"/>
        <v>0</v>
      </c>
      <c r="AM267" s="1248">
        <f t="shared" si="360"/>
        <v>0</v>
      </c>
      <c r="AN267" s="2681"/>
      <c r="AO267" s="2719"/>
      <c r="AP267" s="4775"/>
      <c r="AQ267" s="4794">
        <f t="shared" si="320"/>
        <v>-18.406507723063864</v>
      </c>
      <c r="AR267" s="4794">
        <f t="shared" si="321"/>
        <v>-36.813015446127729</v>
      </c>
      <c r="AS267" s="4794">
        <f t="shared" si="322"/>
        <v>-55.219523169191596</v>
      </c>
      <c r="AT267" s="4794">
        <f t="shared" si="323"/>
        <v>-73.626030892255457</v>
      </c>
      <c r="AU267" s="4794">
        <f t="shared" si="324"/>
        <v>-92.032538615319325</v>
      </c>
      <c r="AV267" s="4794">
        <f t="shared" si="325"/>
        <v>-110.43904633838319</v>
      </c>
      <c r="AW267" s="4794">
        <f t="shared" si="326"/>
        <v>-128.84555406144707</v>
      </c>
      <c r="AX267" s="4794">
        <f t="shared" si="327"/>
        <v>0</v>
      </c>
      <c r="AY267" s="4794">
        <f t="shared" si="328"/>
        <v>0</v>
      </c>
      <c r="AZ267" s="4794">
        <f t="shared" si="329"/>
        <v>0</v>
      </c>
      <c r="BA267" s="4794">
        <f t="shared" si="330"/>
        <v>0</v>
      </c>
      <c r="BB267" s="4794">
        <f t="shared" si="331"/>
        <v>0</v>
      </c>
      <c r="BC267" s="4794">
        <f t="shared" si="332"/>
        <v>0</v>
      </c>
      <c r="BD267" s="4794">
        <f t="shared" si="333"/>
        <v>0</v>
      </c>
      <c r="BE267" s="4794">
        <f t="shared" si="334"/>
        <v>65.956652674312181</v>
      </c>
      <c r="BF267" s="4794">
        <f t="shared" si="335"/>
        <v>65.445360793115967</v>
      </c>
      <c r="BG267" s="4794">
        <f t="shared" si="336"/>
        <v>64.934068911919752</v>
      </c>
      <c r="BH267" s="4794">
        <f t="shared" si="337"/>
        <v>64.422777030723537</v>
      </c>
      <c r="BI267" s="4794">
        <f t="shared" si="338"/>
        <v>63.911485149527309</v>
      </c>
      <c r="BJ267" s="4794">
        <f t="shared" si="339"/>
        <v>63.400193268331094</v>
      </c>
      <c r="BK267" s="4794">
        <f t="shared" si="340"/>
        <v>62.888901387134872</v>
      </c>
      <c r="BL267" s="4794">
        <f t="shared" si="341"/>
        <v>0</v>
      </c>
      <c r="BM267" s="4794">
        <f t="shared" si="342"/>
        <v>0</v>
      </c>
      <c r="BN267" s="4794">
        <f t="shared" si="343"/>
        <v>0</v>
      </c>
      <c r="BO267" s="4794">
        <f t="shared" si="344"/>
        <v>0</v>
      </c>
      <c r="BP267" s="4794">
        <f t="shared" si="345"/>
        <v>0</v>
      </c>
      <c r="BQ267" s="4794">
        <f t="shared" si="346"/>
        <v>0</v>
      </c>
      <c r="BR267" s="4794">
        <f t="shared" si="347"/>
        <v>0</v>
      </c>
      <c r="BS267" s="4794">
        <f t="shared" si="348"/>
        <v>0</v>
      </c>
      <c r="BT267" s="4794">
        <f t="shared" si="349"/>
        <v>0</v>
      </c>
      <c r="BU267" s="4794">
        <f t="shared" si="350"/>
        <v>0</v>
      </c>
      <c r="BV267" s="4794">
        <f t="shared" si="351"/>
        <v>0</v>
      </c>
      <c r="BW267" s="4794">
        <f t="shared" si="352"/>
        <v>0</v>
      </c>
      <c r="BX267" s="4794">
        <f t="shared" si="353"/>
        <v>0</v>
      </c>
      <c r="BY267" s="4794">
        <f t="shared" si="354"/>
        <v>0</v>
      </c>
    </row>
    <row r="268" spans="1:77">
      <c r="A268" s="2741">
        <v>10</v>
      </c>
      <c r="B268" s="2684">
        <v>91140101</v>
      </c>
      <c r="C268" s="2740">
        <v>0.1</v>
      </c>
      <c r="D268" s="2714" t="s">
        <v>1016</v>
      </c>
      <c r="E268" s="1268">
        <f t="shared" si="362"/>
        <v>1</v>
      </c>
      <c r="F268" s="1247">
        <f t="shared" si="357"/>
        <v>0</v>
      </c>
      <c r="G268" s="1243">
        <f t="shared" si="357"/>
        <v>-1</v>
      </c>
      <c r="H268" s="1243">
        <f t="shared" si="357"/>
        <v>-2</v>
      </c>
      <c r="I268" s="1243">
        <f t="shared" si="357"/>
        <v>-3</v>
      </c>
      <c r="J268" s="1243">
        <f t="shared" si="357"/>
        <v>-4</v>
      </c>
      <c r="K268" s="1248">
        <f t="shared" si="357"/>
        <v>-5</v>
      </c>
      <c r="L268" s="2816">
        <f t="shared" si="357"/>
        <v>0</v>
      </c>
      <c r="M268" s="927">
        <f t="shared" si="358"/>
        <v>0</v>
      </c>
      <c r="N268" s="1243">
        <f t="shared" si="358"/>
        <v>0</v>
      </c>
      <c r="O268" s="1243">
        <f t="shared" si="358"/>
        <v>0</v>
      </c>
      <c r="P268" s="1243">
        <f t="shared" si="358"/>
        <v>0</v>
      </c>
      <c r="Q268" s="1243">
        <f t="shared" si="358"/>
        <v>0</v>
      </c>
      <c r="R268" s="1248">
        <f t="shared" si="358"/>
        <v>0</v>
      </c>
      <c r="S268" s="1268">
        <f t="shared" si="358"/>
        <v>0</v>
      </c>
      <c r="T268" s="1247">
        <f t="shared" si="359"/>
        <v>0</v>
      </c>
      <c r="U268" s="1243">
        <f t="shared" si="359"/>
        <v>0</v>
      </c>
      <c r="V268" s="1243">
        <f t="shared" si="359"/>
        <v>0</v>
      </c>
      <c r="W268" s="1243">
        <f t="shared" si="359"/>
        <v>0</v>
      </c>
      <c r="X268" s="1243">
        <f t="shared" si="359"/>
        <v>0</v>
      </c>
      <c r="Y268" s="1248">
        <f t="shared" si="359"/>
        <v>0</v>
      </c>
      <c r="Z268" s="1268">
        <f t="shared" si="359"/>
        <v>0</v>
      </c>
      <c r="AA268" s="1247">
        <f t="shared" si="360"/>
        <v>0</v>
      </c>
      <c r="AB268" s="1243">
        <f t="shared" si="360"/>
        <v>0</v>
      </c>
      <c r="AC268" s="1243">
        <f t="shared" si="360"/>
        <v>0</v>
      </c>
      <c r="AD268" s="1243">
        <f t="shared" si="360"/>
        <v>0</v>
      </c>
      <c r="AE268" s="1243">
        <f t="shared" si="360"/>
        <v>0</v>
      </c>
      <c r="AF268" s="1248">
        <f t="shared" si="360"/>
        <v>0</v>
      </c>
      <c r="AG268" s="1268">
        <f t="shared" si="360"/>
        <v>0</v>
      </c>
      <c r="AH268" s="1247">
        <f t="shared" si="360"/>
        <v>0</v>
      </c>
      <c r="AI268" s="1243">
        <f t="shared" si="360"/>
        <v>0</v>
      </c>
      <c r="AJ268" s="1243">
        <f t="shared" si="360"/>
        <v>0</v>
      </c>
      <c r="AK268" s="1243">
        <f t="shared" si="360"/>
        <v>0</v>
      </c>
      <c r="AL268" s="1243">
        <f t="shared" si="360"/>
        <v>0</v>
      </c>
      <c r="AM268" s="1248">
        <f t="shared" si="360"/>
        <v>0</v>
      </c>
      <c r="AN268" s="2681"/>
      <c r="AO268" s="2719"/>
      <c r="AP268" s="4775"/>
      <c r="AQ268" s="4794">
        <f t="shared" si="320"/>
        <v>0.51129188119621849</v>
      </c>
      <c r="AR268" s="4794">
        <f t="shared" si="321"/>
        <v>0</v>
      </c>
      <c r="AS268" s="4794">
        <f t="shared" si="322"/>
        <v>-0.51129188119621849</v>
      </c>
      <c r="AT268" s="4794">
        <f t="shared" si="323"/>
        <v>-1.022583762392437</v>
      </c>
      <c r="AU268" s="4794">
        <f t="shared" si="324"/>
        <v>-1.5338756435886556</v>
      </c>
      <c r="AV268" s="4794">
        <f t="shared" si="325"/>
        <v>-2.045167524784874</v>
      </c>
      <c r="AW268" s="4794">
        <f t="shared" si="326"/>
        <v>-2.5564594059810926</v>
      </c>
      <c r="AX268" s="4794">
        <f t="shared" si="327"/>
        <v>0</v>
      </c>
      <c r="AY268" s="4794">
        <f t="shared" si="328"/>
        <v>0</v>
      </c>
      <c r="AZ268" s="4794">
        <f t="shared" si="329"/>
        <v>0</v>
      </c>
      <c r="BA268" s="4794">
        <f t="shared" si="330"/>
        <v>0</v>
      </c>
      <c r="BB268" s="4794">
        <f t="shared" si="331"/>
        <v>0</v>
      </c>
      <c r="BC268" s="4794">
        <f t="shared" si="332"/>
        <v>0</v>
      </c>
      <c r="BD268" s="4794">
        <f t="shared" si="333"/>
        <v>0</v>
      </c>
      <c r="BE268" s="4794">
        <f t="shared" si="334"/>
        <v>0</v>
      </c>
      <c r="BF268" s="4794">
        <f t="shared" si="335"/>
        <v>0</v>
      </c>
      <c r="BG268" s="4794">
        <f t="shared" si="336"/>
        <v>0</v>
      </c>
      <c r="BH268" s="4794">
        <f t="shared" si="337"/>
        <v>0</v>
      </c>
      <c r="BI268" s="4794">
        <f t="shared" si="338"/>
        <v>0</v>
      </c>
      <c r="BJ268" s="4794">
        <f t="shared" si="339"/>
        <v>0</v>
      </c>
      <c r="BK268" s="4794">
        <f t="shared" si="340"/>
        <v>0</v>
      </c>
      <c r="BL268" s="4794">
        <f t="shared" si="341"/>
        <v>0</v>
      </c>
      <c r="BM268" s="4794">
        <f t="shared" si="342"/>
        <v>0</v>
      </c>
      <c r="BN268" s="4794">
        <f t="shared" si="343"/>
        <v>0</v>
      </c>
      <c r="BO268" s="4794">
        <f t="shared" si="344"/>
        <v>0</v>
      </c>
      <c r="BP268" s="4794">
        <f t="shared" si="345"/>
        <v>0</v>
      </c>
      <c r="BQ268" s="4794">
        <f t="shared" si="346"/>
        <v>0</v>
      </c>
      <c r="BR268" s="4794">
        <f t="shared" si="347"/>
        <v>0</v>
      </c>
      <c r="BS268" s="4794">
        <f t="shared" si="348"/>
        <v>0</v>
      </c>
      <c r="BT268" s="4794">
        <f t="shared" si="349"/>
        <v>0</v>
      </c>
      <c r="BU268" s="4794">
        <f t="shared" si="350"/>
        <v>0</v>
      </c>
      <c r="BV268" s="4794">
        <f t="shared" si="351"/>
        <v>0</v>
      </c>
      <c r="BW268" s="4794">
        <f t="shared" si="352"/>
        <v>0</v>
      </c>
      <c r="BX268" s="4794">
        <f t="shared" si="353"/>
        <v>0</v>
      </c>
      <c r="BY268" s="4794">
        <f t="shared" si="354"/>
        <v>0</v>
      </c>
    </row>
    <row r="269" spans="1:77">
      <c r="A269" s="2741">
        <v>11</v>
      </c>
      <c r="B269" s="2684">
        <v>91140102</v>
      </c>
      <c r="C269" s="2740">
        <v>0.04</v>
      </c>
      <c r="D269" s="2714" t="s">
        <v>432</v>
      </c>
      <c r="E269" s="1268">
        <f t="shared" si="362"/>
        <v>0</v>
      </c>
      <c r="F269" s="1247">
        <f t="shared" si="357"/>
        <v>0</v>
      </c>
      <c r="G269" s="1243">
        <f t="shared" si="357"/>
        <v>0</v>
      </c>
      <c r="H269" s="1243">
        <f t="shared" si="357"/>
        <v>0</v>
      </c>
      <c r="I269" s="1243">
        <f t="shared" si="357"/>
        <v>0</v>
      </c>
      <c r="J269" s="1243">
        <f t="shared" si="357"/>
        <v>0</v>
      </c>
      <c r="K269" s="1248">
        <f t="shared" si="357"/>
        <v>0</v>
      </c>
      <c r="L269" s="2816">
        <f t="shared" si="357"/>
        <v>0</v>
      </c>
      <c r="M269" s="927">
        <f t="shared" si="358"/>
        <v>0</v>
      </c>
      <c r="N269" s="1243">
        <f t="shared" si="358"/>
        <v>0</v>
      </c>
      <c r="O269" s="1243">
        <f t="shared" si="358"/>
        <v>0</v>
      </c>
      <c r="P269" s="1243">
        <f t="shared" si="358"/>
        <v>0</v>
      </c>
      <c r="Q269" s="1243">
        <f t="shared" si="358"/>
        <v>0</v>
      </c>
      <c r="R269" s="1248">
        <f t="shared" si="358"/>
        <v>0</v>
      </c>
      <c r="S269" s="1268">
        <f t="shared" si="358"/>
        <v>0</v>
      </c>
      <c r="T269" s="1247">
        <f t="shared" si="359"/>
        <v>0</v>
      </c>
      <c r="U269" s="1243">
        <f t="shared" si="359"/>
        <v>0</v>
      </c>
      <c r="V269" s="1243">
        <f t="shared" si="359"/>
        <v>0</v>
      </c>
      <c r="W269" s="1243">
        <f t="shared" si="359"/>
        <v>0</v>
      </c>
      <c r="X269" s="1243">
        <f t="shared" si="359"/>
        <v>0</v>
      </c>
      <c r="Y269" s="1248">
        <f t="shared" si="359"/>
        <v>0</v>
      </c>
      <c r="Z269" s="1268">
        <f t="shared" si="359"/>
        <v>0</v>
      </c>
      <c r="AA269" s="1247">
        <f t="shared" si="360"/>
        <v>0</v>
      </c>
      <c r="AB269" s="1243">
        <f t="shared" si="360"/>
        <v>0</v>
      </c>
      <c r="AC269" s="1243">
        <f t="shared" si="360"/>
        <v>0</v>
      </c>
      <c r="AD269" s="1243">
        <f t="shared" si="360"/>
        <v>0</v>
      </c>
      <c r="AE269" s="1243">
        <f t="shared" si="360"/>
        <v>0</v>
      </c>
      <c r="AF269" s="1248">
        <f t="shared" si="360"/>
        <v>0</v>
      </c>
      <c r="AG269" s="1268">
        <f t="shared" si="360"/>
        <v>0</v>
      </c>
      <c r="AH269" s="1247">
        <f t="shared" si="360"/>
        <v>0</v>
      </c>
      <c r="AI269" s="1243">
        <f t="shared" si="360"/>
        <v>0</v>
      </c>
      <c r="AJ269" s="1243">
        <f t="shared" si="360"/>
        <v>0</v>
      </c>
      <c r="AK269" s="1243">
        <f t="shared" si="360"/>
        <v>0</v>
      </c>
      <c r="AL269" s="1243">
        <f t="shared" si="360"/>
        <v>0</v>
      </c>
      <c r="AM269" s="1248">
        <f t="shared" si="360"/>
        <v>0</v>
      </c>
      <c r="AN269" s="2681"/>
      <c r="AO269" s="2719"/>
      <c r="AP269" s="4775"/>
      <c r="AQ269" s="4794">
        <f t="shared" si="320"/>
        <v>0</v>
      </c>
      <c r="AR269" s="4794">
        <f t="shared" si="321"/>
        <v>0</v>
      </c>
      <c r="AS269" s="4794">
        <f t="shared" si="322"/>
        <v>0</v>
      </c>
      <c r="AT269" s="4794">
        <f t="shared" si="323"/>
        <v>0</v>
      </c>
      <c r="AU269" s="4794">
        <f t="shared" si="324"/>
        <v>0</v>
      </c>
      <c r="AV269" s="4794">
        <f t="shared" si="325"/>
        <v>0</v>
      </c>
      <c r="AW269" s="4794">
        <f t="shared" si="326"/>
        <v>0</v>
      </c>
      <c r="AX269" s="4794">
        <f t="shared" si="327"/>
        <v>0</v>
      </c>
      <c r="AY269" s="4794">
        <f t="shared" si="328"/>
        <v>0</v>
      </c>
      <c r="AZ269" s="4794">
        <f t="shared" si="329"/>
        <v>0</v>
      </c>
      <c r="BA269" s="4794">
        <f t="shared" si="330"/>
        <v>0</v>
      </c>
      <c r="BB269" s="4794">
        <f t="shared" si="331"/>
        <v>0</v>
      </c>
      <c r="BC269" s="4794">
        <f t="shared" si="332"/>
        <v>0</v>
      </c>
      <c r="BD269" s="4794">
        <f t="shared" si="333"/>
        <v>0</v>
      </c>
      <c r="BE269" s="4794">
        <f t="shared" si="334"/>
        <v>0</v>
      </c>
      <c r="BF269" s="4794">
        <f t="shared" si="335"/>
        <v>0</v>
      </c>
      <c r="BG269" s="4794">
        <f t="shared" si="336"/>
        <v>0</v>
      </c>
      <c r="BH269" s="4794">
        <f t="shared" si="337"/>
        <v>0</v>
      </c>
      <c r="BI269" s="4794">
        <f t="shared" si="338"/>
        <v>0</v>
      </c>
      <c r="BJ269" s="4794">
        <f t="shared" si="339"/>
        <v>0</v>
      </c>
      <c r="BK269" s="4794">
        <f t="shared" si="340"/>
        <v>0</v>
      </c>
      <c r="BL269" s="4794">
        <f t="shared" si="341"/>
        <v>0</v>
      </c>
      <c r="BM269" s="4794">
        <f t="shared" si="342"/>
        <v>0</v>
      </c>
      <c r="BN269" s="4794">
        <f t="shared" si="343"/>
        <v>0</v>
      </c>
      <c r="BO269" s="4794">
        <f t="shared" si="344"/>
        <v>0</v>
      </c>
      <c r="BP269" s="4794">
        <f t="shared" si="345"/>
        <v>0</v>
      </c>
      <c r="BQ269" s="4794">
        <f t="shared" si="346"/>
        <v>0</v>
      </c>
      <c r="BR269" s="4794">
        <f t="shared" si="347"/>
        <v>0</v>
      </c>
      <c r="BS269" s="4794">
        <f t="shared" si="348"/>
        <v>0</v>
      </c>
      <c r="BT269" s="4794">
        <f t="shared" si="349"/>
        <v>0</v>
      </c>
      <c r="BU269" s="4794">
        <f t="shared" si="350"/>
        <v>0</v>
      </c>
      <c r="BV269" s="4794">
        <f t="shared" si="351"/>
        <v>0</v>
      </c>
      <c r="BW269" s="4794">
        <f t="shared" si="352"/>
        <v>0</v>
      </c>
      <c r="BX269" s="4794">
        <f t="shared" si="353"/>
        <v>0</v>
      </c>
      <c r="BY269" s="4794">
        <f t="shared" si="354"/>
        <v>0</v>
      </c>
    </row>
    <row r="270" spans="1:77">
      <c r="A270" s="2741">
        <v>12</v>
      </c>
      <c r="B270" s="2684" t="s">
        <v>698</v>
      </c>
      <c r="C270" s="2685">
        <v>0.02</v>
      </c>
      <c r="D270" s="2715" t="s">
        <v>738</v>
      </c>
      <c r="E270" s="1268">
        <f t="shared" si="362"/>
        <v>0</v>
      </c>
      <c r="F270" s="1247">
        <f t="shared" si="357"/>
        <v>0</v>
      </c>
      <c r="G270" s="1243">
        <f t="shared" si="357"/>
        <v>0</v>
      </c>
      <c r="H270" s="1243">
        <f t="shared" si="357"/>
        <v>0</v>
      </c>
      <c r="I270" s="1243">
        <f t="shared" si="357"/>
        <v>0</v>
      </c>
      <c r="J270" s="1243">
        <f t="shared" si="357"/>
        <v>0</v>
      </c>
      <c r="K270" s="1248">
        <f t="shared" si="357"/>
        <v>0</v>
      </c>
      <c r="L270" s="2816">
        <f t="shared" si="357"/>
        <v>0</v>
      </c>
      <c r="M270" s="927">
        <f t="shared" si="358"/>
        <v>0</v>
      </c>
      <c r="N270" s="1243">
        <f t="shared" si="358"/>
        <v>0</v>
      </c>
      <c r="O270" s="1243">
        <f t="shared" si="358"/>
        <v>0</v>
      </c>
      <c r="P270" s="1243">
        <f t="shared" si="358"/>
        <v>0</v>
      </c>
      <c r="Q270" s="1243">
        <f t="shared" si="358"/>
        <v>0</v>
      </c>
      <c r="R270" s="1248">
        <f t="shared" si="358"/>
        <v>0</v>
      </c>
      <c r="S270" s="1268">
        <f t="shared" si="358"/>
        <v>0</v>
      </c>
      <c r="T270" s="1247">
        <f t="shared" si="359"/>
        <v>0</v>
      </c>
      <c r="U270" s="1243">
        <f t="shared" si="359"/>
        <v>0</v>
      </c>
      <c r="V270" s="1243">
        <f t="shared" si="359"/>
        <v>0</v>
      </c>
      <c r="W270" s="1243">
        <f t="shared" si="359"/>
        <v>0</v>
      </c>
      <c r="X270" s="1243">
        <f t="shared" si="359"/>
        <v>0</v>
      </c>
      <c r="Y270" s="1248">
        <f t="shared" si="359"/>
        <v>0</v>
      </c>
      <c r="Z270" s="1268">
        <f t="shared" si="359"/>
        <v>0</v>
      </c>
      <c r="AA270" s="1247">
        <f t="shared" si="360"/>
        <v>0</v>
      </c>
      <c r="AB270" s="1243">
        <f t="shared" si="360"/>
        <v>0</v>
      </c>
      <c r="AC270" s="1243">
        <f t="shared" si="360"/>
        <v>0</v>
      </c>
      <c r="AD270" s="1243">
        <f t="shared" si="360"/>
        <v>0</v>
      </c>
      <c r="AE270" s="1243">
        <f t="shared" si="360"/>
        <v>0</v>
      </c>
      <c r="AF270" s="1248">
        <f t="shared" si="360"/>
        <v>0</v>
      </c>
      <c r="AG270" s="1268">
        <f t="shared" si="360"/>
        <v>0</v>
      </c>
      <c r="AH270" s="1247">
        <f t="shared" si="360"/>
        <v>0</v>
      </c>
      <c r="AI270" s="1243">
        <f t="shared" si="360"/>
        <v>0</v>
      </c>
      <c r="AJ270" s="1243">
        <f t="shared" si="360"/>
        <v>0</v>
      </c>
      <c r="AK270" s="1243">
        <f t="shared" si="360"/>
        <v>0</v>
      </c>
      <c r="AL270" s="1243">
        <f t="shared" si="360"/>
        <v>0</v>
      </c>
      <c r="AM270" s="1248">
        <f t="shared" si="360"/>
        <v>0</v>
      </c>
      <c r="AN270" s="2681"/>
      <c r="AO270" s="2719"/>
      <c r="AP270" s="4775"/>
      <c r="AQ270" s="4794">
        <f t="shared" si="320"/>
        <v>0</v>
      </c>
      <c r="AR270" s="4794">
        <f t="shared" si="321"/>
        <v>0</v>
      </c>
      <c r="AS270" s="4794">
        <f t="shared" si="322"/>
        <v>0</v>
      </c>
      <c r="AT270" s="4794">
        <f t="shared" si="323"/>
        <v>0</v>
      </c>
      <c r="AU270" s="4794">
        <f t="shared" si="324"/>
        <v>0</v>
      </c>
      <c r="AV270" s="4794">
        <f t="shared" si="325"/>
        <v>0</v>
      </c>
      <c r="AW270" s="4794">
        <f t="shared" si="326"/>
        <v>0</v>
      </c>
      <c r="AX270" s="4794">
        <f t="shared" si="327"/>
        <v>0</v>
      </c>
      <c r="AY270" s="4794">
        <f t="shared" si="328"/>
        <v>0</v>
      </c>
      <c r="AZ270" s="4794">
        <f t="shared" si="329"/>
        <v>0</v>
      </c>
      <c r="BA270" s="4794">
        <f t="shared" si="330"/>
        <v>0</v>
      </c>
      <c r="BB270" s="4794">
        <f t="shared" si="331"/>
        <v>0</v>
      </c>
      <c r="BC270" s="4794">
        <f t="shared" si="332"/>
        <v>0</v>
      </c>
      <c r="BD270" s="4794">
        <f t="shared" si="333"/>
        <v>0</v>
      </c>
      <c r="BE270" s="4794">
        <f t="shared" si="334"/>
        <v>0</v>
      </c>
      <c r="BF270" s="4794">
        <f t="shared" si="335"/>
        <v>0</v>
      </c>
      <c r="BG270" s="4794">
        <f t="shared" si="336"/>
        <v>0</v>
      </c>
      <c r="BH270" s="4794">
        <f t="shared" si="337"/>
        <v>0</v>
      </c>
      <c r="BI270" s="4794">
        <f t="shared" si="338"/>
        <v>0</v>
      </c>
      <c r="BJ270" s="4794">
        <f t="shared" si="339"/>
        <v>0</v>
      </c>
      <c r="BK270" s="4794">
        <f t="shared" si="340"/>
        <v>0</v>
      </c>
      <c r="BL270" s="4794">
        <f t="shared" si="341"/>
        <v>0</v>
      </c>
      <c r="BM270" s="4794">
        <f t="shared" si="342"/>
        <v>0</v>
      </c>
      <c r="BN270" s="4794">
        <f t="shared" si="343"/>
        <v>0</v>
      </c>
      <c r="BO270" s="4794">
        <f t="shared" si="344"/>
        <v>0</v>
      </c>
      <c r="BP270" s="4794">
        <f t="shared" si="345"/>
        <v>0</v>
      </c>
      <c r="BQ270" s="4794">
        <f t="shared" si="346"/>
        <v>0</v>
      </c>
      <c r="BR270" s="4794">
        <f t="shared" si="347"/>
        <v>0</v>
      </c>
      <c r="BS270" s="4794">
        <f t="shared" si="348"/>
        <v>0</v>
      </c>
      <c r="BT270" s="4794">
        <f t="shared" si="349"/>
        <v>0</v>
      </c>
      <c r="BU270" s="4794">
        <f t="shared" si="350"/>
        <v>0</v>
      </c>
      <c r="BV270" s="4794">
        <f t="shared" si="351"/>
        <v>0</v>
      </c>
      <c r="BW270" s="4794">
        <f t="shared" si="352"/>
        <v>0</v>
      </c>
      <c r="BX270" s="4794">
        <f t="shared" si="353"/>
        <v>0</v>
      </c>
      <c r="BY270" s="4794">
        <f t="shared" si="354"/>
        <v>0</v>
      </c>
    </row>
    <row r="271" spans="1:77">
      <c r="A271" s="2741">
        <v>13</v>
      </c>
      <c r="B271" s="2684" t="s">
        <v>699</v>
      </c>
      <c r="C271" s="2685">
        <v>0.02</v>
      </c>
      <c r="D271" s="2715" t="s">
        <v>739</v>
      </c>
      <c r="E271" s="1268">
        <f t="shared" si="362"/>
        <v>2697</v>
      </c>
      <c r="F271" s="1247">
        <f t="shared" si="357"/>
        <v>2631</v>
      </c>
      <c r="G271" s="1243">
        <f t="shared" si="357"/>
        <v>2565</v>
      </c>
      <c r="H271" s="1243">
        <f t="shared" si="357"/>
        <v>2499</v>
      </c>
      <c r="I271" s="1243">
        <f t="shared" si="357"/>
        <v>2433</v>
      </c>
      <c r="J271" s="1243">
        <f t="shared" si="357"/>
        <v>2367</v>
      </c>
      <c r="K271" s="1248">
        <f t="shared" si="357"/>
        <v>2301</v>
      </c>
      <c r="L271" s="2816">
        <f t="shared" si="357"/>
        <v>0</v>
      </c>
      <c r="M271" s="927">
        <f t="shared" si="358"/>
        <v>0</v>
      </c>
      <c r="N271" s="1243">
        <f t="shared" si="358"/>
        <v>0</v>
      </c>
      <c r="O271" s="1243">
        <f t="shared" si="358"/>
        <v>0</v>
      </c>
      <c r="P271" s="1243">
        <f t="shared" si="358"/>
        <v>0</v>
      </c>
      <c r="Q271" s="1243">
        <f t="shared" si="358"/>
        <v>0</v>
      </c>
      <c r="R271" s="1248">
        <f t="shared" si="358"/>
        <v>0</v>
      </c>
      <c r="S271" s="1268">
        <f t="shared" si="358"/>
        <v>0</v>
      </c>
      <c r="T271" s="1247">
        <f t="shared" si="359"/>
        <v>0</v>
      </c>
      <c r="U271" s="1243">
        <f t="shared" si="359"/>
        <v>0</v>
      </c>
      <c r="V271" s="1243">
        <f t="shared" si="359"/>
        <v>0</v>
      </c>
      <c r="W271" s="1243">
        <f t="shared" si="359"/>
        <v>0</v>
      </c>
      <c r="X271" s="1243">
        <f t="shared" si="359"/>
        <v>0</v>
      </c>
      <c r="Y271" s="1248">
        <f t="shared" si="359"/>
        <v>0</v>
      </c>
      <c r="Z271" s="1268">
        <f t="shared" si="359"/>
        <v>0</v>
      </c>
      <c r="AA271" s="1247">
        <f t="shared" si="360"/>
        <v>0</v>
      </c>
      <c r="AB271" s="1243">
        <f t="shared" si="360"/>
        <v>0</v>
      </c>
      <c r="AC271" s="1243">
        <f t="shared" si="360"/>
        <v>0</v>
      </c>
      <c r="AD271" s="1243">
        <f t="shared" si="360"/>
        <v>0</v>
      </c>
      <c r="AE271" s="1243">
        <f t="shared" si="360"/>
        <v>0</v>
      </c>
      <c r="AF271" s="1248">
        <f t="shared" si="360"/>
        <v>0</v>
      </c>
      <c r="AG271" s="1268">
        <f t="shared" si="360"/>
        <v>0</v>
      </c>
      <c r="AH271" s="1247">
        <f t="shared" si="360"/>
        <v>0</v>
      </c>
      <c r="AI271" s="1243">
        <f t="shared" si="360"/>
        <v>0</v>
      </c>
      <c r="AJ271" s="1243">
        <f t="shared" si="360"/>
        <v>0</v>
      </c>
      <c r="AK271" s="1243">
        <f t="shared" si="360"/>
        <v>0</v>
      </c>
      <c r="AL271" s="1243">
        <f t="shared" si="360"/>
        <v>0</v>
      </c>
      <c r="AM271" s="1248">
        <f t="shared" si="360"/>
        <v>0</v>
      </c>
      <c r="AN271" s="2681"/>
      <c r="AO271" s="2719"/>
      <c r="AP271" s="4775"/>
      <c r="AQ271" s="4794">
        <f t="shared" si="320"/>
        <v>1378.9542035862012</v>
      </c>
      <c r="AR271" s="4794">
        <f t="shared" si="321"/>
        <v>1345.2089394272509</v>
      </c>
      <c r="AS271" s="4794">
        <f t="shared" si="322"/>
        <v>1311.4636752683004</v>
      </c>
      <c r="AT271" s="4794">
        <f t="shared" si="323"/>
        <v>1277.71841110935</v>
      </c>
      <c r="AU271" s="4794">
        <f t="shared" si="324"/>
        <v>1243.9731469503995</v>
      </c>
      <c r="AV271" s="4794">
        <f t="shared" si="325"/>
        <v>1210.2278827914492</v>
      </c>
      <c r="AW271" s="4794">
        <f t="shared" si="326"/>
        <v>1176.4826186324988</v>
      </c>
      <c r="AX271" s="4794">
        <f t="shared" si="327"/>
        <v>0</v>
      </c>
      <c r="AY271" s="4794">
        <f t="shared" si="328"/>
        <v>0</v>
      </c>
      <c r="AZ271" s="4794">
        <f t="shared" si="329"/>
        <v>0</v>
      </c>
      <c r="BA271" s="4794">
        <f t="shared" si="330"/>
        <v>0</v>
      </c>
      <c r="BB271" s="4794">
        <f t="shared" si="331"/>
        <v>0</v>
      </c>
      <c r="BC271" s="4794">
        <f t="shared" si="332"/>
        <v>0</v>
      </c>
      <c r="BD271" s="4794">
        <f t="shared" si="333"/>
        <v>0</v>
      </c>
      <c r="BE271" s="4794">
        <f t="shared" si="334"/>
        <v>0</v>
      </c>
      <c r="BF271" s="4794">
        <f t="shared" si="335"/>
        <v>0</v>
      </c>
      <c r="BG271" s="4794">
        <f t="shared" si="336"/>
        <v>0</v>
      </c>
      <c r="BH271" s="4794">
        <f t="shared" si="337"/>
        <v>0</v>
      </c>
      <c r="BI271" s="4794">
        <f t="shared" si="338"/>
        <v>0</v>
      </c>
      <c r="BJ271" s="4794">
        <f t="shared" si="339"/>
        <v>0</v>
      </c>
      <c r="BK271" s="4794">
        <f t="shared" si="340"/>
        <v>0</v>
      </c>
      <c r="BL271" s="4794">
        <f t="shared" si="341"/>
        <v>0</v>
      </c>
      <c r="BM271" s="4794">
        <f t="shared" si="342"/>
        <v>0</v>
      </c>
      <c r="BN271" s="4794">
        <f t="shared" si="343"/>
        <v>0</v>
      </c>
      <c r="BO271" s="4794">
        <f t="shared" si="344"/>
        <v>0</v>
      </c>
      <c r="BP271" s="4794">
        <f t="shared" si="345"/>
        <v>0</v>
      </c>
      <c r="BQ271" s="4794">
        <f t="shared" si="346"/>
        <v>0</v>
      </c>
      <c r="BR271" s="4794">
        <f t="shared" si="347"/>
        <v>0</v>
      </c>
      <c r="BS271" s="4794">
        <f t="shared" si="348"/>
        <v>0</v>
      </c>
      <c r="BT271" s="4794">
        <f t="shared" si="349"/>
        <v>0</v>
      </c>
      <c r="BU271" s="4794">
        <f t="shared" si="350"/>
        <v>0</v>
      </c>
      <c r="BV271" s="4794">
        <f t="shared" si="351"/>
        <v>0</v>
      </c>
      <c r="BW271" s="4794">
        <f t="shared" si="352"/>
        <v>0</v>
      </c>
      <c r="BX271" s="4794">
        <f t="shared" si="353"/>
        <v>0</v>
      </c>
      <c r="BY271" s="4794">
        <f t="shared" si="354"/>
        <v>0</v>
      </c>
    </row>
    <row r="272" spans="1:77">
      <c r="A272" s="2741">
        <v>14</v>
      </c>
      <c r="B272" s="2684" t="s">
        <v>700</v>
      </c>
      <c r="C272" s="2685">
        <v>0.02</v>
      </c>
      <c r="D272" s="2715" t="s">
        <v>418</v>
      </c>
      <c r="E272" s="1268">
        <f t="shared" si="362"/>
        <v>177</v>
      </c>
      <c r="F272" s="1247">
        <f t="shared" si="357"/>
        <v>173</v>
      </c>
      <c r="G272" s="1243">
        <f t="shared" si="357"/>
        <v>169</v>
      </c>
      <c r="H272" s="1243">
        <f t="shared" si="357"/>
        <v>165</v>
      </c>
      <c r="I272" s="1243">
        <f t="shared" si="357"/>
        <v>161</v>
      </c>
      <c r="J272" s="1243">
        <f t="shared" si="357"/>
        <v>157</v>
      </c>
      <c r="K272" s="1248">
        <f t="shared" si="357"/>
        <v>153</v>
      </c>
      <c r="L272" s="2816">
        <f t="shared" si="357"/>
        <v>0</v>
      </c>
      <c r="M272" s="927">
        <f t="shared" si="358"/>
        <v>0</v>
      </c>
      <c r="N272" s="1243">
        <f t="shared" si="358"/>
        <v>0</v>
      </c>
      <c r="O272" s="1243">
        <f t="shared" si="358"/>
        <v>0</v>
      </c>
      <c r="P272" s="1243">
        <f t="shared" si="358"/>
        <v>0</v>
      </c>
      <c r="Q272" s="1243">
        <f t="shared" si="358"/>
        <v>0</v>
      </c>
      <c r="R272" s="1248">
        <f t="shared" si="358"/>
        <v>0</v>
      </c>
      <c r="S272" s="1268">
        <f t="shared" si="358"/>
        <v>0</v>
      </c>
      <c r="T272" s="1247">
        <f t="shared" si="359"/>
        <v>0</v>
      </c>
      <c r="U272" s="1243">
        <f t="shared" si="359"/>
        <v>0</v>
      </c>
      <c r="V272" s="1243">
        <f t="shared" si="359"/>
        <v>0</v>
      </c>
      <c r="W272" s="1243">
        <f t="shared" si="359"/>
        <v>0</v>
      </c>
      <c r="X272" s="1243">
        <f t="shared" si="359"/>
        <v>0</v>
      </c>
      <c r="Y272" s="1248">
        <f t="shared" si="359"/>
        <v>0</v>
      </c>
      <c r="Z272" s="1268">
        <f t="shared" si="359"/>
        <v>0</v>
      </c>
      <c r="AA272" s="1247">
        <f t="shared" si="360"/>
        <v>0</v>
      </c>
      <c r="AB272" s="1243">
        <f t="shared" si="360"/>
        <v>0</v>
      </c>
      <c r="AC272" s="1243">
        <f t="shared" si="360"/>
        <v>0</v>
      </c>
      <c r="AD272" s="1243">
        <f t="shared" si="360"/>
        <v>0</v>
      </c>
      <c r="AE272" s="1243">
        <f t="shared" si="360"/>
        <v>0</v>
      </c>
      <c r="AF272" s="1248">
        <f t="shared" si="360"/>
        <v>0</v>
      </c>
      <c r="AG272" s="1268">
        <f t="shared" si="360"/>
        <v>0</v>
      </c>
      <c r="AH272" s="1247">
        <f t="shared" si="360"/>
        <v>0</v>
      </c>
      <c r="AI272" s="1243">
        <f t="shared" si="360"/>
        <v>0</v>
      </c>
      <c r="AJ272" s="1243">
        <f t="shared" si="360"/>
        <v>0</v>
      </c>
      <c r="AK272" s="1243">
        <f t="shared" si="360"/>
        <v>0</v>
      </c>
      <c r="AL272" s="1243">
        <f t="shared" si="360"/>
        <v>0</v>
      </c>
      <c r="AM272" s="1248">
        <f t="shared" si="360"/>
        <v>0</v>
      </c>
      <c r="AN272" s="2681"/>
      <c r="AO272" s="2719"/>
      <c r="AP272" s="4775"/>
      <c r="AQ272" s="4794">
        <f t="shared" si="320"/>
        <v>90.498662971730667</v>
      </c>
      <c r="AR272" s="4794">
        <f t="shared" si="321"/>
        <v>88.453495446945794</v>
      </c>
      <c r="AS272" s="4794">
        <f t="shared" si="322"/>
        <v>86.408327922160922</v>
      </c>
      <c r="AT272" s="4794">
        <f t="shared" si="323"/>
        <v>84.363160397376049</v>
      </c>
      <c r="AU272" s="4794">
        <f t="shared" si="324"/>
        <v>82.317992872591176</v>
      </c>
      <c r="AV272" s="4794">
        <f t="shared" si="325"/>
        <v>80.272825347806304</v>
      </c>
      <c r="AW272" s="4794">
        <f t="shared" si="326"/>
        <v>78.227657823021431</v>
      </c>
      <c r="AX272" s="4794">
        <f t="shared" si="327"/>
        <v>0</v>
      </c>
      <c r="AY272" s="4794">
        <f t="shared" si="328"/>
        <v>0</v>
      </c>
      <c r="AZ272" s="4794">
        <f t="shared" si="329"/>
        <v>0</v>
      </c>
      <c r="BA272" s="4794">
        <f t="shared" si="330"/>
        <v>0</v>
      </c>
      <c r="BB272" s="4794">
        <f t="shared" si="331"/>
        <v>0</v>
      </c>
      <c r="BC272" s="4794">
        <f t="shared" si="332"/>
        <v>0</v>
      </c>
      <c r="BD272" s="4794">
        <f t="shared" si="333"/>
        <v>0</v>
      </c>
      <c r="BE272" s="4794">
        <f t="shared" si="334"/>
        <v>0</v>
      </c>
      <c r="BF272" s="4794">
        <f t="shared" si="335"/>
        <v>0</v>
      </c>
      <c r="BG272" s="4794">
        <f t="shared" si="336"/>
        <v>0</v>
      </c>
      <c r="BH272" s="4794">
        <f t="shared" si="337"/>
        <v>0</v>
      </c>
      <c r="BI272" s="4794">
        <f t="shared" si="338"/>
        <v>0</v>
      </c>
      <c r="BJ272" s="4794">
        <f t="shared" si="339"/>
        <v>0</v>
      </c>
      <c r="BK272" s="4794">
        <f t="shared" si="340"/>
        <v>0</v>
      </c>
      <c r="BL272" s="4794">
        <f t="shared" si="341"/>
        <v>0</v>
      </c>
      <c r="BM272" s="4794">
        <f t="shared" si="342"/>
        <v>0</v>
      </c>
      <c r="BN272" s="4794">
        <f t="shared" si="343"/>
        <v>0</v>
      </c>
      <c r="BO272" s="4794">
        <f t="shared" si="344"/>
        <v>0</v>
      </c>
      <c r="BP272" s="4794">
        <f t="shared" si="345"/>
        <v>0</v>
      </c>
      <c r="BQ272" s="4794">
        <f t="shared" si="346"/>
        <v>0</v>
      </c>
      <c r="BR272" s="4794">
        <f t="shared" si="347"/>
        <v>0</v>
      </c>
      <c r="BS272" s="4794">
        <f t="shared" si="348"/>
        <v>0</v>
      </c>
      <c r="BT272" s="4794">
        <f t="shared" si="349"/>
        <v>0</v>
      </c>
      <c r="BU272" s="4794">
        <f t="shared" si="350"/>
        <v>0</v>
      </c>
      <c r="BV272" s="4794">
        <f t="shared" si="351"/>
        <v>0</v>
      </c>
      <c r="BW272" s="4794">
        <f t="shared" si="352"/>
        <v>0</v>
      </c>
      <c r="BX272" s="4794">
        <f t="shared" si="353"/>
        <v>0</v>
      </c>
      <c r="BY272" s="4794">
        <f t="shared" si="354"/>
        <v>0</v>
      </c>
    </row>
    <row r="273" spans="1:77">
      <c r="A273" s="2741">
        <v>15</v>
      </c>
      <c r="B273" s="2684" t="s">
        <v>701</v>
      </c>
      <c r="C273" s="2685">
        <v>0.02</v>
      </c>
      <c r="D273" s="2714" t="s">
        <v>419</v>
      </c>
      <c r="E273" s="1268">
        <f t="shared" si="362"/>
        <v>12</v>
      </c>
      <c r="F273" s="1247">
        <f t="shared" si="357"/>
        <v>12</v>
      </c>
      <c r="G273" s="1243">
        <f t="shared" si="357"/>
        <v>12</v>
      </c>
      <c r="H273" s="1243">
        <f t="shared" si="357"/>
        <v>12</v>
      </c>
      <c r="I273" s="1243">
        <f t="shared" si="357"/>
        <v>12</v>
      </c>
      <c r="J273" s="1243">
        <f t="shared" si="357"/>
        <v>12</v>
      </c>
      <c r="K273" s="1248">
        <f t="shared" si="357"/>
        <v>12</v>
      </c>
      <c r="L273" s="2816">
        <f t="shared" si="357"/>
        <v>0</v>
      </c>
      <c r="M273" s="927">
        <f t="shared" si="358"/>
        <v>0</v>
      </c>
      <c r="N273" s="1243">
        <f t="shared" si="358"/>
        <v>0</v>
      </c>
      <c r="O273" s="1243">
        <f t="shared" si="358"/>
        <v>0</v>
      </c>
      <c r="P273" s="1243">
        <f t="shared" si="358"/>
        <v>0</v>
      </c>
      <c r="Q273" s="1243">
        <f t="shared" si="358"/>
        <v>0</v>
      </c>
      <c r="R273" s="1248">
        <f t="shared" si="358"/>
        <v>0</v>
      </c>
      <c r="S273" s="1268">
        <f t="shared" si="358"/>
        <v>0</v>
      </c>
      <c r="T273" s="1247">
        <f t="shared" si="359"/>
        <v>0</v>
      </c>
      <c r="U273" s="1243">
        <f t="shared" si="359"/>
        <v>0</v>
      </c>
      <c r="V273" s="1243">
        <f t="shared" si="359"/>
        <v>0</v>
      </c>
      <c r="W273" s="1243">
        <f t="shared" si="359"/>
        <v>0</v>
      </c>
      <c r="X273" s="1243">
        <f t="shared" si="359"/>
        <v>0</v>
      </c>
      <c r="Y273" s="1248">
        <f t="shared" si="359"/>
        <v>0</v>
      </c>
      <c r="Z273" s="1268">
        <f t="shared" si="359"/>
        <v>0</v>
      </c>
      <c r="AA273" s="1247">
        <f t="shared" si="360"/>
        <v>0</v>
      </c>
      <c r="AB273" s="1243">
        <f t="shared" si="360"/>
        <v>0</v>
      </c>
      <c r="AC273" s="1243">
        <f t="shared" si="360"/>
        <v>0</v>
      </c>
      <c r="AD273" s="1243">
        <f t="shared" si="360"/>
        <v>0</v>
      </c>
      <c r="AE273" s="1243">
        <f t="shared" si="360"/>
        <v>0</v>
      </c>
      <c r="AF273" s="1248">
        <f t="shared" si="360"/>
        <v>0</v>
      </c>
      <c r="AG273" s="1268">
        <f t="shared" si="360"/>
        <v>0</v>
      </c>
      <c r="AH273" s="1247">
        <f t="shared" si="360"/>
        <v>0</v>
      </c>
      <c r="AI273" s="1243">
        <f t="shared" si="360"/>
        <v>0</v>
      </c>
      <c r="AJ273" s="1243">
        <f t="shared" si="360"/>
        <v>0</v>
      </c>
      <c r="AK273" s="1243">
        <f t="shared" si="360"/>
        <v>0</v>
      </c>
      <c r="AL273" s="1243">
        <f t="shared" si="360"/>
        <v>0</v>
      </c>
      <c r="AM273" s="1248">
        <f t="shared" si="360"/>
        <v>0</v>
      </c>
      <c r="AN273" s="2681"/>
      <c r="AO273" s="2719"/>
      <c r="AP273" s="4775"/>
      <c r="AQ273" s="4794">
        <f t="shared" si="320"/>
        <v>6.1355025743546223</v>
      </c>
      <c r="AR273" s="4794">
        <f t="shared" si="321"/>
        <v>6.1355025743546223</v>
      </c>
      <c r="AS273" s="4794">
        <f t="shared" si="322"/>
        <v>6.1355025743546223</v>
      </c>
      <c r="AT273" s="4794">
        <f t="shared" si="323"/>
        <v>6.1355025743546223</v>
      </c>
      <c r="AU273" s="4794">
        <f t="shared" si="324"/>
        <v>6.1355025743546223</v>
      </c>
      <c r="AV273" s="4794">
        <f t="shared" si="325"/>
        <v>6.1355025743546223</v>
      </c>
      <c r="AW273" s="4794">
        <f t="shared" si="326"/>
        <v>6.1355025743546223</v>
      </c>
      <c r="AX273" s="4794">
        <f t="shared" si="327"/>
        <v>0</v>
      </c>
      <c r="AY273" s="4794">
        <f t="shared" si="328"/>
        <v>0</v>
      </c>
      <c r="AZ273" s="4794">
        <f t="shared" si="329"/>
        <v>0</v>
      </c>
      <c r="BA273" s="4794">
        <f t="shared" si="330"/>
        <v>0</v>
      </c>
      <c r="BB273" s="4794">
        <f t="shared" si="331"/>
        <v>0</v>
      </c>
      <c r="BC273" s="4794">
        <f t="shared" si="332"/>
        <v>0</v>
      </c>
      <c r="BD273" s="4794">
        <f t="shared" si="333"/>
        <v>0</v>
      </c>
      <c r="BE273" s="4794">
        <f t="shared" si="334"/>
        <v>0</v>
      </c>
      <c r="BF273" s="4794">
        <f t="shared" si="335"/>
        <v>0</v>
      </c>
      <c r="BG273" s="4794">
        <f t="shared" si="336"/>
        <v>0</v>
      </c>
      <c r="BH273" s="4794">
        <f t="shared" si="337"/>
        <v>0</v>
      </c>
      <c r="BI273" s="4794">
        <f t="shared" si="338"/>
        <v>0</v>
      </c>
      <c r="BJ273" s="4794">
        <f t="shared" si="339"/>
        <v>0</v>
      </c>
      <c r="BK273" s="4794">
        <f t="shared" si="340"/>
        <v>0</v>
      </c>
      <c r="BL273" s="4794">
        <f t="shared" si="341"/>
        <v>0</v>
      </c>
      <c r="BM273" s="4794">
        <f t="shared" si="342"/>
        <v>0</v>
      </c>
      <c r="BN273" s="4794">
        <f t="shared" si="343"/>
        <v>0</v>
      </c>
      <c r="BO273" s="4794">
        <f t="shared" si="344"/>
        <v>0</v>
      </c>
      <c r="BP273" s="4794">
        <f t="shared" si="345"/>
        <v>0</v>
      </c>
      <c r="BQ273" s="4794">
        <f t="shared" si="346"/>
        <v>0</v>
      </c>
      <c r="BR273" s="4794">
        <f t="shared" si="347"/>
        <v>0</v>
      </c>
      <c r="BS273" s="4794">
        <f t="shared" si="348"/>
        <v>0</v>
      </c>
      <c r="BT273" s="4794">
        <f t="shared" si="349"/>
        <v>0</v>
      </c>
      <c r="BU273" s="4794">
        <f t="shared" si="350"/>
        <v>0</v>
      </c>
      <c r="BV273" s="4794">
        <f t="shared" si="351"/>
        <v>0</v>
      </c>
      <c r="BW273" s="4794">
        <f t="shared" si="352"/>
        <v>0</v>
      </c>
      <c r="BX273" s="4794">
        <f t="shared" si="353"/>
        <v>0</v>
      </c>
      <c r="BY273" s="4794">
        <f t="shared" si="354"/>
        <v>0</v>
      </c>
    </row>
    <row r="274" spans="1:77">
      <c r="A274" s="2741">
        <v>16</v>
      </c>
      <c r="B274" s="2684" t="s">
        <v>702</v>
      </c>
      <c r="C274" s="2685">
        <v>0.02</v>
      </c>
      <c r="D274" s="2715" t="s">
        <v>420</v>
      </c>
      <c r="E274" s="1268">
        <f t="shared" si="362"/>
        <v>68652</v>
      </c>
      <c r="F274" s="1247">
        <f t="shared" si="357"/>
        <v>67015</v>
      </c>
      <c r="G274" s="1243">
        <f t="shared" si="357"/>
        <v>65378</v>
      </c>
      <c r="H274" s="1243">
        <f t="shared" si="357"/>
        <v>63741</v>
      </c>
      <c r="I274" s="1243">
        <f t="shared" si="357"/>
        <v>62104</v>
      </c>
      <c r="J274" s="1243">
        <f t="shared" si="357"/>
        <v>60467</v>
      </c>
      <c r="K274" s="1248">
        <f t="shared" si="357"/>
        <v>58830</v>
      </c>
      <c r="L274" s="2816">
        <f t="shared" si="357"/>
        <v>0</v>
      </c>
      <c r="M274" s="927">
        <f t="shared" si="358"/>
        <v>0</v>
      </c>
      <c r="N274" s="1243">
        <f t="shared" si="358"/>
        <v>0</v>
      </c>
      <c r="O274" s="1243">
        <f t="shared" si="358"/>
        <v>0</v>
      </c>
      <c r="P274" s="1243">
        <f t="shared" si="358"/>
        <v>0</v>
      </c>
      <c r="Q274" s="1243">
        <f t="shared" si="358"/>
        <v>0</v>
      </c>
      <c r="R274" s="1248">
        <f t="shared" si="358"/>
        <v>0</v>
      </c>
      <c r="S274" s="1268">
        <f t="shared" si="358"/>
        <v>0</v>
      </c>
      <c r="T274" s="1247">
        <f t="shared" si="359"/>
        <v>0</v>
      </c>
      <c r="U274" s="1243">
        <f t="shared" si="359"/>
        <v>0</v>
      </c>
      <c r="V274" s="1243">
        <f t="shared" si="359"/>
        <v>0</v>
      </c>
      <c r="W274" s="1243">
        <f t="shared" si="359"/>
        <v>0</v>
      </c>
      <c r="X274" s="1243">
        <f t="shared" si="359"/>
        <v>0</v>
      </c>
      <c r="Y274" s="1248">
        <f t="shared" si="359"/>
        <v>0</v>
      </c>
      <c r="Z274" s="1268">
        <f t="shared" si="359"/>
        <v>0</v>
      </c>
      <c r="AA274" s="1247">
        <f t="shared" si="360"/>
        <v>0</v>
      </c>
      <c r="AB274" s="1243">
        <f t="shared" si="360"/>
        <v>0</v>
      </c>
      <c r="AC274" s="1243">
        <f t="shared" si="360"/>
        <v>0</v>
      </c>
      <c r="AD274" s="1243">
        <f t="shared" si="360"/>
        <v>0</v>
      </c>
      <c r="AE274" s="1243">
        <f t="shared" si="360"/>
        <v>0</v>
      </c>
      <c r="AF274" s="1248">
        <f t="shared" si="360"/>
        <v>0</v>
      </c>
      <c r="AG274" s="1268">
        <f t="shared" si="360"/>
        <v>0</v>
      </c>
      <c r="AH274" s="1247">
        <f t="shared" si="360"/>
        <v>0</v>
      </c>
      <c r="AI274" s="1243">
        <f t="shared" si="360"/>
        <v>0</v>
      </c>
      <c r="AJ274" s="1243">
        <f t="shared" si="360"/>
        <v>0</v>
      </c>
      <c r="AK274" s="1243">
        <f t="shared" si="360"/>
        <v>0</v>
      </c>
      <c r="AL274" s="1243">
        <f t="shared" si="360"/>
        <v>0</v>
      </c>
      <c r="AM274" s="1248">
        <f t="shared" si="360"/>
        <v>0</v>
      </c>
      <c r="AN274" s="2681"/>
      <c r="AO274" s="2719"/>
      <c r="AP274" s="4775"/>
      <c r="AQ274" s="4794">
        <f t="shared" si="320"/>
        <v>35101.210227882795</v>
      </c>
      <c r="AR274" s="4794">
        <f t="shared" si="321"/>
        <v>34264.225418364585</v>
      </c>
      <c r="AS274" s="4794">
        <f t="shared" si="322"/>
        <v>33427.240608846376</v>
      </c>
      <c r="AT274" s="4794">
        <f t="shared" si="323"/>
        <v>32590.255799328163</v>
      </c>
      <c r="AU274" s="4794">
        <f t="shared" si="324"/>
        <v>31753.270989809953</v>
      </c>
      <c r="AV274" s="4794">
        <f t="shared" si="325"/>
        <v>30916.286180291743</v>
      </c>
      <c r="AW274" s="4794">
        <f t="shared" si="326"/>
        <v>30079.301370773534</v>
      </c>
      <c r="AX274" s="4794">
        <f t="shared" si="327"/>
        <v>0</v>
      </c>
      <c r="AY274" s="4794">
        <f t="shared" si="328"/>
        <v>0</v>
      </c>
      <c r="AZ274" s="4794">
        <f t="shared" si="329"/>
        <v>0</v>
      </c>
      <c r="BA274" s="4794">
        <f t="shared" si="330"/>
        <v>0</v>
      </c>
      <c r="BB274" s="4794">
        <f t="shared" si="331"/>
        <v>0</v>
      </c>
      <c r="BC274" s="4794">
        <f t="shared" si="332"/>
        <v>0</v>
      </c>
      <c r="BD274" s="4794">
        <f t="shared" si="333"/>
        <v>0</v>
      </c>
      <c r="BE274" s="4794">
        <f t="shared" si="334"/>
        <v>0</v>
      </c>
      <c r="BF274" s="4794">
        <f t="shared" si="335"/>
        <v>0</v>
      </c>
      <c r="BG274" s="4794">
        <f t="shared" si="336"/>
        <v>0</v>
      </c>
      <c r="BH274" s="4794">
        <f t="shared" si="337"/>
        <v>0</v>
      </c>
      <c r="BI274" s="4794">
        <f t="shared" si="338"/>
        <v>0</v>
      </c>
      <c r="BJ274" s="4794">
        <f t="shared" si="339"/>
        <v>0</v>
      </c>
      <c r="BK274" s="4794">
        <f t="shared" si="340"/>
        <v>0</v>
      </c>
      <c r="BL274" s="4794">
        <f t="shared" si="341"/>
        <v>0</v>
      </c>
      <c r="BM274" s="4794">
        <f t="shared" si="342"/>
        <v>0</v>
      </c>
      <c r="BN274" s="4794">
        <f t="shared" si="343"/>
        <v>0</v>
      </c>
      <c r="BO274" s="4794">
        <f t="shared" si="344"/>
        <v>0</v>
      </c>
      <c r="BP274" s="4794">
        <f t="shared" si="345"/>
        <v>0</v>
      </c>
      <c r="BQ274" s="4794">
        <f t="shared" si="346"/>
        <v>0</v>
      </c>
      <c r="BR274" s="4794">
        <f t="shared" si="347"/>
        <v>0</v>
      </c>
      <c r="BS274" s="4794">
        <f t="shared" si="348"/>
        <v>0</v>
      </c>
      <c r="BT274" s="4794">
        <f t="shared" si="349"/>
        <v>0</v>
      </c>
      <c r="BU274" s="4794">
        <f t="shared" si="350"/>
        <v>0</v>
      </c>
      <c r="BV274" s="4794">
        <f t="shared" si="351"/>
        <v>0</v>
      </c>
      <c r="BW274" s="4794">
        <f t="shared" si="352"/>
        <v>0</v>
      </c>
      <c r="BX274" s="4794">
        <f t="shared" si="353"/>
        <v>0</v>
      </c>
      <c r="BY274" s="4794">
        <f t="shared" si="354"/>
        <v>0</v>
      </c>
    </row>
    <row r="275" spans="1:77">
      <c r="A275" s="2741">
        <v>17</v>
      </c>
      <c r="B275" s="2684" t="s">
        <v>703</v>
      </c>
      <c r="C275" s="2685">
        <v>0.02</v>
      </c>
      <c r="D275" s="2720" t="s">
        <v>421</v>
      </c>
      <c r="E275" s="1268">
        <f t="shared" si="362"/>
        <v>0</v>
      </c>
      <c r="F275" s="1247">
        <f t="shared" ref="F275:T277" si="363">F209-F253</f>
        <v>0</v>
      </c>
      <c r="G275" s="1243">
        <f t="shared" si="363"/>
        <v>0</v>
      </c>
      <c r="H275" s="1243">
        <f t="shared" si="363"/>
        <v>0</v>
      </c>
      <c r="I275" s="1243">
        <f t="shared" si="363"/>
        <v>0</v>
      </c>
      <c r="J275" s="1243">
        <f t="shared" si="363"/>
        <v>0</v>
      </c>
      <c r="K275" s="1248">
        <f t="shared" si="363"/>
        <v>0</v>
      </c>
      <c r="L275" s="2816">
        <f t="shared" si="363"/>
        <v>67621</v>
      </c>
      <c r="M275" s="927">
        <f t="shared" si="363"/>
        <v>65994</v>
      </c>
      <c r="N275" s="1243">
        <f t="shared" si="363"/>
        <v>64367</v>
      </c>
      <c r="O275" s="1243">
        <f t="shared" si="363"/>
        <v>62740</v>
      </c>
      <c r="P275" s="1243">
        <f t="shared" si="363"/>
        <v>61113</v>
      </c>
      <c r="Q275" s="1243">
        <f t="shared" si="363"/>
        <v>59486</v>
      </c>
      <c r="R275" s="1248">
        <f t="shared" si="363"/>
        <v>57859</v>
      </c>
      <c r="S275" s="1268">
        <f t="shared" si="363"/>
        <v>0</v>
      </c>
      <c r="T275" s="1247">
        <f t="shared" si="363"/>
        <v>0</v>
      </c>
      <c r="U275" s="1243">
        <f t="shared" ref="U275:AM279" si="364">U209-U253</f>
        <v>0</v>
      </c>
      <c r="V275" s="1243">
        <f t="shared" si="364"/>
        <v>0</v>
      </c>
      <c r="W275" s="1243">
        <f t="shared" si="364"/>
        <v>0</v>
      </c>
      <c r="X275" s="1243">
        <f t="shared" si="364"/>
        <v>0</v>
      </c>
      <c r="Y275" s="1248">
        <f t="shared" si="364"/>
        <v>0</v>
      </c>
      <c r="Z275" s="1268">
        <f t="shared" si="364"/>
        <v>0</v>
      </c>
      <c r="AA275" s="1247">
        <f t="shared" si="364"/>
        <v>0</v>
      </c>
      <c r="AB275" s="1243">
        <f t="shared" si="364"/>
        <v>0</v>
      </c>
      <c r="AC275" s="1243">
        <f t="shared" si="364"/>
        <v>0</v>
      </c>
      <c r="AD275" s="1243">
        <f t="shared" si="364"/>
        <v>0</v>
      </c>
      <c r="AE275" s="1243">
        <f t="shared" si="364"/>
        <v>0</v>
      </c>
      <c r="AF275" s="1248">
        <f t="shared" si="364"/>
        <v>0</v>
      </c>
      <c r="AG275" s="1268">
        <f t="shared" si="364"/>
        <v>0</v>
      </c>
      <c r="AH275" s="1247">
        <f t="shared" si="364"/>
        <v>0</v>
      </c>
      <c r="AI275" s="1243">
        <f t="shared" si="364"/>
        <v>0</v>
      </c>
      <c r="AJ275" s="1243">
        <f t="shared" si="364"/>
        <v>0</v>
      </c>
      <c r="AK275" s="1243">
        <f t="shared" si="364"/>
        <v>0</v>
      </c>
      <c r="AL275" s="1243">
        <f t="shared" si="364"/>
        <v>0</v>
      </c>
      <c r="AM275" s="1248">
        <f t="shared" si="364"/>
        <v>0</v>
      </c>
      <c r="AN275" s="2681"/>
      <c r="AO275" s="2719"/>
      <c r="AP275" s="4775"/>
      <c r="AQ275" s="4794">
        <f t="shared" si="320"/>
        <v>0</v>
      </c>
      <c r="AR275" s="4794">
        <f t="shared" si="321"/>
        <v>0</v>
      </c>
      <c r="AS275" s="4794">
        <f t="shared" si="322"/>
        <v>0</v>
      </c>
      <c r="AT275" s="4794">
        <f t="shared" si="323"/>
        <v>0</v>
      </c>
      <c r="AU275" s="4794">
        <f t="shared" si="324"/>
        <v>0</v>
      </c>
      <c r="AV275" s="4794">
        <f t="shared" si="325"/>
        <v>0</v>
      </c>
      <c r="AW275" s="4794">
        <f t="shared" si="326"/>
        <v>0</v>
      </c>
      <c r="AX275" s="4794">
        <f t="shared" si="327"/>
        <v>34574.068298369493</v>
      </c>
      <c r="AY275" s="4794">
        <f t="shared" si="328"/>
        <v>33742.196407663243</v>
      </c>
      <c r="AZ275" s="4794">
        <f t="shared" si="329"/>
        <v>32910.324516956993</v>
      </c>
      <c r="BA275" s="4794">
        <f t="shared" si="330"/>
        <v>32078.45262625075</v>
      </c>
      <c r="BB275" s="4794">
        <f t="shared" si="331"/>
        <v>31246.580735544499</v>
      </c>
      <c r="BC275" s="4794">
        <f t="shared" si="332"/>
        <v>30414.708844838253</v>
      </c>
      <c r="BD275" s="4794">
        <f t="shared" si="333"/>
        <v>29582.836954132006</v>
      </c>
      <c r="BE275" s="4794">
        <f t="shared" si="334"/>
        <v>0</v>
      </c>
      <c r="BF275" s="4794">
        <f t="shared" si="335"/>
        <v>0</v>
      </c>
      <c r="BG275" s="4794">
        <f t="shared" si="336"/>
        <v>0</v>
      </c>
      <c r="BH275" s="4794">
        <f t="shared" si="337"/>
        <v>0</v>
      </c>
      <c r="BI275" s="4794">
        <f t="shared" si="338"/>
        <v>0</v>
      </c>
      <c r="BJ275" s="4794">
        <f t="shared" si="339"/>
        <v>0</v>
      </c>
      <c r="BK275" s="4794">
        <f t="shared" si="340"/>
        <v>0</v>
      </c>
      <c r="BL275" s="4794">
        <f t="shared" si="341"/>
        <v>0</v>
      </c>
      <c r="BM275" s="4794">
        <f t="shared" si="342"/>
        <v>0</v>
      </c>
      <c r="BN275" s="4794">
        <f t="shared" si="343"/>
        <v>0</v>
      </c>
      <c r="BO275" s="4794">
        <f t="shared" si="344"/>
        <v>0</v>
      </c>
      <c r="BP275" s="4794">
        <f t="shared" si="345"/>
        <v>0</v>
      </c>
      <c r="BQ275" s="4794">
        <f t="shared" si="346"/>
        <v>0</v>
      </c>
      <c r="BR275" s="4794">
        <f t="shared" si="347"/>
        <v>0</v>
      </c>
      <c r="BS275" s="4794">
        <f t="shared" si="348"/>
        <v>0</v>
      </c>
      <c r="BT275" s="4794">
        <f t="shared" si="349"/>
        <v>0</v>
      </c>
      <c r="BU275" s="4794">
        <f t="shared" si="350"/>
        <v>0</v>
      </c>
      <c r="BV275" s="4794">
        <f t="shared" si="351"/>
        <v>0</v>
      </c>
      <c r="BW275" s="4794">
        <f t="shared" si="352"/>
        <v>0</v>
      </c>
      <c r="BX275" s="4794">
        <f t="shared" si="353"/>
        <v>0</v>
      </c>
      <c r="BY275" s="4794">
        <f t="shared" si="354"/>
        <v>0</v>
      </c>
    </row>
    <row r="276" spans="1:77" ht="24">
      <c r="A276" s="2741">
        <v>18</v>
      </c>
      <c r="B276" s="2684" t="s">
        <v>704</v>
      </c>
      <c r="C276" s="2685">
        <v>0.04</v>
      </c>
      <c r="D276" s="2720" t="s">
        <v>422</v>
      </c>
      <c r="E276" s="1268">
        <f t="shared" si="362"/>
        <v>2570</v>
      </c>
      <c r="F276" s="1247">
        <f t="shared" si="363"/>
        <v>2417</v>
      </c>
      <c r="G276" s="1243">
        <f t="shared" si="363"/>
        <v>2264</v>
      </c>
      <c r="H276" s="1243">
        <f t="shared" si="363"/>
        <v>2111</v>
      </c>
      <c r="I276" s="1243">
        <f t="shared" si="363"/>
        <v>1958</v>
      </c>
      <c r="J276" s="1243">
        <f t="shared" si="363"/>
        <v>1805</v>
      </c>
      <c r="K276" s="1248">
        <f t="shared" si="363"/>
        <v>1652</v>
      </c>
      <c r="L276" s="2816">
        <f t="shared" si="363"/>
        <v>20</v>
      </c>
      <c r="M276" s="927">
        <f t="shared" si="363"/>
        <v>19</v>
      </c>
      <c r="N276" s="1243">
        <f t="shared" si="363"/>
        <v>18</v>
      </c>
      <c r="O276" s="1243">
        <f t="shared" si="363"/>
        <v>17</v>
      </c>
      <c r="P276" s="1243">
        <f t="shared" si="363"/>
        <v>16</v>
      </c>
      <c r="Q276" s="1243">
        <f t="shared" si="363"/>
        <v>15</v>
      </c>
      <c r="R276" s="1248">
        <f t="shared" si="363"/>
        <v>14</v>
      </c>
      <c r="S276" s="1268">
        <f t="shared" si="363"/>
        <v>15341</v>
      </c>
      <c r="T276" s="1247">
        <f t="shared" si="363"/>
        <v>14387</v>
      </c>
      <c r="U276" s="1243">
        <f t="shared" si="364"/>
        <v>13433</v>
      </c>
      <c r="V276" s="1243">
        <f t="shared" si="364"/>
        <v>12479</v>
      </c>
      <c r="W276" s="1243">
        <f t="shared" si="364"/>
        <v>11525</v>
      </c>
      <c r="X276" s="1243">
        <f t="shared" si="364"/>
        <v>10571</v>
      </c>
      <c r="Y276" s="1248">
        <f t="shared" si="364"/>
        <v>9617</v>
      </c>
      <c r="Z276" s="1268">
        <f t="shared" si="364"/>
        <v>0</v>
      </c>
      <c r="AA276" s="1247">
        <f t="shared" si="364"/>
        <v>0</v>
      </c>
      <c r="AB276" s="1243">
        <f t="shared" si="364"/>
        <v>0</v>
      </c>
      <c r="AC276" s="1243">
        <f t="shared" si="364"/>
        <v>0</v>
      </c>
      <c r="AD276" s="1243">
        <f t="shared" si="364"/>
        <v>0</v>
      </c>
      <c r="AE276" s="1243">
        <f t="shared" si="364"/>
        <v>0</v>
      </c>
      <c r="AF276" s="1248">
        <f t="shared" si="364"/>
        <v>0</v>
      </c>
      <c r="AG276" s="1268">
        <f t="shared" si="364"/>
        <v>0</v>
      </c>
      <c r="AH276" s="1247">
        <f t="shared" si="364"/>
        <v>0</v>
      </c>
      <c r="AI276" s="1243">
        <f t="shared" si="364"/>
        <v>0</v>
      </c>
      <c r="AJ276" s="1243">
        <f t="shared" si="364"/>
        <v>0</v>
      </c>
      <c r="AK276" s="1243">
        <f t="shared" si="364"/>
        <v>0</v>
      </c>
      <c r="AL276" s="1243">
        <f t="shared" si="364"/>
        <v>0</v>
      </c>
      <c r="AM276" s="1248">
        <f t="shared" si="364"/>
        <v>0</v>
      </c>
      <c r="AN276" s="2681"/>
      <c r="AO276" s="2719"/>
      <c r="AP276" s="4775"/>
      <c r="AQ276" s="4794">
        <f t="shared" si="320"/>
        <v>1314.0201346742815</v>
      </c>
      <c r="AR276" s="4794">
        <f t="shared" si="321"/>
        <v>1235.7924768512601</v>
      </c>
      <c r="AS276" s="4794">
        <f t="shared" si="322"/>
        <v>1157.5648190282386</v>
      </c>
      <c r="AT276" s="4794">
        <f t="shared" si="323"/>
        <v>1079.3371612052172</v>
      </c>
      <c r="AU276" s="4794">
        <f t="shared" si="324"/>
        <v>1001.1095033821958</v>
      </c>
      <c r="AV276" s="4794">
        <f t="shared" si="325"/>
        <v>922.88184555917439</v>
      </c>
      <c r="AW276" s="4794">
        <f t="shared" si="326"/>
        <v>844.65418773615295</v>
      </c>
      <c r="AX276" s="4794">
        <f t="shared" si="327"/>
        <v>10.22583762392437</v>
      </c>
      <c r="AY276" s="4794">
        <f t="shared" si="328"/>
        <v>9.7145457427281521</v>
      </c>
      <c r="AZ276" s="4794">
        <f t="shared" si="329"/>
        <v>9.2032538615319321</v>
      </c>
      <c r="BA276" s="4794">
        <f t="shared" si="330"/>
        <v>8.691961980335714</v>
      </c>
      <c r="BB276" s="4794">
        <f t="shared" si="331"/>
        <v>8.1806700991394958</v>
      </c>
      <c r="BC276" s="4794">
        <f t="shared" si="332"/>
        <v>7.6693782179432777</v>
      </c>
      <c r="BD276" s="4794">
        <f t="shared" si="333"/>
        <v>7.1580863367470586</v>
      </c>
      <c r="BE276" s="4794">
        <f t="shared" si="334"/>
        <v>7843.7287494311877</v>
      </c>
      <c r="BF276" s="4794">
        <f t="shared" si="335"/>
        <v>7355.9562947699951</v>
      </c>
      <c r="BG276" s="4794">
        <f t="shared" si="336"/>
        <v>6868.1838401088035</v>
      </c>
      <c r="BH276" s="4794">
        <f t="shared" si="337"/>
        <v>6380.4113854476109</v>
      </c>
      <c r="BI276" s="4794">
        <f t="shared" si="338"/>
        <v>5892.6389307864183</v>
      </c>
      <c r="BJ276" s="4794">
        <f t="shared" si="339"/>
        <v>5404.8664761252257</v>
      </c>
      <c r="BK276" s="4794">
        <f t="shared" si="340"/>
        <v>4917.0940214640332</v>
      </c>
      <c r="BL276" s="4794">
        <f t="shared" si="341"/>
        <v>0</v>
      </c>
      <c r="BM276" s="4794">
        <f t="shared" si="342"/>
        <v>0</v>
      </c>
      <c r="BN276" s="4794">
        <f t="shared" si="343"/>
        <v>0</v>
      </c>
      <c r="BO276" s="4794">
        <f t="shared" si="344"/>
        <v>0</v>
      </c>
      <c r="BP276" s="4794">
        <f t="shared" si="345"/>
        <v>0</v>
      </c>
      <c r="BQ276" s="4794">
        <f t="shared" si="346"/>
        <v>0</v>
      </c>
      <c r="BR276" s="4794">
        <f t="shared" si="347"/>
        <v>0</v>
      </c>
      <c r="BS276" s="4794">
        <f t="shared" si="348"/>
        <v>0</v>
      </c>
      <c r="BT276" s="4794">
        <f t="shared" si="349"/>
        <v>0</v>
      </c>
      <c r="BU276" s="4794">
        <f t="shared" si="350"/>
        <v>0</v>
      </c>
      <c r="BV276" s="4794">
        <f t="shared" si="351"/>
        <v>0</v>
      </c>
      <c r="BW276" s="4794">
        <f t="shared" si="352"/>
        <v>0</v>
      </c>
      <c r="BX276" s="4794">
        <f t="shared" si="353"/>
        <v>0</v>
      </c>
      <c r="BY276" s="4794">
        <f t="shared" si="354"/>
        <v>0</v>
      </c>
    </row>
    <row r="277" spans="1:77">
      <c r="A277" s="2741">
        <v>19</v>
      </c>
      <c r="B277" s="2684" t="s">
        <v>705</v>
      </c>
      <c r="C277" s="2685">
        <v>0.04</v>
      </c>
      <c r="D277" s="2720" t="s">
        <v>423</v>
      </c>
      <c r="E277" s="1268">
        <f t="shared" si="362"/>
        <v>26</v>
      </c>
      <c r="F277" s="1247">
        <f t="shared" si="363"/>
        <v>25</v>
      </c>
      <c r="G277" s="1243">
        <f t="shared" si="363"/>
        <v>24</v>
      </c>
      <c r="H277" s="1243">
        <f t="shared" si="363"/>
        <v>23</v>
      </c>
      <c r="I277" s="1243">
        <f t="shared" si="363"/>
        <v>22</v>
      </c>
      <c r="J277" s="1243">
        <f t="shared" si="363"/>
        <v>21</v>
      </c>
      <c r="K277" s="1248">
        <f t="shared" si="363"/>
        <v>20</v>
      </c>
      <c r="L277" s="2816">
        <f t="shared" si="363"/>
        <v>0</v>
      </c>
      <c r="M277" s="927">
        <f t="shared" si="363"/>
        <v>0</v>
      </c>
      <c r="N277" s="1243">
        <f t="shared" si="363"/>
        <v>0</v>
      </c>
      <c r="O277" s="1243">
        <f t="shared" si="363"/>
        <v>0</v>
      </c>
      <c r="P277" s="1243">
        <f t="shared" si="363"/>
        <v>0</v>
      </c>
      <c r="Q277" s="1243">
        <f t="shared" si="363"/>
        <v>0</v>
      </c>
      <c r="R277" s="1248">
        <f t="shared" si="363"/>
        <v>0</v>
      </c>
      <c r="S277" s="1268">
        <f t="shared" si="363"/>
        <v>8</v>
      </c>
      <c r="T277" s="1247">
        <f t="shared" si="363"/>
        <v>8</v>
      </c>
      <c r="U277" s="1243">
        <f t="shared" si="364"/>
        <v>8</v>
      </c>
      <c r="V277" s="1243">
        <f t="shared" si="364"/>
        <v>8</v>
      </c>
      <c r="W277" s="1243">
        <f t="shared" si="364"/>
        <v>8</v>
      </c>
      <c r="X277" s="1243">
        <f t="shared" si="364"/>
        <v>8</v>
      </c>
      <c r="Y277" s="1248">
        <f t="shared" si="364"/>
        <v>8</v>
      </c>
      <c r="Z277" s="1268">
        <f t="shared" si="364"/>
        <v>0</v>
      </c>
      <c r="AA277" s="1247">
        <f t="shared" si="364"/>
        <v>0</v>
      </c>
      <c r="AB277" s="1243">
        <f t="shared" si="364"/>
        <v>0</v>
      </c>
      <c r="AC277" s="1243">
        <f t="shared" si="364"/>
        <v>0</v>
      </c>
      <c r="AD277" s="1243">
        <f t="shared" si="364"/>
        <v>0</v>
      </c>
      <c r="AE277" s="1243">
        <f t="shared" si="364"/>
        <v>0</v>
      </c>
      <c r="AF277" s="1248">
        <f t="shared" si="364"/>
        <v>0</v>
      </c>
      <c r="AG277" s="1268">
        <f t="shared" si="364"/>
        <v>0</v>
      </c>
      <c r="AH277" s="1247">
        <f t="shared" si="364"/>
        <v>0</v>
      </c>
      <c r="AI277" s="1243">
        <f t="shared" si="364"/>
        <v>0</v>
      </c>
      <c r="AJ277" s="1243">
        <f t="shared" si="364"/>
        <v>0</v>
      </c>
      <c r="AK277" s="1243">
        <f t="shared" si="364"/>
        <v>0</v>
      </c>
      <c r="AL277" s="1243">
        <f t="shared" si="364"/>
        <v>0</v>
      </c>
      <c r="AM277" s="1248">
        <f t="shared" si="364"/>
        <v>0</v>
      </c>
      <c r="AN277" s="2681"/>
      <c r="AO277" s="2719"/>
      <c r="AP277" s="4775"/>
      <c r="AQ277" s="4794">
        <f t="shared" si="320"/>
        <v>13.293588911101681</v>
      </c>
      <c r="AR277" s="4794">
        <f t="shared" si="321"/>
        <v>12.782297029905463</v>
      </c>
      <c r="AS277" s="4794">
        <f t="shared" si="322"/>
        <v>12.271005148709245</v>
      </c>
      <c r="AT277" s="4794">
        <f t="shared" si="323"/>
        <v>11.759713267513025</v>
      </c>
      <c r="AU277" s="4794">
        <f t="shared" si="324"/>
        <v>11.248421386316807</v>
      </c>
      <c r="AV277" s="4794">
        <f t="shared" si="325"/>
        <v>10.737129505120588</v>
      </c>
      <c r="AW277" s="4794">
        <f t="shared" si="326"/>
        <v>10.22583762392437</v>
      </c>
      <c r="AX277" s="4794">
        <f t="shared" si="327"/>
        <v>0</v>
      </c>
      <c r="AY277" s="4794">
        <f t="shared" si="328"/>
        <v>0</v>
      </c>
      <c r="AZ277" s="4794">
        <f t="shared" si="329"/>
        <v>0</v>
      </c>
      <c r="BA277" s="4794">
        <f t="shared" si="330"/>
        <v>0</v>
      </c>
      <c r="BB277" s="4794">
        <f t="shared" si="331"/>
        <v>0</v>
      </c>
      <c r="BC277" s="4794">
        <f t="shared" si="332"/>
        <v>0</v>
      </c>
      <c r="BD277" s="4794">
        <f t="shared" si="333"/>
        <v>0</v>
      </c>
      <c r="BE277" s="4794">
        <f t="shared" si="334"/>
        <v>4.0903350495697479</v>
      </c>
      <c r="BF277" s="4794">
        <f t="shared" si="335"/>
        <v>4.0903350495697479</v>
      </c>
      <c r="BG277" s="4794">
        <f t="shared" si="336"/>
        <v>4.0903350495697479</v>
      </c>
      <c r="BH277" s="4794">
        <f t="shared" si="337"/>
        <v>4.0903350495697479</v>
      </c>
      <c r="BI277" s="4794">
        <f t="shared" si="338"/>
        <v>4.0903350495697479</v>
      </c>
      <c r="BJ277" s="4794">
        <f t="shared" si="339"/>
        <v>4.0903350495697479</v>
      </c>
      <c r="BK277" s="4794">
        <f t="shared" si="340"/>
        <v>4.0903350495697479</v>
      </c>
      <c r="BL277" s="4794">
        <f t="shared" si="341"/>
        <v>0</v>
      </c>
      <c r="BM277" s="4794">
        <f t="shared" si="342"/>
        <v>0</v>
      </c>
      <c r="BN277" s="4794">
        <f t="shared" si="343"/>
        <v>0</v>
      </c>
      <c r="BO277" s="4794">
        <f t="shared" si="344"/>
        <v>0</v>
      </c>
      <c r="BP277" s="4794">
        <f t="shared" si="345"/>
        <v>0</v>
      </c>
      <c r="BQ277" s="4794">
        <f t="shared" si="346"/>
        <v>0</v>
      </c>
      <c r="BR277" s="4794">
        <f t="shared" si="347"/>
        <v>0</v>
      </c>
      <c r="BS277" s="4794">
        <f t="shared" si="348"/>
        <v>0</v>
      </c>
      <c r="BT277" s="4794">
        <f t="shared" si="349"/>
        <v>0</v>
      </c>
      <c r="BU277" s="4794">
        <f t="shared" si="350"/>
        <v>0</v>
      </c>
      <c r="BV277" s="4794">
        <f t="shared" si="351"/>
        <v>0</v>
      </c>
      <c r="BW277" s="4794">
        <f t="shared" si="352"/>
        <v>0</v>
      </c>
      <c r="BX277" s="4794">
        <f t="shared" si="353"/>
        <v>0</v>
      </c>
      <c r="BY277" s="4794">
        <f t="shared" si="354"/>
        <v>0</v>
      </c>
    </row>
    <row r="278" spans="1:77">
      <c r="A278" s="2741">
        <v>20</v>
      </c>
      <c r="B278" s="2684" t="s">
        <v>717</v>
      </c>
      <c r="C278" s="2685">
        <v>0.04</v>
      </c>
      <c r="D278" s="2739" t="s">
        <v>434</v>
      </c>
      <c r="E278" s="1268">
        <f t="shared" si="362"/>
        <v>37</v>
      </c>
      <c r="F278" s="1247">
        <f t="shared" ref="F278:Y279" si="365">F212-F256</f>
        <v>35</v>
      </c>
      <c r="G278" s="1243">
        <f t="shared" si="365"/>
        <v>33</v>
      </c>
      <c r="H278" s="1243">
        <f t="shared" si="365"/>
        <v>31</v>
      </c>
      <c r="I278" s="1243">
        <f t="shared" si="365"/>
        <v>29</v>
      </c>
      <c r="J278" s="1243">
        <f t="shared" si="365"/>
        <v>27</v>
      </c>
      <c r="K278" s="1248">
        <f t="shared" si="365"/>
        <v>25</v>
      </c>
      <c r="L278" s="2816">
        <f t="shared" si="365"/>
        <v>3</v>
      </c>
      <c r="M278" s="927">
        <f t="shared" si="365"/>
        <v>3</v>
      </c>
      <c r="N278" s="1243">
        <f t="shared" si="365"/>
        <v>3</v>
      </c>
      <c r="O278" s="1243">
        <f t="shared" si="365"/>
        <v>3</v>
      </c>
      <c r="P278" s="1243">
        <f t="shared" si="365"/>
        <v>3</v>
      </c>
      <c r="Q278" s="1243">
        <f t="shared" si="365"/>
        <v>3</v>
      </c>
      <c r="R278" s="1248">
        <f t="shared" si="365"/>
        <v>3</v>
      </c>
      <c r="S278" s="1268">
        <f t="shared" si="365"/>
        <v>3</v>
      </c>
      <c r="T278" s="1247">
        <f t="shared" si="365"/>
        <v>3</v>
      </c>
      <c r="U278" s="1243">
        <f t="shared" si="365"/>
        <v>3</v>
      </c>
      <c r="V278" s="1243">
        <f t="shared" si="365"/>
        <v>3</v>
      </c>
      <c r="W278" s="1243">
        <f t="shared" si="365"/>
        <v>3</v>
      </c>
      <c r="X278" s="1243">
        <f t="shared" si="365"/>
        <v>3</v>
      </c>
      <c r="Y278" s="1248">
        <f t="shared" si="365"/>
        <v>3</v>
      </c>
      <c r="Z278" s="1268">
        <f t="shared" si="364"/>
        <v>0</v>
      </c>
      <c r="AA278" s="1247">
        <f t="shared" si="364"/>
        <v>0</v>
      </c>
      <c r="AB278" s="1243">
        <f t="shared" si="364"/>
        <v>0</v>
      </c>
      <c r="AC278" s="1243">
        <f t="shared" si="364"/>
        <v>0</v>
      </c>
      <c r="AD278" s="1243">
        <f t="shared" si="364"/>
        <v>0</v>
      </c>
      <c r="AE278" s="1243">
        <f t="shared" si="364"/>
        <v>0</v>
      </c>
      <c r="AF278" s="1248">
        <f t="shared" si="364"/>
        <v>0</v>
      </c>
      <c r="AG278" s="1268">
        <f t="shared" si="364"/>
        <v>0</v>
      </c>
      <c r="AH278" s="1247">
        <f t="shared" si="364"/>
        <v>0</v>
      </c>
      <c r="AI278" s="1243">
        <f t="shared" si="364"/>
        <v>0</v>
      </c>
      <c r="AJ278" s="1243">
        <f t="shared" si="364"/>
        <v>0</v>
      </c>
      <c r="AK278" s="1243">
        <f t="shared" si="364"/>
        <v>0</v>
      </c>
      <c r="AL278" s="1243">
        <f t="shared" si="364"/>
        <v>0</v>
      </c>
      <c r="AM278" s="1248">
        <f t="shared" si="364"/>
        <v>0</v>
      </c>
      <c r="AN278" s="2681"/>
      <c r="AO278" s="2719"/>
      <c r="AP278" s="4775"/>
      <c r="AQ278" s="4794">
        <f t="shared" si="320"/>
        <v>18.917799604260086</v>
      </c>
      <c r="AR278" s="4794">
        <f t="shared" si="321"/>
        <v>17.895215841867646</v>
      </c>
      <c r="AS278" s="4794">
        <f t="shared" si="322"/>
        <v>16.87263207947521</v>
      </c>
      <c r="AT278" s="4794">
        <f t="shared" si="323"/>
        <v>15.850048317082774</v>
      </c>
      <c r="AU278" s="4794">
        <f t="shared" si="324"/>
        <v>14.827464554690337</v>
      </c>
      <c r="AV278" s="4794">
        <f t="shared" si="325"/>
        <v>13.804880792297899</v>
      </c>
      <c r="AW278" s="4794">
        <f t="shared" si="326"/>
        <v>12.782297029905463</v>
      </c>
      <c r="AX278" s="4794">
        <f t="shared" si="327"/>
        <v>1.5338756435886556</v>
      </c>
      <c r="AY278" s="4794">
        <f t="shared" si="328"/>
        <v>1.5338756435886556</v>
      </c>
      <c r="AZ278" s="4794">
        <f t="shared" si="329"/>
        <v>1.5338756435886556</v>
      </c>
      <c r="BA278" s="4794">
        <f t="shared" si="330"/>
        <v>1.5338756435886556</v>
      </c>
      <c r="BB278" s="4794">
        <f t="shared" si="331"/>
        <v>1.5338756435886556</v>
      </c>
      <c r="BC278" s="4794">
        <f t="shared" si="332"/>
        <v>1.5338756435886556</v>
      </c>
      <c r="BD278" s="4794">
        <f t="shared" si="333"/>
        <v>1.5338756435886556</v>
      </c>
      <c r="BE278" s="4794">
        <f t="shared" si="334"/>
        <v>1.5338756435886556</v>
      </c>
      <c r="BF278" s="4794">
        <f t="shared" si="335"/>
        <v>1.5338756435886556</v>
      </c>
      <c r="BG278" s="4794">
        <f t="shared" si="336"/>
        <v>1.5338756435886556</v>
      </c>
      <c r="BH278" s="4794">
        <f t="shared" si="337"/>
        <v>1.5338756435886556</v>
      </c>
      <c r="BI278" s="4794">
        <f t="shared" si="338"/>
        <v>1.5338756435886556</v>
      </c>
      <c r="BJ278" s="4794">
        <f t="shared" si="339"/>
        <v>1.5338756435886556</v>
      </c>
      <c r="BK278" s="4794">
        <f t="shared" si="340"/>
        <v>1.5338756435886556</v>
      </c>
      <c r="BL278" s="4794">
        <f t="shared" si="341"/>
        <v>0</v>
      </c>
      <c r="BM278" s="4794">
        <f t="shared" si="342"/>
        <v>0</v>
      </c>
      <c r="BN278" s="4794">
        <f t="shared" si="343"/>
        <v>0</v>
      </c>
      <c r="BO278" s="4794">
        <f t="shared" si="344"/>
        <v>0</v>
      </c>
      <c r="BP278" s="4794">
        <f t="shared" si="345"/>
        <v>0</v>
      </c>
      <c r="BQ278" s="4794">
        <f t="shared" si="346"/>
        <v>0</v>
      </c>
      <c r="BR278" s="4794">
        <f t="shared" si="347"/>
        <v>0</v>
      </c>
      <c r="BS278" s="4794">
        <f t="shared" si="348"/>
        <v>0</v>
      </c>
      <c r="BT278" s="4794">
        <f t="shared" si="349"/>
        <v>0</v>
      </c>
      <c r="BU278" s="4794">
        <f t="shared" si="350"/>
        <v>0</v>
      </c>
      <c r="BV278" s="4794">
        <f t="shared" si="351"/>
        <v>0</v>
      </c>
      <c r="BW278" s="4794">
        <f t="shared" si="352"/>
        <v>0</v>
      </c>
      <c r="BX278" s="4794">
        <f t="shared" si="353"/>
        <v>0</v>
      </c>
      <c r="BY278" s="4794">
        <f t="shared" si="354"/>
        <v>0</v>
      </c>
    </row>
    <row r="279" spans="1:77" ht="24.75" thickBot="1">
      <c r="A279" s="2741">
        <v>21</v>
      </c>
      <c r="B279" s="2684" t="s">
        <v>707</v>
      </c>
      <c r="C279" s="2690">
        <v>0.2</v>
      </c>
      <c r="D279" s="2720" t="s">
        <v>679</v>
      </c>
      <c r="E279" s="1268">
        <f t="shared" si="362"/>
        <v>0</v>
      </c>
      <c r="F279" s="1247">
        <f t="shared" si="365"/>
        <v>0</v>
      </c>
      <c r="G279" s="1243">
        <f t="shared" si="365"/>
        <v>0</v>
      </c>
      <c r="H279" s="1243">
        <f t="shared" si="365"/>
        <v>0</v>
      </c>
      <c r="I279" s="1243">
        <f t="shared" si="365"/>
        <v>0</v>
      </c>
      <c r="J279" s="1243">
        <f t="shared" si="365"/>
        <v>0</v>
      </c>
      <c r="K279" s="1248">
        <f t="shared" si="365"/>
        <v>0</v>
      </c>
      <c r="L279" s="2816">
        <f t="shared" si="365"/>
        <v>0</v>
      </c>
      <c r="M279" s="1255">
        <f t="shared" si="365"/>
        <v>0</v>
      </c>
      <c r="N279" s="1244">
        <f t="shared" si="365"/>
        <v>0</v>
      </c>
      <c r="O279" s="1244">
        <f t="shared" si="365"/>
        <v>0</v>
      </c>
      <c r="P279" s="1244">
        <f t="shared" si="365"/>
        <v>0</v>
      </c>
      <c r="Q279" s="1244">
        <f t="shared" si="365"/>
        <v>0</v>
      </c>
      <c r="R279" s="1250">
        <f t="shared" si="365"/>
        <v>0</v>
      </c>
      <c r="S279" s="1268">
        <f t="shared" si="365"/>
        <v>2007</v>
      </c>
      <c r="T279" s="1249">
        <f t="shared" si="365"/>
        <v>1893</v>
      </c>
      <c r="U279" s="1244">
        <f t="shared" si="365"/>
        <v>1779</v>
      </c>
      <c r="V279" s="1244">
        <f t="shared" si="365"/>
        <v>1665</v>
      </c>
      <c r="W279" s="1244">
        <f t="shared" si="365"/>
        <v>1551</v>
      </c>
      <c r="X279" s="1244">
        <f t="shared" si="365"/>
        <v>1437</v>
      </c>
      <c r="Y279" s="1250">
        <f t="shared" si="365"/>
        <v>1323</v>
      </c>
      <c r="Z279" s="1268">
        <f t="shared" si="364"/>
        <v>0</v>
      </c>
      <c r="AA279" s="1249">
        <f t="shared" si="364"/>
        <v>0</v>
      </c>
      <c r="AB279" s="1244">
        <f t="shared" si="364"/>
        <v>0</v>
      </c>
      <c r="AC279" s="1244">
        <f t="shared" si="364"/>
        <v>0</v>
      </c>
      <c r="AD279" s="1244">
        <f t="shared" si="364"/>
        <v>0</v>
      </c>
      <c r="AE279" s="1244">
        <f t="shared" si="364"/>
        <v>0</v>
      </c>
      <c r="AF279" s="1250">
        <f t="shared" si="364"/>
        <v>0</v>
      </c>
      <c r="AG279" s="1268">
        <f t="shared" si="364"/>
        <v>0</v>
      </c>
      <c r="AH279" s="1249">
        <f t="shared" si="364"/>
        <v>0</v>
      </c>
      <c r="AI279" s="1244">
        <f t="shared" si="364"/>
        <v>0</v>
      </c>
      <c r="AJ279" s="1244">
        <f t="shared" si="364"/>
        <v>0</v>
      </c>
      <c r="AK279" s="1244">
        <f t="shared" si="364"/>
        <v>0</v>
      </c>
      <c r="AL279" s="1244">
        <f t="shared" si="364"/>
        <v>0</v>
      </c>
      <c r="AM279" s="1250">
        <f t="shared" si="364"/>
        <v>0</v>
      </c>
      <c r="AN279" s="2681"/>
      <c r="AO279" s="2719"/>
      <c r="AP279" s="4775"/>
      <c r="AQ279" s="4794">
        <f t="shared" si="320"/>
        <v>0</v>
      </c>
      <c r="AR279" s="4794">
        <f t="shared" si="321"/>
        <v>0</v>
      </c>
      <c r="AS279" s="4794">
        <f t="shared" si="322"/>
        <v>0</v>
      </c>
      <c r="AT279" s="4794">
        <f t="shared" si="323"/>
        <v>0</v>
      </c>
      <c r="AU279" s="4794">
        <f t="shared" si="324"/>
        <v>0</v>
      </c>
      <c r="AV279" s="4794">
        <f t="shared" si="325"/>
        <v>0</v>
      </c>
      <c r="AW279" s="4794">
        <f t="shared" si="326"/>
        <v>0</v>
      </c>
      <c r="AX279" s="4794">
        <f t="shared" si="327"/>
        <v>0</v>
      </c>
      <c r="AY279" s="4794">
        <f t="shared" si="328"/>
        <v>0</v>
      </c>
      <c r="AZ279" s="4794">
        <f t="shared" si="329"/>
        <v>0</v>
      </c>
      <c r="BA279" s="4794">
        <f t="shared" si="330"/>
        <v>0</v>
      </c>
      <c r="BB279" s="4794">
        <f t="shared" si="331"/>
        <v>0</v>
      </c>
      <c r="BC279" s="4794">
        <f t="shared" si="332"/>
        <v>0</v>
      </c>
      <c r="BD279" s="4794">
        <f t="shared" si="333"/>
        <v>0</v>
      </c>
      <c r="BE279" s="4794">
        <f t="shared" si="334"/>
        <v>1026.1628055608105</v>
      </c>
      <c r="BF279" s="4794">
        <f t="shared" si="335"/>
        <v>967.87553110444162</v>
      </c>
      <c r="BG279" s="4794">
        <f t="shared" si="336"/>
        <v>909.58825664807273</v>
      </c>
      <c r="BH279" s="4794">
        <f t="shared" si="337"/>
        <v>851.30098219170384</v>
      </c>
      <c r="BI279" s="4794">
        <f t="shared" si="338"/>
        <v>793.01370773533483</v>
      </c>
      <c r="BJ279" s="4794">
        <f t="shared" si="339"/>
        <v>734.72643327896594</v>
      </c>
      <c r="BK279" s="4794">
        <f t="shared" si="340"/>
        <v>676.43915882259705</v>
      </c>
      <c r="BL279" s="4794">
        <f t="shared" si="341"/>
        <v>0</v>
      </c>
      <c r="BM279" s="4794">
        <f t="shared" si="342"/>
        <v>0</v>
      </c>
      <c r="BN279" s="4794">
        <f t="shared" si="343"/>
        <v>0</v>
      </c>
      <c r="BO279" s="4794">
        <f t="shared" si="344"/>
        <v>0</v>
      </c>
      <c r="BP279" s="4794">
        <f t="shared" si="345"/>
        <v>0</v>
      </c>
      <c r="BQ279" s="4794">
        <f t="shared" si="346"/>
        <v>0</v>
      </c>
      <c r="BR279" s="4794">
        <f t="shared" si="347"/>
        <v>0</v>
      </c>
      <c r="BS279" s="4794">
        <f t="shared" si="348"/>
        <v>0</v>
      </c>
      <c r="BT279" s="4794">
        <f t="shared" si="349"/>
        <v>0</v>
      </c>
      <c r="BU279" s="4794">
        <f t="shared" si="350"/>
        <v>0</v>
      </c>
      <c r="BV279" s="4794">
        <f t="shared" si="351"/>
        <v>0</v>
      </c>
      <c r="BW279" s="4794">
        <f t="shared" si="352"/>
        <v>0</v>
      </c>
      <c r="BX279" s="4794">
        <f t="shared" si="353"/>
        <v>0</v>
      </c>
      <c r="BY279" s="4794">
        <f t="shared" si="354"/>
        <v>0</v>
      </c>
    </row>
    <row r="280" spans="1:77" ht="13.5" thickBot="1">
      <c r="A280" s="2746"/>
      <c r="B280" s="2746"/>
      <c r="C280" s="2746"/>
      <c r="D280" s="2747" t="s">
        <v>559</v>
      </c>
      <c r="E280" s="2817">
        <f>E10+E111+E192</f>
        <v>132060</v>
      </c>
      <c r="F280" s="2818">
        <f t="shared" ref="F280:AM280" si="366">F10+F111+F192</f>
        <v>136903.66666666669</v>
      </c>
      <c r="G280" s="2819">
        <f t="shared" si="366"/>
        <v>140639</v>
      </c>
      <c r="H280" s="2819">
        <f t="shared" si="366"/>
        <v>143735.66666666669</v>
      </c>
      <c r="I280" s="2819">
        <f t="shared" si="366"/>
        <v>146929</v>
      </c>
      <c r="J280" s="2819">
        <f t="shared" si="366"/>
        <v>150269</v>
      </c>
      <c r="K280" s="2820">
        <f t="shared" si="366"/>
        <v>153364</v>
      </c>
      <c r="L280" s="2817">
        <f t="shared" si="366"/>
        <v>87038</v>
      </c>
      <c r="M280" s="2818">
        <f t="shared" si="366"/>
        <v>87274.666666666672</v>
      </c>
      <c r="N280" s="2819">
        <f t="shared" si="366"/>
        <v>87533</v>
      </c>
      <c r="O280" s="2819">
        <f t="shared" si="366"/>
        <v>87769.666666666672</v>
      </c>
      <c r="P280" s="2819">
        <f t="shared" si="366"/>
        <v>88068</v>
      </c>
      <c r="Q280" s="2819">
        <f t="shared" si="366"/>
        <v>88278</v>
      </c>
      <c r="R280" s="2820">
        <f t="shared" si="366"/>
        <v>88508</v>
      </c>
      <c r="S280" s="2817">
        <f t="shared" si="366"/>
        <v>43652</v>
      </c>
      <c r="T280" s="2818">
        <f t="shared" si="366"/>
        <v>43878.666666666664</v>
      </c>
      <c r="U280" s="2819">
        <f t="shared" si="366"/>
        <v>44132</v>
      </c>
      <c r="V280" s="2819">
        <f t="shared" si="366"/>
        <v>44348.666666666664</v>
      </c>
      <c r="W280" s="2819">
        <f t="shared" si="366"/>
        <v>44617</v>
      </c>
      <c r="X280" s="2819">
        <f t="shared" si="366"/>
        <v>44837</v>
      </c>
      <c r="Y280" s="2821">
        <f t="shared" si="366"/>
        <v>45047</v>
      </c>
      <c r="Z280" s="2817">
        <f t="shared" si="366"/>
        <v>0</v>
      </c>
      <c r="AA280" s="2818">
        <f t="shared" si="366"/>
        <v>0</v>
      </c>
      <c r="AB280" s="2819">
        <f t="shared" si="366"/>
        <v>0</v>
      </c>
      <c r="AC280" s="2819">
        <f t="shared" si="366"/>
        <v>0</v>
      </c>
      <c r="AD280" s="2819">
        <f t="shared" si="366"/>
        <v>0</v>
      </c>
      <c r="AE280" s="2819">
        <f t="shared" si="366"/>
        <v>0</v>
      </c>
      <c r="AF280" s="2821">
        <f t="shared" si="366"/>
        <v>0</v>
      </c>
      <c r="AG280" s="2817">
        <f t="shared" si="366"/>
        <v>0</v>
      </c>
      <c r="AH280" s="2818">
        <f t="shared" si="366"/>
        <v>0</v>
      </c>
      <c r="AI280" s="2819">
        <f t="shared" si="366"/>
        <v>0</v>
      </c>
      <c r="AJ280" s="2819">
        <f t="shared" si="366"/>
        <v>0</v>
      </c>
      <c r="AK280" s="2819">
        <f t="shared" si="366"/>
        <v>0</v>
      </c>
      <c r="AL280" s="2819">
        <f t="shared" si="366"/>
        <v>0</v>
      </c>
      <c r="AM280" s="2821">
        <f t="shared" si="366"/>
        <v>0</v>
      </c>
      <c r="AN280" s="2738"/>
      <c r="AO280" s="2717"/>
      <c r="AP280" s="4775"/>
      <c r="AQ280" s="4794">
        <f t="shared" si="320"/>
        <v>67521.205830772611</v>
      </c>
      <c r="AR280" s="4794">
        <f t="shared" si="321"/>
        <v>69997.733272660043</v>
      </c>
      <c r="AS280" s="4794">
        <f t="shared" si="322"/>
        <v>71907.578879554974</v>
      </c>
      <c r="AT280" s="4794">
        <f t="shared" si="323"/>
        <v>73490.879404992607</v>
      </c>
      <c r="AU280" s="4794">
        <f t="shared" si="324"/>
        <v>75123.604812279184</v>
      </c>
      <c r="AV280" s="4794">
        <f t="shared" si="325"/>
        <v>76831.319695474551</v>
      </c>
      <c r="AW280" s="4794">
        <f t="shared" si="326"/>
        <v>78413.768067776851</v>
      </c>
      <c r="AX280" s="4794">
        <f t="shared" si="327"/>
        <v>44501.822755556466</v>
      </c>
      <c r="AY280" s="4794">
        <f t="shared" si="328"/>
        <v>44622.828500772906</v>
      </c>
      <c r="AZ280" s="4794">
        <f t="shared" si="329"/>
        <v>44754.912236748591</v>
      </c>
      <c r="BA280" s="4794">
        <f t="shared" si="330"/>
        <v>44875.917981965038</v>
      </c>
      <c r="BB280" s="4794">
        <f t="shared" si="331"/>
        <v>45028.453393188567</v>
      </c>
      <c r="BC280" s="4794">
        <f t="shared" si="332"/>
        <v>45135.82468823978</v>
      </c>
      <c r="BD280" s="4794">
        <f t="shared" si="333"/>
        <v>45253.421820914904</v>
      </c>
      <c r="BE280" s="4794">
        <f t="shared" si="334"/>
        <v>22318.91319797733</v>
      </c>
      <c r="BF280" s="4794">
        <f t="shared" si="335"/>
        <v>22434.806024381804</v>
      </c>
      <c r="BG280" s="4794">
        <f t="shared" si="336"/>
        <v>22564.333300951515</v>
      </c>
      <c r="BH280" s="4794">
        <f t="shared" si="337"/>
        <v>22675.113208544026</v>
      </c>
      <c r="BI280" s="4794">
        <f t="shared" si="338"/>
        <v>22812.30986333168</v>
      </c>
      <c r="BJ280" s="4794">
        <f t="shared" si="339"/>
        <v>22924.794077194849</v>
      </c>
      <c r="BK280" s="4794">
        <f t="shared" si="340"/>
        <v>23032.165372246054</v>
      </c>
      <c r="BL280" s="4794">
        <f t="shared" si="341"/>
        <v>0</v>
      </c>
      <c r="BM280" s="4794">
        <f t="shared" si="342"/>
        <v>0</v>
      </c>
      <c r="BN280" s="4794">
        <f t="shared" si="343"/>
        <v>0</v>
      </c>
      <c r="BO280" s="4794">
        <f t="shared" si="344"/>
        <v>0</v>
      </c>
      <c r="BP280" s="4794">
        <f t="shared" si="345"/>
        <v>0</v>
      </c>
      <c r="BQ280" s="4794">
        <f t="shared" si="346"/>
        <v>0</v>
      </c>
      <c r="BR280" s="4794">
        <f t="shared" si="347"/>
        <v>0</v>
      </c>
      <c r="BS280" s="4794">
        <f t="shared" si="348"/>
        <v>0</v>
      </c>
      <c r="BT280" s="4794">
        <f t="shared" si="349"/>
        <v>0</v>
      </c>
      <c r="BU280" s="4794">
        <f t="shared" si="350"/>
        <v>0</v>
      </c>
      <c r="BV280" s="4794">
        <f t="shared" si="351"/>
        <v>0</v>
      </c>
      <c r="BW280" s="4794">
        <f t="shared" si="352"/>
        <v>0</v>
      </c>
      <c r="BX280" s="4794">
        <f t="shared" si="353"/>
        <v>0</v>
      </c>
      <c r="BY280" s="4794">
        <f t="shared" si="354"/>
        <v>0</v>
      </c>
    </row>
    <row r="281" spans="1:77" ht="13.5" thickBot="1">
      <c r="A281" s="2746"/>
      <c r="B281" s="2746"/>
      <c r="C281" s="2746"/>
      <c r="D281" s="2747" t="s">
        <v>560</v>
      </c>
      <c r="E281" s="2817">
        <f t="shared" ref="E281" si="367">E35+E131+E214</f>
        <v>3157</v>
      </c>
      <c r="F281" s="2818">
        <f t="shared" ref="F281:AM281" si="368">F35+F131+F214</f>
        <v>3457.8759658873128</v>
      </c>
      <c r="G281" s="2819">
        <f t="shared" si="368"/>
        <v>3590.6348295454545</v>
      </c>
      <c r="H281" s="2819">
        <f t="shared" si="368"/>
        <v>3691.3878840374759</v>
      </c>
      <c r="I281" s="2819">
        <f t="shared" si="368"/>
        <v>3795.2601362543414</v>
      </c>
      <c r="J281" s="2819">
        <f t="shared" si="368"/>
        <v>3914.0983539051967</v>
      </c>
      <c r="K281" s="2820">
        <f t="shared" si="368"/>
        <v>4019.2286920841166</v>
      </c>
      <c r="L281" s="2817">
        <f t="shared" si="368"/>
        <v>1838</v>
      </c>
      <c r="M281" s="2818">
        <f t="shared" si="368"/>
        <v>1863.1526293599081</v>
      </c>
      <c r="N281" s="2819">
        <f t="shared" si="368"/>
        <v>1868.1883901515153</v>
      </c>
      <c r="O281" s="2819">
        <f t="shared" si="368"/>
        <v>1873.600712391727</v>
      </c>
      <c r="P281" s="2819">
        <f t="shared" si="368"/>
        <v>1879.0775233769705</v>
      </c>
      <c r="Q281" s="2819">
        <f t="shared" si="368"/>
        <v>1884.2526802198943</v>
      </c>
      <c r="R281" s="2820">
        <f t="shared" si="368"/>
        <v>1888.9659360574458</v>
      </c>
      <c r="S281" s="2817">
        <f t="shared" si="368"/>
        <v>1558</v>
      </c>
      <c r="T281" s="2818">
        <f t="shared" si="368"/>
        <v>1565.8764047527789</v>
      </c>
      <c r="U281" s="2819">
        <f t="shared" si="368"/>
        <v>1576.4567803030304</v>
      </c>
      <c r="V281" s="2819">
        <f t="shared" si="368"/>
        <v>1588.6414035707971</v>
      </c>
      <c r="W281" s="2819">
        <f t="shared" si="368"/>
        <v>1599.7423403686882</v>
      </c>
      <c r="X281" s="2819">
        <f t="shared" si="368"/>
        <v>1611.7289658749091</v>
      </c>
      <c r="Y281" s="2821">
        <f t="shared" si="368"/>
        <v>1622.9853718584372</v>
      </c>
      <c r="Z281" s="2817">
        <f t="shared" si="368"/>
        <v>0</v>
      </c>
      <c r="AA281" s="2818">
        <f t="shared" si="368"/>
        <v>0</v>
      </c>
      <c r="AB281" s="2819">
        <f t="shared" si="368"/>
        <v>0</v>
      </c>
      <c r="AC281" s="2819">
        <f t="shared" si="368"/>
        <v>0</v>
      </c>
      <c r="AD281" s="2819">
        <f t="shared" si="368"/>
        <v>0</v>
      </c>
      <c r="AE281" s="2819">
        <f t="shared" si="368"/>
        <v>0</v>
      </c>
      <c r="AF281" s="2821">
        <f t="shared" si="368"/>
        <v>0</v>
      </c>
      <c r="AG281" s="2817">
        <f t="shared" si="368"/>
        <v>0</v>
      </c>
      <c r="AH281" s="2818">
        <f t="shared" si="368"/>
        <v>0</v>
      </c>
      <c r="AI281" s="2819">
        <f t="shared" si="368"/>
        <v>0</v>
      </c>
      <c r="AJ281" s="2819">
        <f t="shared" si="368"/>
        <v>0</v>
      </c>
      <c r="AK281" s="2819">
        <f t="shared" si="368"/>
        <v>0</v>
      </c>
      <c r="AL281" s="2819">
        <f t="shared" si="368"/>
        <v>0</v>
      </c>
      <c r="AM281" s="2821">
        <f t="shared" si="368"/>
        <v>0</v>
      </c>
      <c r="AN281" s="2738"/>
      <c r="AO281" s="2717"/>
      <c r="AP281" s="4775"/>
      <c r="AQ281" s="4794">
        <f t="shared" si="320"/>
        <v>1614.1484689364618</v>
      </c>
      <c r="AR281" s="4794">
        <f t="shared" si="321"/>
        <v>1767.9839075417151</v>
      </c>
      <c r="AS281" s="4794">
        <f t="shared" si="322"/>
        <v>1835.8624366869587</v>
      </c>
      <c r="AT281" s="4794">
        <f t="shared" si="323"/>
        <v>1887.3766554544495</v>
      </c>
      <c r="AU281" s="4794">
        <f t="shared" si="324"/>
        <v>1940.4856946944988</v>
      </c>
      <c r="AV281" s="4794">
        <f t="shared" si="325"/>
        <v>2001.2467105552103</v>
      </c>
      <c r="AW281" s="4794">
        <f t="shared" si="326"/>
        <v>2054.9989989335049</v>
      </c>
      <c r="AX281" s="4794">
        <f t="shared" si="327"/>
        <v>939.75447763864963</v>
      </c>
      <c r="AY281" s="4794">
        <f t="shared" si="328"/>
        <v>952.61481282110822</v>
      </c>
      <c r="AZ281" s="4794">
        <f t="shared" si="329"/>
        <v>955.18955642950323</v>
      </c>
      <c r="BA281" s="4794">
        <f t="shared" si="330"/>
        <v>957.95683284934125</v>
      </c>
      <c r="BB281" s="4794">
        <f t="shared" si="331"/>
        <v>960.75708184094242</v>
      </c>
      <c r="BC281" s="4794">
        <f t="shared" si="332"/>
        <v>963.40309751864652</v>
      </c>
      <c r="BD281" s="4794">
        <f t="shared" si="333"/>
        <v>965.81294696238729</v>
      </c>
      <c r="BE281" s="4794">
        <f t="shared" si="334"/>
        <v>796.59275090370841</v>
      </c>
      <c r="BF281" s="4794">
        <f t="shared" si="335"/>
        <v>800.61989270681954</v>
      </c>
      <c r="BG281" s="4794">
        <f t="shared" si="336"/>
        <v>806.02955282567018</v>
      </c>
      <c r="BH281" s="4794">
        <f t="shared" si="337"/>
        <v>812.2594517779138</v>
      </c>
      <c r="BI281" s="4794">
        <f t="shared" si="338"/>
        <v>817.93527063634792</v>
      </c>
      <c r="BJ281" s="4794">
        <f t="shared" si="339"/>
        <v>824.06393494061808</v>
      </c>
      <c r="BK281" s="4794">
        <f t="shared" si="340"/>
        <v>829.81924393144459</v>
      </c>
      <c r="BL281" s="4794">
        <f t="shared" si="341"/>
        <v>0</v>
      </c>
      <c r="BM281" s="4794">
        <f t="shared" si="342"/>
        <v>0</v>
      </c>
      <c r="BN281" s="4794">
        <f t="shared" si="343"/>
        <v>0</v>
      </c>
      <c r="BO281" s="4794">
        <f t="shared" si="344"/>
        <v>0</v>
      </c>
      <c r="BP281" s="4794">
        <f t="shared" si="345"/>
        <v>0</v>
      </c>
      <c r="BQ281" s="4794">
        <f t="shared" si="346"/>
        <v>0</v>
      </c>
      <c r="BR281" s="4794">
        <f t="shared" si="347"/>
        <v>0</v>
      </c>
      <c r="BS281" s="4794">
        <f t="shared" si="348"/>
        <v>0</v>
      </c>
      <c r="BT281" s="4794">
        <f t="shared" si="349"/>
        <v>0</v>
      </c>
      <c r="BU281" s="4794">
        <f t="shared" si="350"/>
        <v>0</v>
      </c>
      <c r="BV281" s="4794">
        <f t="shared" si="351"/>
        <v>0</v>
      </c>
      <c r="BW281" s="4794">
        <f t="shared" si="352"/>
        <v>0</v>
      </c>
      <c r="BX281" s="4794">
        <f t="shared" si="353"/>
        <v>0</v>
      </c>
      <c r="BY281" s="4794">
        <f t="shared" si="354"/>
        <v>0</v>
      </c>
    </row>
    <row r="282" spans="1:77" ht="13.5" thickBot="1">
      <c r="A282" s="2746"/>
      <c r="B282" s="2746"/>
      <c r="C282" s="2746"/>
      <c r="D282" s="2747" t="s">
        <v>561</v>
      </c>
      <c r="E282" s="2817">
        <f t="shared" ref="E282" si="369">E60+E151+E236</f>
        <v>25331.5</v>
      </c>
      <c r="F282" s="2818">
        <f t="shared" ref="F282:AM282" si="370">F60+F151+F236</f>
        <v>28789.375965887317</v>
      </c>
      <c r="G282" s="2819">
        <f t="shared" si="370"/>
        <v>32380.010795432769</v>
      </c>
      <c r="H282" s="2819">
        <f t="shared" si="370"/>
        <v>36071.398679470243</v>
      </c>
      <c r="I282" s="2819">
        <f t="shared" si="370"/>
        <v>39866.658815724579</v>
      </c>
      <c r="J282" s="2819">
        <f t="shared" si="370"/>
        <v>43780.757169629782</v>
      </c>
      <c r="K282" s="2820">
        <f t="shared" si="370"/>
        <v>47799.985861713896</v>
      </c>
      <c r="L282" s="2817">
        <f t="shared" si="370"/>
        <v>16571</v>
      </c>
      <c r="M282" s="2818">
        <f t="shared" si="370"/>
        <v>18434.152629359909</v>
      </c>
      <c r="N282" s="2819">
        <f t="shared" si="370"/>
        <v>20302.341019511423</v>
      </c>
      <c r="O282" s="2819">
        <f t="shared" si="370"/>
        <v>22175.941731903149</v>
      </c>
      <c r="P282" s="2819">
        <f t="shared" si="370"/>
        <v>24055.01925528012</v>
      </c>
      <c r="Q282" s="2819">
        <f t="shared" si="370"/>
        <v>25939.271935500015</v>
      </c>
      <c r="R282" s="2820">
        <f t="shared" si="370"/>
        <v>27828.237871557463</v>
      </c>
      <c r="S282" s="2817">
        <f t="shared" si="370"/>
        <v>15048</v>
      </c>
      <c r="T282" s="2818">
        <f t="shared" si="370"/>
        <v>16613.87640475278</v>
      </c>
      <c r="U282" s="2819">
        <f t="shared" si="370"/>
        <v>18190.33318505581</v>
      </c>
      <c r="V282" s="2819">
        <f t="shared" si="370"/>
        <v>19778.974588626606</v>
      </c>
      <c r="W282" s="2819">
        <f t="shared" si="370"/>
        <v>21378.716928995294</v>
      </c>
      <c r="X282" s="2819">
        <f t="shared" si="370"/>
        <v>22990.445894870205</v>
      </c>
      <c r="Y282" s="2821">
        <f t="shared" si="370"/>
        <v>24613.431266728643</v>
      </c>
      <c r="Z282" s="2817">
        <f t="shared" si="370"/>
        <v>0</v>
      </c>
      <c r="AA282" s="2818">
        <f t="shared" si="370"/>
        <v>0</v>
      </c>
      <c r="AB282" s="2819">
        <f t="shared" si="370"/>
        <v>0</v>
      </c>
      <c r="AC282" s="2819">
        <f t="shared" si="370"/>
        <v>0</v>
      </c>
      <c r="AD282" s="2819">
        <f t="shared" si="370"/>
        <v>0</v>
      </c>
      <c r="AE282" s="2819">
        <f t="shared" si="370"/>
        <v>0</v>
      </c>
      <c r="AF282" s="2821">
        <f t="shared" si="370"/>
        <v>0</v>
      </c>
      <c r="AG282" s="2817">
        <f t="shared" si="370"/>
        <v>0</v>
      </c>
      <c r="AH282" s="2818">
        <f t="shared" si="370"/>
        <v>0</v>
      </c>
      <c r="AI282" s="2819">
        <f t="shared" si="370"/>
        <v>0</v>
      </c>
      <c r="AJ282" s="2819">
        <f t="shared" si="370"/>
        <v>0</v>
      </c>
      <c r="AK282" s="2819">
        <f t="shared" si="370"/>
        <v>0</v>
      </c>
      <c r="AL282" s="2819">
        <f t="shared" si="370"/>
        <v>0</v>
      </c>
      <c r="AM282" s="2821">
        <f t="shared" si="370"/>
        <v>0</v>
      </c>
      <c r="AN282" s="2738"/>
      <c r="AO282" s="2717"/>
      <c r="AP282" s="4775"/>
      <c r="AQ282" s="4794">
        <f t="shared" si="320"/>
        <v>12951.790288522008</v>
      </c>
      <c r="AR282" s="4794">
        <f t="shared" si="321"/>
        <v>14719.774196063727</v>
      </c>
      <c r="AS282" s="4794">
        <f t="shared" si="322"/>
        <v>16555.636632750684</v>
      </c>
      <c r="AT282" s="4794">
        <f t="shared" si="323"/>
        <v>18443.013288205133</v>
      </c>
      <c r="AU282" s="4794">
        <f t="shared" si="324"/>
        <v>20383.498982899629</v>
      </c>
      <c r="AV282" s="4794">
        <f t="shared" si="325"/>
        <v>22384.745693454843</v>
      </c>
      <c r="AW282" s="4794">
        <f t="shared" si="326"/>
        <v>24439.744692388344</v>
      </c>
      <c r="AX282" s="4794">
        <f t="shared" si="327"/>
        <v>8472.6177633025363</v>
      </c>
      <c r="AY282" s="4794">
        <f t="shared" si="328"/>
        <v>9425.2325761236461</v>
      </c>
      <c r="AZ282" s="4794">
        <f t="shared" si="329"/>
        <v>10380.422132553147</v>
      </c>
      <c r="BA282" s="4794">
        <f t="shared" si="330"/>
        <v>11338.378965402489</v>
      </c>
      <c r="BB282" s="4794">
        <f t="shared" si="331"/>
        <v>12299.136047243432</v>
      </c>
      <c r="BC282" s="4794">
        <f t="shared" si="332"/>
        <v>13262.539144762079</v>
      </c>
      <c r="BD282" s="4794">
        <f t="shared" si="333"/>
        <v>14228.352091724466</v>
      </c>
      <c r="BE282" s="4794">
        <f t="shared" si="334"/>
        <v>7693.9202282406959</v>
      </c>
      <c r="BF282" s="4794">
        <f t="shared" si="335"/>
        <v>8494.5401209475167</v>
      </c>
      <c r="BG282" s="4794">
        <f t="shared" si="336"/>
        <v>9300.5696737731851</v>
      </c>
      <c r="BH282" s="4794">
        <f t="shared" si="337"/>
        <v>10112.829125551099</v>
      </c>
      <c r="BI282" s="4794">
        <f t="shared" si="338"/>
        <v>10930.764396187447</v>
      </c>
      <c r="BJ282" s="4794">
        <f t="shared" si="339"/>
        <v>11754.828331128067</v>
      </c>
      <c r="BK282" s="4794">
        <f t="shared" si="340"/>
        <v>12584.647575059511</v>
      </c>
      <c r="BL282" s="4794">
        <f t="shared" si="341"/>
        <v>0</v>
      </c>
      <c r="BM282" s="4794">
        <f t="shared" si="342"/>
        <v>0</v>
      </c>
      <c r="BN282" s="4794">
        <f t="shared" si="343"/>
        <v>0</v>
      </c>
      <c r="BO282" s="4794">
        <f t="shared" si="344"/>
        <v>0</v>
      </c>
      <c r="BP282" s="4794">
        <f t="shared" si="345"/>
        <v>0</v>
      </c>
      <c r="BQ282" s="4794">
        <f t="shared" si="346"/>
        <v>0</v>
      </c>
      <c r="BR282" s="4794">
        <f t="shared" si="347"/>
        <v>0</v>
      </c>
      <c r="BS282" s="4794">
        <f t="shared" si="348"/>
        <v>0</v>
      </c>
      <c r="BT282" s="4794">
        <f t="shared" si="349"/>
        <v>0</v>
      </c>
      <c r="BU282" s="4794">
        <f t="shared" si="350"/>
        <v>0</v>
      </c>
      <c r="BV282" s="4794">
        <f t="shared" si="351"/>
        <v>0</v>
      </c>
      <c r="BW282" s="4794">
        <f t="shared" si="352"/>
        <v>0</v>
      </c>
      <c r="BX282" s="4794">
        <f t="shared" si="353"/>
        <v>0</v>
      </c>
      <c r="BY282" s="4794">
        <f t="shared" si="354"/>
        <v>0</v>
      </c>
    </row>
    <row r="283" spans="1:77" ht="13.5" thickBot="1">
      <c r="A283" s="2746"/>
      <c r="B283" s="2746"/>
      <c r="C283" s="2746"/>
      <c r="D283" s="2747" t="s">
        <v>562</v>
      </c>
      <c r="E283" s="2817">
        <f t="shared" ref="E283" si="371">E85+E171+E258</f>
        <v>106728.5</v>
      </c>
      <c r="F283" s="2818">
        <f>F85+F171+F258</f>
        <v>108114.29070077935</v>
      </c>
      <c r="G283" s="2819">
        <f t="shared" ref="G283:AM283" si="372">G85+G171+G258</f>
        <v>108258.98920456723</v>
      </c>
      <c r="H283" s="2819">
        <f t="shared" si="372"/>
        <v>107664.26798719642</v>
      </c>
      <c r="I283" s="2819">
        <f t="shared" si="372"/>
        <v>107062.34118427541</v>
      </c>
      <c r="J283" s="2819">
        <f t="shared" si="372"/>
        <v>106488.24283037022</v>
      </c>
      <c r="K283" s="2820">
        <f t="shared" si="372"/>
        <v>105564.0141382861</v>
      </c>
      <c r="L283" s="2817">
        <f t="shared" si="372"/>
        <v>70467</v>
      </c>
      <c r="M283" s="2818">
        <f t="shared" si="372"/>
        <v>68840.514037306755</v>
      </c>
      <c r="N283" s="2819">
        <f t="shared" si="372"/>
        <v>67230.658980488573</v>
      </c>
      <c r="O283" s="2819">
        <f t="shared" si="372"/>
        <v>65593.724934763522</v>
      </c>
      <c r="P283" s="2819">
        <f t="shared" si="372"/>
        <v>64012.980744719876</v>
      </c>
      <c r="Q283" s="2819">
        <f t="shared" si="372"/>
        <v>62338.728064499985</v>
      </c>
      <c r="R283" s="2820">
        <f t="shared" si="372"/>
        <v>60679.76212844254</v>
      </c>
      <c r="S283" s="2817">
        <f t="shared" si="372"/>
        <v>28604</v>
      </c>
      <c r="T283" s="2818">
        <f t="shared" si="372"/>
        <v>27264.790261913888</v>
      </c>
      <c r="U283" s="2819">
        <f t="shared" si="372"/>
        <v>25941.66681494419</v>
      </c>
      <c r="V283" s="2819">
        <f t="shared" si="372"/>
        <v>24569.692078040061</v>
      </c>
      <c r="W283" s="2819">
        <f t="shared" si="372"/>
        <v>23238.283071004706</v>
      </c>
      <c r="X283" s="2819">
        <f t="shared" si="372"/>
        <v>21846.554105129795</v>
      </c>
      <c r="Y283" s="2821">
        <f t="shared" si="372"/>
        <v>20433.568733271357</v>
      </c>
      <c r="Z283" s="2817">
        <f t="shared" si="372"/>
        <v>0</v>
      </c>
      <c r="AA283" s="2818">
        <f t="shared" si="372"/>
        <v>0</v>
      </c>
      <c r="AB283" s="2819">
        <f t="shared" si="372"/>
        <v>0</v>
      </c>
      <c r="AC283" s="2819">
        <f t="shared" si="372"/>
        <v>0</v>
      </c>
      <c r="AD283" s="2819">
        <f t="shared" si="372"/>
        <v>0</v>
      </c>
      <c r="AE283" s="2819">
        <f t="shared" si="372"/>
        <v>0</v>
      </c>
      <c r="AF283" s="2821">
        <f t="shared" si="372"/>
        <v>0</v>
      </c>
      <c r="AG283" s="2817">
        <f t="shared" si="372"/>
        <v>0</v>
      </c>
      <c r="AH283" s="2818">
        <f t="shared" si="372"/>
        <v>0</v>
      </c>
      <c r="AI283" s="2819">
        <f t="shared" si="372"/>
        <v>0</v>
      </c>
      <c r="AJ283" s="2819">
        <f t="shared" si="372"/>
        <v>0</v>
      </c>
      <c r="AK283" s="2819">
        <f t="shared" si="372"/>
        <v>0</v>
      </c>
      <c r="AL283" s="2819">
        <f t="shared" si="372"/>
        <v>0</v>
      </c>
      <c r="AM283" s="2821">
        <f t="shared" si="372"/>
        <v>0</v>
      </c>
      <c r="AN283" s="2738"/>
      <c r="AO283" s="2748"/>
      <c r="AP283" s="4775"/>
      <c r="AQ283" s="4794">
        <f t="shared" si="320"/>
        <v>54569.415542250608</v>
      </c>
      <c r="AR283" s="4794">
        <f t="shared" si="321"/>
        <v>55277.959076596308</v>
      </c>
      <c r="AS283" s="4794">
        <f t="shared" si="322"/>
        <v>55351.94224680429</v>
      </c>
      <c r="AT283" s="4794">
        <f t="shared" si="323"/>
        <v>55047.86611678746</v>
      </c>
      <c r="AU283" s="4794">
        <f t="shared" si="324"/>
        <v>54740.105829379558</v>
      </c>
      <c r="AV283" s="4794">
        <f t="shared" si="325"/>
        <v>54446.574002019719</v>
      </c>
      <c r="AW283" s="4794">
        <f t="shared" si="326"/>
        <v>53974.023375388511</v>
      </c>
      <c r="AX283" s="4794">
        <f t="shared" si="327"/>
        <v>36029.20499225393</v>
      </c>
      <c r="AY283" s="4794">
        <f t="shared" si="328"/>
        <v>35197.595924649257</v>
      </c>
      <c r="AZ283" s="4794">
        <f t="shared" si="329"/>
        <v>34374.490104195444</v>
      </c>
      <c r="BA283" s="4794">
        <f t="shared" si="330"/>
        <v>33537.539016562543</v>
      </c>
      <c r="BB283" s="4794">
        <f t="shared" si="331"/>
        <v>32729.317345945135</v>
      </c>
      <c r="BC283" s="4794">
        <f t="shared" si="332"/>
        <v>31873.285543477698</v>
      </c>
      <c r="BD283" s="4794">
        <f t="shared" si="333"/>
        <v>31025.069729190443</v>
      </c>
      <c r="BE283" s="4794">
        <f t="shared" si="334"/>
        <v>14624.992969736633</v>
      </c>
      <c r="BF283" s="4794">
        <f t="shared" si="335"/>
        <v>13940.265903434291</v>
      </c>
      <c r="BG283" s="4794">
        <f t="shared" si="336"/>
        <v>13263.763627178329</v>
      </c>
      <c r="BH283" s="4794">
        <f t="shared" si="337"/>
        <v>12562.28408299293</v>
      </c>
      <c r="BI283" s="4794">
        <f t="shared" si="338"/>
        <v>11881.545467144233</v>
      </c>
      <c r="BJ283" s="4794">
        <f t="shared" si="339"/>
        <v>11169.965746066782</v>
      </c>
      <c r="BK283" s="4794">
        <f t="shared" si="340"/>
        <v>10447.517797186543</v>
      </c>
      <c r="BL283" s="4794">
        <f t="shared" si="341"/>
        <v>0</v>
      </c>
      <c r="BM283" s="4794">
        <f t="shared" si="342"/>
        <v>0</v>
      </c>
      <c r="BN283" s="4794">
        <f t="shared" si="343"/>
        <v>0</v>
      </c>
      <c r="BO283" s="4794">
        <f t="shared" si="344"/>
        <v>0</v>
      </c>
      <c r="BP283" s="4794">
        <f t="shared" si="345"/>
        <v>0</v>
      </c>
      <c r="BQ283" s="4794">
        <f t="shared" si="346"/>
        <v>0</v>
      </c>
      <c r="BR283" s="4794">
        <f t="shared" si="347"/>
        <v>0</v>
      </c>
      <c r="BS283" s="4794">
        <f t="shared" si="348"/>
        <v>0</v>
      </c>
      <c r="BT283" s="4794">
        <f t="shared" si="349"/>
        <v>0</v>
      </c>
      <c r="BU283" s="4794">
        <f t="shared" si="350"/>
        <v>0</v>
      </c>
      <c r="BV283" s="4794">
        <f t="shared" si="351"/>
        <v>0</v>
      </c>
      <c r="BW283" s="4794">
        <f t="shared" si="352"/>
        <v>0</v>
      </c>
      <c r="BX283" s="4794">
        <f t="shared" si="353"/>
        <v>0</v>
      </c>
      <c r="BY283" s="4794">
        <f t="shared" si="354"/>
        <v>0</v>
      </c>
    </row>
    <row r="284" spans="1:77" ht="13.5" thickBot="1">
      <c r="A284" s="183"/>
      <c r="B284" s="35"/>
      <c r="C284" s="35"/>
      <c r="D284" s="2749"/>
      <c r="E284" s="360"/>
      <c r="F284" s="359"/>
      <c r="G284" s="359"/>
      <c r="H284" s="359"/>
      <c r="I284" s="359"/>
      <c r="J284" s="359"/>
      <c r="K284" s="359"/>
      <c r="L284" s="360"/>
      <c r="M284" s="359"/>
      <c r="N284" s="359"/>
      <c r="O284" s="359"/>
      <c r="P284" s="359"/>
      <c r="Q284" s="359"/>
      <c r="R284" s="359"/>
      <c r="S284" s="360"/>
      <c r="T284" s="359"/>
      <c r="U284" s="359"/>
      <c r="V284" s="359"/>
      <c r="W284" s="359"/>
      <c r="X284" s="359"/>
      <c r="Y284" s="359"/>
      <c r="Z284" s="360"/>
      <c r="AA284" s="359"/>
      <c r="AB284" s="359"/>
      <c r="AC284" s="359"/>
      <c r="AD284" s="359"/>
      <c r="AE284" s="359"/>
      <c r="AF284" s="359"/>
      <c r="AG284" s="360"/>
      <c r="AH284" s="359"/>
      <c r="AI284" s="359"/>
      <c r="AJ284" s="359"/>
      <c r="AK284" s="359"/>
      <c r="AL284" s="359"/>
      <c r="AM284" s="359"/>
      <c r="AN284" s="2647"/>
      <c r="AO284" s="2645"/>
      <c r="AP284" s="4775"/>
    </row>
    <row r="285" spans="1:77" ht="13.5" thickBot="1">
      <c r="A285" s="2644"/>
      <c r="B285" s="2645"/>
      <c r="C285" s="2645"/>
      <c r="D285" s="272" t="s">
        <v>1039</v>
      </c>
      <c r="E285" s="273">
        <f>E280-E282-E283</f>
        <v>0</v>
      </c>
      <c r="F285" s="273">
        <f t="shared" ref="F285:AM285" si="373">F280-F282-F283</f>
        <v>0</v>
      </c>
      <c r="G285" s="273">
        <f t="shared" si="373"/>
        <v>0</v>
      </c>
      <c r="H285" s="273">
        <f t="shared" si="373"/>
        <v>0</v>
      </c>
      <c r="I285" s="273">
        <f t="shared" si="373"/>
        <v>0</v>
      </c>
      <c r="J285" s="273">
        <f t="shared" si="373"/>
        <v>0</v>
      </c>
      <c r="K285" s="273">
        <f t="shared" si="373"/>
        <v>0</v>
      </c>
      <c r="L285" s="273">
        <f t="shared" si="373"/>
        <v>0</v>
      </c>
      <c r="M285" s="273">
        <f t="shared" si="373"/>
        <v>0</v>
      </c>
      <c r="N285" s="273">
        <f t="shared" si="373"/>
        <v>0</v>
      </c>
      <c r="O285" s="273">
        <f t="shared" si="373"/>
        <v>0</v>
      </c>
      <c r="P285" s="273">
        <f t="shared" si="373"/>
        <v>0</v>
      </c>
      <c r="Q285" s="273">
        <f t="shared" si="373"/>
        <v>0</v>
      </c>
      <c r="R285" s="273">
        <f t="shared" si="373"/>
        <v>0</v>
      </c>
      <c r="S285" s="273">
        <f t="shared" si="373"/>
        <v>0</v>
      </c>
      <c r="T285" s="273">
        <f t="shared" si="373"/>
        <v>0</v>
      </c>
      <c r="U285" s="273">
        <f t="shared" si="373"/>
        <v>0</v>
      </c>
      <c r="V285" s="273">
        <f t="shared" si="373"/>
        <v>0</v>
      </c>
      <c r="W285" s="273">
        <f t="shared" si="373"/>
        <v>0</v>
      </c>
      <c r="X285" s="273">
        <f t="shared" si="373"/>
        <v>0</v>
      </c>
      <c r="Y285" s="273">
        <f t="shared" si="373"/>
        <v>0</v>
      </c>
      <c r="Z285" s="273">
        <f t="shared" si="373"/>
        <v>0</v>
      </c>
      <c r="AA285" s="273">
        <f t="shared" si="373"/>
        <v>0</v>
      </c>
      <c r="AB285" s="273">
        <f t="shared" si="373"/>
        <v>0</v>
      </c>
      <c r="AC285" s="273">
        <f t="shared" si="373"/>
        <v>0</v>
      </c>
      <c r="AD285" s="273">
        <f t="shared" si="373"/>
        <v>0</v>
      </c>
      <c r="AE285" s="273">
        <f t="shared" si="373"/>
        <v>0</v>
      </c>
      <c r="AF285" s="273">
        <f t="shared" si="373"/>
        <v>0</v>
      </c>
      <c r="AG285" s="273">
        <f t="shared" si="373"/>
        <v>0</v>
      </c>
      <c r="AH285" s="273">
        <f t="shared" si="373"/>
        <v>0</v>
      </c>
      <c r="AI285" s="273">
        <f t="shared" si="373"/>
        <v>0</v>
      </c>
      <c r="AJ285" s="273">
        <f t="shared" si="373"/>
        <v>0</v>
      </c>
      <c r="AK285" s="273">
        <f t="shared" si="373"/>
        <v>0</v>
      </c>
      <c r="AL285" s="273">
        <f t="shared" si="373"/>
        <v>0</v>
      </c>
      <c r="AM285" s="273">
        <f t="shared" si="373"/>
        <v>0</v>
      </c>
      <c r="AN285" s="2647"/>
      <c r="AO285" s="2645"/>
      <c r="AP285" s="4775"/>
      <c r="AQ285" s="4800">
        <f t="shared" ref="AQ285" si="374">IFERROR(E285/$D$1,0)</f>
        <v>0</v>
      </c>
      <c r="AR285" s="4800">
        <f t="shared" ref="AR285" si="375">IFERROR(F285/$D$1,0)</f>
        <v>0</v>
      </c>
      <c r="AS285" s="4800">
        <f t="shared" ref="AS285" si="376">IFERROR(G285/$D$1,0)</f>
        <v>0</v>
      </c>
      <c r="AT285" s="4800">
        <f t="shared" ref="AT285" si="377">IFERROR(H285/$D$1,0)</f>
        <v>0</v>
      </c>
      <c r="AU285" s="4800">
        <f t="shared" ref="AU285" si="378">IFERROR(I285/$D$1,0)</f>
        <v>0</v>
      </c>
      <c r="AV285" s="4800">
        <f t="shared" ref="AV285" si="379">IFERROR(J285/$D$1,0)</f>
        <v>0</v>
      </c>
      <c r="AW285" s="4800">
        <f t="shared" ref="AW285" si="380">IFERROR(K285/$D$1,0)</f>
        <v>0</v>
      </c>
      <c r="AX285" s="4800">
        <f t="shared" ref="AX285" si="381">IFERROR(L285/$D$1,0)</f>
        <v>0</v>
      </c>
      <c r="AY285" s="4800">
        <f t="shared" ref="AY285" si="382">IFERROR(M285/$D$1,0)</f>
        <v>0</v>
      </c>
      <c r="AZ285" s="4800">
        <f t="shared" ref="AZ285" si="383">IFERROR(N285/$D$1,0)</f>
        <v>0</v>
      </c>
      <c r="BA285" s="4800">
        <f t="shared" ref="BA285" si="384">IFERROR(O285/$D$1,0)</f>
        <v>0</v>
      </c>
      <c r="BB285" s="4800">
        <f t="shared" ref="BB285" si="385">IFERROR(P285/$D$1,0)</f>
        <v>0</v>
      </c>
      <c r="BC285" s="4800">
        <f t="shared" ref="BC285" si="386">IFERROR(Q285/$D$1,0)</f>
        <v>0</v>
      </c>
      <c r="BD285" s="4800">
        <f t="shared" ref="BD285" si="387">IFERROR(R285/$D$1,0)</f>
        <v>0</v>
      </c>
      <c r="BE285" s="4800">
        <f t="shared" ref="BE285" si="388">IFERROR(S285/$D$1,0)</f>
        <v>0</v>
      </c>
      <c r="BF285" s="4800">
        <f t="shared" ref="BF285" si="389">IFERROR(T285/$D$1,0)</f>
        <v>0</v>
      </c>
      <c r="BG285" s="4800">
        <f t="shared" ref="BG285" si="390">IFERROR(U285/$D$1,0)</f>
        <v>0</v>
      </c>
      <c r="BH285" s="4800">
        <f t="shared" ref="BH285" si="391">IFERROR(V285/$D$1,0)</f>
        <v>0</v>
      </c>
      <c r="BI285" s="4800">
        <f t="shared" ref="BI285" si="392">IFERROR(W285/$D$1,0)</f>
        <v>0</v>
      </c>
      <c r="BJ285" s="4800">
        <f t="shared" ref="BJ285" si="393">IFERROR(X285/$D$1,0)</f>
        <v>0</v>
      </c>
      <c r="BK285" s="4800">
        <f t="shared" ref="BK285" si="394">IFERROR(Y285/$D$1,0)</f>
        <v>0</v>
      </c>
      <c r="BL285" s="4800">
        <f t="shared" ref="BL285" si="395">IFERROR(Z285/$D$1,0)</f>
        <v>0</v>
      </c>
      <c r="BM285" s="4800">
        <f t="shared" ref="BM285" si="396">IFERROR(AA285/$D$1,0)</f>
        <v>0</v>
      </c>
      <c r="BN285" s="4800">
        <f t="shared" ref="BN285" si="397">IFERROR(AB285/$D$1,0)</f>
        <v>0</v>
      </c>
      <c r="BO285" s="4800">
        <f t="shared" ref="BO285" si="398">IFERROR(AC285/$D$1,0)</f>
        <v>0</v>
      </c>
      <c r="BP285" s="4800">
        <f t="shared" ref="BP285" si="399">IFERROR(AD285/$D$1,0)</f>
        <v>0</v>
      </c>
      <c r="BQ285" s="4800">
        <f t="shared" ref="BQ285" si="400">IFERROR(AE285/$D$1,0)</f>
        <v>0</v>
      </c>
      <c r="BR285" s="4800">
        <f t="shared" ref="BR285" si="401">IFERROR(AF285/$D$1,0)</f>
        <v>0</v>
      </c>
      <c r="BS285" s="4800">
        <f t="shared" ref="BS285" si="402">IFERROR(AG285/$D$1,0)</f>
        <v>0</v>
      </c>
      <c r="BT285" s="4800">
        <f t="shared" ref="BT285" si="403">IFERROR(AH285/$D$1,0)</f>
        <v>0</v>
      </c>
      <c r="BU285" s="4800">
        <f t="shared" ref="BU285" si="404">IFERROR(AI285/$D$1,0)</f>
        <v>0</v>
      </c>
      <c r="BV285" s="4800">
        <f t="shared" ref="BV285" si="405">IFERROR(AJ285/$D$1,0)</f>
        <v>0</v>
      </c>
      <c r="BW285" s="4800">
        <f t="shared" ref="BW285" si="406">IFERROR(AK285/$D$1,0)</f>
        <v>0</v>
      </c>
      <c r="BX285" s="4800">
        <f t="shared" ref="BX285" si="407">IFERROR(AL285/$D$1,0)</f>
        <v>0</v>
      </c>
      <c r="BY285" s="4800">
        <f t="shared" ref="BY285" si="408">IFERROR(AM285/$D$1,0)</f>
        <v>0</v>
      </c>
    </row>
    <row r="286" spans="1:77">
      <c r="A286" s="2644"/>
      <c r="B286" s="2645"/>
      <c r="C286" s="2645"/>
      <c r="D286" s="1466"/>
      <c r="E286" s="1467"/>
      <c r="F286" s="1467"/>
      <c r="G286" s="1467"/>
      <c r="H286" s="1467"/>
      <c r="I286" s="1467"/>
      <c r="J286" s="1467"/>
      <c r="K286" s="1467"/>
      <c r="L286" s="1467"/>
      <c r="M286" s="1467"/>
      <c r="N286" s="1467"/>
      <c r="O286" s="1467"/>
      <c r="P286" s="1467"/>
      <c r="Q286" s="1467"/>
      <c r="R286" s="1467"/>
      <c r="S286" s="1467"/>
      <c r="T286" s="1467"/>
      <c r="U286" s="1467"/>
      <c r="V286" s="1467"/>
      <c r="W286" s="1467"/>
      <c r="X286" s="1467"/>
      <c r="Y286" s="1467"/>
      <c r="Z286" s="1467"/>
      <c r="AA286" s="1467"/>
      <c r="AB286" s="1467"/>
      <c r="AC286" s="1467"/>
      <c r="AD286" s="1467"/>
      <c r="AE286" s="1467"/>
      <c r="AF286" s="1467"/>
      <c r="AG286" s="1467"/>
      <c r="AH286" s="1467"/>
      <c r="AI286" s="1467"/>
      <c r="AJ286" s="1467"/>
      <c r="AK286" s="1467"/>
      <c r="AL286" s="1467"/>
      <c r="AM286" s="1467"/>
      <c r="AN286" s="2647"/>
      <c r="AO286" s="2645"/>
    </row>
    <row r="287" spans="1:77">
      <c r="A287" s="2644"/>
      <c r="B287" s="2645"/>
      <c r="C287" s="2645"/>
      <c r="D287" s="2754" t="str">
        <f>'Приложение '!B82</f>
        <v>Дата: 15.04.2026 г.</v>
      </c>
      <c r="E287" s="1467"/>
      <c r="F287" s="1467"/>
      <c r="G287" s="1467"/>
      <c r="H287" s="1467"/>
      <c r="I287" s="1467"/>
      <c r="J287" s="1467"/>
      <c r="K287" s="1467"/>
      <c r="L287" s="1467"/>
      <c r="M287" s="1467"/>
      <c r="N287" s="1467"/>
      <c r="O287" s="1467"/>
      <c r="P287" s="1467"/>
      <c r="Q287" s="1467"/>
      <c r="R287" s="1467"/>
      <c r="S287" s="1467"/>
      <c r="T287" s="1467"/>
      <c r="U287" s="1467"/>
      <c r="V287" s="1467"/>
      <c r="W287" s="1467"/>
      <c r="X287" s="1467"/>
      <c r="Y287" s="1467"/>
      <c r="Z287" s="1467"/>
      <c r="AA287" s="1467"/>
      <c r="AB287" s="1467"/>
      <c r="AC287" s="1467"/>
      <c r="AD287" s="1467"/>
      <c r="AE287" s="1467"/>
      <c r="AF287" s="1467"/>
      <c r="AG287" s="1467"/>
      <c r="AH287" s="1467"/>
      <c r="AI287" s="1467"/>
      <c r="AJ287" s="1467"/>
      <c r="AK287" s="1467"/>
      <c r="AL287" s="1467"/>
      <c r="AM287" s="1467"/>
      <c r="AN287" s="2647"/>
      <c r="AO287" s="2645"/>
    </row>
    <row r="288" spans="1:77">
      <c r="A288" s="183"/>
      <c r="B288" s="35"/>
      <c r="C288" s="35"/>
      <c r="D288" s="2749"/>
      <c r="E288" s="4115"/>
      <c r="F288" s="359"/>
      <c r="G288" s="359"/>
      <c r="H288" s="359"/>
      <c r="I288" s="359"/>
      <c r="J288" s="359"/>
      <c r="K288" s="359"/>
      <c r="L288" s="360"/>
      <c r="M288" s="359"/>
      <c r="N288" s="359"/>
      <c r="O288" s="359"/>
      <c r="P288" s="359"/>
      <c r="Q288" s="359"/>
      <c r="R288" s="359"/>
      <c r="S288" s="360"/>
      <c r="T288" s="359"/>
      <c r="U288" s="359"/>
      <c r="V288" s="359"/>
      <c r="W288" s="359"/>
      <c r="X288" s="359"/>
      <c r="Y288" s="359"/>
      <c r="Z288" s="360"/>
      <c r="AA288" s="359"/>
      <c r="AB288" s="359"/>
      <c r="AC288" s="359"/>
      <c r="AD288" s="359"/>
      <c r="AE288" s="359"/>
      <c r="AF288" s="359"/>
      <c r="AG288" s="360"/>
      <c r="AH288" s="359"/>
      <c r="AI288" s="359"/>
      <c r="AJ288" s="359"/>
      <c r="AK288" s="359"/>
      <c r="AL288" s="359"/>
      <c r="AM288" s="359"/>
      <c r="AN288" s="2647"/>
      <c r="AO288" s="2645"/>
    </row>
    <row r="289" spans="1:41">
      <c r="A289" s="2644"/>
      <c r="B289" s="2645"/>
      <c r="C289" s="2750"/>
      <c r="D289" s="2645"/>
      <c r="E289" s="2763"/>
      <c r="F289" s="2751"/>
      <c r="G289" s="2751"/>
      <c r="H289" s="2751"/>
      <c r="I289" s="2751"/>
      <c r="J289" s="2751"/>
      <c r="K289" s="2752"/>
      <c r="L289" s="2644"/>
      <c r="M289" s="2752"/>
      <c r="N289" s="2645"/>
      <c r="O289" s="2645"/>
      <c r="P289" s="2645"/>
      <c r="Q289" s="2645"/>
      <c r="R289" s="2645"/>
      <c r="S289" s="2644"/>
      <c r="T289" s="2645"/>
      <c r="U289" s="2645"/>
      <c r="V289" s="2645"/>
      <c r="W289" s="2645"/>
      <c r="X289" s="2645"/>
      <c r="Y289" s="2645"/>
      <c r="Z289" s="2753"/>
      <c r="AA289" s="2645"/>
      <c r="AC289" s="2755"/>
      <c r="AD289" s="2756"/>
      <c r="AE289" s="2756"/>
      <c r="AF289" s="2756"/>
      <c r="AG289" s="2757"/>
      <c r="AH289" s="2753"/>
      <c r="AI289" s="2651"/>
      <c r="AJ289" s="2758"/>
      <c r="AK289" s="2759"/>
      <c r="AL289" s="2760"/>
      <c r="AM289" s="2645"/>
      <c r="AN289" s="2647"/>
      <c r="AO289" s="2645"/>
    </row>
    <row r="290" spans="1:41" ht="27" customHeight="1">
      <c r="A290" s="2644"/>
      <c r="B290" s="2645"/>
      <c r="C290" s="2645"/>
      <c r="D290" s="4117" t="s">
        <v>187</v>
      </c>
      <c r="E290" s="5367"/>
      <c r="F290" s="5367"/>
      <c r="G290" s="5367"/>
      <c r="H290" s="5367"/>
      <c r="I290" s="5367"/>
      <c r="J290" s="5367"/>
      <c r="K290" s="5367"/>
      <c r="L290" s="5367"/>
      <c r="M290" s="5367"/>
      <c r="N290" s="5367"/>
      <c r="O290" s="5367"/>
      <c r="P290" s="5367"/>
      <c r="Q290" s="5367"/>
      <c r="R290" s="5367"/>
      <c r="S290" s="5367"/>
      <c r="T290" s="5367"/>
      <c r="U290" s="5367"/>
      <c r="V290" s="5367"/>
      <c r="W290" s="5367"/>
      <c r="X290" s="5367"/>
      <c r="Y290" s="5367"/>
      <c r="Z290" s="2753"/>
      <c r="AA290" s="2645"/>
      <c r="AB290" s="2645"/>
      <c r="AC290" s="2645"/>
      <c r="AD290" s="2757"/>
      <c r="AE290" s="2761"/>
      <c r="AF290" s="2756"/>
      <c r="AG290" s="2762"/>
      <c r="AH290" s="2753"/>
      <c r="AI290" s="2651"/>
      <c r="AJ290" s="2651"/>
      <c r="AK290" s="2645"/>
      <c r="AL290" s="2763"/>
      <c r="AM290" s="2645"/>
      <c r="AN290" s="2647"/>
      <c r="AO290" s="2645"/>
    </row>
    <row r="291" spans="1:41" ht="27" customHeight="1">
      <c r="A291" s="2644"/>
      <c r="B291" s="2645"/>
      <c r="C291" s="2645"/>
      <c r="D291" s="4118" t="s">
        <v>1480</v>
      </c>
      <c r="E291" s="5367"/>
      <c r="F291" s="5367"/>
      <c r="G291" s="5367"/>
      <c r="H291" s="5367"/>
      <c r="I291" s="5367"/>
      <c r="J291" s="5367"/>
      <c r="K291" s="5367"/>
      <c r="L291" s="5367"/>
      <c r="M291" s="5367"/>
      <c r="N291" s="5367"/>
      <c r="O291" s="5367"/>
      <c r="P291" s="5367"/>
      <c r="Q291" s="5367"/>
      <c r="R291" s="5367"/>
      <c r="S291" s="5367"/>
      <c r="T291" s="5367"/>
      <c r="U291" s="5367"/>
      <c r="V291" s="5367"/>
      <c r="W291" s="5367"/>
      <c r="X291" s="5367"/>
      <c r="Y291" s="5367"/>
      <c r="Z291" s="2753"/>
      <c r="AA291" s="2645"/>
      <c r="AB291" s="2645"/>
      <c r="AC291" s="2645"/>
      <c r="AD291" s="2757"/>
      <c r="AE291" s="2761"/>
      <c r="AF291" s="2764"/>
      <c r="AG291" s="2762"/>
      <c r="AH291" s="2753"/>
      <c r="AI291" s="2651"/>
      <c r="AJ291" s="2651"/>
      <c r="AK291" s="2645"/>
      <c r="AL291" s="2765"/>
      <c r="AM291" s="2645"/>
      <c r="AN291" s="2647"/>
      <c r="AO291" s="2645"/>
    </row>
    <row r="292" spans="1:41" ht="27" customHeight="1">
      <c r="A292" s="2644"/>
      <c r="B292" s="2645"/>
      <c r="C292" s="2645"/>
      <c r="D292" s="2645"/>
      <c r="E292" s="5367"/>
      <c r="F292" s="5367"/>
      <c r="G292" s="5367"/>
      <c r="H292" s="5367"/>
      <c r="I292" s="5367"/>
      <c r="J292" s="5367"/>
      <c r="K292" s="5367"/>
      <c r="L292" s="5367"/>
      <c r="M292" s="5367"/>
      <c r="N292" s="5367"/>
      <c r="O292" s="5367"/>
      <c r="P292" s="5367"/>
      <c r="Q292" s="5367"/>
      <c r="R292" s="5367"/>
      <c r="S292" s="5367"/>
      <c r="T292" s="5367"/>
      <c r="U292" s="5367"/>
      <c r="V292" s="5367"/>
      <c r="W292" s="5367"/>
      <c r="X292" s="5367"/>
      <c r="Y292" s="5367"/>
      <c r="Z292" s="2753"/>
      <c r="AA292" s="2645"/>
      <c r="AB292" s="2645"/>
      <c r="AC292" s="2645"/>
      <c r="AD292" s="2757"/>
      <c r="AE292" s="2761"/>
      <c r="AF292" s="2764"/>
      <c r="AG292" s="2762"/>
      <c r="AH292" s="2753"/>
      <c r="AI292" s="2651"/>
      <c r="AJ292" s="2651"/>
      <c r="AK292" s="2645"/>
      <c r="AL292" s="2765"/>
      <c r="AM292" s="2645"/>
      <c r="AN292" s="2647"/>
      <c r="AO292" s="2645"/>
    </row>
    <row r="293" spans="1:41" ht="27" customHeight="1">
      <c r="A293" s="2644"/>
      <c r="B293" s="2645"/>
      <c r="C293" s="2645"/>
      <c r="D293" s="2645"/>
      <c r="E293" s="5367"/>
      <c r="F293" s="5367"/>
      <c r="G293" s="5367"/>
      <c r="H293" s="5367"/>
      <c r="I293" s="5367"/>
      <c r="J293" s="5367"/>
      <c r="K293" s="5367"/>
      <c r="L293" s="5367"/>
      <c r="M293" s="5367"/>
      <c r="N293" s="5367"/>
      <c r="O293" s="5367"/>
      <c r="P293" s="5367"/>
      <c r="Q293" s="5367"/>
      <c r="R293" s="5367"/>
      <c r="S293" s="5367"/>
      <c r="T293" s="5367"/>
      <c r="U293" s="5367"/>
      <c r="V293" s="5367"/>
      <c r="W293" s="5367"/>
      <c r="X293" s="5367"/>
      <c r="Y293" s="5367"/>
      <c r="Z293" s="2753"/>
      <c r="AA293" s="2645"/>
      <c r="AB293" s="2645"/>
      <c r="AC293" s="2645"/>
      <c r="AD293" s="2766"/>
      <c r="AE293" s="2767"/>
      <c r="AF293" s="2768"/>
      <c r="AG293" s="2769"/>
      <c r="AH293" s="2753"/>
      <c r="AI293" s="2651"/>
      <c r="AJ293" s="2651"/>
      <c r="AK293" s="2759"/>
      <c r="AL293" s="2760"/>
      <c r="AM293" s="2645"/>
      <c r="AN293" s="2647"/>
      <c r="AO293" s="2645"/>
    </row>
    <row r="294" spans="1:41" ht="27" customHeight="1">
      <c r="A294" s="2644"/>
      <c r="B294" s="2645"/>
      <c r="C294" s="2645"/>
      <c r="D294" s="2645"/>
      <c r="E294" s="5369"/>
      <c r="F294" s="5369"/>
      <c r="G294" s="5369"/>
      <c r="H294" s="5369"/>
      <c r="I294" s="5369"/>
      <c r="J294" s="5369"/>
      <c r="K294" s="5369"/>
      <c r="L294" s="5369"/>
      <c r="M294" s="5369"/>
      <c r="N294" s="5369"/>
      <c r="O294" s="5369"/>
      <c r="P294" s="5369"/>
      <c r="Q294" s="5369"/>
      <c r="R294" s="5369"/>
      <c r="S294" s="5369"/>
      <c r="T294" s="5369"/>
      <c r="U294" s="5369"/>
      <c r="V294" s="5369"/>
      <c r="W294" s="5369"/>
      <c r="X294" s="5369"/>
      <c r="Y294" s="5369"/>
      <c r="Z294" s="2770"/>
      <c r="AA294" s="2645"/>
      <c r="AB294" s="2645"/>
      <c r="AC294" s="2645"/>
      <c r="AD294" s="2757"/>
      <c r="AE294" s="2771"/>
      <c r="AF294" s="2756"/>
      <c r="AG294" s="2772"/>
      <c r="AH294" s="2770"/>
      <c r="AI294" s="2645"/>
      <c r="AJ294" s="2645"/>
      <c r="AK294" s="2645"/>
      <c r="AL294" s="2763"/>
      <c r="AM294" s="2645"/>
      <c r="AN294" s="2647"/>
      <c r="AO294" s="2645"/>
    </row>
    <row r="295" spans="1:41" ht="12.75" customHeight="1">
      <c r="B295" s="4114"/>
      <c r="C295" s="4114"/>
      <c r="D295" s="4114"/>
      <c r="E295" s="4114"/>
      <c r="F295" s="4114"/>
      <c r="G295" s="2773"/>
      <c r="H295" s="2773"/>
      <c r="I295" s="2773"/>
      <c r="J295" s="2773"/>
      <c r="K295" s="2774"/>
      <c r="L295" s="2774"/>
      <c r="M295" s="2774"/>
      <c r="N295" s="2774"/>
      <c r="O295" s="2774"/>
      <c r="P295" s="2774"/>
      <c r="Q295" s="2774"/>
      <c r="R295" s="2774"/>
      <c r="S295" s="2774"/>
      <c r="T295" s="2774"/>
      <c r="U295" s="2645"/>
      <c r="V295" s="2645"/>
      <c r="W295" s="2645"/>
      <c r="X295" s="2645"/>
      <c r="Y295" s="2645"/>
      <c r="Z295" s="2644"/>
      <c r="AA295" s="2645"/>
      <c r="AB295" s="2645"/>
      <c r="AC295" s="2645"/>
      <c r="AD295" s="2645"/>
      <c r="AE295" s="2645"/>
      <c r="AF295" s="2645"/>
      <c r="AG295" s="2644"/>
      <c r="AH295" s="2645"/>
      <c r="AI295" s="2645"/>
      <c r="AJ295" s="2645"/>
      <c r="AK295" s="2645"/>
      <c r="AL295" s="2645"/>
      <c r="AM295" s="2645"/>
      <c r="AN295" s="2647"/>
      <c r="AO295" s="2645"/>
    </row>
    <row r="296" spans="1:41" ht="12.75" customHeight="1">
      <c r="B296" s="3952"/>
      <c r="C296" s="3952"/>
      <c r="D296" s="3952"/>
      <c r="E296" s="3952"/>
      <c r="F296" s="3952"/>
      <c r="G296" s="2773"/>
      <c r="H296" s="2773"/>
      <c r="I296" s="2773"/>
      <c r="J296" s="2773"/>
      <c r="K296" s="2774"/>
      <c r="L296" s="2774"/>
      <c r="M296" s="2774"/>
      <c r="N296" s="2774"/>
      <c r="O296" s="2774"/>
      <c r="P296" s="2774"/>
      <c r="Q296" s="2774"/>
      <c r="R296" s="2774"/>
      <c r="S296" s="2774"/>
      <c r="T296" s="2774"/>
      <c r="U296" s="2645"/>
      <c r="V296" s="2645"/>
      <c r="W296" s="2645"/>
      <c r="X296" s="2645"/>
      <c r="Y296" s="2645"/>
      <c r="Z296" s="2644"/>
      <c r="AA296" s="2645"/>
      <c r="AB296" s="2645"/>
      <c r="AC296" s="2645"/>
      <c r="AD296" s="2645"/>
      <c r="AE296" s="2645"/>
      <c r="AF296" s="2645"/>
      <c r="AG296" s="2644"/>
      <c r="AH296" s="2645"/>
      <c r="AI296" s="2645"/>
      <c r="AJ296" s="2645"/>
      <c r="AK296" s="2645"/>
      <c r="AL296" s="2645"/>
      <c r="AM296" s="2645"/>
      <c r="AN296" s="2647"/>
      <c r="AO296" s="2645"/>
    </row>
    <row r="297" spans="1:41" ht="25.5" customHeight="1">
      <c r="B297" s="3952"/>
      <c r="C297" s="3952"/>
      <c r="D297" s="3952"/>
      <c r="E297" s="3952"/>
      <c r="F297" s="3952"/>
      <c r="G297" s="3952"/>
      <c r="H297" s="3952"/>
      <c r="I297" s="3952"/>
      <c r="J297" s="3952"/>
      <c r="K297" s="3952"/>
      <c r="L297" s="3952"/>
      <c r="M297" s="3952"/>
      <c r="N297" s="3952"/>
      <c r="O297" s="3952"/>
      <c r="P297" s="3952"/>
      <c r="Q297" s="3952"/>
      <c r="R297" s="3952"/>
      <c r="S297" s="3952"/>
      <c r="T297" s="3952"/>
      <c r="U297" s="2645"/>
      <c r="V297" s="2645"/>
      <c r="W297" s="2645"/>
      <c r="X297" s="2645"/>
      <c r="Y297" s="2645"/>
      <c r="Z297" s="2644"/>
      <c r="AA297" s="2645"/>
      <c r="AB297" s="2645"/>
      <c r="AC297" s="2645"/>
      <c r="AD297" s="2645"/>
      <c r="AE297" s="2645"/>
      <c r="AF297" s="2645"/>
      <c r="AG297" s="2644"/>
      <c r="AH297" s="2645"/>
      <c r="AI297" s="2645"/>
      <c r="AJ297" s="2645"/>
      <c r="AK297" s="2645"/>
      <c r="AL297" s="2645"/>
      <c r="AM297" s="2645"/>
      <c r="AN297" s="2647"/>
      <c r="AO297" s="2645"/>
    </row>
    <row r="298" spans="1:41" ht="27.75" customHeight="1">
      <c r="B298" s="3952"/>
      <c r="C298" s="3952"/>
      <c r="D298" s="3952"/>
      <c r="E298" s="3952"/>
      <c r="F298" s="3952"/>
      <c r="G298" s="3952"/>
      <c r="H298" s="3952"/>
      <c r="I298" s="3952"/>
      <c r="J298" s="3952"/>
      <c r="K298" s="3952"/>
      <c r="L298" s="3952"/>
      <c r="M298" s="3952"/>
      <c r="N298" s="3952"/>
      <c r="O298" s="3952"/>
      <c r="P298" s="3952"/>
      <c r="Q298" s="3952"/>
      <c r="R298" s="3952"/>
      <c r="S298" s="3952"/>
      <c r="T298" s="3952"/>
      <c r="U298" s="2645"/>
      <c r="V298" s="2645"/>
      <c r="W298" s="2645"/>
      <c r="X298" s="2645"/>
      <c r="Y298" s="2645"/>
      <c r="Z298" s="2644"/>
      <c r="AA298" s="2645"/>
      <c r="AB298" s="2645"/>
      <c r="AC298" s="2645"/>
      <c r="AD298" s="2645"/>
      <c r="AE298" s="2645"/>
      <c r="AF298" s="2645"/>
      <c r="AG298" s="2644"/>
      <c r="AH298" s="2645"/>
      <c r="AI298" s="2645"/>
      <c r="AJ298" s="2645"/>
      <c r="AK298" s="2645"/>
      <c r="AL298" s="2645"/>
      <c r="AM298" s="2645"/>
      <c r="AN298" s="2647"/>
      <c r="AO298" s="2645"/>
    </row>
    <row r="299" spans="1:41" ht="31.5" customHeight="1">
      <c r="B299" s="3952"/>
      <c r="C299" s="3952"/>
      <c r="D299" s="3952"/>
      <c r="E299" s="3952"/>
      <c r="F299" s="3952"/>
      <c r="G299" s="3952"/>
      <c r="H299" s="3952"/>
      <c r="I299" s="3952"/>
      <c r="J299" s="3952"/>
      <c r="K299" s="3952"/>
      <c r="L299" s="3952"/>
      <c r="M299" s="3952"/>
      <c r="N299" s="3952"/>
      <c r="O299" s="3952"/>
      <c r="P299" s="3952"/>
      <c r="Q299" s="3952"/>
      <c r="R299" s="3952"/>
      <c r="S299" s="3952"/>
      <c r="T299" s="3952"/>
      <c r="U299" s="2645"/>
      <c r="V299" s="2645"/>
      <c r="W299" s="2645"/>
      <c r="X299" s="2645"/>
      <c r="Y299" s="2645"/>
      <c r="Z299" s="2644"/>
      <c r="AA299" s="2645"/>
      <c r="AB299" s="2645"/>
      <c r="AC299" s="2645"/>
      <c r="AD299" s="2645"/>
      <c r="AE299" s="2645"/>
      <c r="AF299" s="2645"/>
      <c r="AG299" s="2644"/>
      <c r="AH299" s="2645"/>
      <c r="AI299" s="2645"/>
      <c r="AJ299" s="2645"/>
      <c r="AK299" s="2645"/>
      <c r="AL299" s="2645"/>
      <c r="AM299" s="2645"/>
      <c r="AN299" s="2647"/>
      <c r="AO299" s="2645"/>
    </row>
    <row r="300" spans="1:41" ht="30.75" customHeight="1">
      <c r="B300" s="3952"/>
      <c r="C300" s="3952"/>
      <c r="D300" s="3952"/>
      <c r="E300" s="3952"/>
      <c r="F300" s="3952"/>
      <c r="G300" s="3952"/>
      <c r="H300" s="3952"/>
      <c r="I300" s="3952"/>
      <c r="J300" s="3952"/>
      <c r="K300" s="3952"/>
      <c r="L300" s="3952"/>
      <c r="M300" s="3952"/>
      <c r="N300" s="3952"/>
      <c r="O300" s="3952"/>
      <c r="P300" s="3952"/>
      <c r="Q300" s="3952"/>
      <c r="R300" s="3952"/>
      <c r="S300" s="3952"/>
      <c r="T300" s="3952"/>
      <c r="U300" s="2645"/>
      <c r="V300" s="2645"/>
      <c r="W300" s="2645"/>
      <c r="X300" s="2645"/>
      <c r="Y300" s="2645"/>
      <c r="Z300" s="2644"/>
      <c r="AA300" s="2645"/>
      <c r="AB300" s="2645"/>
      <c r="AC300" s="2645"/>
      <c r="AD300" s="2645"/>
      <c r="AE300" s="2645"/>
      <c r="AF300" s="2645"/>
      <c r="AG300" s="2644"/>
      <c r="AH300" s="2645"/>
      <c r="AI300" s="2645"/>
      <c r="AJ300" s="2645"/>
      <c r="AK300" s="2645"/>
      <c r="AL300" s="2645"/>
      <c r="AM300" s="2645"/>
      <c r="AN300" s="2647"/>
      <c r="AO300" s="2645"/>
    </row>
    <row r="301" spans="1:41">
      <c r="B301" s="3952"/>
      <c r="C301" s="3952"/>
      <c r="D301" s="3952"/>
      <c r="E301" s="3952"/>
      <c r="F301" s="3952"/>
      <c r="G301" s="3952"/>
      <c r="H301" s="3952"/>
      <c r="I301" s="3952"/>
      <c r="J301" s="3952"/>
      <c r="K301" s="3952"/>
      <c r="L301" s="3952"/>
      <c r="M301" s="3952"/>
      <c r="N301" s="3952"/>
      <c r="O301" s="3952"/>
      <c r="P301" s="3952"/>
      <c r="Q301" s="3952"/>
      <c r="R301" s="3952"/>
      <c r="S301" s="3952"/>
      <c r="T301" s="3952"/>
      <c r="U301" s="2645"/>
      <c r="V301" s="2645"/>
      <c r="W301" s="2645"/>
      <c r="X301" s="2645"/>
      <c r="Y301" s="2645"/>
      <c r="Z301" s="2644"/>
      <c r="AA301" s="2645"/>
      <c r="AB301" s="2645"/>
      <c r="AC301" s="2645"/>
      <c r="AD301" s="2645"/>
      <c r="AE301" s="2645"/>
      <c r="AF301" s="2645"/>
      <c r="AG301" s="2644"/>
      <c r="AH301" s="2645"/>
      <c r="AI301" s="2645"/>
      <c r="AJ301" s="2645"/>
      <c r="AK301" s="2645"/>
      <c r="AL301" s="2645"/>
      <c r="AM301" s="2645"/>
      <c r="AN301" s="2647"/>
      <c r="AO301" s="2645"/>
    </row>
  </sheetData>
  <sheetProtection algorithmName="SHA-512" hashValue="uv/f6V5hbxxdmYO4KOAuwNJbL4ama/uCKQyRaRW9cHn0vnoCwDyCumPjYJ6+k5zSPD+VOBug2TRmV3qcf6Mkeg==" saltValue="SNTZtpZtEiG+ifU4znCfZw==" spinCount="100000" sheet="1" formatCells="0" formatColumns="0" formatRows="0"/>
  <mergeCells count="25">
    <mergeCell ref="BL7:BR7"/>
    <mergeCell ref="BS7:BY7"/>
    <mergeCell ref="A1:C1"/>
    <mergeCell ref="AQ7:AW7"/>
    <mergeCell ref="A2:Y2"/>
    <mergeCell ref="A7:A8"/>
    <mergeCell ref="D7:D8"/>
    <mergeCell ref="E7:K7"/>
    <mergeCell ref="L7:R7"/>
    <mergeCell ref="S7:Y7"/>
    <mergeCell ref="B7:B8"/>
    <mergeCell ref="C7:C8"/>
    <mergeCell ref="A3:Y3"/>
    <mergeCell ref="AO7:AO8"/>
    <mergeCell ref="A4:Y4"/>
    <mergeCell ref="A5:Y5"/>
    <mergeCell ref="E292:Y292"/>
    <mergeCell ref="AX7:BD7"/>
    <mergeCell ref="BE7:BK7"/>
    <mergeCell ref="E293:Y293"/>
    <mergeCell ref="E294:Y294"/>
    <mergeCell ref="Z7:AF7"/>
    <mergeCell ref="AG7:AM7"/>
    <mergeCell ref="E290:Y290"/>
    <mergeCell ref="E291:Y291"/>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K131"/>
  <sheetViews>
    <sheetView showGridLines="0" zoomScaleNormal="100" zoomScaleSheetLayoutView="100" workbookViewId="0">
      <pane xSplit="4" ySplit="10" topLeftCell="E80" activePane="bottomRight" state="frozen"/>
      <selection pane="topRight" activeCell="E1" sqref="E1"/>
      <selection pane="bottomLeft" activeCell="A11" sqref="A11"/>
      <selection pane="bottomRight" activeCell="R119" sqref="R119"/>
    </sheetView>
  </sheetViews>
  <sheetFormatPr defaultColWidth="9.140625" defaultRowHeight="12.75"/>
  <cols>
    <col min="1" max="1" width="3.140625" style="72"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6" customWidth="1"/>
    <col min="48" max="16384" width="9.140625" style="46"/>
  </cols>
  <sheetData>
    <row r="1" spans="1:89" ht="25.15" customHeight="1" thickBot="1">
      <c r="A1" s="5338" t="str">
        <f>+'1. Обща информация'!B40</f>
        <v>Фиксиран курс на лева към 1 евро</v>
      </c>
      <c r="B1" s="5339"/>
      <c r="C1" s="5340"/>
      <c r="D1" s="4798">
        <f>+'1. Обща информация'!$C$40</f>
        <v>1.95583</v>
      </c>
      <c r="E1" s="2822"/>
      <c r="F1" s="2822"/>
      <c r="G1" s="2822"/>
      <c r="H1" s="2822"/>
      <c r="I1" s="2822"/>
      <c r="J1" s="2822"/>
      <c r="K1" s="2822"/>
      <c r="L1" s="2822"/>
      <c r="M1" s="2822"/>
      <c r="N1" s="2822"/>
      <c r="O1" s="2822"/>
      <c r="P1" s="2822"/>
      <c r="R1" s="2822"/>
      <c r="S1" s="2824"/>
      <c r="T1" s="2825"/>
      <c r="U1" s="2825"/>
      <c r="V1" s="2825"/>
      <c r="W1" s="2825"/>
      <c r="X1" s="2825"/>
      <c r="Y1" s="2823" t="s">
        <v>189</v>
      </c>
      <c r="Z1" s="2824"/>
      <c r="AA1" s="2825"/>
      <c r="AB1" s="2825"/>
      <c r="AC1" s="2825"/>
      <c r="AD1" s="2825"/>
      <c r="AE1" s="2825"/>
      <c r="AF1" s="2825"/>
      <c r="AG1" s="2824"/>
      <c r="AH1" s="2825"/>
      <c r="AI1" s="2825"/>
      <c r="AJ1" s="2825"/>
      <c r="AK1" s="2825"/>
      <c r="AL1" s="2825"/>
      <c r="AM1" s="2825"/>
      <c r="AN1" s="2826"/>
      <c r="AO1" s="2825"/>
      <c r="AP1" s="2825"/>
      <c r="AQ1" s="2825"/>
      <c r="AR1" s="2825"/>
      <c r="AS1" s="2825"/>
      <c r="AT1" s="2823"/>
      <c r="AU1" s="2827"/>
    </row>
    <row r="2" spans="1:89" s="675" customFormat="1" ht="22.5" customHeight="1">
      <c r="A2" s="5386" t="s">
        <v>1484</v>
      </c>
      <c r="B2" s="5386"/>
      <c r="C2" s="5386"/>
      <c r="D2" s="5386"/>
      <c r="E2" s="5386"/>
      <c r="F2" s="5386"/>
      <c r="G2" s="5386"/>
      <c r="H2" s="5386"/>
      <c r="I2" s="5386"/>
      <c r="J2" s="5386"/>
      <c r="K2" s="5386"/>
      <c r="L2" s="5386"/>
      <c r="M2" s="5386"/>
      <c r="N2" s="5386"/>
      <c r="O2" s="5386"/>
      <c r="P2" s="5386"/>
      <c r="Q2" s="5386"/>
      <c r="R2" s="5386"/>
      <c r="S2" s="5386"/>
      <c r="T2" s="5386"/>
      <c r="U2" s="5386"/>
      <c r="V2" s="5386"/>
      <c r="W2" s="5386"/>
      <c r="X2" s="5386"/>
      <c r="Y2" s="5386"/>
      <c r="Z2" s="2828"/>
      <c r="AA2" s="2828"/>
      <c r="AB2" s="2828"/>
      <c r="AC2" s="2828"/>
      <c r="AD2" s="2828"/>
      <c r="AE2" s="2828"/>
      <c r="AF2" s="2828"/>
      <c r="AG2" s="2828"/>
      <c r="AH2" s="2828"/>
      <c r="AI2" s="2828"/>
      <c r="AJ2" s="2828"/>
      <c r="AK2" s="2828"/>
      <c r="AL2" s="2828"/>
      <c r="AM2" s="2828"/>
      <c r="AN2" s="2828"/>
      <c r="AO2" s="2828"/>
      <c r="AP2" s="2828"/>
      <c r="AQ2" s="2828"/>
      <c r="AR2" s="2828"/>
      <c r="AS2" s="2828"/>
      <c r="AT2" s="2828"/>
      <c r="AU2" s="2829"/>
    </row>
    <row r="3" spans="1:89" ht="27" customHeight="1">
      <c r="A3" s="5386" t="s">
        <v>1483</v>
      </c>
      <c r="B3" s="5386"/>
      <c r="C3" s="5386"/>
      <c r="D3" s="5386"/>
      <c r="E3" s="5386"/>
      <c r="F3" s="5386"/>
      <c r="G3" s="5386"/>
      <c r="H3" s="5386"/>
      <c r="I3" s="5386"/>
      <c r="J3" s="5386"/>
      <c r="K3" s="5386"/>
      <c r="L3" s="5386"/>
      <c r="M3" s="5386"/>
      <c r="N3" s="5386"/>
      <c r="O3" s="5386"/>
      <c r="P3" s="5386"/>
      <c r="Q3" s="5386"/>
      <c r="R3" s="5386"/>
      <c r="S3" s="5386"/>
      <c r="T3" s="5386"/>
      <c r="U3" s="5386"/>
      <c r="V3" s="5386"/>
      <c r="W3" s="5386"/>
      <c r="X3" s="5386"/>
      <c r="Y3" s="5386"/>
      <c r="Z3" s="2830"/>
      <c r="AA3" s="2830"/>
      <c r="AB3" s="2830"/>
      <c r="AC3" s="2830"/>
      <c r="AD3" s="2830"/>
      <c r="AE3" s="2830"/>
      <c r="AF3" s="2830"/>
      <c r="AG3" s="2830"/>
      <c r="AH3" s="2830"/>
      <c r="AI3" s="2830"/>
      <c r="AJ3" s="2830"/>
      <c r="AK3" s="2830"/>
      <c r="AL3" s="2830"/>
      <c r="AM3" s="2830"/>
      <c r="AN3" s="2830"/>
      <c r="AO3" s="2830"/>
      <c r="AP3" s="2830"/>
      <c r="AQ3" s="2830"/>
      <c r="AR3" s="2830"/>
      <c r="AS3" s="2830"/>
      <c r="AT3" s="2830"/>
      <c r="AU3" s="2827"/>
    </row>
    <row r="4" spans="1:89" ht="15.75">
      <c r="A4" s="5387" t="str">
        <f>'1. Обща информация'!A4:D4</f>
        <v>на "ВОДОСНАБДЯВАНЕ И КАНАЛИЗАЦИЯ" ЕООД, гр. БЛАГОЕВГРАД</v>
      </c>
      <c r="B4" s="5387"/>
      <c r="C4" s="5387"/>
      <c r="D4" s="5387"/>
      <c r="E4" s="5387"/>
      <c r="F4" s="5387"/>
      <c r="G4" s="5387"/>
      <c r="H4" s="5387"/>
      <c r="I4" s="5387"/>
      <c r="J4" s="5387"/>
      <c r="K4" s="5387"/>
      <c r="L4" s="5387"/>
      <c r="M4" s="5387"/>
      <c r="N4" s="5387"/>
      <c r="O4" s="5387"/>
      <c r="P4" s="5387"/>
      <c r="Q4" s="5387"/>
      <c r="R4" s="5387"/>
      <c r="S4" s="5387"/>
      <c r="T4" s="5387"/>
      <c r="U4" s="5387"/>
      <c r="V4" s="5387"/>
      <c r="W4" s="5387"/>
      <c r="X4" s="5387"/>
      <c r="Y4" s="5387"/>
      <c r="Z4" s="2831"/>
      <c r="AA4" s="2831"/>
      <c r="AB4" s="2831"/>
      <c r="AC4" s="2831"/>
      <c r="AD4" s="2831"/>
      <c r="AE4" s="2831"/>
      <c r="AF4" s="2831"/>
      <c r="AG4" s="2831"/>
      <c r="AH4" s="2831"/>
      <c r="AI4" s="2831"/>
      <c r="AJ4" s="2831"/>
      <c r="AK4" s="2831"/>
      <c r="AL4" s="2831"/>
      <c r="AM4" s="2831"/>
      <c r="AN4" s="2831"/>
      <c r="AO4" s="2831"/>
      <c r="AP4" s="2831"/>
      <c r="AQ4" s="2831"/>
      <c r="AR4" s="2831"/>
      <c r="AS4" s="2831"/>
      <c r="AT4" s="2831"/>
      <c r="AU4" s="2827"/>
    </row>
    <row r="5" spans="1:89" ht="16.5" thickBot="1">
      <c r="A5" s="5387" t="str">
        <f>'1. Обща информация'!A5:D5</f>
        <v>ЕИК по БУЛСТАТ: 811047831</v>
      </c>
      <c r="B5" s="5387"/>
      <c r="C5" s="5387"/>
      <c r="D5" s="5387"/>
      <c r="E5" s="5387"/>
      <c r="F5" s="5387"/>
      <c r="G5" s="5387"/>
      <c r="H5" s="5387"/>
      <c r="I5" s="5387"/>
      <c r="J5" s="5387"/>
      <c r="K5" s="5387"/>
      <c r="L5" s="5387"/>
      <c r="M5" s="5387"/>
      <c r="N5" s="5387"/>
      <c r="O5" s="5387"/>
      <c r="P5" s="5387"/>
      <c r="Q5" s="5387"/>
      <c r="R5" s="5387"/>
      <c r="S5" s="5387"/>
      <c r="T5" s="5387"/>
      <c r="U5" s="5387"/>
      <c r="V5" s="5387"/>
      <c r="W5" s="5387"/>
      <c r="X5" s="5387"/>
      <c r="Y5" s="5387"/>
      <c r="Z5" s="2831"/>
      <c r="AA5" s="2831"/>
      <c r="AB5" s="2831"/>
      <c r="AC5" s="2831"/>
      <c r="AD5" s="2831"/>
      <c r="AE5" s="2831"/>
      <c r="AF5" s="2831"/>
      <c r="AG5" s="2831"/>
      <c r="AH5" s="2831"/>
      <c r="AI5" s="2831"/>
      <c r="AJ5" s="2831"/>
      <c r="AK5" s="2831"/>
      <c r="AL5" s="2831"/>
      <c r="AM5" s="2831"/>
      <c r="AN5" s="2831"/>
      <c r="AO5" s="2831"/>
      <c r="AP5" s="2831"/>
      <c r="AQ5" s="2831"/>
      <c r="AR5" s="2831"/>
      <c r="AS5" s="2831"/>
      <c r="AT5" s="2831"/>
      <c r="AU5" s="2827"/>
    </row>
    <row r="6" spans="1:89" ht="16.5" thickBot="1">
      <c r="A6" s="2832"/>
      <c r="B6" s="2827"/>
      <c r="C6" s="2833"/>
      <c r="D6" s="2834" t="s">
        <v>627</v>
      </c>
      <c r="E6" s="2835">
        <v>1</v>
      </c>
      <c r="F6" s="2836"/>
      <c r="G6" s="2832"/>
      <c r="H6" s="2837"/>
      <c r="I6" s="2832"/>
      <c r="J6" s="2832"/>
      <c r="K6" s="2832"/>
      <c r="L6" s="2832"/>
      <c r="M6" s="2832"/>
      <c r="N6" s="2832"/>
      <c r="O6" s="2832"/>
      <c r="P6" s="2832"/>
      <c r="Q6" s="2832"/>
      <c r="R6" s="2832"/>
      <c r="S6" s="2832"/>
      <c r="T6" s="2832"/>
      <c r="U6" s="2832"/>
      <c r="V6" s="2832"/>
      <c r="W6" s="2832"/>
      <c r="X6" s="2832"/>
      <c r="Y6" s="2832"/>
      <c r="Z6" s="2832"/>
      <c r="AA6" s="2832"/>
      <c r="AB6" s="2832"/>
      <c r="AC6" s="2832"/>
      <c r="AD6" s="2832"/>
      <c r="AE6" s="2832"/>
      <c r="AF6" s="2832"/>
      <c r="AG6" s="2832"/>
      <c r="AH6" s="2832"/>
      <c r="AI6" s="2832"/>
      <c r="AJ6" s="2832"/>
      <c r="AK6" s="2832"/>
      <c r="AL6" s="2832"/>
      <c r="AM6" s="2832"/>
      <c r="AN6" s="2832"/>
      <c r="AO6" s="2832"/>
      <c r="AP6" s="2832"/>
      <c r="AQ6" s="2832"/>
      <c r="AR6" s="2832"/>
      <c r="AS6" s="2832"/>
      <c r="AT6" s="2832"/>
      <c r="AU6" s="2827"/>
    </row>
    <row r="7" spans="1:89" ht="16.5" thickBot="1">
      <c r="A7" s="2832"/>
      <c r="B7" s="2827"/>
      <c r="C7" s="2838"/>
      <c r="D7" s="2834" t="s">
        <v>643</v>
      </c>
      <c r="E7" s="2835">
        <f>12/6</f>
        <v>2</v>
      </c>
      <c r="F7" s="2832"/>
      <c r="G7" s="2832"/>
      <c r="H7" s="2837"/>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832"/>
      <c r="AU7" s="2827"/>
    </row>
    <row r="8" spans="1:89" ht="13.5" thickBot="1">
      <c r="A8" s="2822"/>
      <c r="B8" s="2825"/>
      <c r="C8" s="2825"/>
      <c r="D8" s="2825"/>
      <c r="E8" s="2825"/>
      <c r="F8" s="2825"/>
      <c r="G8" s="2825"/>
      <c r="H8" s="2839"/>
      <c r="I8" s="2825"/>
      <c r="J8" s="2825"/>
      <c r="K8" s="2825"/>
      <c r="L8" s="2825"/>
      <c r="M8" s="2825"/>
      <c r="N8" s="2825"/>
      <c r="O8" s="2825"/>
      <c r="P8" s="2825"/>
      <c r="Q8" s="2825"/>
      <c r="R8" s="2825"/>
      <c r="S8" s="2825"/>
      <c r="T8" s="2825"/>
      <c r="U8" s="2825"/>
      <c r="V8" s="2825"/>
      <c r="W8" s="2825"/>
      <c r="X8" s="2825"/>
      <c r="Y8" s="2825"/>
      <c r="Z8" s="2825"/>
      <c r="AA8" s="2825"/>
      <c r="AB8" s="2825"/>
      <c r="AC8" s="2825"/>
      <c r="AD8" s="2825"/>
      <c r="AE8" s="2825"/>
      <c r="AF8" s="2825"/>
      <c r="AG8" s="2825"/>
      <c r="AH8" s="2825"/>
      <c r="AI8" s="2825"/>
      <c r="AJ8" s="2825"/>
      <c r="AK8" s="2825"/>
      <c r="AL8" s="2825"/>
      <c r="AM8" s="2825"/>
      <c r="AN8" s="2825"/>
      <c r="AO8" s="2822"/>
      <c r="AP8" s="2825"/>
      <c r="AQ8" s="2825"/>
      <c r="AR8" s="2825"/>
      <c r="AS8" s="2825"/>
      <c r="AT8" s="2558" t="s">
        <v>190</v>
      </c>
      <c r="AU8" s="2827"/>
      <c r="CK8" s="2558" t="s">
        <v>1891</v>
      </c>
    </row>
    <row r="9" spans="1:89" ht="13.5" customHeight="1" thickBot="1">
      <c r="A9" s="5380" t="s">
        <v>1</v>
      </c>
      <c r="B9" s="5383" t="s">
        <v>1044</v>
      </c>
      <c r="C9" s="5383" t="s">
        <v>1043</v>
      </c>
      <c r="D9" s="5380" t="s">
        <v>87</v>
      </c>
      <c r="E9" s="5380" t="s">
        <v>210</v>
      </c>
      <c r="F9" s="5381"/>
      <c r="G9" s="5381"/>
      <c r="H9" s="5381"/>
      <c r="I9" s="5381"/>
      <c r="J9" s="5381"/>
      <c r="K9" s="5382"/>
      <c r="L9" s="5380" t="s">
        <v>174</v>
      </c>
      <c r="M9" s="5381"/>
      <c r="N9" s="5381"/>
      <c r="O9" s="5381"/>
      <c r="P9" s="5381"/>
      <c r="Q9" s="5381"/>
      <c r="R9" s="5382"/>
      <c r="S9" s="5380" t="s">
        <v>184</v>
      </c>
      <c r="T9" s="5381"/>
      <c r="U9" s="5381"/>
      <c r="V9" s="5381"/>
      <c r="W9" s="5381"/>
      <c r="X9" s="5381"/>
      <c r="Y9" s="5382"/>
      <c r="Z9" s="5380" t="s">
        <v>1029</v>
      </c>
      <c r="AA9" s="5381"/>
      <c r="AB9" s="5381"/>
      <c r="AC9" s="5381"/>
      <c r="AD9" s="5381"/>
      <c r="AE9" s="5381"/>
      <c r="AF9" s="5382"/>
      <c r="AG9" s="5380" t="s">
        <v>1092</v>
      </c>
      <c r="AH9" s="5381"/>
      <c r="AI9" s="5381"/>
      <c r="AJ9" s="5381"/>
      <c r="AK9" s="5381"/>
      <c r="AL9" s="5381"/>
      <c r="AM9" s="5382"/>
      <c r="AN9" s="5380" t="s">
        <v>662</v>
      </c>
      <c r="AO9" s="5381"/>
      <c r="AP9" s="5381"/>
      <c r="AQ9" s="5381"/>
      <c r="AR9" s="5381"/>
      <c r="AS9" s="5381"/>
      <c r="AT9" s="5382"/>
      <c r="AU9" s="4775"/>
      <c r="AV9" s="5368" t="s">
        <v>210</v>
      </c>
      <c r="AW9" s="5368"/>
      <c r="AX9" s="5368"/>
      <c r="AY9" s="5368"/>
      <c r="AZ9" s="5368"/>
      <c r="BA9" s="5368"/>
      <c r="BB9" s="5368"/>
      <c r="BC9" s="5368" t="s">
        <v>174</v>
      </c>
      <c r="BD9" s="5368"/>
      <c r="BE9" s="5368"/>
      <c r="BF9" s="5368"/>
      <c r="BG9" s="5368"/>
      <c r="BH9" s="5368"/>
      <c r="BI9" s="5368"/>
      <c r="BJ9" s="5368" t="s">
        <v>184</v>
      </c>
      <c r="BK9" s="5368"/>
      <c r="BL9" s="5368"/>
      <c r="BM9" s="5368"/>
      <c r="BN9" s="5368"/>
      <c r="BO9" s="5368"/>
      <c r="BP9" s="5368"/>
      <c r="BQ9" s="5368" t="s">
        <v>1029</v>
      </c>
      <c r="BR9" s="5368"/>
      <c r="BS9" s="5368"/>
      <c r="BT9" s="5368"/>
      <c r="BU9" s="5368"/>
      <c r="BV9" s="5368"/>
      <c r="BW9" s="5368"/>
      <c r="BX9" s="5368" t="s">
        <v>1092</v>
      </c>
      <c r="BY9" s="5368"/>
      <c r="BZ9" s="5368"/>
      <c r="CA9" s="5368"/>
      <c r="CB9" s="5368"/>
      <c r="CC9" s="5368"/>
      <c r="CD9" s="5368"/>
      <c r="CE9" s="5368" t="s">
        <v>662</v>
      </c>
      <c r="CF9" s="5368"/>
      <c r="CG9" s="5368"/>
      <c r="CH9" s="5368"/>
      <c r="CI9" s="5368"/>
      <c r="CJ9" s="5368"/>
      <c r="CK9" s="5368"/>
    </row>
    <row r="10" spans="1:89" ht="20.25" customHeight="1" thickBot="1">
      <c r="A10" s="5385"/>
      <c r="B10" s="5384"/>
      <c r="C10" s="5384"/>
      <c r="D10" s="5385"/>
      <c r="E10" s="2840" t="str">
        <f>+'11.3. ДА Базова година'!H8</f>
        <v>2025 г.</v>
      </c>
      <c r="F10" s="2841" t="str">
        <f>'Приложение '!C13</f>
        <v>2026 г.</v>
      </c>
      <c r="G10" s="2842" t="str">
        <f>'Приложение '!C14</f>
        <v>2027 г.</v>
      </c>
      <c r="H10" s="2842" t="str">
        <f>'Приложение '!C15</f>
        <v>2028 г.</v>
      </c>
      <c r="I10" s="2842" t="str">
        <f>'Приложение '!C16</f>
        <v>2029 г.</v>
      </c>
      <c r="J10" s="2842" t="str">
        <f>'Приложение '!C17</f>
        <v>2030 г.</v>
      </c>
      <c r="K10" s="2843" t="str">
        <f>'Приложение '!C18</f>
        <v>2031 г.</v>
      </c>
      <c r="L10" s="2840" t="str">
        <f t="shared" ref="L10:AM10" si="0">E10</f>
        <v>2025 г.</v>
      </c>
      <c r="M10" s="2841" t="str">
        <f t="shared" si="0"/>
        <v>2026 г.</v>
      </c>
      <c r="N10" s="2842" t="str">
        <f t="shared" si="0"/>
        <v>2027 г.</v>
      </c>
      <c r="O10" s="2842" t="str">
        <f t="shared" si="0"/>
        <v>2028 г.</v>
      </c>
      <c r="P10" s="2842" t="str">
        <f t="shared" si="0"/>
        <v>2029 г.</v>
      </c>
      <c r="Q10" s="2842" t="str">
        <f t="shared" si="0"/>
        <v>2030 г.</v>
      </c>
      <c r="R10" s="2843" t="str">
        <f t="shared" si="0"/>
        <v>2031 г.</v>
      </c>
      <c r="S10" s="2844" t="str">
        <f t="shared" si="0"/>
        <v>2025 г.</v>
      </c>
      <c r="T10" s="2845" t="str">
        <f t="shared" si="0"/>
        <v>2026 г.</v>
      </c>
      <c r="U10" s="2842" t="str">
        <f t="shared" si="0"/>
        <v>2027 г.</v>
      </c>
      <c r="V10" s="2842" t="str">
        <f t="shared" si="0"/>
        <v>2028 г.</v>
      </c>
      <c r="W10" s="2845" t="str">
        <f t="shared" si="0"/>
        <v>2029 г.</v>
      </c>
      <c r="X10" s="2842" t="str">
        <f t="shared" si="0"/>
        <v>2030 г.</v>
      </c>
      <c r="Y10" s="2843" t="str">
        <f t="shared" si="0"/>
        <v>2031 г.</v>
      </c>
      <c r="Z10" s="2844" t="str">
        <f t="shared" si="0"/>
        <v>2025 г.</v>
      </c>
      <c r="AA10" s="2845" t="str">
        <f t="shared" si="0"/>
        <v>2026 г.</v>
      </c>
      <c r="AB10" s="2842" t="str">
        <f t="shared" si="0"/>
        <v>2027 г.</v>
      </c>
      <c r="AC10" s="2842" t="str">
        <f t="shared" si="0"/>
        <v>2028 г.</v>
      </c>
      <c r="AD10" s="2845" t="str">
        <f t="shared" si="0"/>
        <v>2029 г.</v>
      </c>
      <c r="AE10" s="2842" t="str">
        <f t="shared" si="0"/>
        <v>2030 г.</v>
      </c>
      <c r="AF10" s="2843" t="str">
        <f t="shared" si="0"/>
        <v>2031 г.</v>
      </c>
      <c r="AG10" s="2844" t="str">
        <f t="shared" si="0"/>
        <v>2025 г.</v>
      </c>
      <c r="AH10" s="2845" t="str">
        <f t="shared" si="0"/>
        <v>2026 г.</v>
      </c>
      <c r="AI10" s="2842" t="str">
        <f t="shared" si="0"/>
        <v>2027 г.</v>
      </c>
      <c r="AJ10" s="2842" t="str">
        <f t="shared" si="0"/>
        <v>2028 г.</v>
      </c>
      <c r="AK10" s="2845" t="str">
        <f t="shared" si="0"/>
        <v>2029 г.</v>
      </c>
      <c r="AL10" s="2842" t="str">
        <f t="shared" si="0"/>
        <v>2030 г.</v>
      </c>
      <c r="AM10" s="2843" t="str">
        <f t="shared" si="0"/>
        <v>2031 г.</v>
      </c>
      <c r="AN10" s="2844" t="str">
        <f t="shared" ref="AN10:AT10" si="1">S10</f>
        <v>2025 г.</v>
      </c>
      <c r="AO10" s="2845" t="str">
        <f t="shared" si="1"/>
        <v>2026 г.</v>
      </c>
      <c r="AP10" s="2842" t="str">
        <f t="shared" si="1"/>
        <v>2027 г.</v>
      </c>
      <c r="AQ10" s="2842" t="str">
        <f t="shared" si="1"/>
        <v>2028 г.</v>
      </c>
      <c r="AR10" s="2842" t="str">
        <f t="shared" si="1"/>
        <v>2029 г.</v>
      </c>
      <c r="AS10" s="2842" t="str">
        <f t="shared" si="1"/>
        <v>2030 г.</v>
      </c>
      <c r="AT10" s="2843" t="str">
        <f t="shared" si="1"/>
        <v>2031 г.</v>
      </c>
      <c r="AU10" s="4775"/>
      <c r="AV10" s="4799" t="str">
        <f>+E10</f>
        <v>2025 г.</v>
      </c>
      <c r="AW10" s="4799" t="str">
        <f t="shared" ref="AW10:BB10" si="2">+F10</f>
        <v>2026 г.</v>
      </c>
      <c r="AX10" s="4799" t="str">
        <f t="shared" si="2"/>
        <v>2027 г.</v>
      </c>
      <c r="AY10" s="4799" t="str">
        <f t="shared" si="2"/>
        <v>2028 г.</v>
      </c>
      <c r="AZ10" s="4799" t="str">
        <f t="shared" si="2"/>
        <v>2029 г.</v>
      </c>
      <c r="BA10" s="4799" t="str">
        <f t="shared" si="2"/>
        <v>2030 г.</v>
      </c>
      <c r="BB10" s="4799" t="str">
        <f t="shared" si="2"/>
        <v>2031 г.</v>
      </c>
      <c r="BC10" s="4799" t="str">
        <f t="shared" ref="BC10" si="3">AV10</f>
        <v>2025 г.</v>
      </c>
      <c r="BD10" s="4799" t="str">
        <f t="shared" ref="BD10" si="4">AW10</f>
        <v>2026 г.</v>
      </c>
      <c r="BE10" s="4799" t="str">
        <f t="shared" ref="BE10" si="5">AX10</f>
        <v>2027 г.</v>
      </c>
      <c r="BF10" s="4799" t="str">
        <f t="shared" ref="BF10" si="6">AY10</f>
        <v>2028 г.</v>
      </c>
      <c r="BG10" s="4799" t="str">
        <f t="shared" ref="BG10" si="7">AZ10</f>
        <v>2029 г.</v>
      </c>
      <c r="BH10" s="4799" t="str">
        <f t="shared" ref="BH10" si="8">BA10</f>
        <v>2030 г.</v>
      </c>
      <c r="BI10" s="4799" t="str">
        <f t="shared" ref="BI10" si="9">BB10</f>
        <v>2031 г.</v>
      </c>
      <c r="BJ10" s="4799" t="str">
        <f t="shared" ref="BJ10" si="10">BC10</f>
        <v>2025 г.</v>
      </c>
      <c r="BK10" s="4799" t="str">
        <f t="shared" ref="BK10" si="11">BD10</f>
        <v>2026 г.</v>
      </c>
      <c r="BL10" s="4799" t="str">
        <f t="shared" ref="BL10" si="12">BE10</f>
        <v>2027 г.</v>
      </c>
      <c r="BM10" s="4799" t="str">
        <f t="shared" ref="BM10" si="13">BF10</f>
        <v>2028 г.</v>
      </c>
      <c r="BN10" s="4799" t="str">
        <f t="shared" ref="BN10" si="14">BG10</f>
        <v>2029 г.</v>
      </c>
      <c r="BO10" s="4799" t="str">
        <f t="shared" ref="BO10" si="15">BH10</f>
        <v>2030 г.</v>
      </c>
      <c r="BP10" s="4799" t="str">
        <f t="shared" ref="BP10" si="16">BI10</f>
        <v>2031 г.</v>
      </c>
      <c r="BQ10" s="4799" t="str">
        <f t="shared" ref="BQ10" si="17">BJ10</f>
        <v>2025 г.</v>
      </c>
      <c r="BR10" s="4799" t="str">
        <f t="shared" ref="BR10" si="18">BK10</f>
        <v>2026 г.</v>
      </c>
      <c r="BS10" s="4799" t="str">
        <f t="shared" ref="BS10" si="19">BL10</f>
        <v>2027 г.</v>
      </c>
      <c r="BT10" s="4799" t="str">
        <f t="shared" ref="BT10" si="20">BM10</f>
        <v>2028 г.</v>
      </c>
      <c r="BU10" s="4799" t="str">
        <f t="shared" ref="BU10" si="21">BN10</f>
        <v>2029 г.</v>
      </c>
      <c r="BV10" s="4799" t="str">
        <f t="shared" ref="BV10" si="22">BO10</f>
        <v>2030 г.</v>
      </c>
      <c r="BW10" s="4799" t="str">
        <f t="shared" ref="BW10" si="23">BP10</f>
        <v>2031 г.</v>
      </c>
      <c r="BX10" s="4799" t="str">
        <f t="shared" ref="BX10" si="24">BQ10</f>
        <v>2025 г.</v>
      </c>
      <c r="BY10" s="4799" t="str">
        <f t="shared" ref="BY10" si="25">BR10</f>
        <v>2026 г.</v>
      </c>
      <c r="BZ10" s="4799" t="str">
        <f t="shared" ref="BZ10" si="26">BS10</f>
        <v>2027 г.</v>
      </c>
      <c r="CA10" s="4799" t="str">
        <f t="shared" ref="CA10" si="27">BT10</f>
        <v>2028 г.</v>
      </c>
      <c r="CB10" s="4799" t="str">
        <f t="shared" ref="CB10" si="28">BU10</f>
        <v>2029 г.</v>
      </c>
      <c r="CC10" s="4799" t="str">
        <f t="shared" ref="CC10" si="29">BV10</f>
        <v>2030 г.</v>
      </c>
      <c r="CD10" s="4799" t="str">
        <f t="shared" ref="CD10" si="30">BW10</f>
        <v>2031 г.</v>
      </c>
      <c r="CE10" s="4799" t="str">
        <f t="shared" ref="CE10" si="31">BJ10</f>
        <v>2025 г.</v>
      </c>
      <c r="CF10" s="4799" t="str">
        <f t="shared" ref="CF10" si="32">BK10</f>
        <v>2026 г.</v>
      </c>
      <c r="CG10" s="4799" t="str">
        <f t="shared" ref="CG10" si="33">BL10</f>
        <v>2027 г.</v>
      </c>
      <c r="CH10" s="4799" t="str">
        <f t="shared" ref="CH10" si="34">BM10</f>
        <v>2028 г.</v>
      </c>
      <c r="CI10" s="4799" t="str">
        <f t="shared" ref="CI10" si="35">BN10</f>
        <v>2029 г.</v>
      </c>
      <c r="CJ10" s="4799" t="str">
        <f t="shared" ref="CJ10" si="36">BO10</f>
        <v>2030 г.</v>
      </c>
      <c r="CK10" s="4799" t="str">
        <f t="shared" ref="CK10" si="37">BP10</f>
        <v>2031 г.</v>
      </c>
    </row>
    <row r="11" spans="1:89" s="43" customFormat="1" ht="17.25" customHeight="1" thickBot="1">
      <c r="A11" s="2846" t="s">
        <v>205</v>
      </c>
      <c r="B11" s="2847"/>
      <c r="C11" s="2847"/>
      <c r="D11" s="2847" t="s">
        <v>334</v>
      </c>
      <c r="E11" s="2848">
        <f t="shared" ref="E11:AT11" si="38">E12+E15+E18+E30+E45+E50+SUM(E54:E59)</f>
        <v>7897</v>
      </c>
      <c r="F11" s="2849">
        <f t="shared" si="38"/>
        <v>4737</v>
      </c>
      <c r="G11" s="2850">
        <f t="shared" si="38"/>
        <v>3652</v>
      </c>
      <c r="H11" s="2850">
        <f t="shared" si="38"/>
        <v>3030</v>
      </c>
      <c r="I11" s="2850">
        <f t="shared" si="38"/>
        <v>3065</v>
      </c>
      <c r="J11" s="2850">
        <f t="shared" si="38"/>
        <v>3290</v>
      </c>
      <c r="K11" s="2851">
        <f t="shared" si="38"/>
        <v>3025</v>
      </c>
      <c r="L11" s="2848">
        <f t="shared" si="38"/>
        <v>511</v>
      </c>
      <c r="M11" s="2849">
        <f t="shared" si="38"/>
        <v>130</v>
      </c>
      <c r="N11" s="2850">
        <f t="shared" si="38"/>
        <v>175</v>
      </c>
      <c r="O11" s="2850">
        <f t="shared" si="38"/>
        <v>170</v>
      </c>
      <c r="P11" s="2850">
        <f t="shared" si="38"/>
        <v>170</v>
      </c>
      <c r="Q11" s="2850">
        <f t="shared" si="38"/>
        <v>160</v>
      </c>
      <c r="R11" s="2851">
        <f t="shared" si="38"/>
        <v>160</v>
      </c>
      <c r="S11" s="2852">
        <f t="shared" si="38"/>
        <v>127</v>
      </c>
      <c r="T11" s="2853">
        <f t="shared" si="38"/>
        <v>120</v>
      </c>
      <c r="U11" s="2850">
        <f t="shared" si="38"/>
        <v>170</v>
      </c>
      <c r="V11" s="2850">
        <f t="shared" si="38"/>
        <v>150</v>
      </c>
      <c r="W11" s="2850">
        <f t="shared" si="38"/>
        <v>140</v>
      </c>
      <c r="X11" s="2850">
        <f t="shared" si="38"/>
        <v>170</v>
      </c>
      <c r="Y11" s="2851">
        <f t="shared" si="38"/>
        <v>140</v>
      </c>
      <c r="Z11" s="2852">
        <f t="shared" ref="Z11:AM11" si="39">Z12+Z15+Z18+Z30+Z45+Z50+SUM(Z54:Z59)</f>
        <v>0</v>
      </c>
      <c r="AA11" s="2853">
        <f t="shared" si="39"/>
        <v>0</v>
      </c>
      <c r="AB11" s="2850">
        <f t="shared" si="39"/>
        <v>0</v>
      </c>
      <c r="AC11" s="2850">
        <f t="shared" si="39"/>
        <v>0</v>
      </c>
      <c r="AD11" s="2850">
        <f t="shared" si="39"/>
        <v>0</v>
      </c>
      <c r="AE11" s="2850">
        <f t="shared" si="39"/>
        <v>0</v>
      </c>
      <c r="AF11" s="2851">
        <f t="shared" si="39"/>
        <v>0</v>
      </c>
      <c r="AG11" s="2852">
        <f t="shared" si="39"/>
        <v>0</v>
      </c>
      <c r="AH11" s="2853">
        <f t="shared" si="39"/>
        <v>0</v>
      </c>
      <c r="AI11" s="2850">
        <f t="shared" si="39"/>
        <v>0</v>
      </c>
      <c r="AJ11" s="2850">
        <f t="shared" si="39"/>
        <v>0</v>
      </c>
      <c r="AK11" s="2850">
        <f t="shared" si="39"/>
        <v>0</v>
      </c>
      <c r="AL11" s="2850">
        <f t="shared" si="39"/>
        <v>0</v>
      </c>
      <c r="AM11" s="2851">
        <f t="shared" si="39"/>
        <v>0</v>
      </c>
      <c r="AN11" s="2852">
        <f t="shared" si="38"/>
        <v>0</v>
      </c>
      <c r="AO11" s="2853">
        <f t="shared" si="38"/>
        <v>320</v>
      </c>
      <c r="AP11" s="2850">
        <f t="shared" si="38"/>
        <v>250</v>
      </c>
      <c r="AQ11" s="2850">
        <f t="shared" si="38"/>
        <v>200</v>
      </c>
      <c r="AR11" s="2850">
        <f t="shared" si="38"/>
        <v>385</v>
      </c>
      <c r="AS11" s="2850">
        <f t="shared" si="38"/>
        <v>150</v>
      </c>
      <c r="AT11" s="2851">
        <f t="shared" si="38"/>
        <v>210</v>
      </c>
      <c r="AU11" s="4775"/>
      <c r="AV11" s="4794">
        <f>IFERROR(E11/$D$1,0)</f>
        <v>4037.6719858065376</v>
      </c>
      <c r="AW11" s="4794">
        <f t="shared" ref="AW11:CJ11" si="40">IFERROR(F11/$D$1,0)</f>
        <v>2421.989641226487</v>
      </c>
      <c r="AX11" s="4794">
        <f t="shared" si="40"/>
        <v>1867.23795012859</v>
      </c>
      <c r="AY11" s="4794">
        <f t="shared" si="40"/>
        <v>1549.2144000245421</v>
      </c>
      <c r="AZ11" s="4794">
        <f t="shared" si="40"/>
        <v>1567.1096158664097</v>
      </c>
      <c r="BA11" s="4794">
        <f t="shared" si="40"/>
        <v>1682.1502891355588</v>
      </c>
      <c r="BB11" s="4794">
        <f t="shared" si="40"/>
        <v>1546.657940618561</v>
      </c>
      <c r="BC11" s="4794">
        <f t="shared" si="40"/>
        <v>261.27015129126767</v>
      </c>
      <c r="BD11" s="4794">
        <f t="shared" si="40"/>
        <v>66.46794455550841</v>
      </c>
      <c r="BE11" s="4794">
        <f t="shared" si="40"/>
        <v>89.476079209338238</v>
      </c>
      <c r="BF11" s="4794">
        <f t="shared" si="40"/>
        <v>86.919619803357151</v>
      </c>
      <c r="BG11" s="4794">
        <f t="shared" si="40"/>
        <v>86.919619803357151</v>
      </c>
      <c r="BH11" s="4794">
        <f t="shared" si="40"/>
        <v>81.806700991394962</v>
      </c>
      <c r="BI11" s="4794">
        <f t="shared" si="40"/>
        <v>81.806700991394962</v>
      </c>
      <c r="BJ11" s="4794">
        <f t="shared" si="40"/>
        <v>64.934068911919752</v>
      </c>
      <c r="BK11" s="4794">
        <f t="shared" si="40"/>
        <v>61.355025743546221</v>
      </c>
      <c r="BL11" s="4794">
        <f t="shared" si="40"/>
        <v>86.919619803357151</v>
      </c>
      <c r="BM11" s="4794">
        <f t="shared" si="40"/>
        <v>76.693782179432773</v>
      </c>
      <c r="BN11" s="4794">
        <f t="shared" si="40"/>
        <v>71.580863367470585</v>
      </c>
      <c r="BO11" s="4794">
        <f t="shared" si="40"/>
        <v>86.919619803357151</v>
      </c>
      <c r="BP11" s="4794">
        <f t="shared" si="40"/>
        <v>71.580863367470585</v>
      </c>
      <c r="BQ11" s="4794">
        <f t="shared" si="40"/>
        <v>0</v>
      </c>
      <c r="BR11" s="4794">
        <f t="shared" si="40"/>
        <v>0</v>
      </c>
      <c r="BS11" s="4794">
        <f t="shared" si="40"/>
        <v>0</v>
      </c>
      <c r="BT11" s="4794">
        <f t="shared" si="40"/>
        <v>0</v>
      </c>
      <c r="BU11" s="4794">
        <f t="shared" si="40"/>
        <v>0</v>
      </c>
      <c r="BV11" s="4794">
        <f t="shared" si="40"/>
        <v>0</v>
      </c>
      <c r="BW11" s="4794">
        <f t="shared" si="40"/>
        <v>0</v>
      </c>
      <c r="BX11" s="4794">
        <f t="shared" si="40"/>
        <v>0</v>
      </c>
      <c r="BY11" s="4794">
        <f t="shared" si="40"/>
        <v>0</v>
      </c>
      <c r="BZ11" s="4794">
        <f t="shared" si="40"/>
        <v>0</v>
      </c>
      <c r="CA11" s="4794">
        <f t="shared" si="40"/>
        <v>0</v>
      </c>
      <c r="CB11" s="4794">
        <f t="shared" si="40"/>
        <v>0</v>
      </c>
      <c r="CC11" s="4794">
        <f t="shared" si="40"/>
        <v>0</v>
      </c>
      <c r="CD11" s="4794">
        <f t="shared" si="40"/>
        <v>0</v>
      </c>
      <c r="CE11" s="4794">
        <f t="shared" si="40"/>
        <v>0</v>
      </c>
      <c r="CF11" s="4794">
        <f t="shared" si="40"/>
        <v>163.61340198278992</v>
      </c>
      <c r="CG11" s="4794">
        <f t="shared" si="40"/>
        <v>127.82297029905462</v>
      </c>
      <c r="CH11" s="4794">
        <f t="shared" si="40"/>
        <v>102.2583762392437</v>
      </c>
      <c r="CI11" s="4794">
        <f t="shared" si="40"/>
        <v>196.84737426054411</v>
      </c>
      <c r="CJ11" s="4794">
        <f t="shared" si="40"/>
        <v>76.693782179432773</v>
      </c>
      <c r="CK11" s="4794">
        <f>IFERROR(AT11/$D$1,0)</f>
        <v>107.37129505120589</v>
      </c>
    </row>
    <row r="12" spans="1:89" s="34" customFormat="1">
      <c r="A12" s="2854">
        <v>1</v>
      </c>
      <c r="B12" s="3814">
        <v>201</v>
      </c>
      <c r="C12" s="3797">
        <v>0</v>
      </c>
      <c r="D12" s="2855" t="s">
        <v>217</v>
      </c>
      <c r="E12" s="2856">
        <f>SUM(E13:E14)</f>
        <v>0</v>
      </c>
      <c r="F12" s="2857">
        <f>SUM(F13:F14)</f>
        <v>0</v>
      </c>
      <c r="G12" s="2858">
        <f>SUM(G13:G14)</f>
        <v>0</v>
      </c>
      <c r="H12" s="2858">
        <f>SUM(H13:H14)</f>
        <v>0</v>
      </c>
      <c r="I12" s="2858">
        <f t="shared" ref="I12:K12" si="41">SUM(I13:I14)</f>
        <v>0</v>
      </c>
      <c r="J12" s="2858">
        <f t="shared" si="41"/>
        <v>0</v>
      </c>
      <c r="K12" s="2859">
        <f t="shared" si="41"/>
        <v>0</v>
      </c>
      <c r="L12" s="2856">
        <f>SUM(L13:L14)</f>
        <v>0</v>
      </c>
      <c r="M12" s="2857">
        <f>SUM(M13:M14)</f>
        <v>0</v>
      </c>
      <c r="N12" s="2858">
        <f>SUM(N13:N14)</f>
        <v>0</v>
      </c>
      <c r="O12" s="2858">
        <f>SUM(O13:O14)</f>
        <v>0</v>
      </c>
      <c r="P12" s="2858">
        <f t="shared" ref="P12:R12" si="42">SUM(P13:P14)</f>
        <v>0</v>
      </c>
      <c r="Q12" s="2858">
        <f t="shared" si="42"/>
        <v>0</v>
      </c>
      <c r="R12" s="2859">
        <f t="shared" si="42"/>
        <v>0</v>
      </c>
      <c r="S12" s="2860">
        <f>SUM(S13:S14)</f>
        <v>0</v>
      </c>
      <c r="T12" s="2861">
        <f>SUM(T13:T14)</f>
        <v>0</v>
      </c>
      <c r="U12" s="2858">
        <f>SUM(U13:U14)</f>
        <v>0</v>
      </c>
      <c r="V12" s="2858">
        <f>SUM(V13:V14)</f>
        <v>0</v>
      </c>
      <c r="W12" s="2858">
        <f t="shared" ref="W12:Y12" si="43">SUM(W13:W14)</f>
        <v>0</v>
      </c>
      <c r="X12" s="2858">
        <f t="shared" si="43"/>
        <v>0</v>
      </c>
      <c r="Y12" s="2859">
        <f t="shared" si="43"/>
        <v>0</v>
      </c>
      <c r="Z12" s="2860">
        <f>SUM(Z13:Z14)</f>
        <v>0</v>
      </c>
      <c r="AA12" s="2861">
        <f>SUM(AA13:AA14)</f>
        <v>0</v>
      </c>
      <c r="AB12" s="2858">
        <f>SUM(AB13:AB14)</f>
        <v>0</v>
      </c>
      <c r="AC12" s="2858">
        <f>SUM(AC13:AC14)</f>
        <v>0</v>
      </c>
      <c r="AD12" s="2858">
        <f t="shared" ref="AD12:AF12" si="44">SUM(AD13:AD14)</f>
        <v>0</v>
      </c>
      <c r="AE12" s="2858">
        <f t="shared" si="44"/>
        <v>0</v>
      </c>
      <c r="AF12" s="2859">
        <f t="shared" si="44"/>
        <v>0</v>
      </c>
      <c r="AG12" s="2860">
        <f>SUM(AG13:AG14)</f>
        <v>0</v>
      </c>
      <c r="AH12" s="2861">
        <f>SUM(AH13:AH14)</f>
        <v>0</v>
      </c>
      <c r="AI12" s="2858">
        <f>SUM(AI13:AI14)</f>
        <v>0</v>
      </c>
      <c r="AJ12" s="2858">
        <f>SUM(AJ13:AJ14)</f>
        <v>0</v>
      </c>
      <c r="AK12" s="2858">
        <f t="shared" ref="AK12:AM12" si="45">SUM(AK13:AK14)</f>
        <v>0</v>
      </c>
      <c r="AL12" s="2858">
        <f t="shared" si="45"/>
        <v>0</v>
      </c>
      <c r="AM12" s="2859">
        <f t="shared" si="45"/>
        <v>0</v>
      </c>
      <c r="AN12" s="2860">
        <f>SUM(AN13:AN14)</f>
        <v>0</v>
      </c>
      <c r="AO12" s="2857">
        <f>SUM(AO13:AO14)</f>
        <v>0</v>
      </c>
      <c r="AP12" s="2858">
        <f>SUM(AP13:AP14)</f>
        <v>0</v>
      </c>
      <c r="AQ12" s="2858">
        <f>SUM(AQ13:AQ14)</f>
        <v>0</v>
      </c>
      <c r="AR12" s="2858">
        <f t="shared" ref="AR12:AT12" si="46">SUM(AR13:AR14)</f>
        <v>0</v>
      </c>
      <c r="AS12" s="2858">
        <f t="shared" si="46"/>
        <v>0</v>
      </c>
      <c r="AT12" s="2859">
        <f t="shared" si="46"/>
        <v>0</v>
      </c>
      <c r="AU12" s="4775"/>
      <c r="AV12" s="4794">
        <f t="shared" ref="AV12:AV75" si="47">IFERROR(E12/$D$1,0)</f>
        <v>0</v>
      </c>
      <c r="AW12" s="4794">
        <f t="shared" ref="AW12:AW75" si="48">IFERROR(F12/$D$1,0)</f>
        <v>0</v>
      </c>
      <c r="AX12" s="4794">
        <f t="shared" ref="AX12:AX75" si="49">IFERROR(G12/$D$1,0)</f>
        <v>0</v>
      </c>
      <c r="AY12" s="4794">
        <f t="shared" ref="AY12:AY75" si="50">IFERROR(H12/$D$1,0)</f>
        <v>0</v>
      </c>
      <c r="AZ12" s="4794">
        <f t="shared" ref="AZ12:AZ75" si="51">IFERROR(I12/$D$1,0)</f>
        <v>0</v>
      </c>
      <c r="BA12" s="4794">
        <f t="shared" ref="BA12:BA75" si="52">IFERROR(J12/$D$1,0)</f>
        <v>0</v>
      </c>
      <c r="BB12" s="4794">
        <f t="shared" ref="BB12:BB75" si="53">IFERROR(K12/$D$1,0)</f>
        <v>0</v>
      </c>
      <c r="BC12" s="4794">
        <f t="shared" ref="BC12:BC75" si="54">IFERROR(L12/$D$1,0)</f>
        <v>0</v>
      </c>
      <c r="BD12" s="4794">
        <f t="shared" ref="BD12:BD75" si="55">IFERROR(M12/$D$1,0)</f>
        <v>0</v>
      </c>
      <c r="BE12" s="4794">
        <f t="shared" ref="BE12:BE75" si="56">IFERROR(N12/$D$1,0)</f>
        <v>0</v>
      </c>
      <c r="BF12" s="4794">
        <f t="shared" ref="BF12:BF75" si="57">IFERROR(O12/$D$1,0)</f>
        <v>0</v>
      </c>
      <c r="BG12" s="4794">
        <f t="shared" ref="BG12:BG75" si="58">IFERROR(P12/$D$1,0)</f>
        <v>0</v>
      </c>
      <c r="BH12" s="4794">
        <f t="shared" ref="BH12:BH75" si="59">IFERROR(Q12/$D$1,0)</f>
        <v>0</v>
      </c>
      <c r="BI12" s="4794">
        <f t="shared" ref="BI12:BI75" si="60">IFERROR(R12/$D$1,0)</f>
        <v>0</v>
      </c>
      <c r="BJ12" s="4794">
        <f t="shared" ref="BJ12:BJ75" si="61">IFERROR(S12/$D$1,0)</f>
        <v>0</v>
      </c>
      <c r="BK12" s="4794">
        <f t="shared" ref="BK12:BK75" si="62">IFERROR(T12/$D$1,0)</f>
        <v>0</v>
      </c>
      <c r="BL12" s="4794">
        <f t="shared" ref="BL12:BL75" si="63">IFERROR(U12/$D$1,0)</f>
        <v>0</v>
      </c>
      <c r="BM12" s="4794">
        <f t="shared" ref="BM12:BM75" si="64">IFERROR(V12/$D$1,0)</f>
        <v>0</v>
      </c>
      <c r="BN12" s="4794">
        <f t="shared" ref="BN12:BN75" si="65">IFERROR(W12/$D$1,0)</f>
        <v>0</v>
      </c>
      <c r="BO12" s="4794">
        <f t="shared" ref="BO12:BO75" si="66">IFERROR(X12/$D$1,0)</f>
        <v>0</v>
      </c>
      <c r="BP12" s="4794">
        <f t="shared" ref="BP12:BP75" si="67">IFERROR(Y12/$D$1,0)</f>
        <v>0</v>
      </c>
      <c r="BQ12" s="4794">
        <f t="shared" ref="BQ12:BQ75" si="68">IFERROR(Z12/$D$1,0)</f>
        <v>0</v>
      </c>
      <c r="BR12" s="4794">
        <f t="shared" ref="BR12:BR75" si="69">IFERROR(AA12/$D$1,0)</f>
        <v>0</v>
      </c>
      <c r="BS12" s="4794">
        <f t="shared" ref="BS12:BS75" si="70">IFERROR(AB12/$D$1,0)</f>
        <v>0</v>
      </c>
      <c r="BT12" s="4794">
        <f t="shared" ref="BT12:BT75" si="71">IFERROR(AC12/$D$1,0)</f>
        <v>0</v>
      </c>
      <c r="BU12" s="4794">
        <f t="shared" ref="BU12:BU75" si="72">IFERROR(AD12/$D$1,0)</f>
        <v>0</v>
      </c>
      <c r="BV12" s="4794">
        <f t="shared" ref="BV12:BV75" si="73">IFERROR(AE12/$D$1,0)</f>
        <v>0</v>
      </c>
      <c r="BW12" s="4794">
        <f t="shared" ref="BW12:BW75" si="74">IFERROR(AF12/$D$1,0)</f>
        <v>0</v>
      </c>
      <c r="BX12" s="4794">
        <f t="shared" ref="BX12:BX75" si="75">IFERROR(AG12/$D$1,0)</f>
        <v>0</v>
      </c>
      <c r="BY12" s="4794">
        <f t="shared" ref="BY12:BY75" si="76">IFERROR(AH12/$D$1,0)</f>
        <v>0</v>
      </c>
      <c r="BZ12" s="4794">
        <f t="shared" ref="BZ12:BZ75" si="77">IFERROR(AI12/$D$1,0)</f>
        <v>0</v>
      </c>
      <c r="CA12" s="4794">
        <f t="shared" ref="CA12:CA75" si="78">IFERROR(AJ12/$D$1,0)</f>
        <v>0</v>
      </c>
      <c r="CB12" s="4794">
        <f t="shared" ref="CB12:CB75" si="79">IFERROR(AK12/$D$1,0)</f>
        <v>0</v>
      </c>
      <c r="CC12" s="4794">
        <f t="shared" ref="CC12:CC75" si="80">IFERROR(AL12/$D$1,0)</f>
        <v>0</v>
      </c>
      <c r="CD12" s="4794">
        <f t="shared" ref="CD12:CD75" si="81">IFERROR(AM12/$D$1,0)</f>
        <v>0</v>
      </c>
      <c r="CE12" s="4794">
        <f t="shared" ref="CE12:CE75" si="82">IFERROR(AN12/$D$1,0)</f>
        <v>0</v>
      </c>
      <c r="CF12" s="4794">
        <f t="shared" ref="CF12:CF75" si="83">IFERROR(AO12/$D$1,0)</f>
        <v>0</v>
      </c>
      <c r="CG12" s="4794">
        <f t="shared" ref="CG12:CG75" si="84">IFERROR(AP12/$D$1,0)</f>
        <v>0</v>
      </c>
      <c r="CH12" s="4794">
        <f t="shared" ref="CH12:CH75" si="85">IFERROR(AQ12/$D$1,0)</f>
        <v>0</v>
      </c>
      <c r="CI12" s="4794">
        <f t="shared" ref="CI12:CI75" si="86">IFERROR(AR12/$D$1,0)</f>
        <v>0</v>
      </c>
      <c r="CJ12" s="4794">
        <f t="shared" ref="CJ12:CJ75" si="87">IFERROR(AS12/$D$1,0)</f>
        <v>0</v>
      </c>
      <c r="CK12" s="4794">
        <f t="shared" ref="CK12:CK75" si="88">IFERROR(AT12/$D$1,0)</f>
        <v>0</v>
      </c>
    </row>
    <row r="13" spans="1:89" s="42" customFormat="1">
      <c r="A13" s="2862"/>
      <c r="B13" s="3815">
        <v>20101</v>
      </c>
      <c r="C13" s="3798">
        <v>0</v>
      </c>
      <c r="D13" s="2863" t="s">
        <v>556</v>
      </c>
      <c r="E13" s="2864">
        <f>'11.2. ДА за периода'!E13</f>
        <v>0</v>
      </c>
      <c r="F13" s="2792">
        <f>SUMIF('9.Инвестиционна програма'!$B$12:$B$35,$B13,'9.Инвестиционна програма'!H$12:H$35)*$E$6</f>
        <v>0</v>
      </c>
      <c r="G13" s="1243">
        <f>SUMIF('9.Инвестиционна програма'!$B$12:$B$35,$B13,'9.Инвестиционна програма'!I$12:I$35)*$E$6</f>
        <v>0</v>
      </c>
      <c r="H13" s="1243">
        <f>SUMIF('9.Инвестиционна програма'!$B$12:$B$35,$B13,'9.Инвестиционна програма'!J$12:J$35)*$E$6</f>
        <v>0</v>
      </c>
      <c r="I13" s="1243">
        <f>SUMIF('9.Инвестиционна програма'!$B$12:$B$35,$B13,'9.Инвестиционна програма'!K$12:K$35)*$E$6</f>
        <v>0</v>
      </c>
      <c r="J13" s="1243">
        <f>SUMIF('9.Инвестиционна програма'!$B$12:$B$35,$B13,'9.Инвестиционна програма'!L$12:L$35)*$E$6</f>
        <v>0</v>
      </c>
      <c r="K13" s="1248">
        <f>SUMIF('9.Инвестиционна програма'!$B$12:$B$35,$B13,'9.Инвестиционна програма'!M$12:M$35)*$E$6</f>
        <v>0</v>
      </c>
      <c r="L13" s="2864">
        <f>'11.2. ДА за периода'!L13</f>
        <v>0</v>
      </c>
      <c r="M13" s="1247">
        <f>SUMIF('9.Инвестиционна програма'!$B$37:$B$47,$B13,'9.Инвестиционна програма'!H$37:H$47)*$E$6</f>
        <v>0</v>
      </c>
      <c r="N13" s="1243">
        <f>SUMIF('9.Инвестиционна програма'!$B$37:$B$47,$B13,'9.Инвестиционна програма'!I$37:I$47)*$E$6</f>
        <v>0</v>
      </c>
      <c r="O13" s="1243">
        <f>SUMIF('9.Инвестиционна програма'!$B$37:$B$47,$B13,'9.Инвестиционна програма'!J$37:J$47)*$E$6</f>
        <v>0</v>
      </c>
      <c r="P13" s="1243">
        <f>SUMIF('9.Инвестиционна програма'!$B$37:$B$47,$B13,'9.Инвестиционна програма'!K$37:K$47)*$E$6</f>
        <v>0</v>
      </c>
      <c r="Q13" s="1243">
        <f>SUMIF('9.Инвестиционна програма'!$B$37:$B$47,$B13,'9.Инвестиционна програма'!L$37:L$47)*$E$6</f>
        <v>0</v>
      </c>
      <c r="R13" s="1248">
        <f>SUMIF('9.Инвестиционна програма'!$B$37:$B$47,$B13,'9.Инвестиционна програма'!M$37:M$47)*$E$6</f>
        <v>0</v>
      </c>
      <c r="S13" s="1132">
        <f>'11.2. ДА за периода'!S13</f>
        <v>0</v>
      </c>
      <c r="T13" s="925">
        <f>SUMIF('9.Инвестиционна програма'!$B$49:$B$56,$B13,'9.Инвестиционна програма'!H$49:H$56)*$E$6</f>
        <v>0</v>
      </c>
      <c r="U13" s="925">
        <f>SUMIF('9.Инвестиционна програма'!$B$49:$B$56,$B13,'9.Инвестиционна програма'!I$49:I$56)*$E$6</f>
        <v>0</v>
      </c>
      <c r="V13" s="925">
        <f>SUMIF('9.Инвестиционна програма'!$B$49:$B$56,$B13,'9.Инвестиционна програма'!J$49:J$56)*$E$6</f>
        <v>0</v>
      </c>
      <c r="W13" s="925">
        <f>SUMIF('9.Инвестиционна програма'!$B$49:$B$56,$B13,'9.Инвестиционна програма'!K$49:K$56)*$E$6</f>
        <v>0</v>
      </c>
      <c r="X13" s="925">
        <f>SUMIF('9.Инвестиционна програма'!$B$49:$B$56,$B13,'9.Инвестиционна програма'!L$49:L$56)*$E$6</f>
        <v>0</v>
      </c>
      <c r="Y13" s="2865">
        <f>SUMIF('9.Инвестиционна програма'!$B$49:$B$56,$B13,'9.Инвестиционна програма'!M$49:M$56)*$E$6</f>
        <v>0</v>
      </c>
      <c r="Z13" s="1132">
        <f>'11.2. ДА за периода'!Z13</f>
        <v>0</v>
      </c>
      <c r="AA13" s="2866">
        <f>SUMIF('9.Инвестиционна програма'!$B$74:$B$97,$B13,'9.Инвестиционна програма'!H$74:H$97)*$E$6</f>
        <v>0</v>
      </c>
      <c r="AB13" s="925">
        <f>SUMIF('9.Инвестиционна програма'!$B$74:$B$97,$B13,'9.Инвестиционна програма'!I$74:I$97)*$E$6</f>
        <v>0</v>
      </c>
      <c r="AC13" s="925">
        <f>SUMIF('9.Инвестиционна програма'!$B$74:$B$97,$B13,'9.Инвестиционна програма'!J$74:J$97)*$E$6</f>
        <v>0</v>
      </c>
      <c r="AD13" s="925">
        <f>SUMIF('9.Инвестиционна програма'!$B$74:$B$97,$B13,'9.Инвестиционна програма'!K$74:K$97)*$E$6</f>
        <v>0</v>
      </c>
      <c r="AE13" s="925">
        <f>SUMIF('9.Инвестиционна програма'!$B$74:$B$97,$B13,'9.Инвестиционна програма'!L$74:L$97)*$E$6</f>
        <v>0</v>
      </c>
      <c r="AF13" s="925">
        <f>SUMIF('9.Инвестиционна програма'!$B$74:$B$97,$B13,'9.Инвестиционна програма'!M$74:M$97)*$E$6</f>
        <v>0</v>
      </c>
      <c r="AG13" s="1132">
        <f>'11.2. ДА за периода'!AG13</f>
        <v>0</v>
      </c>
      <c r="AH13" s="925">
        <f>SUMIF('9.Инвестиционна програма'!$B$100:$B$123,$B13,'9.Инвестиционна програма'!H$100:H$123)*$E$6</f>
        <v>0</v>
      </c>
      <c r="AI13" s="925">
        <f>SUMIF('9.Инвестиционна програма'!$B$100:$B$123,$B13,'9.Инвестиционна програма'!I$100:I$123)*$E$6</f>
        <v>0</v>
      </c>
      <c r="AJ13" s="925">
        <f>SUMIF('9.Инвестиционна програма'!$B$100:$B$123,$B13,'9.Инвестиционна програма'!J$100:J$123)*$E$6</f>
        <v>0</v>
      </c>
      <c r="AK13" s="925">
        <f>SUMIF('9.Инвестиционна програма'!$B$100:$B$123,$B13,'9.Инвестиционна програма'!K$100:K$123)*$E$6</f>
        <v>0</v>
      </c>
      <c r="AL13" s="925">
        <f>SUMIF('9.Инвестиционна програма'!$B$100:$B$123,$B13,'9.Инвестиционна програма'!L$100:L$123)*$E$6</f>
        <v>0</v>
      </c>
      <c r="AM13" s="925">
        <f>SUMIF('9.Инвестиционна програма'!$B$100:$B$123,$B13,'9.Инвестиционна програма'!M$100:M$123)*$E$6</f>
        <v>0</v>
      </c>
      <c r="AN13" s="1132">
        <f>'11.2. ДА за периода'!AN13</f>
        <v>0</v>
      </c>
      <c r="AO13" s="1247">
        <f>(SUMIF('9.Инвестиционна програма'!$B$58:$B$59,$B13,'9.Инвестиционна програма'!H$58:H$59)+SUMIF('9.Инвестиционна програма'!$B$61:$B$71,$B13,'9.Инвестиционна програма'!H$61:H$71))*$E$6</f>
        <v>0</v>
      </c>
      <c r="AP13" s="927">
        <f>(SUMIF('9.Инвестиционна програма'!$B$58:$B$59,$B13,'9.Инвестиционна програма'!I$58:I$59)+SUMIF('9.Инвестиционна програма'!$B$61:$B$71,$B13,'9.Инвестиционна програма'!I$61:I$71))*$E$6</f>
        <v>0</v>
      </c>
      <c r="AQ13" s="927">
        <f>(SUMIF('9.Инвестиционна програма'!$B$58:$B$59,$B13,'9.Инвестиционна програма'!J$58:J$59)+SUMIF('9.Инвестиционна програма'!$B$61:$B$71,$B13,'9.Инвестиционна програма'!J$61:J$71))*$E$6</f>
        <v>0</v>
      </c>
      <c r="AR13" s="927">
        <f>(SUMIF('9.Инвестиционна програма'!$B$58:$B$59,$B13,'9.Инвестиционна програма'!K$58:K$59)+SUMIF('9.Инвестиционна програма'!$B$61:$B$71,$B13,'9.Инвестиционна програма'!K$61:K$71))*$E$6</f>
        <v>0</v>
      </c>
      <c r="AS13" s="927">
        <f>(SUMIF('9.Инвестиционна програма'!$B$58:$B$59,$B13,'9.Инвестиционна програма'!L$58:L$59)+SUMIF('9.Инвестиционна програма'!$B$61:$B$71,$B13,'9.Инвестиционна програма'!L$61:L$71))*$E$6</f>
        <v>0</v>
      </c>
      <c r="AT13" s="2867">
        <f>(SUMIF('9.Инвестиционна програма'!$B$58:$B$59,$B13,'9.Инвестиционна програма'!M$58:M$59)+SUMIF('9.Инвестиционна програма'!$B$61:$B$71,$B13,'9.Инвестиционна програма'!M$61:M$71))*$E$6</f>
        <v>0</v>
      </c>
      <c r="AU13" s="4775"/>
      <c r="AV13" s="4794">
        <f t="shared" si="47"/>
        <v>0</v>
      </c>
      <c r="AW13" s="4794">
        <f t="shared" si="48"/>
        <v>0</v>
      </c>
      <c r="AX13" s="4794">
        <f t="shared" si="49"/>
        <v>0</v>
      </c>
      <c r="AY13" s="4794">
        <f t="shared" si="50"/>
        <v>0</v>
      </c>
      <c r="AZ13" s="4794">
        <f t="shared" si="51"/>
        <v>0</v>
      </c>
      <c r="BA13" s="4794">
        <f t="shared" si="52"/>
        <v>0</v>
      </c>
      <c r="BB13" s="4794">
        <f t="shared" si="53"/>
        <v>0</v>
      </c>
      <c r="BC13" s="4794">
        <f t="shared" si="54"/>
        <v>0</v>
      </c>
      <c r="BD13" s="4794">
        <f t="shared" si="55"/>
        <v>0</v>
      </c>
      <c r="BE13" s="4794">
        <f t="shared" si="56"/>
        <v>0</v>
      </c>
      <c r="BF13" s="4794">
        <f t="shared" si="57"/>
        <v>0</v>
      </c>
      <c r="BG13" s="4794">
        <f t="shared" si="58"/>
        <v>0</v>
      </c>
      <c r="BH13" s="4794">
        <f t="shared" si="59"/>
        <v>0</v>
      </c>
      <c r="BI13" s="4794">
        <f t="shared" si="60"/>
        <v>0</v>
      </c>
      <c r="BJ13" s="4794">
        <f t="shared" si="61"/>
        <v>0</v>
      </c>
      <c r="BK13" s="4794">
        <f t="shared" si="62"/>
        <v>0</v>
      </c>
      <c r="BL13" s="4794">
        <f t="shared" si="63"/>
        <v>0</v>
      </c>
      <c r="BM13" s="4794">
        <f t="shared" si="64"/>
        <v>0</v>
      </c>
      <c r="BN13" s="4794">
        <f t="shared" si="65"/>
        <v>0</v>
      </c>
      <c r="BO13" s="4794">
        <f t="shared" si="66"/>
        <v>0</v>
      </c>
      <c r="BP13" s="4794">
        <f t="shared" si="67"/>
        <v>0</v>
      </c>
      <c r="BQ13" s="4794">
        <f t="shared" si="68"/>
        <v>0</v>
      </c>
      <c r="BR13" s="4794">
        <f t="shared" si="69"/>
        <v>0</v>
      </c>
      <c r="BS13" s="4794">
        <f t="shared" si="70"/>
        <v>0</v>
      </c>
      <c r="BT13" s="4794">
        <f t="shared" si="71"/>
        <v>0</v>
      </c>
      <c r="BU13" s="4794">
        <f t="shared" si="72"/>
        <v>0</v>
      </c>
      <c r="BV13" s="4794">
        <f t="shared" si="73"/>
        <v>0</v>
      </c>
      <c r="BW13" s="4794">
        <f t="shared" si="74"/>
        <v>0</v>
      </c>
      <c r="BX13" s="4794">
        <f t="shared" si="75"/>
        <v>0</v>
      </c>
      <c r="BY13" s="4794">
        <f t="shared" si="76"/>
        <v>0</v>
      </c>
      <c r="BZ13" s="4794">
        <f t="shared" si="77"/>
        <v>0</v>
      </c>
      <c r="CA13" s="4794">
        <f t="shared" si="78"/>
        <v>0</v>
      </c>
      <c r="CB13" s="4794">
        <f t="shared" si="79"/>
        <v>0</v>
      </c>
      <c r="CC13" s="4794">
        <f t="shared" si="80"/>
        <v>0</v>
      </c>
      <c r="CD13" s="4794">
        <f t="shared" si="81"/>
        <v>0</v>
      </c>
      <c r="CE13" s="4794">
        <f t="shared" si="82"/>
        <v>0</v>
      </c>
      <c r="CF13" s="4794">
        <f t="shared" si="83"/>
        <v>0</v>
      </c>
      <c r="CG13" s="4794">
        <f t="shared" si="84"/>
        <v>0</v>
      </c>
      <c r="CH13" s="4794">
        <f t="shared" si="85"/>
        <v>0</v>
      </c>
      <c r="CI13" s="4794">
        <f t="shared" si="86"/>
        <v>0</v>
      </c>
      <c r="CJ13" s="4794">
        <f t="shared" si="87"/>
        <v>0</v>
      </c>
      <c r="CK13" s="4794">
        <f t="shared" si="88"/>
        <v>0</v>
      </c>
    </row>
    <row r="14" spans="1:89" s="42" customFormat="1">
      <c r="A14" s="2862"/>
      <c r="B14" s="3816">
        <v>20102</v>
      </c>
      <c r="C14" s="3799">
        <v>0</v>
      </c>
      <c r="D14" s="2868" t="s">
        <v>558</v>
      </c>
      <c r="E14" s="2864">
        <f>'11.2. ДА за периода'!E14</f>
        <v>0</v>
      </c>
      <c r="F14" s="1247">
        <f>SUMIF('9.Инвестиционна програма'!$B$12:$B$35,$B14,'9.Инвестиционна програма'!H$12:H$35)*$E$6</f>
        <v>0</v>
      </c>
      <c r="G14" s="1243">
        <f>SUMIF('9.Инвестиционна програма'!$B$12:$B$35,$B14,'9.Инвестиционна програма'!I$12:I$35)*$E$6</f>
        <v>0</v>
      </c>
      <c r="H14" s="1243">
        <f>SUMIF('9.Инвестиционна програма'!$B$12:$B$35,$B14,'9.Инвестиционна програма'!J$12:J$35)*$E$6</f>
        <v>0</v>
      </c>
      <c r="I14" s="1243">
        <f>SUMIF('9.Инвестиционна програма'!$B$12:$B$35,$B14,'9.Инвестиционна програма'!K$12:K$35)*$E$6</f>
        <v>0</v>
      </c>
      <c r="J14" s="1243">
        <f>SUMIF('9.Инвестиционна програма'!$B$12:$B$35,$B14,'9.Инвестиционна програма'!L$12:L$35)*$E$6</f>
        <v>0</v>
      </c>
      <c r="K14" s="1248">
        <f>SUMIF('9.Инвестиционна програма'!$B$12:$B$35,$B14,'9.Инвестиционна програма'!M$12:M$35)*$E$6</f>
        <v>0</v>
      </c>
      <c r="L14" s="2864">
        <f>'11.2. ДА за периода'!L14</f>
        <v>0</v>
      </c>
      <c r="M14" s="1251">
        <f>SUMIF('9.Инвестиционна програма'!$B$37:$B$47,$B14,'9.Инвестиционна програма'!H$37:H$47)*$E$6</f>
        <v>0</v>
      </c>
      <c r="N14" s="1245">
        <f>SUMIF('9.Инвестиционна програма'!$B$37:$B$47,$B14,'9.Инвестиционна програма'!I$37:I$47)*$E$6</f>
        <v>0</v>
      </c>
      <c r="O14" s="1245">
        <f>SUMIF('9.Инвестиционна програма'!$B$37:$B$47,$B14,'9.Инвестиционна програма'!J$37:J$47)*$E$6</f>
        <v>0</v>
      </c>
      <c r="P14" s="1245">
        <f>SUMIF('9.Инвестиционна програма'!$B$37:$B$47,$B14,'9.Инвестиционна програма'!K$37:K$47)*$E$6</f>
        <v>0</v>
      </c>
      <c r="Q14" s="1245">
        <f>SUMIF('9.Инвестиционна програма'!$B$37:$B$47,$B14,'9.Инвестиционна програма'!L$37:L$47)*$E$6</f>
        <v>0</v>
      </c>
      <c r="R14" s="1246">
        <f>SUMIF('9.Инвестиционна програма'!$B$37:$B$47,$B14,'9.Инвестиционна програма'!M$37:M$47)*$E$6</f>
        <v>0</v>
      </c>
      <c r="S14" s="1132">
        <f>'11.2. ДА за периода'!S14</f>
        <v>0</v>
      </c>
      <c r="T14" s="925">
        <f>SUMIF('9.Инвестиционна програма'!$B$49:$B$56,$B14,'9.Инвестиционна програма'!H$49:H$56)*$E$6</f>
        <v>0</v>
      </c>
      <c r="U14" s="925">
        <f>SUMIF('9.Инвестиционна програма'!$B$49:$B$56,$B14,'9.Инвестиционна програма'!I$49:I$56)*$E$6</f>
        <v>0</v>
      </c>
      <c r="V14" s="925">
        <f>SUMIF('9.Инвестиционна програма'!$B$49:$B$56,$B14,'9.Инвестиционна програма'!J$49:J$56)*$E$6</f>
        <v>0</v>
      </c>
      <c r="W14" s="925">
        <f>SUMIF('9.Инвестиционна програма'!$B$49:$B$56,$B14,'9.Инвестиционна програма'!K$49:K$56)*$E$6</f>
        <v>0</v>
      </c>
      <c r="X14" s="925">
        <f>SUMIF('9.Инвестиционна програма'!$B$49:$B$56,$B14,'9.Инвестиционна програма'!L$49:L$56)*$E$6</f>
        <v>0</v>
      </c>
      <c r="Y14" s="2865">
        <f>SUMIF('9.Инвестиционна програма'!$B$49:$B$56,$B14,'9.Инвестиционна програма'!M$49:M$56)*$E$6</f>
        <v>0</v>
      </c>
      <c r="Z14" s="1132">
        <f>'11.2. ДА за периода'!Z14</f>
        <v>0</v>
      </c>
      <c r="AA14" s="925">
        <f>SUMIF('9.Инвестиционна програма'!$B$74:$B$97,$B14,'9.Инвестиционна програма'!H$74:H$97)*$E$6</f>
        <v>0</v>
      </c>
      <c r="AB14" s="925">
        <f>SUMIF('9.Инвестиционна програма'!$B$74:$B$97,$B14,'9.Инвестиционна програма'!I$74:I$97)*$E$6</f>
        <v>0</v>
      </c>
      <c r="AC14" s="925">
        <f>SUMIF('9.Инвестиционна програма'!$B$74:$B$97,$B14,'9.Инвестиционна програма'!J$74:J$97)*$E$6</f>
        <v>0</v>
      </c>
      <c r="AD14" s="925">
        <f>SUMIF('9.Инвестиционна програма'!$B$74:$B$97,$B14,'9.Инвестиционна програма'!K$74:K$97)*$E$6</f>
        <v>0</v>
      </c>
      <c r="AE14" s="925">
        <f>SUMIF('9.Инвестиционна програма'!$B$74:$B$97,$B14,'9.Инвестиционна програма'!L$74:L$97)*$E$6</f>
        <v>0</v>
      </c>
      <c r="AF14" s="925">
        <f>SUMIF('9.Инвестиционна програма'!$B$74:$B$97,$B14,'9.Инвестиционна програма'!M$74:M$97)*$E$6</f>
        <v>0</v>
      </c>
      <c r="AG14" s="1132">
        <f>'11.2. ДА за периода'!AG14</f>
        <v>0</v>
      </c>
      <c r="AH14" s="925">
        <f>SUMIF('9.Инвестиционна програма'!$B$100:$B$123,$B14,'9.Инвестиционна програма'!H$100:H$123)*$E$6</f>
        <v>0</v>
      </c>
      <c r="AI14" s="925">
        <f>SUMIF('9.Инвестиционна програма'!$B$100:$B$123,$B14,'9.Инвестиционна програма'!I$100:I$123)*$E$6</f>
        <v>0</v>
      </c>
      <c r="AJ14" s="925">
        <f>SUMIF('9.Инвестиционна програма'!$B$100:$B$123,$B14,'9.Инвестиционна програма'!J$100:J$123)*$E$6</f>
        <v>0</v>
      </c>
      <c r="AK14" s="925">
        <f>SUMIF('9.Инвестиционна програма'!$B$100:$B$123,$B14,'9.Инвестиционна програма'!K$100:K$123)*$E$6</f>
        <v>0</v>
      </c>
      <c r="AL14" s="925">
        <f>SUMIF('9.Инвестиционна програма'!$B$100:$B$123,$B14,'9.Инвестиционна програма'!L$100:L$123)*$E$6</f>
        <v>0</v>
      </c>
      <c r="AM14" s="925">
        <f>SUMIF('9.Инвестиционна програма'!$B$100:$B$123,$B14,'9.Инвестиционна програма'!M$100:M$123)*$E$6</f>
        <v>0</v>
      </c>
      <c r="AN14" s="1132">
        <f>'11.2. ДА за периода'!AN14</f>
        <v>0</v>
      </c>
      <c r="AO14" s="1251">
        <f>(SUMIF('9.Инвестиционна програма'!$B$58:$B$59,$B14,'9.Инвестиционна програма'!H$58:H$59)+SUMIF('9.Инвестиционна програма'!$B$61:$B$71,$B14,'9.Инвестиционна програма'!H$61:H$71))*$E$6</f>
        <v>0</v>
      </c>
      <c r="AP14" s="925">
        <f>(SUMIF('9.Инвестиционна програма'!$B$58:$B$59,$B14,'9.Инвестиционна програма'!I$58:I$59)+SUMIF('9.Инвестиционна програма'!$B$61:$B$71,$B14,'9.Инвестиционна програма'!I$61:I$71))*$E$6</f>
        <v>0</v>
      </c>
      <c r="AQ14" s="925">
        <f>(SUMIF('9.Инвестиционна програма'!$B$58:$B$59,$B14,'9.Инвестиционна програма'!J$58:J$59)+SUMIF('9.Инвестиционна програма'!$B$61:$B$71,$B14,'9.Инвестиционна програма'!J$61:J$71))*$E$6</f>
        <v>0</v>
      </c>
      <c r="AR14" s="925">
        <f>(SUMIF('9.Инвестиционна програма'!$B$58:$B$59,$B14,'9.Инвестиционна програма'!K$58:K$59)+SUMIF('9.Инвестиционна програма'!$B$61:$B$71,$B14,'9.Инвестиционна програма'!K$61:K$71))*$E$6</f>
        <v>0</v>
      </c>
      <c r="AS14" s="925">
        <f>(SUMIF('9.Инвестиционна програма'!$B$58:$B$59,$B14,'9.Инвестиционна програма'!L$58:L$59)+SUMIF('9.Инвестиционна програма'!$B$61:$B$71,$B14,'9.Инвестиционна програма'!L$61:L$71))*$E$6</f>
        <v>0</v>
      </c>
      <c r="AT14" s="2865">
        <f>(SUMIF('9.Инвестиционна програма'!$B$58:$B$59,$B14,'9.Инвестиционна програма'!M$58:M$59)+SUMIF('9.Инвестиционна програма'!$B$61:$B$71,$B14,'9.Инвестиционна програма'!M$61:M$71))*$E$6</f>
        <v>0</v>
      </c>
      <c r="AU14" s="4775"/>
      <c r="AV14" s="4794">
        <f t="shared" si="47"/>
        <v>0</v>
      </c>
      <c r="AW14" s="4794">
        <f t="shared" si="48"/>
        <v>0</v>
      </c>
      <c r="AX14" s="4794">
        <f t="shared" si="49"/>
        <v>0</v>
      </c>
      <c r="AY14" s="4794">
        <f t="shared" si="50"/>
        <v>0</v>
      </c>
      <c r="AZ14" s="4794">
        <f t="shared" si="51"/>
        <v>0</v>
      </c>
      <c r="BA14" s="4794">
        <f t="shared" si="52"/>
        <v>0</v>
      </c>
      <c r="BB14" s="4794">
        <f t="shared" si="53"/>
        <v>0</v>
      </c>
      <c r="BC14" s="4794">
        <f t="shared" si="54"/>
        <v>0</v>
      </c>
      <c r="BD14" s="4794">
        <f t="shared" si="55"/>
        <v>0</v>
      </c>
      <c r="BE14" s="4794">
        <f t="shared" si="56"/>
        <v>0</v>
      </c>
      <c r="BF14" s="4794">
        <f t="shared" si="57"/>
        <v>0</v>
      </c>
      <c r="BG14" s="4794">
        <f t="shared" si="58"/>
        <v>0</v>
      </c>
      <c r="BH14" s="4794">
        <f t="shared" si="59"/>
        <v>0</v>
      </c>
      <c r="BI14" s="4794">
        <f t="shared" si="60"/>
        <v>0</v>
      </c>
      <c r="BJ14" s="4794">
        <f t="shared" si="61"/>
        <v>0</v>
      </c>
      <c r="BK14" s="4794">
        <f t="shared" si="62"/>
        <v>0</v>
      </c>
      <c r="BL14" s="4794">
        <f t="shared" si="63"/>
        <v>0</v>
      </c>
      <c r="BM14" s="4794">
        <f t="shared" si="64"/>
        <v>0</v>
      </c>
      <c r="BN14" s="4794">
        <f t="shared" si="65"/>
        <v>0</v>
      </c>
      <c r="BO14" s="4794">
        <f t="shared" si="66"/>
        <v>0</v>
      </c>
      <c r="BP14" s="4794">
        <f t="shared" si="67"/>
        <v>0</v>
      </c>
      <c r="BQ14" s="4794">
        <f t="shared" si="68"/>
        <v>0</v>
      </c>
      <c r="BR14" s="4794">
        <f t="shared" si="69"/>
        <v>0</v>
      </c>
      <c r="BS14" s="4794">
        <f t="shared" si="70"/>
        <v>0</v>
      </c>
      <c r="BT14" s="4794">
        <f t="shared" si="71"/>
        <v>0</v>
      </c>
      <c r="BU14" s="4794">
        <f t="shared" si="72"/>
        <v>0</v>
      </c>
      <c r="BV14" s="4794">
        <f t="shared" si="73"/>
        <v>0</v>
      </c>
      <c r="BW14" s="4794">
        <f t="shared" si="74"/>
        <v>0</v>
      </c>
      <c r="BX14" s="4794">
        <f t="shared" si="75"/>
        <v>0</v>
      </c>
      <c r="BY14" s="4794">
        <f t="shared" si="76"/>
        <v>0</v>
      </c>
      <c r="BZ14" s="4794">
        <f t="shared" si="77"/>
        <v>0</v>
      </c>
      <c r="CA14" s="4794">
        <f t="shared" si="78"/>
        <v>0</v>
      </c>
      <c r="CB14" s="4794">
        <f t="shared" si="79"/>
        <v>0</v>
      </c>
      <c r="CC14" s="4794">
        <f t="shared" si="80"/>
        <v>0</v>
      </c>
      <c r="CD14" s="4794">
        <f t="shared" si="81"/>
        <v>0</v>
      </c>
      <c r="CE14" s="4794">
        <f t="shared" si="82"/>
        <v>0</v>
      </c>
      <c r="CF14" s="4794">
        <f t="shared" si="83"/>
        <v>0</v>
      </c>
      <c r="CG14" s="4794">
        <f t="shared" si="84"/>
        <v>0</v>
      </c>
      <c r="CH14" s="4794">
        <f t="shared" si="85"/>
        <v>0</v>
      </c>
      <c r="CI14" s="4794">
        <f t="shared" si="86"/>
        <v>0</v>
      </c>
      <c r="CJ14" s="4794">
        <f t="shared" si="87"/>
        <v>0</v>
      </c>
      <c r="CK14" s="4794">
        <f t="shared" si="88"/>
        <v>0</v>
      </c>
    </row>
    <row r="15" spans="1:89" s="34" customFormat="1">
      <c r="A15" s="2869">
        <v>2</v>
      </c>
      <c r="B15" s="3817">
        <v>202</v>
      </c>
      <c r="C15" s="3800">
        <v>0.03</v>
      </c>
      <c r="D15" s="2870" t="s">
        <v>404</v>
      </c>
      <c r="E15" s="2871">
        <f>SUM(E16:E17)</f>
        <v>0</v>
      </c>
      <c r="F15" s="2872">
        <f>SUM(F16:F17)</f>
        <v>15</v>
      </c>
      <c r="G15" s="2873">
        <f t="shared" ref="G15:AT15" si="89">SUM(G16:G17)</f>
        <v>20</v>
      </c>
      <c r="H15" s="2873">
        <f t="shared" si="89"/>
        <v>20</v>
      </c>
      <c r="I15" s="2873">
        <f t="shared" si="89"/>
        <v>20</v>
      </c>
      <c r="J15" s="2873">
        <f t="shared" si="89"/>
        <v>20</v>
      </c>
      <c r="K15" s="2874">
        <f t="shared" si="89"/>
        <v>20</v>
      </c>
      <c r="L15" s="2871">
        <f t="shared" si="89"/>
        <v>0</v>
      </c>
      <c r="M15" s="2872">
        <f t="shared" si="89"/>
        <v>0</v>
      </c>
      <c r="N15" s="2873">
        <f t="shared" si="89"/>
        <v>0</v>
      </c>
      <c r="O15" s="2873">
        <f t="shared" si="89"/>
        <v>0</v>
      </c>
      <c r="P15" s="2873">
        <f t="shared" si="89"/>
        <v>0</v>
      </c>
      <c r="Q15" s="2873">
        <f t="shared" si="89"/>
        <v>0</v>
      </c>
      <c r="R15" s="2874">
        <f t="shared" si="89"/>
        <v>0</v>
      </c>
      <c r="S15" s="2869">
        <f t="shared" si="89"/>
        <v>0</v>
      </c>
      <c r="T15" s="2875">
        <f t="shared" si="89"/>
        <v>0</v>
      </c>
      <c r="U15" s="2873">
        <f t="shared" si="89"/>
        <v>0</v>
      </c>
      <c r="V15" s="2873">
        <f t="shared" si="89"/>
        <v>0</v>
      </c>
      <c r="W15" s="2873">
        <f t="shared" si="89"/>
        <v>0</v>
      </c>
      <c r="X15" s="2873">
        <f t="shared" si="89"/>
        <v>0</v>
      </c>
      <c r="Y15" s="2874">
        <f t="shared" si="89"/>
        <v>0</v>
      </c>
      <c r="Z15" s="2869">
        <f t="shared" si="89"/>
        <v>0</v>
      </c>
      <c r="AA15" s="2875">
        <f t="shared" si="89"/>
        <v>0</v>
      </c>
      <c r="AB15" s="2873">
        <f t="shared" si="89"/>
        <v>0</v>
      </c>
      <c r="AC15" s="2873">
        <f t="shared" si="89"/>
        <v>0</v>
      </c>
      <c r="AD15" s="2873">
        <f t="shared" si="89"/>
        <v>0</v>
      </c>
      <c r="AE15" s="2873">
        <f t="shared" si="89"/>
        <v>0</v>
      </c>
      <c r="AF15" s="2874">
        <f t="shared" si="89"/>
        <v>0</v>
      </c>
      <c r="AG15" s="2869">
        <f t="shared" si="89"/>
        <v>0</v>
      </c>
      <c r="AH15" s="2875">
        <f t="shared" si="89"/>
        <v>0</v>
      </c>
      <c r="AI15" s="2873">
        <f t="shared" si="89"/>
        <v>0</v>
      </c>
      <c r="AJ15" s="2873">
        <f t="shared" si="89"/>
        <v>0</v>
      </c>
      <c r="AK15" s="2873">
        <f t="shared" si="89"/>
        <v>0</v>
      </c>
      <c r="AL15" s="2873">
        <f t="shared" si="89"/>
        <v>0</v>
      </c>
      <c r="AM15" s="2874">
        <f t="shared" si="89"/>
        <v>0</v>
      </c>
      <c r="AN15" s="2869">
        <f t="shared" si="89"/>
        <v>0</v>
      </c>
      <c r="AO15" s="2875">
        <f t="shared" si="89"/>
        <v>50</v>
      </c>
      <c r="AP15" s="2873">
        <f t="shared" si="89"/>
        <v>70</v>
      </c>
      <c r="AQ15" s="2873">
        <f t="shared" si="89"/>
        <v>50</v>
      </c>
      <c r="AR15" s="2873">
        <f t="shared" si="89"/>
        <v>50</v>
      </c>
      <c r="AS15" s="2873">
        <f t="shared" si="89"/>
        <v>0</v>
      </c>
      <c r="AT15" s="2874">
        <f t="shared" si="89"/>
        <v>50</v>
      </c>
      <c r="AU15" s="4775"/>
      <c r="AV15" s="4794">
        <f t="shared" si="47"/>
        <v>0</v>
      </c>
      <c r="AW15" s="4794">
        <f t="shared" si="48"/>
        <v>7.6693782179432777</v>
      </c>
      <c r="AX15" s="4794">
        <f t="shared" si="49"/>
        <v>10.22583762392437</v>
      </c>
      <c r="AY15" s="4794">
        <f t="shared" si="50"/>
        <v>10.22583762392437</v>
      </c>
      <c r="AZ15" s="4794">
        <f t="shared" si="51"/>
        <v>10.22583762392437</v>
      </c>
      <c r="BA15" s="4794">
        <f t="shared" si="52"/>
        <v>10.22583762392437</v>
      </c>
      <c r="BB15" s="4794">
        <f t="shared" si="53"/>
        <v>10.22583762392437</v>
      </c>
      <c r="BC15" s="4794">
        <f t="shared" si="54"/>
        <v>0</v>
      </c>
      <c r="BD15" s="4794">
        <f t="shared" si="55"/>
        <v>0</v>
      </c>
      <c r="BE15" s="4794">
        <f t="shared" si="56"/>
        <v>0</v>
      </c>
      <c r="BF15" s="4794">
        <f t="shared" si="57"/>
        <v>0</v>
      </c>
      <c r="BG15" s="4794">
        <f t="shared" si="58"/>
        <v>0</v>
      </c>
      <c r="BH15" s="4794">
        <f t="shared" si="59"/>
        <v>0</v>
      </c>
      <c r="BI15" s="4794">
        <f t="shared" si="60"/>
        <v>0</v>
      </c>
      <c r="BJ15" s="4794">
        <f t="shared" si="61"/>
        <v>0</v>
      </c>
      <c r="BK15" s="4794">
        <f t="shared" si="62"/>
        <v>0</v>
      </c>
      <c r="BL15" s="4794">
        <f t="shared" si="63"/>
        <v>0</v>
      </c>
      <c r="BM15" s="4794">
        <f t="shared" si="64"/>
        <v>0</v>
      </c>
      <c r="BN15" s="4794">
        <f t="shared" si="65"/>
        <v>0</v>
      </c>
      <c r="BO15" s="4794">
        <f t="shared" si="66"/>
        <v>0</v>
      </c>
      <c r="BP15" s="4794">
        <f t="shared" si="67"/>
        <v>0</v>
      </c>
      <c r="BQ15" s="4794">
        <f t="shared" si="68"/>
        <v>0</v>
      </c>
      <c r="BR15" s="4794">
        <f t="shared" si="69"/>
        <v>0</v>
      </c>
      <c r="BS15" s="4794">
        <f t="shared" si="70"/>
        <v>0</v>
      </c>
      <c r="BT15" s="4794">
        <f t="shared" si="71"/>
        <v>0</v>
      </c>
      <c r="BU15" s="4794">
        <f t="shared" si="72"/>
        <v>0</v>
      </c>
      <c r="BV15" s="4794">
        <f t="shared" si="73"/>
        <v>0</v>
      </c>
      <c r="BW15" s="4794">
        <f t="shared" si="74"/>
        <v>0</v>
      </c>
      <c r="BX15" s="4794">
        <f t="shared" si="75"/>
        <v>0</v>
      </c>
      <c r="BY15" s="4794">
        <f t="shared" si="76"/>
        <v>0</v>
      </c>
      <c r="BZ15" s="4794">
        <f t="shared" si="77"/>
        <v>0</v>
      </c>
      <c r="CA15" s="4794">
        <f t="shared" si="78"/>
        <v>0</v>
      </c>
      <c r="CB15" s="4794">
        <f t="shared" si="79"/>
        <v>0</v>
      </c>
      <c r="CC15" s="4794">
        <f t="shared" si="80"/>
        <v>0</v>
      </c>
      <c r="CD15" s="4794">
        <f t="shared" si="81"/>
        <v>0</v>
      </c>
      <c r="CE15" s="4794">
        <f t="shared" si="82"/>
        <v>0</v>
      </c>
      <c r="CF15" s="4794">
        <f t="shared" si="83"/>
        <v>25.564594059810926</v>
      </c>
      <c r="CG15" s="4794">
        <f t="shared" si="84"/>
        <v>35.790431683735292</v>
      </c>
      <c r="CH15" s="4794">
        <f t="shared" si="85"/>
        <v>25.564594059810926</v>
      </c>
      <c r="CI15" s="4794">
        <f t="shared" si="86"/>
        <v>25.564594059810926</v>
      </c>
      <c r="CJ15" s="4794">
        <f t="shared" si="87"/>
        <v>0</v>
      </c>
      <c r="CK15" s="4794">
        <f t="shared" si="88"/>
        <v>25.564594059810926</v>
      </c>
    </row>
    <row r="16" spans="1:89">
      <c r="A16" s="2876"/>
      <c r="B16" s="3818">
        <v>20201</v>
      </c>
      <c r="C16" s="3801">
        <v>0.03</v>
      </c>
      <c r="D16" s="2877" t="s">
        <v>425</v>
      </c>
      <c r="E16" s="2864">
        <f>'11.2. ДА за периода'!E16</f>
        <v>0</v>
      </c>
      <c r="F16" s="1247">
        <f>SUMIF('9.Инвестиционна програма'!$B$12:$B$35,$B16,'9.Инвестиционна програма'!H$12:H$35)*$E$6</f>
        <v>0</v>
      </c>
      <c r="G16" s="1243">
        <f>SUMIF('9.Инвестиционна програма'!$B$12:$B$35,$B16,'9.Инвестиционна програма'!I$12:I$35)*$E$6</f>
        <v>0</v>
      </c>
      <c r="H16" s="1243">
        <f>SUMIF('9.Инвестиционна програма'!$B$12:$B$35,$B16,'9.Инвестиционна програма'!J$12:J$35)*$E$6</f>
        <v>0</v>
      </c>
      <c r="I16" s="1243">
        <f>SUMIF('9.Инвестиционна програма'!$B$12:$B$35,$B16,'9.Инвестиционна програма'!K$12:K$35)*$E$6</f>
        <v>0</v>
      </c>
      <c r="J16" s="1243">
        <f>SUMIF('9.Инвестиционна програма'!$B$12:$B$35,$B16,'9.Инвестиционна програма'!L$12:L$35)*$E$6</f>
        <v>0</v>
      </c>
      <c r="K16" s="1248">
        <f>SUMIF('9.Инвестиционна програма'!$B$12:$B$35,$B16,'9.Инвестиционна програма'!M$12:M$35)*$E$6</f>
        <v>0</v>
      </c>
      <c r="L16" s="2864">
        <f>'11.2. ДА за периода'!L16</f>
        <v>0</v>
      </c>
      <c r="M16" s="1251">
        <f>SUMIF('9.Инвестиционна програма'!$B$37:$B$47,$B16,'9.Инвестиционна програма'!H$37:H$47)*$E$6</f>
        <v>0</v>
      </c>
      <c r="N16" s="1245">
        <f>SUMIF('9.Инвестиционна програма'!$B$37:$B$47,$B16,'9.Инвестиционна програма'!I$37:I$47)*$E$6</f>
        <v>0</v>
      </c>
      <c r="O16" s="1245">
        <f>SUMIF('9.Инвестиционна програма'!$B$37:$B$47,$B16,'9.Инвестиционна програма'!J$37:J$47)*$E$6</f>
        <v>0</v>
      </c>
      <c r="P16" s="1245">
        <f>SUMIF('9.Инвестиционна програма'!$B$37:$B$47,$B16,'9.Инвестиционна програма'!K$37:K$47)*$E$6</f>
        <v>0</v>
      </c>
      <c r="Q16" s="1245">
        <f>SUMIF('9.Инвестиционна програма'!$B$37:$B$47,$B16,'9.Инвестиционна програма'!L$37:L$47)*$E$6</f>
        <v>0</v>
      </c>
      <c r="R16" s="1246">
        <f>SUMIF('9.Инвестиционна програма'!$B$37:$B$47,$B16,'9.Инвестиционна програма'!M$37:M$47)*$E$6</f>
        <v>0</v>
      </c>
      <c r="S16" s="1132">
        <f>'11.2. ДА за периода'!S16</f>
        <v>0</v>
      </c>
      <c r="T16" s="925">
        <f>SUMIF('9.Инвестиционна програма'!$B$49:$B$56,$B16,'9.Инвестиционна програма'!H$49:H$56)*$E$6</f>
        <v>0</v>
      </c>
      <c r="U16" s="925">
        <f>SUMIF('9.Инвестиционна програма'!$B$49:$B$56,$B16,'9.Инвестиционна програма'!I$49:I$56)*$E$6</f>
        <v>0</v>
      </c>
      <c r="V16" s="925">
        <f>SUMIF('9.Инвестиционна програма'!$B$49:$B$56,$B16,'9.Инвестиционна програма'!J$49:J$56)*$E$6</f>
        <v>0</v>
      </c>
      <c r="W16" s="925">
        <f>SUMIF('9.Инвестиционна програма'!$B$49:$B$56,$B16,'9.Инвестиционна програма'!K$49:K$56)*$E$6</f>
        <v>0</v>
      </c>
      <c r="X16" s="925">
        <f>SUMIF('9.Инвестиционна програма'!$B$49:$B$56,$B16,'9.Инвестиционна програма'!L$49:L$56)*$E$6</f>
        <v>0</v>
      </c>
      <c r="Y16" s="2865">
        <f>SUMIF('9.Инвестиционна програма'!$B$49:$B$56,$B16,'9.Инвестиционна програма'!M$49:M$56)*$E$6</f>
        <v>0</v>
      </c>
      <c r="Z16" s="1132">
        <f>'11.2. ДА за периода'!Z16</f>
        <v>0</v>
      </c>
      <c r="AA16" s="925">
        <f>SUMIF('9.Инвестиционна програма'!$B$74:$B$97,$B16,'9.Инвестиционна програма'!H$74:H$97)*$E$6</f>
        <v>0</v>
      </c>
      <c r="AB16" s="925">
        <f>SUMIF('9.Инвестиционна програма'!$B$74:$B$97,$B16,'9.Инвестиционна програма'!I$74:I$97)*$E$6</f>
        <v>0</v>
      </c>
      <c r="AC16" s="925">
        <f>SUMIF('9.Инвестиционна програма'!$B$74:$B$97,$B16,'9.Инвестиционна програма'!J$74:J$97)*$E$6</f>
        <v>0</v>
      </c>
      <c r="AD16" s="925">
        <f>SUMIF('9.Инвестиционна програма'!$B$74:$B$97,$B16,'9.Инвестиционна програма'!K$74:K$97)*$E$6</f>
        <v>0</v>
      </c>
      <c r="AE16" s="925">
        <f>SUMIF('9.Инвестиционна програма'!$B$74:$B$97,$B16,'9.Инвестиционна програма'!L$74:L$97)*$E$6</f>
        <v>0</v>
      </c>
      <c r="AF16" s="925">
        <f>SUMIF('9.Инвестиционна програма'!$B$74:$B$97,$B16,'9.Инвестиционна програма'!M$74:M$97)*$E$6</f>
        <v>0</v>
      </c>
      <c r="AG16" s="1132">
        <f>'11.2. ДА за периода'!AG16</f>
        <v>0</v>
      </c>
      <c r="AH16" s="925">
        <f>SUMIF('9.Инвестиционна програма'!$B$100:$B$123,$B16,'9.Инвестиционна програма'!H$100:H$123)*$E$6</f>
        <v>0</v>
      </c>
      <c r="AI16" s="925">
        <f>SUMIF('9.Инвестиционна програма'!$B$100:$B$123,$B16,'9.Инвестиционна програма'!I$100:I$123)*$E$6</f>
        <v>0</v>
      </c>
      <c r="AJ16" s="925">
        <f>SUMIF('9.Инвестиционна програма'!$B$100:$B$123,$B16,'9.Инвестиционна програма'!J$100:J$123)*$E$6</f>
        <v>0</v>
      </c>
      <c r="AK16" s="925">
        <f>SUMIF('9.Инвестиционна програма'!$B$100:$B$123,$B16,'9.Инвестиционна програма'!K$100:K$123)*$E$6</f>
        <v>0</v>
      </c>
      <c r="AL16" s="925">
        <f>SUMIF('9.Инвестиционна програма'!$B$100:$B$123,$B16,'9.Инвестиционна програма'!L$100:L$123)*$E$6</f>
        <v>0</v>
      </c>
      <c r="AM16" s="925">
        <f>SUMIF('9.Инвестиционна програма'!$B$100:$B$123,$B16,'9.Инвестиционна програма'!M$100:M$123)*$E$6</f>
        <v>0</v>
      </c>
      <c r="AN16" s="1132">
        <f>'11.2. ДА за периода'!AN16</f>
        <v>0</v>
      </c>
      <c r="AO16" s="1251">
        <f>(SUMIF('9.Инвестиционна програма'!$B$58:$B$59,$B16,'9.Инвестиционна програма'!H$58:H$59)+SUMIF('9.Инвестиционна програма'!$B$61:$B$71,$B16,'9.Инвестиционна програма'!H$61:H$71))*$E$6</f>
        <v>50</v>
      </c>
      <c r="AP16" s="925">
        <f>(SUMIF('9.Инвестиционна програма'!$B$58:$B$59,$B16,'9.Инвестиционна програма'!I$58:I$59)+SUMIF('9.Инвестиционна програма'!$B$61:$B$71,$B16,'9.Инвестиционна програма'!I$61:I$71))*$E$6</f>
        <v>70</v>
      </c>
      <c r="AQ16" s="925">
        <f>(SUMIF('9.Инвестиционна програма'!$B$58:$B$59,$B16,'9.Инвестиционна програма'!J$58:J$59)+SUMIF('9.Инвестиционна програма'!$B$61:$B$71,$B16,'9.Инвестиционна програма'!J$61:J$71))*$E$6</f>
        <v>50</v>
      </c>
      <c r="AR16" s="925">
        <f>(SUMIF('9.Инвестиционна програма'!$B$58:$B$59,$B16,'9.Инвестиционна програма'!K$58:K$59)+SUMIF('9.Инвестиционна програма'!$B$61:$B$71,$B16,'9.Инвестиционна програма'!K$61:K$71))*$E$6</f>
        <v>50</v>
      </c>
      <c r="AS16" s="925">
        <f>(SUMIF('9.Инвестиционна програма'!$B$58:$B$59,$B16,'9.Инвестиционна програма'!L$58:L$59)+SUMIF('9.Инвестиционна програма'!$B$61:$B$71,$B16,'9.Инвестиционна програма'!L$61:L$71))*$E$6</f>
        <v>0</v>
      </c>
      <c r="AT16" s="2865">
        <f>(SUMIF('9.Инвестиционна програма'!$B$58:$B$59,$B16,'9.Инвестиционна програма'!M$58:M$59)+SUMIF('9.Инвестиционна програма'!$B$61:$B$71,$B16,'9.Инвестиционна програма'!M$61:M$71))*$E$6</f>
        <v>50</v>
      </c>
      <c r="AU16" s="4775"/>
      <c r="AV16" s="4794">
        <f t="shared" si="47"/>
        <v>0</v>
      </c>
      <c r="AW16" s="4794">
        <f t="shared" si="48"/>
        <v>0</v>
      </c>
      <c r="AX16" s="4794">
        <f t="shared" si="49"/>
        <v>0</v>
      </c>
      <c r="AY16" s="4794">
        <f t="shared" si="50"/>
        <v>0</v>
      </c>
      <c r="AZ16" s="4794">
        <f t="shared" si="51"/>
        <v>0</v>
      </c>
      <c r="BA16" s="4794">
        <f t="shared" si="52"/>
        <v>0</v>
      </c>
      <c r="BB16" s="4794">
        <f t="shared" si="53"/>
        <v>0</v>
      </c>
      <c r="BC16" s="4794">
        <f t="shared" si="54"/>
        <v>0</v>
      </c>
      <c r="BD16" s="4794">
        <f t="shared" si="55"/>
        <v>0</v>
      </c>
      <c r="BE16" s="4794">
        <f t="shared" si="56"/>
        <v>0</v>
      </c>
      <c r="BF16" s="4794">
        <f t="shared" si="57"/>
        <v>0</v>
      </c>
      <c r="BG16" s="4794">
        <f t="shared" si="58"/>
        <v>0</v>
      </c>
      <c r="BH16" s="4794">
        <f t="shared" si="59"/>
        <v>0</v>
      </c>
      <c r="BI16" s="4794">
        <f t="shared" si="60"/>
        <v>0</v>
      </c>
      <c r="BJ16" s="4794">
        <f t="shared" si="61"/>
        <v>0</v>
      </c>
      <c r="BK16" s="4794">
        <f t="shared" si="62"/>
        <v>0</v>
      </c>
      <c r="BL16" s="4794">
        <f t="shared" si="63"/>
        <v>0</v>
      </c>
      <c r="BM16" s="4794">
        <f t="shared" si="64"/>
        <v>0</v>
      </c>
      <c r="BN16" s="4794">
        <f t="shared" si="65"/>
        <v>0</v>
      </c>
      <c r="BO16" s="4794">
        <f t="shared" si="66"/>
        <v>0</v>
      </c>
      <c r="BP16" s="4794">
        <f t="shared" si="67"/>
        <v>0</v>
      </c>
      <c r="BQ16" s="4794">
        <f t="shared" si="68"/>
        <v>0</v>
      </c>
      <c r="BR16" s="4794">
        <f t="shared" si="69"/>
        <v>0</v>
      </c>
      <c r="BS16" s="4794">
        <f t="shared" si="70"/>
        <v>0</v>
      </c>
      <c r="BT16" s="4794">
        <f t="shared" si="71"/>
        <v>0</v>
      </c>
      <c r="BU16" s="4794">
        <f t="shared" si="72"/>
        <v>0</v>
      </c>
      <c r="BV16" s="4794">
        <f t="shared" si="73"/>
        <v>0</v>
      </c>
      <c r="BW16" s="4794">
        <f t="shared" si="74"/>
        <v>0</v>
      </c>
      <c r="BX16" s="4794">
        <f t="shared" si="75"/>
        <v>0</v>
      </c>
      <c r="BY16" s="4794">
        <f t="shared" si="76"/>
        <v>0</v>
      </c>
      <c r="BZ16" s="4794">
        <f t="shared" si="77"/>
        <v>0</v>
      </c>
      <c r="CA16" s="4794">
        <f t="shared" si="78"/>
        <v>0</v>
      </c>
      <c r="CB16" s="4794">
        <f t="shared" si="79"/>
        <v>0</v>
      </c>
      <c r="CC16" s="4794">
        <f t="shared" si="80"/>
        <v>0</v>
      </c>
      <c r="CD16" s="4794">
        <f t="shared" si="81"/>
        <v>0</v>
      </c>
      <c r="CE16" s="4794">
        <f t="shared" si="82"/>
        <v>0</v>
      </c>
      <c r="CF16" s="4794">
        <f t="shared" si="83"/>
        <v>25.564594059810926</v>
      </c>
      <c r="CG16" s="4794">
        <f t="shared" si="84"/>
        <v>35.790431683735292</v>
      </c>
      <c r="CH16" s="4794">
        <f t="shared" si="85"/>
        <v>25.564594059810926</v>
      </c>
      <c r="CI16" s="4794">
        <f t="shared" si="86"/>
        <v>25.564594059810926</v>
      </c>
      <c r="CJ16" s="4794">
        <f t="shared" si="87"/>
        <v>0</v>
      </c>
      <c r="CK16" s="4794">
        <f t="shared" si="88"/>
        <v>25.564594059810926</v>
      </c>
    </row>
    <row r="17" spans="1:89">
      <c r="A17" s="2876"/>
      <c r="B17" s="3818">
        <v>20202</v>
      </c>
      <c r="C17" s="3801">
        <v>0.03</v>
      </c>
      <c r="D17" s="2877" t="s">
        <v>426</v>
      </c>
      <c r="E17" s="2864">
        <f>'11.2. ДА за периода'!E17</f>
        <v>0</v>
      </c>
      <c r="F17" s="1247">
        <f>SUMIF('9.Инвестиционна програма'!$B$12:$B$35,$B17,'9.Инвестиционна програма'!H$12:H$35)*$E$6</f>
        <v>15</v>
      </c>
      <c r="G17" s="1243">
        <f>SUMIF('9.Инвестиционна програма'!$B$12:$B$35,$B17,'9.Инвестиционна програма'!I$12:I$35)*$E$6</f>
        <v>20</v>
      </c>
      <c r="H17" s="1243">
        <f>SUMIF('9.Инвестиционна програма'!$B$12:$B$35,$B17,'9.Инвестиционна програма'!J$12:J$35)*$E$6</f>
        <v>20</v>
      </c>
      <c r="I17" s="1243">
        <f>SUMIF('9.Инвестиционна програма'!$B$12:$B$35,$B17,'9.Инвестиционна програма'!K$12:K$35)*$E$6</f>
        <v>20</v>
      </c>
      <c r="J17" s="1243">
        <f>SUMIF('9.Инвестиционна програма'!$B$12:$B$35,$B17,'9.Инвестиционна програма'!L$12:L$35)*$E$6</f>
        <v>20</v>
      </c>
      <c r="K17" s="1248">
        <f>SUMIF('9.Инвестиционна програма'!$B$12:$B$35,$B17,'9.Инвестиционна програма'!M$12:M$35)*$E$6</f>
        <v>20</v>
      </c>
      <c r="L17" s="2864">
        <f>'11.2. ДА за периода'!L17</f>
        <v>0</v>
      </c>
      <c r="M17" s="1251">
        <f>SUMIF('9.Инвестиционна програма'!$B$37:$B$47,$B17,'9.Инвестиционна програма'!H$37:H$47)*$E$6</f>
        <v>0</v>
      </c>
      <c r="N17" s="1245">
        <f>SUMIF('9.Инвестиционна програма'!$B$37:$B$47,$B17,'9.Инвестиционна програма'!I$37:I$47)*$E$6</f>
        <v>0</v>
      </c>
      <c r="O17" s="1245">
        <f>SUMIF('9.Инвестиционна програма'!$B$37:$B$47,$B17,'9.Инвестиционна програма'!J$37:J$47)*$E$6</f>
        <v>0</v>
      </c>
      <c r="P17" s="1245">
        <f>SUMIF('9.Инвестиционна програма'!$B$37:$B$47,$B17,'9.Инвестиционна програма'!K$37:K$47)*$E$6</f>
        <v>0</v>
      </c>
      <c r="Q17" s="1245">
        <f>SUMIF('9.Инвестиционна програма'!$B$37:$B$47,$B17,'9.Инвестиционна програма'!L$37:L$47)*$E$6</f>
        <v>0</v>
      </c>
      <c r="R17" s="1246">
        <f>SUMIF('9.Инвестиционна програма'!$B$37:$B$47,$B17,'9.Инвестиционна програма'!M$37:M$47)*$E$6</f>
        <v>0</v>
      </c>
      <c r="S17" s="1132">
        <f>'11.2. ДА за периода'!S17</f>
        <v>0</v>
      </c>
      <c r="T17" s="925">
        <f>SUMIF('9.Инвестиционна програма'!$B$49:$B$56,$B17,'9.Инвестиционна програма'!H$49:H$56)*$E$6</f>
        <v>0</v>
      </c>
      <c r="U17" s="925">
        <f>SUMIF('9.Инвестиционна програма'!$B$49:$B$56,$B17,'9.Инвестиционна програма'!I$49:I$56)*$E$6</f>
        <v>0</v>
      </c>
      <c r="V17" s="925">
        <f>SUMIF('9.Инвестиционна програма'!$B$49:$B$56,$B17,'9.Инвестиционна програма'!J$49:J$56)*$E$6</f>
        <v>0</v>
      </c>
      <c r="W17" s="925">
        <f>SUMIF('9.Инвестиционна програма'!$B$49:$B$56,$B17,'9.Инвестиционна програма'!K$49:K$56)*$E$6</f>
        <v>0</v>
      </c>
      <c r="X17" s="925">
        <f>SUMIF('9.Инвестиционна програма'!$B$49:$B$56,$B17,'9.Инвестиционна програма'!L$49:L$56)*$E$6</f>
        <v>0</v>
      </c>
      <c r="Y17" s="2865">
        <f>SUMIF('9.Инвестиционна програма'!$B$49:$B$56,$B17,'9.Инвестиционна програма'!M$49:M$56)*$E$6</f>
        <v>0</v>
      </c>
      <c r="Z17" s="1132">
        <f>'11.2. ДА за периода'!Z17</f>
        <v>0</v>
      </c>
      <c r="AA17" s="925">
        <f>SUMIF('9.Инвестиционна програма'!$B$74:$B$97,$B17,'9.Инвестиционна програма'!H$74:H$97)*$E$6</f>
        <v>0</v>
      </c>
      <c r="AB17" s="925">
        <f>SUMIF('9.Инвестиционна програма'!$B$74:$B$97,$B17,'9.Инвестиционна програма'!I$74:I$97)*$E$6</f>
        <v>0</v>
      </c>
      <c r="AC17" s="925">
        <f>SUMIF('9.Инвестиционна програма'!$B$74:$B$97,$B17,'9.Инвестиционна програма'!J$74:J$97)*$E$6</f>
        <v>0</v>
      </c>
      <c r="AD17" s="925">
        <f>SUMIF('9.Инвестиционна програма'!$B$74:$B$97,$B17,'9.Инвестиционна програма'!K$74:K$97)*$E$6</f>
        <v>0</v>
      </c>
      <c r="AE17" s="925">
        <f>SUMIF('9.Инвестиционна програма'!$B$74:$B$97,$B17,'9.Инвестиционна програма'!L$74:L$97)*$E$6</f>
        <v>0</v>
      </c>
      <c r="AF17" s="925">
        <f>SUMIF('9.Инвестиционна програма'!$B$74:$B$97,$B17,'9.Инвестиционна програма'!M$74:M$97)*$E$6</f>
        <v>0</v>
      </c>
      <c r="AG17" s="1132">
        <f>'11.2. ДА за периода'!AG17</f>
        <v>0</v>
      </c>
      <c r="AH17" s="925">
        <f>SUMIF('9.Инвестиционна програма'!$B$100:$B$123,$B17,'9.Инвестиционна програма'!H$100:H$123)*$E$6</f>
        <v>0</v>
      </c>
      <c r="AI17" s="925">
        <f>SUMIF('9.Инвестиционна програма'!$B$100:$B$123,$B17,'9.Инвестиционна програма'!I$100:I$123)*$E$6</f>
        <v>0</v>
      </c>
      <c r="AJ17" s="925">
        <f>SUMIF('9.Инвестиционна програма'!$B$100:$B$123,$B17,'9.Инвестиционна програма'!J$100:J$123)*$E$6</f>
        <v>0</v>
      </c>
      <c r="AK17" s="925">
        <f>SUMIF('9.Инвестиционна програма'!$B$100:$B$123,$B17,'9.Инвестиционна програма'!K$100:K$123)*$E$6</f>
        <v>0</v>
      </c>
      <c r="AL17" s="925">
        <f>SUMIF('9.Инвестиционна програма'!$B$100:$B$123,$B17,'9.Инвестиционна програма'!L$100:L$123)*$E$6</f>
        <v>0</v>
      </c>
      <c r="AM17" s="925">
        <f>SUMIF('9.Инвестиционна програма'!$B$100:$B$123,$B17,'9.Инвестиционна програма'!M$100:M$123)*$E$6</f>
        <v>0</v>
      </c>
      <c r="AN17" s="1132">
        <f>'11.2. ДА за периода'!AN17</f>
        <v>0</v>
      </c>
      <c r="AO17" s="1251">
        <f>(SUMIF('9.Инвестиционна програма'!$B$58:$B$59,$B17,'9.Инвестиционна програма'!H$58:H$59)+SUMIF('9.Инвестиционна програма'!$B$61:$B$71,$B17,'9.Инвестиционна програма'!H$61:H$71))*$E$6</f>
        <v>0</v>
      </c>
      <c r="AP17" s="925">
        <f>(SUMIF('9.Инвестиционна програма'!$B$58:$B$59,$B17,'9.Инвестиционна програма'!I$58:I$59)+SUMIF('9.Инвестиционна програма'!$B$61:$B$71,$B17,'9.Инвестиционна програма'!I$61:I$71))*$E$6</f>
        <v>0</v>
      </c>
      <c r="AQ17" s="925">
        <f>(SUMIF('9.Инвестиционна програма'!$B$58:$B$59,$B17,'9.Инвестиционна програма'!J$58:J$59)+SUMIF('9.Инвестиционна програма'!$B$61:$B$71,$B17,'9.Инвестиционна програма'!J$61:J$71))*$E$6</f>
        <v>0</v>
      </c>
      <c r="AR17" s="925">
        <f>(SUMIF('9.Инвестиционна програма'!$B$58:$B$59,$B17,'9.Инвестиционна програма'!K$58:K$59)+SUMIF('9.Инвестиционна програма'!$B$61:$B$71,$B17,'9.Инвестиционна програма'!K$61:K$71))*$E$6</f>
        <v>0</v>
      </c>
      <c r="AS17" s="925">
        <f>(SUMIF('9.Инвестиционна програма'!$B$58:$B$59,$B17,'9.Инвестиционна програма'!L$58:L$59)+SUMIF('9.Инвестиционна програма'!$B$61:$B$71,$B17,'9.Инвестиционна програма'!L$61:L$71))*$E$6</f>
        <v>0</v>
      </c>
      <c r="AT17" s="2865">
        <f>(SUMIF('9.Инвестиционна програма'!$B$58:$B$59,$B17,'9.Инвестиционна програма'!M$58:M$59)+SUMIF('9.Инвестиционна програма'!$B$61:$B$71,$B17,'9.Инвестиционна програма'!M$61:M$71))*$E$6</f>
        <v>0</v>
      </c>
      <c r="AU17" s="4775"/>
      <c r="AV17" s="4794">
        <f t="shared" si="47"/>
        <v>0</v>
      </c>
      <c r="AW17" s="4794">
        <f t="shared" si="48"/>
        <v>7.6693782179432777</v>
      </c>
      <c r="AX17" s="4794">
        <f t="shared" si="49"/>
        <v>10.22583762392437</v>
      </c>
      <c r="AY17" s="4794">
        <f t="shared" si="50"/>
        <v>10.22583762392437</v>
      </c>
      <c r="AZ17" s="4794">
        <f t="shared" si="51"/>
        <v>10.22583762392437</v>
      </c>
      <c r="BA17" s="4794">
        <f t="shared" si="52"/>
        <v>10.22583762392437</v>
      </c>
      <c r="BB17" s="4794">
        <f t="shared" si="53"/>
        <v>10.22583762392437</v>
      </c>
      <c r="BC17" s="4794">
        <f t="shared" si="54"/>
        <v>0</v>
      </c>
      <c r="BD17" s="4794">
        <f t="shared" si="55"/>
        <v>0</v>
      </c>
      <c r="BE17" s="4794">
        <f t="shared" si="56"/>
        <v>0</v>
      </c>
      <c r="BF17" s="4794">
        <f t="shared" si="57"/>
        <v>0</v>
      </c>
      <c r="BG17" s="4794">
        <f t="shared" si="58"/>
        <v>0</v>
      </c>
      <c r="BH17" s="4794">
        <f t="shared" si="59"/>
        <v>0</v>
      </c>
      <c r="BI17" s="4794">
        <f t="shared" si="60"/>
        <v>0</v>
      </c>
      <c r="BJ17" s="4794">
        <f t="shared" si="61"/>
        <v>0</v>
      </c>
      <c r="BK17" s="4794">
        <f t="shared" si="62"/>
        <v>0</v>
      </c>
      <c r="BL17" s="4794">
        <f t="shared" si="63"/>
        <v>0</v>
      </c>
      <c r="BM17" s="4794">
        <f t="shared" si="64"/>
        <v>0</v>
      </c>
      <c r="BN17" s="4794">
        <f t="shared" si="65"/>
        <v>0</v>
      </c>
      <c r="BO17" s="4794">
        <f t="shared" si="66"/>
        <v>0</v>
      </c>
      <c r="BP17" s="4794">
        <f t="shared" si="67"/>
        <v>0</v>
      </c>
      <c r="BQ17" s="4794">
        <f t="shared" si="68"/>
        <v>0</v>
      </c>
      <c r="BR17" s="4794">
        <f t="shared" si="69"/>
        <v>0</v>
      </c>
      <c r="BS17" s="4794">
        <f t="shared" si="70"/>
        <v>0</v>
      </c>
      <c r="BT17" s="4794">
        <f t="shared" si="71"/>
        <v>0</v>
      </c>
      <c r="BU17" s="4794">
        <f t="shared" si="72"/>
        <v>0</v>
      </c>
      <c r="BV17" s="4794">
        <f t="shared" si="73"/>
        <v>0</v>
      </c>
      <c r="BW17" s="4794">
        <f t="shared" si="74"/>
        <v>0</v>
      </c>
      <c r="BX17" s="4794">
        <f t="shared" si="75"/>
        <v>0</v>
      </c>
      <c r="BY17" s="4794">
        <f t="shared" si="76"/>
        <v>0</v>
      </c>
      <c r="BZ17" s="4794">
        <f t="shared" si="77"/>
        <v>0</v>
      </c>
      <c r="CA17" s="4794">
        <f t="shared" si="78"/>
        <v>0</v>
      </c>
      <c r="CB17" s="4794">
        <f t="shared" si="79"/>
        <v>0</v>
      </c>
      <c r="CC17" s="4794">
        <f t="shared" si="80"/>
        <v>0</v>
      </c>
      <c r="CD17" s="4794">
        <f t="shared" si="81"/>
        <v>0</v>
      </c>
      <c r="CE17" s="4794">
        <f t="shared" si="82"/>
        <v>0</v>
      </c>
      <c r="CF17" s="4794">
        <f t="shared" si="83"/>
        <v>0</v>
      </c>
      <c r="CG17" s="4794">
        <f t="shared" si="84"/>
        <v>0</v>
      </c>
      <c r="CH17" s="4794">
        <f t="shared" si="85"/>
        <v>0</v>
      </c>
      <c r="CI17" s="4794">
        <f t="shared" si="86"/>
        <v>0</v>
      </c>
      <c r="CJ17" s="4794">
        <f t="shared" si="87"/>
        <v>0</v>
      </c>
      <c r="CK17" s="4794">
        <f t="shared" si="88"/>
        <v>0</v>
      </c>
    </row>
    <row r="18" spans="1:89" s="44" customFormat="1" ht="12.75" customHeight="1">
      <c r="A18" s="2878">
        <v>3</v>
      </c>
      <c r="B18" s="3817">
        <v>203</v>
      </c>
      <c r="C18" s="3800"/>
      <c r="D18" s="2870" t="s">
        <v>405</v>
      </c>
      <c r="E18" s="2871">
        <f t="shared" ref="E18:AT18" si="90">SUM(E19:E29)-E22-E25</f>
        <v>1647</v>
      </c>
      <c r="F18" s="2872">
        <f t="shared" si="90"/>
        <v>252</v>
      </c>
      <c r="G18" s="2873">
        <f t="shared" si="90"/>
        <v>192</v>
      </c>
      <c r="H18" s="2873">
        <f t="shared" si="90"/>
        <v>120</v>
      </c>
      <c r="I18" s="2873">
        <f t="shared" si="90"/>
        <v>225</v>
      </c>
      <c r="J18" s="2873">
        <f t="shared" si="90"/>
        <v>215</v>
      </c>
      <c r="K18" s="2874">
        <f t="shared" si="90"/>
        <v>115</v>
      </c>
      <c r="L18" s="2871">
        <f t="shared" si="90"/>
        <v>378</v>
      </c>
      <c r="M18" s="2872">
        <f t="shared" si="90"/>
        <v>10</v>
      </c>
      <c r="N18" s="2873">
        <f t="shared" si="90"/>
        <v>15</v>
      </c>
      <c r="O18" s="2873">
        <f t="shared" si="90"/>
        <v>10</v>
      </c>
      <c r="P18" s="2873">
        <f t="shared" si="90"/>
        <v>10</v>
      </c>
      <c r="Q18" s="2873">
        <f t="shared" si="90"/>
        <v>10</v>
      </c>
      <c r="R18" s="2874">
        <f t="shared" si="90"/>
        <v>10</v>
      </c>
      <c r="S18" s="2869">
        <f t="shared" si="90"/>
        <v>14</v>
      </c>
      <c r="T18" s="2875">
        <f t="shared" si="90"/>
        <v>20</v>
      </c>
      <c r="U18" s="2873">
        <f t="shared" si="90"/>
        <v>70</v>
      </c>
      <c r="V18" s="2873">
        <f t="shared" si="90"/>
        <v>50</v>
      </c>
      <c r="W18" s="2873">
        <f t="shared" si="90"/>
        <v>40</v>
      </c>
      <c r="X18" s="2873">
        <f t="shared" si="90"/>
        <v>70</v>
      </c>
      <c r="Y18" s="2874">
        <f t="shared" si="90"/>
        <v>40</v>
      </c>
      <c r="Z18" s="2869">
        <f t="shared" ref="Z18:AM18" si="91">SUM(Z19:Z29)-Z22-Z25</f>
        <v>0</v>
      </c>
      <c r="AA18" s="2875">
        <f t="shared" si="91"/>
        <v>0</v>
      </c>
      <c r="AB18" s="2873">
        <f t="shared" si="91"/>
        <v>0</v>
      </c>
      <c r="AC18" s="2873">
        <f t="shared" si="91"/>
        <v>0</v>
      </c>
      <c r="AD18" s="2873">
        <f t="shared" si="91"/>
        <v>0</v>
      </c>
      <c r="AE18" s="2873">
        <f t="shared" si="91"/>
        <v>0</v>
      </c>
      <c r="AF18" s="2874">
        <f t="shared" si="91"/>
        <v>0</v>
      </c>
      <c r="AG18" s="2869">
        <f t="shared" si="91"/>
        <v>0</v>
      </c>
      <c r="AH18" s="2875">
        <f t="shared" si="91"/>
        <v>0</v>
      </c>
      <c r="AI18" s="2873">
        <f t="shared" si="91"/>
        <v>0</v>
      </c>
      <c r="AJ18" s="2873">
        <f t="shared" si="91"/>
        <v>0</v>
      </c>
      <c r="AK18" s="2873">
        <f t="shared" si="91"/>
        <v>0</v>
      </c>
      <c r="AL18" s="2873">
        <f t="shared" si="91"/>
        <v>0</v>
      </c>
      <c r="AM18" s="2874">
        <f t="shared" si="91"/>
        <v>0</v>
      </c>
      <c r="AN18" s="2869">
        <f t="shared" si="90"/>
        <v>0</v>
      </c>
      <c r="AO18" s="2875">
        <f t="shared" si="90"/>
        <v>100</v>
      </c>
      <c r="AP18" s="2873">
        <f t="shared" si="90"/>
        <v>80</v>
      </c>
      <c r="AQ18" s="2873">
        <f t="shared" si="90"/>
        <v>80</v>
      </c>
      <c r="AR18" s="2873">
        <f t="shared" si="90"/>
        <v>80</v>
      </c>
      <c r="AS18" s="2873">
        <f t="shared" si="90"/>
        <v>80</v>
      </c>
      <c r="AT18" s="2874">
        <f t="shared" si="90"/>
        <v>80</v>
      </c>
      <c r="AU18" s="4775"/>
      <c r="AV18" s="4794">
        <f t="shared" si="47"/>
        <v>842.09772833017189</v>
      </c>
      <c r="AW18" s="4794">
        <f t="shared" si="48"/>
        <v>128.84555406144707</v>
      </c>
      <c r="AX18" s="4794">
        <f t="shared" si="49"/>
        <v>98.168041189673957</v>
      </c>
      <c r="AY18" s="4794">
        <f t="shared" si="50"/>
        <v>61.355025743546221</v>
      </c>
      <c r="AZ18" s="4794">
        <f t="shared" si="51"/>
        <v>115.04067326914917</v>
      </c>
      <c r="BA18" s="4794">
        <f t="shared" si="52"/>
        <v>109.92775445718698</v>
      </c>
      <c r="BB18" s="4794">
        <f t="shared" si="53"/>
        <v>58.798566337565127</v>
      </c>
      <c r="BC18" s="4794">
        <f t="shared" si="54"/>
        <v>193.2683310921706</v>
      </c>
      <c r="BD18" s="4794">
        <f t="shared" si="55"/>
        <v>5.1129188119621851</v>
      </c>
      <c r="BE18" s="4794">
        <f t="shared" si="56"/>
        <v>7.6693782179432777</v>
      </c>
      <c r="BF18" s="4794">
        <f t="shared" si="57"/>
        <v>5.1129188119621851</v>
      </c>
      <c r="BG18" s="4794">
        <f t="shared" si="58"/>
        <v>5.1129188119621851</v>
      </c>
      <c r="BH18" s="4794">
        <f t="shared" si="59"/>
        <v>5.1129188119621851</v>
      </c>
      <c r="BI18" s="4794">
        <f t="shared" si="60"/>
        <v>5.1129188119621851</v>
      </c>
      <c r="BJ18" s="4794">
        <f t="shared" si="61"/>
        <v>7.1580863367470586</v>
      </c>
      <c r="BK18" s="4794">
        <f t="shared" si="62"/>
        <v>10.22583762392437</v>
      </c>
      <c r="BL18" s="4794">
        <f t="shared" si="63"/>
        <v>35.790431683735292</v>
      </c>
      <c r="BM18" s="4794">
        <f t="shared" si="64"/>
        <v>25.564594059810926</v>
      </c>
      <c r="BN18" s="4794">
        <f t="shared" si="65"/>
        <v>20.45167524784874</v>
      </c>
      <c r="BO18" s="4794">
        <f t="shared" si="66"/>
        <v>35.790431683735292</v>
      </c>
      <c r="BP18" s="4794">
        <f t="shared" si="67"/>
        <v>20.45167524784874</v>
      </c>
      <c r="BQ18" s="4794">
        <f t="shared" si="68"/>
        <v>0</v>
      </c>
      <c r="BR18" s="4794">
        <f t="shared" si="69"/>
        <v>0</v>
      </c>
      <c r="BS18" s="4794">
        <f t="shared" si="70"/>
        <v>0</v>
      </c>
      <c r="BT18" s="4794">
        <f t="shared" si="71"/>
        <v>0</v>
      </c>
      <c r="BU18" s="4794">
        <f t="shared" si="72"/>
        <v>0</v>
      </c>
      <c r="BV18" s="4794">
        <f t="shared" si="73"/>
        <v>0</v>
      </c>
      <c r="BW18" s="4794">
        <f t="shared" si="74"/>
        <v>0</v>
      </c>
      <c r="BX18" s="4794">
        <f t="shared" si="75"/>
        <v>0</v>
      </c>
      <c r="BY18" s="4794">
        <f t="shared" si="76"/>
        <v>0</v>
      </c>
      <c r="BZ18" s="4794">
        <f t="shared" si="77"/>
        <v>0</v>
      </c>
      <c r="CA18" s="4794">
        <f t="shared" si="78"/>
        <v>0</v>
      </c>
      <c r="CB18" s="4794">
        <f t="shared" si="79"/>
        <v>0</v>
      </c>
      <c r="CC18" s="4794">
        <f t="shared" si="80"/>
        <v>0</v>
      </c>
      <c r="CD18" s="4794">
        <f t="shared" si="81"/>
        <v>0</v>
      </c>
      <c r="CE18" s="4794">
        <f t="shared" si="82"/>
        <v>0</v>
      </c>
      <c r="CF18" s="4794">
        <f t="shared" si="83"/>
        <v>51.129188119621851</v>
      </c>
      <c r="CG18" s="4794">
        <f t="shared" si="84"/>
        <v>40.903350495697481</v>
      </c>
      <c r="CH18" s="4794">
        <f t="shared" si="85"/>
        <v>40.903350495697481</v>
      </c>
      <c r="CI18" s="4794">
        <f t="shared" si="86"/>
        <v>40.903350495697481</v>
      </c>
      <c r="CJ18" s="4794">
        <f t="shared" si="87"/>
        <v>40.903350495697481</v>
      </c>
      <c r="CK18" s="4794">
        <f t="shared" si="88"/>
        <v>40.903350495697481</v>
      </c>
    </row>
    <row r="19" spans="1:89">
      <c r="A19" s="2876"/>
      <c r="B19" s="3818">
        <v>20301</v>
      </c>
      <c r="C19" s="3801">
        <v>0.1</v>
      </c>
      <c r="D19" s="2879" t="s">
        <v>427</v>
      </c>
      <c r="E19" s="2864">
        <f>'11.2. ДА за периода'!E19</f>
        <v>111</v>
      </c>
      <c r="F19" s="1247">
        <f>SUMIF('9.Инвестиционна програма'!$B$12:$B$35,$B19,'9.Инвестиционна програма'!H$12:H$35)*$E$6</f>
        <v>0</v>
      </c>
      <c r="G19" s="1243">
        <f>SUMIF('9.Инвестиционна програма'!$B$12:$B$35,$B19,'9.Инвестиционна програма'!I$12:I$35)*$E$6</f>
        <v>0</v>
      </c>
      <c r="H19" s="1243">
        <f>SUMIF('9.Инвестиционна програма'!$B$12:$B$35,$B19,'9.Инвестиционна програма'!J$12:J$35)*$E$6</f>
        <v>0</v>
      </c>
      <c r="I19" s="1243">
        <f>SUMIF('9.Инвестиционна програма'!$B$12:$B$35,$B19,'9.Инвестиционна програма'!K$12:K$35)*$E$6</f>
        <v>0</v>
      </c>
      <c r="J19" s="1243">
        <f>SUMIF('9.Инвестиционна програма'!$B$12:$B$35,$B19,'9.Инвестиционна програма'!L$12:L$35)*$E$6</f>
        <v>0</v>
      </c>
      <c r="K19" s="1248">
        <f>SUMIF('9.Инвестиционна програма'!$B$12:$B$35,$B19,'9.Инвестиционна програма'!M$12:M$35)*$E$6</f>
        <v>0</v>
      </c>
      <c r="L19" s="2864">
        <f>'11.2. ДА за периода'!L19</f>
        <v>20</v>
      </c>
      <c r="M19" s="1251">
        <f>SUMIF('9.Инвестиционна програма'!$B$37:$B$47,$B19,'9.Инвестиционна програма'!H$37:H$47)*$E$6</f>
        <v>0</v>
      </c>
      <c r="N19" s="1245">
        <f>SUMIF('9.Инвестиционна програма'!$B$37:$B$47,$B19,'9.Инвестиционна програма'!I$37:I$47)*$E$6</f>
        <v>0</v>
      </c>
      <c r="O19" s="1245">
        <f>SUMIF('9.Инвестиционна програма'!$B$37:$B$47,$B19,'9.Инвестиционна програма'!J$37:J$47)*$E$6</f>
        <v>0</v>
      </c>
      <c r="P19" s="1245">
        <f>SUMIF('9.Инвестиционна програма'!$B$37:$B$47,$B19,'9.Инвестиционна програма'!K$37:K$47)*$E$6</f>
        <v>0</v>
      </c>
      <c r="Q19" s="1245">
        <f>SUMIF('9.Инвестиционна програма'!$B$37:$B$47,$B19,'9.Инвестиционна програма'!L$37:L$47)*$E$6</f>
        <v>0</v>
      </c>
      <c r="R19" s="1246">
        <f>SUMIF('9.Инвестиционна програма'!$B$37:$B$47,$B19,'9.Инвестиционна програма'!M$37:M$47)*$E$6</f>
        <v>0</v>
      </c>
      <c r="S19" s="1132">
        <f>'11.2. ДА за периода'!S19</f>
        <v>9</v>
      </c>
      <c r="T19" s="925">
        <f>SUMIF('9.Инвестиционна програма'!$B$49:$B$56,$B19,'9.Инвестиционна програма'!H$49:H$56)*$E$6</f>
        <v>0</v>
      </c>
      <c r="U19" s="925">
        <f>SUMIF('9.Инвестиционна програма'!$B$49:$B$56,$B19,'9.Инвестиционна програма'!I$49:I$56)*$E$6</f>
        <v>0</v>
      </c>
      <c r="V19" s="925">
        <f>SUMIF('9.Инвестиционна програма'!$B$49:$B$56,$B19,'9.Инвестиционна програма'!J$49:J$56)*$E$6</f>
        <v>0</v>
      </c>
      <c r="W19" s="925">
        <f>SUMIF('9.Инвестиционна програма'!$B$49:$B$56,$B19,'9.Инвестиционна програма'!K$49:K$56)*$E$6</f>
        <v>0</v>
      </c>
      <c r="X19" s="925">
        <f>SUMIF('9.Инвестиционна програма'!$B$49:$B$56,$B19,'9.Инвестиционна програма'!L$49:L$56)*$E$6</f>
        <v>0</v>
      </c>
      <c r="Y19" s="2865">
        <f>SUMIF('9.Инвестиционна програма'!$B$49:$B$56,$B19,'9.Инвестиционна програма'!M$49:M$56)*$E$6</f>
        <v>0</v>
      </c>
      <c r="Z19" s="1132">
        <f>'11.2. ДА за периода'!Z19</f>
        <v>0</v>
      </c>
      <c r="AA19" s="925">
        <f>SUMIF('9.Инвестиционна програма'!$B$74:$B$97,$B19,'9.Инвестиционна програма'!H$74:H$97)*$E$6</f>
        <v>0</v>
      </c>
      <c r="AB19" s="925">
        <f>SUMIF('9.Инвестиционна програма'!$B$74:$B$97,$B19,'9.Инвестиционна програма'!I$74:I$97)*$E$6</f>
        <v>0</v>
      </c>
      <c r="AC19" s="925">
        <f>SUMIF('9.Инвестиционна програма'!$B$74:$B$97,$B19,'9.Инвестиционна програма'!J$74:J$97)*$E$6</f>
        <v>0</v>
      </c>
      <c r="AD19" s="925">
        <f>SUMIF('9.Инвестиционна програма'!$B$74:$B$97,$B19,'9.Инвестиционна програма'!K$74:K$97)*$E$6</f>
        <v>0</v>
      </c>
      <c r="AE19" s="925">
        <f>SUMIF('9.Инвестиционна програма'!$B$74:$B$97,$B19,'9.Инвестиционна програма'!L$74:L$97)*$E$6</f>
        <v>0</v>
      </c>
      <c r="AF19" s="925">
        <f>SUMIF('9.Инвестиционна програма'!$B$74:$B$97,$B19,'9.Инвестиционна програма'!M$74:M$97)*$E$6</f>
        <v>0</v>
      </c>
      <c r="AG19" s="1132">
        <f>'11.2. ДА за периода'!AG19</f>
        <v>0</v>
      </c>
      <c r="AH19" s="925">
        <f>SUMIF('9.Инвестиционна програма'!$B$100:$B$123,$B19,'9.Инвестиционна програма'!H$100:H$123)*$E$6</f>
        <v>0</v>
      </c>
      <c r="AI19" s="925">
        <f>SUMIF('9.Инвестиционна програма'!$B$100:$B$123,$B19,'9.Инвестиционна програма'!I$100:I$123)*$E$6</f>
        <v>0</v>
      </c>
      <c r="AJ19" s="925">
        <f>SUMIF('9.Инвестиционна програма'!$B$100:$B$123,$B19,'9.Инвестиционна програма'!J$100:J$123)*$E$6</f>
        <v>0</v>
      </c>
      <c r="AK19" s="925">
        <f>SUMIF('9.Инвестиционна програма'!$B$100:$B$123,$B19,'9.Инвестиционна програма'!K$100:K$123)*$E$6</f>
        <v>0</v>
      </c>
      <c r="AL19" s="925">
        <f>SUMIF('9.Инвестиционна програма'!$B$100:$B$123,$B19,'9.Инвестиционна програма'!L$100:L$123)*$E$6</f>
        <v>0</v>
      </c>
      <c r="AM19" s="925">
        <f>SUMIF('9.Инвестиционна програма'!$B$100:$B$123,$B19,'9.Инвестиционна програма'!M$100:M$123)*$E$6</f>
        <v>0</v>
      </c>
      <c r="AN19" s="1132">
        <f>'11.2. ДА за периода'!AN19</f>
        <v>0</v>
      </c>
      <c r="AO19" s="1251">
        <f>(SUMIF('9.Инвестиционна програма'!$B$58:$B$59,$B19,'9.Инвестиционна програма'!H$58:H$59)+SUMIF('9.Инвестиционна програма'!$B$61:$B$71,$B19,'9.Инвестиционна програма'!H$61:H$71))*$E$6</f>
        <v>0</v>
      </c>
      <c r="AP19" s="925">
        <f>(SUMIF('9.Инвестиционна програма'!$B$58:$B$59,$B19,'9.Инвестиционна програма'!I$58:I$59)+SUMIF('9.Инвестиционна програма'!$B$61:$B$71,$B19,'9.Инвестиционна програма'!I$61:I$71))*$E$6</f>
        <v>0</v>
      </c>
      <c r="AQ19" s="925">
        <f>(SUMIF('9.Инвестиционна програма'!$B$58:$B$59,$B19,'9.Инвестиционна програма'!J$58:J$59)+SUMIF('9.Инвестиционна програма'!$B$61:$B$71,$B19,'9.Инвестиционна програма'!J$61:J$71))*$E$6</f>
        <v>0</v>
      </c>
      <c r="AR19" s="925">
        <f>(SUMIF('9.Инвестиционна програма'!$B$58:$B$59,$B19,'9.Инвестиционна програма'!K$58:K$59)+SUMIF('9.Инвестиционна програма'!$B$61:$B$71,$B19,'9.Инвестиционна програма'!K$61:K$71))*$E$6</f>
        <v>0</v>
      </c>
      <c r="AS19" s="925">
        <f>(SUMIF('9.Инвестиционна програма'!$B$58:$B$59,$B19,'9.Инвестиционна програма'!L$58:L$59)+SUMIF('9.Инвестиционна програма'!$B$61:$B$71,$B19,'9.Инвестиционна програма'!L$61:L$71))*$E$6</f>
        <v>0</v>
      </c>
      <c r="AT19" s="2865">
        <f>(SUMIF('9.Инвестиционна програма'!$B$58:$B$59,$B19,'9.Инвестиционна програма'!M$58:M$59)+SUMIF('9.Инвестиционна програма'!$B$61:$B$71,$B19,'9.Инвестиционна програма'!M$61:M$71))*$E$6</f>
        <v>0</v>
      </c>
      <c r="AU19" s="4775"/>
      <c r="AV19" s="4794">
        <f t="shared" si="47"/>
        <v>56.753398812780254</v>
      </c>
      <c r="AW19" s="4794">
        <f t="shared" si="48"/>
        <v>0</v>
      </c>
      <c r="AX19" s="4794">
        <f t="shared" si="49"/>
        <v>0</v>
      </c>
      <c r="AY19" s="4794">
        <f t="shared" si="50"/>
        <v>0</v>
      </c>
      <c r="AZ19" s="4794">
        <f t="shared" si="51"/>
        <v>0</v>
      </c>
      <c r="BA19" s="4794">
        <f t="shared" si="52"/>
        <v>0</v>
      </c>
      <c r="BB19" s="4794">
        <f t="shared" si="53"/>
        <v>0</v>
      </c>
      <c r="BC19" s="4794">
        <f t="shared" si="54"/>
        <v>10.22583762392437</v>
      </c>
      <c r="BD19" s="4794">
        <f t="shared" si="55"/>
        <v>0</v>
      </c>
      <c r="BE19" s="4794">
        <f t="shared" si="56"/>
        <v>0</v>
      </c>
      <c r="BF19" s="4794">
        <f t="shared" si="57"/>
        <v>0</v>
      </c>
      <c r="BG19" s="4794">
        <f t="shared" si="58"/>
        <v>0</v>
      </c>
      <c r="BH19" s="4794">
        <f t="shared" si="59"/>
        <v>0</v>
      </c>
      <c r="BI19" s="4794">
        <f t="shared" si="60"/>
        <v>0</v>
      </c>
      <c r="BJ19" s="4794">
        <f t="shared" si="61"/>
        <v>4.6016269307659661</v>
      </c>
      <c r="BK19" s="4794">
        <f t="shared" si="62"/>
        <v>0</v>
      </c>
      <c r="BL19" s="4794">
        <f t="shared" si="63"/>
        <v>0</v>
      </c>
      <c r="BM19" s="4794">
        <f t="shared" si="64"/>
        <v>0</v>
      </c>
      <c r="BN19" s="4794">
        <f t="shared" si="65"/>
        <v>0</v>
      </c>
      <c r="BO19" s="4794">
        <f t="shared" si="66"/>
        <v>0</v>
      </c>
      <c r="BP19" s="4794">
        <f t="shared" si="67"/>
        <v>0</v>
      </c>
      <c r="BQ19" s="4794">
        <f t="shared" si="68"/>
        <v>0</v>
      </c>
      <c r="BR19" s="4794">
        <f t="shared" si="69"/>
        <v>0</v>
      </c>
      <c r="BS19" s="4794">
        <f t="shared" si="70"/>
        <v>0</v>
      </c>
      <c r="BT19" s="4794">
        <f t="shared" si="71"/>
        <v>0</v>
      </c>
      <c r="BU19" s="4794">
        <f t="shared" si="72"/>
        <v>0</v>
      </c>
      <c r="BV19" s="4794">
        <f t="shared" si="73"/>
        <v>0</v>
      </c>
      <c r="BW19" s="4794">
        <f t="shared" si="74"/>
        <v>0</v>
      </c>
      <c r="BX19" s="4794">
        <f t="shared" si="75"/>
        <v>0</v>
      </c>
      <c r="BY19" s="4794">
        <f t="shared" si="76"/>
        <v>0</v>
      </c>
      <c r="BZ19" s="4794">
        <f t="shared" si="77"/>
        <v>0</v>
      </c>
      <c r="CA19" s="4794">
        <f t="shared" si="78"/>
        <v>0</v>
      </c>
      <c r="CB19" s="4794">
        <f t="shared" si="79"/>
        <v>0</v>
      </c>
      <c r="CC19" s="4794">
        <f t="shared" si="80"/>
        <v>0</v>
      </c>
      <c r="CD19" s="4794">
        <f t="shared" si="81"/>
        <v>0</v>
      </c>
      <c r="CE19" s="4794">
        <f t="shared" si="82"/>
        <v>0</v>
      </c>
      <c r="CF19" s="4794">
        <f t="shared" si="83"/>
        <v>0</v>
      </c>
      <c r="CG19" s="4794">
        <f t="shared" si="84"/>
        <v>0</v>
      </c>
      <c r="CH19" s="4794">
        <f t="shared" si="85"/>
        <v>0</v>
      </c>
      <c r="CI19" s="4794">
        <f t="shared" si="86"/>
        <v>0</v>
      </c>
      <c r="CJ19" s="4794">
        <f t="shared" si="87"/>
        <v>0</v>
      </c>
      <c r="CK19" s="4794">
        <f t="shared" si="88"/>
        <v>0</v>
      </c>
    </row>
    <row r="20" spans="1:89">
      <c r="A20" s="2876"/>
      <c r="B20" s="3818">
        <v>20302</v>
      </c>
      <c r="C20" s="3801">
        <v>0.1</v>
      </c>
      <c r="D20" s="2879" t="s">
        <v>428</v>
      </c>
      <c r="E20" s="2864">
        <f>'11.2. ДА за периода'!E20</f>
        <v>21</v>
      </c>
      <c r="F20" s="1247">
        <f>SUMIF('9.Инвестиционна програма'!$B$12:$B$35,$B20,'9.Инвестиционна програма'!H$12:H$35)*$E$6</f>
        <v>0</v>
      </c>
      <c r="G20" s="1243">
        <f>SUMIF('9.Инвестиционна програма'!$B$12:$B$35,$B20,'9.Инвестиционна програма'!I$12:I$35)*$E$6</f>
        <v>0</v>
      </c>
      <c r="H20" s="1243">
        <f>SUMIF('9.Инвестиционна програма'!$B$12:$B$35,$B20,'9.Инвестиционна програма'!J$12:J$35)*$E$6</f>
        <v>0</v>
      </c>
      <c r="I20" s="1243">
        <f>SUMIF('9.Инвестиционна програма'!$B$12:$B$35,$B20,'9.Инвестиционна програма'!K$12:K$35)*$E$6</f>
        <v>0</v>
      </c>
      <c r="J20" s="1243">
        <f>SUMIF('9.Инвестиционна програма'!$B$12:$B$35,$B20,'9.Инвестиционна програма'!L$12:L$35)*$E$6</f>
        <v>0</v>
      </c>
      <c r="K20" s="1248">
        <f>SUMIF('9.Инвестиционна програма'!$B$12:$B$35,$B20,'9.Инвестиционна програма'!M$12:M$35)*$E$6</f>
        <v>0</v>
      </c>
      <c r="L20" s="2864">
        <f>'11.2. ДА за периода'!L20</f>
        <v>0</v>
      </c>
      <c r="M20" s="1251">
        <f>SUMIF('9.Инвестиционна програма'!$B$37:$B$47,$B20,'9.Инвестиционна програма'!H$37:H$47)*$E$6</f>
        <v>0</v>
      </c>
      <c r="N20" s="1245">
        <f>SUMIF('9.Инвестиционна програма'!$B$37:$B$47,$B20,'9.Инвестиционна програма'!I$37:I$47)*$E$6</f>
        <v>0</v>
      </c>
      <c r="O20" s="1245">
        <f>SUMIF('9.Инвестиционна програма'!$B$37:$B$47,$B20,'9.Инвестиционна програма'!J$37:J$47)*$E$6</f>
        <v>0</v>
      </c>
      <c r="P20" s="1245">
        <f>SUMIF('9.Инвестиционна програма'!$B$37:$B$47,$B20,'9.Инвестиционна програма'!K$37:K$47)*$E$6</f>
        <v>0</v>
      </c>
      <c r="Q20" s="1245">
        <f>SUMIF('9.Инвестиционна програма'!$B$37:$B$47,$B20,'9.Инвестиционна програма'!L$37:L$47)*$E$6</f>
        <v>0</v>
      </c>
      <c r="R20" s="1246">
        <f>SUMIF('9.Инвестиционна програма'!$B$37:$B$47,$B20,'9.Инвестиционна програма'!M$37:M$47)*$E$6</f>
        <v>0</v>
      </c>
      <c r="S20" s="1132">
        <f>'11.2. ДА за периода'!S20</f>
        <v>0</v>
      </c>
      <c r="T20" s="925">
        <f>SUMIF('9.Инвестиционна програма'!$B$49:$B$56,$B20,'9.Инвестиционна програма'!H$49:H$56)*$E$6</f>
        <v>0</v>
      </c>
      <c r="U20" s="925">
        <f>SUMIF('9.Инвестиционна програма'!$B$49:$B$56,$B20,'9.Инвестиционна програма'!I$49:I$56)*$E$6</f>
        <v>20</v>
      </c>
      <c r="V20" s="925">
        <f>SUMIF('9.Инвестиционна програма'!$B$49:$B$56,$B20,'9.Инвестиционна програма'!J$49:J$56)*$E$6</f>
        <v>20</v>
      </c>
      <c r="W20" s="925">
        <f>SUMIF('9.Инвестиционна програма'!$B$49:$B$56,$B20,'9.Инвестиционна програма'!K$49:K$56)*$E$6</f>
        <v>20</v>
      </c>
      <c r="X20" s="925">
        <f>SUMIF('9.Инвестиционна програма'!$B$49:$B$56,$B20,'9.Инвестиционна програма'!L$49:L$56)*$E$6</f>
        <v>20</v>
      </c>
      <c r="Y20" s="2865">
        <f>SUMIF('9.Инвестиционна програма'!$B$49:$B$56,$B20,'9.Инвестиционна програма'!M$49:M$56)*$E$6</f>
        <v>20</v>
      </c>
      <c r="Z20" s="1132">
        <f>'11.2. ДА за периода'!Z20</f>
        <v>0</v>
      </c>
      <c r="AA20" s="925">
        <f>SUMIF('9.Инвестиционна програма'!$B$74:$B$97,$B20,'9.Инвестиционна програма'!H$74:H$97)*$E$6</f>
        <v>0</v>
      </c>
      <c r="AB20" s="925">
        <f>SUMIF('9.Инвестиционна програма'!$B$74:$B$97,$B20,'9.Инвестиционна програма'!I$74:I$97)*$E$6</f>
        <v>0</v>
      </c>
      <c r="AC20" s="925">
        <f>SUMIF('9.Инвестиционна програма'!$B$74:$B$97,$B20,'9.Инвестиционна програма'!J$74:J$97)*$E$6</f>
        <v>0</v>
      </c>
      <c r="AD20" s="925">
        <f>SUMIF('9.Инвестиционна програма'!$B$74:$B$97,$B20,'9.Инвестиционна програма'!K$74:K$97)*$E$6</f>
        <v>0</v>
      </c>
      <c r="AE20" s="925">
        <f>SUMIF('9.Инвестиционна програма'!$B$74:$B$97,$B20,'9.Инвестиционна програма'!L$74:L$97)*$E$6</f>
        <v>0</v>
      </c>
      <c r="AF20" s="925">
        <f>SUMIF('9.Инвестиционна програма'!$B$74:$B$97,$B20,'9.Инвестиционна програма'!M$74:M$97)*$E$6</f>
        <v>0</v>
      </c>
      <c r="AG20" s="1132">
        <f>'11.2. ДА за периода'!AG20</f>
        <v>0</v>
      </c>
      <c r="AH20" s="925">
        <f>SUMIF('9.Инвестиционна програма'!$B$100:$B$123,$B20,'9.Инвестиционна програма'!H$100:H$123)*$E$6</f>
        <v>0</v>
      </c>
      <c r="AI20" s="925">
        <f>SUMIF('9.Инвестиционна програма'!$B$100:$B$123,$B20,'9.Инвестиционна програма'!I$100:I$123)*$E$6</f>
        <v>0</v>
      </c>
      <c r="AJ20" s="925">
        <f>SUMIF('9.Инвестиционна програма'!$B$100:$B$123,$B20,'9.Инвестиционна програма'!J$100:J$123)*$E$6</f>
        <v>0</v>
      </c>
      <c r="AK20" s="925">
        <f>SUMIF('9.Инвестиционна програма'!$B$100:$B$123,$B20,'9.Инвестиционна програма'!K$100:K$123)*$E$6</f>
        <v>0</v>
      </c>
      <c r="AL20" s="925">
        <f>SUMIF('9.Инвестиционна програма'!$B$100:$B$123,$B20,'9.Инвестиционна програма'!L$100:L$123)*$E$6</f>
        <v>0</v>
      </c>
      <c r="AM20" s="925">
        <f>SUMIF('9.Инвестиционна програма'!$B$100:$B$123,$B20,'9.Инвестиционна програма'!M$100:M$123)*$E$6</f>
        <v>0</v>
      </c>
      <c r="AN20" s="1132">
        <f>'11.2. ДА за периода'!AN20</f>
        <v>0</v>
      </c>
      <c r="AO20" s="1251">
        <f>(SUMIF('9.Инвестиционна програма'!$B$58:$B$59,$B20,'9.Инвестиционна програма'!H$58:H$59)+SUMIF('9.Инвестиционна програма'!$B$61:$B$71,$B20,'9.Инвестиционна програма'!H$61:H$71))*$E$6</f>
        <v>0</v>
      </c>
      <c r="AP20" s="925">
        <f>(SUMIF('9.Инвестиционна програма'!$B$58:$B$59,$B20,'9.Инвестиционна програма'!I$58:I$59)+SUMIF('9.Инвестиционна програма'!$B$61:$B$71,$B20,'9.Инвестиционна програма'!I$61:I$71))*$E$6</f>
        <v>0</v>
      </c>
      <c r="AQ20" s="925">
        <f>(SUMIF('9.Инвестиционна програма'!$B$58:$B$59,$B20,'9.Инвестиционна програма'!J$58:J$59)+SUMIF('9.Инвестиционна програма'!$B$61:$B$71,$B20,'9.Инвестиционна програма'!J$61:J$71))*$E$6</f>
        <v>0</v>
      </c>
      <c r="AR20" s="925">
        <f>(SUMIF('9.Инвестиционна програма'!$B$58:$B$59,$B20,'9.Инвестиционна програма'!K$58:K$59)+SUMIF('9.Инвестиционна програма'!$B$61:$B$71,$B20,'9.Инвестиционна програма'!K$61:K$71))*$E$6</f>
        <v>0</v>
      </c>
      <c r="AS20" s="925">
        <f>(SUMIF('9.Инвестиционна програма'!$B$58:$B$59,$B20,'9.Инвестиционна програма'!L$58:L$59)+SUMIF('9.Инвестиционна програма'!$B$61:$B$71,$B20,'9.Инвестиционна програма'!L$61:L$71))*$E$6</f>
        <v>0</v>
      </c>
      <c r="AT20" s="2865">
        <f>(SUMIF('9.Инвестиционна програма'!$B$58:$B$59,$B20,'9.Инвестиционна програма'!M$58:M$59)+SUMIF('9.Инвестиционна програма'!$B$61:$B$71,$B20,'9.Инвестиционна програма'!M$61:M$71))*$E$6</f>
        <v>0</v>
      </c>
      <c r="AU20" s="4775"/>
      <c r="AV20" s="4794">
        <f t="shared" si="47"/>
        <v>10.737129505120588</v>
      </c>
      <c r="AW20" s="4794">
        <f t="shared" si="48"/>
        <v>0</v>
      </c>
      <c r="AX20" s="4794">
        <f t="shared" si="49"/>
        <v>0</v>
      </c>
      <c r="AY20" s="4794">
        <f t="shared" si="50"/>
        <v>0</v>
      </c>
      <c r="AZ20" s="4794">
        <f t="shared" si="51"/>
        <v>0</v>
      </c>
      <c r="BA20" s="4794">
        <f t="shared" si="52"/>
        <v>0</v>
      </c>
      <c r="BB20" s="4794">
        <f t="shared" si="53"/>
        <v>0</v>
      </c>
      <c r="BC20" s="4794">
        <f t="shared" si="54"/>
        <v>0</v>
      </c>
      <c r="BD20" s="4794">
        <f t="shared" si="55"/>
        <v>0</v>
      </c>
      <c r="BE20" s="4794">
        <f t="shared" si="56"/>
        <v>0</v>
      </c>
      <c r="BF20" s="4794">
        <f t="shared" si="57"/>
        <v>0</v>
      </c>
      <c r="BG20" s="4794">
        <f t="shared" si="58"/>
        <v>0</v>
      </c>
      <c r="BH20" s="4794">
        <f t="shared" si="59"/>
        <v>0</v>
      </c>
      <c r="BI20" s="4794">
        <f t="shared" si="60"/>
        <v>0</v>
      </c>
      <c r="BJ20" s="4794">
        <f t="shared" si="61"/>
        <v>0</v>
      </c>
      <c r="BK20" s="4794">
        <f t="shared" si="62"/>
        <v>0</v>
      </c>
      <c r="BL20" s="4794">
        <f t="shared" si="63"/>
        <v>10.22583762392437</v>
      </c>
      <c r="BM20" s="4794">
        <f t="shared" si="64"/>
        <v>10.22583762392437</v>
      </c>
      <c r="BN20" s="4794">
        <f t="shared" si="65"/>
        <v>10.22583762392437</v>
      </c>
      <c r="BO20" s="4794">
        <f t="shared" si="66"/>
        <v>10.22583762392437</v>
      </c>
      <c r="BP20" s="4794">
        <f t="shared" si="67"/>
        <v>10.22583762392437</v>
      </c>
      <c r="BQ20" s="4794">
        <f t="shared" si="68"/>
        <v>0</v>
      </c>
      <c r="BR20" s="4794">
        <f t="shared" si="69"/>
        <v>0</v>
      </c>
      <c r="BS20" s="4794">
        <f t="shared" si="70"/>
        <v>0</v>
      </c>
      <c r="BT20" s="4794">
        <f t="shared" si="71"/>
        <v>0</v>
      </c>
      <c r="BU20" s="4794">
        <f t="shared" si="72"/>
        <v>0</v>
      </c>
      <c r="BV20" s="4794">
        <f t="shared" si="73"/>
        <v>0</v>
      </c>
      <c r="BW20" s="4794">
        <f t="shared" si="74"/>
        <v>0</v>
      </c>
      <c r="BX20" s="4794">
        <f t="shared" si="75"/>
        <v>0</v>
      </c>
      <c r="BY20" s="4794">
        <f t="shared" si="76"/>
        <v>0</v>
      </c>
      <c r="BZ20" s="4794">
        <f t="shared" si="77"/>
        <v>0</v>
      </c>
      <c r="CA20" s="4794">
        <f t="shared" si="78"/>
        <v>0</v>
      </c>
      <c r="CB20" s="4794">
        <f t="shared" si="79"/>
        <v>0</v>
      </c>
      <c r="CC20" s="4794">
        <f t="shared" si="80"/>
        <v>0</v>
      </c>
      <c r="CD20" s="4794">
        <f t="shared" si="81"/>
        <v>0</v>
      </c>
      <c r="CE20" s="4794">
        <f t="shared" si="82"/>
        <v>0</v>
      </c>
      <c r="CF20" s="4794">
        <f t="shared" si="83"/>
        <v>0</v>
      </c>
      <c r="CG20" s="4794">
        <f t="shared" si="84"/>
        <v>0</v>
      </c>
      <c r="CH20" s="4794">
        <f t="shared" si="85"/>
        <v>0</v>
      </c>
      <c r="CI20" s="4794">
        <f t="shared" si="86"/>
        <v>0</v>
      </c>
      <c r="CJ20" s="4794">
        <f t="shared" si="87"/>
        <v>0</v>
      </c>
      <c r="CK20" s="4794">
        <f t="shared" si="88"/>
        <v>0</v>
      </c>
    </row>
    <row r="21" spans="1:89">
      <c r="A21" s="2876"/>
      <c r="B21" s="3818">
        <v>20303</v>
      </c>
      <c r="C21" s="3801">
        <v>0.1</v>
      </c>
      <c r="D21" s="2879" t="s">
        <v>406</v>
      </c>
      <c r="E21" s="2864">
        <f>'11.2. ДА за периода'!E21</f>
        <v>972</v>
      </c>
      <c r="F21" s="1247">
        <f>SUMIF('9.Инвестиционна програма'!$B$12:$B$35,$B21,'9.Инвестиционна програма'!H$12:H$35)*$E$6</f>
        <v>0</v>
      </c>
      <c r="G21" s="1243">
        <f>SUMIF('9.Инвестиционна програма'!$B$12:$B$35,$B21,'9.Инвестиционна програма'!I$12:I$35)*$E$6</f>
        <v>0</v>
      </c>
      <c r="H21" s="1243">
        <f>SUMIF('9.Инвестиционна програма'!$B$12:$B$35,$B21,'9.Инвестиционна програма'!J$12:J$35)*$E$6</f>
        <v>0</v>
      </c>
      <c r="I21" s="1243">
        <f>SUMIF('9.Инвестиционна програма'!$B$12:$B$35,$B21,'9.Инвестиционна програма'!K$12:K$35)*$E$6</f>
        <v>100</v>
      </c>
      <c r="J21" s="1243">
        <f>SUMIF('9.Инвестиционна програма'!$B$12:$B$35,$B21,'9.Инвестиционна програма'!L$12:L$35)*$E$6</f>
        <v>100</v>
      </c>
      <c r="K21" s="1248">
        <f>SUMIF('9.Инвестиционна програма'!$B$12:$B$35,$B21,'9.Инвестиционна програма'!M$12:M$35)*$E$6</f>
        <v>0</v>
      </c>
      <c r="L21" s="2864">
        <f>'11.2. ДА за периода'!L21</f>
        <v>358</v>
      </c>
      <c r="M21" s="1251">
        <f>SUMIF('9.Инвестиционна програма'!$B$37:$B$47,$B21,'9.Инвестиционна програма'!H$37:H$47)*$E$6</f>
        <v>0</v>
      </c>
      <c r="N21" s="1245">
        <f>SUMIF('9.Инвестиционна програма'!$B$37:$B$47,$B21,'9.Инвестиционна програма'!I$37:I$47)*$E$6</f>
        <v>0</v>
      </c>
      <c r="O21" s="1245">
        <f>SUMIF('9.Инвестиционна програма'!$B$37:$B$47,$B21,'9.Инвестиционна програма'!J$37:J$47)*$E$6</f>
        <v>0</v>
      </c>
      <c r="P21" s="1245">
        <f>SUMIF('9.Инвестиционна програма'!$B$37:$B$47,$B21,'9.Инвестиционна програма'!K$37:K$47)*$E$6</f>
        <v>0</v>
      </c>
      <c r="Q21" s="1245">
        <f>SUMIF('9.Инвестиционна програма'!$B$37:$B$47,$B21,'9.Инвестиционна програма'!L$37:L$47)*$E$6</f>
        <v>0</v>
      </c>
      <c r="R21" s="1246">
        <f>SUMIF('9.Инвестиционна програма'!$B$37:$B$47,$B21,'9.Инвестиционна програма'!M$37:M$47)*$E$6</f>
        <v>0</v>
      </c>
      <c r="S21" s="1132">
        <f>'11.2. ДА за периода'!S21</f>
        <v>3</v>
      </c>
      <c r="T21" s="925">
        <f>SUMIF('9.Инвестиционна програма'!$B$49:$B$56,$B21,'9.Инвестиционна програма'!H$49:H$56)*$E$6</f>
        <v>0</v>
      </c>
      <c r="U21" s="925">
        <f>SUMIF('9.Инвестиционна програма'!$B$49:$B$56,$B21,'9.Инвестиционна програма'!I$49:I$56)*$E$6</f>
        <v>0</v>
      </c>
      <c r="V21" s="925">
        <f>SUMIF('9.Инвестиционна програма'!$B$49:$B$56,$B21,'9.Инвестиционна програма'!J$49:J$56)*$E$6</f>
        <v>0</v>
      </c>
      <c r="W21" s="925">
        <f>SUMIF('9.Инвестиционна програма'!$B$49:$B$56,$B21,'9.Инвестиционна програма'!K$49:K$56)*$E$6</f>
        <v>0</v>
      </c>
      <c r="X21" s="925">
        <f>SUMIF('9.Инвестиционна програма'!$B$49:$B$56,$B21,'9.Инвестиционна програма'!L$49:L$56)*$E$6</f>
        <v>0</v>
      </c>
      <c r="Y21" s="2865">
        <f>SUMIF('9.Инвестиционна програма'!$B$49:$B$56,$B21,'9.Инвестиционна програма'!M$49:M$56)*$E$6</f>
        <v>0</v>
      </c>
      <c r="Z21" s="1132">
        <f>'11.2. ДА за периода'!Z21</f>
        <v>0</v>
      </c>
      <c r="AA21" s="925">
        <f>SUMIF('9.Инвестиционна програма'!$B$74:$B$97,$B21,'9.Инвестиционна програма'!H$74:H$97)*$E$6</f>
        <v>0</v>
      </c>
      <c r="AB21" s="925">
        <f>SUMIF('9.Инвестиционна програма'!$B$74:$B$97,$B21,'9.Инвестиционна програма'!I$74:I$97)*$E$6</f>
        <v>0</v>
      </c>
      <c r="AC21" s="925">
        <f>SUMIF('9.Инвестиционна програма'!$B$74:$B$97,$B21,'9.Инвестиционна програма'!J$74:J$97)*$E$6</f>
        <v>0</v>
      </c>
      <c r="AD21" s="925">
        <f>SUMIF('9.Инвестиционна програма'!$B$74:$B$97,$B21,'9.Инвестиционна програма'!K$74:K$97)*$E$6</f>
        <v>0</v>
      </c>
      <c r="AE21" s="925">
        <f>SUMIF('9.Инвестиционна програма'!$B$74:$B$97,$B21,'9.Инвестиционна програма'!L$74:L$97)*$E$6</f>
        <v>0</v>
      </c>
      <c r="AF21" s="925">
        <f>SUMIF('9.Инвестиционна програма'!$B$74:$B$97,$B21,'9.Инвестиционна програма'!M$74:M$97)*$E$6</f>
        <v>0</v>
      </c>
      <c r="AG21" s="1132">
        <f>'11.2. ДА за периода'!AG21</f>
        <v>0</v>
      </c>
      <c r="AH21" s="925">
        <f>SUMIF('9.Инвестиционна програма'!$B$100:$B$123,$B21,'9.Инвестиционна програма'!H$100:H$123)*$E$6</f>
        <v>0</v>
      </c>
      <c r="AI21" s="925">
        <f>SUMIF('9.Инвестиционна програма'!$B$100:$B$123,$B21,'9.Инвестиционна програма'!I$100:I$123)*$E$6</f>
        <v>0</v>
      </c>
      <c r="AJ21" s="925">
        <f>SUMIF('9.Инвестиционна програма'!$B$100:$B$123,$B21,'9.Инвестиционна програма'!J$100:J$123)*$E$6</f>
        <v>0</v>
      </c>
      <c r="AK21" s="925">
        <f>SUMIF('9.Инвестиционна програма'!$B$100:$B$123,$B21,'9.Инвестиционна програма'!K$100:K$123)*$E$6</f>
        <v>0</v>
      </c>
      <c r="AL21" s="925">
        <f>SUMIF('9.Инвестиционна програма'!$B$100:$B$123,$B21,'9.Инвестиционна програма'!L$100:L$123)*$E$6</f>
        <v>0</v>
      </c>
      <c r="AM21" s="925">
        <f>SUMIF('9.Инвестиционна програма'!$B$100:$B$123,$B21,'9.Инвестиционна програма'!M$100:M$123)*$E$6</f>
        <v>0</v>
      </c>
      <c r="AN21" s="1132">
        <f>'11.2. ДА за периода'!AN21</f>
        <v>0</v>
      </c>
      <c r="AO21" s="1251">
        <f>(SUMIF('9.Инвестиционна програма'!$B$58:$B$59,$B21,'9.Инвестиционна програма'!H$58:H$59)+SUMIF('9.Инвестиционна програма'!$B$61:$B$71,$B21,'9.Инвестиционна програма'!H$61:H$71))*$E$6</f>
        <v>0</v>
      </c>
      <c r="AP21" s="925">
        <f>(SUMIF('9.Инвестиционна програма'!$B$58:$B$59,$B21,'9.Инвестиционна програма'!I$58:I$59)+SUMIF('9.Инвестиционна програма'!$B$61:$B$71,$B21,'9.Инвестиционна програма'!I$61:I$71))*$E$6</f>
        <v>0</v>
      </c>
      <c r="AQ21" s="925">
        <f>(SUMIF('9.Инвестиционна програма'!$B$58:$B$59,$B21,'9.Инвестиционна програма'!J$58:J$59)+SUMIF('9.Инвестиционна програма'!$B$61:$B$71,$B21,'9.Инвестиционна програма'!J$61:J$71))*$E$6</f>
        <v>0</v>
      </c>
      <c r="AR21" s="925">
        <f>(SUMIF('9.Инвестиционна програма'!$B$58:$B$59,$B21,'9.Инвестиционна програма'!K$58:K$59)+SUMIF('9.Инвестиционна програма'!$B$61:$B$71,$B21,'9.Инвестиционна програма'!K$61:K$71))*$E$6</f>
        <v>0</v>
      </c>
      <c r="AS21" s="925">
        <f>(SUMIF('9.Инвестиционна програма'!$B$58:$B$59,$B21,'9.Инвестиционна програма'!L$58:L$59)+SUMIF('9.Инвестиционна програма'!$B$61:$B$71,$B21,'9.Инвестиционна програма'!L$61:L$71))*$E$6</f>
        <v>0</v>
      </c>
      <c r="AT21" s="2865">
        <f>(SUMIF('9.Инвестиционна програма'!$B$58:$B$59,$B21,'9.Инвестиционна програма'!M$58:M$59)+SUMIF('9.Инвестиционна програма'!$B$61:$B$71,$B21,'9.Инвестиционна програма'!M$61:M$71))*$E$6</f>
        <v>0</v>
      </c>
      <c r="AU21" s="4775"/>
      <c r="AV21" s="4794">
        <f t="shared" si="47"/>
        <v>496.9757085227244</v>
      </c>
      <c r="AW21" s="4794">
        <f t="shared" si="48"/>
        <v>0</v>
      </c>
      <c r="AX21" s="4794">
        <f t="shared" si="49"/>
        <v>0</v>
      </c>
      <c r="AY21" s="4794">
        <f t="shared" si="50"/>
        <v>0</v>
      </c>
      <c r="AZ21" s="4794">
        <f t="shared" si="51"/>
        <v>51.129188119621851</v>
      </c>
      <c r="BA21" s="4794">
        <f t="shared" si="52"/>
        <v>51.129188119621851</v>
      </c>
      <c r="BB21" s="4794">
        <f t="shared" si="53"/>
        <v>0</v>
      </c>
      <c r="BC21" s="4794">
        <f t="shared" si="54"/>
        <v>183.04249346824622</v>
      </c>
      <c r="BD21" s="4794">
        <f t="shared" si="55"/>
        <v>0</v>
      </c>
      <c r="BE21" s="4794">
        <f t="shared" si="56"/>
        <v>0</v>
      </c>
      <c r="BF21" s="4794">
        <f t="shared" si="57"/>
        <v>0</v>
      </c>
      <c r="BG21" s="4794">
        <f t="shared" si="58"/>
        <v>0</v>
      </c>
      <c r="BH21" s="4794">
        <f t="shared" si="59"/>
        <v>0</v>
      </c>
      <c r="BI21" s="4794">
        <f t="shared" si="60"/>
        <v>0</v>
      </c>
      <c r="BJ21" s="4794">
        <f t="shared" si="61"/>
        <v>1.5338756435886556</v>
      </c>
      <c r="BK21" s="4794">
        <f t="shared" si="62"/>
        <v>0</v>
      </c>
      <c r="BL21" s="4794">
        <f t="shared" si="63"/>
        <v>0</v>
      </c>
      <c r="BM21" s="4794">
        <f t="shared" si="64"/>
        <v>0</v>
      </c>
      <c r="BN21" s="4794">
        <f t="shared" si="65"/>
        <v>0</v>
      </c>
      <c r="BO21" s="4794">
        <f t="shared" si="66"/>
        <v>0</v>
      </c>
      <c r="BP21" s="4794">
        <f t="shared" si="67"/>
        <v>0</v>
      </c>
      <c r="BQ21" s="4794">
        <f t="shared" si="68"/>
        <v>0</v>
      </c>
      <c r="BR21" s="4794">
        <f t="shared" si="69"/>
        <v>0</v>
      </c>
      <c r="BS21" s="4794">
        <f t="shared" si="70"/>
        <v>0</v>
      </c>
      <c r="BT21" s="4794">
        <f t="shared" si="71"/>
        <v>0</v>
      </c>
      <c r="BU21" s="4794">
        <f t="shared" si="72"/>
        <v>0</v>
      </c>
      <c r="BV21" s="4794">
        <f t="shared" si="73"/>
        <v>0</v>
      </c>
      <c r="BW21" s="4794">
        <f t="shared" si="74"/>
        <v>0</v>
      </c>
      <c r="BX21" s="4794">
        <f t="shared" si="75"/>
        <v>0</v>
      </c>
      <c r="BY21" s="4794">
        <f t="shared" si="76"/>
        <v>0</v>
      </c>
      <c r="BZ21" s="4794">
        <f t="shared" si="77"/>
        <v>0</v>
      </c>
      <c r="CA21" s="4794">
        <f t="shared" si="78"/>
        <v>0</v>
      </c>
      <c r="CB21" s="4794">
        <f t="shared" si="79"/>
        <v>0</v>
      </c>
      <c r="CC21" s="4794">
        <f t="shared" si="80"/>
        <v>0</v>
      </c>
      <c r="CD21" s="4794">
        <f t="shared" si="81"/>
        <v>0</v>
      </c>
      <c r="CE21" s="4794">
        <f t="shared" si="82"/>
        <v>0</v>
      </c>
      <c r="CF21" s="4794">
        <f t="shared" si="83"/>
        <v>0</v>
      </c>
      <c r="CG21" s="4794">
        <f t="shared" si="84"/>
        <v>0</v>
      </c>
      <c r="CH21" s="4794">
        <f t="shared" si="85"/>
        <v>0</v>
      </c>
      <c r="CI21" s="4794">
        <f t="shared" si="86"/>
        <v>0</v>
      </c>
      <c r="CJ21" s="4794">
        <f t="shared" si="87"/>
        <v>0</v>
      </c>
      <c r="CK21" s="4794">
        <f t="shared" si="88"/>
        <v>0</v>
      </c>
    </row>
    <row r="22" spans="1:89">
      <c r="A22" s="2876"/>
      <c r="B22" s="3818">
        <v>20304</v>
      </c>
      <c r="C22" s="3801">
        <v>0.1</v>
      </c>
      <c r="D22" s="2879" t="s">
        <v>407</v>
      </c>
      <c r="E22" s="2880">
        <f t="shared" ref="E22:AT22" si="92">SUM(E23:E24)</f>
        <v>0</v>
      </c>
      <c r="F22" s="2881">
        <f t="shared" si="92"/>
        <v>0</v>
      </c>
      <c r="G22" s="2882">
        <f t="shared" si="92"/>
        <v>0</v>
      </c>
      <c r="H22" s="2882">
        <f t="shared" si="92"/>
        <v>0</v>
      </c>
      <c r="I22" s="2882">
        <f t="shared" si="92"/>
        <v>0</v>
      </c>
      <c r="J22" s="2882">
        <f t="shared" si="92"/>
        <v>0</v>
      </c>
      <c r="K22" s="2883">
        <f t="shared" si="92"/>
        <v>0</v>
      </c>
      <c r="L22" s="2880">
        <f t="shared" si="92"/>
        <v>0</v>
      </c>
      <c r="M22" s="2881">
        <f t="shared" si="92"/>
        <v>0</v>
      </c>
      <c r="N22" s="2882">
        <f t="shared" si="92"/>
        <v>0</v>
      </c>
      <c r="O22" s="2882">
        <f t="shared" si="92"/>
        <v>0</v>
      </c>
      <c r="P22" s="2882">
        <f t="shared" si="92"/>
        <v>0</v>
      </c>
      <c r="Q22" s="2882">
        <f t="shared" si="92"/>
        <v>0</v>
      </c>
      <c r="R22" s="2883">
        <f t="shared" si="92"/>
        <v>0</v>
      </c>
      <c r="S22" s="2884">
        <f t="shared" si="92"/>
        <v>0</v>
      </c>
      <c r="T22" s="2885">
        <f t="shared" si="92"/>
        <v>0</v>
      </c>
      <c r="U22" s="2882">
        <f t="shared" si="92"/>
        <v>0</v>
      </c>
      <c r="V22" s="2882">
        <f t="shared" si="92"/>
        <v>0</v>
      </c>
      <c r="W22" s="2882">
        <f t="shared" si="92"/>
        <v>0</v>
      </c>
      <c r="X22" s="2882">
        <f t="shared" si="92"/>
        <v>0</v>
      </c>
      <c r="Y22" s="2883">
        <f t="shared" si="92"/>
        <v>0</v>
      </c>
      <c r="Z22" s="2884">
        <f t="shared" ref="Z22:AM22" si="93">SUM(Z23:Z24)</f>
        <v>0</v>
      </c>
      <c r="AA22" s="2885">
        <f t="shared" si="93"/>
        <v>0</v>
      </c>
      <c r="AB22" s="2882">
        <f t="shared" si="93"/>
        <v>0</v>
      </c>
      <c r="AC22" s="2882">
        <f t="shared" si="93"/>
        <v>0</v>
      </c>
      <c r="AD22" s="2882">
        <f t="shared" si="93"/>
        <v>0</v>
      </c>
      <c r="AE22" s="2882">
        <f t="shared" si="93"/>
        <v>0</v>
      </c>
      <c r="AF22" s="2883">
        <f t="shared" si="93"/>
        <v>0</v>
      </c>
      <c r="AG22" s="2884">
        <f t="shared" si="93"/>
        <v>0</v>
      </c>
      <c r="AH22" s="2885">
        <f t="shared" si="93"/>
        <v>0</v>
      </c>
      <c r="AI22" s="2882">
        <f t="shared" si="93"/>
        <v>0</v>
      </c>
      <c r="AJ22" s="2882">
        <f t="shared" si="93"/>
        <v>0</v>
      </c>
      <c r="AK22" s="2882">
        <f t="shared" si="93"/>
        <v>0</v>
      </c>
      <c r="AL22" s="2882">
        <f t="shared" si="93"/>
        <v>0</v>
      </c>
      <c r="AM22" s="2883">
        <f t="shared" si="93"/>
        <v>0</v>
      </c>
      <c r="AN22" s="2884">
        <f t="shared" si="92"/>
        <v>0</v>
      </c>
      <c r="AO22" s="2885">
        <f t="shared" si="92"/>
        <v>0</v>
      </c>
      <c r="AP22" s="2882">
        <f t="shared" si="92"/>
        <v>0</v>
      </c>
      <c r="AQ22" s="2882">
        <f t="shared" si="92"/>
        <v>0</v>
      </c>
      <c r="AR22" s="2882">
        <f t="shared" si="92"/>
        <v>0</v>
      </c>
      <c r="AS22" s="2882">
        <f t="shared" si="92"/>
        <v>0</v>
      </c>
      <c r="AT22" s="2883">
        <f t="shared" si="92"/>
        <v>0</v>
      </c>
      <c r="AU22" s="4775"/>
      <c r="AV22" s="4794">
        <f t="shared" si="47"/>
        <v>0</v>
      </c>
      <c r="AW22" s="4794">
        <f t="shared" si="48"/>
        <v>0</v>
      </c>
      <c r="AX22" s="4794">
        <f t="shared" si="49"/>
        <v>0</v>
      </c>
      <c r="AY22" s="4794">
        <f t="shared" si="50"/>
        <v>0</v>
      </c>
      <c r="AZ22" s="4794">
        <f t="shared" si="51"/>
        <v>0</v>
      </c>
      <c r="BA22" s="4794">
        <f t="shared" si="52"/>
        <v>0</v>
      </c>
      <c r="BB22" s="4794">
        <f t="shared" si="53"/>
        <v>0</v>
      </c>
      <c r="BC22" s="4794">
        <f t="shared" si="54"/>
        <v>0</v>
      </c>
      <c r="BD22" s="4794">
        <f t="shared" si="55"/>
        <v>0</v>
      </c>
      <c r="BE22" s="4794">
        <f t="shared" si="56"/>
        <v>0</v>
      </c>
      <c r="BF22" s="4794">
        <f t="shared" si="57"/>
        <v>0</v>
      </c>
      <c r="BG22" s="4794">
        <f t="shared" si="58"/>
        <v>0</v>
      </c>
      <c r="BH22" s="4794">
        <f t="shared" si="59"/>
        <v>0</v>
      </c>
      <c r="BI22" s="4794">
        <f t="shared" si="60"/>
        <v>0</v>
      </c>
      <c r="BJ22" s="4794">
        <f t="shared" si="61"/>
        <v>0</v>
      </c>
      <c r="BK22" s="4794">
        <f t="shared" si="62"/>
        <v>0</v>
      </c>
      <c r="BL22" s="4794">
        <f t="shared" si="63"/>
        <v>0</v>
      </c>
      <c r="BM22" s="4794">
        <f t="shared" si="64"/>
        <v>0</v>
      </c>
      <c r="BN22" s="4794">
        <f t="shared" si="65"/>
        <v>0</v>
      </c>
      <c r="BO22" s="4794">
        <f t="shared" si="66"/>
        <v>0</v>
      </c>
      <c r="BP22" s="4794">
        <f t="shared" si="67"/>
        <v>0</v>
      </c>
      <c r="BQ22" s="4794">
        <f t="shared" si="68"/>
        <v>0</v>
      </c>
      <c r="BR22" s="4794">
        <f t="shared" si="69"/>
        <v>0</v>
      </c>
      <c r="BS22" s="4794">
        <f t="shared" si="70"/>
        <v>0</v>
      </c>
      <c r="BT22" s="4794">
        <f t="shared" si="71"/>
        <v>0</v>
      </c>
      <c r="BU22" s="4794">
        <f t="shared" si="72"/>
        <v>0</v>
      </c>
      <c r="BV22" s="4794">
        <f t="shared" si="73"/>
        <v>0</v>
      </c>
      <c r="BW22" s="4794">
        <f t="shared" si="74"/>
        <v>0</v>
      </c>
      <c r="BX22" s="4794">
        <f t="shared" si="75"/>
        <v>0</v>
      </c>
      <c r="BY22" s="4794">
        <f t="shared" si="76"/>
        <v>0</v>
      </c>
      <c r="BZ22" s="4794">
        <f t="shared" si="77"/>
        <v>0</v>
      </c>
      <c r="CA22" s="4794">
        <f t="shared" si="78"/>
        <v>0</v>
      </c>
      <c r="CB22" s="4794">
        <f t="shared" si="79"/>
        <v>0</v>
      </c>
      <c r="CC22" s="4794">
        <f t="shared" si="80"/>
        <v>0</v>
      </c>
      <c r="CD22" s="4794">
        <f t="shared" si="81"/>
        <v>0</v>
      </c>
      <c r="CE22" s="4794">
        <f t="shared" si="82"/>
        <v>0</v>
      </c>
      <c r="CF22" s="4794">
        <f t="shared" si="83"/>
        <v>0</v>
      </c>
      <c r="CG22" s="4794">
        <f t="shared" si="84"/>
        <v>0</v>
      </c>
      <c r="CH22" s="4794">
        <f t="shared" si="85"/>
        <v>0</v>
      </c>
      <c r="CI22" s="4794">
        <f t="shared" si="86"/>
        <v>0</v>
      </c>
      <c r="CJ22" s="4794">
        <f t="shared" si="87"/>
        <v>0</v>
      </c>
      <c r="CK22" s="4794">
        <f t="shared" si="88"/>
        <v>0</v>
      </c>
    </row>
    <row r="23" spans="1:89">
      <c r="A23" s="2876"/>
      <c r="B23" s="3819">
        <v>2030401</v>
      </c>
      <c r="C23" s="3802">
        <v>0.1</v>
      </c>
      <c r="D23" s="2886" t="s">
        <v>991</v>
      </c>
      <c r="E23" s="2864">
        <f>'11.2. ДА за периода'!E23</f>
        <v>0</v>
      </c>
      <c r="F23" s="1247">
        <f>SUMIF('9.Инвестиционна програма'!$B$12:$B$35,$B23,'9.Инвестиционна програма'!H$12:H$35)*$E$6</f>
        <v>0</v>
      </c>
      <c r="G23" s="1243">
        <f>SUMIF('9.Инвестиционна програма'!$B$12:$B$35,$B23,'9.Инвестиционна програма'!I$12:I$35)*$E$6</f>
        <v>0</v>
      </c>
      <c r="H23" s="1243">
        <f>SUMIF('9.Инвестиционна програма'!$B$12:$B$35,$B23,'9.Инвестиционна програма'!J$12:J$35)*$E$6</f>
        <v>0</v>
      </c>
      <c r="I23" s="1243">
        <f>SUMIF('9.Инвестиционна програма'!$B$12:$B$35,$B23,'9.Инвестиционна програма'!K$12:K$35)*$E$6</f>
        <v>0</v>
      </c>
      <c r="J23" s="1243">
        <f>SUMIF('9.Инвестиционна програма'!$B$12:$B$35,$B23,'9.Инвестиционна програма'!L$12:L$35)*$E$6</f>
        <v>0</v>
      </c>
      <c r="K23" s="1248">
        <f>SUMIF('9.Инвестиционна програма'!$B$12:$B$35,$B23,'9.Инвестиционна програма'!M$12:M$35)*$E$6</f>
        <v>0</v>
      </c>
      <c r="L23" s="2864">
        <f>'11.2. ДА за периода'!L23</f>
        <v>0</v>
      </c>
      <c r="M23" s="1251">
        <f>SUMIF('9.Инвестиционна програма'!$B$37:$B$47,$B23,'9.Инвестиционна програма'!H$37:H$47)*$E$6</f>
        <v>0</v>
      </c>
      <c r="N23" s="1245">
        <f>SUMIF('9.Инвестиционна програма'!$B$37:$B$47,$B23,'9.Инвестиционна програма'!I$37:I$47)*$E$6</f>
        <v>0</v>
      </c>
      <c r="O23" s="1245">
        <f>SUMIF('9.Инвестиционна програма'!$B$37:$B$47,$B23,'9.Инвестиционна програма'!J$37:J$47)*$E$6</f>
        <v>0</v>
      </c>
      <c r="P23" s="1245">
        <f>SUMIF('9.Инвестиционна програма'!$B$37:$B$47,$B23,'9.Инвестиционна програма'!K$37:K$47)*$E$6</f>
        <v>0</v>
      </c>
      <c r="Q23" s="1245">
        <f>SUMIF('9.Инвестиционна програма'!$B$37:$B$47,$B23,'9.Инвестиционна програма'!L$37:L$47)*$E$6</f>
        <v>0</v>
      </c>
      <c r="R23" s="1246">
        <f>SUMIF('9.Инвестиционна програма'!$B$37:$B$47,$B23,'9.Инвестиционна програма'!M$37:M$47)*$E$6</f>
        <v>0</v>
      </c>
      <c r="S23" s="1132">
        <f>'11.2. ДА за периода'!S23</f>
        <v>0</v>
      </c>
      <c r="T23" s="925">
        <f>SUMIF('9.Инвестиционна програма'!$B$49:$B$56,$B23,'9.Инвестиционна програма'!H$49:H$56)*$E$6</f>
        <v>0</v>
      </c>
      <c r="U23" s="925">
        <f>SUMIF('9.Инвестиционна програма'!$B$49:$B$56,$B23,'9.Инвестиционна програма'!I$49:I$56)*$E$6</f>
        <v>0</v>
      </c>
      <c r="V23" s="925">
        <f>SUMIF('9.Инвестиционна програма'!$B$49:$B$56,$B23,'9.Инвестиционна програма'!J$49:J$56)*$E$6</f>
        <v>0</v>
      </c>
      <c r="W23" s="925">
        <f>SUMIF('9.Инвестиционна програма'!$B$49:$B$56,$B23,'9.Инвестиционна програма'!K$49:K$56)*$E$6</f>
        <v>0</v>
      </c>
      <c r="X23" s="925">
        <f>SUMIF('9.Инвестиционна програма'!$B$49:$B$56,$B23,'9.Инвестиционна програма'!L$49:L$56)*$E$6</f>
        <v>0</v>
      </c>
      <c r="Y23" s="2865">
        <f>SUMIF('9.Инвестиционна програма'!$B$49:$B$56,$B23,'9.Инвестиционна програма'!M$49:M$56)*$E$6</f>
        <v>0</v>
      </c>
      <c r="Z23" s="1132">
        <f>'11.2. ДА за периода'!Z23</f>
        <v>0</v>
      </c>
      <c r="AA23" s="925">
        <f>SUMIF('9.Инвестиционна програма'!$B$74:$B$97,$B23,'9.Инвестиционна програма'!H$74:H$97)*$E$6</f>
        <v>0</v>
      </c>
      <c r="AB23" s="925">
        <f>SUMIF('9.Инвестиционна програма'!$B$74:$B$97,$B23,'9.Инвестиционна програма'!I$74:I$97)*$E$6</f>
        <v>0</v>
      </c>
      <c r="AC23" s="925">
        <f>SUMIF('9.Инвестиционна програма'!$B$74:$B$97,$B23,'9.Инвестиционна програма'!J$74:J$97)*$E$6</f>
        <v>0</v>
      </c>
      <c r="AD23" s="925">
        <f>SUMIF('9.Инвестиционна програма'!$B$74:$B$97,$B23,'9.Инвестиционна програма'!K$74:K$97)*$E$6</f>
        <v>0</v>
      </c>
      <c r="AE23" s="925">
        <f>SUMIF('9.Инвестиционна програма'!$B$74:$B$97,$B23,'9.Инвестиционна програма'!L$74:L$97)*$E$6</f>
        <v>0</v>
      </c>
      <c r="AF23" s="925">
        <f>SUMIF('9.Инвестиционна програма'!$B$74:$B$97,$B23,'9.Инвестиционна програма'!M$74:M$97)*$E$6</f>
        <v>0</v>
      </c>
      <c r="AG23" s="1132">
        <f>'11.2. ДА за периода'!AG23</f>
        <v>0</v>
      </c>
      <c r="AH23" s="925">
        <f>SUMIF('9.Инвестиционна програма'!$B$100:$B$123,$B23,'9.Инвестиционна програма'!H$100:H$123)*$E$6</f>
        <v>0</v>
      </c>
      <c r="AI23" s="925">
        <f>SUMIF('9.Инвестиционна програма'!$B$100:$B$123,$B23,'9.Инвестиционна програма'!I$100:I$123)*$E$6</f>
        <v>0</v>
      </c>
      <c r="AJ23" s="925">
        <f>SUMIF('9.Инвестиционна програма'!$B$100:$B$123,$B23,'9.Инвестиционна програма'!J$100:J$123)*$E$6</f>
        <v>0</v>
      </c>
      <c r="AK23" s="925">
        <f>SUMIF('9.Инвестиционна програма'!$B$100:$B$123,$B23,'9.Инвестиционна програма'!K$100:K$123)*$E$6</f>
        <v>0</v>
      </c>
      <c r="AL23" s="925">
        <f>SUMIF('9.Инвестиционна програма'!$B$100:$B$123,$B23,'9.Инвестиционна програма'!L$100:L$123)*$E$6</f>
        <v>0</v>
      </c>
      <c r="AM23" s="925">
        <f>SUMIF('9.Инвестиционна програма'!$B$100:$B$123,$B23,'9.Инвестиционна програма'!M$100:M$123)*$E$6</f>
        <v>0</v>
      </c>
      <c r="AN23" s="1132">
        <f>'11.2. ДА за периода'!AN23</f>
        <v>0</v>
      </c>
      <c r="AO23" s="1251">
        <f>(SUMIF('9.Инвестиционна програма'!$B$58:$B$59,$B23,'9.Инвестиционна програма'!H$58:H$59)+SUMIF('9.Инвестиционна програма'!$B$61:$B$71,$B23,'9.Инвестиционна програма'!H$61:H$71))*$E$6</f>
        <v>0</v>
      </c>
      <c r="AP23" s="925">
        <f>(SUMIF('9.Инвестиционна програма'!$B$58:$B$59,$B23,'9.Инвестиционна програма'!I$58:I$59)+SUMIF('9.Инвестиционна програма'!$B$61:$B$71,$B23,'9.Инвестиционна програма'!I$61:I$71))*$E$6</f>
        <v>0</v>
      </c>
      <c r="AQ23" s="925">
        <f>(SUMIF('9.Инвестиционна програма'!$B$58:$B$59,$B23,'9.Инвестиционна програма'!J$58:J$59)+SUMIF('9.Инвестиционна програма'!$B$61:$B$71,$B23,'9.Инвестиционна програма'!J$61:J$71))*$E$6</f>
        <v>0</v>
      </c>
      <c r="AR23" s="925">
        <f>(SUMIF('9.Инвестиционна програма'!$B$58:$B$59,$B23,'9.Инвестиционна програма'!K$58:K$59)+SUMIF('9.Инвестиционна програма'!$B$61:$B$71,$B23,'9.Инвестиционна програма'!K$61:K$71))*$E$6</f>
        <v>0</v>
      </c>
      <c r="AS23" s="925">
        <f>(SUMIF('9.Инвестиционна програма'!$B$58:$B$59,$B23,'9.Инвестиционна програма'!L$58:L$59)+SUMIF('9.Инвестиционна програма'!$B$61:$B$71,$B23,'9.Инвестиционна програма'!L$61:L$71))*$E$6</f>
        <v>0</v>
      </c>
      <c r="AT23" s="2865">
        <f>(SUMIF('9.Инвестиционна програма'!$B$58:$B$59,$B23,'9.Инвестиционна програма'!M$58:M$59)+SUMIF('9.Инвестиционна програма'!$B$61:$B$71,$B23,'9.Инвестиционна програма'!M$61:M$71))*$E$6</f>
        <v>0</v>
      </c>
      <c r="AU23" s="4775"/>
      <c r="AV23" s="4794">
        <f t="shared" si="47"/>
        <v>0</v>
      </c>
      <c r="AW23" s="4794">
        <f t="shared" si="48"/>
        <v>0</v>
      </c>
      <c r="AX23" s="4794">
        <f t="shared" si="49"/>
        <v>0</v>
      </c>
      <c r="AY23" s="4794">
        <f t="shared" si="50"/>
        <v>0</v>
      </c>
      <c r="AZ23" s="4794">
        <f t="shared" si="51"/>
        <v>0</v>
      </c>
      <c r="BA23" s="4794">
        <f t="shared" si="52"/>
        <v>0</v>
      </c>
      <c r="BB23" s="4794">
        <f t="shared" si="53"/>
        <v>0</v>
      </c>
      <c r="BC23" s="4794">
        <f t="shared" si="54"/>
        <v>0</v>
      </c>
      <c r="BD23" s="4794">
        <f t="shared" si="55"/>
        <v>0</v>
      </c>
      <c r="BE23" s="4794">
        <f t="shared" si="56"/>
        <v>0</v>
      </c>
      <c r="BF23" s="4794">
        <f t="shared" si="57"/>
        <v>0</v>
      </c>
      <c r="BG23" s="4794">
        <f t="shared" si="58"/>
        <v>0</v>
      </c>
      <c r="BH23" s="4794">
        <f t="shared" si="59"/>
        <v>0</v>
      </c>
      <c r="BI23" s="4794">
        <f t="shared" si="60"/>
        <v>0</v>
      </c>
      <c r="BJ23" s="4794">
        <f t="shared" si="61"/>
        <v>0</v>
      </c>
      <c r="BK23" s="4794">
        <f t="shared" si="62"/>
        <v>0</v>
      </c>
      <c r="BL23" s="4794">
        <f t="shared" si="63"/>
        <v>0</v>
      </c>
      <c r="BM23" s="4794">
        <f t="shared" si="64"/>
        <v>0</v>
      </c>
      <c r="BN23" s="4794">
        <f t="shared" si="65"/>
        <v>0</v>
      </c>
      <c r="BO23" s="4794">
        <f t="shared" si="66"/>
        <v>0</v>
      </c>
      <c r="BP23" s="4794">
        <f t="shared" si="67"/>
        <v>0</v>
      </c>
      <c r="BQ23" s="4794">
        <f t="shared" si="68"/>
        <v>0</v>
      </c>
      <c r="BR23" s="4794">
        <f t="shared" si="69"/>
        <v>0</v>
      </c>
      <c r="BS23" s="4794">
        <f t="shared" si="70"/>
        <v>0</v>
      </c>
      <c r="BT23" s="4794">
        <f t="shared" si="71"/>
        <v>0</v>
      </c>
      <c r="BU23" s="4794">
        <f t="shared" si="72"/>
        <v>0</v>
      </c>
      <c r="BV23" s="4794">
        <f t="shared" si="73"/>
        <v>0</v>
      </c>
      <c r="BW23" s="4794">
        <f t="shared" si="74"/>
        <v>0</v>
      </c>
      <c r="BX23" s="4794">
        <f t="shared" si="75"/>
        <v>0</v>
      </c>
      <c r="BY23" s="4794">
        <f t="shared" si="76"/>
        <v>0</v>
      </c>
      <c r="BZ23" s="4794">
        <f t="shared" si="77"/>
        <v>0</v>
      </c>
      <c r="CA23" s="4794">
        <f t="shared" si="78"/>
        <v>0</v>
      </c>
      <c r="CB23" s="4794">
        <f t="shared" si="79"/>
        <v>0</v>
      </c>
      <c r="CC23" s="4794">
        <f t="shared" si="80"/>
        <v>0</v>
      </c>
      <c r="CD23" s="4794">
        <f t="shared" si="81"/>
        <v>0</v>
      </c>
      <c r="CE23" s="4794">
        <f t="shared" si="82"/>
        <v>0</v>
      </c>
      <c r="CF23" s="4794">
        <f t="shared" si="83"/>
        <v>0</v>
      </c>
      <c r="CG23" s="4794">
        <f t="shared" si="84"/>
        <v>0</v>
      </c>
      <c r="CH23" s="4794">
        <f t="shared" si="85"/>
        <v>0</v>
      </c>
      <c r="CI23" s="4794">
        <f t="shared" si="86"/>
        <v>0</v>
      </c>
      <c r="CJ23" s="4794">
        <f t="shared" si="87"/>
        <v>0</v>
      </c>
      <c r="CK23" s="4794">
        <f t="shared" si="88"/>
        <v>0</v>
      </c>
    </row>
    <row r="24" spans="1:89">
      <c r="A24" s="2876"/>
      <c r="B24" s="3819">
        <v>2030402</v>
      </c>
      <c r="C24" s="3802">
        <v>0.1</v>
      </c>
      <c r="D24" s="2886" t="s">
        <v>429</v>
      </c>
      <c r="E24" s="2864">
        <f>'11.2. ДА за периода'!E24</f>
        <v>0</v>
      </c>
      <c r="F24" s="1247">
        <f>SUMIF('9.Инвестиционна програма'!$B$12:$B$35,$B24,'9.Инвестиционна програма'!H$12:H$35)*$E$6</f>
        <v>0</v>
      </c>
      <c r="G24" s="1243">
        <f>SUMIF('9.Инвестиционна програма'!$B$12:$B$35,$B24,'9.Инвестиционна програма'!I$12:I$35)*$E$6</f>
        <v>0</v>
      </c>
      <c r="H24" s="1243">
        <f>SUMIF('9.Инвестиционна програма'!$B$12:$B$35,$B24,'9.Инвестиционна програма'!J$12:J$35)*$E$6</f>
        <v>0</v>
      </c>
      <c r="I24" s="1243">
        <f>SUMIF('9.Инвестиционна програма'!$B$12:$B$35,$B24,'9.Инвестиционна програма'!K$12:K$35)*$E$6</f>
        <v>0</v>
      </c>
      <c r="J24" s="1243">
        <f>SUMIF('9.Инвестиционна програма'!$B$12:$B$35,$B24,'9.Инвестиционна програма'!L$12:L$35)*$E$6</f>
        <v>0</v>
      </c>
      <c r="K24" s="1248">
        <f>SUMIF('9.Инвестиционна програма'!$B$12:$B$35,$B24,'9.Инвестиционна програма'!M$12:M$35)*$E$6</f>
        <v>0</v>
      </c>
      <c r="L24" s="2864">
        <f>'11.2. ДА за периода'!L24</f>
        <v>0</v>
      </c>
      <c r="M24" s="1251">
        <f>SUMIF('9.Инвестиционна програма'!$B$37:$B$47,$B24,'9.Инвестиционна програма'!H$37:H$47)*$E$6</f>
        <v>0</v>
      </c>
      <c r="N24" s="1245">
        <f>SUMIF('9.Инвестиционна програма'!$B$37:$B$47,$B24,'9.Инвестиционна програма'!I$37:I$47)*$E$6</f>
        <v>0</v>
      </c>
      <c r="O24" s="1245">
        <f>SUMIF('9.Инвестиционна програма'!$B$37:$B$47,$B24,'9.Инвестиционна програма'!J$37:J$47)*$E$6</f>
        <v>0</v>
      </c>
      <c r="P24" s="1245">
        <f>SUMIF('9.Инвестиционна програма'!$B$37:$B$47,$B24,'9.Инвестиционна програма'!K$37:K$47)*$E$6</f>
        <v>0</v>
      </c>
      <c r="Q24" s="1245">
        <f>SUMIF('9.Инвестиционна програма'!$B$37:$B$47,$B24,'9.Инвестиционна програма'!L$37:L$47)*$E$6</f>
        <v>0</v>
      </c>
      <c r="R24" s="1246">
        <f>SUMIF('9.Инвестиционна програма'!$B$37:$B$47,$B24,'9.Инвестиционна програма'!M$37:M$47)*$E$6</f>
        <v>0</v>
      </c>
      <c r="S24" s="1132">
        <f>'11.2. ДА за периода'!S24</f>
        <v>0</v>
      </c>
      <c r="T24" s="925">
        <f>SUMIF('9.Инвестиционна програма'!$B$49:$B$56,$B24,'9.Инвестиционна програма'!H$49:H$56)*$E$6</f>
        <v>0</v>
      </c>
      <c r="U24" s="925">
        <f>SUMIF('9.Инвестиционна програма'!$B$49:$B$56,$B24,'9.Инвестиционна програма'!I$49:I$56)*$E$6</f>
        <v>0</v>
      </c>
      <c r="V24" s="925">
        <f>SUMIF('9.Инвестиционна програма'!$B$49:$B$56,$B24,'9.Инвестиционна програма'!J$49:J$56)*$E$6</f>
        <v>0</v>
      </c>
      <c r="W24" s="925">
        <f>SUMIF('9.Инвестиционна програма'!$B$49:$B$56,$B24,'9.Инвестиционна програма'!K$49:K$56)*$E$6</f>
        <v>0</v>
      </c>
      <c r="X24" s="925">
        <f>SUMIF('9.Инвестиционна програма'!$B$49:$B$56,$B24,'9.Инвестиционна програма'!L$49:L$56)*$E$6</f>
        <v>0</v>
      </c>
      <c r="Y24" s="2865">
        <f>SUMIF('9.Инвестиционна програма'!$B$49:$B$56,$B24,'9.Инвестиционна програма'!M$49:M$56)*$E$6</f>
        <v>0</v>
      </c>
      <c r="Z24" s="1132">
        <f>'11.2. ДА за периода'!Z24</f>
        <v>0</v>
      </c>
      <c r="AA24" s="925">
        <f>SUMIF('9.Инвестиционна програма'!$B$74:$B$97,$B24,'9.Инвестиционна програма'!H$74:H$97)*$E$6</f>
        <v>0</v>
      </c>
      <c r="AB24" s="925">
        <f>SUMIF('9.Инвестиционна програма'!$B$74:$B$97,$B24,'9.Инвестиционна програма'!I$74:I$97)*$E$6</f>
        <v>0</v>
      </c>
      <c r="AC24" s="925">
        <f>SUMIF('9.Инвестиционна програма'!$B$74:$B$97,$B24,'9.Инвестиционна програма'!J$74:J$97)*$E$6</f>
        <v>0</v>
      </c>
      <c r="AD24" s="925">
        <f>SUMIF('9.Инвестиционна програма'!$B$74:$B$97,$B24,'9.Инвестиционна програма'!K$74:K$97)*$E$6</f>
        <v>0</v>
      </c>
      <c r="AE24" s="925">
        <f>SUMIF('9.Инвестиционна програма'!$B$74:$B$97,$B24,'9.Инвестиционна програма'!L$74:L$97)*$E$6</f>
        <v>0</v>
      </c>
      <c r="AF24" s="925">
        <f>SUMIF('9.Инвестиционна програма'!$B$74:$B$97,$B24,'9.Инвестиционна програма'!M$74:M$97)*$E$6</f>
        <v>0</v>
      </c>
      <c r="AG24" s="1132">
        <f>'11.2. ДА за периода'!AG24</f>
        <v>0</v>
      </c>
      <c r="AH24" s="925">
        <f>SUMIF('9.Инвестиционна програма'!$B$100:$B$123,$B24,'9.Инвестиционна програма'!H$100:H$123)*$E$6</f>
        <v>0</v>
      </c>
      <c r="AI24" s="925">
        <f>SUMIF('9.Инвестиционна програма'!$B$100:$B$123,$B24,'9.Инвестиционна програма'!I$100:I$123)*$E$6</f>
        <v>0</v>
      </c>
      <c r="AJ24" s="925">
        <f>SUMIF('9.Инвестиционна програма'!$B$100:$B$123,$B24,'9.Инвестиционна програма'!J$100:J$123)*$E$6</f>
        <v>0</v>
      </c>
      <c r="AK24" s="925">
        <f>SUMIF('9.Инвестиционна програма'!$B$100:$B$123,$B24,'9.Инвестиционна програма'!K$100:K$123)*$E$6</f>
        <v>0</v>
      </c>
      <c r="AL24" s="925">
        <f>SUMIF('9.Инвестиционна програма'!$B$100:$B$123,$B24,'9.Инвестиционна програма'!L$100:L$123)*$E$6</f>
        <v>0</v>
      </c>
      <c r="AM24" s="925">
        <f>SUMIF('9.Инвестиционна програма'!$B$100:$B$123,$B24,'9.Инвестиционна програма'!M$100:M$123)*$E$6</f>
        <v>0</v>
      </c>
      <c r="AN24" s="1132">
        <f>'11.2. ДА за периода'!AN24</f>
        <v>0</v>
      </c>
      <c r="AO24" s="1251">
        <f>(SUMIF('9.Инвестиционна програма'!$B$58:$B$59,$B24,'9.Инвестиционна програма'!H$58:H$59)+SUMIF('9.Инвестиционна програма'!$B$61:$B$71,$B24,'9.Инвестиционна програма'!H$61:H$71))*$E$6</f>
        <v>0</v>
      </c>
      <c r="AP24" s="925">
        <f>(SUMIF('9.Инвестиционна програма'!$B$58:$B$59,$B24,'9.Инвестиционна програма'!I$58:I$59)+SUMIF('9.Инвестиционна програма'!$B$61:$B$71,$B24,'9.Инвестиционна програма'!I$61:I$71))*$E$6</f>
        <v>0</v>
      </c>
      <c r="AQ24" s="925">
        <f>(SUMIF('9.Инвестиционна програма'!$B$58:$B$59,$B24,'9.Инвестиционна програма'!J$58:J$59)+SUMIF('9.Инвестиционна програма'!$B$61:$B$71,$B24,'9.Инвестиционна програма'!J$61:J$71))*$E$6</f>
        <v>0</v>
      </c>
      <c r="AR24" s="925">
        <f>(SUMIF('9.Инвестиционна програма'!$B$58:$B$59,$B24,'9.Инвестиционна програма'!K$58:K$59)+SUMIF('9.Инвестиционна програма'!$B$61:$B$71,$B24,'9.Инвестиционна програма'!K$61:K$71))*$E$6</f>
        <v>0</v>
      </c>
      <c r="AS24" s="925">
        <f>(SUMIF('9.Инвестиционна програма'!$B$58:$B$59,$B24,'9.Инвестиционна програма'!L$58:L$59)+SUMIF('9.Инвестиционна програма'!$B$61:$B$71,$B24,'9.Инвестиционна програма'!L$61:L$71))*$E$6</f>
        <v>0</v>
      </c>
      <c r="AT24" s="2865">
        <f>(SUMIF('9.Инвестиционна програма'!$B$58:$B$59,$B24,'9.Инвестиционна програма'!M$58:M$59)+SUMIF('9.Инвестиционна програма'!$B$61:$B$71,$B24,'9.Инвестиционна програма'!M$61:M$71))*$E$6</f>
        <v>0</v>
      </c>
      <c r="AU24" s="4775"/>
      <c r="AV24" s="4794">
        <f t="shared" si="47"/>
        <v>0</v>
      </c>
      <c r="AW24" s="4794">
        <f t="shared" si="48"/>
        <v>0</v>
      </c>
      <c r="AX24" s="4794">
        <f t="shared" si="49"/>
        <v>0</v>
      </c>
      <c r="AY24" s="4794">
        <f t="shared" si="50"/>
        <v>0</v>
      </c>
      <c r="AZ24" s="4794">
        <f t="shared" si="51"/>
        <v>0</v>
      </c>
      <c r="BA24" s="4794">
        <f t="shared" si="52"/>
        <v>0</v>
      </c>
      <c r="BB24" s="4794">
        <f t="shared" si="53"/>
        <v>0</v>
      </c>
      <c r="BC24" s="4794">
        <f t="shared" si="54"/>
        <v>0</v>
      </c>
      <c r="BD24" s="4794">
        <f t="shared" si="55"/>
        <v>0</v>
      </c>
      <c r="BE24" s="4794">
        <f t="shared" si="56"/>
        <v>0</v>
      </c>
      <c r="BF24" s="4794">
        <f t="shared" si="57"/>
        <v>0</v>
      </c>
      <c r="BG24" s="4794">
        <f t="shared" si="58"/>
        <v>0</v>
      </c>
      <c r="BH24" s="4794">
        <f t="shared" si="59"/>
        <v>0</v>
      </c>
      <c r="BI24" s="4794">
        <f t="shared" si="60"/>
        <v>0</v>
      </c>
      <c r="BJ24" s="4794">
        <f t="shared" si="61"/>
        <v>0</v>
      </c>
      <c r="BK24" s="4794">
        <f t="shared" si="62"/>
        <v>0</v>
      </c>
      <c r="BL24" s="4794">
        <f t="shared" si="63"/>
        <v>0</v>
      </c>
      <c r="BM24" s="4794">
        <f t="shared" si="64"/>
        <v>0</v>
      </c>
      <c r="BN24" s="4794">
        <f t="shared" si="65"/>
        <v>0</v>
      </c>
      <c r="BO24" s="4794">
        <f t="shared" si="66"/>
        <v>0</v>
      </c>
      <c r="BP24" s="4794">
        <f t="shared" si="67"/>
        <v>0</v>
      </c>
      <c r="BQ24" s="4794">
        <f t="shared" si="68"/>
        <v>0</v>
      </c>
      <c r="BR24" s="4794">
        <f t="shared" si="69"/>
        <v>0</v>
      </c>
      <c r="BS24" s="4794">
        <f t="shared" si="70"/>
        <v>0</v>
      </c>
      <c r="BT24" s="4794">
        <f t="shared" si="71"/>
        <v>0</v>
      </c>
      <c r="BU24" s="4794">
        <f t="shared" si="72"/>
        <v>0</v>
      </c>
      <c r="BV24" s="4794">
        <f t="shared" si="73"/>
        <v>0</v>
      </c>
      <c r="BW24" s="4794">
        <f t="shared" si="74"/>
        <v>0</v>
      </c>
      <c r="BX24" s="4794">
        <f t="shared" si="75"/>
        <v>0</v>
      </c>
      <c r="BY24" s="4794">
        <f t="shared" si="76"/>
        <v>0</v>
      </c>
      <c r="BZ24" s="4794">
        <f t="shared" si="77"/>
        <v>0</v>
      </c>
      <c r="CA24" s="4794">
        <f t="shared" si="78"/>
        <v>0</v>
      </c>
      <c r="CB24" s="4794">
        <f t="shared" si="79"/>
        <v>0</v>
      </c>
      <c r="CC24" s="4794">
        <f t="shared" si="80"/>
        <v>0</v>
      </c>
      <c r="CD24" s="4794">
        <f t="shared" si="81"/>
        <v>0</v>
      </c>
      <c r="CE24" s="4794">
        <f t="shared" si="82"/>
        <v>0</v>
      </c>
      <c r="CF24" s="4794">
        <f t="shared" si="83"/>
        <v>0</v>
      </c>
      <c r="CG24" s="4794">
        <f t="shared" si="84"/>
        <v>0</v>
      </c>
      <c r="CH24" s="4794">
        <f t="shared" si="85"/>
        <v>0</v>
      </c>
      <c r="CI24" s="4794">
        <f t="shared" si="86"/>
        <v>0</v>
      </c>
      <c r="CJ24" s="4794">
        <f t="shared" si="87"/>
        <v>0</v>
      </c>
      <c r="CK24" s="4794">
        <f t="shared" si="88"/>
        <v>0</v>
      </c>
    </row>
    <row r="25" spans="1:89">
      <c r="A25" s="2876"/>
      <c r="B25" s="3818">
        <v>20305</v>
      </c>
      <c r="C25" s="3801"/>
      <c r="D25" s="2879" t="s">
        <v>430</v>
      </c>
      <c r="E25" s="2880">
        <f>SUM(E26:E28)</f>
        <v>435</v>
      </c>
      <c r="F25" s="2881">
        <f t="shared" ref="F25:AT25" si="94">SUM(F26:F28)</f>
        <v>102</v>
      </c>
      <c r="G25" s="2882">
        <f t="shared" si="94"/>
        <v>92</v>
      </c>
      <c r="H25" s="2882">
        <f t="shared" si="94"/>
        <v>70</v>
      </c>
      <c r="I25" s="2882">
        <f t="shared" si="94"/>
        <v>75</v>
      </c>
      <c r="J25" s="2882">
        <f t="shared" si="94"/>
        <v>65</v>
      </c>
      <c r="K25" s="2883">
        <f t="shared" si="94"/>
        <v>65</v>
      </c>
      <c r="L25" s="2880">
        <f t="shared" si="94"/>
        <v>0</v>
      </c>
      <c r="M25" s="2881">
        <f t="shared" si="94"/>
        <v>0</v>
      </c>
      <c r="N25" s="2882">
        <f t="shared" si="94"/>
        <v>0</v>
      </c>
      <c r="O25" s="2882">
        <f t="shared" si="94"/>
        <v>0</v>
      </c>
      <c r="P25" s="2882">
        <f t="shared" si="94"/>
        <v>0</v>
      </c>
      <c r="Q25" s="2882">
        <f t="shared" si="94"/>
        <v>0</v>
      </c>
      <c r="R25" s="2883">
        <f t="shared" si="94"/>
        <v>0</v>
      </c>
      <c r="S25" s="2884">
        <f t="shared" si="94"/>
        <v>0</v>
      </c>
      <c r="T25" s="2885">
        <f t="shared" si="94"/>
        <v>0</v>
      </c>
      <c r="U25" s="2882">
        <f t="shared" si="94"/>
        <v>0</v>
      </c>
      <c r="V25" s="2882">
        <f t="shared" si="94"/>
        <v>0</v>
      </c>
      <c r="W25" s="2882">
        <f t="shared" si="94"/>
        <v>0</v>
      </c>
      <c r="X25" s="2882">
        <f t="shared" si="94"/>
        <v>0</v>
      </c>
      <c r="Y25" s="2883">
        <f t="shared" si="94"/>
        <v>0</v>
      </c>
      <c r="Z25" s="2884">
        <f t="shared" si="94"/>
        <v>0</v>
      </c>
      <c r="AA25" s="2885">
        <f t="shared" si="94"/>
        <v>0</v>
      </c>
      <c r="AB25" s="2882">
        <f t="shared" si="94"/>
        <v>0</v>
      </c>
      <c r="AC25" s="2882">
        <f t="shared" si="94"/>
        <v>0</v>
      </c>
      <c r="AD25" s="2882">
        <f t="shared" si="94"/>
        <v>0</v>
      </c>
      <c r="AE25" s="2882">
        <f t="shared" si="94"/>
        <v>0</v>
      </c>
      <c r="AF25" s="2883">
        <f t="shared" si="94"/>
        <v>0</v>
      </c>
      <c r="AG25" s="2884">
        <f t="shared" si="94"/>
        <v>0</v>
      </c>
      <c r="AH25" s="2885">
        <f t="shared" si="94"/>
        <v>0</v>
      </c>
      <c r="AI25" s="2882">
        <f t="shared" si="94"/>
        <v>0</v>
      </c>
      <c r="AJ25" s="2882">
        <f t="shared" si="94"/>
        <v>0</v>
      </c>
      <c r="AK25" s="2882">
        <f t="shared" si="94"/>
        <v>0</v>
      </c>
      <c r="AL25" s="2882">
        <f t="shared" si="94"/>
        <v>0</v>
      </c>
      <c r="AM25" s="2883">
        <f t="shared" si="94"/>
        <v>0</v>
      </c>
      <c r="AN25" s="2884">
        <f t="shared" si="94"/>
        <v>0</v>
      </c>
      <c r="AO25" s="2885">
        <f t="shared" si="94"/>
        <v>100</v>
      </c>
      <c r="AP25" s="2882">
        <f t="shared" si="94"/>
        <v>80</v>
      </c>
      <c r="AQ25" s="2882">
        <f t="shared" si="94"/>
        <v>80</v>
      </c>
      <c r="AR25" s="2882">
        <f t="shared" si="94"/>
        <v>80</v>
      </c>
      <c r="AS25" s="2882">
        <f t="shared" si="94"/>
        <v>80</v>
      </c>
      <c r="AT25" s="2883">
        <f t="shared" si="94"/>
        <v>80</v>
      </c>
      <c r="AU25" s="4775"/>
      <c r="AV25" s="4794">
        <f t="shared" si="47"/>
        <v>222.41196832035504</v>
      </c>
      <c r="AW25" s="4794">
        <f t="shared" si="48"/>
        <v>52.151771882014287</v>
      </c>
      <c r="AX25" s="4794">
        <f t="shared" si="49"/>
        <v>47.038853070052099</v>
      </c>
      <c r="AY25" s="4794">
        <f t="shared" si="50"/>
        <v>35.790431683735292</v>
      </c>
      <c r="AZ25" s="4794">
        <f t="shared" si="51"/>
        <v>38.346891089716387</v>
      </c>
      <c r="BA25" s="4794">
        <f t="shared" si="52"/>
        <v>33.233972277754205</v>
      </c>
      <c r="BB25" s="4794">
        <f t="shared" si="53"/>
        <v>33.233972277754205</v>
      </c>
      <c r="BC25" s="4794">
        <f t="shared" si="54"/>
        <v>0</v>
      </c>
      <c r="BD25" s="4794">
        <f t="shared" si="55"/>
        <v>0</v>
      </c>
      <c r="BE25" s="4794">
        <f t="shared" si="56"/>
        <v>0</v>
      </c>
      <c r="BF25" s="4794">
        <f t="shared" si="57"/>
        <v>0</v>
      </c>
      <c r="BG25" s="4794">
        <f t="shared" si="58"/>
        <v>0</v>
      </c>
      <c r="BH25" s="4794">
        <f t="shared" si="59"/>
        <v>0</v>
      </c>
      <c r="BI25" s="4794">
        <f t="shared" si="60"/>
        <v>0</v>
      </c>
      <c r="BJ25" s="4794">
        <f t="shared" si="61"/>
        <v>0</v>
      </c>
      <c r="BK25" s="4794">
        <f t="shared" si="62"/>
        <v>0</v>
      </c>
      <c r="BL25" s="4794">
        <f t="shared" si="63"/>
        <v>0</v>
      </c>
      <c r="BM25" s="4794">
        <f t="shared" si="64"/>
        <v>0</v>
      </c>
      <c r="BN25" s="4794">
        <f t="shared" si="65"/>
        <v>0</v>
      </c>
      <c r="BO25" s="4794">
        <f t="shared" si="66"/>
        <v>0</v>
      </c>
      <c r="BP25" s="4794">
        <f t="shared" si="67"/>
        <v>0</v>
      </c>
      <c r="BQ25" s="4794">
        <f t="shared" si="68"/>
        <v>0</v>
      </c>
      <c r="BR25" s="4794">
        <f t="shared" si="69"/>
        <v>0</v>
      </c>
      <c r="BS25" s="4794">
        <f t="shared" si="70"/>
        <v>0</v>
      </c>
      <c r="BT25" s="4794">
        <f t="shared" si="71"/>
        <v>0</v>
      </c>
      <c r="BU25" s="4794">
        <f t="shared" si="72"/>
        <v>0</v>
      </c>
      <c r="BV25" s="4794">
        <f t="shared" si="73"/>
        <v>0</v>
      </c>
      <c r="BW25" s="4794">
        <f t="shared" si="74"/>
        <v>0</v>
      </c>
      <c r="BX25" s="4794">
        <f t="shared" si="75"/>
        <v>0</v>
      </c>
      <c r="BY25" s="4794">
        <f t="shared" si="76"/>
        <v>0</v>
      </c>
      <c r="BZ25" s="4794">
        <f t="shared" si="77"/>
        <v>0</v>
      </c>
      <c r="CA25" s="4794">
        <f t="shared" si="78"/>
        <v>0</v>
      </c>
      <c r="CB25" s="4794">
        <f t="shared" si="79"/>
        <v>0</v>
      </c>
      <c r="CC25" s="4794">
        <f t="shared" si="80"/>
        <v>0</v>
      </c>
      <c r="CD25" s="4794">
        <f t="shared" si="81"/>
        <v>0</v>
      </c>
      <c r="CE25" s="4794">
        <f t="shared" si="82"/>
        <v>0</v>
      </c>
      <c r="CF25" s="4794">
        <f t="shared" si="83"/>
        <v>51.129188119621851</v>
      </c>
      <c r="CG25" s="4794">
        <f t="shared" si="84"/>
        <v>40.903350495697481</v>
      </c>
      <c r="CH25" s="4794">
        <f t="shared" si="85"/>
        <v>40.903350495697481</v>
      </c>
      <c r="CI25" s="4794">
        <f t="shared" si="86"/>
        <v>40.903350495697481</v>
      </c>
      <c r="CJ25" s="4794">
        <f t="shared" si="87"/>
        <v>40.903350495697481</v>
      </c>
      <c r="CK25" s="4794">
        <f t="shared" si="88"/>
        <v>40.903350495697481</v>
      </c>
    </row>
    <row r="26" spans="1:89">
      <c r="A26" s="2876"/>
      <c r="B26" s="3818">
        <v>2030501</v>
      </c>
      <c r="C26" s="3802">
        <v>0.1</v>
      </c>
      <c r="D26" s="2886" t="s">
        <v>1001</v>
      </c>
      <c r="E26" s="2864">
        <f>'11.2. ДА за периода'!E26</f>
        <v>315</v>
      </c>
      <c r="F26" s="1247">
        <f>SUMIF('9.Инвестиционна програма'!$B$12:$B$35,$B26,'9.Инвестиционна програма'!H$12:H$35)*$E$6</f>
        <v>62</v>
      </c>
      <c r="G26" s="1243">
        <f>SUMIF('9.Инвестиционна програма'!$B$12:$B$35,$B26,'9.Инвестиционна програма'!I$12:I$35)*$E$6</f>
        <v>62</v>
      </c>
      <c r="H26" s="1243">
        <f>SUMIF('9.Инвестиционна програма'!$B$12:$B$35,$B26,'9.Инвестиционна програма'!J$12:J$35)*$E$6</f>
        <v>40</v>
      </c>
      <c r="I26" s="1243">
        <f>SUMIF('9.Инвестиционна програма'!$B$12:$B$35,$B26,'9.Инвестиционна програма'!K$12:K$35)*$E$6</f>
        <v>45</v>
      </c>
      <c r="J26" s="1243">
        <f>SUMIF('9.Инвестиционна програма'!$B$12:$B$35,$B26,'9.Инвестиционна програма'!L$12:L$35)*$E$6</f>
        <v>35</v>
      </c>
      <c r="K26" s="1248">
        <f>SUMIF('9.Инвестиционна програма'!$B$12:$B$35,$B26,'9.Инвестиционна програма'!M$12:M$35)*$E$6</f>
        <v>35</v>
      </c>
      <c r="L26" s="2864">
        <f>'11.2. ДА за периода'!L26</f>
        <v>0</v>
      </c>
      <c r="M26" s="1251">
        <f>SUMIF('9.Инвестиционна програма'!$B$37:$B$47,$B26,'9.Инвестиционна програма'!H$37:H$47)*$E$6</f>
        <v>0</v>
      </c>
      <c r="N26" s="1245">
        <f>SUMIF('9.Инвестиционна програма'!$B$37:$B$47,$B26,'9.Инвестиционна програма'!I$37:I$47)*$E$6</f>
        <v>0</v>
      </c>
      <c r="O26" s="1245">
        <f>SUMIF('9.Инвестиционна програма'!$B$37:$B$47,$B26,'9.Инвестиционна програма'!J$37:J$47)*$E$6</f>
        <v>0</v>
      </c>
      <c r="P26" s="1245">
        <f>SUMIF('9.Инвестиционна програма'!$B$37:$B$47,$B26,'9.Инвестиционна програма'!K$37:K$47)*$E$6</f>
        <v>0</v>
      </c>
      <c r="Q26" s="1245">
        <f>SUMIF('9.Инвестиционна програма'!$B$37:$B$47,$B26,'9.Инвестиционна програма'!L$37:L$47)*$E$6</f>
        <v>0</v>
      </c>
      <c r="R26" s="1246">
        <f>SUMIF('9.Инвестиционна програма'!$B$37:$B$47,$B26,'9.Инвестиционна програма'!M$37:M$47)*$E$6</f>
        <v>0</v>
      </c>
      <c r="S26" s="1132">
        <f>'11.2. ДА за периода'!S26</f>
        <v>0</v>
      </c>
      <c r="T26" s="925">
        <f>SUMIF('9.Инвестиционна програма'!$B$49:$B$56,$B26,'9.Инвестиционна програма'!H$49:H$56)*$E$6</f>
        <v>0</v>
      </c>
      <c r="U26" s="925">
        <f>SUMIF('9.Инвестиционна програма'!$B$49:$B$56,$B26,'9.Инвестиционна програма'!I$49:I$56)*$E$6</f>
        <v>0</v>
      </c>
      <c r="V26" s="925">
        <f>SUMIF('9.Инвестиционна програма'!$B$49:$B$56,$B26,'9.Инвестиционна програма'!J$49:J$56)*$E$6</f>
        <v>0</v>
      </c>
      <c r="W26" s="925">
        <f>SUMIF('9.Инвестиционна програма'!$B$49:$B$56,$B26,'9.Инвестиционна програма'!K$49:K$56)*$E$6</f>
        <v>0</v>
      </c>
      <c r="X26" s="925">
        <f>SUMIF('9.Инвестиционна програма'!$B$49:$B$56,$B26,'9.Инвестиционна програма'!L$49:L$56)*$E$6</f>
        <v>0</v>
      </c>
      <c r="Y26" s="2865">
        <f>SUMIF('9.Инвестиционна програма'!$B$49:$B$56,$B26,'9.Инвестиционна програма'!M$49:M$56)*$E$6</f>
        <v>0</v>
      </c>
      <c r="Z26" s="1132">
        <f>'11.2. ДА за периода'!Z26</f>
        <v>0</v>
      </c>
      <c r="AA26" s="925">
        <f>SUMIF('9.Инвестиционна програма'!$B$74:$B$97,$B26,'9.Инвестиционна програма'!H$74:H$97)*$E$6</f>
        <v>0</v>
      </c>
      <c r="AB26" s="925">
        <f>SUMIF('9.Инвестиционна програма'!$B$74:$B$97,$B26,'9.Инвестиционна програма'!I$74:I$97)*$E$6</f>
        <v>0</v>
      </c>
      <c r="AC26" s="925">
        <f>SUMIF('9.Инвестиционна програма'!$B$74:$B$97,$B26,'9.Инвестиционна програма'!J$74:J$97)*$E$6</f>
        <v>0</v>
      </c>
      <c r="AD26" s="925">
        <f>SUMIF('9.Инвестиционна програма'!$B$74:$B$97,$B26,'9.Инвестиционна програма'!K$74:K$97)*$E$6</f>
        <v>0</v>
      </c>
      <c r="AE26" s="925">
        <f>SUMIF('9.Инвестиционна програма'!$B$74:$B$97,$B26,'9.Инвестиционна програма'!L$74:L$97)*$E$6</f>
        <v>0</v>
      </c>
      <c r="AF26" s="925">
        <f>SUMIF('9.Инвестиционна програма'!$B$74:$B$97,$B26,'9.Инвестиционна програма'!M$74:M$97)*$E$6</f>
        <v>0</v>
      </c>
      <c r="AG26" s="1132">
        <f>'11.2. ДА за периода'!AG26</f>
        <v>0</v>
      </c>
      <c r="AH26" s="925">
        <f>SUMIF('9.Инвестиционна програма'!$B$100:$B$123,$B26,'9.Инвестиционна програма'!H$100:H$123)*$E$6</f>
        <v>0</v>
      </c>
      <c r="AI26" s="925">
        <f>SUMIF('9.Инвестиционна програма'!$B$100:$B$123,$B26,'9.Инвестиционна програма'!I$100:I$123)*$E$6</f>
        <v>0</v>
      </c>
      <c r="AJ26" s="925">
        <f>SUMIF('9.Инвестиционна програма'!$B$100:$B$123,$B26,'9.Инвестиционна програма'!J$100:J$123)*$E$6</f>
        <v>0</v>
      </c>
      <c r="AK26" s="925">
        <f>SUMIF('9.Инвестиционна програма'!$B$100:$B$123,$B26,'9.Инвестиционна програма'!K$100:K$123)*$E$6</f>
        <v>0</v>
      </c>
      <c r="AL26" s="925">
        <f>SUMIF('9.Инвестиционна програма'!$B$100:$B$123,$B26,'9.Инвестиционна програма'!L$100:L$123)*$E$6</f>
        <v>0</v>
      </c>
      <c r="AM26" s="925">
        <f>SUMIF('9.Инвестиционна програма'!$B$100:$B$123,$B26,'9.Инвестиционна програма'!M$100:M$123)*$E$6</f>
        <v>0</v>
      </c>
      <c r="AN26" s="1132">
        <f>'11.2. ДА за периода'!AN26</f>
        <v>0</v>
      </c>
      <c r="AO26" s="1251">
        <f>(SUMIF('9.Инвестиционна програма'!$B$58:$B$59,$B26,'9.Инвестиционна програма'!H$58:H$59)+SUMIF('9.Инвестиционна програма'!$B$61:$B$71,$B26,'9.Инвестиционна програма'!H$61:H$71))*$E$6</f>
        <v>100</v>
      </c>
      <c r="AP26" s="925">
        <f>(SUMIF('9.Инвестиционна програма'!$B$58:$B$59,$B26,'9.Инвестиционна програма'!I$58:I$59)+SUMIF('9.Инвестиционна програма'!$B$61:$B$71,$B26,'9.Инвестиционна програма'!I$61:I$71))*$E$6</f>
        <v>80</v>
      </c>
      <c r="AQ26" s="925">
        <f>(SUMIF('9.Инвестиционна програма'!$B$58:$B$59,$B26,'9.Инвестиционна програма'!J$58:J$59)+SUMIF('9.Инвестиционна програма'!$B$61:$B$71,$B26,'9.Инвестиционна програма'!J$61:J$71))*$E$6</f>
        <v>80</v>
      </c>
      <c r="AR26" s="925">
        <f>(SUMIF('9.Инвестиционна програма'!$B$58:$B$59,$B26,'9.Инвестиционна програма'!K$58:K$59)+SUMIF('9.Инвестиционна програма'!$B$61:$B$71,$B26,'9.Инвестиционна програма'!K$61:K$71))*$E$6</f>
        <v>80</v>
      </c>
      <c r="AS26" s="925">
        <f>(SUMIF('9.Инвестиционна програма'!$B$58:$B$59,$B26,'9.Инвестиционна програма'!L$58:L$59)+SUMIF('9.Инвестиционна програма'!$B$61:$B$71,$B26,'9.Инвестиционна програма'!L$61:L$71))*$E$6</f>
        <v>80</v>
      </c>
      <c r="AT26" s="2865">
        <f>(SUMIF('9.Инвестиционна програма'!$B$58:$B$59,$B26,'9.Инвестиционна програма'!M$58:M$59)+SUMIF('9.Инвестиционна програма'!$B$61:$B$71,$B26,'9.Инвестиционна програма'!M$61:M$71))*$E$6</f>
        <v>80</v>
      </c>
      <c r="AU26" s="4775"/>
      <c r="AV26" s="4794">
        <f t="shared" si="47"/>
        <v>161.05694257680884</v>
      </c>
      <c r="AW26" s="4794">
        <f t="shared" si="48"/>
        <v>31.700096634165547</v>
      </c>
      <c r="AX26" s="4794">
        <f t="shared" si="49"/>
        <v>31.700096634165547</v>
      </c>
      <c r="AY26" s="4794">
        <f t="shared" si="50"/>
        <v>20.45167524784874</v>
      </c>
      <c r="AZ26" s="4794">
        <f t="shared" si="51"/>
        <v>23.008134653829831</v>
      </c>
      <c r="BA26" s="4794">
        <f t="shared" si="52"/>
        <v>17.895215841867646</v>
      </c>
      <c r="BB26" s="4794">
        <f t="shared" si="53"/>
        <v>17.895215841867646</v>
      </c>
      <c r="BC26" s="4794">
        <f t="shared" si="54"/>
        <v>0</v>
      </c>
      <c r="BD26" s="4794">
        <f t="shared" si="55"/>
        <v>0</v>
      </c>
      <c r="BE26" s="4794">
        <f t="shared" si="56"/>
        <v>0</v>
      </c>
      <c r="BF26" s="4794">
        <f t="shared" si="57"/>
        <v>0</v>
      </c>
      <c r="BG26" s="4794">
        <f t="shared" si="58"/>
        <v>0</v>
      </c>
      <c r="BH26" s="4794">
        <f t="shared" si="59"/>
        <v>0</v>
      </c>
      <c r="BI26" s="4794">
        <f t="shared" si="60"/>
        <v>0</v>
      </c>
      <c r="BJ26" s="4794">
        <f t="shared" si="61"/>
        <v>0</v>
      </c>
      <c r="BK26" s="4794">
        <f t="shared" si="62"/>
        <v>0</v>
      </c>
      <c r="BL26" s="4794">
        <f t="shared" si="63"/>
        <v>0</v>
      </c>
      <c r="BM26" s="4794">
        <f t="shared" si="64"/>
        <v>0</v>
      </c>
      <c r="BN26" s="4794">
        <f t="shared" si="65"/>
        <v>0</v>
      </c>
      <c r="BO26" s="4794">
        <f t="shared" si="66"/>
        <v>0</v>
      </c>
      <c r="BP26" s="4794">
        <f t="shared" si="67"/>
        <v>0</v>
      </c>
      <c r="BQ26" s="4794">
        <f t="shared" si="68"/>
        <v>0</v>
      </c>
      <c r="BR26" s="4794">
        <f t="shared" si="69"/>
        <v>0</v>
      </c>
      <c r="BS26" s="4794">
        <f t="shared" si="70"/>
        <v>0</v>
      </c>
      <c r="BT26" s="4794">
        <f t="shared" si="71"/>
        <v>0</v>
      </c>
      <c r="BU26" s="4794">
        <f t="shared" si="72"/>
        <v>0</v>
      </c>
      <c r="BV26" s="4794">
        <f t="shared" si="73"/>
        <v>0</v>
      </c>
      <c r="BW26" s="4794">
        <f t="shared" si="74"/>
        <v>0</v>
      </c>
      <c r="BX26" s="4794">
        <f t="shared" si="75"/>
        <v>0</v>
      </c>
      <c r="BY26" s="4794">
        <f t="shared" si="76"/>
        <v>0</v>
      </c>
      <c r="BZ26" s="4794">
        <f t="shared" si="77"/>
        <v>0</v>
      </c>
      <c r="CA26" s="4794">
        <f t="shared" si="78"/>
        <v>0</v>
      </c>
      <c r="CB26" s="4794">
        <f t="shared" si="79"/>
        <v>0</v>
      </c>
      <c r="CC26" s="4794">
        <f t="shared" si="80"/>
        <v>0</v>
      </c>
      <c r="CD26" s="4794">
        <f t="shared" si="81"/>
        <v>0</v>
      </c>
      <c r="CE26" s="4794">
        <f t="shared" si="82"/>
        <v>0</v>
      </c>
      <c r="CF26" s="4794">
        <f t="shared" si="83"/>
        <v>51.129188119621851</v>
      </c>
      <c r="CG26" s="4794">
        <f t="shared" si="84"/>
        <v>40.903350495697481</v>
      </c>
      <c r="CH26" s="4794">
        <f t="shared" si="85"/>
        <v>40.903350495697481</v>
      </c>
      <c r="CI26" s="4794">
        <f t="shared" si="86"/>
        <v>40.903350495697481</v>
      </c>
      <c r="CJ26" s="4794">
        <f t="shared" si="87"/>
        <v>40.903350495697481</v>
      </c>
      <c r="CK26" s="4794">
        <f t="shared" si="88"/>
        <v>40.903350495697481</v>
      </c>
    </row>
    <row r="27" spans="1:89" ht="24">
      <c r="A27" s="2876"/>
      <c r="B27" s="3818">
        <v>2030502</v>
      </c>
      <c r="C27" s="3802">
        <v>0.1</v>
      </c>
      <c r="D27" s="2886" t="s">
        <v>695</v>
      </c>
      <c r="E27" s="2864">
        <f>'11.2. ДА за периода'!E27</f>
        <v>120</v>
      </c>
      <c r="F27" s="1247">
        <f>SUMIF('9.Инвестиционна програма'!$B$12:$B$35,$B27,'9.Инвестиционна програма'!H$12:H$35)*$E$6</f>
        <v>40</v>
      </c>
      <c r="G27" s="1243">
        <f>SUMIF('9.Инвестиционна програма'!$B$12:$B$35,$B27,'9.Инвестиционна програма'!I$12:I$35)*$E$6</f>
        <v>30</v>
      </c>
      <c r="H27" s="1243">
        <f>SUMIF('9.Инвестиционна програма'!$B$12:$B$35,$B27,'9.Инвестиционна програма'!J$12:J$35)*$E$6</f>
        <v>30</v>
      </c>
      <c r="I27" s="1243">
        <f>SUMIF('9.Инвестиционна програма'!$B$12:$B$35,$B27,'9.Инвестиционна програма'!K$12:K$35)*$E$6</f>
        <v>30</v>
      </c>
      <c r="J27" s="1243">
        <f>SUMIF('9.Инвестиционна програма'!$B$12:$B$35,$B27,'9.Инвестиционна програма'!L$12:L$35)*$E$6</f>
        <v>30</v>
      </c>
      <c r="K27" s="1248">
        <f>SUMIF('9.Инвестиционна програма'!$B$12:$B$35,$B27,'9.Инвестиционна програма'!M$12:M$35)*$E$6</f>
        <v>30</v>
      </c>
      <c r="L27" s="2864">
        <f>'11.2. ДА за периода'!L27</f>
        <v>0</v>
      </c>
      <c r="M27" s="1251">
        <f>SUMIF('9.Инвестиционна програма'!$B$37:$B$47,$B27,'9.Инвестиционна програма'!H$37:H$47)*$E$6</f>
        <v>0</v>
      </c>
      <c r="N27" s="1245">
        <f>SUMIF('9.Инвестиционна програма'!$B$37:$B$47,$B27,'9.Инвестиционна програма'!I$37:I$47)*$E$6</f>
        <v>0</v>
      </c>
      <c r="O27" s="1245">
        <f>SUMIF('9.Инвестиционна програма'!$B$37:$B$47,$B27,'9.Инвестиционна програма'!J$37:J$47)*$E$6</f>
        <v>0</v>
      </c>
      <c r="P27" s="1245">
        <f>SUMIF('9.Инвестиционна програма'!$B$37:$B$47,$B27,'9.Инвестиционна програма'!K$37:K$47)*$E$6</f>
        <v>0</v>
      </c>
      <c r="Q27" s="1245">
        <f>SUMIF('9.Инвестиционна програма'!$B$37:$B$47,$B27,'9.Инвестиционна програма'!L$37:L$47)*$E$6</f>
        <v>0</v>
      </c>
      <c r="R27" s="1246">
        <f>SUMIF('9.Инвестиционна програма'!$B$37:$B$47,$B27,'9.Инвестиционна програма'!M$37:M$47)*$E$6</f>
        <v>0</v>
      </c>
      <c r="S27" s="1132">
        <f>'11.2. ДА за периода'!S27</f>
        <v>0</v>
      </c>
      <c r="T27" s="925">
        <f>SUMIF('9.Инвестиционна програма'!$B$49:$B$56,$B27,'9.Инвестиционна програма'!H$49:H$56)*$E$6</f>
        <v>0</v>
      </c>
      <c r="U27" s="925">
        <f>SUMIF('9.Инвестиционна програма'!$B$49:$B$56,$B27,'9.Инвестиционна програма'!I$49:I$56)*$E$6</f>
        <v>0</v>
      </c>
      <c r="V27" s="925">
        <f>SUMIF('9.Инвестиционна програма'!$B$49:$B$56,$B27,'9.Инвестиционна програма'!J$49:J$56)*$E$6</f>
        <v>0</v>
      </c>
      <c r="W27" s="925">
        <f>SUMIF('9.Инвестиционна програма'!$B$49:$B$56,$B27,'9.Инвестиционна програма'!K$49:K$56)*$E$6</f>
        <v>0</v>
      </c>
      <c r="X27" s="925">
        <f>SUMIF('9.Инвестиционна програма'!$B$49:$B$56,$B27,'9.Инвестиционна програма'!L$49:L$56)*$E$6</f>
        <v>0</v>
      </c>
      <c r="Y27" s="2865">
        <f>SUMIF('9.Инвестиционна програма'!$B$49:$B$56,$B27,'9.Инвестиционна програма'!M$49:M$56)*$E$6</f>
        <v>0</v>
      </c>
      <c r="Z27" s="1132">
        <f>'11.2. ДА за периода'!Z27</f>
        <v>0</v>
      </c>
      <c r="AA27" s="925">
        <f>SUMIF('9.Инвестиционна програма'!$B$74:$B$97,$B27,'9.Инвестиционна програма'!H$74:H$97)*$E$6</f>
        <v>0</v>
      </c>
      <c r="AB27" s="925">
        <f>SUMIF('9.Инвестиционна програма'!$B$74:$B$97,$B27,'9.Инвестиционна програма'!I$74:I$97)*$E$6</f>
        <v>0</v>
      </c>
      <c r="AC27" s="925">
        <f>SUMIF('9.Инвестиционна програма'!$B$74:$B$97,$B27,'9.Инвестиционна програма'!J$74:J$97)*$E$6</f>
        <v>0</v>
      </c>
      <c r="AD27" s="925">
        <f>SUMIF('9.Инвестиционна програма'!$B$74:$B$97,$B27,'9.Инвестиционна програма'!K$74:K$97)*$E$6</f>
        <v>0</v>
      </c>
      <c r="AE27" s="925">
        <f>SUMIF('9.Инвестиционна програма'!$B$74:$B$97,$B27,'9.Инвестиционна програма'!L$74:L$97)*$E$6</f>
        <v>0</v>
      </c>
      <c r="AF27" s="925">
        <f>SUMIF('9.Инвестиционна програма'!$B$74:$B$97,$B27,'9.Инвестиционна програма'!M$74:M$97)*$E$6</f>
        <v>0</v>
      </c>
      <c r="AG27" s="1132">
        <f>'11.2. ДА за периода'!AG27</f>
        <v>0</v>
      </c>
      <c r="AH27" s="925">
        <f>SUMIF('9.Инвестиционна програма'!$B$100:$B$123,$B27,'9.Инвестиционна програма'!H$100:H$123)*$E$6</f>
        <v>0</v>
      </c>
      <c r="AI27" s="925">
        <f>SUMIF('9.Инвестиционна програма'!$B$100:$B$123,$B27,'9.Инвестиционна програма'!I$100:I$123)*$E$6</f>
        <v>0</v>
      </c>
      <c r="AJ27" s="925">
        <f>SUMIF('9.Инвестиционна програма'!$B$100:$B$123,$B27,'9.Инвестиционна програма'!J$100:J$123)*$E$6</f>
        <v>0</v>
      </c>
      <c r="AK27" s="925">
        <f>SUMIF('9.Инвестиционна програма'!$B$100:$B$123,$B27,'9.Инвестиционна програма'!K$100:K$123)*$E$6</f>
        <v>0</v>
      </c>
      <c r="AL27" s="925">
        <f>SUMIF('9.Инвестиционна програма'!$B$100:$B$123,$B27,'9.Инвестиционна програма'!L$100:L$123)*$E$6</f>
        <v>0</v>
      </c>
      <c r="AM27" s="925">
        <f>SUMIF('9.Инвестиционна програма'!$B$100:$B$123,$B27,'9.Инвестиционна програма'!M$100:M$123)*$E$6</f>
        <v>0</v>
      </c>
      <c r="AN27" s="1132">
        <f>'11.2. ДА за периода'!AN27</f>
        <v>0</v>
      </c>
      <c r="AO27" s="1251">
        <f>(SUMIF('9.Инвестиционна програма'!$B$58:$B$59,$B27,'9.Инвестиционна програма'!H$58:H$59)+SUMIF('9.Инвестиционна програма'!$B$61:$B$71,$B27,'9.Инвестиционна програма'!H$61:H$71))*$E$6</f>
        <v>0</v>
      </c>
      <c r="AP27" s="925">
        <f>(SUMIF('9.Инвестиционна програма'!$B$58:$B$59,$B27,'9.Инвестиционна програма'!I$58:I$59)+SUMIF('9.Инвестиционна програма'!$B$61:$B$71,$B27,'9.Инвестиционна програма'!I$61:I$71))*$E$6</f>
        <v>0</v>
      </c>
      <c r="AQ27" s="925">
        <f>(SUMIF('9.Инвестиционна програма'!$B$58:$B$59,$B27,'9.Инвестиционна програма'!J$58:J$59)+SUMIF('9.Инвестиционна програма'!$B$61:$B$71,$B27,'9.Инвестиционна програма'!J$61:J$71))*$E$6</f>
        <v>0</v>
      </c>
      <c r="AR27" s="925">
        <f>(SUMIF('9.Инвестиционна програма'!$B$58:$B$59,$B27,'9.Инвестиционна програма'!K$58:K$59)+SUMIF('9.Инвестиционна програма'!$B$61:$B$71,$B27,'9.Инвестиционна програма'!K$61:K$71))*$E$6</f>
        <v>0</v>
      </c>
      <c r="AS27" s="925">
        <f>(SUMIF('9.Инвестиционна програма'!$B$58:$B$59,$B27,'9.Инвестиционна програма'!L$58:L$59)+SUMIF('9.Инвестиционна програма'!$B$61:$B$71,$B27,'9.Инвестиционна програма'!L$61:L$71))*$E$6</f>
        <v>0</v>
      </c>
      <c r="AT27" s="2865">
        <f>(SUMIF('9.Инвестиционна програма'!$B$58:$B$59,$B27,'9.Инвестиционна програма'!M$58:M$59)+SUMIF('9.Инвестиционна програма'!$B$61:$B$71,$B27,'9.Инвестиционна програма'!M$61:M$71))*$E$6</f>
        <v>0</v>
      </c>
      <c r="AU27" s="4775"/>
      <c r="AV27" s="4794">
        <f t="shared" si="47"/>
        <v>61.355025743546221</v>
      </c>
      <c r="AW27" s="4794">
        <f t="shared" si="48"/>
        <v>20.45167524784874</v>
      </c>
      <c r="AX27" s="4794">
        <f t="shared" si="49"/>
        <v>15.338756435886555</v>
      </c>
      <c r="AY27" s="4794">
        <f t="shared" si="50"/>
        <v>15.338756435886555</v>
      </c>
      <c r="AZ27" s="4794">
        <f t="shared" si="51"/>
        <v>15.338756435886555</v>
      </c>
      <c r="BA27" s="4794">
        <f t="shared" si="52"/>
        <v>15.338756435886555</v>
      </c>
      <c r="BB27" s="4794">
        <f t="shared" si="53"/>
        <v>15.338756435886555</v>
      </c>
      <c r="BC27" s="4794">
        <f t="shared" si="54"/>
        <v>0</v>
      </c>
      <c r="BD27" s="4794">
        <f t="shared" si="55"/>
        <v>0</v>
      </c>
      <c r="BE27" s="4794">
        <f t="shared" si="56"/>
        <v>0</v>
      </c>
      <c r="BF27" s="4794">
        <f t="shared" si="57"/>
        <v>0</v>
      </c>
      <c r="BG27" s="4794">
        <f t="shared" si="58"/>
        <v>0</v>
      </c>
      <c r="BH27" s="4794">
        <f t="shared" si="59"/>
        <v>0</v>
      </c>
      <c r="BI27" s="4794">
        <f t="shared" si="60"/>
        <v>0</v>
      </c>
      <c r="BJ27" s="4794">
        <f t="shared" si="61"/>
        <v>0</v>
      </c>
      <c r="BK27" s="4794">
        <f t="shared" si="62"/>
        <v>0</v>
      </c>
      <c r="BL27" s="4794">
        <f t="shared" si="63"/>
        <v>0</v>
      </c>
      <c r="BM27" s="4794">
        <f t="shared" si="64"/>
        <v>0</v>
      </c>
      <c r="BN27" s="4794">
        <f t="shared" si="65"/>
        <v>0</v>
      </c>
      <c r="BO27" s="4794">
        <f t="shared" si="66"/>
        <v>0</v>
      </c>
      <c r="BP27" s="4794">
        <f t="shared" si="67"/>
        <v>0</v>
      </c>
      <c r="BQ27" s="4794">
        <f t="shared" si="68"/>
        <v>0</v>
      </c>
      <c r="BR27" s="4794">
        <f t="shared" si="69"/>
        <v>0</v>
      </c>
      <c r="BS27" s="4794">
        <f t="shared" si="70"/>
        <v>0</v>
      </c>
      <c r="BT27" s="4794">
        <f t="shared" si="71"/>
        <v>0</v>
      </c>
      <c r="BU27" s="4794">
        <f t="shared" si="72"/>
        <v>0</v>
      </c>
      <c r="BV27" s="4794">
        <f t="shared" si="73"/>
        <v>0</v>
      </c>
      <c r="BW27" s="4794">
        <f t="shared" si="74"/>
        <v>0</v>
      </c>
      <c r="BX27" s="4794">
        <f t="shared" si="75"/>
        <v>0</v>
      </c>
      <c r="BY27" s="4794">
        <f t="shared" si="76"/>
        <v>0</v>
      </c>
      <c r="BZ27" s="4794">
        <f t="shared" si="77"/>
        <v>0</v>
      </c>
      <c r="CA27" s="4794">
        <f t="shared" si="78"/>
        <v>0</v>
      </c>
      <c r="CB27" s="4794">
        <f t="shared" si="79"/>
        <v>0</v>
      </c>
      <c r="CC27" s="4794">
        <f t="shared" si="80"/>
        <v>0</v>
      </c>
      <c r="CD27" s="4794">
        <f t="shared" si="81"/>
        <v>0</v>
      </c>
      <c r="CE27" s="4794">
        <f t="shared" si="82"/>
        <v>0</v>
      </c>
      <c r="CF27" s="4794">
        <f t="shared" si="83"/>
        <v>0</v>
      </c>
      <c r="CG27" s="4794">
        <f t="shared" si="84"/>
        <v>0</v>
      </c>
      <c r="CH27" s="4794">
        <f t="shared" si="85"/>
        <v>0</v>
      </c>
      <c r="CI27" s="4794">
        <f t="shared" si="86"/>
        <v>0</v>
      </c>
      <c r="CJ27" s="4794">
        <f t="shared" si="87"/>
        <v>0</v>
      </c>
      <c r="CK27" s="4794">
        <f t="shared" si="88"/>
        <v>0</v>
      </c>
    </row>
    <row r="28" spans="1:89">
      <c r="A28" s="2876"/>
      <c r="B28" s="3818">
        <v>2030503</v>
      </c>
      <c r="C28" s="3802">
        <v>0.1</v>
      </c>
      <c r="D28" s="2886" t="s">
        <v>713</v>
      </c>
      <c r="E28" s="2864">
        <f>'11.2. ДА за периода'!E28</f>
        <v>0</v>
      </c>
      <c r="F28" s="1247">
        <f>SUMIF('9.Инвестиционна програма'!$B$12:$B$35,$B28,'9.Инвестиционна програма'!H$12:H$35)*$E$6</f>
        <v>0</v>
      </c>
      <c r="G28" s="1243">
        <f>SUMIF('9.Инвестиционна програма'!$B$12:$B$35,$B28,'9.Инвестиционна програма'!I$12:I$35)*$E$6</f>
        <v>0</v>
      </c>
      <c r="H28" s="1243">
        <f>SUMIF('9.Инвестиционна програма'!$B$12:$B$35,$B28,'9.Инвестиционна програма'!J$12:J$35)*$E$6</f>
        <v>0</v>
      </c>
      <c r="I28" s="1243">
        <f>SUMIF('9.Инвестиционна програма'!$B$12:$B$35,$B28,'9.Инвестиционна програма'!K$12:K$35)*$E$6</f>
        <v>0</v>
      </c>
      <c r="J28" s="1243">
        <f>SUMIF('9.Инвестиционна програма'!$B$12:$B$35,$B28,'9.Инвестиционна програма'!L$12:L$35)*$E$6</f>
        <v>0</v>
      </c>
      <c r="K28" s="1248">
        <f>SUMIF('9.Инвестиционна програма'!$B$12:$B$35,$B28,'9.Инвестиционна програма'!M$12:M$35)*$E$6</f>
        <v>0</v>
      </c>
      <c r="L28" s="2864">
        <f>'11.2. ДА за периода'!L28</f>
        <v>0</v>
      </c>
      <c r="M28" s="1251">
        <f>SUMIF('9.Инвестиционна програма'!$B$37:$B$47,$B28,'9.Инвестиционна програма'!H$37:H$47)*$E$6</f>
        <v>0</v>
      </c>
      <c r="N28" s="1245">
        <f>SUMIF('9.Инвестиционна програма'!$B$37:$B$47,$B28,'9.Инвестиционна програма'!I$37:I$47)*$E$6</f>
        <v>0</v>
      </c>
      <c r="O28" s="1245">
        <f>SUMIF('9.Инвестиционна програма'!$B$37:$B$47,$B28,'9.Инвестиционна програма'!J$37:J$47)*$E$6</f>
        <v>0</v>
      </c>
      <c r="P28" s="1245">
        <f>SUMIF('9.Инвестиционна програма'!$B$37:$B$47,$B28,'9.Инвестиционна програма'!K$37:K$47)*$E$6</f>
        <v>0</v>
      </c>
      <c r="Q28" s="1245">
        <f>SUMIF('9.Инвестиционна програма'!$B$37:$B$47,$B28,'9.Инвестиционна програма'!L$37:L$47)*$E$6</f>
        <v>0</v>
      </c>
      <c r="R28" s="1246">
        <f>SUMIF('9.Инвестиционна програма'!$B$37:$B$47,$B28,'9.Инвестиционна програма'!M$37:M$47)*$E$6</f>
        <v>0</v>
      </c>
      <c r="S28" s="1132">
        <f>'11.2. ДА за периода'!S28</f>
        <v>0</v>
      </c>
      <c r="T28" s="925">
        <f>SUMIF('9.Инвестиционна програма'!$B$49:$B$56,$B28,'9.Инвестиционна програма'!H$49:H$56)*$E$6</f>
        <v>0</v>
      </c>
      <c r="U28" s="925">
        <f>SUMIF('9.Инвестиционна програма'!$B$49:$B$56,$B28,'9.Инвестиционна програма'!I$49:I$56)*$E$6</f>
        <v>0</v>
      </c>
      <c r="V28" s="925">
        <f>SUMIF('9.Инвестиционна програма'!$B$49:$B$56,$B28,'9.Инвестиционна програма'!J$49:J$56)*$E$6</f>
        <v>0</v>
      </c>
      <c r="W28" s="925">
        <f>SUMIF('9.Инвестиционна програма'!$B$49:$B$56,$B28,'9.Инвестиционна програма'!K$49:K$56)*$E$6</f>
        <v>0</v>
      </c>
      <c r="X28" s="925">
        <f>SUMIF('9.Инвестиционна програма'!$B$49:$B$56,$B28,'9.Инвестиционна програма'!L$49:L$56)*$E$6</f>
        <v>0</v>
      </c>
      <c r="Y28" s="2865">
        <f>SUMIF('9.Инвестиционна програма'!$B$49:$B$56,$B28,'9.Инвестиционна програма'!M$49:M$56)*$E$6</f>
        <v>0</v>
      </c>
      <c r="Z28" s="1132">
        <f>'11.2. ДА за периода'!Z28</f>
        <v>0</v>
      </c>
      <c r="AA28" s="925">
        <f>SUMIF('9.Инвестиционна програма'!$B$74:$B$97,$B28,'9.Инвестиционна програма'!H$74:H$97)*$E$6</f>
        <v>0</v>
      </c>
      <c r="AB28" s="925">
        <f>SUMIF('9.Инвестиционна програма'!$B$74:$B$97,$B28,'9.Инвестиционна програма'!I$74:I$97)*$E$6</f>
        <v>0</v>
      </c>
      <c r="AC28" s="925">
        <f>SUMIF('9.Инвестиционна програма'!$B$74:$B$97,$B28,'9.Инвестиционна програма'!J$74:J$97)*$E$6</f>
        <v>0</v>
      </c>
      <c r="AD28" s="925">
        <f>SUMIF('9.Инвестиционна програма'!$B$74:$B$97,$B28,'9.Инвестиционна програма'!K$74:K$97)*$E$6</f>
        <v>0</v>
      </c>
      <c r="AE28" s="925">
        <f>SUMIF('9.Инвестиционна програма'!$B$74:$B$97,$B28,'9.Инвестиционна програма'!L$74:L$97)*$E$6</f>
        <v>0</v>
      </c>
      <c r="AF28" s="925">
        <f>SUMIF('9.Инвестиционна програма'!$B$74:$B$97,$B28,'9.Инвестиционна програма'!M$74:M$97)*$E$6</f>
        <v>0</v>
      </c>
      <c r="AG28" s="1132">
        <f>'11.2. ДА за периода'!AG28</f>
        <v>0</v>
      </c>
      <c r="AH28" s="925">
        <f>SUMIF('9.Инвестиционна програма'!$B$100:$B$123,$B28,'9.Инвестиционна програма'!H$100:H$123)*$E$6</f>
        <v>0</v>
      </c>
      <c r="AI28" s="925">
        <f>SUMIF('9.Инвестиционна програма'!$B$100:$B$123,$B28,'9.Инвестиционна програма'!I$100:I$123)*$E$6</f>
        <v>0</v>
      </c>
      <c r="AJ28" s="925">
        <f>SUMIF('9.Инвестиционна програма'!$B$100:$B$123,$B28,'9.Инвестиционна програма'!J$100:J$123)*$E$6</f>
        <v>0</v>
      </c>
      <c r="AK28" s="925">
        <f>SUMIF('9.Инвестиционна програма'!$B$100:$B$123,$B28,'9.Инвестиционна програма'!K$100:K$123)*$E$6</f>
        <v>0</v>
      </c>
      <c r="AL28" s="925">
        <f>SUMIF('9.Инвестиционна програма'!$B$100:$B$123,$B28,'9.Инвестиционна програма'!L$100:L$123)*$E$6</f>
        <v>0</v>
      </c>
      <c r="AM28" s="925">
        <f>SUMIF('9.Инвестиционна програма'!$B$100:$B$123,$B28,'9.Инвестиционна програма'!M$100:M$123)*$E$6</f>
        <v>0</v>
      </c>
      <c r="AN28" s="1132">
        <f>'11.2. ДА за периода'!AN28</f>
        <v>0</v>
      </c>
      <c r="AO28" s="1251">
        <f>(SUMIF('9.Инвестиционна програма'!$B$58:$B$59,$B28,'9.Инвестиционна програма'!H$58:H$59)+SUMIF('9.Инвестиционна програма'!$B$61:$B$71,$B28,'9.Инвестиционна програма'!H$61:H$71))*$E$6</f>
        <v>0</v>
      </c>
      <c r="AP28" s="925">
        <f>(SUMIF('9.Инвестиционна програма'!$B$58:$B$59,$B28,'9.Инвестиционна програма'!I$58:I$59)+SUMIF('9.Инвестиционна програма'!$B$61:$B$71,$B28,'9.Инвестиционна програма'!I$61:I$71))*$E$6</f>
        <v>0</v>
      </c>
      <c r="AQ28" s="925">
        <f>(SUMIF('9.Инвестиционна програма'!$B$58:$B$59,$B28,'9.Инвестиционна програма'!J$58:J$59)+SUMIF('9.Инвестиционна програма'!$B$61:$B$71,$B28,'9.Инвестиционна програма'!J$61:J$71))*$E$6</f>
        <v>0</v>
      </c>
      <c r="AR28" s="925">
        <f>(SUMIF('9.Инвестиционна програма'!$B$58:$B$59,$B28,'9.Инвестиционна програма'!K$58:K$59)+SUMIF('9.Инвестиционна програма'!$B$61:$B$71,$B28,'9.Инвестиционна програма'!K$61:K$71))*$E$6</f>
        <v>0</v>
      </c>
      <c r="AS28" s="925">
        <f>(SUMIF('9.Инвестиционна програма'!$B$58:$B$59,$B28,'9.Инвестиционна програма'!L$58:L$59)+SUMIF('9.Инвестиционна програма'!$B$61:$B$71,$B28,'9.Инвестиционна програма'!L$61:L$71))*$E$6</f>
        <v>0</v>
      </c>
      <c r="AT28" s="2865">
        <f>(SUMIF('9.Инвестиционна програма'!$B$58:$B$59,$B28,'9.Инвестиционна програма'!M$58:M$59)+SUMIF('9.Инвестиционна програма'!$B$61:$B$71,$B28,'9.Инвестиционна програма'!M$61:M$71))*$E$6</f>
        <v>0</v>
      </c>
      <c r="AU28" s="4775"/>
      <c r="AV28" s="4794">
        <f t="shared" si="47"/>
        <v>0</v>
      </c>
      <c r="AW28" s="4794">
        <f t="shared" si="48"/>
        <v>0</v>
      </c>
      <c r="AX28" s="4794">
        <f t="shared" si="49"/>
        <v>0</v>
      </c>
      <c r="AY28" s="4794">
        <f t="shared" si="50"/>
        <v>0</v>
      </c>
      <c r="AZ28" s="4794">
        <f t="shared" si="51"/>
        <v>0</v>
      </c>
      <c r="BA28" s="4794">
        <f t="shared" si="52"/>
        <v>0</v>
      </c>
      <c r="BB28" s="4794">
        <f t="shared" si="53"/>
        <v>0</v>
      </c>
      <c r="BC28" s="4794">
        <f t="shared" si="54"/>
        <v>0</v>
      </c>
      <c r="BD28" s="4794">
        <f t="shared" si="55"/>
        <v>0</v>
      </c>
      <c r="BE28" s="4794">
        <f t="shared" si="56"/>
        <v>0</v>
      </c>
      <c r="BF28" s="4794">
        <f t="shared" si="57"/>
        <v>0</v>
      </c>
      <c r="BG28" s="4794">
        <f t="shared" si="58"/>
        <v>0</v>
      </c>
      <c r="BH28" s="4794">
        <f t="shared" si="59"/>
        <v>0</v>
      </c>
      <c r="BI28" s="4794">
        <f t="shared" si="60"/>
        <v>0</v>
      </c>
      <c r="BJ28" s="4794">
        <f t="shared" si="61"/>
        <v>0</v>
      </c>
      <c r="BK28" s="4794">
        <f t="shared" si="62"/>
        <v>0</v>
      </c>
      <c r="BL28" s="4794">
        <f t="shared" si="63"/>
        <v>0</v>
      </c>
      <c r="BM28" s="4794">
        <f t="shared" si="64"/>
        <v>0</v>
      </c>
      <c r="BN28" s="4794">
        <f t="shared" si="65"/>
        <v>0</v>
      </c>
      <c r="BO28" s="4794">
        <f t="shared" si="66"/>
        <v>0</v>
      </c>
      <c r="BP28" s="4794">
        <f t="shared" si="67"/>
        <v>0</v>
      </c>
      <c r="BQ28" s="4794">
        <f t="shared" si="68"/>
        <v>0</v>
      </c>
      <c r="BR28" s="4794">
        <f t="shared" si="69"/>
        <v>0</v>
      </c>
      <c r="BS28" s="4794">
        <f t="shared" si="70"/>
        <v>0</v>
      </c>
      <c r="BT28" s="4794">
        <f t="shared" si="71"/>
        <v>0</v>
      </c>
      <c r="BU28" s="4794">
        <f t="shared" si="72"/>
        <v>0</v>
      </c>
      <c r="BV28" s="4794">
        <f t="shared" si="73"/>
        <v>0</v>
      </c>
      <c r="BW28" s="4794">
        <f t="shared" si="74"/>
        <v>0</v>
      </c>
      <c r="BX28" s="4794">
        <f t="shared" si="75"/>
        <v>0</v>
      </c>
      <c r="BY28" s="4794">
        <f t="shared" si="76"/>
        <v>0</v>
      </c>
      <c r="BZ28" s="4794">
        <f t="shared" si="77"/>
        <v>0</v>
      </c>
      <c r="CA28" s="4794">
        <f t="shared" si="78"/>
        <v>0</v>
      </c>
      <c r="CB28" s="4794">
        <f t="shared" si="79"/>
        <v>0</v>
      </c>
      <c r="CC28" s="4794">
        <f t="shared" si="80"/>
        <v>0</v>
      </c>
      <c r="CD28" s="4794">
        <f t="shared" si="81"/>
        <v>0</v>
      </c>
      <c r="CE28" s="4794">
        <f t="shared" si="82"/>
        <v>0</v>
      </c>
      <c r="CF28" s="4794">
        <f t="shared" si="83"/>
        <v>0</v>
      </c>
      <c r="CG28" s="4794">
        <f t="shared" si="84"/>
        <v>0</v>
      </c>
      <c r="CH28" s="4794">
        <f t="shared" si="85"/>
        <v>0</v>
      </c>
      <c r="CI28" s="4794">
        <f t="shared" si="86"/>
        <v>0</v>
      </c>
      <c r="CJ28" s="4794">
        <f t="shared" si="87"/>
        <v>0</v>
      </c>
      <c r="CK28" s="4794">
        <f t="shared" si="88"/>
        <v>0</v>
      </c>
    </row>
    <row r="29" spans="1:89">
      <c r="A29" s="2876"/>
      <c r="B29" s="3818">
        <v>20306</v>
      </c>
      <c r="C29" s="3801">
        <v>0.1</v>
      </c>
      <c r="D29" s="2879" t="s">
        <v>409</v>
      </c>
      <c r="E29" s="2864">
        <f>'11.2. ДА за периода'!E29</f>
        <v>108</v>
      </c>
      <c r="F29" s="1247">
        <f>SUMIF('9.Инвестиционна програма'!$B$12:$B$35,$B29,'9.Инвестиционна програма'!H$12:H$35)*$E$6</f>
        <v>150</v>
      </c>
      <c r="G29" s="1243">
        <f>SUMIF('9.Инвестиционна програма'!$B$12:$B$35,$B29,'9.Инвестиционна програма'!I$12:I$35)*$E$6</f>
        <v>100</v>
      </c>
      <c r="H29" s="1243">
        <f>SUMIF('9.Инвестиционна програма'!$B$12:$B$35,$B29,'9.Инвестиционна програма'!J$12:J$35)*$E$6</f>
        <v>50</v>
      </c>
      <c r="I29" s="1243">
        <f>SUMIF('9.Инвестиционна програма'!$B$12:$B$35,$B29,'9.Инвестиционна програма'!K$12:K$35)*$E$6</f>
        <v>50</v>
      </c>
      <c r="J29" s="1243">
        <f>SUMIF('9.Инвестиционна програма'!$B$12:$B$35,$B29,'9.Инвестиционна програма'!L$12:L$35)*$E$6</f>
        <v>50</v>
      </c>
      <c r="K29" s="1248">
        <f>SUMIF('9.Инвестиционна програма'!$B$12:$B$35,$B29,'9.Инвестиционна програма'!M$12:M$35)*$E$6</f>
        <v>50</v>
      </c>
      <c r="L29" s="2864">
        <f>'11.2. ДА за периода'!L29</f>
        <v>0</v>
      </c>
      <c r="M29" s="1251">
        <f>SUMIF('9.Инвестиционна програма'!$B$37:$B$47,$B29,'9.Инвестиционна програма'!H$37:H$47)*$E$6</f>
        <v>10</v>
      </c>
      <c r="N29" s="1245">
        <f>SUMIF('9.Инвестиционна програма'!$B$37:$B$47,$B29,'9.Инвестиционна програма'!I$37:I$47)*$E$6</f>
        <v>15</v>
      </c>
      <c r="O29" s="1245">
        <f>SUMIF('9.Инвестиционна програма'!$B$37:$B$47,$B29,'9.Инвестиционна програма'!J$37:J$47)*$E$6</f>
        <v>10</v>
      </c>
      <c r="P29" s="1245">
        <f>SUMIF('9.Инвестиционна програма'!$B$37:$B$47,$B29,'9.Инвестиционна програма'!K$37:K$47)*$E$6</f>
        <v>10</v>
      </c>
      <c r="Q29" s="1245">
        <f>SUMIF('9.Инвестиционна програма'!$B$37:$B$47,$B29,'9.Инвестиционна програма'!L$37:L$47)*$E$6</f>
        <v>10</v>
      </c>
      <c r="R29" s="1246">
        <f>SUMIF('9.Инвестиционна програма'!$B$37:$B$47,$B29,'9.Инвестиционна програма'!M$37:M$47)*$E$6</f>
        <v>10</v>
      </c>
      <c r="S29" s="1132">
        <f>'11.2. ДА за периода'!S29</f>
        <v>2</v>
      </c>
      <c r="T29" s="925">
        <f>SUMIF('9.Инвестиционна програма'!$B$49:$B$56,$B29,'9.Инвестиционна програма'!H$49:H$56)*$E$6</f>
        <v>20</v>
      </c>
      <c r="U29" s="925">
        <f>SUMIF('9.Инвестиционна програма'!$B$49:$B$56,$B29,'9.Инвестиционна програма'!I$49:I$56)*$E$6</f>
        <v>50</v>
      </c>
      <c r="V29" s="925">
        <f>SUMIF('9.Инвестиционна програма'!$B$49:$B$56,$B29,'9.Инвестиционна програма'!J$49:J$56)*$E$6</f>
        <v>30</v>
      </c>
      <c r="W29" s="925">
        <f>SUMIF('9.Инвестиционна програма'!$B$49:$B$56,$B29,'9.Инвестиционна програма'!K$49:K$56)*$E$6</f>
        <v>20</v>
      </c>
      <c r="X29" s="925">
        <f>SUMIF('9.Инвестиционна програма'!$B$49:$B$56,$B29,'9.Инвестиционна програма'!L$49:L$56)*$E$6</f>
        <v>50</v>
      </c>
      <c r="Y29" s="2865">
        <f>SUMIF('9.Инвестиционна програма'!$B$49:$B$56,$B29,'9.Инвестиционна програма'!M$49:M$56)*$E$6</f>
        <v>20</v>
      </c>
      <c r="Z29" s="1132">
        <f>'11.2. ДА за периода'!Z29</f>
        <v>0</v>
      </c>
      <c r="AA29" s="925">
        <f>SUMIF('9.Инвестиционна програма'!$B$74:$B$97,$B29,'9.Инвестиционна програма'!H$74:H$97)*$E$6</f>
        <v>0</v>
      </c>
      <c r="AB29" s="925">
        <f>SUMIF('9.Инвестиционна програма'!$B$74:$B$97,$B29,'9.Инвестиционна програма'!I$74:I$97)*$E$6</f>
        <v>0</v>
      </c>
      <c r="AC29" s="925">
        <f>SUMIF('9.Инвестиционна програма'!$B$74:$B$97,$B29,'9.Инвестиционна програма'!J$74:J$97)*$E$6</f>
        <v>0</v>
      </c>
      <c r="AD29" s="925">
        <f>SUMIF('9.Инвестиционна програма'!$B$74:$B$97,$B29,'9.Инвестиционна програма'!K$74:K$97)*$E$6</f>
        <v>0</v>
      </c>
      <c r="AE29" s="925">
        <f>SUMIF('9.Инвестиционна програма'!$B$74:$B$97,$B29,'9.Инвестиционна програма'!L$74:L$97)*$E$6</f>
        <v>0</v>
      </c>
      <c r="AF29" s="925">
        <f>SUMIF('9.Инвестиционна програма'!$B$74:$B$97,$B29,'9.Инвестиционна програма'!M$74:M$97)*$E$6</f>
        <v>0</v>
      </c>
      <c r="AG29" s="1132">
        <f>'11.2. ДА за периода'!AG29</f>
        <v>0</v>
      </c>
      <c r="AH29" s="925">
        <f>SUMIF('9.Инвестиционна програма'!$B$100:$B$123,$B29,'9.Инвестиционна програма'!H$100:H$123)*$E$6</f>
        <v>0</v>
      </c>
      <c r="AI29" s="925">
        <f>SUMIF('9.Инвестиционна програма'!$B$100:$B$123,$B29,'9.Инвестиционна програма'!I$100:I$123)*$E$6</f>
        <v>0</v>
      </c>
      <c r="AJ29" s="925">
        <f>SUMIF('9.Инвестиционна програма'!$B$100:$B$123,$B29,'9.Инвестиционна програма'!J$100:J$123)*$E$6</f>
        <v>0</v>
      </c>
      <c r="AK29" s="925">
        <f>SUMIF('9.Инвестиционна програма'!$B$100:$B$123,$B29,'9.Инвестиционна програма'!K$100:K$123)*$E$6</f>
        <v>0</v>
      </c>
      <c r="AL29" s="925">
        <f>SUMIF('9.Инвестиционна програма'!$B$100:$B$123,$B29,'9.Инвестиционна програма'!L$100:L$123)*$E$6</f>
        <v>0</v>
      </c>
      <c r="AM29" s="925">
        <f>SUMIF('9.Инвестиционна програма'!$B$100:$B$123,$B29,'9.Инвестиционна програма'!M$100:M$123)*$E$6</f>
        <v>0</v>
      </c>
      <c r="AN29" s="1132">
        <f>'11.2. ДА за периода'!AN29</f>
        <v>0</v>
      </c>
      <c r="AO29" s="1251">
        <f>(SUMIF('9.Инвестиционна програма'!$B$58:$B$59,$B29,'9.Инвестиционна програма'!H$58:H$59)+SUMIF('9.Инвестиционна програма'!$B$61:$B$71,$B29,'9.Инвестиционна програма'!H$61:H$71))*$E$6</f>
        <v>0</v>
      </c>
      <c r="AP29" s="925">
        <f>(SUMIF('9.Инвестиционна програма'!$B$58:$B$59,$B29,'9.Инвестиционна програма'!I$58:I$59)+SUMIF('9.Инвестиционна програма'!$B$61:$B$71,$B29,'9.Инвестиционна програма'!I$61:I$71))*$E$6</f>
        <v>0</v>
      </c>
      <c r="AQ29" s="925">
        <f>(SUMIF('9.Инвестиционна програма'!$B$58:$B$59,$B29,'9.Инвестиционна програма'!J$58:J$59)+SUMIF('9.Инвестиционна програма'!$B$61:$B$71,$B29,'9.Инвестиционна програма'!J$61:J$71))*$E$6</f>
        <v>0</v>
      </c>
      <c r="AR29" s="925">
        <f>(SUMIF('9.Инвестиционна програма'!$B$58:$B$59,$B29,'9.Инвестиционна програма'!K$58:K$59)+SUMIF('9.Инвестиционна програма'!$B$61:$B$71,$B29,'9.Инвестиционна програма'!K$61:K$71))*$E$6</f>
        <v>0</v>
      </c>
      <c r="AS29" s="925">
        <f>(SUMIF('9.Инвестиционна програма'!$B$58:$B$59,$B29,'9.Инвестиционна програма'!L$58:L$59)+SUMIF('9.Инвестиционна програма'!$B$61:$B$71,$B29,'9.Инвестиционна програма'!L$61:L$71))*$E$6</f>
        <v>0</v>
      </c>
      <c r="AT29" s="2865">
        <f>(SUMIF('9.Инвестиционна програма'!$B$58:$B$59,$B29,'9.Инвестиционна програма'!M$58:M$59)+SUMIF('9.Инвестиционна програма'!$B$61:$B$71,$B29,'9.Инвестиционна програма'!M$61:M$71))*$E$6</f>
        <v>0</v>
      </c>
      <c r="AU29" s="4775"/>
      <c r="AV29" s="4794">
        <f t="shared" si="47"/>
        <v>55.219523169191596</v>
      </c>
      <c r="AW29" s="4794">
        <f t="shared" si="48"/>
        <v>76.693782179432773</v>
      </c>
      <c r="AX29" s="4794">
        <f t="shared" si="49"/>
        <v>51.129188119621851</v>
      </c>
      <c r="AY29" s="4794">
        <f t="shared" si="50"/>
        <v>25.564594059810926</v>
      </c>
      <c r="AZ29" s="4794">
        <f t="shared" si="51"/>
        <v>25.564594059810926</v>
      </c>
      <c r="BA29" s="4794">
        <f t="shared" si="52"/>
        <v>25.564594059810926</v>
      </c>
      <c r="BB29" s="4794">
        <f t="shared" si="53"/>
        <v>25.564594059810926</v>
      </c>
      <c r="BC29" s="4794">
        <f t="shared" si="54"/>
        <v>0</v>
      </c>
      <c r="BD29" s="4794">
        <f t="shared" si="55"/>
        <v>5.1129188119621851</v>
      </c>
      <c r="BE29" s="4794">
        <f t="shared" si="56"/>
        <v>7.6693782179432777</v>
      </c>
      <c r="BF29" s="4794">
        <f t="shared" si="57"/>
        <v>5.1129188119621851</v>
      </c>
      <c r="BG29" s="4794">
        <f t="shared" si="58"/>
        <v>5.1129188119621851</v>
      </c>
      <c r="BH29" s="4794">
        <f t="shared" si="59"/>
        <v>5.1129188119621851</v>
      </c>
      <c r="BI29" s="4794">
        <f t="shared" si="60"/>
        <v>5.1129188119621851</v>
      </c>
      <c r="BJ29" s="4794">
        <f t="shared" si="61"/>
        <v>1.022583762392437</v>
      </c>
      <c r="BK29" s="4794">
        <f t="shared" si="62"/>
        <v>10.22583762392437</v>
      </c>
      <c r="BL29" s="4794">
        <f t="shared" si="63"/>
        <v>25.564594059810926</v>
      </c>
      <c r="BM29" s="4794">
        <f t="shared" si="64"/>
        <v>15.338756435886555</v>
      </c>
      <c r="BN29" s="4794">
        <f t="shared" si="65"/>
        <v>10.22583762392437</v>
      </c>
      <c r="BO29" s="4794">
        <f t="shared" si="66"/>
        <v>25.564594059810926</v>
      </c>
      <c r="BP29" s="4794">
        <f t="shared" si="67"/>
        <v>10.22583762392437</v>
      </c>
      <c r="BQ29" s="4794">
        <f t="shared" si="68"/>
        <v>0</v>
      </c>
      <c r="BR29" s="4794">
        <f t="shared" si="69"/>
        <v>0</v>
      </c>
      <c r="BS29" s="4794">
        <f t="shared" si="70"/>
        <v>0</v>
      </c>
      <c r="BT29" s="4794">
        <f t="shared" si="71"/>
        <v>0</v>
      </c>
      <c r="BU29" s="4794">
        <f t="shared" si="72"/>
        <v>0</v>
      </c>
      <c r="BV29" s="4794">
        <f t="shared" si="73"/>
        <v>0</v>
      </c>
      <c r="BW29" s="4794">
        <f t="shared" si="74"/>
        <v>0</v>
      </c>
      <c r="BX29" s="4794">
        <f t="shared" si="75"/>
        <v>0</v>
      </c>
      <c r="BY29" s="4794">
        <f t="shared" si="76"/>
        <v>0</v>
      </c>
      <c r="BZ29" s="4794">
        <f t="shared" si="77"/>
        <v>0</v>
      </c>
      <c r="CA29" s="4794">
        <f t="shared" si="78"/>
        <v>0</v>
      </c>
      <c r="CB29" s="4794">
        <f t="shared" si="79"/>
        <v>0</v>
      </c>
      <c r="CC29" s="4794">
        <f t="shared" si="80"/>
        <v>0</v>
      </c>
      <c r="CD29" s="4794">
        <f t="shared" si="81"/>
        <v>0</v>
      </c>
      <c r="CE29" s="4794">
        <f t="shared" si="82"/>
        <v>0</v>
      </c>
      <c r="CF29" s="4794">
        <f t="shared" si="83"/>
        <v>0</v>
      </c>
      <c r="CG29" s="4794">
        <f t="shared" si="84"/>
        <v>0</v>
      </c>
      <c r="CH29" s="4794">
        <f t="shared" si="85"/>
        <v>0</v>
      </c>
      <c r="CI29" s="4794">
        <f t="shared" si="86"/>
        <v>0</v>
      </c>
      <c r="CJ29" s="4794">
        <f t="shared" si="87"/>
        <v>0</v>
      </c>
      <c r="CK29" s="4794">
        <f t="shared" si="88"/>
        <v>0</v>
      </c>
    </row>
    <row r="30" spans="1:89" ht="14.25" customHeight="1">
      <c r="A30" s="2869">
        <v>4</v>
      </c>
      <c r="B30" s="3817">
        <v>204</v>
      </c>
      <c r="C30" s="3800"/>
      <c r="D30" s="2887" t="s">
        <v>211</v>
      </c>
      <c r="E30" s="2871">
        <f>E31+E34+E43+E44</f>
        <v>4178</v>
      </c>
      <c r="F30" s="2872">
        <f t="shared" ref="F30:AT30" si="95">F31+F34+F43+F44</f>
        <v>4460</v>
      </c>
      <c r="G30" s="2873">
        <f t="shared" si="95"/>
        <v>3430</v>
      </c>
      <c r="H30" s="2873">
        <f t="shared" si="95"/>
        <v>2880</v>
      </c>
      <c r="I30" s="2873">
        <f t="shared" si="95"/>
        <v>2810</v>
      </c>
      <c r="J30" s="2873">
        <f t="shared" si="95"/>
        <v>2745</v>
      </c>
      <c r="K30" s="2874">
        <f t="shared" si="95"/>
        <v>2880</v>
      </c>
      <c r="L30" s="2871">
        <f t="shared" si="95"/>
        <v>94</v>
      </c>
      <c r="M30" s="2872">
        <f t="shared" si="95"/>
        <v>120</v>
      </c>
      <c r="N30" s="2873">
        <f t="shared" si="95"/>
        <v>160</v>
      </c>
      <c r="O30" s="2873">
        <f t="shared" si="95"/>
        <v>160</v>
      </c>
      <c r="P30" s="2873">
        <f t="shared" si="95"/>
        <v>160</v>
      </c>
      <c r="Q30" s="2873">
        <f t="shared" si="95"/>
        <v>150</v>
      </c>
      <c r="R30" s="2874">
        <f t="shared" si="95"/>
        <v>150</v>
      </c>
      <c r="S30" s="2869">
        <f t="shared" si="95"/>
        <v>93</v>
      </c>
      <c r="T30" s="2875">
        <f t="shared" si="95"/>
        <v>100</v>
      </c>
      <c r="U30" s="2873">
        <f t="shared" si="95"/>
        <v>100</v>
      </c>
      <c r="V30" s="2873">
        <f t="shared" si="95"/>
        <v>100</v>
      </c>
      <c r="W30" s="2873">
        <f t="shared" si="95"/>
        <v>100</v>
      </c>
      <c r="X30" s="2873">
        <f t="shared" si="95"/>
        <v>100</v>
      </c>
      <c r="Y30" s="2874">
        <f t="shared" si="95"/>
        <v>100</v>
      </c>
      <c r="Z30" s="2869">
        <f t="shared" si="95"/>
        <v>0</v>
      </c>
      <c r="AA30" s="2875">
        <f t="shared" si="95"/>
        <v>0</v>
      </c>
      <c r="AB30" s="2873">
        <f t="shared" si="95"/>
        <v>0</v>
      </c>
      <c r="AC30" s="2873">
        <f t="shared" si="95"/>
        <v>0</v>
      </c>
      <c r="AD30" s="2873">
        <f t="shared" si="95"/>
        <v>0</v>
      </c>
      <c r="AE30" s="2873">
        <f t="shared" si="95"/>
        <v>0</v>
      </c>
      <c r="AF30" s="2874">
        <f t="shared" si="95"/>
        <v>0</v>
      </c>
      <c r="AG30" s="2869">
        <f t="shared" si="95"/>
        <v>0</v>
      </c>
      <c r="AH30" s="2875">
        <f t="shared" si="95"/>
        <v>0</v>
      </c>
      <c r="AI30" s="2873">
        <f t="shared" si="95"/>
        <v>0</v>
      </c>
      <c r="AJ30" s="2873">
        <f t="shared" si="95"/>
        <v>0</v>
      </c>
      <c r="AK30" s="2873">
        <f t="shared" si="95"/>
        <v>0</v>
      </c>
      <c r="AL30" s="2873">
        <f t="shared" si="95"/>
        <v>0</v>
      </c>
      <c r="AM30" s="2874">
        <f t="shared" si="95"/>
        <v>0</v>
      </c>
      <c r="AN30" s="2869">
        <f t="shared" si="95"/>
        <v>0</v>
      </c>
      <c r="AO30" s="2875">
        <f t="shared" si="95"/>
        <v>0</v>
      </c>
      <c r="AP30" s="2873">
        <f t="shared" si="95"/>
        <v>0</v>
      </c>
      <c r="AQ30" s="2873">
        <f t="shared" si="95"/>
        <v>0</v>
      </c>
      <c r="AR30" s="2873">
        <f t="shared" si="95"/>
        <v>0</v>
      </c>
      <c r="AS30" s="2873">
        <f t="shared" si="95"/>
        <v>0</v>
      </c>
      <c r="AT30" s="2874">
        <f t="shared" si="95"/>
        <v>0</v>
      </c>
      <c r="AU30" s="4775"/>
      <c r="AV30" s="4794">
        <f t="shared" si="47"/>
        <v>2136.1774796378008</v>
      </c>
      <c r="AW30" s="4794">
        <f t="shared" si="48"/>
        <v>2280.3617901351345</v>
      </c>
      <c r="AX30" s="4794">
        <f t="shared" si="49"/>
        <v>1753.7311525030295</v>
      </c>
      <c r="AY30" s="4794">
        <f t="shared" si="50"/>
        <v>1472.5206178451092</v>
      </c>
      <c r="AZ30" s="4794">
        <f t="shared" si="51"/>
        <v>1436.7301861613739</v>
      </c>
      <c r="BA30" s="4794">
        <f t="shared" si="52"/>
        <v>1403.4962138836197</v>
      </c>
      <c r="BB30" s="4794">
        <f t="shared" si="53"/>
        <v>1472.5206178451092</v>
      </c>
      <c r="BC30" s="4794">
        <f t="shared" si="54"/>
        <v>48.061436832444535</v>
      </c>
      <c r="BD30" s="4794">
        <f t="shared" si="55"/>
        <v>61.355025743546221</v>
      </c>
      <c r="BE30" s="4794">
        <f t="shared" si="56"/>
        <v>81.806700991394962</v>
      </c>
      <c r="BF30" s="4794">
        <f t="shared" si="57"/>
        <v>81.806700991394962</v>
      </c>
      <c r="BG30" s="4794">
        <f t="shared" si="58"/>
        <v>81.806700991394962</v>
      </c>
      <c r="BH30" s="4794">
        <f t="shared" si="59"/>
        <v>76.693782179432773</v>
      </c>
      <c r="BI30" s="4794">
        <f t="shared" si="60"/>
        <v>76.693782179432773</v>
      </c>
      <c r="BJ30" s="4794">
        <f t="shared" si="61"/>
        <v>47.550144951248321</v>
      </c>
      <c r="BK30" s="4794">
        <f t="shared" si="62"/>
        <v>51.129188119621851</v>
      </c>
      <c r="BL30" s="4794">
        <f t="shared" si="63"/>
        <v>51.129188119621851</v>
      </c>
      <c r="BM30" s="4794">
        <f t="shared" si="64"/>
        <v>51.129188119621851</v>
      </c>
      <c r="BN30" s="4794">
        <f t="shared" si="65"/>
        <v>51.129188119621851</v>
      </c>
      <c r="BO30" s="4794">
        <f t="shared" si="66"/>
        <v>51.129188119621851</v>
      </c>
      <c r="BP30" s="4794">
        <f t="shared" si="67"/>
        <v>51.129188119621851</v>
      </c>
      <c r="BQ30" s="4794">
        <f t="shared" si="68"/>
        <v>0</v>
      </c>
      <c r="BR30" s="4794">
        <f t="shared" si="69"/>
        <v>0</v>
      </c>
      <c r="BS30" s="4794">
        <f t="shared" si="70"/>
        <v>0</v>
      </c>
      <c r="BT30" s="4794">
        <f t="shared" si="71"/>
        <v>0</v>
      </c>
      <c r="BU30" s="4794">
        <f t="shared" si="72"/>
        <v>0</v>
      </c>
      <c r="BV30" s="4794">
        <f t="shared" si="73"/>
        <v>0</v>
      </c>
      <c r="BW30" s="4794">
        <f t="shared" si="74"/>
        <v>0</v>
      </c>
      <c r="BX30" s="4794">
        <f t="shared" si="75"/>
        <v>0</v>
      </c>
      <c r="BY30" s="4794">
        <f t="shared" si="76"/>
        <v>0</v>
      </c>
      <c r="BZ30" s="4794">
        <f t="shared" si="77"/>
        <v>0</v>
      </c>
      <c r="CA30" s="4794">
        <f t="shared" si="78"/>
        <v>0</v>
      </c>
      <c r="CB30" s="4794">
        <f t="shared" si="79"/>
        <v>0</v>
      </c>
      <c r="CC30" s="4794">
        <f t="shared" si="80"/>
        <v>0</v>
      </c>
      <c r="CD30" s="4794">
        <f t="shared" si="81"/>
        <v>0</v>
      </c>
      <c r="CE30" s="4794">
        <f t="shared" si="82"/>
        <v>0</v>
      </c>
      <c r="CF30" s="4794">
        <f t="shared" si="83"/>
        <v>0</v>
      </c>
      <c r="CG30" s="4794">
        <f t="shared" si="84"/>
        <v>0</v>
      </c>
      <c r="CH30" s="4794">
        <f t="shared" si="85"/>
        <v>0</v>
      </c>
      <c r="CI30" s="4794">
        <f t="shared" si="86"/>
        <v>0</v>
      </c>
      <c r="CJ30" s="4794">
        <f t="shared" si="87"/>
        <v>0</v>
      </c>
      <c r="CK30" s="4794">
        <f t="shared" si="88"/>
        <v>0</v>
      </c>
    </row>
    <row r="31" spans="1:89">
      <c r="A31" s="2876"/>
      <c r="B31" s="3818">
        <v>20401</v>
      </c>
      <c r="C31" s="3801"/>
      <c r="D31" s="2868" t="s">
        <v>417</v>
      </c>
      <c r="E31" s="2880">
        <f t="shared" ref="E31:AT31" si="96">SUM(E32:E33)</f>
        <v>0</v>
      </c>
      <c r="F31" s="2881">
        <f t="shared" si="96"/>
        <v>0</v>
      </c>
      <c r="G31" s="2882">
        <f t="shared" si="96"/>
        <v>0</v>
      </c>
      <c r="H31" s="2882">
        <f t="shared" si="96"/>
        <v>0</v>
      </c>
      <c r="I31" s="2882">
        <f t="shared" si="96"/>
        <v>0</v>
      </c>
      <c r="J31" s="2882">
        <f t="shared" si="96"/>
        <v>0</v>
      </c>
      <c r="K31" s="2883">
        <f t="shared" si="96"/>
        <v>0</v>
      </c>
      <c r="L31" s="2880">
        <f t="shared" si="96"/>
        <v>0</v>
      </c>
      <c r="M31" s="2881">
        <f t="shared" si="96"/>
        <v>0</v>
      </c>
      <c r="N31" s="2882">
        <f t="shared" si="96"/>
        <v>0</v>
      </c>
      <c r="O31" s="2882">
        <f t="shared" si="96"/>
        <v>0</v>
      </c>
      <c r="P31" s="2882">
        <f t="shared" si="96"/>
        <v>0</v>
      </c>
      <c r="Q31" s="2882">
        <f t="shared" si="96"/>
        <v>0</v>
      </c>
      <c r="R31" s="2883">
        <f t="shared" si="96"/>
        <v>0</v>
      </c>
      <c r="S31" s="2884">
        <f t="shared" si="96"/>
        <v>0</v>
      </c>
      <c r="T31" s="2885">
        <f t="shared" si="96"/>
        <v>0</v>
      </c>
      <c r="U31" s="2882">
        <f t="shared" si="96"/>
        <v>0</v>
      </c>
      <c r="V31" s="2882">
        <f t="shared" si="96"/>
        <v>0</v>
      </c>
      <c r="W31" s="2882">
        <f t="shared" si="96"/>
        <v>0</v>
      </c>
      <c r="X31" s="2882">
        <f t="shared" si="96"/>
        <v>0</v>
      </c>
      <c r="Y31" s="2883">
        <f t="shared" si="96"/>
        <v>0</v>
      </c>
      <c r="Z31" s="2884">
        <f t="shared" ref="Z31:AM31" si="97">SUM(Z32:Z33)</f>
        <v>0</v>
      </c>
      <c r="AA31" s="2885">
        <f t="shared" si="97"/>
        <v>0</v>
      </c>
      <c r="AB31" s="2882">
        <f t="shared" si="97"/>
        <v>0</v>
      </c>
      <c r="AC31" s="2882">
        <f t="shared" si="97"/>
        <v>0</v>
      </c>
      <c r="AD31" s="2882">
        <f t="shared" si="97"/>
        <v>0</v>
      </c>
      <c r="AE31" s="2882">
        <f t="shared" si="97"/>
        <v>0</v>
      </c>
      <c r="AF31" s="2883">
        <f t="shared" si="97"/>
        <v>0</v>
      </c>
      <c r="AG31" s="2884">
        <f t="shared" si="97"/>
        <v>0</v>
      </c>
      <c r="AH31" s="2885">
        <f t="shared" si="97"/>
        <v>0</v>
      </c>
      <c r="AI31" s="2882">
        <f t="shared" si="97"/>
        <v>0</v>
      </c>
      <c r="AJ31" s="2882">
        <f t="shared" si="97"/>
        <v>0</v>
      </c>
      <c r="AK31" s="2882">
        <f t="shared" si="97"/>
        <v>0</v>
      </c>
      <c r="AL31" s="2882">
        <f t="shared" si="97"/>
        <v>0</v>
      </c>
      <c r="AM31" s="2883">
        <f t="shared" si="97"/>
        <v>0</v>
      </c>
      <c r="AN31" s="2884">
        <f t="shared" si="96"/>
        <v>0</v>
      </c>
      <c r="AO31" s="2885">
        <f t="shared" si="96"/>
        <v>0</v>
      </c>
      <c r="AP31" s="2882">
        <f t="shared" si="96"/>
        <v>0</v>
      </c>
      <c r="AQ31" s="2882">
        <f t="shared" si="96"/>
        <v>0</v>
      </c>
      <c r="AR31" s="2882">
        <f t="shared" si="96"/>
        <v>0</v>
      </c>
      <c r="AS31" s="2882">
        <f t="shared" si="96"/>
        <v>0</v>
      </c>
      <c r="AT31" s="2883">
        <f t="shared" si="96"/>
        <v>0</v>
      </c>
      <c r="AU31" s="4775"/>
      <c r="AV31" s="4794">
        <f t="shared" si="47"/>
        <v>0</v>
      </c>
      <c r="AW31" s="4794">
        <f t="shared" si="48"/>
        <v>0</v>
      </c>
      <c r="AX31" s="4794">
        <f t="shared" si="49"/>
        <v>0</v>
      </c>
      <c r="AY31" s="4794">
        <f t="shared" si="50"/>
        <v>0</v>
      </c>
      <c r="AZ31" s="4794">
        <f t="shared" si="51"/>
        <v>0</v>
      </c>
      <c r="BA31" s="4794">
        <f t="shared" si="52"/>
        <v>0</v>
      </c>
      <c r="BB31" s="4794">
        <f t="shared" si="53"/>
        <v>0</v>
      </c>
      <c r="BC31" s="4794">
        <f t="shared" si="54"/>
        <v>0</v>
      </c>
      <c r="BD31" s="4794">
        <f t="shared" si="55"/>
        <v>0</v>
      </c>
      <c r="BE31" s="4794">
        <f t="shared" si="56"/>
        <v>0</v>
      </c>
      <c r="BF31" s="4794">
        <f t="shared" si="57"/>
        <v>0</v>
      </c>
      <c r="BG31" s="4794">
        <f t="shared" si="58"/>
        <v>0</v>
      </c>
      <c r="BH31" s="4794">
        <f t="shared" si="59"/>
        <v>0</v>
      </c>
      <c r="BI31" s="4794">
        <f t="shared" si="60"/>
        <v>0</v>
      </c>
      <c r="BJ31" s="4794">
        <f t="shared" si="61"/>
        <v>0</v>
      </c>
      <c r="BK31" s="4794">
        <f t="shared" si="62"/>
        <v>0</v>
      </c>
      <c r="BL31" s="4794">
        <f t="shared" si="63"/>
        <v>0</v>
      </c>
      <c r="BM31" s="4794">
        <f t="shared" si="64"/>
        <v>0</v>
      </c>
      <c r="BN31" s="4794">
        <f t="shared" si="65"/>
        <v>0</v>
      </c>
      <c r="BO31" s="4794">
        <f t="shared" si="66"/>
        <v>0</v>
      </c>
      <c r="BP31" s="4794">
        <f t="shared" si="67"/>
        <v>0</v>
      </c>
      <c r="BQ31" s="4794">
        <f t="shared" si="68"/>
        <v>0</v>
      </c>
      <c r="BR31" s="4794">
        <f t="shared" si="69"/>
        <v>0</v>
      </c>
      <c r="BS31" s="4794">
        <f t="shared" si="70"/>
        <v>0</v>
      </c>
      <c r="BT31" s="4794">
        <f t="shared" si="71"/>
        <v>0</v>
      </c>
      <c r="BU31" s="4794">
        <f t="shared" si="72"/>
        <v>0</v>
      </c>
      <c r="BV31" s="4794">
        <f t="shared" si="73"/>
        <v>0</v>
      </c>
      <c r="BW31" s="4794">
        <f t="shared" si="74"/>
        <v>0</v>
      </c>
      <c r="BX31" s="4794">
        <f t="shared" si="75"/>
        <v>0</v>
      </c>
      <c r="BY31" s="4794">
        <f t="shared" si="76"/>
        <v>0</v>
      </c>
      <c r="BZ31" s="4794">
        <f t="shared" si="77"/>
        <v>0</v>
      </c>
      <c r="CA31" s="4794">
        <f t="shared" si="78"/>
        <v>0</v>
      </c>
      <c r="CB31" s="4794">
        <f t="shared" si="79"/>
        <v>0</v>
      </c>
      <c r="CC31" s="4794">
        <f t="shared" si="80"/>
        <v>0</v>
      </c>
      <c r="CD31" s="4794">
        <f t="shared" si="81"/>
        <v>0</v>
      </c>
      <c r="CE31" s="4794">
        <f t="shared" si="82"/>
        <v>0</v>
      </c>
      <c r="CF31" s="4794">
        <f t="shared" si="83"/>
        <v>0</v>
      </c>
      <c r="CG31" s="4794">
        <f t="shared" si="84"/>
        <v>0</v>
      </c>
      <c r="CH31" s="4794">
        <f t="shared" si="85"/>
        <v>0</v>
      </c>
      <c r="CI31" s="4794">
        <f t="shared" si="86"/>
        <v>0</v>
      </c>
      <c r="CJ31" s="4794">
        <f t="shared" si="87"/>
        <v>0</v>
      </c>
      <c r="CK31" s="4794">
        <f t="shared" si="88"/>
        <v>0</v>
      </c>
    </row>
    <row r="32" spans="1:89">
      <c r="A32" s="2876"/>
      <c r="B32" s="3819">
        <v>2040101</v>
      </c>
      <c r="C32" s="3802">
        <v>0.1</v>
      </c>
      <c r="D32" s="2888" t="s">
        <v>431</v>
      </c>
      <c r="E32" s="2864">
        <f>'11.2. ДА за периода'!E32</f>
        <v>0</v>
      </c>
      <c r="F32" s="1247">
        <f>SUMIF('9.Инвестиционна програма'!$B$12:$B$35,$B32,'9.Инвестиционна програма'!H$12:H$35)*$E$6</f>
        <v>0</v>
      </c>
      <c r="G32" s="1243">
        <f>SUMIF('9.Инвестиционна програма'!$B$12:$B$35,$B32,'9.Инвестиционна програма'!I$12:I$35)*$E$6</f>
        <v>0</v>
      </c>
      <c r="H32" s="1243">
        <f>SUMIF('9.Инвестиционна програма'!$B$12:$B$35,$B32,'9.Инвестиционна програма'!J$12:J$35)*$E$6</f>
        <v>0</v>
      </c>
      <c r="I32" s="1243">
        <f>SUMIF('9.Инвестиционна програма'!$B$12:$B$35,$B32,'9.Инвестиционна програма'!K$12:K$35)*$E$6</f>
        <v>0</v>
      </c>
      <c r="J32" s="1243">
        <f>SUMIF('9.Инвестиционна програма'!$B$12:$B$35,$B32,'9.Инвестиционна програма'!L$12:L$35)*$E$6</f>
        <v>0</v>
      </c>
      <c r="K32" s="1248">
        <f>SUMIF('9.Инвестиционна програма'!$B$12:$B$35,$B32,'9.Инвестиционна програма'!M$12:M$35)*$E$6</f>
        <v>0</v>
      </c>
      <c r="L32" s="2864">
        <f>'11.2. ДА за периода'!L32</f>
        <v>0</v>
      </c>
      <c r="M32" s="1251">
        <f>SUMIF('9.Инвестиционна програма'!$B$37:$B$47,$B32,'9.Инвестиционна програма'!H$37:H$47)*$E$6</f>
        <v>0</v>
      </c>
      <c r="N32" s="1245">
        <f>SUMIF('9.Инвестиционна програма'!$B$37:$B$47,$B32,'9.Инвестиционна програма'!I$37:I$47)*$E$6</f>
        <v>0</v>
      </c>
      <c r="O32" s="1245">
        <f>SUMIF('9.Инвестиционна програма'!$B$37:$B$47,$B32,'9.Инвестиционна програма'!J$37:J$47)*$E$6</f>
        <v>0</v>
      </c>
      <c r="P32" s="1245">
        <f>SUMIF('9.Инвестиционна програма'!$B$37:$B$47,$B32,'9.Инвестиционна програма'!K$37:K$47)*$E$6</f>
        <v>0</v>
      </c>
      <c r="Q32" s="1245">
        <f>SUMIF('9.Инвестиционна програма'!$B$37:$B$47,$B32,'9.Инвестиционна програма'!L$37:L$47)*$E$6</f>
        <v>0</v>
      </c>
      <c r="R32" s="1246">
        <f>SUMIF('9.Инвестиционна програма'!$B$37:$B$47,$B32,'9.Инвестиционна програма'!M$37:M$47)*$E$6</f>
        <v>0</v>
      </c>
      <c r="S32" s="1132">
        <f>'11.2. ДА за периода'!S32</f>
        <v>0</v>
      </c>
      <c r="T32" s="925">
        <f>SUMIF('9.Инвестиционна програма'!$B$49:$B$56,$B32,'9.Инвестиционна програма'!H$49:H$56)*$E$6</f>
        <v>0</v>
      </c>
      <c r="U32" s="925">
        <f>SUMIF('9.Инвестиционна програма'!$B$49:$B$56,$B32,'9.Инвестиционна програма'!I$49:I$56)*$E$6</f>
        <v>0</v>
      </c>
      <c r="V32" s="925">
        <f>SUMIF('9.Инвестиционна програма'!$B$49:$B$56,$B32,'9.Инвестиционна програма'!J$49:J$56)*$E$6</f>
        <v>0</v>
      </c>
      <c r="W32" s="925">
        <f>SUMIF('9.Инвестиционна програма'!$B$49:$B$56,$B32,'9.Инвестиционна програма'!K$49:K$56)*$E$6</f>
        <v>0</v>
      </c>
      <c r="X32" s="925">
        <f>SUMIF('9.Инвестиционна програма'!$B$49:$B$56,$B32,'9.Инвестиционна програма'!L$49:L$56)*$E$6</f>
        <v>0</v>
      </c>
      <c r="Y32" s="2865">
        <f>SUMIF('9.Инвестиционна програма'!$B$49:$B$56,$B32,'9.Инвестиционна програма'!M$49:M$56)*$E$6</f>
        <v>0</v>
      </c>
      <c r="Z32" s="1132">
        <f>'11.2. ДА за периода'!Z32</f>
        <v>0</v>
      </c>
      <c r="AA32" s="925">
        <f>SUMIF('9.Инвестиционна програма'!$B$74:$B$97,$B32,'9.Инвестиционна програма'!H$74:H$97)*$E$6</f>
        <v>0</v>
      </c>
      <c r="AB32" s="925">
        <f>SUMIF('9.Инвестиционна програма'!$B$74:$B$97,$B32,'9.Инвестиционна програма'!I$74:I$97)*$E$6</f>
        <v>0</v>
      </c>
      <c r="AC32" s="925">
        <f>SUMIF('9.Инвестиционна програма'!$B$74:$B$97,$B32,'9.Инвестиционна програма'!J$74:J$97)*$E$6</f>
        <v>0</v>
      </c>
      <c r="AD32" s="925">
        <f>SUMIF('9.Инвестиционна програма'!$B$74:$B$97,$B32,'9.Инвестиционна програма'!K$74:K$97)*$E$6</f>
        <v>0</v>
      </c>
      <c r="AE32" s="925">
        <f>SUMIF('9.Инвестиционна програма'!$B$74:$B$97,$B32,'9.Инвестиционна програма'!L$74:L$97)*$E$6</f>
        <v>0</v>
      </c>
      <c r="AF32" s="925">
        <f>SUMIF('9.Инвестиционна програма'!$B$74:$B$97,$B32,'9.Инвестиционна програма'!M$74:M$97)*$E$6</f>
        <v>0</v>
      </c>
      <c r="AG32" s="1132">
        <f>'11.2. ДА за периода'!AG32</f>
        <v>0</v>
      </c>
      <c r="AH32" s="925">
        <f>SUMIF('9.Инвестиционна програма'!$B$100:$B$123,$B32,'9.Инвестиционна програма'!H$100:H$123)*$E$6</f>
        <v>0</v>
      </c>
      <c r="AI32" s="925">
        <f>SUMIF('9.Инвестиционна програма'!$B$100:$B$123,$B32,'9.Инвестиционна програма'!I$100:I$123)*$E$6</f>
        <v>0</v>
      </c>
      <c r="AJ32" s="925">
        <f>SUMIF('9.Инвестиционна програма'!$B$100:$B$123,$B32,'9.Инвестиционна програма'!J$100:J$123)*$E$6</f>
        <v>0</v>
      </c>
      <c r="AK32" s="925">
        <f>SUMIF('9.Инвестиционна програма'!$B$100:$B$123,$B32,'9.Инвестиционна програма'!K$100:K$123)*$E$6</f>
        <v>0</v>
      </c>
      <c r="AL32" s="925">
        <f>SUMIF('9.Инвестиционна програма'!$B$100:$B$123,$B32,'9.Инвестиционна програма'!L$100:L$123)*$E$6</f>
        <v>0</v>
      </c>
      <c r="AM32" s="925">
        <f>SUMIF('9.Инвестиционна програма'!$B$100:$B$123,$B32,'9.Инвестиционна програма'!M$100:M$123)*$E$6</f>
        <v>0</v>
      </c>
      <c r="AN32" s="1132">
        <f>'11.2. ДА за периода'!AN32</f>
        <v>0</v>
      </c>
      <c r="AO32" s="1251">
        <f>(SUMIF('9.Инвестиционна програма'!$B$58:$B$59,$B32,'9.Инвестиционна програма'!H$58:H$59)+SUMIF('9.Инвестиционна програма'!$B$61:$B$71,$B32,'9.Инвестиционна програма'!H$61:H$71))*$E$6</f>
        <v>0</v>
      </c>
      <c r="AP32" s="925">
        <f>(SUMIF('9.Инвестиционна програма'!$B$58:$B$59,$B32,'9.Инвестиционна програма'!I$58:I$59)+SUMIF('9.Инвестиционна програма'!$B$61:$B$71,$B32,'9.Инвестиционна програма'!I$61:I$71))*$E$6</f>
        <v>0</v>
      </c>
      <c r="AQ32" s="925">
        <f>(SUMIF('9.Инвестиционна програма'!$B$58:$B$59,$B32,'9.Инвестиционна програма'!J$58:J$59)+SUMIF('9.Инвестиционна програма'!$B$61:$B$71,$B32,'9.Инвестиционна програма'!J$61:J$71))*$E$6</f>
        <v>0</v>
      </c>
      <c r="AR32" s="925">
        <f>(SUMIF('9.Инвестиционна програма'!$B$58:$B$59,$B32,'9.Инвестиционна програма'!K$58:K$59)+SUMIF('9.Инвестиционна програма'!$B$61:$B$71,$B32,'9.Инвестиционна програма'!K$61:K$71))*$E$6</f>
        <v>0</v>
      </c>
      <c r="AS32" s="925">
        <f>(SUMIF('9.Инвестиционна програма'!$B$58:$B$59,$B32,'9.Инвестиционна програма'!L$58:L$59)+SUMIF('9.Инвестиционна програма'!$B$61:$B$71,$B32,'9.Инвестиционна програма'!L$61:L$71))*$E$6</f>
        <v>0</v>
      </c>
      <c r="AT32" s="2865">
        <f>(SUMIF('9.Инвестиционна програма'!$B$58:$B$59,$B32,'9.Инвестиционна програма'!M$58:M$59)+SUMIF('9.Инвестиционна програма'!$B$61:$B$71,$B32,'9.Инвестиционна програма'!M$61:M$71))*$E$6</f>
        <v>0</v>
      </c>
      <c r="AU32" s="4775"/>
      <c r="AV32" s="4794">
        <f t="shared" si="47"/>
        <v>0</v>
      </c>
      <c r="AW32" s="4794">
        <f t="shared" si="48"/>
        <v>0</v>
      </c>
      <c r="AX32" s="4794">
        <f t="shared" si="49"/>
        <v>0</v>
      </c>
      <c r="AY32" s="4794">
        <f t="shared" si="50"/>
        <v>0</v>
      </c>
      <c r="AZ32" s="4794">
        <f t="shared" si="51"/>
        <v>0</v>
      </c>
      <c r="BA32" s="4794">
        <f t="shared" si="52"/>
        <v>0</v>
      </c>
      <c r="BB32" s="4794">
        <f t="shared" si="53"/>
        <v>0</v>
      </c>
      <c r="BC32" s="4794">
        <f t="shared" si="54"/>
        <v>0</v>
      </c>
      <c r="BD32" s="4794">
        <f t="shared" si="55"/>
        <v>0</v>
      </c>
      <c r="BE32" s="4794">
        <f t="shared" si="56"/>
        <v>0</v>
      </c>
      <c r="BF32" s="4794">
        <f t="shared" si="57"/>
        <v>0</v>
      </c>
      <c r="BG32" s="4794">
        <f t="shared" si="58"/>
        <v>0</v>
      </c>
      <c r="BH32" s="4794">
        <f t="shared" si="59"/>
        <v>0</v>
      </c>
      <c r="BI32" s="4794">
        <f t="shared" si="60"/>
        <v>0</v>
      </c>
      <c r="BJ32" s="4794">
        <f t="shared" si="61"/>
        <v>0</v>
      </c>
      <c r="BK32" s="4794">
        <f t="shared" si="62"/>
        <v>0</v>
      </c>
      <c r="BL32" s="4794">
        <f t="shared" si="63"/>
        <v>0</v>
      </c>
      <c r="BM32" s="4794">
        <f t="shared" si="64"/>
        <v>0</v>
      </c>
      <c r="BN32" s="4794">
        <f t="shared" si="65"/>
        <v>0</v>
      </c>
      <c r="BO32" s="4794">
        <f t="shared" si="66"/>
        <v>0</v>
      </c>
      <c r="BP32" s="4794">
        <f t="shared" si="67"/>
        <v>0</v>
      </c>
      <c r="BQ32" s="4794">
        <f t="shared" si="68"/>
        <v>0</v>
      </c>
      <c r="BR32" s="4794">
        <f t="shared" si="69"/>
        <v>0</v>
      </c>
      <c r="BS32" s="4794">
        <f t="shared" si="70"/>
        <v>0</v>
      </c>
      <c r="BT32" s="4794">
        <f t="shared" si="71"/>
        <v>0</v>
      </c>
      <c r="BU32" s="4794">
        <f t="shared" si="72"/>
        <v>0</v>
      </c>
      <c r="BV32" s="4794">
        <f t="shared" si="73"/>
        <v>0</v>
      </c>
      <c r="BW32" s="4794">
        <f t="shared" si="74"/>
        <v>0</v>
      </c>
      <c r="BX32" s="4794">
        <f t="shared" si="75"/>
        <v>0</v>
      </c>
      <c r="BY32" s="4794">
        <f t="shared" si="76"/>
        <v>0</v>
      </c>
      <c r="BZ32" s="4794">
        <f t="shared" si="77"/>
        <v>0</v>
      </c>
      <c r="CA32" s="4794">
        <f t="shared" si="78"/>
        <v>0</v>
      </c>
      <c r="CB32" s="4794">
        <f t="shared" si="79"/>
        <v>0</v>
      </c>
      <c r="CC32" s="4794">
        <f t="shared" si="80"/>
        <v>0</v>
      </c>
      <c r="CD32" s="4794">
        <f t="shared" si="81"/>
        <v>0</v>
      </c>
      <c r="CE32" s="4794">
        <f t="shared" si="82"/>
        <v>0</v>
      </c>
      <c r="CF32" s="4794">
        <f t="shared" si="83"/>
        <v>0</v>
      </c>
      <c r="CG32" s="4794">
        <f t="shared" si="84"/>
        <v>0</v>
      </c>
      <c r="CH32" s="4794">
        <f t="shared" si="85"/>
        <v>0</v>
      </c>
      <c r="CI32" s="4794">
        <f t="shared" si="86"/>
        <v>0</v>
      </c>
      <c r="CJ32" s="4794">
        <f t="shared" si="87"/>
        <v>0</v>
      </c>
      <c r="CK32" s="4794">
        <f t="shared" si="88"/>
        <v>0</v>
      </c>
    </row>
    <row r="33" spans="1:89">
      <c r="A33" s="2876"/>
      <c r="B33" s="3819">
        <v>2040102</v>
      </c>
      <c r="C33" s="3802">
        <v>0.04</v>
      </c>
      <c r="D33" s="2888" t="s">
        <v>432</v>
      </c>
      <c r="E33" s="2864">
        <f>'11.2. ДА за периода'!E33</f>
        <v>0</v>
      </c>
      <c r="F33" s="1247">
        <f>SUMIF('9.Инвестиционна програма'!$B$12:$B$35,$B33,'9.Инвестиционна програма'!H$12:H$35)*$E$6</f>
        <v>0</v>
      </c>
      <c r="G33" s="1243">
        <f>SUMIF('9.Инвестиционна програма'!$B$12:$B$35,$B33,'9.Инвестиционна програма'!I$12:I$35)*$E$6</f>
        <v>0</v>
      </c>
      <c r="H33" s="1243">
        <f>SUMIF('9.Инвестиционна програма'!$B$12:$B$35,$B33,'9.Инвестиционна програма'!J$12:J$35)*$E$6</f>
        <v>0</v>
      </c>
      <c r="I33" s="1243">
        <f>SUMIF('9.Инвестиционна програма'!$B$12:$B$35,$B33,'9.Инвестиционна програма'!K$12:K$35)*$E$6</f>
        <v>0</v>
      </c>
      <c r="J33" s="1243">
        <f>SUMIF('9.Инвестиционна програма'!$B$12:$B$35,$B33,'9.Инвестиционна програма'!L$12:L$35)*$E$6</f>
        <v>0</v>
      </c>
      <c r="K33" s="1248">
        <f>SUMIF('9.Инвестиционна програма'!$B$12:$B$35,$B33,'9.Инвестиционна програма'!M$12:M$35)*$E$6</f>
        <v>0</v>
      </c>
      <c r="L33" s="2864">
        <f>'11.2. ДА за периода'!L33</f>
        <v>0</v>
      </c>
      <c r="M33" s="1251">
        <f>SUMIF('9.Инвестиционна програма'!$B$37:$B$47,$B33,'9.Инвестиционна програма'!H$37:H$47)*$E$6</f>
        <v>0</v>
      </c>
      <c r="N33" s="1245">
        <f>SUMIF('9.Инвестиционна програма'!$B$37:$B$47,$B33,'9.Инвестиционна програма'!I$37:I$47)*$E$6</f>
        <v>0</v>
      </c>
      <c r="O33" s="1245">
        <f>SUMIF('9.Инвестиционна програма'!$B$37:$B$47,$B33,'9.Инвестиционна програма'!J$37:J$47)*$E$6</f>
        <v>0</v>
      </c>
      <c r="P33" s="1245">
        <f>SUMIF('9.Инвестиционна програма'!$B$37:$B$47,$B33,'9.Инвестиционна програма'!K$37:K$47)*$E$6</f>
        <v>0</v>
      </c>
      <c r="Q33" s="1245">
        <f>SUMIF('9.Инвестиционна програма'!$B$37:$B$47,$B33,'9.Инвестиционна програма'!L$37:L$47)*$E$6</f>
        <v>0</v>
      </c>
      <c r="R33" s="1246">
        <f>SUMIF('9.Инвестиционна програма'!$B$37:$B$47,$B33,'9.Инвестиционна програма'!M$37:M$47)*$E$6</f>
        <v>0</v>
      </c>
      <c r="S33" s="1132">
        <f>'11.2. ДА за периода'!S33</f>
        <v>0</v>
      </c>
      <c r="T33" s="925">
        <f>SUMIF('9.Инвестиционна програма'!$B$49:$B$56,$B33,'9.Инвестиционна програма'!H$49:H$56)*$E$6</f>
        <v>0</v>
      </c>
      <c r="U33" s="925">
        <f>SUMIF('9.Инвестиционна програма'!$B$49:$B$56,$B33,'9.Инвестиционна програма'!I$49:I$56)*$E$6</f>
        <v>0</v>
      </c>
      <c r="V33" s="925">
        <f>SUMIF('9.Инвестиционна програма'!$B$49:$B$56,$B33,'9.Инвестиционна програма'!J$49:J$56)*$E$6</f>
        <v>0</v>
      </c>
      <c r="W33" s="925">
        <f>SUMIF('9.Инвестиционна програма'!$B$49:$B$56,$B33,'9.Инвестиционна програма'!K$49:K$56)*$E$6</f>
        <v>0</v>
      </c>
      <c r="X33" s="925">
        <f>SUMIF('9.Инвестиционна програма'!$B$49:$B$56,$B33,'9.Инвестиционна програма'!L$49:L$56)*$E$6</f>
        <v>0</v>
      </c>
      <c r="Y33" s="2865">
        <f>SUMIF('9.Инвестиционна програма'!$B$49:$B$56,$B33,'9.Инвестиционна програма'!M$49:M$56)*$E$6</f>
        <v>0</v>
      </c>
      <c r="Z33" s="1132">
        <f>'11.2. ДА за периода'!Z33</f>
        <v>0</v>
      </c>
      <c r="AA33" s="925">
        <f>SUMIF('9.Инвестиционна програма'!$B$74:$B$97,$B33,'9.Инвестиционна програма'!H$74:H$97)*$E$6</f>
        <v>0</v>
      </c>
      <c r="AB33" s="925">
        <f>SUMIF('9.Инвестиционна програма'!$B$74:$B$97,$B33,'9.Инвестиционна програма'!I$74:I$97)*$E$6</f>
        <v>0</v>
      </c>
      <c r="AC33" s="925">
        <f>SUMIF('9.Инвестиционна програма'!$B$74:$B$97,$B33,'9.Инвестиционна програма'!J$74:J$97)*$E$6</f>
        <v>0</v>
      </c>
      <c r="AD33" s="925">
        <f>SUMIF('9.Инвестиционна програма'!$B$74:$B$97,$B33,'9.Инвестиционна програма'!K$74:K$97)*$E$6</f>
        <v>0</v>
      </c>
      <c r="AE33" s="925">
        <f>SUMIF('9.Инвестиционна програма'!$B$74:$B$97,$B33,'9.Инвестиционна програма'!L$74:L$97)*$E$6</f>
        <v>0</v>
      </c>
      <c r="AF33" s="925">
        <f>SUMIF('9.Инвестиционна програма'!$B$74:$B$97,$B33,'9.Инвестиционна програма'!M$74:M$97)*$E$6</f>
        <v>0</v>
      </c>
      <c r="AG33" s="1132">
        <f>'11.2. ДА за периода'!AG33</f>
        <v>0</v>
      </c>
      <c r="AH33" s="925">
        <f>SUMIF('9.Инвестиционна програма'!$B$100:$B$123,$B33,'9.Инвестиционна програма'!H$100:H$123)*$E$6</f>
        <v>0</v>
      </c>
      <c r="AI33" s="925">
        <f>SUMIF('9.Инвестиционна програма'!$B$100:$B$123,$B33,'9.Инвестиционна програма'!I$100:I$123)*$E$6</f>
        <v>0</v>
      </c>
      <c r="AJ33" s="925">
        <f>SUMIF('9.Инвестиционна програма'!$B$100:$B$123,$B33,'9.Инвестиционна програма'!J$100:J$123)*$E$6</f>
        <v>0</v>
      </c>
      <c r="AK33" s="925">
        <f>SUMIF('9.Инвестиционна програма'!$B$100:$B$123,$B33,'9.Инвестиционна програма'!K$100:K$123)*$E$6</f>
        <v>0</v>
      </c>
      <c r="AL33" s="925">
        <f>SUMIF('9.Инвестиционна програма'!$B$100:$B$123,$B33,'9.Инвестиционна програма'!L$100:L$123)*$E$6</f>
        <v>0</v>
      </c>
      <c r="AM33" s="925">
        <f>SUMIF('9.Инвестиционна програма'!$B$100:$B$123,$B33,'9.Инвестиционна програма'!M$100:M$123)*$E$6</f>
        <v>0</v>
      </c>
      <c r="AN33" s="1132">
        <f>'11.2. ДА за периода'!AN33</f>
        <v>0</v>
      </c>
      <c r="AO33" s="1251">
        <f>(SUMIF('9.Инвестиционна програма'!$B$58:$B$59,$B33,'9.Инвестиционна програма'!H$58:H$59)+SUMIF('9.Инвестиционна програма'!$B$61:$B$71,$B33,'9.Инвестиционна програма'!H$61:H$71))*$E$6</f>
        <v>0</v>
      </c>
      <c r="AP33" s="925">
        <f>(SUMIF('9.Инвестиционна програма'!$B$58:$B$59,$B33,'9.Инвестиционна програма'!I$58:I$59)+SUMIF('9.Инвестиционна програма'!$B$61:$B$71,$B33,'9.Инвестиционна програма'!I$61:I$71))*$E$6</f>
        <v>0</v>
      </c>
      <c r="AQ33" s="925">
        <f>(SUMIF('9.Инвестиционна програма'!$B$58:$B$59,$B33,'9.Инвестиционна програма'!J$58:J$59)+SUMIF('9.Инвестиционна програма'!$B$61:$B$71,$B33,'9.Инвестиционна програма'!J$61:J$71))*$E$6</f>
        <v>0</v>
      </c>
      <c r="AR33" s="925">
        <f>(SUMIF('9.Инвестиционна програма'!$B$58:$B$59,$B33,'9.Инвестиционна програма'!K$58:K$59)+SUMIF('9.Инвестиционна програма'!$B$61:$B$71,$B33,'9.Инвестиционна програма'!K$61:K$71))*$E$6</f>
        <v>0</v>
      </c>
      <c r="AS33" s="925">
        <f>(SUMIF('9.Инвестиционна програма'!$B$58:$B$59,$B33,'9.Инвестиционна програма'!L$58:L$59)+SUMIF('9.Инвестиционна програма'!$B$61:$B$71,$B33,'9.Инвестиционна програма'!L$61:L$71))*$E$6</f>
        <v>0</v>
      </c>
      <c r="AT33" s="2865">
        <f>(SUMIF('9.Инвестиционна програма'!$B$58:$B$59,$B33,'9.Инвестиционна програма'!M$58:M$59)+SUMIF('9.Инвестиционна програма'!$B$61:$B$71,$B33,'9.Инвестиционна програма'!M$61:M$71))*$E$6</f>
        <v>0</v>
      </c>
      <c r="AU33" s="4775"/>
      <c r="AV33" s="4794">
        <f t="shared" si="47"/>
        <v>0</v>
      </c>
      <c r="AW33" s="4794">
        <f t="shared" si="48"/>
        <v>0</v>
      </c>
      <c r="AX33" s="4794">
        <f t="shared" si="49"/>
        <v>0</v>
      </c>
      <c r="AY33" s="4794">
        <f t="shared" si="50"/>
        <v>0</v>
      </c>
      <c r="AZ33" s="4794">
        <f t="shared" si="51"/>
        <v>0</v>
      </c>
      <c r="BA33" s="4794">
        <f t="shared" si="52"/>
        <v>0</v>
      </c>
      <c r="BB33" s="4794">
        <f t="shared" si="53"/>
        <v>0</v>
      </c>
      <c r="BC33" s="4794">
        <f t="shared" si="54"/>
        <v>0</v>
      </c>
      <c r="BD33" s="4794">
        <f t="shared" si="55"/>
        <v>0</v>
      </c>
      <c r="BE33" s="4794">
        <f t="shared" si="56"/>
        <v>0</v>
      </c>
      <c r="BF33" s="4794">
        <f t="shared" si="57"/>
        <v>0</v>
      </c>
      <c r="BG33" s="4794">
        <f t="shared" si="58"/>
        <v>0</v>
      </c>
      <c r="BH33" s="4794">
        <f t="shared" si="59"/>
        <v>0</v>
      </c>
      <c r="BI33" s="4794">
        <f t="shared" si="60"/>
        <v>0</v>
      </c>
      <c r="BJ33" s="4794">
        <f t="shared" si="61"/>
        <v>0</v>
      </c>
      <c r="BK33" s="4794">
        <f t="shared" si="62"/>
        <v>0</v>
      </c>
      <c r="BL33" s="4794">
        <f t="shared" si="63"/>
        <v>0</v>
      </c>
      <c r="BM33" s="4794">
        <f t="shared" si="64"/>
        <v>0</v>
      </c>
      <c r="BN33" s="4794">
        <f t="shared" si="65"/>
        <v>0</v>
      </c>
      <c r="BO33" s="4794">
        <f t="shared" si="66"/>
        <v>0</v>
      </c>
      <c r="BP33" s="4794">
        <f t="shared" si="67"/>
        <v>0</v>
      </c>
      <c r="BQ33" s="4794">
        <f t="shared" si="68"/>
        <v>0</v>
      </c>
      <c r="BR33" s="4794">
        <f t="shared" si="69"/>
        <v>0</v>
      </c>
      <c r="BS33" s="4794">
        <f t="shared" si="70"/>
        <v>0</v>
      </c>
      <c r="BT33" s="4794">
        <f t="shared" si="71"/>
        <v>0</v>
      </c>
      <c r="BU33" s="4794">
        <f t="shared" si="72"/>
        <v>0</v>
      </c>
      <c r="BV33" s="4794">
        <f t="shared" si="73"/>
        <v>0</v>
      </c>
      <c r="BW33" s="4794">
        <f t="shared" si="74"/>
        <v>0</v>
      </c>
      <c r="BX33" s="4794">
        <f t="shared" si="75"/>
        <v>0</v>
      </c>
      <c r="BY33" s="4794">
        <f t="shared" si="76"/>
        <v>0</v>
      </c>
      <c r="BZ33" s="4794">
        <f t="shared" si="77"/>
        <v>0</v>
      </c>
      <c r="CA33" s="4794">
        <f t="shared" si="78"/>
        <v>0</v>
      </c>
      <c r="CB33" s="4794">
        <f t="shared" si="79"/>
        <v>0</v>
      </c>
      <c r="CC33" s="4794">
        <f t="shared" si="80"/>
        <v>0</v>
      </c>
      <c r="CD33" s="4794">
        <f t="shared" si="81"/>
        <v>0</v>
      </c>
      <c r="CE33" s="4794">
        <f t="shared" si="82"/>
        <v>0</v>
      </c>
      <c r="CF33" s="4794">
        <f t="shared" si="83"/>
        <v>0</v>
      </c>
      <c r="CG33" s="4794">
        <f t="shared" si="84"/>
        <v>0</v>
      </c>
      <c r="CH33" s="4794">
        <f t="shared" si="85"/>
        <v>0</v>
      </c>
      <c r="CI33" s="4794">
        <f t="shared" si="86"/>
        <v>0</v>
      </c>
      <c r="CJ33" s="4794">
        <f t="shared" si="87"/>
        <v>0</v>
      </c>
      <c r="CK33" s="4794">
        <f t="shared" si="88"/>
        <v>0</v>
      </c>
    </row>
    <row r="34" spans="1:89">
      <c r="A34" s="2876"/>
      <c r="B34" s="3818">
        <v>20402</v>
      </c>
      <c r="C34" s="3801"/>
      <c r="D34" s="2868" t="s">
        <v>433</v>
      </c>
      <c r="E34" s="2880">
        <f>SUM(E35:E42)</f>
        <v>4178</v>
      </c>
      <c r="F34" s="2881">
        <f t="shared" ref="F34:AT34" si="98">SUM(F35:F42)</f>
        <v>4460</v>
      </c>
      <c r="G34" s="2882">
        <f t="shared" si="98"/>
        <v>3430</v>
      </c>
      <c r="H34" s="2882">
        <f t="shared" si="98"/>
        <v>2880</v>
      </c>
      <c r="I34" s="2882">
        <f t="shared" si="98"/>
        <v>2810</v>
      </c>
      <c r="J34" s="2882">
        <f t="shared" si="98"/>
        <v>2745</v>
      </c>
      <c r="K34" s="2883">
        <f t="shared" si="98"/>
        <v>2880</v>
      </c>
      <c r="L34" s="2880">
        <f t="shared" si="98"/>
        <v>94</v>
      </c>
      <c r="M34" s="2881">
        <f t="shared" si="98"/>
        <v>120</v>
      </c>
      <c r="N34" s="2882">
        <f t="shared" si="98"/>
        <v>160</v>
      </c>
      <c r="O34" s="2882">
        <f t="shared" si="98"/>
        <v>160</v>
      </c>
      <c r="P34" s="2882">
        <f t="shared" si="98"/>
        <v>160</v>
      </c>
      <c r="Q34" s="2882">
        <f t="shared" si="98"/>
        <v>150</v>
      </c>
      <c r="R34" s="2883">
        <f t="shared" si="98"/>
        <v>150</v>
      </c>
      <c r="S34" s="2884">
        <f t="shared" si="98"/>
        <v>93</v>
      </c>
      <c r="T34" s="2885">
        <f t="shared" si="98"/>
        <v>100</v>
      </c>
      <c r="U34" s="2882">
        <f t="shared" si="98"/>
        <v>100</v>
      </c>
      <c r="V34" s="2882">
        <f t="shared" si="98"/>
        <v>100</v>
      </c>
      <c r="W34" s="2882">
        <f t="shared" si="98"/>
        <v>100</v>
      </c>
      <c r="X34" s="2882">
        <f t="shared" si="98"/>
        <v>100</v>
      </c>
      <c r="Y34" s="2883">
        <f t="shared" si="98"/>
        <v>100</v>
      </c>
      <c r="Z34" s="2884">
        <f t="shared" si="98"/>
        <v>0</v>
      </c>
      <c r="AA34" s="2885">
        <f t="shared" si="98"/>
        <v>0</v>
      </c>
      <c r="AB34" s="2882">
        <f t="shared" si="98"/>
        <v>0</v>
      </c>
      <c r="AC34" s="2882">
        <f t="shared" si="98"/>
        <v>0</v>
      </c>
      <c r="AD34" s="2882">
        <f t="shared" si="98"/>
        <v>0</v>
      </c>
      <c r="AE34" s="2882">
        <f t="shared" si="98"/>
        <v>0</v>
      </c>
      <c r="AF34" s="2883">
        <f t="shared" si="98"/>
        <v>0</v>
      </c>
      <c r="AG34" s="2884">
        <f t="shared" si="98"/>
        <v>0</v>
      </c>
      <c r="AH34" s="2885">
        <f t="shared" si="98"/>
        <v>0</v>
      </c>
      <c r="AI34" s="2882">
        <f t="shared" si="98"/>
        <v>0</v>
      </c>
      <c r="AJ34" s="2882">
        <f t="shared" si="98"/>
        <v>0</v>
      </c>
      <c r="AK34" s="2882">
        <f t="shared" si="98"/>
        <v>0</v>
      </c>
      <c r="AL34" s="2882">
        <f t="shared" si="98"/>
        <v>0</v>
      </c>
      <c r="AM34" s="2883">
        <f t="shared" si="98"/>
        <v>0</v>
      </c>
      <c r="AN34" s="2884">
        <f t="shared" si="98"/>
        <v>0</v>
      </c>
      <c r="AO34" s="2885">
        <f t="shared" si="98"/>
        <v>0</v>
      </c>
      <c r="AP34" s="2882">
        <f t="shared" si="98"/>
        <v>0</v>
      </c>
      <c r="AQ34" s="2882">
        <f t="shared" si="98"/>
        <v>0</v>
      </c>
      <c r="AR34" s="2882">
        <f t="shared" si="98"/>
        <v>0</v>
      </c>
      <c r="AS34" s="2882">
        <f t="shared" si="98"/>
        <v>0</v>
      </c>
      <c r="AT34" s="2883">
        <f t="shared" si="98"/>
        <v>0</v>
      </c>
      <c r="AU34" s="4775"/>
      <c r="AV34" s="4794">
        <f t="shared" si="47"/>
        <v>2136.1774796378008</v>
      </c>
      <c r="AW34" s="4794">
        <f t="shared" si="48"/>
        <v>2280.3617901351345</v>
      </c>
      <c r="AX34" s="4794">
        <f t="shared" si="49"/>
        <v>1753.7311525030295</v>
      </c>
      <c r="AY34" s="4794">
        <f t="shared" si="50"/>
        <v>1472.5206178451092</v>
      </c>
      <c r="AZ34" s="4794">
        <f t="shared" si="51"/>
        <v>1436.7301861613739</v>
      </c>
      <c r="BA34" s="4794">
        <f t="shared" si="52"/>
        <v>1403.4962138836197</v>
      </c>
      <c r="BB34" s="4794">
        <f t="shared" si="53"/>
        <v>1472.5206178451092</v>
      </c>
      <c r="BC34" s="4794">
        <f t="shared" si="54"/>
        <v>48.061436832444535</v>
      </c>
      <c r="BD34" s="4794">
        <f t="shared" si="55"/>
        <v>61.355025743546221</v>
      </c>
      <c r="BE34" s="4794">
        <f t="shared" si="56"/>
        <v>81.806700991394962</v>
      </c>
      <c r="BF34" s="4794">
        <f t="shared" si="57"/>
        <v>81.806700991394962</v>
      </c>
      <c r="BG34" s="4794">
        <f t="shared" si="58"/>
        <v>81.806700991394962</v>
      </c>
      <c r="BH34" s="4794">
        <f t="shared" si="59"/>
        <v>76.693782179432773</v>
      </c>
      <c r="BI34" s="4794">
        <f t="shared" si="60"/>
        <v>76.693782179432773</v>
      </c>
      <c r="BJ34" s="4794">
        <f t="shared" si="61"/>
        <v>47.550144951248321</v>
      </c>
      <c r="BK34" s="4794">
        <f t="shared" si="62"/>
        <v>51.129188119621851</v>
      </c>
      <c r="BL34" s="4794">
        <f t="shared" si="63"/>
        <v>51.129188119621851</v>
      </c>
      <c r="BM34" s="4794">
        <f t="shared" si="64"/>
        <v>51.129188119621851</v>
      </c>
      <c r="BN34" s="4794">
        <f t="shared" si="65"/>
        <v>51.129188119621851</v>
      </c>
      <c r="BO34" s="4794">
        <f t="shared" si="66"/>
        <v>51.129188119621851</v>
      </c>
      <c r="BP34" s="4794">
        <f t="shared" si="67"/>
        <v>51.129188119621851</v>
      </c>
      <c r="BQ34" s="4794">
        <f t="shared" si="68"/>
        <v>0</v>
      </c>
      <c r="BR34" s="4794">
        <f t="shared" si="69"/>
        <v>0</v>
      </c>
      <c r="BS34" s="4794">
        <f t="shared" si="70"/>
        <v>0</v>
      </c>
      <c r="BT34" s="4794">
        <f t="shared" si="71"/>
        <v>0</v>
      </c>
      <c r="BU34" s="4794">
        <f t="shared" si="72"/>
        <v>0</v>
      </c>
      <c r="BV34" s="4794">
        <f t="shared" si="73"/>
        <v>0</v>
      </c>
      <c r="BW34" s="4794">
        <f t="shared" si="74"/>
        <v>0</v>
      </c>
      <c r="BX34" s="4794">
        <f t="shared" si="75"/>
        <v>0</v>
      </c>
      <c r="BY34" s="4794">
        <f t="shared" si="76"/>
        <v>0</v>
      </c>
      <c r="BZ34" s="4794">
        <f t="shared" si="77"/>
        <v>0</v>
      </c>
      <c r="CA34" s="4794">
        <f t="shared" si="78"/>
        <v>0</v>
      </c>
      <c r="CB34" s="4794">
        <f t="shared" si="79"/>
        <v>0</v>
      </c>
      <c r="CC34" s="4794">
        <f t="shared" si="80"/>
        <v>0</v>
      </c>
      <c r="CD34" s="4794">
        <f t="shared" si="81"/>
        <v>0</v>
      </c>
      <c r="CE34" s="4794">
        <f t="shared" si="82"/>
        <v>0</v>
      </c>
      <c r="CF34" s="4794">
        <f t="shared" si="83"/>
        <v>0</v>
      </c>
      <c r="CG34" s="4794">
        <f t="shared" si="84"/>
        <v>0</v>
      </c>
      <c r="CH34" s="4794">
        <f t="shared" si="85"/>
        <v>0</v>
      </c>
      <c r="CI34" s="4794">
        <f t="shared" si="86"/>
        <v>0</v>
      </c>
      <c r="CJ34" s="4794">
        <f t="shared" si="87"/>
        <v>0</v>
      </c>
      <c r="CK34" s="4794">
        <f t="shared" si="88"/>
        <v>0</v>
      </c>
    </row>
    <row r="35" spans="1:89">
      <c r="A35" s="2876"/>
      <c r="B35" s="3818">
        <v>2040201</v>
      </c>
      <c r="C35" s="3801">
        <v>0.02</v>
      </c>
      <c r="D35" s="2886" t="s">
        <v>738</v>
      </c>
      <c r="E35" s="2864">
        <f>'11.2. ДА за периода'!E35</f>
        <v>0</v>
      </c>
      <c r="F35" s="1247">
        <f>SUMIF('9.Инвестиционна програма'!$B$12:$B$35,$B35,'9.Инвестиционна програма'!H$12:H$35)*$E$6</f>
        <v>0</v>
      </c>
      <c r="G35" s="1243">
        <f>SUMIF('9.Инвестиционна програма'!$B$12:$B$35,$B35,'9.Инвестиционна програма'!I$12:I$35)*$E$6</f>
        <v>0</v>
      </c>
      <c r="H35" s="1243">
        <f>SUMIF('9.Инвестиционна програма'!$B$12:$B$35,$B35,'9.Инвестиционна програма'!J$12:J$35)*$E$6</f>
        <v>0</v>
      </c>
      <c r="I35" s="1243">
        <f>SUMIF('9.Инвестиционна програма'!$B$12:$B$35,$B35,'9.Инвестиционна програма'!K$12:K$35)*$E$6</f>
        <v>0</v>
      </c>
      <c r="J35" s="1243">
        <f>SUMIF('9.Инвестиционна програма'!$B$12:$B$35,$B35,'9.Инвестиционна програма'!L$12:L$35)*$E$6</f>
        <v>0</v>
      </c>
      <c r="K35" s="1248">
        <f>SUMIF('9.Инвестиционна програма'!$B$12:$B$35,$B35,'9.Инвестиционна програма'!M$12:M$35)*$E$6</f>
        <v>0</v>
      </c>
      <c r="L35" s="2864">
        <f>'11.2. ДА за периода'!L35</f>
        <v>0</v>
      </c>
      <c r="M35" s="1251">
        <f>SUMIF('9.Инвестиционна програма'!$B$37:$B$47,$B35,'9.Инвестиционна програма'!H$37:H$47)*$E$6</f>
        <v>0</v>
      </c>
      <c r="N35" s="1245">
        <f>SUMIF('9.Инвестиционна програма'!$B$37:$B$47,$B35,'9.Инвестиционна програма'!I$37:I$47)*$E$6</f>
        <v>0</v>
      </c>
      <c r="O35" s="1245">
        <f>SUMIF('9.Инвестиционна програма'!$B$37:$B$47,$B35,'9.Инвестиционна програма'!J$37:J$47)*$E$6</f>
        <v>0</v>
      </c>
      <c r="P35" s="1245">
        <f>SUMIF('9.Инвестиционна програма'!$B$37:$B$47,$B35,'9.Инвестиционна програма'!K$37:K$47)*$E$6</f>
        <v>0</v>
      </c>
      <c r="Q35" s="1245">
        <f>SUMIF('9.Инвестиционна програма'!$B$37:$B$47,$B35,'9.Инвестиционна програма'!L$37:L$47)*$E$6</f>
        <v>0</v>
      </c>
      <c r="R35" s="1246">
        <f>SUMIF('9.Инвестиционна програма'!$B$37:$B$47,$B35,'9.Инвестиционна програма'!M$37:M$47)*$E$6</f>
        <v>0</v>
      </c>
      <c r="S35" s="1132">
        <f>'11.2. ДА за периода'!S35</f>
        <v>0</v>
      </c>
      <c r="T35" s="925">
        <f>SUMIF('9.Инвестиционна програма'!$B$49:$B$56,$B35,'9.Инвестиционна програма'!H$49:H$56)*$E$6</f>
        <v>0</v>
      </c>
      <c r="U35" s="925">
        <f>SUMIF('9.Инвестиционна програма'!$B$49:$B$56,$B35,'9.Инвестиционна програма'!I$49:I$56)*$E$6</f>
        <v>0</v>
      </c>
      <c r="V35" s="925">
        <f>SUMIF('9.Инвестиционна програма'!$B$49:$B$56,$B35,'9.Инвестиционна програма'!J$49:J$56)*$E$6</f>
        <v>0</v>
      </c>
      <c r="W35" s="925">
        <f>SUMIF('9.Инвестиционна програма'!$B$49:$B$56,$B35,'9.Инвестиционна програма'!K$49:K$56)*$E$6</f>
        <v>0</v>
      </c>
      <c r="X35" s="925">
        <f>SUMIF('9.Инвестиционна програма'!$B$49:$B$56,$B35,'9.Инвестиционна програма'!L$49:L$56)*$E$6</f>
        <v>0</v>
      </c>
      <c r="Y35" s="2865">
        <f>SUMIF('9.Инвестиционна програма'!$B$49:$B$56,$B35,'9.Инвестиционна програма'!M$49:M$56)*$E$6</f>
        <v>0</v>
      </c>
      <c r="Z35" s="1132">
        <f>'11.2. ДА за периода'!Z35</f>
        <v>0</v>
      </c>
      <c r="AA35" s="925">
        <f>SUMIF('9.Инвестиционна програма'!$B$74:$B$97,$B35,'9.Инвестиционна програма'!H$74:H$97)*$E$6</f>
        <v>0</v>
      </c>
      <c r="AB35" s="925">
        <f>SUMIF('9.Инвестиционна програма'!$B$74:$B$97,$B35,'9.Инвестиционна програма'!I$74:I$97)*$E$6</f>
        <v>0</v>
      </c>
      <c r="AC35" s="925">
        <f>SUMIF('9.Инвестиционна програма'!$B$74:$B$97,$B35,'9.Инвестиционна програма'!J$74:J$97)*$E$6</f>
        <v>0</v>
      </c>
      <c r="AD35" s="925">
        <f>SUMIF('9.Инвестиционна програма'!$B$74:$B$97,$B35,'9.Инвестиционна програма'!K$74:K$97)*$E$6</f>
        <v>0</v>
      </c>
      <c r="AE35" s="925">
        <f>SUMIF('9.Инвестиционна програма'!$B$74:$B$97,$B35,'9.Инвестиционна програма'!L$74:L$97)*$E$6</f>
        <v>0</v>
      </c>
      <c r="AF35" s="925">
        <f>SUMIF('9.Инвестиционна програма'!$B$74:$B$97,$B35,'9.Инвестиционна програма'!M$74:M$97)*$E$6</f>
        <v>0</v>
      </c>
      <c r="AG35" s="1132">
        <f>'11.2. ДА за периода'!AG35</f>
        <v>0</v>
      </c>
      <c r="AH35" s="925">
        <f>SUMIF('9.Инвестиционна програма'!$B$100:$B$123,$B35,'9.Инвестиционна програма'!H$100:H$123)*$E$6</f>
        <v>0</v>
      </c>
      <c r="AI35" s="925">
        <f>SUMIF('9.Инвестиционна програма'!$B$100:$B$123,$B35,'9.Инвестиционна програма'!I$100:I$123)*$E$6</f>
        <v>0</v>
      </c>
      <c r="AJ35" s="925">
        <f>SUMIF('9.Инвестиционна програма'!$B$100:$B$123,$B35,'9.Инвестиционна програма'!J$100:J$123)*$E$6</f>
        <v>0</v>
      </c>
      <c r="AK35" s="925">
        <f>SUMIF('9.Инвестиционна програма'!$B$100:$B$123,$B35,'9.Инвестиционна програма'!K$100:K$123)*$E$6</f>
        <v>0</v>
      </c>
      <c r="AL35" s="925">
        <f>SUMIF('9.Инвестиционна програма'!$B$100:$B$123,$B35,'9.Инвестиционна програма'!L$100:L$123)*$E$6</f>
        <v>0</v>
      </c>
      <c r="AM35" s="925">
        <f>SUMIF('9.Инвестиционна програма'!$B$100:$B$123,$B35,'9.Инвестиционна програма'!M$100:M$123)*$E$6</f>
        <v>0</v>
      </c>
      <c r="AN35" s="1132">
        <f>'11.2. ДА за периода'!AN35</f>
        <v>0</v>
      </c>
      <c r="AO35" s="1251">
        <f>(SUMIF('9.Инвестиционна програма'!$B$58:$B$59,$B35,'9.Инвестиционна програма'!H$58:H$59)+SUMIF('9.Инвестиционна програма'!$B$61:$B$71,$B35,'9.Инвестиционна програма'!H$61:H$71))*$E$6</f>
        <v>0</v>
      </c>
      <c r="AP35" s="925">
        <f>(SUMIF('9.Инвестиционна програма'!$B$58:$B$59,$B35,'9.Инвестиционна програма'!I$58:I$59)+SUMIF('9.Инвестиционна програма'!$B$61:$B$71,$B35,'9.Инвестиционна програма'!I$61:I$71))*$E$6</f>
        <v>0</v>
      </c>
      <c r="AQ35" s="925">
        <f>(SUMIF('9.Инвестиционна програма'!$B$58:$B$59,$B35,'9.Инвестиционна програма'!J$58:J$59)+SUMIF('9.Инвестиционна програма'!$B$61:$B$71,$B35,'9.Инвестиционна програма'!J$61:J$71))*$E$6</f>
        <v>0</v>
      </c>
      <c r="AR35" s="925">
        <f>(SUMIF('9.Инвестиционна програма'!$B$58:$B$59,$B35,'9.Инвестиционна програма'!K$58:K$59)+SUMIF('9.Инвестиционна програма'!$B$61:$B$71,$B35,'9.Инвестиционна програма'!K$61:K$71))*$E$6</f>
        <v>0</v>
      </c>
      <c r="AS35" s="925">
        <f>(SUMIF('9.Инвестиционна програма'!$B$58:$B$59,$B35,'9.Инвестиционна програма'!L$58:L$59)+SUMIF('9.Инвестиционна програма'!$B$61:$B$71,$B35,'9.Инвестиционна програма'!L$61:L$71))*$E$6</f>
        <v>0</v>
      </c>
      <c r="AT35" s="2865">
        <f>(SUMIF('9.Инвестиционна програма'!$B$58:$B$59,$B35,'9.Инвестиционна програма'!M$58:M$59)+SUMIF('9.Инвестиционна програма'!$B$61:$B$71,$B35,'9.Инвестиционна програма'!M$61:M$71))*$E$6</f>
        <v>0</v>
      </c>
      <c r="AU35" s="4775"/>
      <c r="AV35" s="4794">
        <f t="shared" si="47"/>
        <v>0</v>
      </c>
      <c r="AW35" s="4794">
        <f t="shared" si="48"/>
        <v>0</v>
      </c>
      <c r="AX35" s="4794">
        <f t="shared" si="49"/>
        <v>0</v>
      </c>
      <c r="AY35" s="4794">
        <f t="shared" si="50"/>
        <v>0</v>
      </c>
      <c r="AZ35" s="4794">
        <f t="shared" si="51"/>
        <v>0</v>
      </c>
      <c r="BA35" s="4794">
        <f t="shared" si="52"/>
        <v>0</v>
      </c>
      <c r="BB35" s="4794">
        <f t="shared" si="53"/>
        <v>0</v>
      </c>
      <c r="BC35" s="4794">
        <f t="shared" si="54"/>
        <v>0</v>
      </c>
      <c r="BD35" s="4794">
        <f t="shared" si="55"/>
        <v>0</v>
      </c>
      <c r="BE35" s="4794">
        <f t="shared" si="56"/>
        <v>0</v>
      </c>
      <c r="BF35" s="4794">
        <f t="shared" si="57"/>
        <v>0</v>
      </c>
      <c r="BG35" s="4794">
        <f t="shared" si="58"/>
        <v>0</v>
      </c>
      <c r="BH35" s="4794">
        <f t="shared" si="59"/>
        <v>0</v>
      </c>
      <c r="BI35" s="4794">
        <f t="shared" si="60"/>
        <v>0</v>
      </c>
      <c r="BJ35" s="4794">
        <f t="shared" si="61"/>
        <v>0</v>
      </c>
      <c r="BK35" s="4794">
        <f t="shared" si="62"/>
        <v>0</v>
      </c>
      <c r="BL35" s="4794">
        <f t="shared" si="63"/>
        <v>0</v>
      </c>
      <c r="BM35" s="4794">
        <f t="shared" si="64"/>
        <v>0</v>
      </c>
      <c r="BN35" s="4794">
        <f t="shared" si="65"/>
        <v>0</v>
      </c>
      <c r="BO35" s="4794">
        <f t="shared" si="66"/>
        <v>0</v>
      </c>
      <c r="BP35" s="4794">
        <f t="shared" si="67"/>
        <v>0</v>
      </c>
      <c r="BQ35" s="4794">
        <f t="shared" si="68"/>
        <v>0</v>
      </c>
      <c r="BR35" s="4794">
        <f t="shared" si="69"/>
        <v>0</v>
      </c>
      <c r="BS35" s="4794">
        <f t="shared" si="70"/>
        <v>0</v>
      </c>
      <c r="BT35" s="4794">
        <f t="shared" si="71"/>
        <v>0</v>
      </c>
      <c r="BU35" s="4794">
        <f t="shared" si="72"/>
        <v>0</v>
      </c>
      <c r="BV35" s="4794">
        <f t="shared" si="73"/>
        <v>0</v>
      </c>
      <c r="BW35" s="4794">
        <f t="shared" si="74"/>
        <v>0</v>
      </c>
      <c r="BX35" s="4794">
        <f t="shared" si="75"/>
        <v>0</v>
      </c>
      <c r="BY35" s="4794">
        <f t="shared" si="76"/>
        <v>0</v>
      </c>
      <c r="BZ35" s="4794">
        <f t="shared" si="77"/>
        <v>0</v>
      </c>
      <c r="CA35" s="4794">
        <f t="shared" si="78"/>
        <v>0</v>
      </c>
      <c r="CB35" s="4794">
        <f t="shared" si="79"/>
        <v>0</v>
      </c>
      <c r="CC35" s="4794">
        <f t="shared" si="80"/>
        <v>0</v>
      </c>
      <c r="CD35" s="4794">
        <f t="shared" si="81"/>
        <v>0</v>
      </c>
      <c r="CE35" s="4794">
        <f t="shared" si="82"/>
        <v>0</v>
      </c>
      <c r="CF35" s="4794">
        <f t="shared" si="83"/>
        <v>0</v>
      </c>
      <c r="CG35" s="4794">
        <f t="shared" si="84"/>
        <v>0</v>
      </c>
      <c r="CH35" s="4794">
        <f t="shared" si="85"/>
        <v>0</v>
      </c>
      <c r="CI35" s="4794">
        <f t="shared" si="86"/>
        <v>0</v>
      </c>
      <c r="CJ35" s="4794">
        <f t="shared" si="87"/>
        <v>0</v>
      </c>
      <c r="CK35" s="4794">
        <f t="shared" si="88"/>
        <v>0</v>
      </c>
    </row>
    <row r="36" spans="1:89">
      <c r="A36" s="2876"/>
      <c r="B36" s="3818">
        <v>2040202</v>
      </c>
      <c r="C36" s="3801">
        <v>0.02</v>
      </c>
      <c r="D36" s="2886" t="s">
        <v>739</v>
      </c>
      <c r="E36" s="2864">
        <f>'11.2. ДА за периода'!E36</f>
        <v>0</v>
      </c>
      <c r="F36" s="1247">
        <f>SUMIF('9.Инвестиционна програма'!$B$12:$B$35,$B36,'9.Инвестиционна програма'!H$12:H$35)*$E$6</f>
        <v>100</v>
      </c>
      <c r="G36" s="1243">
        <f>SUMIF('9.Инвестиционна програма'!$B$12:$B$35,$B36,'9.Инвестиционна програма'!I$12:I$35)*$E$6</f>
        <v>50</v>
      </c>
      <c r="H36" s="1243">
        <f>SUMIF('9.Инвестиционна програма'!$B$12:$B$35,$B36,'9.Инвестиционна програма'!J$12:J$35)*$E$6</f>
        <v>30</v>
      </c>
      <c r="I36" s="1243">
        <f>SUMIF('9.Инвестиционна програма'!$B$12:$B$35,$B36,'9.Инвестиционна програма'!K$12:K$35)*$E$6</f>
        <v>30</v>
      </c>
      <c r="J36" s="1243">
        <f>SUMIF('9.Инвестиционна програма'!$B$12:$B$35,$B36,'9.Инвестиционна програма'!L$12:L$35)*$E$6</f>
        <v>30</v>
      </c>
      <c r="K36" s="1248">
        <f>SUMIF('9.Инвестиционна програма'!$B$12:$B$35,$B36,'9.Инвестиционна програма'!M$12:M$35)*$E$6</f>
        <v>30</v>
      </c>
      <c r="L36" s="2864">
        <f>'11.2. ДА за периода'!L36</f>
        <v>0</v>
      </c>
      <c r="M36" s="1251">
        <f>SUMIF('9.Инвестиционна програма'!$B$37:$B$47,$B36,'9.Инвестиционна програма'!H$37:H$47)*$E$6</f>
        <v>0</v>
      </c>
      <c r="N36" s="1245">
        <f>SUMIF('9.Инвестиционна програма'!$B$37:$B$47,$B36,'9.Инвестиционна програма'!I$37:I$47)*$E$6</f>
        <v>0</v>
      </c>
      <c r="O36" s="1245">
        <f>SUMIF('9.Инвестиционна програма'!$B$37:$B$47,$B36,'9.Инвестиционна програма'!J$37:J$47)*$E$6</f>
        <v>0</v>
      </c>
      <c r="P36" s="1245">
        <f>SUMIF('9.Инвестиционна програма'!$B$37:$B$47,$B36,'9.Инвестиционна програма'!K$37:K$47)*$E$6</f>
        <v>0</v>
      </c>
      <c r="Q36" s="1245">
        <f>SUMIF('9.Инвестиционна програма'!$B$37:$B$47,$B36,'9.Инвестиционна програма'!L$37:L$47)*$E$6</f>
        <v>0</v>
      </c>
      <c r="R36" s="1246">
        <f>SUMIF('9.Инвестиционна програма'!$B$37:$B$47,$B36,'9.Инвестиционна програма'!M$37:M$47)*$E$6</f>
        <v>0</v>
      </c>
      <c r="S36" s="1132">
        <f>'11.2. ДА за периода'!S36</f>
        <v>0</v>
      </c>
      <c r="T36" s="925">
        <f>SUMIF('9.Инвестиционна програма'!$B$49:$B$56,$B36,'9.Инвестиционна програма'!H$49:H$56)*$E$6</f>
        <v>0</v>
      </c>
      <c r="U36" s="925">
        <f>SUMIF('9.Инвестиционна програма'!$B$49:$B$56,$B36,'9.Инвестиционна програма'!I$49:I$56)*$E$6</f>
        <v>0</v>
      </c>
      <c r="V36" s="925">
        <f>SUMIF('9.Инвестиционна програма'!$B$49:$B$56,$B36,'9.Инвестиционна програма'!J$49:J$56)*$E$6</f>
        <v>0</v>
      </c>
      <c r="W36" s="925">
        <f>SUMIF('9.Инвестиционна програма'!$B$49:$B$56,$B36,'9.Инвестиционна програма'!K$49:K$56)*$E$6</f>
        <v>0</v>
      </c>
      <c r="X36" s="925">
        <f>SUMIF('9.Инвестиционна програма'!$B$49:$B$56,$B36,'9.Инвестиционна програма'!L$49:L$56)*$E$6</f>
        <v>0</v>
      </c>
      <c r="Y36" s="2865">
        <f>SUMIF('9.Инвестиционна програма'!$B$49:$B$56,$B36,'9.Инвестиционна програма'!M$49:M$56)*$E$6</f>
        <v>0</v>
      </c>
      <c r="Z36" s="1132">
        <f>'11.2. ДА за периода'!Z36</f>
        <v>0</v>
      </c>
      <c r="AA36" s="925">
        <f>SUMIF('9.Инвестиционна програма'!$B$74:$B$97,$B36,'9.Инвестиционна програма'!H$74:H$97)*$E$6</f>
        <v>0</v>
      </c>
      <c r="AB36" s="925">
        <f>SUMIF('9.Инвестиционна програма'!$B$74:$B$97,$B36,'9.Инвестиционна програма'!I$74:I$97)*$E$6</f>
        <v>0</v>
      </c>
      <c r="AC36" s="925">
        <f>SUMIF('9.Инвестиционна програма'!$B$74:$B$97,$B36,'9.Инвестиционна програма'!J$74:J$97)*$E$6</f>
        <v>0</v>
      </c>
      <c r="AD36" s="925">
        <f>SUMIF('9.Инвестиционна програма'!$B$74:$B$97,$B36,'9.Инвестиционна програма'!K$74:K$97)*$E$6</f>
        <v>0</v>
      </c>
      <c r="AE36" s="925">
        <f>SUMIF('9.Инвестиционна програма'!$B$74:$B$97,$B36,'9.Инвестиционна програма'!L$74:L$97)*$E$6</f>
        <v>0</v>
      </c>
      <c r="AF36" s="925">
        <f>SUMIF('9.Инвестиционна програма'!$B$74:$B$97,$B36,'9.Инвестиционна програма'!M$74:M$97)*$E$6</f>
        <v>0</v>
      </c>
      <c r="AG36" s="1132">
        <f>'11.2. ДА за периода'!AG36</f>
        <v>0</v>
      </c>
      <c r="AH36" s="925">
        <f>SUMIF('9.Инвестиционна програма'!$B$100:$B$123,$B36,'9.Инвестиционна програма'!H$100:H$123)*$E$6</f>
        <v>0</v>
      </c>
      <c r="AI36" s="925">
        <f>SUMIF('9.Инвестиционна програма'!$B$100:$B$123,$B36,'9.Инвестиционна програма'!I$100:I$123)*$E$6</f>
        <v>0</v>
      </c>
      <c r="AJ36" s="925">
        <f>SUMIF('9.Инвестиционна програма'!$B$100:$B$123,$B36,'9.Инвестиционна програма'!J$100:J$123)*$E$6</f>
        <v>0</v>
      </c>
      <c r="AK36" s="925">
        <f>SUMIF('9.Инвестиционна програма'!$B$100:$B$123,$B36,'9.Инвестиционна програма'!K$100:K$123)*$E$6</f>
        <v>0</v>
      </c>
      <c r="AL36" s="925">
        <f>SUMIF('9.Инвестиционна програма'!$B$100:$B$123,$B36,'9.Инвестиционна програма'!L$100:L$123)*$E$6</f>
        <v>0</v>
      </c>
      <c r="AM36" s="925">
        <f>SUMIF('9.Инвестиционна програма'!$B$100:$B$123,$B36,'9.Инвестиционна програма'!M$100:M$123)*$E$6</f>
        <v>0</v>
      </c>
      <c r="AN36" s="1132">
        <f>'11.2. ДА за периода'!AN36</f>
        <v>0</v>
      </c>
      <c r="AO36" s="1251">
        <f>(SUMIF('9.Инвестиционна програма'!$B$58:$B$59,$B36,'9.Инвестиционна програма'!H$58:H$59)+SUMIF('9.Инвестиционна програма'!$B$61:$B$71,$B36,'9.Инвестиционна програма'!H$61:H$71))*$E$6</f>
        <v>0</v>
      </c>
      <c r="AP36" s="925">
        <f>(SUMIF('9.Инвестиционна програма'!$B$58:$B$59,$B36,'9.Инвестиционна програма'!I$58:I$59)+SUMIF('9.Инвестиционна програма'!$B$61:$B$71,$B36,'9.Инвестиционна програма'!I$61:I$71))*$E$6</f>
        <v>0</v>
      </c>
      <c r="AQ36" s="925">
        <f>(SUMIF('9.Инвестиционна програма'!$B$58:$B$59,$B36,'9.Инвестиционна програма'!J$58:J$59)+SUMIF('9.Инвестиционна програма'!$B$61:$B$71,$B36,'9.Инвестиционна програма'!J$61:J$71))*$E$6</f>
        <v>0</v>
      </c>
      <c r="AR36" s="925">
        <f>(SUMIF('9.Инвестиционна програма'!$B$58:$B$59,$B36,'9.Инвестиционна програма'!K$58:K$59)+SUMIF('9.Инвестиционна програма'!$B$61:$B$71,$B36,'9.Инвестиционна програма'!K$61:K$71))*$E$6</f>
        <v>0</v>
      </c>
      <c r="AS36" s="925">
        <f>(SUMIF('9.Инвестиционна програма'!$B$58:$B$59,$B36,'9.Инвестиционна програма'!L$58:L$59)+SUMIF('9.Инвестиционна програма'!$B$61:$B$71,$B36,'9.Инвестиционна програма'!L$61:L$71))*$E$6</f>
        <v>0</v>
      </c>
      <c r="AT36" s="2865">
        <f>(SUMIF('9.Инвестиционна програма'!$B$58:$B$59,$B36,'9.Инвестиционна програма'!M$58:M$59)+SUMIF('9.Инвестиционна програма'!$B$61:$B$71,$B36,'9.Инвестиционна програма'!M$61:M$71))*$E$6</f>
        <v>0</v>
      </c>
      <c r="AU36" s="4775"/>
      <c r="AV36" s="4794">
        <f t="shared" si="47"/>
        <v>0</v>
      </c>
      <c r="AW36" s="4794">
        <f t="shared" si="48"/>
        <v>51.129188119621851</v>
      </c>
      <c r="AX36" s="4794">
        <f t="shared" si="49"/>
        <v>25.564594059810926</v>
      </c>
      <c r="AY36" s="4794">
        <f t="shared" si="50"/>
        <v>15.338756435886555</v>
      </c>
      <c r="AZ36" s="4794">
        <f t="shared" si="51"/>
        <v>15.338756435886555</v>
      </c>
      <c r="BA36" s="4794">
        <f t="shared" si="52"/>
        <v>15.338756435886555</v>
      </c>
      <c r="BB36" s="4794">
        <f t="shared" si="53"/>
        <v>15.338756435886555</v>
      </c>
      <c r="BC36" s="4794">
        <f t="shared" si="54"/>
        <v>0</v>
      </c>
      <c r="BD36" s="4794">
        <f t="shared" si="55"/>
        <v>0</v>
      </c>
      <c r="BE36" s="4794">
        <f t="shared" si="56"/>
        <v>0</v>
      </c>
      <c r="BF36" s="4794">
        <f t="shared" si="57"/>
        <v>0</v>
      </c>
      <c r="BG36" s="4794">
        <f t="shared" si="58"/>
        <v>0</v>
      </c>
      <c r="BH36" s="4794">
        <f t="shared" si="59"/>
        <v>0</v>
      </c>
      <c r="BI36" s="4794">
        <f t="shared" si="60"/>
        <v>0</v>
      </c>
      <c r="BJ36" s="4794">
        <f t="shared" si="61"/>
        <v>0</v>
      </c>
      <c r="BK36" s="4794">
        <f t="shared" si="62"/>
        <v>0</v>
      </c>
      <c r="BL36" s="4794">
        <f t="shared" si="63"/>
        <v>0</v>
      </c>
      <c r="BM36" s="4794">
        <f t="shared" si="64"/>
        <v>0</v>
      </c>
      <c r="BN36" s="4794">
        <f t="shared" si="65"/>
        <v>0</v>
      </c>
      <c r="BO36" s="4794">
        <f t="shared" si="66"/>
        <v>0</v>
      </c>
      <c r="BP36" s="4794">
        <f t="shared" si="67"/>
        <v>0</v>
      </c>
      <c r="BQ36" s="4794">
        <f t="shared" si="68"/>
        <v>0</v>
      </c>
      <c r="BR36" s="4794">
        <f t="shared" si="69"/>
        <v>0</v>
      </c>
      <c r="BS36" s="4794">
        <f t="shared" si="70"/>
        <v>0</v>
      </c>
      <c r="BT36" s="4794">
        <f t="shared" si="71"/>
        <v>0</v>
      </c>
      <c r="BU36" s="4794">
        <f t="shared" si="72"/>
        <v>0</v>
      </c>
      <c r="BV36" s="4794">
        <f t="shared" si="73"/>
        <v>0</v>
      </c>
      <c r="BW36" s="4794">
        <f t="shared" si="74"/>
        <v>0</v>
      </c>
      <c r="BX36" s="4794">
        <f t="shared" si="75"/>
        <v>0</v>
      </c>
      <c r="BY36" s="4794">
        <f t="shared" si="76"/>
        <v>0</v>
      </c>
      <c r="BZ36" s="4794">
        <f t="shared" si="77"/>
        <v>0</v>
      </c>
      <c r="CA36" s="4794">
        <f t="shared" si="78"/>
        <v>0</v>
      </c>
      <c r="CB36" s="4794">
        <f t="shared" si="79"/>
        <v>0</v>
      </c>
      <c r="CC36" s="4794">
        <f t="shared" si="80"/>
        <v>0</v>
      </c>
      <c r="CD36" s="4794">
        <f t="shared" si="81"/>
        <v>0</v>
      </c>
      <c r="CE36" s="4794">
        <f t="shared" si="82"/>
        <v>0</v>
      </c>
      <c r="CF36" s="4794">
        <f t="shared" si="83"/>
        <v>0</v>
      </c>
      <c r="CG36" s="4794">
        <f t="shared" si="84"/>
        <v>0</v>
      </c>
      <c r="CH36" s="4794">
        <f t="shared" si="85"/>
        <v>0</v>
      </c>
      <c r="CI36" s="4794">
        <f t="shared" si="86"/>
        <v>0</v>
      </c>
      <c r="CJ36" s="4794">
        <f t="shared" si="87"/>
        <v>0</v>
      </c>
      <c r="CK36" s="4794">
        <f t="shared" si="88"/>
        <v>0</v>
      </c>
    </row>
    <row r="37" spans="1:89">
      <c r="A37" s="2876"/>
      <c r="B37" s="3818">
        <v>2040203</v>
      </c>
      <c r="C37" s="3801">
        <v>0.02</v>
      </c>
      <c r="D37" s="2886" t="s">
        <v>418</v>
      </c>
      <c r="E37" s="2864">
        <f>'11.2. ДА за периода'!E37</f>
        <v>0</v>
      </c>
      <c r="F37" s="1247">
        <f>SUMIF('9.Инвестиционна програма'!$B$12:$B$35,$B37,'9.Инвестиционна програма'!H$12:H$35)*$E$6</f>
        <v>0</v>
      </c>
      <c r="G37" s="1243">
        <f>SUMIF('9.Инвестиционна програма'!$B$12:$B$35,$B37,'9.Инвестиционна програма'!I$12:I$35)*$E$6</f>
        <v>0</v>
      </c>
      <c r="H37" s="1243">
        <f>SUMIF('9.Инвестиционна програма'!$B$12:$B$35,$B37,'9.Инвестиционна програма'!J$12:J$35)*$E$6</f>
        <v>0</v>
      </c>
      <c r="I37" s="1243">
        <f>SUMIF('9.Инвестиционна програма'!$B$12:$B$35,$B37,'9.Инвестиционна програма'!K$12:K$35)*$E$6</f>
        <v>0</v>
      </c>
      <c r="J37" s="1243">
        <f>SUMIF('9.Инвестиционна програма'!$B$12:$B$35,$B37,'9.Инвестиционна програма'!L$12:L$35)*$E$6</f>
        <v>0</v>
      </c>
      <c r="K37" s="1248">
        <f>SUMIF('9.Инвестиционна програма'!$B$12:$B$35,$B37,'9.Инвестиционна програма'!M$12:M$35)*$E$6</f>
        <v>0</v>
      </c>
      <c r="L37" s="2864">
        <f>'11.2. ДА за периода'!L37</f>
        <v>0</v>
      </c>
      <c r="M37" s="1251">
        <f>SUMIF('9.Инвестиционна програма'!$B$37:$B$47,$B37,'9.Инвестиционна програма'!H$37:H$47)*$E$6</f>
        <v>0</v>
      </c>
      <c r="N37" s="1245">
        <f>SUMIF('9.Инвестиционна програма'!$B$37:$B$47,$B37,'9.Инвестиционна програма'!I$37:I$47)*$E$6</f>
        <v>0</v>
      </c>
      <c r="O37" s="1245">
        <f>SUMIF('9.Инвестиционна програма'!$B$37:$B$47,$B37,'9.Инвестиционна програма'!J$37:J$47)*$E$6</f>
        <v>0</v>
      </c>
      <c r="P37" s="1245">
        <f>SUMIF('9.Инвестиционна програма'!$B$37:$B$47,$B37,'9.Инвестиционна програма'!K$37:K$47)*$E$6</f>
        <v>0</v>
      </c>
      <c r="Q37" s="1245">
        <f>SUMIF('9.Инвестиционна програма'!$B$37:$B$47,$B37,'9.Инвестиционна програма'!L$37:L$47)*$E$6</f>
        <v>0</v>
      </c>
      <c r="R37" s="1246">
        <f>SUMIF('9.Инвестиционна програма'!$B$37:$B$47,$B37,'9.Инвестиционна програма'!M$37:M$47)*$E$6</f>
        <v>0</v>
      </c>
      <c r="S37" s="1132">
        <f>'11.2. ДА за периода'!S37</f>
        <v>0</v>
      </c>
      <c r="T37" s="925">
        <f>SUMIF('9.Инвестиционна програма'!$B$49:$B$56,$B37,'9.Инвестиционна програма'!H$49:H$56)*$E$6</f>
        <v>0</v>
      </c>
      <c r="U37" s="925">
        <f>SUMIF('9.Инвестиционна програма'!$B$49:$B$56,$B37,'9.Инвестиционна програма'!I$49:I$56)*$E$6</f>
        <v>0</v>
      </c>
      <c r="V37" s="925">
        <f>SUMIF('9.Инвестиционна програма'!$B$49:$B$56,$B37,'9.Инвестиционна програма'!J$49:J$56)*$E$6</f>
        <v>0</v>
      </c>
      <c r="W37" s="925">
        <f>SUMIF('9.Инвестиционна програма'!$B$49:$B$56,$B37,'9.Инвестиционна програма'!K$49:K$56)*$E$6</f>
        <v>0</v>
      </c>
      <c r="X37" s="925">
        <f>SUMIF('9.Инвестиционна програма'!$B$49:$B$56,$B37,'9.Инвестиционна програма'!L$49:L$56)*$E$6</f>
        <v>0</v>
      </c>
      <c r="Y37" s="2865">
        <f>SUMIF('9.Инвестиционна програма'!$B$49:$B$56,$B37,'9.Инвестиционна програма'!M$49:M$56)*$E$6</f>
        <v>0</v>
      </c>
      <c r="Z37" s="1132">
        <f>'11.2. ДА за периода'!Z37</f>
        <v>0</v>
      </c>
      <c r="AA37" s="925">
        <f>SUMIF('9.Инвестиционна програма'!$B$74:$B$97,$B37,'9.Инвестиционна програма'!H$74:H$97)*$E$6</f>
        <v>0</v>
      </c>
      <c r="AB37" s="925">
        <f>SUMIF('9.Инвестиционна програма'!$B$74:$B$97,$B37,'9.Инвестиционна програма'!I$74:I$97)*$E$6</f>
        <v>0</v>
      </c>
      <c r="AC37" s="925">
        <f>SUMIF('9.Инвестиционна програма'!$B$74:$B$97,$B37,'9.Инвестиционна програма'!J$74:J$97)*$E$6</f>
        <v>0</v>
      </c>
      <c r="AD37" s="925">
        <f>SUMIF('9.Инвестиционна програма'!$B$74:$B$97,$B37,'9.Инвестиционна програма'!K$74:K$97)*$E$6</f>
        <v>0</v>
      </c>
      <c r="AE37" s="925">
        <f>SUMIF('9.Инвестиционна програма'!$B$74:$B$97,$B37,'9.Инвестиционна програма'!L$74:L$97)*$E$6</f>
        <v>0</v>
      </c>
      <c r="AF37" s="925">
        <f>SUMIF('9.Инвестиционна програма'!$B$74:$B$97,$B37,'9.Инвестиционна програма'!M$74:M$97)*$E$6</f>
        <v>0</v>
      </c>
      <c r="AG37" s="1132">
        <f>'11.2. ДА за периода'!AG37</f>
        <v>0</v>
      </c>
      <c r="AH37" s="925">
        <f>SUMIF('9.Инвестиционна програма'!$B$100:$B$123,$B37,'9.Инвестиционна програма'!H$100:H$123)*$E$6</f>
        <v>0</v>
      </c>
      <c r="AI37" s="925">
        <f>SUMIF('9.Инвестиционна програма'!$B$100:$B$123,$B37,'9.Инвестиционна програма'!I$100:I$123)*$E$6</f>
        <v>0</v>
      </c>
      <c r="AJ37" s="925">
        <f>SUMIF('9.Инвестиционна програма'!$B$100:$B$123,$B37,'9.Инвестиционна програма'!J$100:J$123)*$E$6</f>
        <v>0</v>
      </c>
      <c r="AK37" s="925">
        <f>SUMIF('9.Инвестиционна програма'!$B$100:$B$123,$B37,'9.Инвестиционна програма'!K$100:K$123)*$E$6</f>
        <v>0</v>
      </c>
      <c r="AL37" s="925">
        <f>SUMIF('9.Инвестиционна програма'!$B$100:$B$123,$B37,'9.Инвестиционна програма'!L$100:L$123)*$E$6</f>
        <v>0</v>
      </c>
      <c r="AM37" s="925">
        <f>SUMIF('9.Инвестиционна програма'!$B$100:$B$123,$B37,'9.Инвестиционна програма'!M$100:M$123)*$E$6</f>
        <v>0</v>
      </c>
      <c r="AN37" s="1132">
        <f>'11.2. ДА за периода'!AN37</f>
        <v>0</v>
      </c>
      <c r="AO37" s="1251">
        <f>(SUMIF('9.Инвестиционна програма'!$B$58:$B$59,$B37,'9.Инвестиционна програма'!H$58:H$59)+SUMIF('9.Инвестиционна програма'!$B$61:$B$71,$B37,'9.Инвестиционна програма'!H$61:H$71))*$E$6</f>
        <v>0</v>
      </c>
      <c r="AP37" s="925">
        <f>(SUMIF('9.Инвестиционна програма'!$B$58:$B$59,$B37,'9.Инвестиционна програма'!I$58:I$59)+SUMIF('9.Инвестиционна програма'!$B$61:$B$71,$B37,'9.Инвестиционна програма'!I$61:I$71))*$E$6</f>
        <v>0</v>
      </c>
      <c r="AQ37" s="925">
        <f>(SUMIF('9.Инвестиционна програма'!$B$58:$B$59,$B37,'9.Инвестиционна програма'!J$58:J$59)+SUMIF('9.Инвестиционна програма'!$B$61:$B$71,$B37,'9.Инвестиционна програма'!J$61:J$71))*$E$6</f>
        <v>0</v>
      </c>
      <c r="AR37" s="925">
        <f>(SUMIF('9.Инвестиционна програма'!$B$58:$B$59,$B37,'9.Инвестиционна програма'!K$58:K$59)+SUMIF('9.Инвестиционна програма'!$B$61:$B$71,$B37,'9.Инвестиционна програма'!K$61:K$71))*$E$6</f>
        <v>0</v>
      </c>
      <c r="AS37" s="925">
        <f>(SUMIF('9.Инвестиционна програма'!$B$58:$B$59,$B37,'9.Инвестиционна програма'!L$58:L$59)+SUMIF('9.Инвестиционна програма'!$B$61:$B$71,$B37,'9.Инвестиционна програма'!L$61:L$71))*$E$6</f>
        <v>0</v>
      </c>
      <c r="AT37" s="2865">
        <f>(SUMIF('9.Инвестиционна програма'!$B$58:$B$59,$B37,'9.Инвестиционна програма'!M$58:M$59)+SUMIF('9.Инвестиционна програма'!$B$61:$B$71,$B37,'9.Инвестиционна програма'!M$61:M$71))*$E$6</f>
        <v>0</v>
      </c>
      <c r="AU37" s="4775"/>
      <c r="AV37" s="4794">
        <f t="shared" si="47"/>
        <v>0</v>
      </c>
      <c r="AW37" s="4794">
        <f t="shared" si="48"/>
        <v>0</v>
      </c>
      <c r="AX37" s="4794">
        <f t="shared" si="49"/>
        <v>0</v>
      </c>
      <c r="AY37" s="4794">
        <f t="shared" si="50"/>
        <v>0</v>
      </c>
      <c r="AZ37" s="4794">
        <f t="shared" si="51"/>
        <v>0</v>
      </c>
      <c r="BA37" s="4794">
        <f t="shared" si="52"/>
        <v>0</v>
      </c>
      <c r="BB37" s="4794">
        <f t="shared" si="53"/>
        <v>0</v>
      </c>
      <c r="BC37" s="4794">
        <f t="shared" si="54"/>
        <v>0</v>
      </c>
      <c r="BD37" s="4794">
        <f t="shared" si="55"/>
        <v>0</v>
      </c>
      <c r="BE37" s="4794">
        <f t="shared" si="56"/>
        <v>0</v>
      </c>
      <c r="BF37" s="4794">
        <f t="shared" si="57"/>
        <v>0</v>
      </c>
      <c r="BG37" s="4794">
        <f t="shared" si="58"/>
        <v>0</v>
      </c>
      <c r="BH37" s="4794">
        <f t="shared" si="59"/>
        <v>0</v>
      </c>
      <c r="BI37" s="4794">
        <f t="shared" si="60"/>
        <v>0</v>
      </c>
      <c r="BJ37" s="4794">
        <f t="shared" si="61"/>
        <v>0</v>
      </c>
      <c r="BK37" s="4794">
        <f t="shared" si="62"/>
        <v>0</v>
      </c>
      <c r="BL37" s="4794">
        <f t="shared" si="63"/>
        <v>0</v>
      </c>
      <c r="BM37" s="4794">
        <f t="shared" si="64"/>
        <v>0</v>
      </c>
      <c r="BN37" s="4794">
        <f t="shared" si="65"/>
        <v>0</v>
      </c>
      <c r="BO37" s="4794">
        <f t="shared" si="66"/>
        <v>0</v>
      </c>
      <c r="BP37" s="4794">
        <f t="shared" si="67"/>
        <v>0</v>
      </c>
      <c r="BQ37" s="4794">
        <f t="shared" si="68"/>
        <v>0</v>
      </c>
      <c r="BR37" s="4794">
        <f t="shared" si="69"/>
        <v>0</v>
      </c>
      <c r="BS37" s="4794">
        <f t="shared" si="70"/>
        <v>0</v>
      </c>
      <c r="BT37" s="4794">
        <f t="shared" si="71"/>
        <v>0</v>
      </c>
      <c r="BU37" s="4794">
        <f t="shared" si="72"/>
        <v>0</v>
      </c>
      <c r="BV37" s="4794">
        <f t="shared" si="73"/>
        <v>0</v>
      </c>
      <c r="BW37" s="4794">
        <f t="shared" si="74"/>
        <v>0</v>
      </c>
      <c r="BX37" s="4794">
        <f t="shared" si="75"/>
        <v>0</v>
      </c>
      <c r="BY37" s="4794">
        <f t="shared" si="76"/>
        <v>0</v>
      </c>
      <c r="BZ37" s="4794">
        <f t="shared" si="77"/>
        <v>0</v>
      </c>
      <c r="CA37" s="4794">
        <f t="shared" si="78"/>
        <v>0</v>
      </c>
      <c r="CB37" s="4794">
        <f t="shared" si="79"/>
        <v>0</v>
      </c>
      <c r="CC37" s="4794">
        <f t="shared" si="80"/>
        <v>0</v>
      </c>
      <c r="CD37" s="4794">
        <f t="shared" si="81"/>
        <v>0</v>
      </c>
      <c r="CE37" s="4794">
        <f t="shared" si="82"/>
        <v>0</v>
      </c>
      <c r="CF37" s="4794">
        <f t="shared" si="83"/>
        <v>0</v>
      </c>
      <c r="CG37" s="4794">
        <f t="shared" si="84"/>
        <v>0</v>
      </c>
      <c r="CH37" s="4794">
        <f t="shared" si="85"/>
        <v>0</v>
      </c>
      <c r="CI37" s="4794">
        <f t="shared" si="86"/>
        <v>0</v>
      </c>
      <c r="CJ37" s="4794">
        <f t="shared" si="87"/>
        <v>0</v>
      </c>
      <c r="CK37" s="4794">
        <f t="shared" si="88"/>
        <v>0</v>
      </c>
    </row>
    <row r="38" spans="1:89">
      <c r="A38" s="2876"/>
      <c r="B38" s="3818">
        <v>2040204</v>
      </c>
      <c r="C38" s="3801">
        <v>0.02</v>
      </c>
      <c r="D38" s="2888" t="s">
        <v>419</v>
      </c>
      <c r="E38" s="2864">
        <f>'11.2. ДА за периода'!E38</f>
        <v>0</v>
      </c>
      <c r="F38" s="1247">
        <f>SUMIF('9.Инвестиционна програма'!$B$12:$B$35,$B38,'9.Инвестиционна програма'!H$12:H$35)*$E$6</f>
        <v>0</v>
      </c>
      <c r="G38" s="1243">
        <f>SUMIF('9.Инвестиционна програма'!$B$12:$B$35,$B38,'9.Инвестиционна програма'!I$12:I$35)*$E$6</f>
        <v>0</v>
      </c>
      <c r="H38" s="1243">
        <f>SUMIF('9.Инвестиционна програма'!$B$12:$B$35,$B38,'9.Инвестиционна програма'!J$12:J$35)*$E$6</f>
        <v>0</v>
      </c>
      <c r="I38" s="1243">
        <f>SUMIF('9.Инвестиционна програма'!$B$12:$B$35,$B38,'9.Инвестиционна програма'!K$12:K$35)*$E$6</f>
        <v>0</v>
      </c>
      <c r="J38" s="1243">
        <f>SUMIF('9.Инвестиционна програма'!$B$12:$B$35,$B38,'9.Инвестиционна програма'!L$12:L$35)*$E$6</f>
        <v>0</v>
      </c>
      <c r="K38" s="1248">
        <f>SUMIF('9.Инвестиционна програма'!$B$12:$B$35,$B38,'9.Инвестиционна програма'!M$12:M$35)*$E$6</f>
        <v>0</v>
      </c>
      <c r="L38" s="2864">
        <f>'11.2. ДА за периода'!L38</f>
        <v>0</v>
      </c>
      <c r="M38" s="1251">
        <f>SUMIF('9.Инвестиционна програма'!$B$37:$B$47,$B38,'9.Инвестиционна програма'!H$37:H$47)*$E$6</f>
        <v>0</v>
      </c>
      <c r="N38" s="1245">
        <f>SUMIF('9.Инвестиционна програма'!$B$37:$B$47,$B38,'9.Инвестиционна програма'!I$37:I$47)*$E$6</f>
        <v>0</v>
      </c>
      <c r="O38" s="1245">
        <f>SUMIF('9.Инвестиционна програма'!$B$37:$B$47,$B38,'9.Инвестиционна програма'!J$37:J$47)*$E$6</f>
        <v>0</v>
      </c>
      <c r="P38" s="1245">
        <f>SUMIF('9.Инвестиционна програма'!$B$37:$B$47,$B38,'9.Инвестиционна програма'!K$37:K$47)*$E$6</f>
        <v>0</v>
      </c>
      <c r="Q38" s="1245">
        <f>SUMIF('9.Инвестиционна програма'!$B$37:$B$47,$B38,'9.Инвестиционна програма'!L$37:L$47)*$E$6</f>
        <v>0</v>
      </c>
      <c r="R38" s="1246">
        <f>SUMIF('9.Инвестиционна програма'!$B$37:$B$47,$B38,'9.Инвестиционна програма'!M$37:M$47)*$E$6</f>
        <v>0</v>
      </c>
      <c r="S38" s="1132">
        <f>'11.2. ДА за периода'!S38</f>
        <v>0</v>
      </c>
      <c r="T38" s="925">
        <f>SUMIF('9.Инвестиционна програма'!$B$49:$B$56,$B38,'9.Инвестиционна програма'!H$49:H$56)*$E$6</f>
        <v>0</v>
      </c>
      <c r="U38" s="925">
        <f>SUMIF('9.Инвестиционна програма'!$B$49:$B$56,$B38,'9.Инвестиционна програма'!I$49:I$56)*$E$6</f>
        <v>0</v>
      </c>
      <c r="V38" s="925">
        <f>SUMIF('9.Инвестиционна програма'!$B$49:$B$56,$B38,'9.Инвестиционна програма'!J$49:J$56)*$E$6</f>
        <v>0</v>
      </c>
      <c r="W38" s="925">
        <f>SUMIF('9.Инвестиционна програма'!$B$49:$B$56,$B38,'9.Инвестиционна програма'!K$49:K$56)*$E$6</f>
        <v>0</v>
      </c>
      <c r="X38" s="925">
        <f>SUMIF('9.Инвестиционна програма'!$B$49:$B$56,$B38,'9.Инвестиционна програма'!L$49:L$56)*$E$6</f>
        <v>0</v>
      </c>
      <c r="Y38" s="2865">
        <f>SUMIF('9.Инвестиционна програма'!$B$49:$B$56,$B38,'9.Инвестиционна програма'!M$49:M$56)*$E$6</f>
        <v>0</v>
      </c>
      <c r="Z38" s="1132">
        <f>'11.2. ДА за периода'!Z38</f>
        <v>0</v>
      </c>
      <c r="AA38" s="925">
        <f>SUMIF('9.Инвестиционна програма'!$B$74:$B$97,$B38,'9.Инвестиционна програма'!H$74:H$97)*$E$6</f>
        <v>0</v>
      </c>
      <c r="AB38" s="925">
        <f>SUMIF('9.Инвестиционна програма'!$B$74:$B$97,$B38,'9.Инвестиционна програма'!I$74:I$97)*$E$6</f>
        <v>0</v>
      </c>
      <c r="AC38" s="925">
        <f>SUMIF('9.Инвестиционна програма'!$B$74:$B$97,$B38,'9.Инвестиционна програма'!J$74:J$97)*$E$6</f>
        <v>0</v>
      </c>
      <c r="AD38" s="925">
        <f>SUMIF('9.Инвестиционна програма'!$B$74:$B$97,$B38,'9.Инвестиционна програма'!K$74:K$97)*$E$6</f>
        <v>0</v>
      </c>
      <c r="AE38" s="925">
        <f>SUMIF('9.Инвестиционна програма'!$B$74:$B$97,$B38,'9.Инвестиционна програма'!L$74:L$97)*$E$6</f>
        <v>0</v>
      </c>
      <c r="AF38" s="925">
        <f>SUMIF('9.Инвестиционна програма'!$B$74:$B$97,$B38,'9.Инвестиционна програма'!M$74:M$97)*$E$6</f>
        <v>0</v>
      </c>
      <c r="AG38" s="1132">
        <f>'11.2. ДА за периода'!AG38</f>
        <v>0</v>
      </c>
      <c r="AH38" s="925">
        <f>SUMIF('9.Инвестиционна програма'!$B$100:$B$123,$B38,'9.Инвестиционна програма'!H$100:H$123)*$E$6</f>
        <v>0</v>
      </c>
      <c r="AI38" s="925">
        <f>SUMIF('9.Инвестиционна програма'!$B$100:$B$123,$B38,'9.Инвестиционна програма'!I$100:I$123)*$E$6</f>
        <v>0</v>
      </c>
      <c r="AJ38" s="925">
        <f>SUMIF('9.Инвестиционна програма'!$B$100:$B$123,$B38,'9.Инвестиционна програма'!J$100:J$123)*$E$6</f>
        <v>0</v>
      </c>
      <c r="AK38" s="925">
        <f>SUMIF('9.Инвестиционна програма'!$B$100:$B$123,$B38,'9.Инвестиционна програма'!K$100:K$123)*$E$6</f>
        <v>0</v>
      </c>
      <c r="AL38" s="925">
        <f>SUMIF('9.Инвестиционна програма'!$B$100:$B$123,$B38,'9.Инвестиционна програма'!L$100:L$123)*$E$6</f>
        <v>0</v>
      </c>
      <c r="AM38" s="925">
        <f>SUMIF('9.Инвестиционна програма'!$B$100:$B$123,$B38,'9.Инвестиционна програма'!M$100:M$123)*$E$6</f>
        <v>0</v>
      </c>
      <c r="AN38" s="1132">
        <f>'11.2. ДА за периода'!AN38</f>
        <v>0</v>
      </c>
      <c r="AO38" s="1251">
        <f>(SUMIF('9.Инвестиционна програма'!$B$58:$B$59,$B38,'9.Инвестиционна програма'!H$58:H$59)+SUMIF('9.Инвестиционна програма'!$B$61:$B$71,$B38,'9.Инвестиционна програма'!H$61:H$71))*$E$6</f>
        <v>0</v>
      </c>
      <c r="AP38" s="925">
        <f>(SUMIF('9.Инвестиционна програма'!$B$58:$B$59,$B38,'9.Инвестиционна програма'!I$58:I$59)+SUMIF('9.Инвестиционна програма'!$B$61:$B$71,$B38,'9.Инвестиционна програма'!I$61:I$71))*$E$6</f>
        <v>0</v>
      </c>
      <c r="AQ38" s="925">
        <f>(SUMIF('9.Инвестиционна програма'!$B$58:$B$59,$B38,'9.Инвестиционна програма'!J$58:J$59)+SUMIF('9.Инвестиционна програма'!$B$61:$B$71,$B38,'9.Инвестиционна програма'!J$61:J$71))*$E$6</f>
        <v>0</v>
      </c>
      <c r="AR38" s="925">
        <f>(SUMIF('9.Инвестиционна програма'!$B$58:$B$59,$B38,'9.Инвестиционна програма'!K$58:K$59)+SUMIF('9.Инвестиционна програма'!$B$61:$B$71,$B38,'9.Инвестиционна програма'!K$61:K$71))*$E$6</f>
        <v>0</v>
      </c>
      <c r="AS38" s="925">
        <f>(SUMIF('9.Инвестиционна програма'!$B$58:$B$59,$B38,'9.Инвестиционна програма'!L$58:L$59)+SUMIF('9.Инвестиционна програма'!$B$61:$B$71,$B38,'9.Инвестиционна програма'!L$61:L$71))*$E$6</f>
        <v>0</v>
      </c>
      <c r="AT38" s="2865">
        <f>(SUMIF('9.Инвестиционна програма'!$B$58:$B$59,$B38,'9.Инвестиционна програма'!M$58:M$59)+SUMIF('9.Инвестиционна програма'!$B$61:$B$71,$B38,'9.Инвестиционна програма'!M$61:M$71))*$E$6</f>
        <v>0</v>
      </c>
      <c r="AU38" s="4775"/>
      <c r="AV38" s="4794">
        <f t="shared" si="47"/>
        <v>0</v>
      </c>
      <c r="AW38" s="4794">
        <f t="shared" si="48"/>
        <v>0</v>
      </c>
      <c r="AX38" s="4794">
        <f t="shared" si="49"/>
        <v>0</v>
      </c>
      <c r="AY38" s="4794">
        <f t="shared" si="50"/>
        <v>0</v>
      </c>
      <c r="AZ38" s="4794">
        <f t="shared" si="51"/>
        <v>0</v>
      </c>
      <c r="BA38" s="4794">
        <f t="shared" si="52"/>
        <v>0</v>
      </c>
      <c r="BB38" s="4794">
        <f t="shared" si="53"/>
        <v>0</v>
      </c>
      <c r="BC38" s="4794">
        <f t="shared" si="54"/>
        <v>0</v>
      </c>
      <c r="BD38" s="4794">
        <f t="shared" si="55"/>
        <v>0</v>
      </c>
      <c r="BE38" s="4794">
        <f t="shared" si="56"/>
        <v>0</v>
      </c>
      <c r="BF38" s="4794">
        <f t="shared" si="57"/>
        <v>0</v>
      </c>
      <c r="BG38" s="4794">
        <f t="shared" si="58"/>
        <v>0</v>
      </c>
      <c r="BH38" s="4794">
        <f t="shared" si="59"/>
        <v>0</v>
      </c>
      <c r="BI38" s="4794">
        <f t="shared" si="60"/>
        <v>0</v>
      </c>
      <c r="BJ38" s="4794">
        <f t="shared" si="61"/>
        <v>0</v>
      </c>
      <c r="BK38" s="4794">
        <f t="shared" si="62"/>
        <v>0</v>
      </c>
      <c r="BL38" s="4794">
        <f t="shared" si="63"/>
        <v>0</v>
      </c>
      <c r="BM38" s="4794">
        <f t="shared" si="64"/>
        <v>0</v>
      </c>
      <c r="BN38" s="4794">
        <f t="shared" si="65"/>
        <v>0</v>
      </c>
      <c r="BO38" s="4794">
        <f t="shared" si="66"/>
        <v>0</v>
      </c>
      <c r="BP38" s="4794">
        <f t="shared" si="67"/>
        <v>0</v>
      </c>
      <c r="BQ38" s="4794">
        <f t="shared" si="68"/>
        <v>0</v>
      </c>
      <c r="BR38" s="4794">
        <f t="shared" si="69"/>
        <v>0</v>
      </c>
      <c r="BS38" s="4794">
        <f t="shared" si="70"/>
        <v>0</v>
      </c>
      <c r="BT38" s="4794">
        <f t="shared" si="71"/>
        <v>0</v>
      </c>
      <c r="BU38" s="4794">
        <f t="shared" si="72"/>
        <v>0</v>
      </c>
      <c r="BV38" s="4794">
        <f t="shared" si="73"/>
        <v>0</v>
      </c>
      <c r="BW38" s="4794">
        <f t="shared" si="74"/>
        <v>0</v>
      </c>
      <c r="BX38" s="4794">
        <f t="shared" si="75"/>
        <v>0</v>
      </c>
      <c r="BY38" s="4794">
        <f t="shared" si="76"/>
        <v>0</v>
      </c>
      <c r="BZ38" s="4794">
        <f t="shared" si="77"/>
        <v>0</v>
      </c>
      <c r="CA38" s="4794">
        <f t="shared" si="78"/>
        <v>0</v>
      </c>
      <c r="CB38" s="4794">
        <f t="shared" si="79"/>
        <v>0</v>
      </c>
      <c r="CC38" s="4794">
        <f t="shared" si="80"/>
        <v>0</v>
      </c>
      <c r="CD38" s="4794">
        <f t="shared" si="81"/>
        <v>0</v>
      </c>
      <c r="CE38" s="4794">
        <f t="shared" si="82"/>
        <v>0</v>
      </c>
      <c r="CF38" s="4794">
        <f t="shared" si="83"/>
        <v>0</v>
      </c>
      <c r="CG38" s="4794">
        <f t="shared" si="84"/>
        <v>0</v>
      </c>
      <c r="CH38" s="4794">
        <f t="shared" si="85"/>
        <v>0</v>
      </c>
      <c r="CI38" s="4794">
        <f t="shared" si="86"/>
        <v>0</v>
      </c>
      <c r="CJ38" s="4794">
        <f t="shared" si="87"/>
        <v>0</v>
      </c>
      <c r="CK38" s="4794">
        <f t="shared" si="88"/>
        <v>0</v>
      </c>
    </row>
    <row r="39" spans="1:89">
      <c r="A39" s="2876"/>
      <c r="B39" s="3818">
        <v>2040205</v>
      </c>
      <c r="C39" s="3801">
        <v>0.02</v>
      </c>
      <c r="D39" s="2886" t="s">
        <v>420</v>
      </c>
      <c r="E39" s="2864">
        <f>'11.2. ДА за периода'!E39</f>
        <v>3917</v>
      </c>
      <c r="F39" s="1247">
        <f>SUMIF('9.Инвестиционна програма'!$B$12:$B$35,$B39,'9.Инвестиционна програма'!H$12:H$35)*$E$6</f>
        <v>4150</v>
      </c>
      <c r="G39" s="1243">
        <f>SUMIF('9.Инвестиционна програма'!$B$12:$B$35,$B39,'9.Инвестиционна програма'!I$12:I$35)*$E$6</f>
        <v>3250</v>
      </c>
      <c r="H39" s="1243">
        <f>SUMIF('9.Инвестиционна програма'!$B$12:$B$35,$B39,'9.Инвестиционна програма'!J$12:J$35)*$E$6</f>
        <v>2750</v>
      </c>
      <c r="I39" s="1243">
        <f>SUMIF('9.Инвестиционна програма'!$B$12:$B$35,$B39,'9.Инвестиционна програма'!K$12:K$35)*$E$6</f>
        <v>2680</v>
      </c>
      <c r="J39" s="1243">
        <f>SUMIF('9.Инвестиционна програма'!$B$12:$B$35,$B39,'9.Инвестиционна програма'!L$12:L$35)*$E$6</f>
        <v>2615</v>
      </c>
      <c r="K39" s="1248">
        <f>SUMIF('9.Инвестиционна програма'!$B$12:$B$35,$B39,'9.Инвестиционна програма'!M$12:M$35)*$E$6</f>
        <v>2750</v>
      </c>
      <c r="L39" s="2864">
        <f>'11.2. ДА за периода'!L39</f>
        <v>0</v>
      </c>
      <c r="M39" s="1251">
        <f>SUMIF('9.Инвестиционна програма'!$B$37:$B$47,$B39,'9.Инвестиционна програма'!H$37:H$47)*$E$6</f>
        <v>0</v>
      </c>
      <c r="N39" s="1245">
        <f>SUMIF('9.Инвестиционна програма'!$B$37:$B$47,$B39,'9.Инвестиционна програма'!I$37:I$47)*$E$6</f>
        <v>0</v>
      </c>
      <c r="O39" s="1245">
        <f>SUMIF('9.Инвестиционна програма'!$B$37:$B$47,$B39,'9.Инвестиционна програма'!J$37:J$47)*$E$6</f>
        <v>0</v>
      </c>
      <c r="P39" s="1245">
        <f>SUMIF('9.Инвестиционна програма'!$B$37:$B$47,$B39,'9.Инвестиционна програма'!K$37:K$47)*$E$6</f>
        <v>0</v>
      </c>
      <c r="Q39" s="1245">
        <f>SUMIF('9.Инвестиционна програма'!$B$37:$B$47,$B39,'9.Инвестиционна програма'!L$37:L$47)*$E$6</f>
        <v>0</v>
      </c>
      <c r="R39" s="1246">
        <f>SUMIF('9.Инвестиционна програма'!$B$37:$B$47,$B39,'9.Инвестиционна програма'!M$37:M$47)*$E$6</f>
        <v>0</v>
      </c>
      <c r="S39" s="1132">
        <f>'11.2. ДА за периода'!S39</f>
        <v>0</v>
      </c>
      <c r="T39" s="925">
        <f>SUMIF('9.Инвестиционна програма'!$B$49:$B$56,$B39,'9.Инвестиционна програма'!H$49:H$56)*$E$6</f>
        <v>0</v>
      </c>
      <c r="U39" s="925">
        <f>SUMIF('9.Инвестиционна програма'!$B$49:$B$56,$B39,'9.Инвестиционна програма'!I$49:I$56)*$E$6</f>
        <v>0</v>
      </c>
      <c r="V39" s="925">
        <f>SUMIF('9.Инвестиционна програма'!$B$49:$B$56,$B39,'9.Инвестиционна програма'!J$49:J$56)*$E$6</f>
        <v>0</v>
      </c>
      <c r="W39" s="925">
        <f>SUMIF('9.Инвестиционна програма'!$B$49:$B$56,$B39,'9.Инвестиционна програма'!K$49:K$56)*$E$6</f>
        <v>0</v>
      </c>
      <c r="X39" s="925">
        <f>SUMIF('9.Инвестиционна програма'!$B$49:$B$56,$B39,'9.Инвестиционна програма'!L$49:L$56)*$E$6</f>
        <v>0</v>
      </c>
      <c r="Y39" s="2865">
        <f>SUMIF('9.Инвестиционна програма'!$B$49:$B$56,$B39,'9.Инвестиционна програма'!M$49:M$56)*$E$6</f>
        <v>0</v>
      </c>
      <c r="Z39" s="1132">
        <f>'11.2. ДА за периода'!Z39</f>
        <v>0</v>
      </c>
      <c r="AA39" s="925">
        <f>SUMIF('9.Инвестиционна програма'!$B$74:$B$97,$B39,'9.Инвестиционна програма'!H$74:H$97)*$E$6</f>
        <v>0</v>
      </c>
      <c r="AB39" s="925">
        <f>SUMIF('9.Инвестиционна програма'!$B$74:$B$97,$B39,'9.Инвестиционна програма'!I$74:I$97)*$E$6</f>
        <v>0</v>
      </c>
      <c r="AC39" s="925">
        <f>SUMIF('9.Инвестиционна програма'!$B$74:$B$97,$B39,'9.Инвестиционна програма'!J$74:J$97)*$E$6</f>
        <v>0</v>
      </c>
      <c r="AD39" s="925">
        <f>SUMIF('9.Инвестиционна програма'!$B$74:$B$97,$B39,'9.Инвестиционна програма'!K$74:K$97)*$E$6</f>
        <v>0</v>
      </c>
      <c r="AE39" s="925">
        <f>SUMIF('9.Инвестиционна програма'!$B$74:$B$97,$B39,'9.Инвестиционна програма'!L$74:L$97)*$E$6</f>
        <v>0</v>
      </c>
      <c r="AF39" s="925">
        <f>SUMIF('9.Инвестиционна програма'!$B$74:$B$97,$B39,'9.Инвестиционна програма'!M$74:M$97)*$E$6</f>
        <v>0</v>
      </c>
      <c r="AG39" s="1132">
        <f>'11.2. ДА за периода'!AG39</f>
        <v>0</v>
      </c>
      <c r="AH39" s="925">
        <f>SUMIF('9.Инвестиционна програма'!$B$100:$B$123,$B39,'9.Инвестиционна програма'!H$100:H$123)*$E$6</f>
        <v>0</v>
      </c>
      <c r="AI39" s="925">
        <f>SUMIF('9.Инвестиционна програма'!$B$100:$B$123,$B39,'9.Инвестиционна програма'!I$100:I$123)*$E$6</f>
        <v>0</v>
      </c>
      <c r="AJ39" s="925">
        <f>SUMIF('9.Инвестиционна програма'!$B$100:$B$123,$B39,'9.Инвестиционна програма'!J$100:J$123)*$E$6</f>
        <v>0</v>
      </c>
      <c r="AK39" s="925">
        <f>SUMIF('9.Инвестиционна програма'!$B$100:$B$123,$B39,'9.Инвестиционна програма'!K$100:K$123)*$E$6</f>
        <v>0</v>
      </c>
      <c r="AL39" s="925">
        <f>SUMIF('9.Инвестиционна програма'!$B$100:$B$123,$B39,'9.Инвестиционна програма'!L$100:L$123)*$E$6</f>
        <v>0</v>
      </c>
      <c r="AM39" s="925">
        <f>SUMIF('9.Инвестиционна програма'!$B$100:$B$123,$B39,'9.Инвестиционна програма'!M$100:M$123)*$E$6</f>
        <v>0</v>
      </c>
      <c r="AN39" s="1132">
        <f>'11.2. ДА за периода'!AN39</f>
        <v>0</v>
      </c>
      <c r="AO39" s="1251">
        <f>(SUMIF('9.Инвестиционна програма'!$B$58:$B$59,$B39,'9.Инвестиционна програма'!H$58:H$59)+SUMIF('9.Инвестиционна програма'!$B$61:$B$71,$B39,'9.Инвестиционна програма'!H$61:H$71))*$E$6</f>
        <v>0</v>
      </c>
      <c r="AP39" s="925">
        <f>(SUMIF('9.Инвестиционна програма'!$B$58:$B$59,$B39,'9.Инвестиционна програма'!I$58:I$59)+SUMIF('9.Инвестиционна програма'!$B$61:$B$71,$B39,'9.Инвестиционна програма'!I$61:I$71))*$E$6</f>
        <v>0</v>
      </c>
      <c r="AQ39" s="925">
        <f>(SUMIF('9.Инвестиционна програма'!$B$58:$B$59,$B39,'9.Инвестиционна програма'!J$58:J$59)+SUMIF('9.Инвестиционна програма'!$B$61:$B$71,$B39,'9.Инвестиционна програма'!J$61:J$71))*$E$6</f>
        <v>0</v>
      </c>
      <c r="AR39" s="925">
        <f>(SUMIF('9.Инвестиционна програма'!$B$58:$B$59,$B39,'9.Инвестиционна програма'!K$58:K$59)+SUMIF('9.Инвестиционна програма'!$B$61:$B$71,$B39,'9.Инвестиционна програма'!K$61:K$71))*$E$6</f>
        <v>0</v>
      </c>
      <c r="AS39" s="925">
        <f>(SUMIF('9.Инвестиционна програма'!$B$58:$B$59,$B39,'9.Инвестиционна програма'!L$58:L$59)+SUMIF('9.Инвестиционна програма'!$B$61:$B$71,$B39,'9.Инвестиционна програма'!L$61:L$71))*$E$6</f>
        <v>0</v>
      </c>
      <c r="AT39" s="2865">
        <f>(SUMIF('9.Инвестиционна програма'!$B$58:$B$59,$B39,'9.Инвестиционна програма'!M$58:M$59)+SUMIF('9.Инвестиционна програма'!$B$61:$B$71,$B39,'9.Инвестиционна програма'!M$61:M$71))*$E$6</f>
        <v>0</v>
      </c>
      <c r="AU39" s="4775"/>
      <c r="AV39" s="4794">
        <f t="shared" si="47"/>
        <v>2002.7302986455879</v>
      </c>
      <c r="AW39" s="4794">
        <f t="shared" si="48"/>
        <v>2121.8613069643066</v>
      </c>
      <c r="AX39" s="4794">
        <f t="shared" si="49"/>
        <v>1661.6986138877101</v>
      </c>
      <c r="AY39" s="4794">
        <f t="shared" si="50"/>
        <v>1406.0526732896008</v>
      </c>
      <c r="AZ39" s="4794">
        <f t="shared" si="51"/>
        <v>1370.2622416058655</v>
      </c>
      <c r="BA39" s="4794">
        <f t="shared" si="52"/>
        <v>1337.0282693281113</v>
      </c>
      <c r="BB39" s="4794">
        <f t="shared" si="53"/>
        <v>1406.0526732896008</v>
      </c>
      <c r="BC39" s="4794">
        <f t="shared" si="54"/>
        <v>0</v>
      </c>
      <c r="BD39" s="4794">
        <f t="shared" si="55"/>
        <v>0</v>
      </c>
      <c r="BE39" s="4794">
        <f t="shared" si="56"/>
        <v>0</v>
      </c>
      <c r="BF39" s="4794">
        <f t="shared" si="57"/>
        <v>0</v>
      </c>
      <c r="BG39" s="4794">
        <f t="shared" si="58"/>
        <v>0</v>
      </c>
      <c r="BH39" s="4794">
        <f t="shared" si="59"/>
        <v>0</v>
      </c>
      <c r="BI39" s="4794">
        <f t="shared" si="60"/>
        <v>0</v>
      </c>
      <c r="BJ39" s="4794">
        <f t="shared" si="61"/>
        <v>0</v>
      </c>
      <c r="BK39" s="4794">
        <f t="shared" si="62"/>
        <v>0</v>
      </c>
      <c r="BL39" s="4794">
        <f t="shared" si="63"/>
        <v>0</v>
      </c>
      <c r="BM39" s="4794">
        <f t="shared" si="64"/>
        <v>0</v>
      </c>
      <c r="BN39" s="4794">
        <f t="shared" si="65"/>
        <v>0</v>
      </c>
      <c r="BO39" s="4794">
        <f t="shared" si="66"/>
        <v>0</v>
      </c>
      <c r="BP39" s="4794">
        <f t="shared" si="67"/>
        <v>0</v>
      </c>
      <c r="BQ39" s="4794">
        <f t="shared" si="68"/>
        <v>0</v>
      </c>
      <c r="BR39" s="4794">
        <f t="shared" si="69"/>
        <v>0</v>
      </c>
      <c r="BS39" s="4794">
        <f t="shared" si="70"/>
        <v>0</v>
      </c>
      <c r="BT39" s="4794">
        <f t="shared" si="71"/>
        <v>0</v>
      </c>
      <c r="BU39" s="4794">
        <f t="shared" si="72"/>
        <v>0</v>
      </c>
      <c r="BV39" s="4794">
        <f t="shared" si="73"/>
        <v>0</v>
      </c>
      <c r="BW39" s="4794">
        <f t="shared" si="74"/>
        <v>0</v>
      </c>
      <c r="BX39" s="4794">
        <f t="shared" si="75"/>
        <v>0</v>
      </c>
      <c r="BY39" s="4794">
        <f t="shared" si="76"/>
        <v>0</v>
      </c>
      <c r="BZ39" s="4794">
        <f t="shared" si="77"/>
        <v>0</v>
      </c>
      <c r="CA39" s="4794">
        <f t="shared" si="78"/>
        <v>0</v>
      </c>
      <c r="CB39" s="4794">
        <f t="shared" si="79"/>
        <v>0</v>
      </c>
      <c r="CC39" s="4794">
        <f t="shared" si="80"/>
        <v>0</v>
      </c>
      <c r="CD39" s="4794">
        <f t="shared" si="81"/>
        <v>0</v>
      </c>
      <c r="CE39" s="4794">
        <f t="shared" si="82"/>
        <v>0</v>
      </c>
      <c r="CF39" s="4794">
        <f t="shared" si="83"/>
        <v>0</v>
      </c>
      <c r="CG39" s="4794">
        <f t="shared" si="84"/>
        <v>0</v>
      </c>
      <c r="CH39" s="4794">
        <f t="shared" si="85"/>
        <v>0</v>
      </c>
      <c r="CI39" s="4794">
        <f t="shared" si="86"/>
        <v>0</v>
      </c>
      <c r="CJ39" s="4794">
        <f t="shared" si="87"/>
        <v>0</v>
      </c>
      <c r="CK39" s="4794">
        <f t="shared" si="88"/>
        <v>0</v>
      </c>
    </row>
    <row r="40" spans="1:89">
      <c r="A40" s="2876"/>
      <c r="B40" s="3818">
        <v>2040206</v>
      </c>
      <c r="C40" s="3801">
        <v>0.02</v>
      </c>
      <c r="D40" s="2886" t="s">
        <v>421</v>
      </c>
      <c r="E40" s="2864">
        <f>'11.2. ДА за периода'!E40</f>
        <v>0</v>
      </c>
      <c r="F40" s="1247">
        <f>SUMIF('9.Инвестиционна програма'!$B$12:$B$35,$B40,'9.Инвестиционна програма'!H$12:H$35)*$E$6</f>
        <v>0</v>
      </c>
      <c r="G40" s="1243">
        <f>SUMIF('9.Инвестиционна програма'!$B$12:$B$35,$B40,'9.Инвестиционна програма'!I$12:I$35)*$E$6</f>
        <v>0</v>
      </c>
      <c r="H40" s="1243">
        <f>SUMIF('9.Инвестиционна програма'!$B$12:$B$35,$B40,'9.Инвестиционна програма'!J$12:J$35)*$E$6</f>
        <v>0</v>
      </c>
      <c r="I40" s="1243">
        <f>SUMIF('9.Инвестиционна програма'!$B$12:$B$35,$B40,'9.Инвестиционна програма'!K$12:K$35)*$E$6</f>
        <v>0</v>
      </c>
      <c r="J40" s="1243">
        <f>SUMIF('9.Инвестиционна програма'!$B$12:$B$35,$B40,'9.Инвестиционна програма'!L$12:L$35)*$E$6</f>
        <v>0</v>
      </c>
      <c r="K40" s="1248">
        <f>SUMIF('9.Инвестиционна програма'!$B$12:$B$35,$B40,'9.Инвестиционна програма'!M$12:M$35)*$E$6</f>
        <v>0</v>
      </c>
      <c r="L40" s="2864">
        <f>'11.2. ДА за периода'!L40</f>
        <v>94</v>
      </c>
      <c r="M40" s="1251">
        <f>SUMIF('9.Инвестиционна програма'!$B$37:$B$47,$B40,'9.Инвестиционна програма'!H$37:H$47)*$E$6</f>
        <v>120</v>
      </c>
      <c r="N40" s="1245">
        <f>SUMIF('9.Инвестиционна програма'!$B$37:$B$47,$B40,'9.Инвестиционна програма'!I$37:I$47)*$E$6</f>
        <v>160</v>
      </c>
      <c r="O40" s="1245">
        <f>SUMIF('9.Инвестиционна програма'!$B$37:$B$47,$B40,'9.Инвестиционна програма'!J$37:J$47)*$E$6</f>
        <v>160</v>
      </c>
      <c r="P40" s="1245">
        <f>SUMIF('9.Инвестиционна програма'!$B$37:$B$47,$B40,'9.Инвестиционна програма'!K$37:K$47)*$E$6</f>
        <v>160</v>
      </c>
      <c r="Q40" s="1245">
        <f>SUMIF('9.Инвестиционна програма'!$B$37:$B$47,$B40,'9.Инвестиционна програма'!L$37:L$47)*$E$6</f>
        <v>150</v>
      </c>
      <c r="R40" s="1246">
        <f>SUMIF('9.Инвестиционна програма'!$B$37:$B$47,$B40,'9.Инвестиционна програма'!M$37:M$47)*$E$6</f>
        <v>150</v>
      </c>
      <c r="S40" s="1132">
        <f>'11.2. ДА за периода'!S40</f>
        <v>0</v>
      </c>
      <c r="T40" s="925">
        <f>SUMIF('9.Инвестиционна програма'!$B$49:$B$56,$B40,'9.Инвестиционна програма'!H$49:H$56)*$E$6</f>
        <v>0</v>
      </c>
      <c r="U40" s="925">
        <f>SUMIF('9.Инвестиционна програма'!$B$49:$B$56,$B40,'9.Инвестиционна програма'!I$49:I$56)*$E$6</f>
        <v>0</v>
      </c>
      <c r="V40" s="925">
        <f>SUMIF('9.Инвестиционна програма'!$B$49:$B$56,$B40,'9.Инвестиционна програма'!J$49:J$56)*$E$6</f>
        <v>0</v>
      </c>
      <c r="W40" s="925">
        <f>SUMIF('9.Инвестиционна програма'!$B$49:$B$56,$B40,'9.Инвестиционна програма'!K$49:K$56)*$E$6</f>
        <v>0</v>
      </c>
      <c r="X40" s="925">
        <f>SUMIF('9.Инвестиционна програма'!$B$49:$B$56,$B40,'9.Инвестиционна програма'!L$49:L$56)*$E$6</f>
        <v>0</v>
      </c>
      <c r="Y40" s="2865">
        <f>SUMIF('9.Инвестиционна програма'!$B$49:$B$56,$B40,'9.Инвестиционна програма'!M$49:M$56)*$E$6</f>
        <v>0</v>
      </c>
      <c r="Z40" s="1132">
        <f>'11.2. ДА за периода'!Z40</f>
        <v>0</v>
      </c>
      <c r="AA40" s="925">
        <f>SUMIF('9.Инвестиционна програма'!$B$74:$B$97,$B40,'9.Инвестиционна програма'!H$74:H$97)*$E$6</f>
        <v>0</v>
      </c>
      <c r="AB40" s="925">
        <f>SUMIF('9.Инвестиционна програма'!$B$74:$B$97,$B40,'9.Инвестиционна програма'!I$74:I$97)*$E$6</f>
        <v>0</v>
      </c>
      <c r="AC40" s="925">
        <f>SUMIF('9.Инвестиционна програма'!$B$74:$B$97,$B40,'9.Инвестиционна програма'!J$74:J$97)*$E$6</f>
        <v>0</v>
      </c>
      <c r="AD40" s="925">
        <f>SUMIF('9.Инвестиционна програма'!$B$74:$B$97,$B40,'9.Инвестиционна програма'!K$74:K$97)*$E$6</f>
        <v>0</v>
      </c>
      <c r="AE40" s="925">
        <f>SUMIF('9.Инвестиционна програма'!$B$74:$B$97,$B40,'9.Инвестиционна програма'!L$74:L$97)*$E$6</f>
        <v>0</v>
      </c>
      <c r="AF40" s="925">
        <f>SUMIF('9.Инвестиционна програма'!$B$74:$B$97,$B40,'9.Инвестиционна програма'!M$74:M$97)*$E$6</f>
        <v>0</v>
      </c>
      <c r="AG40" s="1132">
        <f>'11.2. ДА за периода'!AG40</f>
        <v>0</v>
      </c>
      <c r="AH40" s="925">
        <f>SUMIF('9.Инвестиционна програма'!$B$100:$B$123,$B40,'9.Инвестиционна програма'!H$100:H$123)*$E$6</f>
        <v>0</v>
      </c>
      <c r="AI40" s="925">
        <f>SUMIF('9.Инвестиционна програма'!$B$100:$B$123,$B40,'9.Инвестиционна програма'!I$100:I$123)*$E$6</f>
        <v>0</v>
      </c>
      <c r="AJ40" s="925">
        <f>SUMIF('9.Инвестиционна програма'!$B$100:$B$123,$B40,'9.Инвестиционна програма'!J$100:J$123)*$E$6</f>
        <v>0</v>
      </c>
      <c r="AK40" s="925">
        <f>SUMIF('9.Инвестиционна програма'!$B$100:$B$123,$B40,'9.Инвестиционна програма'!K$100:K$123)*$E$6</f>
        <v>0</v>
      </c>
      <c r="AL40" s="925">
        <f>SUMIF('9.Инвестиционна програма'!$B$100:$B$123,$B40,'9.Инвестиционна програма'!L$100:L$123)*$E$6</f>
        <v>0</v>
      </c>
      <c r="AM40" s="925">
        <f>SUMIF('9.Инвестиционна програма'!$B$100:$B$123,$B40,'9.Инвестиционна програма'!M$100:M$123)*$E$6</f>
        <v>0</v>
      </c>
      <c r="AN40" s="1132">
        <f>'11.2. ДА за периода'!AN40</f>
        <v>0</v>
      </c>
      <c r="AO40" s="1251">
        <f>(SUMIF('9.Инвестиционна програма'!$B$58:$B$59,$B40,'9.Инвестиционна програма'!H$58:H$59)+SUMIF('9.Инвестиционна програма'!$B$61:$B$71,$B40,'9.Инвестиционна програма'!H$61:H$71))*$E$6</f>
        <v>0</v>
      </c>
      <c r="AP40" s="925">
        <f>(SUMIF('9.Инвестиционна програма'!$B$58:$B$59,$B40,'9.Инвестиционна програма'!I$58:I$59)+SUMIF('9.Инвестиционна програма'!$B$61:$B$71,$B40,'9.Инвестиционна програма'!I$61:I$71))*$E$6</f>
        <v>0</v>
      </c>
      <c r="AQ40" s="925">
        <f>(SUMIF('9.Инвестиционна програма'!$B$58:$B$59,$B40,'9.Инвестиционна програма'!J$58:J$59)+SUMIF('9.Инвестиционна програма'!$B$61:$B$71,$B40,'9.Инвестиционна програма'!J$61:J$71))*$E$6</f>
        <v>0</v>
      </c>
      <c r="AR40" s="925">
        <f>(SUMIF('9.Инвестиционна програма'!$B$58:$B$59,$B40,'9.Инвестиционна програма'!K$58:K$59)+SUMIF('9.Инвестиционна програма'!$B$61:$B$71,$B40,'9.Инвестиционна програма'!K$61:K$71))*$E$6</f>
        <v>0</v>
      </c>
      <c r="AS40" s="925">
        <f>(SUMIF('9.Инвестиционна програма'!$B$58:$B$59,$B40,'9.Инвестиционна програма'!L$58:L$59)+SUMIF('9.Инвестиционна програма'!$B$61:$B$71,$B40,'9.Инвестиционна програма'!L$61:L$71))*$E$6</f>
        <v>0</v>
      </c>
      <c r="AT40" s="2865">
        <f>(SUMIF('9.Инвестиционна програма'!$B$58:$B$59,$B40,'9.Инвестиционна програма'!M$58:M$59)+SUMIF('9.Инвестиционна програма'!$B$61:$B$71,$B40,'9.Инвестиционна програма'!M$61:M$71))*$E$6</f>
        <v>0</v>
      </c>
      <c r="AU40" s="4775"/>
      <c r="AV40" s="4794">
        <f t="shared" si="47"/>
        <v>0</v>
      </c>
      <c r="AW40" s="4794">
        <f t="shared" si="48"/>
        <v>0</v>
      </c>
      <c r="AX40" s="4794">
        <f t="shared" si="49"/>
        <v>0</v>
      </c>
      <c r="AY40" s="4794">
        <f t="shared" si="50"/>
        <v>0</v>
      </c>
      <c r="AZ40" s="4794">
        <f t="shared" si="51"/>
        <v>0</v>
      </c>
      <c r="BA40" s="4794">
        <f t="shared" si="52"/>
        <v>0</v>
      </c>
      <c r="BB40" s="4794">
        <f t="shared" si="53"/>
        <v>0</v>
      </c>
      <c r="BC40" s="4794">
        <f t="shared" si="54"/>
        <v>48.061436832444535</v>
      </c>
      <c r="BD40" s="4794">
        <f t="shared" si="55"/>
        <v>61.355025743546221</v>
      </c>
      <c r="BE40" s="4794">
        <f t="shared" si="56"/>
        <v>81.806700991394962</v>
      </c>
      <c r="BF40" s="4794">
        <f t="shared" si="57"/>
        <v>81.806700991394962</v>
      </c>
      <c r="BG40" s="4794">
        <f t="shared" si="58"/>
        <v>81.806700991394962</v>
      </c>
      <c r="BH40" s="4794">
        <f t="shared" si="59"/>
        <v>76.693782179432773</v>
      </c>
      <c r="BI40" s="4794">
        <f t="shared" si="60"/>
        <v>76.693782179432773</v>
      </c>
      <c r="BJ40" s="4794">
        <f t="shared" si="61"/>
        <v>0</v>
      </c>
      <c r="BK40" s="4794">
        <f t="shared" si="62"/>
        <v>0</v>
      </c>
      <c r="BL40" s="4794">
        <f t="shared" si="63"/>
        <v>0</v>
      </c>
      <c r="BM40" s="4794">
        <f t="shared" si="64"/>
        <v>0</v>
      </c>
      <c r="BN40" s="4794">
        <f t="shared" si="65"/>
        <v>0</v>
      </c>
      <c r="BO40" s="4794">
        <f t="shared" si="66"/>
        <v>0</v>
      </c>
      <c r="BP40" s="4794">
        <f t="shared" si="67"/>
        <v>0</v>
      </c>
      <c r="BQ40" s="4794">
        <f t="shared" si="68"/>
        <v>0</v>
      </c>
      <c r="BR40" s="4794">
        <f t="shared" si="69"/>
        <v>0</v>
      </c>
      <c r="BS40" s="4794">
        <f t="shared" si="70"/>
        <v>0</v>
      </c>
      <c r="BT40" s="4794">
        <f t="shared" si="71"/>
        <v>0</v>
      </c>
      <c r="BU40" s="4794">
        <f t="shared" si="72"/>
        <v>0</v>
      </c>
      <c r="BV40" s="4794">
        <f t="shared" si="73"/>
        <v>0</v>
      </c>
      <c r="BW40" s="4794">
        <f t="shared" si="74"/>
        <v>0</v>
      </c>
      <c r="BX40" s="4794">
        <f t="shared" si="75"/>
        <v>0</v>
      </c>
      <c r="BY40" s="4794">
        <f t="shared" si="76"/>
        <v>0</v>
      </c>
      <c r="BZ40" s="4794">
        <f t="shared" si="77"/>
        <v>0</v>
      </c>
      <c r="CA40" s="4794">
        <f t="shared" si="78"/>
        <v>0</v>
      </c>
      <c r="CB40" s="4794">
        <f t="shared" si="79"/>
        <v>0</v>
      </c>
      <c r="CC40" s="4794">
        <f t="shared" si="80"/>
        <v>0</v>
      </c>
      <c r="CD40" s="4794">
        <f t="shared" si="81"/>
        <v>0</v>
      </c>
      <c r="CE40" s="4794">
        <f t="shared" si="82"/>
        <v>0</v>
      </c>
      <c r="CF40" s="4794">
        <f t="shared" si="83"/>
        <v>0</v>
      </c>
      <c r="CG40" s="4794">
        <f t="shared" si="84"/>
        <v>0</v>
      </c>
      <c r="CH40" s="4794">
        <f t="shared" si="85"/>
        <v>0</v>
      </c>
      <c r="CI40" s="4794">
        <f t="shared" si="86"/>
        <v>0</v>
      </c>
      <c r="CJ40" s="4794">
        <f t="shared" si="87"/>
        <v>0</v>
      </c>
      <c r="CK40" s="4794">
        <f t="shared" si="88"/>
        <v>0</v>
      </c>
    </row>
    <row r="41" spans="1:89" ht="24">
      <c r="A41" s="2876"/>
      <c r="B41" s="3818">
        <v>2040207</v>
      </c>
      <c r="C41" s="3801">
        <v>0.04</v>
      </c>
      <c r="D41" s="2886" t="s">
        <v>422</v>
      </c>
      <c r="E41" s="2864">
        <f>'11.2. ДА за периода'!E41</f>
        <v>261</v>
      </c>
      <c r="F41" s="1247">
        <f>SUMIF('9.Инвестиционна програма'!$B$12:$B$35,$B41,'9.Инвестиционна програма'!H$12:H$35)*$E$6</f>
        <v>210</v>
      </c>
      <c r="G41" s="1243">
        <f>SUMIF('9.Инвестиционна програма'!$B$12:$B$35,$B41,'9.Инвестиционна програма'!I$12:I$35)*$E$6</f>
        <v>130</v>
      </c>
      <c r="H41" s="1243">
        <f>SUMIF('9.Инвестиционна програма'!$B$12:$B$35,$B41,'9.Инвестиционна програма'!J$12:J$35)*$E$6</f>
        <v>100</v>
      </c>
      <c r="I41" s="1243">
        <f>SUMIF('9.Инвестиционна програма'!$B$12:$B$35,$B41,'9.Инвестиционна програма'!K$12:K$35)*$E$6</f>
        <v>100</v>
      </c>
      <c r="J41" s="1243">
        <f>SUMIF('9.Инвестиционна програма'!$B$12:$B$35,$B41,'9.Инвестиционна програма'!L$12:L$35)*$E$6</f>
        <v>100</v>
      </c>
      <c r="K41" s="1248">
        <f>SUMIF('9.Инвестиционна програма'!$B$12:$B$35,$B41,'9.Инвестиционна програма'!M$12:M$35)*$E$6</f>
        <v>100</v>
      </c>
      <c r="L41" s="2864">
        <f>'11.2. ДА за периода'!L41</f>
        <v>0</v>
      </c>
      <c r="M41" s="1251">
        <f>SUMIF('9.Инвестиционна програма'!$B$37:$B$47,$B41,'9.Инвестиционна програма'!H$37:H$47)*$E$6</f>
        <v>0</v>
      </c>
      <c r="N41" s="1245">
        <f>SUMIF('9.Инвестиционна програма'!$B$37:$B$47,$B41,'9.Инвестиционна програма'!I$37:I$47)*$E$6</f>
        <v>0</v>
      </c>
      <c r="O41" s="1245">
        <f>SUMIF('9.Инвестиционна програма'!$B$37:$B$47,$B41,'9.Инвестиционна програма'!J$37:J$47)*$E$6</f>
        <v>0</v>
      </c>
      <c r="P41" s="1245">
        <f>SUMIF('9.Инвестиционна програма'!$B$37:$B$47,$B41,'9.Инвестиционна програма'!K$37:K$47)*$E$6</f>
        <v>0</v>
      </c>
      <c r="Q41" s="1245">
        <f>SUMIF('9.Инвестиционна програма'!$B$37:$B$47,$B41,'9.Инвестиционна програма'!L$37:L$47)*$E$6</f>
        <v>0</v>
      </c>
      <c r="R41" s="1246">
        <f>SUMIF('9.Инвестиционна програма'!$B$37:$B$47,$B41,'9.Инвестиционна програма'!M$37:M$47)*$E$6</f>
        <v>0</v>
      </c>
      <c r="S41" s="1132">
        <f>'11.2. ДА за периода'!S41</f>
        <v>93</v>
      </c>
      <c r="T41" s="925">
        <f>SUMIF('9.Инвестиционна програма'!$B$49:$B$56,$B41,'9.Инвестиционна програма'!H$49:H$56)*$E$6</f>
        <v>100</v>
      </c>
      <c r="U41" s="925">
        <f>SUMIF('9.Инвестиционна програма'!$B$49:$B$56,$B41,'9.Инвестиционна програма'!I$49:I$56)*$E$6</f>
        <v>100</v>
      </c>
      <c r="V41" s="925">
        <f>SUMIF('9.Инвестиционна програма'!$B$49:$B$56,$B41,'9.Инвестиционна програма'!J$49:J$56)*$E$6</f>
        <v>100</v>
      </c>
      <c r="W41" s="925">
        <f>SUMIF('9.Инвестиционна програма'!$B$49:$B$56,$B41,'9.Инвестиционна програма'!K$49:K$56)*$E$6</f>
        <v>100</v>
      </c>
      <c r="X41" s="925">
        <f>SUMIF('9.Инвестиционна програма'!$B$49:$B$56,$B41,'9.Инвестиционна програма'!L$49:L$56)*$E$6</f>
        <v>100</v>
      </c>
      <c r="Y41" s="2865">
        <f>SUMIF('9.Инвестиционна програма'!$B$49:$B$56,$B41,'9.Инвестиционна програма'!M$49:M$56)*$E$6</f>
        <v>100</v>
      </c>
      <c r="Z41" s="1132">
        <f>'11.2. ДА за периода'!Z41</f>
        <v>0</v>
      </c>
      <c r="AA41" s="925">
        <f>SUMIF('9.Инвестиционна програма'!$B$74:$B$97,$B41,'9.Инвестиционна програма'!H$74:H$97)*$E$6</f>
        <v>0</v>
      </c>
      <c r="AB41" s="925">
        <f>SUMIF('9.Инвестиционна програма'!$B$74:$B$97,$B41,'9.Инвестиционна програма'!I$74:I$97)*$E$6</f>
        <v>0</v>
      </c>
      <c r="AC41" s="925">
        <f>SUMIF('9.Инвестиционна програма'!$B$74:$B$97,$B41,'9.Инвестиционна програма'!J$74:J$97)*$E$6</f>
        <v>0</v>
      </c>
      <c r="AD41" s="925">
        <f>SUMIF('9.Инвестиционна програма'!$B$74:$B$97,$B41,'9.Инвестиционна програма'!K$74:K$97)*$E$6</f>
        <v>0</v>
      </c>
      <c r="AE41" s="925">
        <f>SUMIF('9.Инвестиционна програма'!$B$74:$B$97,$B41,'9.Инвестиционна програма'!L$74:L$97)*$E$6</f>
        <v>0</v>
      </c>
      <c r="AF41" s="925">
        <f>SUMIF('9.Инвестиционна програма'!$B$74:$B$97,$B41,'9.Инвестиционна програма'!M$74:M$97)*$E$6</f>
        <v>0</v>
      </c>
      <c r="AG41" s="1132">
        <f>'11.2. ДА за периода'!AG41</f>
        <v>0</v>
      </c>
      <c r="AH41" s="925">
        <f>SUMIF('9.Инвестиционна програма'!$B$100:$B$123,$B41,'9.Инвестиционна програма'!H$100:H$123)*$E$6</f>
        <v>0</v>
      </c>
      <c r="AI41" s="925">
        <f>SUMIF('9.Инвестиционна програма'!$B$100:$B$123,$B41,'9.Инвестиционна програма'!I$100:I$123)*$E$6</f>
        <v>0</v>
      </c>
      <c r="AJ41" s="925">
        <f>SUMIF('9.Инвестиционна програма'!$B$100:$B$123,$B41,'9.Инвестиционна програма'!J$100:J$123)*$E$6</f>
        <v>0</v>
      </c>
      <c r="AK41" s="925">
        <f>SUMIF('9.Инвестиционна програма'!$B$100:$B$123,$B41,'9.Инвестиционна програма'!K$100:K$123)*$E$6</f>
        <v>0</v>
      </c>
      <c r="AL41" s="925">
        <f>SUMIF('9.Инвестиционна програма'!$B$100:$B$123,$B41,'9.Инвестиционна програма'!L$100:L$123)*$E$6</f>
        <v>0</v>
      </c>
      <c r="AM41" s="925">
        <f>SUMIF('9.Инвестиционна програма'!$B$100:$B$123,$B41,'9.Инвестиционна програма'!M$100:M$123)*$E$6</f>
        <v>0</v>
      </c>
      <c r="AN41" s="1132">
        <f>'11.2. ДА за периода'!AN41</f>
        <v>0</v>
      </c>
      <c r="AO41" s="1251">
        <f>(SUMIF('9.Инвестиционна програма'!$B$58:$B$59,$B41,'9.Инвестиционна програма'!H$58:H$59)+SUMIF('9.Инвестиционна програма'!$B$61:$B$71,$B41,'9.Инвестиционна програма'!H$61:H$71))*$E$6</f>
        <v>0</v>
      </c>
      <c r="AP41" s="925">
        <f>(SUMIF('9.Инвестиционна програма'!$B$58:$B$59,$B41,'9.Инвестиционна програма'!I$58:I$59)+SUMIF('9.Инвестиционна програма'!$B$61:$B$71,$B41,'9.Инвестиционна програма'!I$61:I$71))*$E$6</f>
        <v>0</v>
      </c>
      <c r="AQ41" s="925">
        <f>(SUMIF('9.Инвестиционна програма'!$B$58:$B$59,$B41,'9.Инвестиционна програма'!J$58:J$59)+SUMIF('9.Инвестиционна програма'!$B$61:$B$71,$B41,'9.Инвестиционна програма'!J$61:J$71))*$E$6</f>
        <v>0</v>
      </c>
      <c r="AR41" s="925">
        <f>(SUMIF('9.Инвестиционна програма'!$B$58:$B$59,$B41,'9.Инвестиционна програма'!K$58:K$59)+SUMIF('9.Инвестиционна програма'!$B$61:$B$71,$B41,'9.Инвестиционна програма'!K$61:K$71))*$E$6</f>
        <v>0</v>
      </c>
      <c r="AS41" s="925">
        <f>(SUMIF('9.Инвестиционна програма'!$B$58:$B$59,$B41,'9.Инвестиционна програма'!L$58:L$59)+SUMIF('9.Инвестиционна програма'!$B$61:$B$71,$B41,'9.Инвестиционна програма'!L$61:L$71))*$E$6</f>
        <v>0</v>
      </c>
      <c r="AT41" s="2865">
        <f>(SUMIF('9.Инвестиционна програма'!$B$58:$B$59,$B41,'9.Инвестиционна програма'!M$58:M$59)+SUMIF('9.Инвестиционна програма'!$B$61:$B$71,$B41,'9.Инвестиционна програма'!M$61:M$71))*$E$6</f>
        <v>0</v>
      </c>
      <c r="AU41" s="4775"/>
      <c r="AV41" s="4794">
        <f t="shared" si="47"/>
        <v>133.44718099221302</v>
      </c>
      <c r="AW41" s="4794">
        <f t="shared" si="48"/>
        <v>107.37129505120589</v>
      </c>
      <c r="AX41" s="4794">
        <f t="shared" si="49"/>
        <v>66.46794455550841</v>
      </c>
      <c r="AY41" s="4794">
        <f t="shared" si="50"/>
        <v>51.129188119621851</v>
      </c>
      <c r="AZ41" s="4794">
        <f t="shared" si="51"/>
        <v>51.129188119621851</v>
      </c>
      <c r="BA41" s="4794">
        <f t="shared" si="52"/>
        <v>51.129188119621851</v>
      </c>
      <c r="BB41" s="4794">
        <f t="shared" si="53"/>
        <v>51.129188119621851</v>
      </c>
      <c r="BC41" s="4794">
        <f t="shared" si="54"/>
        <v>0</v>
      </c>
      <c r="BD41" s="4794">
        <f t="shared" si="55"/>
        <v>0</v>
      </c>
      <c r="BE41" s="4794">
        <f t="shared" si="56"/>
        <v>0</v>
      </c>
      <c r="BF41" s="4794">
        <f t="shared" si="57"/>
        <v>0</v>
      </c>
      <c r="BG41" s="4794">
        <f t="shared" si="58"/>
        <v>0</v>
      </c>
      <c r="BH41" s="4794">
        <f t="shared" si="59"/>
        <v>0</v>
      </c>
      <c r="BI41" s="4794">
        <f t="shared" si="60"/>
        <v>0</v>
      </c>
      <c r="BJ41" s="4794">
        <f t="shared" si="61"/>
        <v>47.550144951248321</v>
      </c>
      <c r="BK41" s="4794">
        <f t="shared" si="62"/>
        <v>51.129188119621851</v>
      </c>
      <c r="BL41" s="4794">
        <f t="shared" si="63"/>
        <v>51.129188119621851</v>
      </c>
      <c r="BM41" s="4794">
        <f t="shared" si="64"/>
        <v>51.129188119621851</v>
      </c>
      <c r="BN41" s="4794">
        <f t="shared" si="65"/>
        <v>51.129188119621851</v>
      </c>
      <c r="BO41" s="4794">
        <f t="shared" si="66"/>
        <v>51.129188119621851</v>
      </c>
      <c r="BP41" s="4794">
        <f t="shared" si="67"/>
        <v>51.129188119621851</v>
      </c>
      <c r="BQ41" s="4794">
        <f t="shared" si="68"/>
        <v>0</v>
      </c>
      <c r="BR41" s="4794">
        <f t="shared" si="69"/>
        <v>0</v>
      </c>
      <c r="BS41" s="4794">
        <f t="shared" si="70"/>
        <v>0</v>
      </c>
      <c r="BT41" s="4794">
        <f t="shared" si="71"/>
        <v>0</v>
      </c>
      <c r="BU41" s="4794">
        <f t="shared" si="72"/>
        <v>0</v>
      </c>
      <c r="BV41" s="4794">
        <f t="shared" si="73"/>
        <v>0</v>
      </c>
      <c r="BW41" s="4794">
        <f t="shared" si="74"/>
        <v>0</v>
      </c>
      <c r="BX41" s="4794">
        <f t="shared" si="75"/>
        <v>0</v>
      </c>
      <c r="BY41" s="4794">
        <f t="shared" si="76"/>
        <v>0</v>
      </c>
      <c r="BZ41" s="4794">
        <f t="shared" si="77"/>
        <v>0</v>
      </c>
      <c r="CA41" s="4794">
        <f t="shared" si="78"/>
        <v>0</v>
      </c>
      <c r="CB41" s="4794">
        <f t="shared" si="79"/>
        <v>0</v>
      </c>
      <c r="CC41" s="4794">
        <f t="shared" si="80"/>
        <v>0</v>
      </c>
      <c r="CD41" s="4794">
        <f t="shared" si="81"/>
        <v>0</v>
      </c>
      <c r="CE41" s="4794">
        <f t="shared" si="82"/>
        <v>0</v>
      </c>
      <c r="CF41" s="4794">
        <f t="shared" si="83"/>
        <v>0</v>
      </c>
      <c r="CG41" s="4794">
        <f t="shared" si="84"/>
        <v>0</v>
      </c>
      <c r="CH41" s="4794">
        <f t="shared" si="85"/>
        <v>0</v>
      </c>
      <c r="CI41" s="4794">
        <f t="shared" si="86"/>
        <v>0</v>
      </c>
      <c r="CJ41" s="4794">
        <f t="shared" si="87"/>
        <v>0</v>
      </c>
      <c r="CK41" s="4794">
        <f t="shared" si="88"/>
        <v>0</v>
      </c>
    </row>
    <row r="42" spans="1:89">
      <c r="A42" s="2876"/>
      <c r="B42" s="3818">
        <v>2040208</v>
      </c>
      <c r="C42" s="3801">
        <v>0.04</v>
      </c>
      <c r="D42" s="2886" t="s">
        <v>423</v>
      </c>
      <c r="E42" s="2864">
        <f>'11.2. ДА за периода'!E42</f>
        <v>0</v>
      </c>
      <c r="F42" s="1247">
        <f>SUMIF('9.Инвестиционна програма'!$B$12:$B$35,$B42,'9.Инвестиционна програма'!H$12:H$35)*$E$6</f>
        <v>0</v>
      </c>
      <c r="G42" s="1243">
        <f>SUMIF('9.Инвестиционна програма'!$B$12:$B$35,$B42,'9.Инвестиционна програма'!I$12:I$35)*$E$6</f>
        <v>0</v>
      </c>
      <c r="H42" s="1243">
        <f>SUMIF('9.Инвестиционна програма'!$B$12:$B$35,$B42,'9.Инвестиционна програма'!J$12:J$35)*$E$6</f>
        <v>0</v>
      </c>
      <c r="I42" s="1243">
        <f>SUMIF('9.Инвестиционна програма'!$B$12:$B$35,$B42,'9.Инвестиционна програма'!K$12:K$35)*$E$6</f>
        <v>0</v>
      </c>
      <c r="J42" s="1243">
        <f>SUMIF('9.Инвестиционна програма'!$B$12:$B$35,$B42,'9.Инвестиционна програма'!L$12:L$35)*$E$6</f>
        <v>0</v>
      </c>
      <c r="K42" s="1248">
        <f>SUMIF('9.Инвестиционна програма'!$B$12:$B$35,$B42,'9.Инвестиционна програма'!M$12:M$35)*$E$6</f>
        <v>0</v>
      </c>
      <c r="L42" s="2864">
        <f>'11.2. ДА за периода'!L42</f>
        <v>0</v>
      </c>
      <c r="M42" s="1251">
        <f>SUMIF('9.Инвестиционна програма'!$B$37:$B$47,$B42,'9.Инвестиционна програма'!H$37:H$47)*$E$6</f>
        <v>0</v>
      </c>
      <c r="N42" s="1245">
        <f>SUMIF('9.Инвестиционна програма'!$B$37:$B$47,$B42,'9.Инвестиционна програма'!I$37:I$47)*$E$6</f>
        <v>0</v>
      </c>
      <c r="O42" s="1245">
        <f>SUMIF('9.Инвестиционна програма'!$B$37:$B$47,$B42,'9.Инвестиционна програма'!J$37:J$47)*$E$6</f>
        <v>0</v>
      </c>
      <c r="P42" s="1245">
        <f>SUMIF('9.Инвестиционна програма'!$B$37:$B$47,$B42,'9.Инвестиционна програма'!K$37:K$47)*$E$6</f>
        <v>0</v>
      </c>
      <c r="Q42" s="1245">
        <f>SUMIF('9.Инвестиционна програма'!$B$37:$B$47,$B42,'9.Инвестиционна програма'!L$37:L$47)*$E$6</f>
        <v>0</v>
      </c>
      <c r="R42" s="1246">
        <f>SUMIF('9.Инвестиционна програма'!$B$37:$B$47,$B42,'9.Инвестиционна програма'!M$37:M$47)*$E$6</f>
        <v>0</v>
      </c>
      <c r="S42" s="1132">
        <f>'11.2. ДА за периода'!S42</f>
        <v>0</v>
      </c>
      <c r="T42" s="925">
        <f>SUMIF('9.Инвестиционна програма'!$B$49:$B$56,$B42,'9.Инвестиционна програма'!H$49:H$56)*$E$6</f>
        <v>0</v>
      </c>
      <c r="U42" s="925">
        <f>SUMIF('9.Инвестиционна програма'!$B$49:$B$56,$B42,'9.Инвестиционна програма'!I$49:I$56)*$E$6</f>
        <v>0</v>
      </c>
      <c r="V42" s="925">
        <f>SUMIF('9.Инвестиционна програма'!$B$49:$B$56,$B42,'9.Инвестиционна програма'!J$49:J$56)*$E$6</f>
        <v>0</v>
      </c>
      <c r="W42" s="925">
        <f>SUMIF('9.Инвестиционна програма'!$B$49:$B$56,$B42,'9.Инвестиционна програма'!K$49:K$56)*$E$6</f>
        <v>0</v>
      </c>
      <c r="X42" s="925">
        <f>SUMIF('9.Инвестиционна програма'!$B$49:$B$56,$B42,'9.Инвестиционна програма'!L$49:L$56)*$E$6</f>
        <v>0</v>
      </c>
      <c r="Y42" s="2865">
        <f>SUMIF('9.Инвестиционна програма'!$B$49:$B$56,$B42,'9.Инвестиционна програма'!M$49:M$56)*$E$6</f>
        <v>0</v>
      </c>
      <c r="Z42" s="1132">
        <f>'11.2. ДА за периода'!Z42</f>
        <v>0</v>
      </c>
      <c r="AA42" s="925">
        <f>SUMIF('9.Инвестиционна програма'!$B$74:$B$97,$B42,'9.Инвестиционна програма'!H$74:H$97)*$E$6</f>
        <v>0</v>
      </c>
      <c r="AB42" s="925">
        <f>SUMIF('9.Инвестиционна програма'!$B$74:$B$97,$B42,'9.Инвестиционна програма'!I$74:I$97)*$E$6</f>
        <v>0</v>
      </c>
      <c r="AC42" s="925">
        <f>SUMIF('9.Инвестиционна програма'!$B$74:$B$97,$B42,'9.Инвестиционна програма'!J$74:J$97)*$E$6</f>
        <v>0</v>
      </c>
      <c r="AD42" s="925">
        <f>SUMIF('9.Инвестиционна програма'!$B$74:$B$97,$B42,'9.Инвестиционна програма'!K$74:K$97)*$E$6</f>
        <v>0</v>
      </c>
      <c r="AE42" s="925">
        <f>SUMIF('9.Инвестиционна програма'!$B$74:$B$97,$B42,'9.Инвестиционна програма'!L$74:L$97)*$E$6</f>
        <v>0</v>
      </c>
      <c r="AF42" s="925">
        <f>SUMIF('9.Инвестиционна програма'!$B$74:$B$97,$B42,'9.Инвестиционна програма'!M$74:M$97)*$E$6</f>
        <v>0</v>
      </c>
      <c r="AG42" s="1132">
        <f>'11.2. ДА за периода'!AG42</f>
        <v>0</v>
      </c>
      <c r="AH42" s="925">
        <f>SUMIF('9.Инвестиционна програма'!$B$100:$B$123,$B42,'9.Инвестиционна програма'!H$100:H$123)*$E$6</f>
        <v>0</v>
      </c>
      <c r="AI42" s="925">
        <f>SUMIF('9.Инвестиционна програма'!$B$100:$B$123,$B42,'9.Инвестиционна програма'!I$100:I$123)*$E$6</f>
        <v>0</v>
      </c>
      <c r="AJ42" s="925">
        <f>SUMIF('9.Инвестиционна програма'!$B$100:$B$123,$B42,'9.Инвестиционна програма'!J$100:J$123)*$E$6</f>
        <v>0</v>
      </c>
      <c r="AK42" s="925">
        <f>SUMIF('9.Инвестиционна програма'!$B$100:$B$123,$B42,'9.Инвестиционна програма'!K$100:K$123)*$E$6</f>
        <v>0</v>
      </c>
      <c r="AL42" s="925">
        <f>SUMIF('9.Инвестиционна програма'!$B$100:$B$123,$B42,'9.Инвестиционна програма'!L$100:L$123)*$E$6</f>
        <v>0</v>
      </c>
      <c r="AM42" s="925">
        <f>SUMIF('9.Инвестиционна програма'!$B$100:$B$123,$B42,'9.Инвестиционна програма'!M$100:M$123)*$E$6</f>
        <v>0</v>
      </c>
      <c r="AN42" s="1132">
        <f>'11.2. ДА за периода'!AN42</f>
        <v>0</v>
      </c>
      <c r="AO42" s="1251">
        <f>(SUMIF('9.Инвестиционна програма'!$B$58:$B$59,$B42,'9.Инвестиционна програма'!H$58:H$59)+SUMIF('9.Инвестиционна програма'!$B$61:$B$71,$B42,'9.Инвестиционна програма'!H$61:H$71))*$E$6</f>
        <v>0</v>
      </c>
      <c r="AP42" s="925">
        <f>(SUMIF('9.Инвестиционна програма'!$B$58:$B$59,$B42,'9.Инвестиционна програма'!I$58:I$59)+SUMIF('9.Инвестиционна програма'!$B$61:$B$71,$B42,'9.Инвестиционна програма'!I$61:I$71))*$E$6</f>
        <v>0</v>
      </c>
      <c r="AQ42" s="925">
        <f>(SUMIF('9.Инвестиционна програма'!$B$58:$B$59,$B42,'9.Инвестиционна програма'!J$58:J$59)+SUMIF('9.Инвестиционна програма'!$B$61:$B$71,$B42,'9.Инвестиционна програма'!J$61:J$71))*$E$6</f>
        <v>0</v>
      </c>
      <c r="AR42" s="925">
        <f>(SUMIF('9.Инвестиционна програма'!$B$58:$B$59,$B42,'9.Инвестиционна програма'!K$58:K$59)+SUMIF('9.Инвестиционна програма'!$B$61:$B$71,$B42,'9.Инвестиционна програма'!K$61:K$71))*$E$6</f>
        <v>0</v>
      </c>
      <c r="AS42" s="925">
        <f>(SUMIF('9.Инвестиционна програма'!$B$58:$B$59,$B42,'9.Инвестиционна програма'!L$58:L$59)+SUMIF('9.Инвестиционна програма'!$B$61:$B$71,$B42,'9.Инвестиционна програма'!L$61:L$71))*$E$6</f>
        <v>0</v>
      </c>
      <c r="AT42" s="2865">
        <f>(SUMIF('9.Инвестиционна програма'!$B$58:$B$59,$B42,'9.Инвестиционна програма'!M$58:M$59)+SUMIF('9.Инвестиционна програма'!$B$61:$B$71,$B42,'9.Инвестиционна програма'!M$61:M$71))*$E$6</f>
        <v>0</v>
      </c>
      <c r="AU42" s="4775"/>
      <c r="AV42" s="4794">
        <f t="shared" si="47"/>
        <v>0</v>
      </c>
      <c r="AW42" s="4794">
        <f t="shared" si="48"/>
        <v>0</v>
      </c>
      <c r="AX42" s="4794">
        <f t="shared" si="49"/>
        <v>0</v>
      </c>
      <c r="AY42" s="4794">
        <f t="shared" si="50"/>
        <v>0</v>
      </c>
      <c r="AZ42" s="4794">
        <f t="shared" si="51"/>
        <v>0</v>
      </c>
      <c r="BA42" s="4794">
        <f t="shared" si="52"/>
        <v>0</v>
      </c>
      <c r="BB42" s="4794">
        <f t="shared" si="53"/>
        <v>0</v>
      </c>
      <c r="BC42" s="4794">
        <f t="shared" si="54"/>
        <v>0</v>
      </c>
      <c r="BD42" s="4794">
        <f t="shared" si="55"/>
        <v>0</v>
      </c>
      <c r="BE42" s="4794">
        <f t="shared" si="56"/>
        <v>0</v>
      </c>
      <c r="BF42" s="4794">
        <f t="shared" si="57"/>
        <v>0</v>
      </c>
      <c r="BG42" s="4794">
        <f t="shared" si="58"/>
        <v>0</v>
      </c>
      <c r="BH42" s="4794">
        <f t="shared" si="59"/>
        <v>0</v>
      </c>
      <c r="BI42" s="4794">
        <f t="shared" si="60"/>
        <v>0</v>
      </c>
      <c r="BJ42" s="4794">
        <f t="shared" si="61"/>
        <v>0</v>
      </c>
      <c r="BK42" s="4794">
        <f t="shared" si="62"/>
        <v>0</v>
      </c>
      <c r="BL42" s="4794">
        <f t="shared" si="63"/>
        <v>0</v>
      </c>
      <c r="BM42" s="4794">
        <f t="shared" si="64"/>
        <v>0</v>
      </c>
      <c r="BN42" s="4794">
        <f t="shared" si="65"/>
        <v>0</v>
      </c>
      <c r="BO42" s="4794">
        <f t="shared" si="66"/>
        <v>0</v>
      </c>
      <c r="BP42" s="4794">
        <f t="shared" si="67"/>
        <v>0</v>
      </c>
      <c r="BQ42" s="4794">
        <f t="shared" si="68"/>
        <v>0</v>
      </c>
      <c r="BR42" s="4794">
        <f t="shared" si="69"/>
        <v>0</v>
      </c>
      <c r="BS42" s="4794">
        <f t="shared" si="70"/>
        <v>0</v>
      </c>
      <c r="BT42" s="4794">
        <f t="shared" si="71"/>
        <v>0</v>
      </c>
      <c r="BU42" s="4794">
        <f t="shared" si="72"/>
        <v>0</v>
      </c>
      <c r="BV42" s="4794">
        <f t="shared" si="73"/>
        <v>0</v>
      </c>
      <c r="BW42" s="4794">
        <f t="shared" si="74"/>
        <v>0</v>
      </c>
      <c r="BX42" s="4794">
        <f t="shared" si="75"/>
        <v>0</v>
      </c>
      <c r="BY42" s="4794">
        <f t="shared" si="76"/>
        <v>0</v>
      </c>
      <c r="BZ42" s="4794">
        <f t="shared" si="77"/>
        <v>0</v>
      </c>
      <c r="CA42" s="4794">
        <f t="shared" si="78"/>
        <v>0</v>
      </c>
      <c r="CB42" s="4794">
        <f t="shared" si="79"/>
        <v>0</v>
      </c>
      <c r="CC42" s="4794">
        <f t="shared" si="80"/>
        <v>0</v>
      </c>
      <c r="CD42" s="4794">
        <f t="shared" si="81"/>
        <v>0</v>
      </c>
      <c r="CE42" s="4794">
        <f t="shared" si="82"/>
        <v>0</v>
      </c>
      <c r="CF42" s="4794">
        <f t="shared" si="83"/>
        <v>0</v>
      </c>
      <c r="CG42" s="4794">
        <f t="shared" si="84"/>
        <v>0</v>
      </c>
      <c r="CH42" s="4794">
        <f t="shared" si="85"/>
        <v>0</v>
      </c>
      <c r="CI42" s="4794">
        <f t="shared" si="86"/>
        <v>0</v>
      </c>
      <c r="CJ42" s="4794">
        <f t="shared" si="87"/>
        <v>0</v>
      </c>
      <c r="CK42" s="4794">
        <f t="shared" si="88"/>
        <v>0</v>
      </c>
    </row>
    <row r="43" spans="1:89">
      <c r="A43" s="2876"/>
      <c r="B43" s="3820">
        <v>20403</v>
      </c>
      <c r="C43" s="3803">
        <v>0.04</v>
      </c>
      <c r="D43" s="2889" t="s">
        <v>1050</v>
      </c>
      <c r="E43" s="2864">
        <f>'11.2. ДА за периода'!E43</f>
        <v>0</v>
      </c>
      <c r="F43" s="1247">
        <f>SUMIF('9.Инвестиционна програма'!$B$12:$B$35,$B43,'9.Инвестиционна програма'!H$12:H$35)*$E$6</f>
        <v>0</v>
      </c>
      <c r="G43" s="1243">
        <f>SUMIF('9.Инвестиционна програма'!$B$12:$B$35,$B43,'9.Инвестиционна програма'!I$12:I$35)*$E$6</f>
        <v>0</v>
      </c>
      <c r="H43" s="1243">
        <f>SUMIF('9.Инвестиционна програма'!$B$12:$B$35,$B43,'9.Инвестиционна програма'!J$12:J$35)*$E$6</f>
        <v>0</v>
      </c>
      <c r="I43" s="1243">
        <f>SUMIF('9.Инвестиционна програма'!$B$12:$B$35,$B43,'9.Инвестиционна програма'!K$12:K$35)*$E$6</f>
        <v>0</v>
      </c>
      <c r="J43" s="1243">
        <f>SUMIF('9.Инвестиционна програма'!$B$12:$B$35,$B43,'9.Инвестиционна програма'!L$12:L$35)*$E$6</f>
        <v>0</v>
      </c>
      <c r="K43" s="1248">
        <f>SUMIF('9.Инвестиционна програма'!$B$12:$B$35,$B43,'9.Инвестиционна програма'!M$12:M$35)*$E$6</f>
        <v>0</v>
      </c>
      <c r="L43" s="2864">
        <f>'11.2. ДА за периода'!L43</f>
        <v>0</v>
      </c>
      <c r="M43" s="1251">
        <f>SUMIF('9.Инвестиционна програма'!$B$37:$B$47,$B43,'9.Инвестиционна програма'!H$37:H$47)*$E$6</f>
        <v>0</v>
      </c>
      <c r="N43" s="1245">
        <f>SUMIF('9.Инвестиционна програма'!$B$37:$B$47,$B43,'9.Инвестиционна програма'!I$37:I$47)*$E$6</f>
        <v>0</v>
      </c>
      <c r="O43" s="1245">
        <f>SUMIF('9.Инвестиционна програма'!$B$37:$B$47,$B43,'9.Инвестиционна програма'!J$37:J$47)*$E$6</f>
        <v>0</v>
      </c>
      <c r="P43" s="1245">
        <f>SUMIF('9.Инвестиционна програма'!$B$37:$B$47,$B43,'9.Инвестиционна програма'!K$37:K$47)*$E$6</f>
        <v>0</v>
      </c>
      <c r="Q43" s="1245">
        <f>SUMIF('9.Инвестиционна програма'!$B$37:$B$47,$B43,'9.Инвестиционна програма'!L$37:L$47)*$E$6</f>
        <v>0</v>
      </c>
      <c r="R43" s="1246">
        <f>SUMIF('9.Инвестиционна програма'!$B$37:$B$47,$B43,'9.Инвестиционна програма'!M$37:M$47)*$E$6</f>
        <v>0</v>
      </c>
      <c r="S43" s="1132">
        <f>'11.2. ДА за периода'!S43</f>
        <v>0</v>
      </c>
      <c r="T43" s="925">
        <f>SUMIF('9.Инвестиционна програма'!$B$49:$B$56,$B43,'9.Инвестиционна програма'!H$49:H$56)*$E$6</f>
        <v>0</v>
      </c>
      <c r="U43" s="925">
        <f>SUMIF('9.Инвестиционна програма'!$B$49:$B$56,$B43,'9.Инвестиционна програма'!I$49:I$56)*$E$6</f>
        <v>0</v>
      </c>
      <c r="V43" s="925">
        <f>SUMIF('9.Инвестиционна програма'!$B$49:$B$56,$B43,'9.Инвестиционна програма'!J$49:J$56)*$E$6</f>
        <v>0</v>
      </c>
      <c r="W43" s="925">
        <f>SUMIF('9.Инвестиционна програма'!$B$49:$B$56,$B43,'9.Инвестиционна програма'!K$49:K$56)*$E$6</f>
        <v>0</v>
      </c>
      <c r="X43" s="925">
        <f>SUMIF('9.Инвестиционна програма'!$B$49:$B$56,$B43,'9.Инвестиционна програма'!L$49:L$56)*$E$6</f>
        <v>0</v>
      </c>
      <c r="Y43" s="2865">
        <f>SUMIF('9.Инвестиционна програма'!$B$49:$B$56,$B43,'9.Инвестиционна програма'!M$49:M$56)*$E$6</f>
        <v>0</v>
      </c>
      <c r="Z43" s="1132">
        <f>'11.2. ДА за периода'!Z43</f>
        <v>0</v>
      </c>
      <c r="AA43" s="925">
        <f>SUMIF('9.Инвестиционна програма'!$B$74:$B$97,$B43,'9.Инвестиционна програма'!H$74:H$97)*$E$6</f>
        <v>0</v>
      </c>
      <c r="AB43" s="925">
        <f>SUMIF('9.Инвестиционна програма'!$B$74:$B$97,$B43,'9.Инвестиционна програма'!I$74:I$97)*$E$6</f>
        <v>0</v>
      </c>
      <c r="AC43" s="925">
        <f>SUMIF('9.Инвестиционна програма'!$B$74:$B$97,$B43,'9.Инвестиционна програма'!J$74:J$97)*$E$6</f>
        <v>0</v>
      </c>
      <c r="AD43" s="925">
        <f>SUMIF('9.Инвестиционна програма'!$B$74:$B$97,$B43,'9.Инвестиционна програма'!K$74:K$97)*$E$6</f>
        <v>0</v>
      </c>
      <c r="AE43" s="925">
        <f>SUMIF('9.Инвестиционна програма'!$B$74:$B$97,$B43,'9.Инвестиционна програма'!L$74:L$97)*$E$6</f>
        <v>0</v>
      </c>
      <c r="AF43" s="925">
        <f>SUMIF('9.Инвестиционна програма'!$B$74:$B$97,$B43,'9.Инвестиционна програма'!M$74:M$97)*$E$6</f>
        <v>0</v>
      </c>
      <c r="AG43" s="1132">
        <f>'11.2. ДА за периода'!AG43</f>
        <v>0</v>
      </c>
      <c r="AH43" s="925">
        <f>SUMIF('9.Инвестиционна програма'!$B$100:$B$123,$B43,'9.Инвестиционна програма'!H$100:H$123)*$E$6</f>
        <v>0</v>
      </c>
      <c r="AI43" s="925">
        <f>SUMIF('9.Инвестиционна програма'!$B$100:$B$123,$B43,'9.Инвестиционна програма'!I$100:I$123)*$E$6</f>
        <v>0</v>
      </c>
      <c r="AJ43" s="925">
        <f>SUMIF('9.Инвестиционна програма'!$B$100:$B$123,$B43,'9.Инвестиционна програма'!J$100:J$123)*$E$6</f>
        <v>0</v>
      </c>
      <c r="AK43" s="925">
        <f>SUMIF('9.Инвестиционна програма'!$B$100:$B$123,$B43,'9.Инвестиционна програма'!K$100:K$123)*$E$6</f>
        <v>0</v>
      </c>
      <c r="AL43" s="925">
        <f>SUMIF('9.Инвестиционна програма'!$B$100:$B$123,$B43,'9.Инвестиционна програма'!L$100:L$123)*$E$6</f>
        <v>0</v>
      </c>
      <c r="AM43" s="925">
        <f>SUMIF('9.Инвестиционна програма'!$B$100:$B$123,$B43,'9.Инвестиционна програма'!M$100:M$123)*$E$6</f>
        <v>0</v>
      </c>
      <c r="AN43" s="1132">
        <f>'11.2. ДА за периода'!AN43</f>
        <v>0</v>
      </c>
      <c r="AO43" s="1251">
        <f>(SUMIF('9.Инвестиционна програма'!$B$58:$B$59,$B43,'9.Инвестиционна програма'!H$58:H$59)+SUMIF('9.Инвестиционна програма'!$B$61:$B$71,$B43,'9.Инвестиционна програма'!H$61:H$71))*$E$6</f>
        <v>0</v>
      </c>
      <c r="AP43" s="925">
        <f>(SUMIF('9.Инвестиционна програма'!$B$58:$B$59,$B43,'9.Инвестиционна програма'!I$58:I$59)+SUMIF('9.Инвестиционна програма'!$B$61:$B$71,$B43,'9.Инвестиционна програма'!I$61:I$71))*$E$6</f>
        <v>0</v>
      </c>
      <c r="AQ43" s="925">
        <f>(SUMIF('9.Инвестиционна програма'!$B$58:$B$59,$B43,'9.Инвестиционна програма'!J$58:J$59)+SUMIF('9.Инвестиционна програма'!$B$61:$B$71,$B43,'9.Инвестиционна програма'!J$61:J$71))*$E$6</f>
        <v>0</v>
      </c>
      <c r="AR43" s="925">
        <f>(SUMIF('9.Инвестиционна програма'!$B$58:$B$59,$B43,'9.Инвестиционна програма'!K$58:K$59)+SUMIF('9.Инвестиционна програма'!$B$61:$B$71,$B43,'9.Инвестиционна програма'!K$61:K$71))*$E$6</f>
        <v>0</v>
      </c>
      <c r="AS43" s="925">
        <f>(SUMIF('9.Инвестиционна програма'!$B$58:$B$59,$B43,'9.Инвестиционна програма'!L$58:L$59)+SUMIF('9.Инвестиционна програма'!$B$61:$B$71,$B43,'9.Инвестиционна програма'!L$61:L$71))*$E$6</f>
        <v>0</v>
      </c>
      <c r="AT43" s="2865">
        <f>(SUMIF('9.Инвестиционна програма'!$B$58:$B$59,$B43,'9.Инвестиционна програма'!M$58:M$59)+SUMIF('9.Инвестиционна програма'!$B$61:$B$71,$B43,'9.Инвестиционна програма'!M$61:M$71))*$E$6</f>
        <v>0</v>
      </c>
      <c r="AU43" s="4775"/>
      <c r="AV43" s="4794">
        <f t="shared" si="47"/>
        <v>0</v>
      </c>
      <c r="AW43" s="4794">
        <f t="shared" si="48"/>
        <v>0</v>
      </c>
      <c r="AX43" s="4794">
        <f t="shared" si="49"/>
        <v>0</v>
      </c>
      <c r="AY43" s="4794">
        <f t="shared" si="50"/>
        <v>0</v>
      </c>
      <c r="AZ43" s="4794">
        <f t="shared" si="51"/>
        <v>0</v>
      </c>
      <c r="BA43" s="4794">
        <f t="shared" si="52"/>
        <v>0</v>
      </c>
      <c r="BB43" s="4794">
        <f t="shared" si="53"/>
        <v>0</v>
      </c>
      <c r="BC43" s="4794">
        <f t="shared" si="54"/>
        <v>0</v>
      </c>
      <c r="BD43" s="4794">
        <f t="shared" si="55"/>
        <v>0</v>
      </c>
      <c r="BE43" s="4794">
        <f t="shared" si="56"/>
        <v>0</v>
      </c>
      <c r="BF43" s="4794">
        <f t="shared" si="57"/>
        <v>0</v>
      </c>
      <c r="BG43" s="4794">
        <f t="shared" si="58"/>
        <v>0</v>
      </c>
      <c r="BH43" s="4794">
        <f t="shared" si="59"/>
        <v>0</v>
      </c>
      <c r="BI43" s="4794">
        <f t="shared" si="60"/>
        <v>0</v>
      </c>
      <c r="BJ43" s="4794">
        <f t="shared" si="61"/>
        <v>0</v>
      </c>
      <c r="BK43" s="4794">
        <f t="shared" si="62"/>
        <v>0</v>
      </c>
      <c r="BL43" s="4794">
        <f t="shared" si="63"/>
        <v>0</v>
      </c>
      <c r="BM43" s="4794">
        <f t="shared" si="64"/>
        <v>0</v>
      </c>
      <c r="BN43" s="4794">
        <f t="shared" si="65"/>
        <v>0</v>
      </c>
      <c r="BO43" s="4794">
        <f t="shared" si="66"/>
        <v>0</v>
      </c>
      <c r="BP43" s="4794">
        <f t="shared" si="67"/>
        <v>0</v>
      </c>
      <c r="BQ43" s="4794">
        <f t="shared" si="68"/>
        <v>0</v>
      </c>
      <c r="BR43" s="4794">
        <f t="shared" si="69"/>
        <v>0</v>
      </c>
      <c r="BS43" s="4794">
        <f t="shared" si="70"/>
        <v>0</v>
      </c>
      <c r="BT43" s="4794">
        <f t="shared" si="71"/>
        <v>0</v>
      </c>
      <c r="BU43" s="4794">
        <f t="shared" si="72"/>
        <v>0</v>
      </c>
      <c r="BV43" s="4794">
        <f t="shared" si="73"/>
        <v>0</v>
      </c>
      <c r="BW43" s="4794">
        <f t="shared" si="74"/>
        <v>0</v>
      </c>
      <c r="BX43" s="4794">
        <f t="shared" si="75"/>
        <v>0</v>
      </c>
      <c r="BY43" s="4794">
        <f t="shared" si="76"/>
        <v>0</v>
      </c>
      <c r="BZ43" s="4794">
        <f t="shared" si="77"/>
        <v>0</v>
      </c>
      <c r="CA43" s="4794">
        <f t="shared" si="78"/>
        <v>0</v>
      </c>
      <c r="CB43" s="4794">
        <f t="shared" si="79"/>
        <v>0</v>
      </c>
      <c r="CC43" s="4794">
        <f t="shared" si="80"/>
        <v>0</v>
      </c>
      <c r="CD43" s="4794">
        <f t="shared" si="81"/>
        <v>0</v>
      </c>
      <c r="CE43" s="4794">
        <f t="shared" si="82"/>
        <v>0</v>
      </c>
      <c r="CF43" s="4794">
        <f t="shared" si="83"/>
        <v>0</v>
      </c>
      <c r="CG43" s="4794">
        <f t="shared" si="84"/>
        <v>0</v>
      </c>
      <c r="CH43" s="4794">
        <f t="shared" si="85"/>
        <v>0</v>
      </c>
      <c r="CI43" s="4794">
        <f t="shared" si="86"/>
        <v>0</v>
      </c>
      <c r="CJ43" s="4794">
        <f t="shared" si="87"/>
        <v>0</v>
      </c>
      <c r="CK43" s="4794">
        <f t="shared" si="88"/>
        <v>0</v>
      </c>
    </row>
    <row r="44" spans="1:89" ht="25.5">
      <c r="A44" s="2876"/>
      <c r="B44" s="3820" t="s">
        <v>1051</v>
      </c>
      <c r="C44" s="3803">
        <v>0.04</v>
      </c>
      <c r="D44" s="2889" t="s">
        <v>1052</v>
      </c>
      <c r="E44" s="2864">
        <f>'11.2. ДА за периода'!E44</f>
        <v>0</v>
      </c>
      <c r="F44" s="1247">
        <f>SUMIF('9.Инвестиционна програма'!$B$12:$B$35,$B44,'9.Инвестиционна програма'!H$12:H$35)*$E$6</f>
        <v>0</v>
      </c>
      <c r="G44" s="1243">
        <f>SUMIF('9.Инвестиционна програма'!$B$12:$B$35,$B44,'9.Инвестиционна програма'!I$12:I$35)*$E$6</f>
        <v>0</v>
      </c>
      <c r="H44" s="1243">
        <f>SUMIF('9.Инвестиционна програма'!$B$12:$B$35,$B44,'9.Инвестиционна програма'!J$12:J$35)*$E$6</f>
        <v>0</v>
      </c>
      <c r="I44" s="1243">
        <f>SUMIF('9.Инвестиционна програма'!$B$12:$B$35,$B44,'9.Инвестиционна програма'!K$12:K$35)*$E$6</f>
        <v>0</v>
      </c>
      <c r="J44" s="1243">
        <f>SUMIF('9.Инвестиционна програма'!$B$12:$B$35,$B44,'9.Инвестиционна програма'!L$12:L$35)*$E$6</f>
        <v>0</v>
      </c>
      <c r="K44" s="1248">
        <f>SUMIF('9.Инвестиционна програма'!$B$12:$B$35,$B44,'9.Инвестиционна програма'!M$12:M$35)*$E$6</f>
        <v>0</v>
      </c>
      <c r="L44" s="2864">
        <f>'11.2. ДА за периода'!L44</f>
        <v>0</v>
      </c>
      <c r="M44" s="1251">
        <f>SUMIF('9.Инвестиционна програма'!$B$37:$B$47,$B44,'9.Инвестиционна програма'!H$37:H$47)*$E$6</f>
        <v>0</v>
      </c>
      <c r="N44" s="1245">
        <f>SUMIF('9.Инвестиционна програма'!$B$37:$B$47,$B44,'9.Инвестиционна програма'!I$37:I$47)*$E$6</f>
        <v>0</v>
      </c>
      <c r="O44" s="1245">
        <f>SUMIF('9.Инвестиционна програма'!$B$37:$B$47,$B44,'9.Инвестиционна програма'!J$37:J$47)*$E$6</f>
        <v>0</v>
      </c>
      <c r="P44" s="1245">
        <f>SUMIF('9.Инвестиционна програма'!$B$37:$B$47,$B44,'9.Инвестиционна програма'!K$37:K$47)*$E$6</f>
        <v>0</v>
      </c>
      <c r="Q44" s="1245">
        <f>SUMIF('9.Инвестиционна програма'!$B$37:$B$47,$B44,'9.Инвестиционна програма'!L$37:L$47)*$E$6</f>
        <v>0</v>
      </c>
      <c r="R44" s="1246">
        <f>SUMIF('9.Инвестиционна програма'!$B$37:$B$47,$B44,'9.Инвестиционна програма'!M$37:M$47)*$E$6</f>
        <v>0</v>
      </c>
      <c r="S44" s="1132">
        <f>'11.2. ДА за периода'!S44</f>
        <v>0</v>
      </c>
      <c r="T44" s="925">
        <f>SUMIF('9.Инвестиционна програма'!$B$49:$B$56,$B44,'9.Инвестиционна програма'!H$49:H$56)*$E$6</f>
        <v>0</v>
      </c>
      <c r="U44" s="925">
        <f>SUMIF('9.Инвестиционна програма'!$B$49:$B$56,$B44,'9.Инвестиционна програма'!I$49:I$56)*$E$6</f>
        <v>0</v>
      </c>
      <c r="V44" s="925">
        <f>SUMIF('9.Инвестиционна програма'!$B$49:$B$56,$B44,'9.Инвестиционна програма'!J$49:J$56)*$E$6</f>
        <v>0</v>
      </c>
      <c r="W44" s="925">
        <f>SUMIF('9.Инвестиционна програма'!$B$49:$B$56,$B44,'9.Инвестиционна програма'!K$49:K$56)*$E$6</f>
        <v>0</v>
      </c>
      <c r="X44" s="925">
        <f>SUMIF('9.Инвестиционна програма'!$B$49:$B$56,$B44,'9.Инвестиционна програма'!L$49:L$56)*$E$6</f>
        <v>0</v>
      </c>
      <c r="Y44" s="2865">
        <f>SUMIF('9.Инвестиционна програма'!$B$49:$B$56,$B44,'9.Инвестиционна програма'!M$49:M$56)*$E$6</f>
        <v>0</v>
      </c>
      <c r="Z44" s="1132">
        <f>'11.2. ДА за периода'!Z44</f>
        <v>0</v>
      </c>
      <c r="AA44" s="925">
        <f>SUMIF('9.Инвестиционна програма'!$B$74:$B$97,$B44,'9.Инвестиционна програма'!H$74:H$97)*$E$6</f>
        <v>0</v>
      </c>
      <c r="AB44" s="925">
        <f>SUMIF('9.Инвестиционна програма'!$B$74:$B$97,$B44,'9.Инвестиционна програма'!I$74:I$97)*$E$6</f>
        <v>0</v>
      </c>
      <c r="AC44" s="925">
        <f>SUMIF('9.Инвестиционна програма'!$B$74:$B$97,$B44,'9.Инвестиционна програма'!J$74:J$97)*$E$6</f>
        <v>0</v>
      </c>
      <c r="AD44" s="925">
        <f>SUMIF('9.Инвестиционна програма'!$B$74:$B$97,$B44,'9.Инвестиционна програма'!K$74:K$97)*$E$6</f>
        <v>0</v>
      </c>
      <c r="AE44" s="925">
        <f>SUMIF('9.Инвестиционна програма'!$B$74:$B$97,$B44,'9.Инвестиционна програма'!L$74:L$97)*$E$6</f>
        <v>0</v>
      </c>
      <c r="AF44" s="925">
        <f>SUMIF('9.Инвестиционна програма'!$B$74:$B$97,$B44,'9.Инвестиционна програма'!M$74:M$97)*$E$6</f>
        <v>0</v>
      </c>
      <c r="AG44" s="1132">
        <f>'11.2. ДА за периода'!AG44</f>
        <v>0</v>
      </c>
      <c r="AH44" s="925">
        <f>SUMIF('9.Инвестиционна програма'!$B$100:$B$123,$B44,'9.Инвестиционна програма'!H$100:H$123)*$E$6</f>
        <v>0</v>
      </c>
      <c r="AI44" s="925">
        <f>SUMIF('9.Инвестиционна програма'!$B$100:$B$123,$B44,'9.Инвестиционна програма'!I$100:I$123)*$E$6</f>
        <v>0</v>
      </c>
      <c r="AJ44" s="925">
        <f>SUMIF('9.Инвестиционна програма'!$B$100:$B$123,$B44,'9.Инвестиционна програма'!J$100:J$123)*$E$6</f>
        <v>0</v>
      </c>
      <c r="AK44" s="925">
        <f>SUMIF('9.Инвестиционна програма'!$B$100:$B$123,$B44,'9.Инвестиционна програма'!K$100:K$123)*$E$6</f>
        <v>0</v>
      </c>
      <c r="AL44" s="925">
        <f>SUMIF('9.Инвестиционна програма'!$B$100:$B$123,$B44,'9.Инвестиционна програма'!L$100:L$123)*$E$6</f>
        <v>0</v>
      </c>
      <c r="AM44" s="925">
        <f>SUMIF('9.Инвестиционна програма'!$B$100:$B$123,$B44,'9.Инвестиционна програма'!M$100:M$123)*$E$6</f>
        <v>0</v>
      </c>
      <c r="AN44" s="1132">
        <f>'11.2. ДА за периода'!AN44</f>
        <v>0</v>
      </c>
      <c r="AO44" s="1251">
        <f>(SUMIF('9.Инвестиционна програма'!$B$58:$B$59,$B44,'9.Инвестиционна програма'!H$58:H$59)+SUMIF('9.Инвестиционна програма'!$B$61:$B$71,$B44,'9.Инвестиционна програма'!H$61:H$71))*$E$6</f>
        <v>0</v>
      </c>
      <c r="AP44" s="925">
        <f>(SUMIF('9.Инвестиционна програма'!$B$58:$B$59,$B44,'9.Инвестиционна програма'!I$58:I$59)+SUMIF('9.Инвестиционна програма'!$B$61:$B$71,$B44,'9.Инвестиционна програма'!I$61:I$71))*$E$6</f>
        <v>0</v>
      </c>
      <c r="AQ44" s="925">
        <f>(SUMIF('9.Инвестиционна програма'!$B$58:$B$59,$B44,'9.Инвестиционна програма'!J$58:J$59)+SUMIF('9.Инвестиционна програма'!$B$61:$B$71,$B44,'9.Инвестиционна програма'!J$61:J$71))*$E$6</f>
        <v>0</v>
      </c>
      <c r="AR44" s="925">
        <f>(SUMIF('9.Инвестиционна програма'!$B$58:$B$59,$B44,'9.Инвестиционна програма'!K$58:K$59)+SUMIF('9.Инвестиционна програма'!$B$61:$B$71,$B44,'9.Инвестиционна програма'!K$61:K$71))*$E$6</f>
        <v>0</v>
      </c>
      <c r="AS44" s="925">
        <f>(SUMIF('9.Инвестиционна програма'!$B$58:$B$59,$B44,'9.Инвестиционна програма'!L$58:L$59)+SUMIF('9.Инвестиционна програма'!$B$61:$B$71,$B44,'9.Инвестиционна програма'!L$61:L$71))*$E$6</f>
        <v>0</v>
      </c>
      <c r="AT44" s="2865">
        <f>(SUMIF('9.Инвестиционна програма'!$B$58:$B$59,$B44,'9.Инвестиционна програма'!M$58:M$59)+SUMIF('9.Инвестиционна програма'!$B$61:$B$71,$B44,'9.Инвестиционна програма'!M$61:M$71))*$E$6</f>
        <v>0</v>
      </c>
      <c r="AU44" s="4775"/>
      <c r="AV44" s="4794">
        <f t="shared" si="47"/>
        <v>0</v>
      </c>
      <c r="AW44" s="4794">
        <f t="shared" si="48"/>
        <v>0</v>
      </c>
      <c r="AX44" s="4794">
        <f t="shared" si="49"/>
        <v>0</v>
      </c>
      <c r="AY44" s="4794">
        <f t="shared" si="50"/>
        <v>0</v>
      </c>
      <c r="AZ44" s="4794">
        <f t="shared" si="51"/>
        <v>0</v>
      </c>
      <c r="BA44" s="4794">
        <f t="shared" si="52"/>
        <v>0</v>
      </c>
      <c r="BB44" s="4794">
        <f t="shared" si="53"/>
        <v>0</v>
      </c>
      <c r="BC44" s="4794">
        <f t="shared" si="54"/>
        <v>0</v>
      </c>
      <c r="BD44" s="4794">
        <f t="shared" si="55"/>
        <v>0</v>
      </c>
      <c r="BE44" s="4794">
        <f t="shared" si="56"/>
        <v>0</v>
      </c>
      <c r="BF44" s="4794">
        <f t="shared" si="57"/>
        <v>0</v>
      </c>
      <c r="BG44" s="4794">
        <f t="shared" si="58"/>
        <v>0</v>
      </c>
      <c r="BH44" s="4794">
        <f t="shared" si="59"/>
        <v>0</v>
      </c>
      <c r="BI44" s="4794">
        <f t="shared" si="60"/>
        <v>0</v>
      </c>
      <c r="BJ44" s="4794">
        <f t="shared" si="61"/>
        <v>0</v>
      </c>
      <c r="BK44" s="4794">
        <f t="shared" si="62"/>
        <v>0</v>
      </c>
      <c r="BL44" s="4794">
        <f t="shared" si="63"/>
        <v>0</v>
      </c>
      <c r="BM44" s="4794">
        <f t="shared" si="64"/>
        <v>0</v>
      </c>
      <c r="BN44" s="4794">
        <f t="shared" si="65"/>
        <v>0</v>
      </c>
      <c r="BO44" s="4794">
        <f t="shared" si="66"/>
        <v>0</v>
      </c>
      <c r="BP44" s="4794">
        <f t="shared" si="67"/>
        <v>0</v>
      </c>
      <c r="BQ44" s="4794">
        <f t="shared" si="68"/>
        <v>0</v>
      </c>
      <c r="BR44" s="4794">
        <f t="shared" si="69"/>
        <v>0</v>
      </c>
      <c r="BS44" s="4794">
        <f t="shared" si="70"/>
        <v>0</v>
      </c>
      <c r="BT44" s="4794">
        <f t="shared" si="71"/>
        <v>0</v>
      </c>
      <c r="BU44" s="4794">
        <f t="shared" si="72"/>
        <v>0</v>
      </c>
      <c r="BV44" s="4794">
        <f t="shared" si="73"/>
        <v>0</v>
      </c>
      <c r="BW44" s="4794">
        <f t="shared" si="74"/>
        <v>0</v>
      </c>
      <c r="BX44" s="4794">
        <f t="shared" si="75"/>
        <v>0</v>
      </c>
      <c r="BY44" s="4794">
        <f t="shared" si="76"/>
        <v>0</v>
      </c>
      <c r="BZ44" s="4794">
        <f t="shared" si="77"/>
        <v>0</v>
      </c>
      <c r="CA44" s="4794">
        <f t="shared" si="78"/>
        <v>0</v>
      </c>
      <c r="CB44" s="4794">
        <f t="shared" si="79"/>
        <v>0</v>
      </c>
      <c r="CC44" s="4794">
        <f t="shared" si="80"/>
        <v>0</v>
      </c>
      <c r="CD44" s="4794">
        <f t="shared" si="81"/>
        <v>0</v>
      </c>
      <c r="CE44" s="4794">
        <f t="shared" si="82"/>
        <v>0</v>
      </c>
      <c r="CF44" s="4794">
        <f t="shared" si="83"/>
        <v>0</v>
      </c>
      <c r="CG44" s="4794">
        <f t="shared" si="84"/>
        <v>0</v>
      </c>
      <c r="CH44" s="4794">
        <f t="shared" si="85"/>
        <v>0</v>
      </c>
      <c r="CI44" s="4794">
        <f t="shared" si="86"/>
        <v>0</v>
      </c>
      <c r="CJ44" s="4794">
        <f t="shared" si="87"/>
        <v>0</v>
      </c>
      <c r="CK44" s="4794">
        <f t="shared" si="88"/>
        <v>0</v>
      </c>
    </row>
    <row r="45" spans="1:89">
      <c r="A45" s="2869">
        <v>5</v>
      </c>
      <c r="B45" s="3817">
        <v>205</v>
      </c>
      <c r="C45" s="3800"/>
      <c r="D45" s="2870" t="s">
        <v>212</v>
      </c>
      <c r="E45" s="2890">
        <f>SUM(E46:E49)</f>
        <v>1939</v>
      </c>
      <c r="F45" s="2891">
        <f>SUM(F46:F49)</f>
        <v>0</v>
      </c>
      <c r="G45" s="2892">
        <f>SUM(G46:G49)</f>
        <v>0</v>
      </c>
      <c r="H45" s="2892">
        <f t="shared" ref="H45:K45" si="99">SUM(H46:H49)</f>
        <v>0</v>
      </c>
      <c r="I45" s="2892">
        <f t="shared" si="99"/>
        <v>0</v>
      </c>
      <c r="J45" s="2892">
        <f t="shared" si="99"/>
        <v>300</v>
      </c>
      <c r="K45" s="2893">
        <f t="shared" si="99"/>
        <v>0</v>
      </c>
      <c r="L45" s="2890">
        <f>SUM(L46:L49)</f>
        <v>0</v>
      </c>
      <c r="M45" s="2872">
        <f>SUM(M46:M49)</f>
        <v>0</v>
      </c>
      <c r="N45" s="2873">
        <f>SUM(N46:N49)</f>
        <v>0</v>
      </c>
      <c r="O45" s="2873">
        <f t="shared" ref="O45:R45" si="100">SUM(O46:O49)</f>
        <v>0</v>
      </c>
      <c r="P45" s="2873">
        <f t="shared" si="100"/>
        <v>0</v>
      </c>
      <c r="Q45" s="2873">
        <f t="shared" si="100"/>
        <v>0</v>
      </c>
      <c r="R45" s="2874">
        <f t="shared" si="100"/>
        <v>0</v>
      </c>
      <c r="S45" s="2894">
        <f>SUM(S46:S49)</f>
        <v>0</v>
      </c>
      <c r="T45" s="2895">
        <f>SUM(T46:T49)</f>
        <v>0</v>
      </c>
      <c r="U45" s="2892">
        <f>SUM(U46:U49)</f>
        <v>0</v>
      </c>
      <c r="V45" s="2892">
        <f t="shared" ref="V45:Y45" si="101">SUM(V46:V49)</f>
        <v>0</v>
      </c>
      <c r="W45" s="2892">
        <f t="shared" si="101"/>
        <v>0</v>
      </c>
      <c r="X45" s="2892">
        <f t="shared" si="101"/>
        <v>0</v>
      </c>
      <c r="Y45" s="2893">
        <f t="shared" si="101"/>
        <v>0</v>
      </c>
      <c r="Z45" s="2894">
        <f>SUM(Z46:Z49)</f>
        <v>0</v>
      </c>
      <c r="AA45" s="2895">
        <f>SUM(AA46:AA49)</f>
        <v>0</v>
      </c>
      <c r="AB45" s="2892">
        <f>SUM(AB46:AB49)</f>
        <v>0</v>
      </c>
      <c r="AC45" s="2892">
        <f t="shared" ref="AC45:AF45" si="102">SUM(AC46:AC49)</f>
        <v>0</v>
      </c>
      <c r="AD45" s="2892">
        <f t="shared" si="102"/>
        <v>0</v>
      </c>
      <c r="AE45" s="2892">
        <f t="shared" si="102"/>
        <v>0</v>
      </c>
      <c r="AF45" s="2893">
        <f t="shared" si="102"/>
        <v>0</v>
      </c>
      <c r="AG45" s="2894">
        <f>SUM(AG46:AG49)</f>
        <v>0</v>
      </c>
      <c r="AH45" s="2895">
        <f>SUM(AH46:AH49)</f>
        <v>0</v>
      </c>
      <c r="AI45" s="2892">
        <f>SUM(AI46:AI49)</f>
        <v>0</v>
      </c>
      <c r="AJ45" s="2892">
        <f t="shared" ref="AJ45:AM45" si="103">SUM(AJ46:AJ49)</f>
        <v>0</v>
      </c>
      <c r="AK45" s="2892">
        <f t="shared" si="103"/>
        <v>0</v>
      </c>
      <c r="AL45" s="2892">
        <f t="shared" si="103"/>
        <v>0</v>
      </c>
      <c r="AM45" s="2893">
        <f t="shared" si="103"/>
        <v>0</v>
      </c>
      <c r="AN45" s="2894">
        <f>SUM(AN46:AN49)</f>
        <v>0</v>
      </c>
      <c r="AO45" s="2875">
        <f>SUM(AO46:AO49)</f>
        <v>0</v>
      </c>
      <c r="AP45" s="2873">
        <f>SUM(AP46:AP49)</f>
        <v>0</v>
      </c>
      <c r="AQ45" s="2873">
        <f t="shared" ref="AQ45:AT45" si="104">SUM(AQ46:AQ49)</f>
        <v>0</v>
      </c>
      <c r="AR45" s="2873">
        <f t="shared" si="104"/>
        <v>150</v>
      </c>
      <c r="AS45" s="2873">
        <f t="shared" si="104"/>
        <v>0</v>
      </c>
      <c r="AT45" s="2874">
        <f t="shared" si="104"/>
        <v>0</v>
      </c>
      <c r="AU45" s="4775"/>
      <c r="AV45" s="4794">
        <f t="shared" si="47"/>
        <v>991.39495763946763</v>
      </c>
      <c r="AW45" s="4794">
        <f t="shared" si="48"/>
        <v>0</v>
      </c>
      <c r="AX45" s="4794">
        <f t="shared" si="49"/>
        <v>0</v>
      </c>
      <c r="AY45" s="4794">
        <f t="shared" si="50"/>
        <v>0</v>
      </c>
      <c r="AZ45" s="4794">
        <f t="shared" si="51"/>
        <v>0</v>
      </c>
      <c r="BA45" s="4794">
        <f t="shared" si="52"/>
        <v>153.38756435886555</v>
      </c>
      <c r="BB45" s="4794">
        <f t="shared" si="53"/>
        <v>0</v>
      </c>
      <c r="BC45" s="4794">
        <f t="shared" si="54"/>
        <v>0</v>
      </c>
      <c r="BD45" s="4794">
        <f t="shared" si="55"/>
        <v>0</v>
      </c>
      <c r="BE45" s="4794">
        <f t="shared" si="56"/>
        <v>0</v>
      </c>
      <c r="BF45" s="4794">
        <f t="shared" si="57"/>
        <v>0</v>
      </c>
      <c r="BG45" s="4794">
        <f t="shared" si="58"/>
        <v>0</v>
      </c>
      <c r="BH45" s="4794">
        <f t="shared" si="59"/>
        <v>0</v>
      </c>
      <c r="BI45" s="4794">
        <f t="shared" si="60"/>
        <v>0</v>
      </c>
      <c r="BJ45" s="4794">
        <f t="shared" si="61"/>
        <v>0</v>
      </c>
      <c r="BK45" s="4794">
        <f t="shared" si="62"/>
        <v>0</v>
      </c>
      <c r="BL45" s="4794">
        <f t="shared" si="63"/>
        <v>0</v>
      </c>
      <c r="BM45" s="4794">
        <f t="shared" si="64"/>
        <v>0</v>
      </c>
      <c r="BN45" s="4794">
        <f t="shared" si="65"/>
        <v>0</v>
      </c>
      <c r="BO45" s="4794">
        <f t="shared" si="66"/>
        <v>0</v>
      </c>
      <c r="BP45" s="4794">
        <f t="shared" si="67"/>
        <v>0</v>
      </c>
      <c r="BQ45" s="4794">
        <f t="shared" si="68"/>
        <v>0</v>
      </c>
      <c r="BR45" s="4794">
        <f t="shared" si="69"/>
        <v>0</v>
      </c>
      <c r="BS45" s="4794">
        <f t="shared" si="70"/>
        <v>0</v>
      </c>
      <c r="BT45" s="4794">
        <f t="shared" si="71"/>
        <v>0</v>
      </c>
      <c r="BU45" s="4794">
        <f t="shared" si="72"/>
        <v>0</v>
      </c>
      <c r="BV45" s="4794">
        <f t="shared" si="73"/>
        <v>0</v>
      </c>
      <c r="BW45" s="4794">
        <f t="shared" si="74"/>
        <v>0</v>
      </c>
      <c r="BX45" s="4794">
        <f t="shared" si="75"/>
        <v>0</v>
      </c>
      <c r="BY45" s="4794">
        <f t="shared" si="76"/>
        <v>0</v>
      </c>
      <c r="BZ45" s="4794">
        <f t="shared" si="77"/>
        <v>0</v>
      </c>
      <c r="CA45" s="4794">
        <f t="shared" si="78"/>
        <v>0</v>
      </c>
      <c r="CB45" s="4794">
        <f t="shared" si="79"/>
        <v>0</v>
      </c>
      <c r="CC45" s="4794">
        <f t="shared" si="80"/>
        <v>0</v>
      </c>
      <c r="CD45" s="4794">
        <f t="shared" si="81"/>
        <v>0</v>
      </c>
      <c r="CE45" s="4794">
        <f t="shared" si="82"/>
        <v>0</v>
      </c>
      <c r="CF45" s="4794">
        <f t="shared" si="83"/>
        <v>0</v>
      </c>
      <c r="CG45" s="4794">
        <f t="shared" si="84"/>
        <v>0</v>
      </c>
      <c r="CH45" s="4794">
        <f t="shared" si="85"/>
        <v>0</v>
      </c>
      <c r="CI45" s="4794">
        <f t="shared" si="86"/>
        <v>76.693782179432773</v>
      </c>
      <c r="CJ45" s="4794">
        <f t="shared" si="87"/>
        <v>0</v>
      </c>
      <c r="CK45" s="4794">
        <f t="shared" si="88"/>
        <v>0</v>
      </c>
    </row>
    <row r="46" spans="1:89">
      <c r="A46" s="2896"/>
      <c r="B46" s="3821">
        <v>20501</v>
      </c>
      <c r="C46" s="3804">
        <v>0.08</v>
      </c>
      <c r="D46" s="2897" t="s">
        <v>563</v>
      </c>
      <c r="E46" s="2864">
        <f>'11.2. ДА за периода'!E46</f>
        <v>1031</v>
      </c>
      <c r="F46" s="1247">
        <f>SUMIF('9.Инвестиционна програма'!$B$12:$B$35,$B46,'9.Инвестиционна програма'!H$12:H$35)*$E$6</f>
        <v>0</v>
      </c>
      <c r="G46" s="1243">
        <f>SUMIF('9.Инвестиционна програма'!$B$12:$B$35,$B46,'9.Инвестиционна програма'!I$12:I$35)*$E$6</f>
        <v>0</v>
      </c>
      <c r="H46" s="1243">
        <f>SUMIF('9.Инвестиционна програма'!$B$12:$B$35,$B46,'9.Инвестиционна програма'!J$12:J$35)*$E$6</f>
        <v>0</v>
      </c>
      <c r="I46" s="1243">
        <f>SUMIF('9.Инвестиционна програма'!$B$12:$B$35,$B46,'9.Инвестиционна програма'!K$12:K$35)*$E$6</f>
        <v>0</v>
      </c>
      <c r="J46" s="1243">
        <f>SUMIF('9.Инвестиционна програма'!$B$12:$B$35,$B46,'9.Инвестиционна програма'!L$12:L$35)*$E$6</f>
        <v>300</v>
      </c>
      <c r="K46" s="1248">
        <f>SUMIF('9.Инвестиционна програма'!$B$12:$B$35,$B46,'9.Инвестиционна програма'!M$12:M$35)*$E$6</f>
        <v>0</v>
      </c>
      <c r="L46" s="2864">
        <f>'11.2. ДА за периода'!L46</f>
        <v>0</v>
      </c>
      <c r="M46" s="1251">
        <f>SUMIF('9.Инвестиционна програма'!$B$37:$B$47,$B46,'9.Инвестиционна програма'!H$37:H$47)*$E$6</f>
        <v>0</v>
      </c>
      <c r="N46" s="1245">
        <f>SUMIF('9.Инвестиционна програма'!$B$37:$B$47,$B46,'9.Инвестиционна програма'!I$37:I$47)*$E$6</f>
        <v>0</v>
      </c>
      <c r="O46" s="1245">
        <f>SUMIF('9.Инвестиционна програма'!$B$37:$B$47,$B46,'9.Инвестиционна програма'!J$37:J$47)*$E$6</f>
        <v>0</v>
      </c>
      <c r="P46" s="1245">
        <f>SUMIF('9.Инвестиционна програма'!$B$37:$B$47,$B46,'9.Инвестиционна програма'!K$37:K$47)*$E$6</f>
        <v>0</v>
      </c>
      <c r="Q46" s="1245">
        <f>SUMIF('9.Инвестиционна програма'!$B$37:$B$47,$B46,'9.Инвестиционна програма'!L$37:L$47)*$E$6</f>
        <v>0</v>
      </c>
      <c r="R46" s="1246">
        <f>SUMIF('9.Инвестиционна програма'!$B$37:$B$47,$B46,'9.Инвестиционна програма'!M$37:M$47)*$E$6</f>
        <v>0</v>
      </c>
      <c r="S46" s="1132">
        <f>'11.2. ДА за периода'!S46</f>
        <v>0</v>
      </c>
      <c r="T46" s="925">
        <f>SUMIF('9.Инвестиционна програма'!$B$49:$B$56,$B46,'9.Инвестиционна програма'!H$49:H$56)*$E$6</f>
        <v>0</v>
      </c>
      <c r="U46" s="925">
        <f>SUMIF('9.Инвестиционна програма'!$B$49:$B$56,$B46,'9.Инвестиционна програма'!I$49:I$56)*$E$6</f>
        <v>0</v>
      </c>
      <c r="V46" s="925">
        <f>SUMIF('9.Инвестиционна програма'!$B$49:$B$56,$B46,'9.Инвестиционна програма'!J$49:J$56)*$E$6</f>
        <v>0</v>
      </c>
      <c r="W46" s="925">
        <f>SUMIF('9.Инвестиционна програма'!$B$49:$B$56,$B46,'9.Инвестиционна програма'!K$49:K$56)*$E$6</f>
        <v>0</v>
      </c>
      <c r="X46" s="925">
        <f>SUMIF('9.Инвестиционна програма'!$B$49:$B$56,$B46,'9.Инвестиционна програма'!L$49:L$56)*$E$6</f>
        <v>0</v>
      </c>
      <c r="Y46" s="2865">
        <f>SUMIF('9.Инвестиционна програма'!$B$49:$B$56,$B46,'9.Инвестиционна програма'!M$49:M$56)*$E$6</f>
        <v>0</v>
      </c>
      <c r="Z46" s="1132">
        <f>'11.2. ДА за периода'!Z46</f>
        <v>0</v>
      </c>
      <c r="AA46" s="925">
        <f>SUMIF('9.Инвестиционна програма'!$B$74:$B$97,$B46,'9.Инвестиционна програма'!H$74:H$97)*$E$6</f>
        <v>0</v>
      </c>
      <c r="AB46" s="925">
        <f>SUMIF('9.Инвестиционна програма'!$B$74:$B$97,$B46,'9.Инвестиционна програма'!I$74:I$97)*$E$6</f>
        <v>0</v>
      </c>
      <c r="AC46" s="925">
        <f>SUMIF('9.Инвестиционна програма'!$B$74:$B$97,$B46,'9.Инвестиционна програма'!J$74:J$97)*$E$6</f>
        <v>0</v>
      </c>
      <c r="AD46" s="925">
        <f>SUMIF('9.Инвестиционна програма'!$B$74:$B$97,$B46,'9.Инвестиционна програма'!K$74:K$97)*$E$6</f>
        <v>0</v>
      </c>
      <c r="AE46" s="925">
        <f>SUMIF('9.Инвестиционна програма'!$B$74:$B$97,$B46,'9.Инвестиционна програма'!L$74:L$97)*$E$6</f>
        <v>0</v>
      </c>
      <c r="AF46" s="925">
        <f>SUMIF('9.Инвестиционна програма'!$B$74:$B$97,$B46,'9.Инвестиционна програма'!M$74:M$97)*$E$6</f>
        <v>0</v>
      </c>
      <c r="AG46" s="1132">
        <f>'11.2. ДА за периода'!AG46</f>
        <v>0</v>
      </c>
      <c r="AH46" s="925">
        <f>SUMIF('9.Инвестиционна програма'!$B$100:$B$123,$B46,'9.Инвестиционна програма'!H$100:H$123)*$E$6</f>
        <v>0</v>
      </c>
      <c r="AI46" s="925">
        <f>SUMIF('9.Инвестиционна програма'!$B$100:$B$123,$B46,'9.Инвестиционна програма'!I$100:I$123)*$E$6</f>
        <v>0</v>
      </c>
      <c r="AJ46" s="925">
        <f>SUMIF('9.Инвестиционна програма'!$B$100:$B$123,$B46,'9.Инвестиционна програма'!J$100:J$123)*$E$6</f>
        <v>0</v>
      </c>
      <c r="AK46" s="925">
        <f>SUMIF('9.Инвестиционна програма'!$B$100:$B$123,$B46,'9.Инвестиционна програма'!K$100:K$123)*$E$6</f>
        <v>0</v>
      </c>
      <c r="AL46" s="925">
        <f>SUMIF('9.Инвестиционна програма'!$B$100:$B$123,$B46,'9.Инвестиционна програма'!L$100:L$123)*$E$6</f>
        <v>0</v>
      </c>
      <c r="AM46" s="925">
        <f>SUMIF('9.Инвестиционна програма'!$B$100:$B$123,$B46,'9.Инвестиционна програма'!M$100:M$123)*$E$6</f>
        <v>0</v>
      </c>
      <c r="AN46" s="1132">
        <f>'11.2. ДА за периода'!AN46</f>
        <v>0</v>
      </c>
      <c r="AO46" s="1251">
        <f>(SUMIF('9.Инвестиционна програма'!$B$58:$B$59,$B46,'9.Инвестиционна програма'!H$58:H$59)+SUMIF('9.Инвестиционна програма'!$B$61:$B$71,$B46,'9.Инвестиционна програма'!H$61:H$71))*$E$6</f>
        <v>0</v>
      </c>
      <c r="AP46" s="925">
        <f>(SUMIF('9.Инвестиционна програма'!$B$58:$B$59,$B46,'9.Инвестиционна програма'!I$58:I$59)+SUMIF('9.Инвестиционна програма'!$B$61:$B$71,$B46,'9.Инвестиционна програма'!I$61:I$71))*$E$6</f>
        <v>0</v>
      </c>
      <c r="AQ46" s="925">
        <f>(SUMIF('9.Инвестиционна програма'!$B$58:$B$59,$B46,'9.Инвестиционна програма'!J$58:J$59)+SUMIF('9.Инвестиционна програма'!$B$61:$B$71,$B46,'9.Инвестиционна програма'!J$61:J$71))*$E$6</f>
        <v>0</v>
      </c>
      <c r="AR46" s="925">
        <f>(SUMIF('9.Инвестиционна програма'!$B$58:$B$59,$B46,'9.Инвестиционна програма'!K$58:K$59)+SUMIF('9.Инвестиционна програма'!$B$61:$B$71,$B46,'9.Инвестиционна програма'!K$61:K$71))*$E$6</f>
        <v>0</v>
      </c>
      <c r="AS46" s="925">
        <f>(SUMIF('9.Инвестиционна програма'!$B$58:$B$59,$B46,'9.Инвестиционна програма'!L$58:L$59)+SUMIF('9.Инвестиционна програма'!$B$61:$B$71,$B46,'9.Инвестиционна програма'!L$61:L$71))*$E$6</f>
        <v>0</v>
      </c>
      <c r="AT46" s="2865">
        <f>(SUMIF('9.Инвестиционна програма'!$B$58:$B$59,$B46,'9.Инвестиционна програма'!M$58:M$59)+SUMIF('9.Инвестиционна програма'!$B$61:$B$71,$B46,'9.Инвестиционна програма'!M$61:M$71))*$E$6</f>
        <v>0</v>
      </c>
      <c r="AU46" s="4775"/>
      <c r="AV46" s="4794">
        <f t="shared" si="47"/>
        <v>527.14192951330131</v>
      </c>
      <c r="AW46" s="4794">
        <f t="shared" si="48"/>
        <v>0</v>
      </c>
      <c r="AX46" s="4794">
        <f t="shared" si="49"/>
        <v>0</v>
      </c>
      <c r="AY46" s="4794">
        <f t="shared" si="50"/>
        <v>0</v>
      </c>
      <c r="AZ46" s="4794">
        <f t="shared" si="51"/>
        <v>0</v>
      </c>
      <c r="BA46" s="4794">
        <f t="shared" si="52"/>
        <v>153.38756435886555</v>
      </c>
      <c r="BB46" s="4794">
        <f t="shared" si="53"/>
        <v>0</v>
      </c>
      <c r="BC46" s="4794">
        <f t="shared" si="54"/>
        <v>0</v>
      </c>
      <c r="BD46" s="4794">
        <f t="shared" si="55"/>
        <v>0</v>
      </c>
      <c r="BE46" s="4794">
        <f t="shared" si="56"/>
        <v>0</v>
      </c>
      <c r="BF46" s="4794">
        <f t="shared" si="57"/>
        <v>0</v>
      </c>
      <c r="BG46" s="4794">
        <f t="shared" si="58"/>
        <v>0</v>
      </c>
      <c r="BH46" s="4794">
        <f t="shared" si="59"/>
        <v>0</v>
      </c>
      <c r="BI46" s="4794">
        <f t="shared" si="60"/>
        <v>0</v>
      </c>
      <c r="BJ46" s="4794">
        <f t="shared" si="61"/>
        <v>0</v>
      </c>
      <c r="BK46" s="4794">
        <f t="shared" si="62"/>
        <v>0</v>
      </c>
      <c r="BL46" s="4794">
        <f t="shared" si="63"/>
        <v>0</v>
      </c>
      <c r="BM46" s="4794">
        <f t="shared" si="64"/>
        <v>0</v>
      </c>
      <c r="BN46" s="4794">
        <f t="shared" si="65"/>
        <v>0</v>
      </c>
      <c r="BO46" s="4794">
        <f t="shared" si="66"/>
        <v>0</v>
      </c>
      <c r="BP46" s="4794">
        <f t="shared" si="67"/>
        <v>0</v>
      </c>
      <c r="BQ46" s="4794">
        <f t="shared" si="68"/>
        <v>0</v>
      </c>
      <c r="BR46" s="4794">
        <f t="shared" si="69"/>
        <v>0</v>
      </c>
      <c r="BS46" s="4794">
        <f t="shared" si="70"/>
        <v>0</v>
      </c>
      <c r="BT46" s="4794">
        <f t="shared" si="71"/>
        <v>0</v>
      </c>
      <c r="BU46" s="4794">
        <f t="shared" si="72"/>
        <v>0</v>
      </c>
      <c r="BV46" s="4794">
        <f t="shared" si="73"/>
        <v>0</v>
      </c>
      <c r="BW46" s="4794">
        <f t="shared" si="74"/>
        <v>0</v>
      </c>
      <c r="BX46" s="4794">
        <f t="shared" si="75"/>
        <v>0</v>
      </c>
      <c r="BY46" s="4794">
        <f t="shared" si="76"/>
        <v>0</v>
      </c>
      <c r="BZ46" s="4794">
        <f t="shared" si="77"/>
        <v>0</v>
      </c>
      <c r="CA46" s="4794">
        <f t="shared" si="78"/>
        <v>0</v>
      </c>
      <c r="CB46" s="4794">
        <f t="shared" si="79"/>
        <v>0</v>
      </c>
      <c r="CC46" s="4794">
        <f t="shared" si="80"/>
        <v>0</v>
      </c>
      <c r="CD46" s="4794">
        <f t="shared" si="81"/>
        <v>0</v>
      </c>
      <c r="CE46" s="4794">
        <f t="shared" si="82"/>
        <v>0</v>
      </c>
      <c r="CF46" s="4794">
        <f t="shared" si="83"/>
        <v>0</v>
      </c>
      <c r="CG46" s="4794">
        <f t="shared" si="84"/>
        <v>0</v>
      </c>
      <c r="CH46" s="4794">
        <f t="shared" si="85"/>
        <v>0</v>
      </c>
      <c r="CI46" s="4794">
        <f t="shared" si="86"/>
        <v>0</v>
      </c>
      <c r="CJ46" s="4794">
        <f t="shared" si="87"/>
        <v>0</v>
      </c>
      <c r="CK46" s="4794">
        <f t="shared" si="88"/>
        <v>0</v>
      </c>
    </row>
    <row r="47" spans="1:89">
      <c r="A47" s="2896"/>
      <c r="B47" s="3821">
        <v>20502</v>
      </c>
      <c r="C47" s="3804">
        <v>0.1</v>
      </c>
      <c r="D47" s="2897" t="s">
        <v>411</v>
      </c>
      <c r="E47" s="2864">
        <f>'11.2. ДА за периода'!E47</f>
        <v>908</v>
      </c>
      <c r="F47" s="1247">
        <f>SUMIF('9.Инвестиционна програма'!$B$12:$B$35,$B47,'9.Инвестиционна програма'!H$12:H$35)*$E$6</f>
        <v>0</v>
      </c>
      <c r="G47" s="1243">
        <f>SUMIF('9.Инвестиционна програма'!$B$12:$B$35,$B47,'9.Инвестиционна програма'!I$12:I$35)*$E$6</f>
        <v>0</v>
      </c>
      <c r="H47" s="1243">
        <f>SUMIF('9.Инвестиционна програма'!$B$12:$B$35,$B47,'9.Инвестиционна програма'!J$12:J$35)*$E$6</f>
        <v>0</v>
      </c>
      <c r="I47" s="1243">
        <f>SUMIF('9.Инвестиционна програма'!$B$12:$B$35,$B47,'9.Инвестиционна програма'!K$12:K$35)*$E$6</f>
        <v>0</v>
      </c>
      <c r="J47" s="1243">
        <f>SUMIF('9.Инвестиционна програма'!$B$12:$B$35,$B47,'9.Инвестиционна програма'!L$12:L$35)*$E$6</f>
        <v>0</v>
      </c>
      <c r="K47" s="1248">
        <f>SUMIF('9.Инвестиционна програма'!$B$12:$B$35,$B47,'9.Инвестиционна програма'!M$12:M$35)*$E$6</f>
        <v>0</v>
      </c>
      <c r="L47" s="2864">
        <f>'11.2. ДА за периода'!L47</f>
        <v>0</v>
      </c>
      <c r="M47" s="1251">
        <f>SUMIF('9.Инвестиционна програма'!$B$37:$B$47,$B47,'9.Инвестиционна програма'!H$37:H$47)*$E$6</f>
        <v>0</v>
      </c>
      <c r="N47" s="1245">
        <f>SUMIF('9.Инвестиционна програма'!$B$37:$B$47,$B47,'9.Инвестиционна програма'!I$37:I$47)*$E$6</f>
        <v>0</v>
      </c>
      <c r="O47" s="1245">
        <f>SUMIF('9.Инвестиционна програма'!$B$37:$B$47,$B47,'9.Инвестиционна програма'!J$37:J$47)*$E$6</f>
        <v>0</v>
      </c>
      <c r="P47" s="1245">
        <f>SUMIF('9.Инвестиционна програма'!$B$37:$B$47,$B47,'9.Инвестиционна програма'!K$37:K$47)*$E$6</f>
        <v>0</v>
      </c>
      <c r="Q47" s="1245">
        <f>SUMIF('9.Инвестиционна програма'!$B$37:$B$47,$B47,'9.Инвестиционна програма'!L$37:L$47)*$E$6</f>
        <v>0</v>
      </c>
      <c r="R47" s="1246">
        <f>SUMIF('9.Инвестиционна програма'!$B$37:$B$47,$B47,'9.Инвестиционна програма'!M$37:M$47)*$E$6</f>
        <v>0</v>
      </c>
      <c r="S47" s="1132">
        <f>'11.2. ДА за периода'!S47</f>
        <v>0</v>
      </c>
      <c r="T47" s="925">
        <f>SUMIF('9.Инвестиционна програма'!$B$49:$B$56,$B47,'9.Инвестиционна програма'!H$49:H$56)*$E$6</f>
        <v>0</v>
      </c>
      <c r="U47" s="925">
        <f>SUMIF('9.Инвестиционна програма'!$B$49:$B$56,$B47,'9.Инвестиционна програма'!I$49:I$56)*$E$6</f>
        <v>0</v>
      </c>
      <c r="V47" s="925">
        <f>SUMIF('9.Инвестиционна програма'!$B$49:$B$56,$B47,'9.Инвестиционна програма'!J$49:J$56)*$E$6</f>
        <v>0</v>
      </c>
      <c r="W47" s="925">
        <f>SUMIF('9.Инвестиционна програма'!$B$49:$B$56,$B47,'9.Инвестиционна програма'!K$49:K$56)*$E$6</f>
        <v>0</v>
      </c>
      <c r="X47" s="925">
        <f>SUMIF('9.Инвестиционна програма'!$B$49:$B$56,$B47,'9.Инвестиционна програма'!L$49:L$56)*$E$6</f>
        <v>0</v>
      </c>
      <c r="Y47" s="2865">
        <f>SUMIF('9.Инвестиционна програма'!$B$49:$B$56,$B47,'9.Инвестиционна програма'!M$49:M$56)*$E$6</f>
        <v>0</v>
      </c>
      <c r="Z47" s="1132">
        <f>'11.2. ДА за периода'!Z47</f>
        <v>0</v>
      </c>
      <c r="AA47" s="925">
        <f>SUMIF('9.Инвестиционна програма'!$B$74:$B$97,$B47,'9.Инвестиционна програма'!H$74:H$97)*$E$6</f>
        <v>0</v>
      </c>
      <c r="AB47" s="925">
        <f>SUMIF('9.Инвестиционна програма'!$B$74:$B$97,$B47,'9.Инвестиционна програма'!I$74:I$97)*$E$6</f>
        <v>0</v>
      </c>
      <c r="AC47" s="925">
        <f>SUMIF('9.Инвестиционна програма'!$B$74:$B$97,$B47,'9.Инвестиционна програма'!J$74:J$97)*$E$6</f>
        <v>0</v>
      </c>
      <c r="AD47" s="925">
        <f>SUMIF('9.Инвестиционна програма'!$B$74:$B$97,$B47,'9.Инвестиционна програма'!K$74:K$97)*$E$6</f>
        <v>0</v>
      </c>
      <c r="AE47" s="925">
        <f>SUMIF('9.Инвестиционна програма'!$B$74:$B$97,$B47,'9.Инвестиционна програма'!L$74:L$97)*$E$6</f>
        <v>0</v>
      </c>
      <c r="AF47" s="925">
        <f>SUMIF('9.Инвестиционна програма'!$B$74:$B$97,$B47,'9.Инвестиционна програма'!M$74:M$97)*$E$6</f>
        <v>0</v>
      </c>
      <c r="AG47" s="1132">
        <f>'11.2. ДА за периода'!AG47</f>
        <v>0</v>
      </c>
      <c r="AH47" s="925">
        <f>SUMIF('9.Инвестиционна програма'!$B$100:$B$123,$B47,'9.Инвестиционна програма'!H$100:H$123)*$E$6</f>
        <v>0</v>
      </c>
      <c r="AI47" s="925">
        <f>SUMIF('9.Инвестиционна програма'!$B$100:$B$123,$B47,'9.Инвестиционна програма'!I$100:I$123)*$E$6</f>
        <v>0</v>
      </c>
      <c r="AJ47" s="925">
        <f>SUMIF('9.Инвестиционна програма'!$B$100:$B$123,$B47,'9.Инвестиционна програма'!J$100:J$123)*$E$6</f>
        <v>0</v>
      </c>
      <c r="AK47" s="925">
        <f>SUMIF('9.Инвестиционна програма'!$B$100:$B$123,$B47,'9.Инвестиционна програма'!K$100:K$123)*$E$6</f>
        <v>0</v>
      </c>
      <c r="AL47" s="925">
        <f>SUMIF('9.Инвестиционна програма'!$B$100:$B$123,$B47,'9.Инвестиционна програма'!L$100:L$123)*$E$6</f>
        <v>0</v>
      </c>
      <c r="AM47" s="925">
        <f>SUMIF('9.Инвестиционна програма'!$B$100:$B$123,$B47,'9.Инвестиционна програма'!M$100:M$123)*$E$6</f>
        <v>0</v>
      </c>
      <c r="AN47" s="1132">
        <f>'11.2. ДА за периода'!AN47</f>
        <v>0</v>
      </c>
      <c r="AO47" s="1251">
        <f>(SUMIF('9.Инвестиционна програма'!$B$58:$B$59,$B47,'9.Инвестиционна програма'!H$58:H$59)+SUMIF('9.Инвестиционна програма'!$B$61:$B$71,$B47,'9.Инвестиционна програма'!H$61:H$71))*$E$6</f>
        <v>0</v>
      </c>
      <c r="AP47" s="925">
        <f>(SUMIF('9.Инвестиционна програма'!$B$58:$B$59,$B47,'9.Инвестиционна програма'!I$58:I$59)+SUMIF('9.Инвестиционна програма'!$B$61:$B$71,$B47,'9.Инвестиционна програма'!I$61:I$71))*$E$6</f>
        <v>0</v>
      </c>
      <c r="AQ47" s="925">
        <f>(SUMIF('9.Инвестиционна програма'!$B$58:$B$59,$B47,'9.Инвестиционна програма'!J$58:J$59)+SUMIF('9.Инвестиционна програма'!$B$61:$B$71,$B47,'9.Инвестиционна програма'!J$61:J$71))*$E$6</f>
        <v>0</v>
      </c>
      <c r="AR47" s="925">
        <f>(SUMIF('9.Инвестиционна програма'!$B$58:$B$59,$B47,'9.Инвестиционна програма'!K$58:K$59)+SUMIF('9.Инвестиционна програма'!$B$61:$B$71,$B47,'9.Инвестиционна програма'!K$61:K$71))*$E$6</f>
        <v>150</v>
      </c>
      <c r="AS47" s="925">
        <f>(SUMIF('9.Инвестиционна програма'!$B$58:$B$59,$B47,'9.Инвестиционна програма'!L$58:L$59)+SUMIF('9.Инвестиционна програма'!$B$61:$B$71,$B47,'9.Инвестиционна програма'!L$61:L$71))*$E$6</f>
        <v>0</v>
      </c>
      <c r="AT47" s="2865">
        <f>(SUMIF('9.Инвестиционна програма'!$B$58:$B$59,$B47,'9.Инвестиционна програма'!M$58:M$59)+SUMIF('9.Инвестиционна програма'!$B$61:$B$71,$B47,'9.Инвестиционна програма'!M$61:M$71))*$E$6</f>
        <v>0</v>
      </c>
      <c r="AU47" s="4775"/>
      <c r="AV47" s="4794">
        <f t="shared" si="47"/>
        <v>464.25302812616638</v>
      </c>
      <c r="AW47" s="4794">
        <f t="shared" si="48"/>
        <v>0</v>
      </c>
      <c r="AX47" s="4794">
        <f t="shared" si="49"/>
        <v>0</v>
      </c>
      <c r="AY47" s="4794">
        <f t="shared" si="50"/>
        <v>0</v>
      </c>
      <c r="AZ47" s="4794">
        <f t="shared" si="51"/>
        <v>0</v>
      </c>
      <c r="BA47" s="4794">
        <f t="shared" si="52"/>
        <v>0</v>
      </c>
      <c r="BB47" s="4794">
        <f t="shared" si="53"/>
        <v>0</v>
      </c>
      <c r="BC47" s="4794">
        <f t="shared" si="54"/>
        <v>0</v>
      </c>
      <c r="BD47" s="4794">
        <f t="shared" si="55"/>
        <v>0</v>
      </c>
      <c r="BE47" s="4794">
        <f t="shared" si="56"/>
        <v>0</v>
      </c>
      <c r="BF47" s="4794">
        <f t="shared" si="57"/>
        <v>0</v>
      </c>
      <c r="BG47" s="4794">
        <f t="shared" si="58"/>
        <v>0</v>
      </c>
      <c r="BH47" s="4794">
        <f t="shared" si="59"/>
        <v>0</v>
      </c>
      <c r="BI47" s="4794">
        <f t="shared" si="60"/>
        <v>0</v>
      </c>
      <c r="BJ47" s="4794">
        <f t="shared" si="61"/>
        <v>0</v>
      </c>
      <c r="BK47" s="4794">
        <f t="shared" si="62"/>
        <v>0</v>
      </c>
      <c r="BL47" s="4794">
        <f t="shared" si="63"/>
        <v>0</v>
      </c>
      <c r="BM47" s="4794">
        <f t="shared" si="64"/>
        <v>0</v>
      </c>
      <c r="BN47" s="4794">
        <f t="shared" si="65"/>
        <v>0</v>
      </c>
      <c r="BO47" s="4794">
        <f t="shared" si="66"/>
        <v>0</v>
      </c>
      <c r="BP47" s="4794">
        <f t="shared" si="67"/>
        <v>0</v>
      </c>
      <c r="BQ47" s="4794">
        <f t="shared" si="68"/>
        <v>0</v>
      </c>
      <c r="BR47" s="4794">
        <f t="shared" si="69"/>
        <v>0</v>
      </c>
      <c r="BS47" s="4794">
        <f t="shared" si="70"/>
        <v>0</v>
      </c>
      <c r="BT47" s="4794">
        <f t="shared" si="71"/>
        <v>0</v>
      </c>
      <c r="BU47" s="4794">
        <f t="shared" si="72"/>
        <v>0</v>
      </c>
      <c r="BV47" s="4794">
        <f t="shared" si="73"/>
        <v>0</v>
      </c>
      <c r="BW47" s="4794">
        <f t="shared" si="74"/>
        <v>0</v>
      </c>
      <c r="BX47" s="4794">
        <f t="shared" si="75"/>
        <v>0</v>
      </c>
      <c r="BY47" s="4794">
        <f t="shared" si="76"/>
        <v>0</v>
      </c>
      <c r="BZ47" s="4794">
        <f t="shared" si="77"/>
        <v>0</v>
      </c>
      <c r="CA47" s="4794">
        <f t="shared" si="78"/>
        <v>0</v>
      </c>
      <c r="CB47" s="4794">
        <f t="shared" si="79"/>
        <v>0</v>
      </c>
      <c r="CC47" s="4794">
        <f t="shared" si="80"/>
        <v>0</v>
      </c>
      <c r="CD47" s="4794">
        <f t="shared" si="81"/>
        <v>0</v>
      </c>
      <c r="CE47" s="4794">
        <f t="shared" si="82"/>
        <v>0</v>
      </c>
      <c r="CF47" s="4794">
        <f t="shared" si="83"/>
        <v>0</v>
      </c>
      <c r="CG47" s="4794">
        <f t="shared" si="84"/>
        <v>0</v>
      </c>
      <c r="CH47" s="4794">
        <f t="shared" si="85"/>
        <v>0</v>
      </c>
      <c r="CI47" s="4794">
        <f t="shared" si="86"/>
        <v>76.693782179432773</v>
      </c>
      <c r="CJ47" s="4794">
        <f t="shared" si="87"/>
        <v>0</v>
      </c>
      <c r="CK47" s="4794">
        <f t="shared" si="88"/>
        <v>0</v>
      </c>
    </row>
    <row r="48" spans="1:89">
      <c r="A48" s="2896"/>
      <c r="B48" s="3821">
        <v>20503</v>
      </c>
      <c r="C48" s="3804">
        <v>0.1</v>
      </c>
      <c r="D48" s="2879" t="s">
        <v>412</v>
      </c>
      <c r="E48" s="2864">
        <f>'11.2. ДА за периода'!E48</f>
        <v>0</v>
      </c>
      <c r="F48" s="1247">
        <f>SUMIF('9.Инвестиционна програма'!$B$12:$B$35,$B48,'9.Инвестиционна програма'!H$12:H$35)*$E$6</f>
        <v>0</v>
      </c>
      <c r="G48" s="1243">
        <f>SUMIF('9.Инвестиционна програма'!$B$12:$B$35,$B48,'9.Инвестиционна програма'!I$12:I$35)*$E$6</f>
        <v>0</v>
      </c>
      <c r="H48" s="1243">
        <f>SUMIF('9.Инвестиционна програма'!$B$12:$B$35,$B48,'9.Инвестиционна програма'!J$12:J$35)*$E$6</f>
        <v>0</v>
      </c>
      <c r="I48" s="1243">
        <f>SUMIF('9.Инвестиционна програма'!$B$12:$B$35,$B48,'9.Инвестиционна програма'!K$12:K$35)*$E$6</f>
        <v>0</v>
      </c>
      <c r="J48" s="1243">
        <f>SUMIF('9.Инвестиционна програма'!$B$12:$B$35,$B48,'9.Инвестиционна програма'!L$12:L$35)*$E$6</f>
        <v>0</v>
      </c>
      <c r="K48" s="1248">
        <f>SUMIF('9.Инвестиционна програма'!$B$12:$B$35,$B48,'9.Инвестиционна програма'!M$12:M$35)*$E$6</f>
        <v>0</v>
      </c>
      <c r="L48" s="2864">
        <f>'11.2. ДА за периода'!L48</f>
        <v>0</v>
      </c>
      <c r="M48" s="1251">
        <f>SUMIF('9.Инвестиционна програма'!$B$37:$B$47,$B48,'9.Инвестиционна програма'!H$37:H$47)*$E$6</f>
        <v>0</v>
      </c>
      <c r="N48" s="1245">
        <f>SUMIF('9.Инвестиционна програма'!$B$37:$B$47,$B48,'9.Инвестиционна програма'!I$37:I$47)*$E$6</f>
        <v>0</v>
      </c>
      <c r="O48" s="1245">
        <f>SUMIF('9.Инвестиционна програма'!$B$37:$B$47,$B48,'9.Инвестиционна програма'!J$37:J$47)*$E$6</f>
        <v>0</v>
      </c>
      <c r="P48" s="1245">
        <f>SUMIF('9.Инвестиционна програма'!$B$37:$B$47,$B48,'9.Инвестиционна програма'!K$37:K$47)*$E$6</f>
        <v>0</v>
      </c>
      <c r="Q48" s="1245">
        <f>SUMIF('9.Инвестиционна програма'!$B$37:$B$47,$B48,'9.Инвестиционна програма'!L$37:L$47)*$E$6</f>
        <v>0</v>
      </c>
      <c r="R48" s="1246">
        <f>SUMIF('9.Инвестиционна програма'!$B$37:$B$47,$B48,'9.Инвестиционна програма'!M$37:M$47)*$E$6</f>
        <v>0</v>
      </c>
      <c r="S48" s="1132">
        <f>'11.2. ДА за периода'!S48</f>
        <v>0</v>
      </c>
      <c r="T48" s="925">
        <f>SUMIF('9.Инвестиционна програма'!$B$49:$B$56,$B48,'9.Инвестиционна програма'!H$49:H$56)*$E$6</f>
        <v>0</v>
      </c>
      <c r="U48" s="925">
        <f>SUMIF('9.Инвестиционна програма'!$B$49:$B$56,$B48,'9.Инвестиционна програма'!I$49:I$56)*$E$6</f>
        <v>0</v>
      </c>
      <c r="V48" s="925">
        <f>SUMIF('9.Инвестиционна програма'!$B$49:$B$56,$B48,'9.Инвестиционна програма'!J$49:J$56)*$E$6</f>
        <v>0</v>
      </c>
      <c r="W48" s="925">
        <f>SUMIF('9.Инвестиционна програма'!$B$49:$B$56,$B48,'9.Инвестиционна програма'!K$49:K$56)*$E$6</f>
        <v>0</v>
      </c>
      <c r="X48" s="925">
        <f>SUMIF('9.Инвестиционна програма'!$B$49:$B$56,$B48,'9.Инвестиционна програма'!L$49:L$56)*$E$6</f>
        <v>0</v>
      </c>
      <c r="Y48" s="2865">
        <f>SUMIF('9.Инвестиционна програма'!$B$49:$B$56,$B48,'9.Инвестиционна програма'!M$49:M$56)*$E$6</f>
        <v>0</v>
      </c>
      <c r="Z48" s="1132">
        <f>'11.2. ДА за периода'!Z48</f>
        <v>0</v>
      </c>
      <c r="AA48" s="925">
        <f>SUMIF('9.Инвестиционна програма'!$B$74:$B$97,$B48,'9.Инвестиционна програма'!H$74:H$97)*$E$6</f>
        <v>0</v>
      </c>
      <c r="AB48" s="925">
        <f>SUMIF('9.Инвестиционна програма'!$B$74:$B$97,$B48,'9.Инвестиционна програма'!I$74:I$97)*$E$6</f>
        <v>0</v>
      </c>
      <c r="AC48" s="925">
        <f>SUMIF('9.Инвестиционна програма'!$B$74:$B$97,$B48,'9.Инвестиционна програма'!J$74:J$97)*$E$6</f>
        <v>0</v>
      </c>
      <c r="AD48" s="925">
        <f>SUMIF('9.Инвестиционна програма'!$B$74:$B$97,$B48,'9.Инвестиционна програма'!K$74:K$97)*$E$6</f>
        <v>0</v>
      </c>
      <c r="AE48" s="925">
        <f>SUMIF('9.Инвестиционна програма'!$B$74:$B$97,$B48,'9.Инвестиционна програма'!L$74:L$97)*$E$6</f>
        <v>0</v>
      </c>
      <c r="AF48" s="925">
        <f>SUMIF('9.Инвестиционна програма'!$B$74:$B$97,$B48,'9.Инвестиционна програма'!M$74:M$97)*$E$6</f>
        <v>0</v>
      </c>
      <c r="AG48" s="1132">
        <f>'11.2. ДА за периода'!AG48</f>
        <v>0</v>
      </c>
      <c r="AH48" s="925">
        <f>SUMIF('9.Инвестиционна програма'!$B$100:$B$123,$B48,'9.Инвестиционна програма'!H$100:H$123)*$E$6</f>
        <v>0</v>
      </c>
      <c r="AI48" s="925">
        <f>SUMIF('9.Инвестиционна програма'!$B$100:$B$123,$B48,'9.Инвестиционна програма'!I$100:I$123)*$E$6</f>
        <v>0</v>
      </c>
      <c r="AJ48" s="925">
        <f>SUMIF('9.Инвестиционна програма'!$B$100:$B$123,$B48,'9.Инвестиционна програма'!J$100:J$123)*$E$6</f>
        <v>0</v>
      </c>
      <c r="AK48" s="925">
        <f>SUMIF('9.Инвестиционна програма'!$B$100:$B$123,$B48,'9.Инвестиционна програма'!K$100:K$123)*$E$6</f>
        <v>0</v>
      </c>
      <c r="AL48" s="925">
        <f>SUMIF('9.Инвестиционна програма'!$B$100:$B$123,$B48,'9.Инвестиционна програма'!L$100:L$123)*$E$6</f>
        <v>0</v>
      </c>
      <c r="AM48" s="925">
        <f>SUMIF('9.Инвестиционна програма'!$B$100:$B$123,$B48,'9.Инвестиционна програма'!M$100:M$123)*$E$6</f>
        <v>0</v>
      </c>
      <c r="AN48" s="1132">
        <f>'11.2. ДА за периода'!AN48</f>
        <v>0</v>
      </c>
      <c r="AO48" s="1251">
        <f>(SUMIF('9.Инвестиционна програма'!$B$58:$B$59,$B48,'9.Инвестиционна програма'!H$58:H$59)+SUMIF('9.Инвестиционна програма'!$B$61:$B$71,$B48,'9.Инвестиционна програма'!H$61:H$71))*$E$6</f>
        <v>0</v>
      </c>
      <c r="AP48" s="925">
        <f>(SUMIF('9.Инвестиционна програма'!$B$58:$B$59,$B48,'9.Инвестиционна програма'!I$58:I$59)+SUMIF('9.Инвестиционна програма'!$B$61:$B$71,$B48,'9.Инвестиционна програма'!I$61:I$71))*$E$6</f>
        <v>0</v>
      </c>
      <c r="AQ48" s="925">
        <f>(SUMIF('9.Инвестиционна програма'!$B$58:$B$59,$B48,'9.Инвестиционна програма'!J$58:J$59)+SUMIF('9.Инвестиционна програма'!$B$61:$B$71,$B48,'9.Инвестиционна програма'!J$61:J$71))*$E$6</f>
        <v>0</v>
      </c>
      <c r="AR48" s="925">
        <f>(SUMIF('9.Инвестиционна програма'!$B$58:$B$59,$B48,'9.Инвестиционна програма'!K$58:K$59)+SUMIF('9.Инвестиционна програма'!$B$61:$B$71,$B48,'9.Инвестиционна програма'!K$61:K$71))*$E$6</f>
        <v>0</v>
      </c>
      <c r="AS48" s="925">
        <f>(SUMIF('9.Инвестиционна програма'!$B$58:$B$59,$B48,'9.Инвестиционна програма'!L$58:L$59)+SUMIF('9.Инвестиционна програма'!$B$61:$B$71,$B48,'9.Инвестиционна програма'!L$61:L$71))*$E$6</f>
        <v>0</v>
      </c>
      <c r="AT48" s="2865">
        <f>(SUMIF('9.Инвестиционна програма'!$B$58:$B$59,$B48,'9.Инвестиционна програма'!M$58:M$59)+SUMIF('9.Инвестиционна програма'!$B$61:$B$71,$B48,'9.Инвестиционна програма'!M$61:M$71))*$E$6</f>
        <v>0</v>
      </c>
      <c r="AU48" s="4775"/>
      <c r="AV48" s="4794">
        <f t="shared" si="47"/>
        <v>0</v>
      </c>
      <c r="AW48" s="4794">
        <f t="shared" si="48"/>
        <v>0</v>
      </c>
      <c r="AX48" s="4794">
        <f t="shared" si="49"/>
        <v>0</v>
      </c>
      <c r="AY48" s="4794">
        <f t="shared" si="50"/>
        <v>0</v>
      </c>
      <c r="AZ48" s="4794">
        <f t="shared" si="51"/>
        <v>0</v>
      </c>
      <c r="BA48" s="4794">
        <f t="shared" si="52"/>
        <v>0</v>
      </c>
      <c r="BB48" s="4794">
        <f t="shared" si="53"/>
        <v>0</v>
      </c>
      <c r="BC48" s="4794">
        <f t="shared" si="54"/>
        <v>0</v>
      </c>
      <c r="BD48" s="4794">
        <f t="shared" si="55"/>
        <v>0</v>
      </c>
      <c r="BE48" s="4794">
        <f t="shared" si="56"/>
        <v>0</v>
      </c>
      <c r="BF48" s="4794">
        <f t="shared" si="57"/>
        <v>0</v>
      </c>
      <c r="BG48" s="4794">
        <f t="shared" si="58"/>
        <v>0</v>
      </c>
      <c r="BH48" s="4794">
        <f t="shared" si="59"/>
        <v>0</v>
      </c>
      <c r="BI48" s="4794">
        <f t="shared" si="60"/>
        <v>0</v>
      </c>
      <c r="BJ48" s="4794">
        <f t="shared" si="61"/>
        <v>0</v>
      </c>
      <c r="BK48" s="4794">
        <f t="shared" si="62"/>
        <v>0</v>
      </c>
      <c r="BL48" s="4794">
        <f t="shared" si="63"/>
        <v>0</v>
      </c>
      <c r="BM48" s="4794">
        <f t="shared" si="64"/>
        <v>0</v>
      </c>
      <c r="BN48" s="4794">
        <f t="shared" si="65"/>
        <v>0</v>
      </c>
      <c r="BO48" s="4794">
        <f t="shared" si="66"/>
        <v>0</v>
      </c>
      <c r="BP48" s="4794">
        <f t="shared" si="67"/>
        <v>0</v>
      </c>
      <c r="BQ48" s="4794">
        <f t="shared" si="68"/>
        <v>0</v>
      </c>
      <c r="BR48" s="4794">
        <f t="shared" si="69"/>
        <v>0</v>
      </c>
      <c r="BS48" s="4794">
        <f t="shared" si="70"/>
        <v>0</v>
      </c>
      <c r="BT48" s="4794">
        <f t="shared" si="71"/>
        <v>0</v>
      </c>
      <c r="BU48" s="4794">
        <f t="shared" si="72"/>
        <v>0</v>
      </c>
      <c r="BV48" s="4794">
        <f t="shared" si="73"/>
        <v>0</v>
      </c>
      <c r="BW48" s="4794">
        <f t="shared" si="74"/>
        <v>0</v>
      </c>
      <c r="BX48" s="4794">
        <f t="shared" si="75"/>
        <v>0</v>
      </c>
      <c r="BY48" s="4794">
        <f t="shared" si="76"/>
        <v>0</v>
      </c>
      <c r="BZ48" s="4794">
        <f t="shared" si="77"/>
        <v>0</v>
      </c>
      <c r="CA48" s="4794">
        <f t="shared" si="78"/>
        <v>0</v>
      </c>
      <c r="CB48" s="4794">
        <f t="shared" si="79"/>
        <v>0</v>
      </c>
      <c r="CC48" s="4794">
        <f t="shared" si="80"/>
        <v>0</v>
      </c>
      <c r="CD48" s="4794">
        <f t="shared" si="81"/>
        <v>0</v>
      </c>
      <c r="CE48" s="4794">
        <f t="shared" si="82"/>
        <v>0</v>
      </c>
      <c r="CF48" s="4794">
        <f t="shared" si="83"/>
        <v>0</v>
      </c>
      <c r="CG48" s="4794">
        <f t="shared" si="84"/>
        <v>0</v>
      </c>
      <c r="CH48" s="4794">
        <f t="shared" si="85"/>
        <v>0</v>
      </c>
      <c r="CI48" s="4794">
        <f t="shared" si="86"/>
        <v>0</v>
      </c>
      <c r="CJ48" s="4794">
        <f t="shared" si="87"/>
        <v>0</v>
      </c>
      <c r="CK48" s="4794">
        <f t="shared" si="88"/>
        <v>0</v>
      </c>
    </row>
    <row r="49" spans="1:89">
      <c r="A49" s="2896"/>
      <c r="B49" s="3821">
        <v>20504</v>
      </c>
      <c r="C49" s="3804">
        <v>0.1</v>
      </c>
      <c r="D49" s="2879" t="s">
        <v>557</v>
      </c>
      <c r="E49" s="2864">
        <f>'11.2. ДА за периода'!E49</f>
        <v>0</v>
      </c>
      <c r="F49" s="1247">
        <f>SUMIF('9.Инвестиционна програма'!$B$12:$B$35,$B49,'9.Инвестиционна програма'!H$12:H$35)*$E$6</f>
        <v>0</v>
      </c>
      <c r="G49" s="1243">
        <f>SUMIF('9.Инвестиционна програма'!$B$12:$B$35,$B49,'9.Инвестиционна програма'!I$12:I$35)*$E$6</f>
        <v>0</v>
      </c>
      <c r="H49" s="1243">
        <f>SUMIF('9.Инвестиционна програма'!$B$12:$B$35,$B49,'9.Инвестиционна програма'!J$12:J$35)*$E$6</f>
        <v>0</v>
      </c>
      <c r="I49" s="1243">
        <f>SUMIF('9.Инвестиционна програма'!$B$12:$B$35,$B49,'9.Инвестиционна програма'!K$12:K$35)*$E$6</f>
        <v>0</v>
      </c>
      <c r="J49" s="1243">
        <f>SUMIF('9.Инвестиционна програма'!$B$12:$B$35,$B49,'9.Инвестиционна програма'!L$12:L$35)*$E$6</f>
        <v>0</v>
      </c>
      <c r="K49" s="1248">
        <f>SUMIF('9.Инвестиционна програма'!$B$12:$B$35,$B49,'9.Инвестиционна програма'!M$12:M$35)*$E$6</f>
        <v>0</v>
      </c>
      <c r="L49" s="2864">
        <f>'11.2. ДА за периода'!L49</f>
        <v>0</v>
      </c>
      <c r="M49" s="1251">
        <f>SUMIF('9.Инвестиционна програма'!$B$37:$B$47,$B49,'9.Инвестиционна програма'!H$37:H$47)*$E$6</f>
        <v>0</v>
      </c>
      <c r="N49" s="1245">
        <f>SUMIF('9.Инвестиционна програма'!$B$37:$B$47,$B49,'9.Инвестиционна програма'!I$37:I$47)*$E$6</f>
        <v>0</v>
      </c>
      <c r="O49" s="1245">
        <f>SUMIF('9.Инвестиционна програма'!$B$37:$B$47,$B49,'9.Инвестиционна програма'!J$37:J$47)*$E$6</f>
        <v>0</v>
      </c>
      <c r="P49" s="1245">
        <f>SUMIF('9.Инвестиционна програма'!$B$37:$B$47,$B49,'9.Инвестиционна програма'!K$37:K$47)*$E$6</f>
        <v>0</v>
      </c>
      <c r="Q49" s="1245">
        <f>SUMIF('9.Инвестиционна програма'!$B$37:$B$47,$B49,'9.Инвестиционна програма'!L$37:L$47)*$E$6</f>
        <v>0</v>
      </c>
      <c r="R49" s="1246">
        <f>SUMIF('9.Инвестиционна програма'!$B$37:$B$47,$B49,'9.Инвестиционна програма'!M$37:M$47)*$E$6</f>
        <v>0</v>
      </c>
      <c r="S49" s="1132">
        <f>'11.2. ДА за периода'!S49</f>
        <v>0</v>
      </c>
      <c r="T49" s="925">
        <f>SUMIF('9.Инвестиционна програма'!$B$49:$B$56,$B49,'9.Инвестиционна програма'!H$49:H$56)*$E$6</f>
        <v>0</v>
      </c>
      <c r="U49" s="925">
        <f>SUMIF('9.Инвестиционна програма'!$B$49:$B$56,$B49,'9.Инвестиционна програма'!I$49:I$56)*$E$6</f>
        <v>0</v>
      </c>
      <c r="V49" s="925">
        <f>SUMIF('9.Инвестиционна програма'!$B$49:$B$56,$B49,'9.Инвестиционна програма'!J$49:J$56)*$E$6</f>
        <v>0</v>
      </c>
      <c r="W49" s="925">
        <f>SUMIF('9.Инвестиционна програма'!$B$49:$B$56,$B49,'9.Инвестиционна програма'!K$49:K$56)*$E$6</f>
        <v>0</v>
      </c>
      <c r="X49" s="925">
        <f>SUMIF('9.Инвестиционна програма'!$B$49:$B$56,$B49,'9.Инвестиционна програма'!L$49:L$56)*$E$6</f>
        <v>0</v>
      </c>
      <c r="Y49" s="2865">
        <f>SUMIF('9.Инвестиционна програма'!$B$49:$B$56,$B49,'9.Инвестиционна програма'!M$49:M$56)*$E$6</f>
        <v>0</v>
      </c>
      <c r="Z49" s="1132">
        <f>'11.2. ДА за периода'!Z49</f>
        <v>0</v>
      </c>
      <c r="AA49" s="925">
        <f>SUMIF('9.Инвестиционна програма'!$B$74:$B$97,$B49,'9.Инвестиционна програма'!H$74:H$97)*$E$6</f>
        <v>0</v>
      </c>
      <c r="AB49" s="925">
        <f>SUMIF('9.Инвестиционна програма'!$B$74:$B$97,$B49,'9.Инвестиционна програма'!I$74:I$97)*$E$6</f>
        <v>0</v>
      </c>
      <c r="AC49" s="925">
        <f>SUMIF('9.Инвестиционна програма'!$B$74:$B$97,$B49,'9.Инвестиционна програма'!J$74:J$97)*$E$6</f>
        <v>0</v>
      </c>
      <c r="AD49" s="925">
        <f>SUMIF('9.Инвестиционна програма'!$B$74:$B$97,$B49,'9.Инвестиционна програма'!K$74:K$97)*$E$6</f>
        <v>0</v>
      </c>
      <c r="AE49" s="925">
        <f>SUMIF('9.Инвестиционна програма'!$B$74:$B$97,$B49,'9.Инвестиционна програма'!L$74:L$97)*$E$6</f>
        <v>0</v>
      </c>
      <c r="AF49" s="925">
        <f>SUMIF('9.Инвестиционна програма'!$B$74:$B$97,$B49,'9.Инвестиционна програма'!M$74:M$97)*$E$6</f>
        <v>0</v>
      </c>
      <c r="AG49" s="1132">
        <f>'11.2. ДА за периода'!AG49</f>
        <v>0</v>
      </c>
      <c r="AH49" s="925">
        <f>SUMIF('9.Инвестиционна програма'!$B$100:$B$123,$B49,'9.Инвестиционна програма'!H$100:H$123)*$E$6</f>
        <v>0</v>
      </c>
      <c r="AI49" s="925">
        <f>SUMIF('9.Инвестиционна програма'!$B$100:$B$123,$B49,'9.Инвестиционна програма'!I$100:I$123)*$E$6</f>
        <v>0</v>
      </c>
      <c r="AJ49" s="925">
        <f>SUMIF('9.Инвестиционна програма'!$B$100:$B$123,$B49,'9.Инвестиционна програма'!J$100:J$123)*$E$6</f>
        <v>0</v>
      </c>
      <c r="AK49" s="925">
        <f>SUMIF('9.Инвестиционна програма'!$B$100:$B$123,$B49,'9.Инвестиционна програма'!K$100:K$123)*$E$6</f>
        <v>0</v>
      </c>
      <c r="AL49" s="925">
        <f>SUMIF('9.Инвестиционна програма'!$B$100:$B$123,$B49,'9.Инвестиционна програма'!L$100:L$123)*$E$6</f>
        <v>0</v>
      </c>
      <c r="AM49" s="925">
        <f>SUMIF('9.Инвестиционна програма'!$B$100:$B$123,$B49,'9.Инвестиционна програма'!M$100:M$123)*$E$6</f>
        <v>0</v>
      </c>
      <c r="AN49" s="1132">
        <f>'11.2. ДА за периода'!AN49</f>
        <v>0</v>
      </c>
      <c r="AO49" s="1251">
        <f>(SUMIF('9.Инвестиционна програма'!$B$58:$B$59,$B49,'9.Инвестиционна програма'!H$58:H$59)+SUMIF('9.Инвестиционна програма'!$B$61:$B$71,$B49,'9.Инвестиционна програма'!H$61:H$71))*$E$6</f>
        <v>0</v>
      </c>
      <c r="AP49" s="925">
        <f>(SUMIF('9.Инвестиционна програма'!$B$58:$B$59,$B49,'9.Инвестиционна програма'!I$58:I$59)+SUMIF('9.Инвестиционна програма'!$B$61:$B$71,$B49,'9.Инвестиционна програма'!I$61:I$71))*$E$6</f>
        <v>0</v>
      </c>
      <c r="AQ49" s="925">
        <f>(SUMIF('9.Инвестиционна програма'!$B$58:$B$59,$B49,'9.Инвестиционна програма'!J$58:J$59)+SUMIF('9.Инвестиционна програма'!$B$61:$B$71,$B49,'9.Инвестиционна програма'!J$61:J$71))*$E$6</f>
        <v>0</v>
      </c>
      <c r="AR49" s="925">
        <f>(SUMIF('9.Инвестиционна програма'!$B$58:$B$59,$B49,'9.Инвестиционна програма'!K$58:K$59)+SUMIF('9.Инвестиционна програма'!$B$61:$B$71,$B49,'9.Инвестиционна програма'!K$61:K$71))*$E$6</f>
        <v>0</v>
      </c>
      <c r="AS49" s="925">
        <f>(SUMIF('9.Инвестиционна програма'!$B$58:$B$59,$B49,'9.Инвестиционна програма'!L$58:L$59)+SUMIF('9.Инвестиционна програма'!$B$61:$B$71,$B49,'9.Инвестиционна програма'!L$61:L$71))*$E$6</f>
        <v>0</v>
      </c>
      <c r="AT49" s="2865">
        <f>(SUMIF('9.Инвестиционна програма'!$B$58:$B$59,$B49,'9.Инвестиционна програма'!M$58:M$59)+SUMIF('9.Инвестиционна програма'!$B$61:$B$71,$B49,'9.Инвестиционна програма'!M$61:M$71))*$E$6</f>
        <v>0</v>
      </c>
      <c r="AU49" s="4775"/>
      <c r="AV49" s="4794">
        <f t="shared" si="47"/>
        <v>0</v>
      </c>
      <c r="AW49" s="4794">
        <f t="shared" si="48"/>
        <v>0</v>
      </c>
      <c r="AX49" s="4794">
        <f t="shared" si="49"/>
        <v>0</v>
      </c>
      <c r="AY49" s="4794">
        <f t="shared" si="50"/>
        <v>0</v>
      </c>
      <c r="AZ49" s="4794">
        <f t="shared" si="51"/>
        <v>0</v>
      </c>
      <c r="BA49" s="4794">
        <f t="shared" si="52"/>
        <v>0</v>
      </c>
      <c r="BB49" s="4794">
        <f t="shared" si="53"/>
        <v>0</v>
      </c>
      <c r="BC49" s="4794">
        <f t="shared" si="54"/>
        <v>0</v>
      </c>
      <c r="BD49" s="4794">
        <f t="shared" si="55"/>
        <v>0</v>
      </c>
      <c r="BE49" s="4794">
        <f t="shared" si="56"/>
        <v>0</v>
      </c>
      <c r="BF49" s="4794">
        <f t="shared" si="57"/>
        <v>0</v>
      </c>
      <c r="BG49" s="4794">
        <f t="shared" si="58"/>
        <v>0</v>
      </c>
      <c r="BH49" s="4794">
        <f t="shared" si="59"/>
        <v>0</v>
      </c>
      <c r="BI49" s="4794">
        <f t="shared" si="60"/>
        <v>0</v>
      </c>
      <c r="BJ49" s="4794">
        <f t="shared" si="61"/>
        <v>0</v>
      </c>
      <c r="BK49" s="4794">
        <f t="shared" si="62"/>
        <v>0</v>
      </c>
      <c r="BL49" s="4794">
        <f t="shared" si="63"/>
        <v>0</v>
      </c>
      <c r="BM49" s="4794">
        <f t="shared" si="64"/>
        <v>0</v>
      </c>
      <c r="BN49" s="4794">
        <f t="shared" si="65"/>
        <v>0</v>
      </c>
      <c r="BO49" s="4794">
        <f t="shared" si="66"/>
        <v>0</v>
      </c>
      <c r="BP49" s="4794">
        <f t="shared" si="67"/>
        <v>0</v>
      </c>
      <c r="BQ49" s="4794">
        <f t="shared" si="68"/>
        <v>0</v>
      </c>
      <c r="BR49" s="4794">
        <f t="shared" si="69"/>
        <v>0</v>
      </c>
      <c r="BS49" s="4794">
        <f t="shared" si="70"/>
        <v>0</v>
      </c>
      <c r="BT49" s="4794">
        <f t="shared" si="71"/>
        <v>0</v>
      </c>
      <c r="BU49" s="4794">
        <f t="shared" si="72"/>
        <v>0</v>
      </c>
      <c r="BV49" s="4794">
        <f t="shared" si="73"/>
        <v>0</v>
      </c>
      <c r="BW49" s="4794">
        <f t="shared" si="74"/>
        <v>0</v>
      </c>
      <c r="BX49" s="4794">
        <f t="shared" si="75"/>
        <v>0</v>
      </c>
      <c r="BY49" s="4794">
        <f t="shared" si="76"/>
        <v>0</v>
      </c>
      <c r="BZ49" s="4794">
        <f t="shared" si="77"/>
        <v>0</v>
      </c>
      <c r="CA49" s="4794">
        <f t="shared" si="78"/>
        <v>0</v>
      </c>
      <c r="CB49" s="4794">
        <f t="shared" si="79"/>
        <v>0</v>
      </c>
      <c r="CC49" s="4794">
        <f t="shared" si="80"/>
        <v>0</v>
      </c>
      <c r="CD49" s="4794">
        <f t="shared" si="81"/>
        <v>0</v>
      </c>
      <c r="CE49" s="4794">
        <f t="shared" si="82"/>
        <v>0</v>
      </c>
      <c r="CF49" s="4794">
        <f t="shared" si="83"/>
        <v>0</v>
      </c>
      <c r="CG49" s="4794">
        <f t="shared" si="84"/>
        <v>0</v>
      </c>
      <c r="CH49" s="4794">
        <f t="shared" si="85"/>
        <v>0</v>
      </c>
      <c r="CI49" s="4794">
        <f t="shared" si="86"/>
        <v>0</v>
      </c>
      <c r="CJ49" s="4794">
        <f t="shared" si="87"/>
        <v>0</v>
      </c>
      <c r="CK49" s="4794">
        <f t="shared" si="88"/>
        <v>0</v>
      </c>
    </row>
    <row r="50" spans="1:89">
      <c r="A50" s="2871">
        <v>6</v>
      </c>
      <c r="B50" s="3822">
        <v>206</v>
      </c>
      <c r="C50" s="3805">
        <v>0.1</v>
      </c>
      <c r="D50" s="2887" t="s">
        <v>394</v>
      </c>
      <c r="E50" s="2890">
        <f>SUM(E51:E53)</f>
        <v>60</v>
      </c>
      <c r="F50" s="2891">
        <f>SUM(F51:F53)</f>
        <v>0</v>
      </c>
      <c r="G50" s="2892">
        <f>SUM(G51:G53)</f>
        <v>0</v>
      </c>
      <c r="H50" s="2892">
        <f t="shared" ref="H50:AT50" si="105">SUM(H51:H53)</f>
        <v>0</v>
      </c>
      <c r="I50" s="2892">
        <f t="shared" si="105"/>
        <v>0</v>
      </c>
      <c r="J50" s="2892">
        <f t="shared" si="105"/>
        <v>0</v>
      </c>
      <c r="K50" s="2893">
        <f t="shared" si="105"/>
        <v>0</v>
      </c>
      <c r="L50" s="2890">
        <f>SUM(L51:L53)</f>
        <v>15</v>
      </c>
      <c r="M50" s="2872">
        <f t="shared" si="105"/>
        <v>0</v>
      </c>
      <c r="N50" s="2873">
        <f t="shared" si="105"/>
        <v>0</v>
      </c>
      <c r="O50" s="2873">
        <f t="shared" si="105"/>
        <v>0</v>
      </c>
      <c r="P50" s="2873">
        <f t="shared" si="105"/>
        <v>0</v>
      </c>
      <c r="Q50" s="2873">
        <f t="shared" si="105"/>
        <v>0</v>
      </c>
      <c r="R50" s="2874">
        <f t="shared" si="105"/>
        <v>0</v>
      </c>
      <c r="S50" s="2894">
        <f t="shared" si="105"/>
        <v>10</v>
      </c>
      <c r="T50" s="2875">
        <f t="shared" si="105"/>
        <v>0</v>
      </c>
      <c r="U50" s="2873">
        <f t="shared" si="105"/>
        <v>0</v>
      </c>
      <c r="V50" s="2873">
        <f t="shared" si="105"/>
        <v>0</v>
      </c>
      <c r="W50" s="2873">
        <f t="shared" si="105"/>
        <v>0</v>
      </c>
      <c r="X50" s="2873">
        <f t="shared" si="105"/>
        <v>0</v>
      </c>
      <c r="Y50" s="2874">
        <f t="shared" si="105"/>
        <v>0</v>
      </c>
      <c r="Z50" s="2894">
        <f t="shared" si="105"/>
        <v>0</v>
      </c>
      <c r="AA50" s="2875">
        <f t="shared" si="105"/>
        <v>0</v>
      </c>
      <c r="AB50" s="2873">
        <f t="shared" si="105"/>
        <v>0</v>
      </c>
      <c r="AC50" s="2873">
        <f t="shared" si="105"/>
        <v>0</v>
      </c>
      <c r="AD50" s="2873">
        <f t="shared" si="105"/>
        <v>0</v>
      </c>
      <c r="AE50" s="2873">
        <f t="shared" si="105"/>
        <v>0</v>
      </c>
      <c r="AF50" s="2874">
        <f t="shared" si="105"/>
        <v>0</v>
      </c>
      <c r="AG50" s="2894">
        <f t="shared" si="105"/>
        <v>0</v>
      </c>
      <c r="AH50" s="2875">
        <f t="shared" si="105"/>
        <v>0</v>
      </c>
      <c r="AI50" s="2873">
        <f t="shared" si="105"/>
        <v>0</v>
      </c>
      <c r="AJ50" s="2873">
        <f t="shared" si="105"/>
        <v>0</v>
      </c>
      <c r="AK50" s="2873">
        <f t="shared" si="105"/>
        <v>0</v>
      </c>
      <c r="AL50" s="2873">
        <f t="shared" si="105"/>
        <v>0</v>
      </c>
      <c r="AM50" s="2874">
        <f t="shared" si="105"/>
        <v>0</v>
      </c>
      <c r="AN50" s="2894">
        <f t="shared" si="105"/>
        <v>0</v>
      </c>
      <c r="AO50" s="2895">
        <f t="shared" si="105"/>
        <v>100</v>
      </c>
      <c r="AP50" s="2892">
        <f t="shared" si="105"/>
        <v>80</v>
      </c>
      <c r="AQ50" s="2892">
        <f t="shared" si="105"/>
        <v>50</v>
      </c>
      <c r="AR50" s="2892">
        <f t="shared" si="105"/>
        <v>60</v>
      </c>
      <c r="AS50" s="2892">
        <f t="shared" si="105"/>
        <v>50</v>
      </c>
      <c r="AT50" s="2893">
        <f t="shared" si="105"/>
        <v>60</v>
      </c>
      <c r="AU50" s="4775"/>
      <c r="AV50" s="4794">
        <f t="shared" si="47"/>
        <v>30.677512871773111</v>
      </c>
      <c r="AW50" s="4794">
        <f t="shared" si="48"/>
        <v>0</v>
      </c>
      <c r="AX50" s="4794">
        <f t="shared" si="49"/>
        <v>0</v>
      </c>
      <c r="AY50" s="4794">
        <f t="shared" si="50"/>
        <v>0</v>
      </c>
      <c r="AZ50" s="4794">
        <f t="shared" si="51"/>
        <v>0</v>
      </c>
      <c r="BA50" s="4794">
        <f t="shared" si="52"/>
        <v>0</v>
      </c>
      <c r="BB50" s="4794">
        <f t="shared" si="53"/>
        <v>0</v>
      </c>
      <c r="BC50" s="4794">
        <f t="shared" si="54"/>
        <v>7.6693782179432777</v>
      </c>
      <c r="BD50" s="4794">
        <f t="shared" si="55"/>
        <v>0</v>
      </c>
      <c r="BE50" s="4794">
        <f t="shared" si="56"/>
        <v>0</v>
      </c>
      <c r="BF50" s="4794">
        <f t="shared" si="57"/>
        <v>0</v>
      </c>
      <c r="BG50" s="4794">
        <f t="shared" si="58"/>
        <v>0</v>
      </c>
      <c r="BH50" s="4794">
        <f t="shared" si="59"/>
        <v>0</v>
      </c>
      <c r="BI50" s="4794">
        <f t="shared" si="60"/>
        <v>0</v>
      </c>
      <c r="BJ50" s="4794">
        <f t="shared" si="61"/>
        <v>5.1129188119621851</v>
      </c>
      <c r="BK50" s="4794">
        <f t="shared" si="62"/>
        <v>0</v>
      </c>
      <c r="BL50" s="4794">
        <f t="shared" si="63"/>
        <v>0</v>
      </c>
      <c r="BM50" s="4794">
        <f t="shared" si="64"/>
        <v>0</v>
      </c>
      <c r="BN50" s="4794">
        <f t="shared" si="65"/>
        <v>0</v>
      </c>
      <c r="BO50" s="4794">
        <f t="shared" si="66"/>
        <v>0</v>
      </c>
      <c r="BP50" s="4794">
        <f t="shared" si="67"/>
        <v>0</v>
      </c>
      <c r="BQ50" s="4794">
        <f t="shared" si="68"/>
        <v>0</v>
      </c>
      <c r="BR50" s="4794">
        <f t="shared" si="69"/>
        <v>0</v>
      </c>
      <c r="BS50" s="4794">
        <f t="shared" si="70"/>
        <v>0</v>
      </c>
      <c r="BT50" s="4794">
        <f t="shared" si="71"/>
        <v>0</v>
      </c>
      <c r="BU50" s="4794">
        <f t="shared" si="72"/>
        <v>0</v>
      </c>
      <c r="BV50" s="4794">
        <f t="shared" si="73"/>
        <v>0</v>
      </c>
      <c r="BW50" s="4794">
        <f t="shared" si="74"/>
        <v>0</v>
      </c>
      <c r="BX50" s="4794">
        <f t="shared" si="75"/>
        <v>0</v>
      </c>
      <c r="BY50" s="4794">
        <f t="shared" si="76"/>
        <v>0</v>
      </c>
      <c r="BZ50" s="4794">
        <f t="shared" si="77"/>
        <v>0</v>
      </c>
      <c r="CA50" s="4794">
        <f t="shared" si="78"/>
        <v>0</v>
      </c>
      <c r="CB50" s="4794">
        <f t="shared" si="79"/>
        <v>0</v>
      </c>
      <c r="CC50" s="4794">
        <f t="shared" si="80"/>
        <v>0</v>
      </c>
      <c r="CD50" s="4794">
        <f t="shared" si="81"/>
        <v>0</v>
      </c>
      <c r="CE50" s="4794">
        <f t="shared" si="82"/>
        <v>0</v>
      </c>
      <c r="CF50" s="4794">
        <f t="shared" si="83"/>
        <v>51.129188119621851</v>
      </c>
      <c r="CG50" s="4794">
        <f t="shared" si="84"/>
        <v>40.903350495697481</v>
      </c>
      <c r="CH50" s="4794">
        <f t="shared" si="85"/>
        <v>25.564594059810926</v>
      </c>
      <c r="CI50" s="4794">
        <f t="shared" si="86"/>
        <v>30.677512871773111</v>
      </c>
      <c r="CJ50" s="4794">
        <f t="shared" si="87"/>
        <v>25.564594059810926</v>
      </c>
      <c r="CK50" s="4794">
        <f t="shared" si="88"/>
        <v>30.677512871773111</v>
      </c>
    </row>
    <row r="51" spans="1:89">
      <c r="A51" s="2871"/>
      <c r="B51" s="3821">
        <v>20601</v>
      </c>
      <c r="C51" s="3804">
        <v>0.1</v>
      </c>
      <c r="D51" s="2879" t="s">
        <v>564</v>
      </c>
      <c r="E51" s="2864">
        <f>'11.2. ДА за периода'!E51</f>
        <v>52</v>
      </c>
      <c r="F51" s="1247">
        <f>SUMIF('9.Инвестиционна програма'!$B$12:$B$35,$B51,'9.Инвестиционна програма'!H$12:H$35)*$E$6</f>
        <v>0</v>
      </c>
      <c r="G51" s="1243">
        <f>SUMIF('9.Инвестиционна програма'!$B$12:$B$35,$B51,'9.Инвестиционна програма'!I$12:I$35)*$E$6</f>
        <v>0</v>
      </c>
      <c r="H51" s="1243">
        <f>SUMIF('9.Инвестиционна програма'!$B$12:$B$35,$B51,'9.Инвестиционна програма'!J$12:J$35)*$E$6</f>
        <v>0</v>
      </c>
      <c r="I51" s="1243">
        <f>SUMIF('9.Инвестиционна програма'!$B$12:$B$35,$B51,'9.Инвестиционна програма'!K$12:K$35)*$E$6</f>
        <v>0</v>
      </c>
      <c r="J51" s="1243">
        <f>SUMIF('9.Инвестиционна програма'!$B$12:$B$35,$B51,'9.Инвестиционна програма'!L$12:L$35)*$E$6</f>
        <v>0</v>
      </c>
      <c r="K51" s="1248">
        <f>SUMIF('9.Инвестиционна програма'!$B$12:$B$35,$B51,'9.Инвестиционна програма'!M$12:M$35)*$E$6</f>
        <v>0</v>
      </c>
      <c r="L51" s="2864">
        <f>'11.2. ДА за периода'!L51</f>
        <v>13</v>
      </c>
      <c r="M51" s="1251">
        <f>SUMIF('9.Инвестиционна програма'!$B$37:$B$47,$B51,'9.Инвестиционна програма'!H$37:H$47)*$E$6</f>
        <v>0</v>
      </c>
      <c r="N51" s="1245">
        <f>SUMIF('9.Инвестиционна програма'!$B$37:$B$47,$B51,'9.Инвестиционна програма'!I$37:I$47)*$E$6</f>
        <v>0</v>
      </c>
      <c r="O51" s="1245">
        <f>SUMIF('9.Инвестиционна програма'!$B$37:$B$47,$B51,'9.Инвестиционна програма'!J$37:J$47)*$E$6</f>
        <v>0</v>
      </c>
      <c r="P51" s="1245">
        <f>SUMIF('9.Инвестиционна програма'!$B$37:$B$47,$B51,'9.Инвестиционна програма'!K$37:K$47)*$E$6</f>
        <v>0</v>
      </c>
      <c r="Q51" s="1245">
        <f>SUMIF('9.Инвестиционна програма'!$B$37:$B$47,$B51,'9.Инвестиционна програма'!L$37:L$47)*$E$6</f>
        <v>0</v>
      </c>
      <c r="R51" s="1246">
        <f>SUMIF('9.Инвестиционна програма'!$B$37:$B$47,$B51,'9.Инвестиционна програма'!M$37:M$47)*$E$6</f>
        <v>0</v>
      </c>
      <c r="S51" s="1132">
        <f>'11.2. ДА за периода'!S51</f>
        <v>9</v>
      </c>
      <c r="T51" s="925">
        <f>SUMIF('9.Инвестиционна програма'!$B$49:$B$56,$B51,'9.Инвестиционна програма'!H$49:H$56)*$E$6</f>
        <v>0</v>
      </c>
      <c r="U51" s="925">
        <f>SUMIF('9.Инвестиционна програма'!$B$49:$B$56,$B51,'9.Инвестиционна програма'!I$49:I$56)*$E$6</f>
        <v>0</v>
      </c>
      <c r="V51" s="925">
        <f>SUMIF('9.Инвестиционна програма'!$B$49:$B$56,$B51,'9.Инвестиционна програма'!J$49:J$56)*$E$6</f>
        <v>0</v>
      </c>
      <c r="W51" s="925">
        <f>SUMIF('9.Инвестиционна програма'!$B$49:$B$56,$B51,'9.Инвестиционна програма'!K$49:K$56)*$E$6</f>
        <v>0</v>
      </c>
      <c r="X51" s="925">
        <f>SUMIF('9.Инвестиционна програма'!$B$49:$B$56,$B51,'9.Инвестиционна програма'!L$49:L$56)*$E$6</f>
        <v>0</v>
      </c>
      <c r="Y51" s="2865">
        <f>SUMIF('9.Инвестиционна програма'!$B$49:$B$56,$B51,'9.Инвестиционна програма'!M$49:M$56)*$E$6</f>
        <v>0</v>
      </c>
      <c r="Z51" s="1132">
        <f>'11.2. ДА за периода'!Z51</f>
        <v>0</v>
      </c>
      <c r="AA51" s="925">
        <f>SUMIF('9.Инвестиционна програма'!$B$74:$B$97,$B51,'9.Инвестиционна програма'!H$74:H$97)*$E$6</f>
        <v>0</v>
      </c>
      <c r="AB51" s="925">
        <f>SUMIF('9.Инвестиционна програма'!$B$74:$B$97,$B51,'9.Инвестиционна програма'!I$74:I$97)*$E$6</f>
        <v>0</v>
      </c>
      <c r="AC51" s="925">
        <f>SUMIF('9.Инвестиционна програма'!$B$74:$B$97,$B51,'9.Инвестиционна програма'!J$74:J$97)*$E$6</f>
        <v>0</v>
      </c>
      <c r="AD51" s="925">
        <f>SUMIF('9.Инвестиционна програма'!$B$74:$B$97,$B51,'9.Инвестиционна програма'!K$74:K$97)*$E$6</f>
        <v>0</v>
      </c>
      <c r="AE51" s="925">
        <f>SUMIF('9.Инвестиционна програма'!$B$74:$B$97,$B51,'9.Инвестиционна програма'!L$74:L$97)*$E$6</f>
        <v>0</v>
      </c>
      <c r="AF51" s="925">
        <f>SUMIF('9.Инвестиционна програма'!$B$74:$B$97,$B51,'9.Инвестиционна програма'!M$74:M$97)*$E$6</f>
        <v>0</v>
      </c>
      <c r="AG51" s="1132">
        <f>'11.2. ДА за периода'!AG51</f>
        <v>0</v>
      </c>
      <c r="AH51" s="925">
        <f>SUMIF('9.Инвестиционна програма'!$B$100:$B$123,$B51,'9.Инвестиционна програма'!H$100:H$123)*$E$6</f>
        <v>0</v>
      </c>
      <c r="AI51" s="925">
        <f>SUMIF('9.Инвестиционна програма'!$B$100:$B$123,$B51,'9.Инвестиционна програма'!I$100:I$123)*$E$6</f>
        <v>0</v>
      </c>
      <c r="AJ51" s="925">
        <f>SUMIF('9.Инвестиционна програма'!$B$100:$B$123,$B51,'9.Инвестиционна програма'!J$100:J$123)*$E$6</f>
        <v>0</v>
      </c>
      <c r="AK51" s="925">
        <f>SUMIF('9.Инвестиционна програма'!$B$100:$B$123,$B51,'9.Инвестиционна програма'!K$100:K$123)*$E$6</f>
        <v>0</v>
      </c>
      <c r="AL51" s="925">
        <f>SUMIF('9.Инвестиционна програма'!$B$100:$B$123,$B51,'9.Инвестиционна програма'!L$100:L$123)*$E$6</f>
        <v>0</v>
      </c>
      <c r="AM51" s="925">
        <f>SUMIF('9.Инвестиционна програма'!$B$100:$B$123,$B51,'9.Инвестиционна програма'!M$100:M$123)*$E$6</f>
        <v>0</v>
      </c>
      <c r="AN51" s="1132">
        <f>'11.2. ДА за периода'!AN51</f>
        <v>0</v>
      </c>
      <c r="AO51" s="1251">
        <f>(SUMIF('9.Инвестиционна програма'!$B$58:$B$59,$B51,'9.Инвестиционна програма'!H$58:H$59)+SUMIF('9.Инвестиционна програма'!$B$61:$B$71,$B51,'9.Инвестиционна програма'!H$61:H$71))*$E$6</f>
        <v>100</v>
      </c>
      <c r="AP51" s="925">
        <f>(SUMIF('9.Инвестиционна програма'!$B$58:$B$59,$B51,'9.Инвестиционна програма'!I$58:I$59)+SUMIF('9.Инвестиционна програма'!$B$61:$B$71,$B51,'9.Инвестиционна програма'!I$61:I$71))*$E$6</f>
        <v>80</v>
      </c>
      <c r="AQ51" s="925">
        <f>(SUMIF('9.Инвестиционна програма'!$B$58:$B$59,$B51,'9.Инвестиционна програма'!J$58:J$59)+SUMIF('9.Инвестиционна програма'!$B$61:$B$71,$B51,'9.Инвестиционна програма'!J$61:J$71))*$E$6</f>
        <v>50</v>
      </c>
      <c r="AR51" s="925">
        <f>(SUMIF('9.Инвестиционна програма'!$B$58:$B$59,$B51,'9.Инвестиционна програма'!K$58:K$59)+SUMIF('9.Инвестиционна програма'!$B$61:$B$71,$B51,'9.Инвестиционна програма'!K$61:K$71))*$E$6</f>
        <v>60</v>
      </c>
      <c r="AS51" s="925">
        <f>(SUMIF('9.Инвестиционна програма'!$B$58:$B$59,$B51,'9.Инвестиционна програма'!L$58:L$59)+SUMIF('9.Инвестиционна програма'!$B$61:$B$71,$B51,'9.Инвестиционна програма'!L$61:L$71))*$E$6</f>
        <v>50</v>
      </c>
      <c r="AT51" s="2865">
        <f>(SUMIF('9.Инвестиционна програма'!$B$58:$B$59,$B51,'9.Инвестиционна програма'!M$58:M$59)+SUMIF('9.Инвестиционна програма'!$B$61:$B$71,$B51,'9.Инвестиционна програма'!M$61:M$71))*$E$6</f>
        <v>60</v>
      </c>
      <c r="AU51" s="4775"/>
      <c r="AV51" s="4794">
        <f t="shared" si="47"/>
        <v>26.587177822203362</v>
      </c>
      <c r="AW51" s="4794">
        <f t="shared" si="48"/>
        <v>0</v>
      </c>
      <c r="AX51" s="4794">
        <f t="shared" si="49"/>
        <v>0</v>
      </c>
      <c r="AY51" s="4794">
        <f t="shared" si="50"/>
        <v>0</v>
      </c>
      <c r="AZ51" s="4794">
        <f t="shared" si="51"/>
        <v>0</v>
      </c>
      <c r="BA51" s="4794">
        <f t="shared" si="52"/>
        <v>0</v>
      </c>
      <c r="BB51" s="4794">
        <f t="shared" si="53"/>
        <v>0</v>
      </c>
      <c r="BC51" s="4794">
        <f t="shared" si="54"/>
        <v>6.6467944555508405</v>
      </c>
      <c r="BD51" s="4794">
        <f t="shared" si="55"/>
        <v>0</v>
      </c>
      <c r="BE51" s="4794">
        <f t="shared" si="56"/>
        <v>0</v>
      </c>
      <c r="BF51" s="4794">
        <f t="shared" si="57"/>
        <v>0</v>
      </c>
      <c r="BG51" s="4794">
        <f t="shared" si="58"/>
        <v>0</v>
      </c>
      <c r="BH51" s="4794">
        <f t="shared" si="59"/>
        <v>0</v>
      </c>
      <c r="BI51" s="4794">
        <f t="shared" si="60"/>
        <v>0</v>
      </c>
      <c r="BJ51" s="4794">
        <f t="shared" si="61"/>
        <v>4.6016269307659661</v>
      </c>
      <c r="BK51" s="4794">
        <f t="shared" si="62"/>
        <v>0</v>
      </c>
      <c r="BL51" s="4794">
        <f t="shared" si="63"/>
        <v>0</v>
      </c>
      <c r="BM51" s="4794">
        <f t="shared" si="64"/>
        <v>0</v>
      </c>
      <c r="BN51" s="4794">
        <f t="shared" si="65"/>
        <v>0</v>
      </c>
      <c r="BO51" s="4794">
        <f t="shared" si="66"/>
        <v>0</v>
      </c>
      <c r="BP51" s="4794">
        <f t="shared" si="67"/>
        <v>0</v>
      </c>
      <c r="BQ51" s="4794">
        <f t="shared" si="68"/>
        <v>0</v>
      </c>
      <c r="BR51" s="4794">
        <f t="shared" si="69"/>
        <v>0</v>
      </c>
      <c r="BS51" s="4794">
        <f t="shared" si="70"/>
        <v>0</v>
      </c>
      <c r="BT51" s="4794">
        <f t="shared" si="71"/>
        <v>0</v>
      </c>
      <c r="BU51" s="4794">
        <f t="shared" si="72"/>
        <v>0</v>
      </c>
      <c r="BV51" s="4794">
        <f t="shared" si="73"/>
        <v>0</v>
      </c>
      <c r="BW51" s="4794">
        <f t="shared" si="74"/>
        <v>0</v>
      </c>
      <c r="BX51" s="4794">
        <f t="shared" si="75"/>
        <v>0</v>
      </c>
      <c r="BY51" s="4794">
        <f t="shared" si="76"/>
        <v>0</v>
      </c>
      <c r="BZ51" s="4794">
        <f t="shared" si="77"/>
        <v>0</v>
      </c>
      <c r="CA51" s="4794">
        <f t="shared" si="78"/>
        <v>0</v>
      </c>
      <c r="CB51" s="4794">
        <f t="shared" si="79"/>
        <v>0</v>
      </c>
      <c r="CC51" s="4794">
        <f t="shared" si="80"/>
        <v>0</v>
      </c>
      <c r="CD51" s="4794">
        <f t="shared" si="81"/>
        <v>0</v>
      </c>
      <c r="CE51" s="4794">
        <f t="shared" si="82"/>
        <v>0</v>
      </c>
      <c r="CF51" s="4794">
        <f t="shared" si="83"/>
        <v>51.129188119621851</v>
      </c>
      <c r="CG51" s="4794">
        <f t="shared" si="84"/>
        <v>40.903350495697481</v>
      </c>
      <c r="CH51" s="4794">
        <f t="shared" si="85"/>
        <v>25.564594059810926</v>
      </c>
      <c r="CI51" s="4794">
        <f t="shared" si="86"/>
        <v>30.677512871773111</v>
      </c>
      <c r="CJ51" s="4794">
        <f t="shared" si="87"/>
        <v>25.564594059810926</v>
      </c>
      <c r="CK51" s="4794">
        <f t="shared" si="88"/>
        <v>30.677512871773111</v>
      </c>
    </row>
    <row r="52" spans="1:89">
      <c r="A52" s="2871"/>
      <c r="B52" s="3821">
        <v>20602</v>
      </c>
      <c r="C52" s="3804">
        <v>0.1</v>
      </c>
      <c r="D52" s="2879" t="s">
        <v>435</v>
      </c>
      <c r="E52" s="2864">
        <f>'11.2. ДА за периода'!E52</f>
        <v>7</v>
      </c>
      <c r="F52" s="1247">
        <f>SUMIF('9.Инвестиционна програма'!$B$12:$B$35,$B52,'9.Инвестиционна програма'!H$12:H$35)*$E$6</f>
        <v>0</v>
      </c>
      <c r="G52" s="1243">
        <f>SUMIF('9.Инвестиционна програма'!$B$12:$B$35,$B52,'9.Инвестиционна програма'!I$12:I$35)*$E$6</f>
        <v>0</v>
      </c>
      <c r="H52" s="1243">
        <f>SUMIF('9.Инвестиционна програма'!$B$12:$B$35,$B52,'9.Инвестиционна програма'!J$12:J$35)*$E$6</f>
        <v>0</v>
      </c>
      <c r="I52" s="1243">
        <f>SUMIF('9.Инвестиционна програма'!$B$12:$B$35,$B52,'9.Инвестиционна програма'!K$12:K$35)*$E$6</f>
        <v>0</v>
      </c>
      <c r="J52" s="1243">
        <f>SUMIF('9.Инвестиционна програма'!$B$12:$B$35,$B52,'9.Инвестиционна програма'!L$12:L$35)*$E$6</f>
        <v>0</v>
      </c>
      <c r="K52" s="1248">
        <f>SUMIF('9.Инвестиционна програма'!$B$12:$B$35,$B52,'9.Инвестиционна програма'!M$12:M$35)*$E$6</f>
        <v>0</v>
      </c>
      <c r="L52" s="2864">
        <f>'11.2. ДА за периода'!L52</f>
        <v>2</v>
      </c>
      <c r="M52" s="1251">
        <f>SUMIF('9.Инвестиционна програма'!$B$37:$B$47,$B52,'9.Инвестиционна програма'!H$37:H$47)*$E$6</f>
        <v>0</v>
      </c>
      <c r="N52" s="1245">
        <f>SUMIF('9.Инвестиционна програма'!$B$37:$B$47,$B52,'9.Инвестиционна програма'!I$37:I$47)*$E$6</f>
        <v>0</v>
      </c>
      <c r="O52" s="1245">
        <f>SUMIF('9.Инвестиционна програма'!$B$37:$B$47,$B52,'9.Инвестиционна програма'!J$37:J$47)*$E$6</f>
        <v>0</v>
      </c>
      <c r="P52" s="1245">
        <f>SUMIF('9.Инвестиционна програма'!$B$37:$B$47,$B52,'9.Инвестиционна програма'!K$37:K$47)*$E$6</f>
        <v>0</v>
      </c>
      <c r="Q52" s="1245">
        <f>SUMIF('9.Инвестиционна програма'!$B$37:$B$47,$B52,'9.Инвестиционна програма'!L$37:L$47)*$E$6</f>
        <v>0</v>
      </c>
      <c r="R52" s="1246">
        <f>SUMIF('9.Инвестиционна програма'!$B$37:$B$47,$B52,'9.Инвестиционна програма'!M$37:M$47)*$E$6</f>
        <v>0</v>
      </c>
      <c r="S52" s="1132">
        <f>'11.2. ДА за периода'!S52</f>
        <v>1</v>
      </c>
      <c r="T52" s="925">
        <f>SUMIF('9.Инвестиционна програма'!$B$49:$B$56,$B52,'9.Инвестиционна програма'!H$49:H$56)*$E$6</f>
        <v>0</v>
      </c>
      <c r="U52" s="925">
        <f>SUMIF('9.Инвестиционна програма'!$B$49:$B$56,$B52,'9.Инвестиционна програма'!I$49:I$56)*$E$6</f>
        <v>0</v>
      </c>
      <c r="V52" s="925">
        <f>SUMIF('9.Инвестиционна програма'!$B$49:$B$56,$B52,'9.Инвестиционна програма'!J$49:J$56)*$E$6</f>
        <v>0</v>
      </c>
      <c r="W52" s="925">
        <f>SUMIF('9.Инвестиционна програма'!$B$49:$B$56,$B52,'9.Инвестиционна програма'!K$49:K$56)*$E$6</f>
        <v>0</v>
      </c>
      <c r="X52" s="925">
        <f>SUMIF('9.Инвестиционна програма'!$B$49:$B$56,$B52,'9.Инвестиционна програма'!L$49:L$56)*$E$6</f>
        <v>0</v>
      </c>
      <c r="Y52" s="2865">
        <f>SUMIF('9.Инвестиционна програма'!$B$49:$B$56,$B52,'9.Инвестиционна програма'!M$49:M$56)*$E$6</f>
        <v>0</v>
      </c>
      <c r="Z52" s="1132">
        <f>'11.2. ДА за периода'!Z52</f>
        <v>0</v>
      </c>
      <c r="AA52" s="925">
        <f>SUMIF('9.Инвестиционна програма'!$B$74:$B$97,$B52,'9.Инвестиционна програма'!H$74:H$97)*$E$6</f>
        <v>0</v>
      </c>
      <c r="AB52" s="925">
        <f>SUMIF('9.Инвестиционна програма'!$B$74:$B$97,$B52,'9.Инвестиционна програма'!I$74:I$97)*$E$6</f>
        <v>0</v>
      </c>
      <c r="AC52" s="925">
        <f>SUMIF('9.Инвестиционна програма'!$B$74:$B$97,$B52,'9.Инвестиционна програма'!J$74:J$97)*$E$6</f>
        <v>0</v>
      </c>
      <c r="AD52" s="925">
        <f>SUMIF('9.Инвестиционна програма'!$B$74:$B$97,$B52,'9.Инвестиционна програма'!K$74:K$97)*$E$6</f>
        <v>0</v>
      </c>
      <c r="AE52" s="925">
        <f>SUMIF('9.Инвестиционна програма'!$B$74:$B$97,$B52,'9.Инвестиционна програма'!L$74:L$97)*$E$6</f>
        <v>0</v>
      </c>
      <c r="AF52" s="925">
        <f>SUMIF('9.Инвестиционна програма'!$B$74:$B$97,$B52,'9.Инвестиционна програма'!M$74:M$97)*$E$6</f>
        <v>0</v>
      </c>
      <c r="AG52" s="1132">
        <f>'11.2. ДА за периода'!AG52</f>
        <v>0</v>
      </c>
      <c r="AH52" s="925">
        <f>SUMIF('9.Инвестиционна програма'!$B$100:$B$123,$B52,'9.Инвестиционна програма'!H$100:H$123)*$E$6</f>
        <v>0</v>
      </c>
      <c r="AI52" s="925">
        <f>SUMIF('9.Инвестиционна програма'!$B$100:$B$123,$B52,'9.Инвестиционна програма'!I$100:I$123)*$E$6</f>
        <v>0</v>
      </c>
      <c r="AJ52" s="925">
        <f>SUMIF('9.Инвестиционна програма'!$B$100:$B$123,$B52,'9.Инвестиционна програма'!J$100:J$123)*$E$6</f>
        <v>0</v>
      </c>
      <c r="AK52" s="925">
        <f>SUMIF('9.Инвестиционна програма'!$B$100:$B$123,$B52,'9.Инвестиционна програма'!K$100:K$123)*$E$6</f>
        <v>0</v>
      </c>
      <c r="AL52" s="925">
        <f>SUMIF('9.Инвестиционна програма'!$B$100:$B$123,$B52,'9.Инвестиционна програма'!L$100:L$123)*$E$6</f>
        <v>0</v>
      </c>
      <c r="AM52" s="925">
        <f>SUMIF('9.Инвестиционна програма'!$B$100:$B$123,$B52,'9.Инвестиционна програма'!M$100:M$123)*$E$6</f>
        <v>0</v>
      </c>
      <c r="AN52" s="1132">
        <f>'11.2. ДА за периода'!AN52</f>
        <v>0</v>
      </c>
      <c r="AO52" s="1251">
        <f>(SUMIF('9.Инвестиционна програма'!$B$58:$B$59,$B52,'9.Инвестиционна програма'!H$58:H$59)+SUMIF('9.Инвестиционна програма'!$B$61:$B$71,$B52,'9.Инвестиционна програма'!H$61:H$71))*$E$6</f>
        <v>0</v>
      </c>
      <c r="AP52" s="925">
        <f>(SUMIF('9.Инвестиционна програма'!$B$58:$B$59,$B52,'9.Инвестиционна програма'!I$58:I$59)+SUMIF('9.Инвестиционна програма'!$B$61:$B$71,$B52,'9.Инвестиционна програма'!I$61:I$71))*$E$6</f>
        <v>0</v>
      </c>
      <c r="AQ52" s="925">
        <f>(SUMIF('9.Инвестиционна програма'!$B$58:$B$59,$B52,'9.Инвестиционна програма'!J$58:J$59)+SUMIF('9.Инвестиционна програма'!$B$61:$B$71,$B52,'9.Инвестиционна програма'!J$61:J$71))*$E$6</f>
        <v>0</v>
      </c>
      <c r="AR52" s="925">
        <f>(SUMIF('9.Инвестиционна програма'!$B$58:$B$59,$B52,'9.Инвестиционна програма'!K$58:K$59)+SUMIF('9.Инвестиционна програма'!$B$61:$B$71,$B52,'9.Инвестиционна програма'!K$61:K$71))*$E$6</f>
        <v>0</v>
      </c>
      <c r="AS52" s="925">
        <f>(SUMIF('9.Инвестиционна програма'!$B$58:$B$59,$B52,'9.Инвестиционна програма'!L$58:L$59)+SUMIF('9.Инвестиционна програма'!$B$61:$B$71,$B52,'9.Инвестиционна програма'!L$61:L$71))*$E$6</f>
        <v>0</v>
      </c>
      <c r="AT52" s="2865">
        <f>(SUMIF('9.Инвестиционна програма'!$B$58:$B$59,$B52,'9.Инвестиционна програма'!M$58:M$59)+SUMIF('9.Инвестиционна програма'!$B$61:$B$71,$B52,'9.Инвестиционна програма'!M$61:M$71))*$E$6</f>
        <v>0</v>
      </c>
      <c r="AU52" s="4775"/>
      <c r="AV52" s="4794">
        <f t="shared" si="47"/>
        <v>3.5790431683735293</v>
      </c>
      <c r="AW52" s="4794">
        <f t="shared" si="48"/>
        <v>0</v>
      </c>
      <c r="AX52" s="4794">
        <f t="shared" si="49"/>
        <v>0</v>
      </c>
      <c r="AY52" s="4794">
        <f t="shared" si="50"/>
        <v>0</v>
      </c>
      <c r="AZ52" s="4794">
        <f t="shared" si="51"/>
        <v>0</v>
      </c>
      <c r="BA52" s="4794">
        <f t="shared" si="52"/>
        <v>0</v>
      </c>
      <c r="BB52" s="4794">
        <f t="shared" si="53"/>
        <v>0</v>
      </c>
      <c r="BC52" s="4794">
        <f t="shared" si="54"/>
        <v>1.022583762392437</v>
      </c>
      <c r="BD52" s="4794">
        <f t="shared" si="55"/>
        <v>0</v>
      </c>
      <c r="BE52" s="4794">
        <f t="shared" si="56"/>
        <v>0</v>
      </c>
      <c r="BF52" s="4794">
        <f t="shared" si="57"/>
        <v>0</v>
      </c>
      <c r="BG52" s="4794">
        <f t="shared" si="58"/>
        <v>0</v>
      </c>
      <c r="BH52" s="4794">
        <f t="shared" si="59"/>
        <v>0</v>
      </c>
      <c r="BI52" s="4794">
        <f t="shared" si="60"/>
        <v>0</v>
      </c>
      <c r="BJ52" s="4794">
        <f t="shared" si="61"/>
        <v>0.51129188119621849</v>
      </c>
      <c r="BK52" s="4794">
        <f t="shared" si="62"/>
        <v>0</v>
      </c>
      <c r="BL52" s="4794">
        <f t="shared" si="63"/>
        <v>0</v>
      </c>
      <c r="BM52" s="4794">
        <f t="shared" si="64"/>
        <v>0</v>
      </c>
      <c r="BN52" s="4794">
        <f t="shared" si="65"/>
        <v>0</v>
      </c>
      <c r="BO52" s="4794">
        <f t="shared" si="66"/>
        <v>0</v>
      </c>
      <c r="BP52" s="4794">
        <f t="shared" si="67"/>
        <v>0</v>
      </c>
      <c r="BQ52" s="4794">
        <f t="shared" si="68"/>
        <v>0</v>
      </c>
      <c r="BR52" s="4794">
        <f t="shared" si="69"/>
        <v>0</v>
      </c>
      <c r="BS52" s="4794">
        <f t="shared" si="70"/>
        <v>0</v>
      </c>
      <c r="BT52" s="4794">
        <f t="shared" si="71"/>
        <v>0</v>
      </c>
      <c r="BU52" s="4794">
        <f t="shared" si="72"/>
        <v>0</v>
      </c>
      <c r="BV52" s="4794">
        <f t="shared" si="73"/>
        <v>0</v>
      </c>
      <c r="BW52" s="4794">
        <f t="shared" si="74"/>
        <v>0</v>
      </c>
      <c r="BX52" s="4794">
        <f t="shared" si="75"/>
        <v>0</v>
      </c>
      <c r="BY52" s="4794">
        <f t="shared" si="76"/>
        <v>0</v>
      </c>
      <c r="BZ52" s="4794">
        <f t="shared" si="77"/>
        <v>0</v>
      </c>
      <c r="CA52" s="4794">
        <f t="shared" si="78"/>
        <v>0</v>
      </c>
      <c r="CB52" s="4794">
        <f t="shared" si="79"/>
        <v>0</v>
      </c>
      <c r="CC52" s="4794">
        <f t="shared" si="80"/>
        <v>0</v>
      </c>
      <c r="CD52" s="4794">
        <f t="shared" si="81"/>
        <v>0</v>
      </c>
      <c r="CE52" s="4794">
        <f t="shared" si="82"/>
        <v>0</v>
      </c>
      <c r="CF52" s="4794">
        <f t="shared" si="83"/>
        <v>0</v>
      </c>
      <c r="CG52" s="4794">
        <f t="shared" si="84"/>
        <v>0</v>
      </c>
      <c r="CH52" s="4794">
        <f t="shared" si="85"/>
        <v>0</v>
      </c>
      <c r="CI52" s="4794">
        <f t="shared" si="86"/>
        <v>0</v>
      </c>
      <c r="CJ52" s="4794">
        <f t="shared" si="87"/>
        <v>0</v>
      </c>
      <c r="CK52" s="4794">
        <f t="shared" si="88"/>
        <v>0</v>
      </c>
    </row>
    <row r="53" spans="1:89">
      <c r="A53" s="2871"/>
      <c r="B53" s="3823">
        <v>20603</v>
      </c>
      <c r="C53" s="3806">
        <v>0.5</v>
      </c>
      <c r="D53" s="2889" t="s">
        <v>1015</v>
      </c>
      <c r="E53" s="2864">
        <f>'11.2. ДА за периода'!E53</f>
        <v>1</v>
      </c>
      <c r="F53" s="1247">
        <f>SUMIF('9.Инвестиционна програма'!$B$12:$B$35,$B53,'9.Инвестиционна програма'!H$12:H$35)*$E$6</f>
        <v>0</v>
      </c>
      <c r="G53" s="1243">
        <f>SUMIF('9.Инвестиционна програма'!$B$12:$B$35,$B53,'9.Инвестиционна програма'!I$12:I$35)*$E$6</f>
        <v>0</v>
      </c>
      <c r="H53" s="1243">
        <f>SUMIF('9.Инвестиционна програма'!$B$12:$B$35,$B53,'9.Инвестиционна програма'!J$12:J$35)*$E$6</f>
        <v>0</v>
      </c>
      <c r="I53" s="1243">
        <f>SUMIF('9.Инвестиционна програма'!$B$12:$B$35,$B53,'9.Инвестиционна програма'!K$12:K$35)*$E$6</f>
        <v>0</v>
      </c>
      <c r="J53" s="1243">
        <f>SUMIF('9.Инвестиционна програма'!$B$12:$B$35,$B53,'9.Инвестиционна програма'!L$12:L$35)*$E$6</f>
        <v>0</v>
      </c>
      <c r="K53" s="1248">
        <f>SUMIF('9.Инвестиционна програма'!$B$12:$B$35,$B53,'9.Инвестиционна програма'!M$12:M$35)*$E$6</f>
        <v>0</v>
      </c>
      <c r="L53" s="2864">
        <f>'11.2. ДА за периода'!L53</f>
        <v>0</v>
      </c>
      <c r="M53" s="1251">
        <f>SUMIF('9.Инвестиционна програма'!$B$37:$B$47,$B53,'9.Инвестиционна програма'!H$37:H$47)*$E$6</f>
        <v>0</v>
      </c>
      <c r="N53" s="1245">
        <f>SUMIF('9.Инвестиционна програма'!$B$37:$B$47,$B53,'9.Инвестиционна програма'!I$37:I$47)*$E$6</f>
        <v>0</v>
      </c>
      <c r="O53" s="1245">
        <f>SUMIF('9.Инвестиционна програма'!$B$37:$B$47,$B53,'9.Инвестиционна програма'!J$37:J$47)*$E$6</f>
        <v>0</v>
      </c>
      <c r="P53" s="1245">
        <f>SUMIF('9.Инвестиционна програма'!$B$37:$B$47,$B53,'9.Инвестиционна програма'!K$37:K$47)*$E$6</f>
        <v>0</v>
      </c>
      <c r="Q53" s="1245">
        <f>SUMIF('9.Инвестиционна програма'!$B$37:$B$47,$B53,'9.Инвестиционна програма'!L$37:L$47)*$E$6</f>
        <v>0</v>
      </c>
      <c r="R53" s="1246">
        <f>SUMIF('9.Инвестиционна програма'!$B$37:$B$47,$B53,'9.Инвестиционна програма'!M$37:M$47)*$E$6</f>
        <v>0</v>
      </c>
      <c r="S53" s="1132">
        <f>'11.2. ДА за периода'!S53</f>
        <v>0</v>
      </c>
      <c r="T53" s="925">
        <f>SUMIF('9.Инвестиционна програма'!$B$49:$B$56,$B53,'9.Инвестиционна програма'!H$49:H$56)*$E$6</f>
        <v>0</v>
      </c>
      <c r="U53" s="925">
        <f>SUMIF('9.Инвестиционна програма'!$B$49:$B$56,$B53,'9.Инвестиционна програма'!I$49:I$56)*$E$6</f>
        <v>0</v>
      </c>
      <c r="V53" s="925">
        <f>SUMIF('9.Инвестиционна програма'!$B$49:$B$56,$B53,'9.Инвестиционна програма'!J$49:J$56)*$E$6</f>
        <v>0</v>
      </c>
      <c r="W53" s="925">
        <f>SUMIF('9.Инвестиционна програма'!$B$49:$B$56,$B53,'9.Инвестиционна програма'!K$49:K$56)*$E$6</f>
        <v>0</v>
      </c>
      <c r="X53" s="925">
        <f>SUMIF('9.Инвестиционна програма'!$B$49:$B$56,$B53,'9.Инвестиционна програма'!L$49:L$56)*$E$6</f>
        <v>0</v>
      </c>
      <c r="Y53" s="2865">
        <f>SUMIF('9.Инвестиционна програма'!$B$49:$B$56,$B53,'9.Инвестиционна програма'!M$49:M$56)*$E$6</f>
        <v>0</v>
      </c>
      <c r="Z53" s="1132">
        <f>'11.2. ДА за периода'!Z53</f>
        <v>0</v>
      </c>
      <c r="AA53" s="925">
        <f>SUMIF('9.Инвестиционна програма'!$B$74:$B$97,$B53,'9.Инвестиционна програма'!H$74:H$97)*$E$6</f>
        <v>0</v>
      </c>
      <c r="AB53" s="925">
        <f>SUMIF('9.Инвестиционна програма'!$B$74:$B$97,$B53,'9.Инвестиционна програма'!I$74:I$97)*$E$6</f>
        <v>0</v>
      </c>
      <c r="AC53" s="925">
        <f>SUMIF('9.Инвестиционна програма'!$B$74:$B$97,$B53,'9.Инвестиционна програма'!J$74:J$97)*$E$6</f>
        <v>0</v>
      </c>
      <c r="AD53" s="925">
        <f>SUMIF('9.Инвестиционна програма'!$B$74:$B$97,$B53,'9.Инвестиционна програма'!K$74:K$97)*$E$6</f>
        <v>0</v>
      </c>
      <c r="AE53" s="925">
        <f>SUMIF('9.Инвестиционна програма'!$B$74:$B$97,$B53,'9.Инвестиционна програма'!L$74:L$97)*$E$6</f>
        <v>0</v>
      </c>
      <c r="AF53" s="925">
        <f>SUMIF('9.Инвестиционна програма'!$B$74:$B$97,$B53,'9.Инвестиционна програма'!M$74:M$97)*$E$6</f>
        <v>0</v>
      </c>
      <c r="AG53" s="1132">
        <f>'11.2. ДА за периода'!AG53</f>
        <v>0</v>
      </c>
      <c r="AH53" s="925">
        <f>SUMIF('9.Инвестиционна програма'!$B$100:$B$123,$B53,'9.Инвестиционна програма'!H$100:H$123)*$E$6</f>
        <v>0</v>
      </c>
      <c r="AI53" s="925">
        <f>SUMIF('9.Инвестиционна програма'!$B$100:$B$123,$B53,'9.Инвестиционна програма'!I$100:I$123)*$E$6</f>
        <v>0</v>
      </c>
      <c r="AJ53" s="925">
        <f>SUMIF('9.Инвестиционна програма'!$B$100:$B$123,$B53,'9.Инвестиционна програма'!J$100:J$123)*$E$6</f>
        <v>0</v>
      </c>
      <c r="AK53" s="925">
        <f>SUMIF('9.Инвестиционна програма'!$B$100:$B$123,$B53,'9.Инвестиционна програма'!K$100:K$123)*$E$6</f>
        <v>0</v>
      </c>
      <c r="AL53" s="925">
        <f>SUMIF('9.Инвестиционна програма'!$B$100:$B$123,$B53,'9.Инвестиционна програма'!L$100:L$123)*$E$6</f>
        <v>0</v>
      </c>
      <c r="AM53" s="925">
        <f>SUMIF('9.Инвестиционна програма'!$B$100:$B$123,$B53,'9.Инвестиционна програма'!M$100:M$123)*$E$6</f>
        <v>0</v>
      </c>
      <c r="AN53" s="1132">
        <f>'11.2. ДА за периода'!AN53</f>
        <v>0</v>
      </c>
      <c r="AO53" s="1251">
        <f>(SUMIF('9.Инвестиционна програма'!$B$58:$B$59,$B53,'9.Инвестиционна програма'!H$58:H$59)+SUMIF('9.Инвестиционна програма'!$B$61:$B$71,$B53,'9.Инвестиционна програма'!H$61:H$71))*$E$6</f>
        <v>0</v>
      </c>
      <c r="AP53" s="925">
        <f>(SUMIF('9.Инвестиционна програма'!$B$58:$B$59,$B53,'9.Инвестиционна програма'!I$58:I$59)+SUMIF('9.Инвестиционна програма'!$B$61:$B$71,$B53,'9.Инвестиционна програма'!I$61:I$71))*$E$6</f>
        <v>0</v>
      </c>
      <c r="AQ53" s="925">
        <f>(SUMIF('9.Инвестиционна програма'!$B$58:$B$59,$B53,'9.Инвестиционна програма'!J$58:J$59)+SUMIF('9.Инвестиционна програма'!$B$61:$B$71,$B53,'9.Инвестиционна програма'!J$61:J$71))*$E$6</f>
        <v>0</v>
      </c>
      <c r="AR53" s="925">
        <f>(SUMIF('9.Инвестиционна програма'!$B$58:$B$59,$B53,'9.Инвестиционна програма'!K$58:K$59)+SUMIF('9.Инвестиционна програма'!$B$61:$B$71,$B53,'9.Инвестиционна програма'!K$61:K$71))*$E$6</f>
        <v>0</v>
      </c>
      <c r="AS53" s="925">
        <f>(SUMIF('9.Инвестиционна програма'!$B$58:$B$59,$B53,'9.Инвестиционна програма'!L$58:L$59)+SUMIF('9.Инвестиционна програма'!$B$61:$B$71,$B53,'9.Инвестиционна програма'!L$61:L$71))*$E$6</f>
        <v>0</v>
      </c>
      <c r="AT53" s="2865">
        <f>(SUMIF('9.Инвестиционна програма'!$B$58:$B$59,$B53,'9.Инвестиционна програма'!M$58:M$59)+SUMIF('9.Инвестиционна програма'!$B$61:$B$71,$B53,'9.Инвестиционна програма'!M$61:M$71))*$E$6</f>
        <v>0</v>
      </c>
      <c r="AU53" s="4775"/>
      <c r="AV53" s="4794">
        <f t="shared" si="47"/>
        <v>0.51129188119621849</v>
      </c>
      <c r="AW53" s="4794">
        <f t="shared" si="48"/>
        <v>0</v>
      </c>
      <c r="AX53" s="4794">
        <f t="shared" si="49"/>
        <v>0</v>
      </c>
      <c r="AY53" s="4794">
        <f t="shared" si="50"/>
        <v>0</v>
      </c>
      <c r="AZ53" s="4794">
        <f t="shared" si="51"/>
        <v>0</v>
      </c>
      <c r="BA53" s="4794">
        <f t="shared" si="52"/>
        <v>0</v>
      </c>
      <c r="BB53" s="4794">
        <f t="shared" si="53"/>
        <v>0</v>
      </c>
      <c r="BC53" s="4794">
        <f t="shared" si="54"/>
        <v>0</v>
      </c>
      <c r="BD53" s="4794">
        <f t="shared" si="55"/>
        <v>0</v>
      </c>
      <c r="BE53" s="4794">
        <f t="shared" si="56"/>
        <v>0</v>
      </c>
      <c r="BF53" s="4794">
        <f t="shared" si="57"/>
        <v>0</v>
      </c>
      <c r="BG53" s="4794">
        <f t="shared" si="58"/>
        <v>0</v>
      </c>
      <c r="BH53" s="4794">
        <f t="shared" si="59"/>
        <v>0</v>
      </c>
      <c r="BI53" s="4794">
        <f t="shared" si="60"/>
        <v>0</v>
      </c>
      <c r="BJ53" s="4794">
        <f t="shared" si="61"/>
        <v>0</v>
      </c>
      <c r="BK53" s="4794">
        <f t="shared" si="62"/>
        <v>0</v>
      </c>
      <c r="BL53" s="4794">
        <f t="shared" si="63"/>
        <v>0</v>
      </c>
      <c r="BM53" s="4794">
        <f t="shared" si="64"/>
        <v>0</v>
      </c>
      <c r="BN53" s="4794">
        <f t="shared" si="65"/>
        <v>0</v>
      </c>
      <c r="BO53" s="4794">
        <f t="shared" si="66"/>
        <v>0</v>
      </c>
      <c r="BP53" s="4794">
        <f t="shared" si="67"/>
        <v>0</v>
      </c>
      <c r="BQ53" s="4794">
        <f t="shared" si="68"/>
        <v>0</v>
      </c>
      <c r="BR53" s="4794">
        <f t="shared" si="69"/>
        <v>0</v>
      </c>
      <c r="BS53" s="4794">
        <f t="shared" si="70"/>
        <v>0</v>
      </c>
      <c r="BT53" s="4794">
        <f t="shared" si="71"/>
        <v>0</v>
      </c>
      <c r="BU53" s="4794">
        <f t="shared" si="72"/>
        <v>0</v>
      </c>
      <c r="BV53" s="4794">
        <f t="shared" si="73"/>
        <v>0</v>
      </c>
      <c r="BW53" s="4794">
        <f t="shared" si="74"/>
        <v>0</v>
      </c>
      <c r="BX53" s="4794">
        <f t="shared" si="75"/>
        <v>0</v>
      </c>
      <c r="BY53" s="4794">
        <f t="shared" si="76"/>
        <v>0</v>
      </c>
      <c r="BZ53" s="4794">
        <f t="shared" si="77"/>
        <v>0</v>
      </c>
      <c r="CA53" s="4794">
        <f t="shared" si="78"/>
        <v>0</v>
      </c>
      <c r="CB53" s="4794">
        <f t="shared" si="79"/>
        <v>0</v>
      </c>
      <c r="CC53" s="4794">
        <f t="shared" si="80"/>
        <v>0</v>
      </c>
      <c r="CD53" s="4794">
        <f t="shared" si="81"/>
        <v>0</v>
      </c>
      <c r="CE53" s="4794">
        <f t="shared" si="82"/>
        <v>0</v>
      </c>
      <c r="CF53" s="4794">
        <f t="shared" si="83"/>
        <v>0</v>
      </c>
      <c r="CG53" s="4794">
        <f t="shared" si="84"/>
        <v>0</v>
      </c>
      <c r="CH53" s="4794">
        <f t="shared" si="85"/>
        <v>0</v>
      </c>
      <c r="CI53" s="4794">
        <f t="shared" si="86"/>
        <v>0</v>
      </c>
      <c r="CJ53" s="4794">
        <f t="shared" si="87"/>
        <v>0</v>
      </c>
      <c r="CK53" s="4794">
        <f t="shared" si="88"/>
        <v>0</v>
      </c>
    </row>
    <row r="54" spans="1:89" s="34" customFormat="1">
      <c r="A54" s="2871">
        <v>7</v>
      </c>
      <c r="B54" s="3822">
        <v>208</v>
      </c>
      <c r="C54" s="3805">
        <v>0.2</v>
      </c>
      <c r="D54" s="2887" t="s">
        <v>413</v>
      </c>
      <c r="E54" s="2864">
        <f>'11.2. ДА за периода'!E54</f>
        <v>16</v>
      </c>
      <c r="F54" s="2795">
        <f>SUMIF('9.Инвестиционна програма'!$B$12:$B$35,$B54,'9.Инвестиционна програма'!H$12:H$35)*$E$6</f>
        <v>0</v>
      </c>
      <c r="G54" s="2783">
        <f>SUMIF('9.Инвестиционна програма'!$B$12:$B$35,$B54,'9.Инвестиционна програма'!I$12:I$35)*$E$6</f>
        <v>0</v>
      </c>
      <c r="H54" s="2783">
        <f>SUMIF('9.Инвестиционна програма'!$B$12:$B$35,$B54,'9.Инвестиционна програма'!J$12:J$35)*$E$6</f>
        <v>0</v>
      </c>
      <c r="I54" s="2783">
        <f>SUMIF('9.Инвестиционна програма'!$B$12:$B$35,$B54,'9.Инвестиционна програма'!K$12:K$35)*$E$6</f>
        <v>0</v>
      </c>
      <c r="J54" s="2783">
        <f>SUMIF('9.Инвестиционна програма'!$B$12:$B$35,$B54,'9.Инвестиционна програма'!L$12:L$35)*$E$6</f>
        <v>0</v>
      </c>
      <c r="K54" s="2802">
        <f>SUMIF('9.Инвестиционна програма'!$B$12:$B$35,$B54,'9.Инвестиционна програма'!M$12:M$35)*$E$6</f>
        <v>0</v>
      </c>
      <c r="L54" s="1131">
        <f>'11.2. ДА за периода'!L54</f>
        <v>2</v>
      </c>
      <c r="M54" s="2795">
        <f>SUMIF('9.Инвестиционна програма'!$B$37:$B$47,$B54,'9.Инвестиционна програма'!H$37:H$47)*$E$6</f>
        <v>0</v>
      </c>
      <c r="N54" s="2783">
        <f>SUMIF('9.Инвестиционна програма'!$B$37:$B$47,$B54,'9.Инвестиционна програма'!I$37:I$47)*$E$6</f>
        <v>0</v>
      </c>
      <c r="O54" s="2783">
        <f>SUMIF('9.Инвестиционна програма'!$B$37:$B$47,$B54,'9.Инвестиционна програма'!J$37:J$47)*$E$6</f>
        <v>0</v>
      </c>
      <c r="P54" s="2783">
        <f>SUMIF('9.Инвестиционна програма'!$B$37:$B$47,$B54,'9.Инвестиционна програма'!K$37:K$47)*$E$6</f>
        <v>0</v>
      </c>
      <c r="Q54" s="2783">
        <f>SUMIF('9.Инвестиционна програма'!$B$37:$B$47,$B54,'9.Инвестиционна програма'!L$37:L$47)*$E$6</f>
        <v>0</v>
      </c>
      <c r="R54" s="2784">
        <f>SUMIF('9.Инвестиционна програма'!$B$37:$B$47,$B54,'9.Инвестиционна програма'!M$37:M$47)*$E$6</f>
        <v>0</v>
      </c>
      <c r="S54" s="1132">
        <f>'11.2. ДА за периода'!S54</f>
        <v>2</v>
      </c>
      <c r="T54" s="2782">
        <f>SUMIF('9.Инвестиционна програма'!$B$49:$B$56,$B54,'9.Инвестиционна програма'!H$49:H$56)*$E$6</f>
        <v>0</v>
      </c>
      <c r="U54" s="2783">
        <f>SUMIF('9.Инвестиционна програма'!$B$49:$B$56,$B54,'9.Инвестиционна програма'!I$49:I$56)*$E$6</f>
        <v>0</v>
      </c>
      <c r="V54" s="2783">
        <f>SUMIF('9.Инвестиционна програма'!$B$49:$B$56,$B54,'9.Инвестиционна програма'!J$49:J$56)*$E$6</f>
        <v>0</v>
      </c>
      <c r="W54" s="2783">
        <f>SUMIF('9.Инвестиционна програма'!$B$49:$B$56,$B54,'9.Инвестиционна програма'!K$49:K$56)*$E$6</f>
        <v>0</v>
      </c>
      <c r="X54" s="2783">
        <f>SUMIF('9.Инвестиционна програма'!$B$49:$B$56,$B54,'9.Инвестиционна програма'!L$49:L$56)*$E$6</f>
        <v>0</v>
      </c>
      <c r="Y54" s="2784">
        <f>SUMIF('9.Инвестиционна програма'!$B$49:$B$56,$B54,'9.Инвестиционна програма'!M$49:M$56)*$E$6</f>
        <v>0</v>
      </c>
      <c r="Z54" s="1132">
        <f>'11.2. ДА за периода'!Z54</f>
        <v>0</v>
      </c>
      <c r="AA54" s="2782">
        <f>SUMIF('9.Инвестиционна програма'!$B$74:$B$97,$B54,'9.Инвестиционна програма'!H$74:H$97)*$E$6</f>
        <v>0</v>
      </c>
      <c r="AB54" s="2783">
        <f>SUMIF('9.Инвестиционна програма'!$B$74:$B$97,$B54,'9.Инвестиционна програма'!I$74:I$97)*$E$6</f>
        <v>0</v>
      </c>
      <c r="AC54" s="2783">
        <f>SUMIF('9.Инвестиционна програма'!$B$74:$B$97,$B54,'9.Инвестиционна програма'!J$74:J$97)*$E$6</f>
        <v>0</v>
      </c>
      <c r="AD54" s="2783">
        <f>SUMIF('9.Инвестиционна програма'!$B$74:$B$97,$B54,'9.Инвестиционна програма'!K$74:K$97)*$E$6</f>
        <v>0</v>
      </c>
      <c r="AE54" s="2783">
        <f>SUMIF('9.Инвестиционна програма'!$B$74:$B$97,$B54,'9.Инвестиционна програма'!L$74:L$97)*$E$6</f>
        <v>0</v>
      </c>
      <c r="AF54" s="2784">
        <f>SUMIF('9.Инвестиционна програма'!$B$74:$B$97,$B54,'9.Инвестиционна програма'!M$74:M$97)*$E$6</f>
        <v>0</v>
      </c>
      <c r="AG54" s="1132">
        <f>'11.2. ДА за периода'!AG54</f>
        <v>0</v>
      </c>
      <c r="AH54" s="2782">
        <f>SUMIF('9.Инвестиционна програма'!$B$100:$B$123,$B54,'9.Инвестиционна програма'!H$100:H$123)*$E$6</f>
        <v>0</v>
      </c>
      <c r="AI54" s="2783">
        <f>SUMIF('9.Инвестиционна програма'!$B$100:$B$123,$B54,'9.Инвестиционна програма'!I$100:I$123)*$E$6</f>
        <v>0</v>
      </c>
      <c r="AJ54" s="2783">
        <f>SUMIF('9.Инвестиционна програма'!$B$100:$B$123,$B54,'9.Инвестиционна програма'!J$100:J$123)*$E$6</f>
        <v>0</v>
      </c>
      <c r="AK54" s="2783">
        <f>SUMIF('9.Инвестиционна програма'!$B$100:$B$123,$B54,'9.Инвестиционна програма'!K$100:K$123)*$E$6</f>
        <v>0</v>
      </c>
      <c r="AL54" s="2783">
        <f>SUMIF('9.Инвестиционна програма'!$B$100:$B$123,$B54,'9.Инвестиционна програма'!L$100:L$123)*$E$6</f>
        <v>0</v>
      </c>
      <c r="AM54" s="2784">
        <f>SUMIF('9.Инвестиционна програма'!$B$100:$B$123,$B54,'9.Инвестиционна програма'!M$100:M$123)*$E$6</f>
        <v>0</v>
      </c>
      <c r="AN54" s="1132">
        <f>'11.2. ДА за периода'!AN54</f>
        <v>0</v>
      </c>
      <c r="AO54" s="2782">
        <f>(SUMIF('9.Инвестиционна програма'!$B$58:$B$59,$B54,'9.Инвестиционна програма'!H$58:H$59)+SUMIF('9.Инвестиционна програма'!$B$61:$B$71,$B54,'9.Инвестиционна програма'!H$61:H$71))*$E$6</f>
        <v>20</v>
      </c>
      <c r="AP54" s="2783">
        <f>(SUMIF('9.Инвестиционна програма'!$B$58:$B$59,$B54,'9.Инвестиционна програма'!I$58:I$59)+SUMIF('9.Инвестиционна програма'!$B$61:$B$71,$B54,'9.Инвестиционна програма'!I$61:I$71))*$E$6</f>
        <v>20</v>
      </c>
      <c r="AQ54" s="2783">
        <f>(SUMIF('9.Инвестиционна програма'!$B$58:$B$59,$B54,'9.Инвестиционна програма'!J$58:J$59)+SUMIF('9.Инвестиционна програма'!$B$61:$B$71,$B54,'9.Инвестиционна програма'!J$61:J$71))*$E$6</f>
        <v>20</v>
      </c>
      <c r="AR54" s="2783">
        <f>(SUMIF('9.Инвестиционна програма'!$B$58:$B$59,$B54,'9.Инвестиционна програма'!K$58:K$59)+SUMIF('9.Инвестиционна програма'!$B$61:$B$71,$B54,'9.Инвестиционна програма'!K$61:K$71))*$E$6</f>
        <v>20</v>
      </c>
      <c r="AS54" s="2783">
        <f>(SUMIF('9.Инвестиционна програма'!$B$58:$B$59,$B54,'9.Инвестиционна програма'!L$58:L$59)+SUMIF('9.Инвестиционна програма'!$B$61:$B$71,$B54,'9.Инвестиционна програма'!L$61:L$71))*$E$6</f>
        <v>20</v>
      </c>
      <c r="AT54" s="2784">
        <f>(SUMIF('9.Инвестиционна програма'!$B$58:$B$59,$B54,'9.Инвестиционна програма'!M$58:M$59)+SUMIF('9.Инвестиционна програма'!$B$61:$B$71,$B54,'9.Инвестиционна програма'!M$61:M$71))*$E$6</f>
        <v>20</v>
      </c>
      <c r="AU54" s="4775"/>
      <c r="AV54" s="4794">
        <f t="shared" si="47"/>
        <v>8.1806700991394958</v>
      </c>
      <c r="AW54" s="4794">
        <f t="shared" si="48"/>
        <v>0</v>
      </c>
      <c r="AX54" s="4794">
        <f t="shared" si="49"/>
        <v>0</v>
      </c>
      <c r="AY54" s="4794">
        <f t="shared" si="50"/>
        <v>0</v>
      </c>
      <c r="AZ54" s="4794">
        <f t="shared" si="51"/>
        <v>0</v>
      </c>
      <c r="BA54" s="4794">
        <f t="shared" si="52"/>
        <v>0</v>
      </c>
      <c r="BB54" s="4794">
        <f t="shared" si="53"/>
        <v>0</v>
      </c>
      <c r="BC54" s="4794">
        <f t="shared" si="54"/>
        <v>1.022583762392437</v>
      </c>
      <c r="BD54" s="4794">
        <f t="shared" si="55"/>
        <v>0</v>
      </c>
      <c r="BE54" s="4794">
        <f t="shared" si="56"/>
        <v>0</v>
      </c>
      <c r="BF54" s="4794">
        <f t="shared" si="57"/>
        <v>0</v>
      </c>
      <c r="BG54" s="4794">
        <f t="shared" si="58"/>
        <v>0</v>
      </c>
      <c r="BH54" s="4794">
        <f t="shared" si="59"/>
        <v>0</v>
      </c>
      <c r="BI54" s="4794">
        <f t="shared" si="60"/>
        <v>0</v>
      </c>
      <c r="BJ54" s="4794">
        <f t="shared" si="61"/>
        <v>1.022583762392437</v>
      </c>
      <c r="BK54" s="4794">
        <f t="shared" si="62"/>
        <v>0</v>
      </c>
      <c r="BL54" s="4794">
        <f t="shared" si="63"/>
        <v>0</v>
      </c>
      <c r="BM54" s="4794">
        <f t="shared" si="64"/>
        <v>0</v>
      </c>
      <c r="BN54" s="4794">
        <f t="shared" si="65"/>
        <v>0</v>
      </c>
      <c r="BO54" s="4794">
        <f t="shared" si="66"/>
        <v>0</v>
      </c>
      <c r="BP54" s="4794">
        <f t="shared" si="67"/>
        <v>0</v>
      </c>
      <c r="BQ54" s="4794">
        <f t="shared" si="68"/>
        <v>0</v>
      </c>
      <c r="BR54" s="4794">
        <f t="shared" si="69"/>
        <v>0</v>
      </c>
      <c r="BS54" s="4794">
        <f t="shared" si="70"/>
        <v>0</v>
      </c>
      <c r="BT54" s="4794">
        <f t="shared" si="71"/>
        <v>0</v>
      </c>
      <c r="BU54" s="4794">
        <f t="shared" si="72"/>
        <v>0</v>
      </c>
      <c r="BV54" s="4794">
        <f t="shared" si="73"/>
        <v>0</v>
      </c>
      <c r="BW54" s="4794">
        <f t="shared" si="74"/>
        <v>0</v>
      </c>
      <c r="BX54" s="4794">
        <f t="shared" si="75"/>
        <v>0</v>
      </c>
      <c r="BY54" s="4794">
        <f t="shared" si="76"/>
        <v>0</v>
      </c>
      <c r="BZ54" s="4794">
        <f t="shared" si="77"/>
        <v>0</v>
      </c>
      <c r="CA54" s="4794">
        <f t="shared" si="78"/>
        <v>0</v>
      </c>
      <c r="CB54" s="4794">
        <f t="shared" si="79"/>
        <v>0</v>
      </c>
      <c r="CC54" s="4794">
        <f t="shared" si="80"/>
        <v>0</v>
      </c>
      <c r="CD54" s="4794">
        <f t="shared" si="81"/>
        <v>0</v>
      </c>
      <c r="CE54" s="4794">
        <f t="shared" si="82"/>
        <v>0</v>
      </c>
      <c r="CF54" s="4794">
        <f t="shared" si="83"/>
        <v>10.22583762392437</v>
      </c>
      <c r="CG54" s="4794">
        <f t="shared" si="84"/>
        <v>10.22583762392437</v>
      </c>
      <c r="CH54" s="4794">
        <f t="shared" si="85"/>
        <v>10.22583762392437</v>
      </c>
      <c r="CI54" s="4794">
        <f t="shared" si="86"/>
        <v>10.22583762392437</v>
      </c>
      <c r="CJ54" s="4794">
        <f t="shared" si="87"/>
        <v>10.22583762392437</v>
      </c>
      <c r="CK54" s="4794">
        <f t="shared" si="88"/>
        <v>10.22583762392437</v>
      </c>
    </row>
    <row r="55" spans="1:89" s="34" customFormat="1">
      <c r="A55" s="2871">
        <v>8</v>
      </c>
      <c r="B55" s="3822">
        <v>209</v>
      </c>
      <c r="C55" s="3805">
        <v>0.1</v>
      </c>
      <c r="D55" s="2887" t="s">
        <v>213</v>
      </c>
      <c r="E55" s="2864">
        <f>'11.2. ДА за периода'!E55</f>
        <v>0</v>
      </c>
      <c r="F55" s="2795">
        <f>SUMIF('9.Инвестиционна програма'!$B$12:$B$35,$B55,'9.Инвестиционна програма'!H$12:H$35)*$E$6</f>
        <v>0</v>
      </c>
      <c r="G55" s="2783">
        <f>SUMIF('9.Инвестиционна програма'!$B$12:$B$35,$B55,'9.Инвестиционна програма'!I$12:I$35)*$E$6</f>
        <v>0</v>
      </c>
      <c r="H55" s="2783">
        <f>SUMIF('9.Инвестиционна програма'!$B$12:$B$35,$B55,'9.Инвестиционна програма'!J$12:J$35)*$E$6</f>
        <v>0</v>
      </c>
      <c r="I55" s="2783">
        <f>SUMIF('9.Инвестиционна програма'!$B$12:$B$35,$B55,'9.Инвестиционна програма'!K$12:K$35)*$E$6</f>
        <v>0</v>
      </c>
      <c r="J55" s="2783">
        <f>SUMIF('9.Инвестиционна програма'!$B$12:$B$35,$B55,'9.Инвестиционна програма'!L$12:L$35)*$E$6</f>
        <v>0</v>
      </c>
      <c r="K55" s="2802">
        <f>SUMIF('9.Инвестиционна програма'!$B$12:$B$35,$B55,'9.Инвестиционна програма'!M$12:M$35)*$E$6</f>
        <v>0</v>
      </c>
      <c r="L55" s="1132">
        <f>'11.2. ДА за периода'!L55</f>
        <v>0</v>
      </c>
      <c r="M55" s="2795">
        <f>SUMIF('9.Инвестиционна програма'!$B$37:$B$47,$B55,'9.Инвестиционна програма'!H$37:H$47)*$E$6</f>
        <v>0</v>
      </c>
      <c r="N55" s="2783">
        <f>SUMIF('9.Инвестиционна програма'!$B$37:$B$47,$B55,'9.Инвестиционна програма'!I$37:I$47)*$E$6</f>
        <v>0</v>
      </c>
      <c r="O55" s="2783">
        <f>SUMIF('9.Инвестиционна програма'!$B$37:$B$47,$B55,'9.Инвестиционна програма'!J$37:J$47)*$E$6</f>
        <v>0</v>
      </c>
      <c r="P55" s="2783">
        <f>SUMIF('9.Инвестиционна програма'!$B$37:$B$47,$B55,'9.Инвестиционна програма'!K$37:K$47)*$E$6</f>
        <v>0</v>
      </c>
      <c r="Q55" s="2783">
        <f>SUMIF('9.Инвестиционна програма'!$B$37:$B$47,$B55,'9.Инвестиционна програма'!L$37:L$47)*$E$6</f>
        <v>0</v>
      </c>
      <c r="R55" s="2784">
        <f>SUMIF('9.Инвестиционна програма'!$B$37:$B$47,$B55,'9.Инвестиционна програма'!M$37:M$47)*$E$6</f>
        <v>0</v>
      </c>
      <c r="S55" s="1132">
        <f>'11.2. ДА за периода'!S55</f>
        <v>0</v>
      </c>
      <c r="T55" s="2782">
        <f>SUMIF('9.Инвестиционна програма'!$B$49:$B$56,$B55,'9.Инвестиционна програма'!H$49:H$56)*$E$6</f>
        <v>0</v>
      </c>
      <c r="U55" s="2783">
        <f>SUMIF('9.Инвестиционна програма'!$B$49:$B$56,$B55,'9.Инвестиционна програма'!I$49:I$56)*$E$6</f>
        <v>0</v>
      </c>
      <c r="V55" s="2783">
        <f>SUMIF('9.Инвестиционна програма'!$B$49:$B$56,$B55,'9.Инвестиционна програма'!J$49:J$56)*$E$6</f>
        <v>0</v>
      </c>
      <c r="W55" s="2783">
        <f>SUMIF('9.Инвестиционна програма'!$B$49:$B$56,$B55,'9.Инвестиционна програма'!K$49:K$56)*$E$6</f>
        <v>0</v>
      </c>
      <c r="X55" s="2783">
        <f>SUMIF('9.Инвестиционна програма'!$B$49:$B$56,$B55,'9.Инвестиционна програма'!L$49:L$56)*$E$6</f>
        <v>0</v>
      </c>
      <c r="Y55" s="2784">
        <f>SUMIF('9.Инвестиционна програма'!$B$49:$B$56,$B55,'9.Инвестиционна програма'!M$49:M$56)*$E$6</f>
        <v>0</v>
      </c>
      <c r="Z55" s="1132">
        <f>'11.2. ДА за периода'!Z55</f>
        <v>0</v>
      </c>
      <c r="AA55" s="2782">
        <f>SUMIF('9.Инвестиционна програма'!$B$74:$B$97,$B55,'9.Инвестиционна програма'!H$74:H$97)*$E$6</f>
        <v>0</v>
      </c>
      <c r="AB55" s="2783">
        <f>SUMIF('9.Инвестиционна програма'!$B$74:$B$97,$B55,'9.Инвестиционна програма'!I$74:I$97)*$E$6</f>
        <v>0</v>
      </c>
      <c r="AC55" s="2783">
        <f>SUMIF('9.Инвестиционна програма'!$B$74:$B$97,$B55,'9.Инвестиционна програма'!J$74:J$97)*$E$6</f>
        <v>0</v>
      </c>
      <c r="AD55" s="2783">
        <f>SUMIF('9.Инвестиционна програма'!$B$74:$B$97,$B55,'9.Инвестиционна програма'!K$74:K$97)*$E$6</f>
        <v>0</v>
      </c>
      <c r="AE55" s="2783">
        <f>SUMIF('9.Инвестиционна програма'!$B$74:$B$97,$B55,'9.Инвестиционна програма'!L$74:L$97)*$E$6</f>
        <v>0</v>
      </c>
      <c r="AF55" s="2784">
        <f>SUMIF('9.Инвестиционна програма'!$B$74:$B$97,$B55,'9.Инвестиционна програма'!M$74:M$97)*$E$6</f>
        <v>0</v>
      </c>
      <c r="AG55" s="1132">
        <f>'11.2. ДА за периода'!AG55</f>
        <v>0</v>
      </c>
      <c r="AH55" s="2782">
        <f>SUMIF('9.Инвестиционна програма'!$B$100:$B$123,$B55,'9.Инвестиционна програма'!H$100:H$123)*$E$6</f>
        <v>0</v>
      </c>
      <c r="AI55" s="2783">
        <f>SUMIF('9.Инвестиционна програма'!$B$100:$B$123,$B55,'9.Инвестиционна програма'!I$100:I$123)*$E$6</f>
        <v>0</v>
      </c>
      <c r="AJ55" s="2783">
        <f>SUMIF('9.Инвестиционна програма'!$B$100:$B$123,$B55,'9.Инвестиционна програма'!J$100:J$123)*$E$6</f>
        <v>0</v>
      </c>
      <c r="AK55" s="2783">
        <f>SUMIF('9.Инвестиционна програма'!$B$100:$B$123,$B55,'9.Инвестиционна програма'!K$100:K$123)*$E$6</f>
        <v>0</v>
      </c>
      <c r="AL55" s="2783">
        <f>SUMIF('9.Инвестиционна програма'!$B$100:$B$123,$B55,'9.Инвестиционна програма'!L$100:L$123)*$E$6</f>
        <v>0</v>
      </c>
      <c r="AM55" s="2784">
        <f>SUMIF('9.Инвестиционна програма'!$B$100:$B$123,$B55,'9.Инвестиционна програма'!M$100:M$123)*$E$6</f>
        <v>0</v>
      </c>
      <c r="AN55" s="1132">
        <f>'11.2. ДА за периода'!AN55</f>
        <v>0</v>
      </c>
      <c r="AO55" s="2782">
        <f>(SUMIF('9.Инвестиционна програма'!$B$58:$B$59,$B55,'9.Инвестиционна програма'!H$58:H$59)+SUMIF('9.Инвестиционна програма'!$B$61:$B$71,$B55,'9.Инвестиционна програма'!H$61:H$71))*$E$6</f>
        <v>0</v>
      </c>
      <c r="AP55" s="2783">
        <f>(SUMIF('9.Инвестиционна програма'!$B$58:$B$59,$B55,'9.Инвестиционна програма'!I$58:I$59)+SUMIF('9.Инвестиционна програма'!$B$61:$B$71,$B55,'9.Инвестиционна програма'!I$61:I$71))*$E$6</f>
        <v>0</v>
      </c>
      <c r="AQ55" s="2783">
        <f>(SUMIF('9.Инвестиционна програма'!$B$58:$B$59,$B55,'9.Инвестиционна програма'!J$58:J$59)+SUMIF('9.Инвестиционна програма'!$B$61:$B$71,$B55,'9.Инвестиционна програма'!J$61:J$71))*$E$6</f>
        <v>0</v>
      </c>
      <c r="AR55" s="2783">
        <f>(SUMIF('9.Инвестиционна програма'!$B$58:$B$59,$B55,'9.Инвестиционна програма'!K$58:K$59)+SUMIF('9.Инвестиционна програма'!$B$61:$B$71,$B55,'9.Инвестиционна програма'!K$61:K$71))*$E$6</f>
        <v>0</v>
      </c>
      <c r="AS55" s="2783">
        <f>(SUMIF('9.Инвестиционна програма'!$B$58:$B$59,$B55,'9.Инвестиционна програма'!L$58:L$59)+SUMIF('9.Инвестиционна програма'!$B$61:$B$71,$B55,'9.Инвестиционна програма'!L$61:L$71))*$E$6</f>
        <v>0</v>
      </c>
      <c r="AT55" s="2784">
        <f>(SUMIF('9.Инвестиционна програма'!$B$58:$B$59,$B55,'9.Инвестиционна програма'!M$58:M$59)+SUMIF('9.Инвестиционна програма'!$B$61:$B$71,$B55,'9.Инвестиционна програма'!M$61:M$71))*$E$6</f>
        <v>0</v>
      </c>
      <c r="AU55" s="4775"/>
      <c r="AV55" s="4794">
        <f t="shared" si="47"/>
        <v>0</v>
      </c>
      <c r="AW55" s="4794">
        <f t="shared" si="48"/>
        <v>0</v>
      </c>
      <c r="AX55" s="4794">
        <f t="shared" si="49"/>
        <v>0</v>
      </c>
      <c r="AY55" s="4794">
        <f t="shared" si="50"/>
        <v>0</v>
      </c>
      <c r="AZ55" s="4794">
        <f t="shared" si="51"/>
        <v>0</v>
      </c>
      <c r="BA55" s="4794">
        <f t="shared" si="52"/>
        <v>0</v>
      </c>
      <c r="BB55" s="4794">
        <f t="shared" si="53"/>
        <v>0</v>
      </c>
      <c r="BC55" s="4794">
        <f t="shared" si="54"/>
        <v>0</v>
      </c>
      <c r="BD55" s="4794">
        <f t="shared" si="55"/>
        <v>0</v>
      </c>
      <c r="BE55" s="4794">
        <f t="shared" si="56"/>
        <v>0</v>
      </c>
      <c r="BF55" s="4794">
        <f t="shared" si="57"/>
        <v>0</v>
      </c>
      <c r="BG55" s="4794">
        <f t="shared" si="58"/>
        <v>0</v>
      </c>
      <c r="BH55" s="4794">
        <f t="shared" si="59"/>
        <v>0</v>
      </c>
      <c r="BI55" s="4794">
        <f t="shared" si="60"/>
        <v>0</v>
      </c>
      <c r="BJ55" s="4794">
        <f t="shared" si="61"/>
        <v>0</v>
      </c>
      <c r="BK55" s="4794">
        <f t="shared" si="62"/>
        <v>0</v>
      </c>
      <c r="BL55" s="4794">
        <f t="shared" si="63"/>
        <v>0</v>
      </c>
      <c r="BM55" s="4794">
        <f t="shared" si="64"/>
        <v>0</v>
      </c>
      <c r="BN55" s="4794">
        <f t="shared" si="65"/>
        <v>0</v>
      </c>
      <c r="BO55" s="4794">
        <f t="shared" si="66"/>
        <v>0</v>
      </c>
      <c r="BP55" s="4794">
        <f t="shared" si="67"/>
        <v>0</v>
      </c>
      <c r="BQ55" s="4794">
        <f t="shared" si="68"/>
        <v>0</v>
      </c>
      <c r="BR55" s="4794">
        <f t="shared" si="69"/>
        <v>0</v>
      </c>
      <c r="BS55" s="4794">
        <f t="shared" si="70"/>
        <v>0</v>
      </c>
      <c r="BT55" s="4794">
        <f t="shared" si="71"/>
        <v>0</v>
      </c>
      <c r="BU55" s="4794">
        <f t="shared" si="72"/>
        <v>0</v>
      </c>
      <c r="BV55" s="4794">
        <f t="shared" si="73"/>
        <v>0</v>
      </c>
      <c r="BW55" s="4794">
        <f t="shared" si="74"/>
        <v>0</v>
      </c>
      <c r="BX55" s="4794">
        <f t="shared" si="75"/>
        <v>0</v>
      </c>
      <c r="BY55" s="4794">
        <f t="shared" si="76"/>
        <v>0</v>
      </c>
      <c r="BZ55" s="4794">
        <f t="shared" si="77"/>
        <v>0</v>
      </c>
      <c r="CA55" s="4794">
        <f t="shared" si="78"/>
        <v>0</v>
      </c>
      <c r="CB55" s="4794">
        <f t="shared" si="79"/>
        <v>0</v>
      </c>
      <c r="CC55" s="4794">
        <f t="shared" si="80"/>
        <v>0</v>
      </c>
      <c r="CD55" s="4794">
        <f t="shared" si="81"/>
        <v>0</v>
      </c>
      <c r="CE55" s="4794">
        <f t="shared" si="82"/>
        <v>0</v>
      </c>
      <c r="CF55" s="4794">
        <f t="shared" si="83"/>
        <v>0</v>
      </c>
      <c r="CG55" s="4794">
        <f t="shared" si="84"/>
        <v>0</v>
      </c>
      <c r="CH55" s="4794">
        <f t="shared" si="85"/>
        <v>0</v>
      </c>
      <c r="CI55" s="4794">
        <f t="shared" si="86"/>
        <v>0</v>
      </c>
      <c r="CJ55" s="4794">
        <f t="shared" si="87"/>
        <v>0</v>
      </c>
      <c r="CK55" s="4794">
        <f t="shared" si="88"/>
        <v>0</v>
      </c>
    </row>
    <row r="56" spans="1:89" s="34" customFormat="1" ht="17.25" customHeight="1">
      <c r="A56" s="2871">
        <v>9</v>
      </c>
      <c r="B56" s="3822">
        <v>212</v>
      </c>
      <c r="C56" s="3805">
        <v>0.2</v>
      </c>
      <c r="D56" s="2898" t="s">
        <v>214</v>
      </c>
      <c r="E56" s="2864">
        <f>'11.2. ДА за периода'!E56</f>
        <v>57</v>
      </c>
      <c r="F56" s="2795">
        <f>SUMIF('9.Инвестиционна програма'!$B$12:$B$35,$B56,'9.Инвестиционна програма'!H$12:H$35)*$E$6</f>
        <v>0</v>
      </c>
      <c r="G56" s="2783">
        <f>SUMIF('9.Инвестиционна програма'!$B$12:$B$35,$B56,'9.Инвестиционна програма'!I$12:I$35)*$E$6</f>
        <v>0</v>
      </c>
      <c r="H56" s="2783">
        <f>SUMIF('9.Инвестиционна програма'!$B$12:$B$35,$B56,'9.Инвестиционна програма'!J$12:J$35)*$E$6</f>
        <v>0</v>
      </c>
      <c r="I56" s="2783">
        <f>SUMIF('9.Инвестиционна програма'!$B$12:$B$35,$B56,'9.Инвестиционна програма'!K$12:K$35)*$E$6</f>
        <v>0</v>
      </c>
      <c r="J56" s="2783">
        <f>SUMIF('9.Инвестиционна програма'!$B$12:$B$35,$B56,'9.Инвестиционна програма'!L$12:L$35)*$E$6</f>
        <v>0</v>
      </c>
      <c r="K56" s="2802">
        <f>SUMIF('9.Инвестиционна програма'!$B$12:$B$35,$B56,'9.Инвестиционна програма'!M$12:M$35)*$E$6</f>
        <v>0</v>
      </c>
      <c r="L56" s="1132">
        <f>'11.2. ДА за периода'!L56</f>
        <v>22</v>
      </c>
      <c r="M56" s="2795">
        <f>SUMIF('9.Инвестиционна програма'!$B$37:$B$47,$B56,'9.Инвестиционна програма'!H$37:H$47)*$E$6</f>
        <v>0</v>
      </c>
      <c r="N56" s="2783">
        <f>SUMIF('9.Инвестиционна програма'!$B$37:$B$47,$B56,'9.Инвестиционна програма'!I$37:I$47)*$E$6</f>
        <v>0</v>
      </c>
      <c r="O56" s="2783">
        <f>SUMIF('9.Инвестиционна програма'!$B$37:$B$47,$B56,'9.Инвестиционна програма'!J$37:J$47)*$E$6</f>
        <v>0</v>
      </c>
      <c r="P56" s="2783">
        <f>SUMIF('9.Инвестиционна програма'!$B$37:$B$47,$B56,'9.Инвестиционна програма'!K$37:K$47)*$E$6</f>
        <v>0</v>
      </c>
      <c r="Q56" s="2783">
        <f>SUMIF('9.Инвестиционна програма'!$B$37:$B$47,$B56,'9.Инвестиционна програма'!L$37:L$47)*$E$6</f>
        <v>0</v>
      </c>
      <c r="R56" s="2784">
        <f>SUMIF('9.Инвестиционна програма'!$B$37:$B$47,$B56,'9.Инвестиционна програма'!M$37:M$47)*$E$6</f>
        <v>0</v>
      </c>
      <c r="S56" s="1132">
        <f>'11.2. ДА за периода'!S56</f>
        <v>8</v>
      </c>
      <c r="T56" s="2782">
        <f>SUMIF('9.Инвестиционна програма'!$B$49:$B$56,$B56,'9.Инвестиционна програма'!H$49:H$56)*$E$6</f>
        <v>0</v>
      </c>
      <c r="U56" s="2783">
        <f>SUMIF('9.Инвестиционна програма'!$B$49:$B$56,$B56,'9.Инвестиционна програма'!I$49:I$56)*$E$6</f>
        <v>0</v>
      </c>
      <c r="V56" s="2783">
        <f>SUMIF('9.Инвестиционна програма'!$B$49:$B$56,$B56,'9.Инвестиционна програма'!J$49:J$56)*$E$6</f>
        <v>0</v>
      </c>
      <c r="W56" s="2783">
        <f>SUMIF('9.Инвестиционна програма'!$B$49:$B$56,$B56,'9.Инвестиционна програма'!K$49:K$56)*$E$6</f>
        <v>0</v>
      </c>
      <c r="X56" s="2783">
        <f>SUMIF('9.Инвестиционна програма'!$B$49:$B$56,$B56,'9.Инвестиционна програма'!L$49:L$56)*$E$6</f>
        <v>0</v>
      </c>
      <c r="Y56" s="2784">
        <f>SUMIF('9.Инвестиционна програма'!$B$49:$B$56,$B56,'9.Инвестиционна програма'!M$49:M$56)*$E$6</f>
        <v>0</v>
      </c>
      <c r="Z56" s="1132">
        <f>'11.2. ДА за периода'!Z56</f>
        <v>0</v>
      </c>
      <c r="AA56" s="2782">
        <f>SUMIF('9.Инвестиционна програма'!$B$74:$B$97,$B56,'9.Инвестиционна програма'!H$74:H$97)*$E$6</f>
        <v>0</v>
      </c>
      <c r="AB56" s="2783">
        <f>SUMIF('9.Инвестиционна програма'!$B$74:$B$97,$B56,'9.Инвестиционна програма'!I$74:I$97)*$E$6</f>
        <v>0</v>
      </c>
      <c r="AC56" s="2783">
        <f>SUMIF('9.Инвестиционна програма'!$B$74:$B$97,$B56,'9.Инвестиционна програма'!J$74:J$97)*$E$6</f>
        <v>0</v>
      </c>
      <c r="AD56" s="2783">
        <f>SUMIF('9.Инвестиционна програма'!$B$74:$B$97,$B56,'9.Инвестиционна програма'!K$74:K$97)*$E$6</f>
        <v>0</v>
      </c>
      <c r="AE56" s="2783">
        <f>SUMIF('9.Инвестиционна програма'!$B$74:$B$97,$B56,'9.Инвестиционна програма'!L$74:L$97)*$E$6</f>
        <v>0</v>
      </c>
      <c r="AF56" s="2784">
        <f>SUMIF('9.Инвестиционна програма'!$B$74:$B$97,$B56,'9.Инвестиционна програма'!M$74:M$97)*$E$6</f>
        <v>0</v>
      </c>
      <c r="AG56" s="1132">
        <f>'11.2. ДА за периода'!AG56</f>
        <v>0</v>
      </c>
      <c r="AH56" s="2782">
        <f>SUMIF('9.Инвестиционна програма'!$B$100:$B$123,$B56,'9.Инвестиционна програма'!H$100:H$123)*$E$6</f>
        <v>0</v>
      </c>
      <c r="AI56" s="2783">
        <f>SUMIF('9.Инвестиционна програма'!$B$100:$B$123,$B56,'9.Инвестиционна програма'!I$100:I$123)*$E$6</f>
        <v>0</v>
      </c>
      <c r="AJ56" s="2783">
        <f>SUMIF('9.Инвестиционна програма'!$B$100:$B$123,$B56,'9.Инвестиционна програма'!J$100:J$123)*$E$6</f>
        <v>0</v>
      </c>
      <c r="AK56" s="2783">
        <f>SUMIF('9.Инвестиционна програма'!$B$100:$B$123,$B56,'9.Инвестиционна програма'!K$100:K$123)*$E$6</f>
        <v>0</v>
      </c>
      <c r="AL56" s="2783">
        <f>SUMIF('9.Инвестиционна програма'!$B$100:$B$123,$B56,'9.Инвестиционна програма'!L$100:L$123)*$E$6</f>
        <v>0</v>
      </c>
      <c r="AM56" s="2784">
        <f>SUMIF('9.Инвестиционна програма'!$B$100:$B$123,$B56,'9.Инвестиционна програма'!M$100:M$123)*$E$6</f>
        <v>0</v>
      </c>
      <c r="AN56" s="1132">
        <f>'11.2. ДА за периода'!AN56</f>
        <v>0</v>
      </c>
      <c r="AO56" s="2782">
        <f>(SUMIF('9.Инвестиционна програма'!$B$58:$B$59,$B56,'9.Инвестиционна програма'!H$58:H$59)+SUMIF('9.Инвестиционна програма'!$B$61:$B$71,$B56,'9.Инвестиционна програма'!H$61:H$71))*$E$6</f>
        <v>50</v>
      </c>
      <c r="AP56" s="2783">
        <f>(SUMIF('9.Инвестиционна програма'!$B$58:$B$59,$B56,'9.Инвестиционна програма'!I$58:I$59)+SUMIF('9.Инвестиционна програма'!$B$61:$B$71,$B56,'9.Инвестиционна програма'!I$61:I$71))*$E$6</f>
        <v>0</v>
      </c>
      <c r="AQ56" s="2783">
        <f>(SUMIF('9.Инвестиционна програма'!$B$58:$B$59,$B56,'9.Инвестиционна програма'!J$58:J$59)+SUMIF('9.Инвестиционна програма'!$B$61:$B$71,$B56,'9.Инвестиционна програма'!J$61:J$71))*$E$6</f>
        <v>0</v>
      </c>
      <c r="AR56" s="2783">
        <f>(SUMIF('9.Инвестиционна програма'!$B$58:$B$59,$B56,'9.Инвестиционна програма'!K$58:K$59)+SUMIF('9.Инвестиционна програма'!$B$61:$B$71,$B56,'9.Инвестиционна програма'!K$61:K$71))*$E$6</f>
        <v>25</v>
      </c>
      <c r="AS56" s="2783">
        <f>(SUMIF('9.Инвестиционна програма'!$B$58:$B$59,$B56,'9.Инвестиционна програма'!L$58:L$59)+SUMIF('9.Инвестиционна програма'!$B$61:$B$71,$B56,'9.Инвестиционна програма'!L$61:L$71))*$E$6</f>
        <v>0</v>
      </c>
      <c r="AT56" s="2784">
        <f>(SUMIF('9.Инвестиционна програма'!$B$58:$B$59,$B56,'9.Инвестиционна програма'!M$58:M$59)+SUMIF('9.Инвестиционна програма'!$B$61:$B$71,$B56,'9.Инвестиционна програма'!M$61:M$71))*$E$6</f>
        <v>0</v>
      </c>
      <c r="AU56" s="4775"/>
      <c r="AV56" s="4794">
        <f t="shared" si="47"/>
        <v>29.143637228184453</v>
      </c>
      <c r="AW56" s="4794">
        <f t="shared" si="48"/>
        <v>0</v>
      </c>
      <c r="AX56" s="4794">
        <f t="shared" si="49"/>
        <v>0</v>
      </c>
      <c r="AY56" s="4794">
        <f t="shared" si="50"/>
        <v>0</v>
      </c>
      <c r="AZ56" s="4794">
        <f t="shared" si="51"/>
        <v>0</v>
      </c>
      <c r="BA56" s="4794">
        <f t="shared" si="52"/>
        <v>0</v>
      </c>
      <c r="BB56" s="4794">
        <f t="shared" si="53"/>
        <v>0</v>
      </c>
      <c r="BC56" s="4794">
        <f t="shared" si="54"/>
        <v>11.248421386316807</v>
      </c>
      <c r="BD56" s="4794">
        <f t="shared" si="55"/>
        <v>0</v>
      </c>
      <c r="BE56" s="4794">
        <f t="shared" si="56"/>
        <v>0</v>
      </c>
      <c r="BF56" s="4794">
        <f t="shared" si="57"/>
        <v>0</v>
      </c>
      <c r="BG56" s="4794">
        <f t="shared" si="58"/>
        <v>0</v>
      </c>
      <c r="BH56" s="4794">
        <f t="shared" si="59"/>
        <v>0</v>
      </c>
      <c r="BI56" s="4794">
        <f t="shared" si="60"/>
        <v>0</v>
      </c>
      <c r="BJ56" s="4794">
        <f t="shared" si="61"/>
        <v>4.0903350495697479</v>
      </c>
      <c r="BK56" s="4794">
        <f t="shared" si="62"/>
        <v>0</v>
      </c>
      <c r="BL56" s="4794">
        <f t="shared" si="63"/>
        <v>0</v>
      </c>
      <c r="BM56" s="4794">
        <f t="shared" si="64"/>
        <v>0</v>
      </c>
      <c r="BN56" s="4794">
        <f t="shared" si="65"/>
        <v>0</v>
      </c>
      <c r="BO56" s="4794">
        <f t="shared" si="66"/>
        <v>0</v>
      </c>
      <c r="BP56" s="4794">
        <f t="shared" si="67"/>
        <v>0</v>
      </c>
      <c r="BQ56" s="4794">
        <f t="shared" si="68"/>
        <v>0</v>
      </c>
      <c r="BR56" s="4794">
        <f t="shared" si="69"/>
        <v>0</v>
      </c>
      <c r="BS56" s="4794">
        <f t="shared" si="70"/>
        <v>0</v>
      </c>
      <c r="BT56" s="4794">
        <f t="shared" si="71"/>
        <v>0</v>
      </c>
      <c r="BU56" s="4794">
        <f t="shared" si="72"/>
        <v>0</v>
      </c>
      <c r="BV56" s="4794">
        <f t="shared" si="73"/>
        <v>0</v>
      </c>
      <c r="BW56" s="4794">
        <f t="shared" si="74"/>
        <v>0</v>
      </c>
      <c r="BX56" s="4794">
        <f t="shared" si="75"/>
        <v>0</v>
      </c>
      <c r="BY56" s="4794">
        <f t="shared" si="76"/>
        <v>0</v>
      </c>
      <c r="BZ56" s="4794">
        <f t="shared" si="77"/>
        <v>0</v>
      </c>
      <c r="CA56" s="4794">
        <f t="shared" si="78"/>
        <v>0</v>
      </c>
      <c r="CB56" s="4794">
        <f t="shared" si="79"/>
        <v>0</v>
      </c>
      <c r="CC56" s="4794">
        <f t="shared" si="80"/>
        <v>0</v>
      </c>
      <c r="CD56" s="4794">
        <f t="shared" si="81"/>
        <v>0</v>
      </c>
      <c r="CE56" s="4794">
        <f t="shared" si="82"/>
        <v>0</v>
      </c>
      <c r="CF56" s="4794">
        <f t="shared" si="83"/>
        <v>25.564594059810926</v>
      </c>
      <c r="CG56" s="4794">
        <f t="shared" si="84"/>
        <v>0</v>
      </c>
      <c r="CH56" s="4794">
        <f t="shared" si="85"/>
        <v>0</v>
      </c>
      <c r="CI56" s="4794">
        <f t="shared" si="86"/>
        <v>12.782297029905463</v>
      </c>
      <c r="CJ56" s="4794">
        <f t="shared" si="87"/>
        <v>0</v>
      </c>
      <c r="CK56" s="4794">
        <f t="shared" si="88"/>
        <v>0</v>
      </c>
    </row>
    <row r="57" spans="1:89" s="34" customFormat="1">
      <c r="A57" s="2871">
        <v>10</v>
      </c>
      <c r="B57" s="3822">
        <v>213</v>
      </c>
      <c r="C57" s="3805">
        <v>0.2</v>
      </c>
      <c r="D57" s="2870" t="s">
        <v>215</v>
      </c>
      <c r="E57" s="2864">
        <f>'11.2. ДА за периода'!E57</f>
        <v>0</v>
      </c>
      <c r="F57" s="2795">
        <f>SUMIF('9.Инвестиционна програма'!$B$12:$B$35,$B57,'9.Инвестиционна програма'!H$12:H$35)*$E$6</f>
        <v>0</v>
      </c>
      <c r="G57" s="2783">
        <f>SUMIF('9.Инвестиционна програма'!$B$12:$B$35,$B57,'9.Инвестиционна програма'!I$12:I$35)*$E$6</f>
        <v>0</v>
      </c>
      <c r="H57" s="2783">
        <f>SUMIF('9.Инвестиционна програма'!$B$12:$B$35,$B57,'9.Инвестиционна програма'!J$12:J$35)*$E$6</f>
        <v>0</v>
      </c>
      <c r="I57" s="2783">
        <f>SUMIF('9.Инвестиционна програма'!$B$12:$B$35,$B57,'9.Инвестиционна програма'!K$12:K$35)*$E$6</f>
        <v>0</v>
      </c>
      <c r="J57" s="2783">
        <f>SUMIF('9.Инвестиционна програма'!$B$12:$B$35,$B57,'9.Инвестиционна програма'!L$12:L$35)*$E$6</f>
        <v>0</v>
      </c>
      <c r="K57" s="2802">
        <f>SUMIF('9.Инвестиционна програма'!$B$12:$B$35,$B57,'9.Инвестиционна програма'!M$12:M$35)*$E$6</f>
        <v>0</v>
      </c>
      <c r="L57" s="1132">
        <f>'11.2. ДА за периода'!L57</f>
        <v>0</v>
      </c>
      <c r="M57" s="2795">
        <f>SUMIF('9.Инвестиционна програма'!$B$37:$B$47,$B57,'9.Инвестиционна програма'!H$37:H$47)*$E$6</f>
        <v>0</v>
      </c>
      <c r="N57" s="2783">
        <f>SUMIF('9.Инвестиционна програма'!$B$37:$B$47,$B57,'9.Инвестиционна програма'!I$37:I$47)*$E$6</f>
        <v>0</v>
      </c>
      <c r="O57" s="2783">
        <f>SUMIF('9.Инвестиционна програма'!$B$37:$B$47,$B57,'9.Инвестиционна програма'!J$37:J$47)*$E$6</f>
        <v>0</v>
      </c>
      <c r="P57" s="2783">
        <f>SUMIF('9.Инвестиционна програма'!$B$37:$B$47,$B57,'9.Инвестиционна програма'!K$37:K$47)*$E$6</f>
        <v>0</v>
      </c>
      <c r="Q57" s="2783">
        <f>SUMIF('9.Инвестиционна програма'!$B$37:$B$47,$B57,'9.Инвестиционна програма'!L$37:L$47)*$E$6</f>
        <v>0</v>
      </c>
      <c r="R57" s="2784">
        <f>SUMIF('9.Инвестиционна програма'!$B$37:$B$47,$B57,'9.Инвестиционна програма'!M$37:M$47)*$E$6</f>
        <v>0</v>
      </c>
      <c r="S57" s="1132">
        <f>'11.2. ДА за периода'!S57</f>
        <v>0</v>
      </c>
      <c r="T57" s="2782">
        <f>SUMIF('9.Инвестиционна програма'!$B$49:$B$56,$B57,'9.Инвестиционна програма'!H$49:H$56)*$E$6</f>
        <v>0</v>
      </c>
      <c r="U57" s="2783">
        <f>SUMIF('9.Инвестиционна програма'!$B$49:$B$56,$B57,'9.Инвестиционна програма'!I$49:I$56)*$E$6</f>
        <v>0</v>
      </c>
      <c r="V57" s="2783">
        <f>SUMIF('9.Инвестиционна програма'!$B$49:$B$56,$B57,'9.Инвестиционна програма'!J$49:J$56)*$E$6</f>
        <v>0</v>
      </c>
      <c r="W57" s="2783">
        <f>SUMIF('9.Инвестиционна програма'!$B$49:$B$56,$B57,'9.Инвестиционна програма'!K$49:K$56)*$E$6</f>
        <v>0</v>
      </c>
      <c r="X57" s="2783">
        <f>SUMIF('9.Инвестиционна програма'!$B$49:$B$56,$B57,'9.Инвестиционна програма'!L$49:L$56)*$E$6</f>
        <v>0</v>
      </c>
      <c r="Y57" s="2784">
        <f>SUMIF('9.Инвестиционна програма'!$B$49:$B$56,$B57,'9.Инвестиционна програма'!M$49:M$56)*$E$6</f>
        <v>0</v>
      </c>
      <c r="Z57" s="1132">
        <f>'11.2. ДА за периода'!Z57</f>
        <v>0</v>
      </c>
      <c r="AA57" s="2782">
        <f>SUMIF('9.Инвестиционна програма'!$B$74:$B$97,$B57,'9.Инвестиционна програма'!H$74:H$97)*$E$6</f>
        <v>0</v>
      </c>
      <c r="AB57" s="2783">
        <f>SUMIF('9.Инвестиционна програма'!$B$74:$B$97,$B57,'9.Инвестиционна програма'!I$74:I$97)*$E$6</f>
        <v>0</v>
      </c>
      <c r="AC57" s="2783">
        <f>SUMIF('9.Инвестиционна програма'!$B$74:$B$97,$B57,'9.Инвестиционна програма'!J$74:J$97)*$E$6</f>
        <v>0</v>
      </c>
      <c r="AD57" s="2783">
        <f>SUMIF('9.Инвестиционна програма'!$B$74:$B$97,$B57,'9.Инвестиционна програма'!K$74:K$97)*$E$6</f>
        <v>0</v>
      </c>
      <c r="AE57" s="2783">
        <f>SUMIF('9.Инвестиционна програма'!$B$74:$B$97,$B57,'9.Инвестиционна програма'!L$74:L$97)*$E$6</f>
        <v>0</v>
      </c>
      <c r="AF57" s="2784">
        <f>SUMIF('9.Инвестиционна програма'!$B$74:$B$97,$B57,'9.Инвестиционна програма'!M$74:M$97)*$E$6</f>
        <v>0</v>
      </c>
      <c r="AG57" s="1132">
        <f>'11.2. ДА за периода'!AG57</f>
        <v>0</v>
      </c>
      <c r="AH57" s="2782">
        <f>SUMIF('9.Инвестиционна програма'!$B$100:$B$123,$B57,'9.Инвестиционна програма'!H$100:H$123)*$E$6</f>
        <v>0</v>
      </c>
      <c r="AI57" s="2783">
        <f>SUMIF('9.Инвестиционна програма'!$B$100:$B$123,$B57,'9.Инвестиционна програма'!I$100:I$123)*$E$6</f>
        <v>0</v>
      </c>
      <c r="AJ57" s="2783">
        <f>SUMIF('9.Инвестиционна програма'!$B$100:$B$123,$B57,'9.Инвестиционна програма'!J$100:J$123)*$E$6</f>
        <v>0</v>
      </c>
      <c r="AK57" s="2783">
        <f>SUMIF('9.Инвестиционна програма'!$B$100:$B$123,$B57,'9.Инвестиционна програма'!K$100:K$123)*$E$6</f>
        <v>0</v>
      </c>
      <c r="AL57" s="2783">
        <f>SUMIF('9.Инвестиционна програма'!$B$100:$B$123,$B57,'9.Инвестиционна програма'!L$100:L$123)*$E$6</f>
        <v>0</v>
      </c>
      <c r="AM57" s="2784">
        <f>SUMIF('9.Инвестиционна програма'!$B$100:$B$123,$B57,'9.Инвестиционна програма'!M$100:M$123)*$E$6</f>
        <v>0</v>
      </c>
      <c r="AN57" s="1132">
        <f>'11.2. ДА за периода'!AN57</f>
        <v>0</v>
      </c>
      <c r="AO57" s="2782">
        <f>(SUMIF('9.Инвестиционна програма'!$B$58:$B$59,$B57,'9.Инвестиционна програма'!H$58:H$59)+SUMIF('9.Инвестиционна програма'!$B$61:$B$71,$B57,'9.Инвестиционна програма'!H$61:H$71))*$E$6</f>
        <v>0</v>
      </c>
      <c r="AP57" s="2783">
        <f>(SUMIF('9.Инвестиционна програма'!$B$58:$B$59,$B57,'9.Инвестиционна програма'!I$58:I$59)+SUMIF('9.Инвестиционна програма'!$B$61:$B$71,$B57,'9.Инвестиционна програма'!I$61:I$71))*$E$6</f>
        <v>0</v>
      </c>
      <c r="AQ57" s="2783">
        <f>(SUMIF('9.Инвестиционна програма'!$B$58:$B$59,$B57,'9.Инвестиционна програма'!J$58:J$59)+SUMIF('9.Инвестиционна програма'!$B$61:$B$71,$B57,'9.Инвестиционна програма'!J$61:J$71))*$E$6</f>
        <v>0</v>
      </c>
      <c r="AR57" s="2783">
        <f>(SUMIF('9.Инвестиционна програма'!$B$58:$B$59,$B57,'9.Инвестиционна програма'!K$58:K$59)+SUMIF('9.Инвестиционна програма'!$B$61:$B$71,$B57,'9.Инвестиционна програма'!K$61:K$71))*$E$6</f>
        <v>0</v>
      </c>
      <c r="AS57" s="2783">
        <f>(SUMIF('9.Инвестиционна програма'!$B$58:$B$59,$B57,'9.Инвестиционна програма'!L$58:L$59)+SUMIF('9.Инвестиционна програма'!$B$61:$B$71,$B57,'9.Инвестиционна програма'!L$61:L$71))*$E$6</f>
        <v>0</v>
      </c>
      <c r="AT57" s="2784">
        <f>(SUMIF('9.Инвестиционна програма'!$B$58:$B$59,$B57,'9.Инвестиционна програма'!M$58:M$59)+SUMIF('9.Инвестиционна програма'!$B$61:$B$71,$B57,'9.Инвестиционна програма'!M$61:M$71))*$E$6</f>
        <v>0</v>
      </c>
      <c r="AU57" s="4775"/>
      <c r="AV57" s="4794">
        <f t="shared" si="47"/>
        <v>0</v>
      </c>
      <c r="AW57" s="4794">
        <f t="shared" si="48"/>
        <v>0</v>
      </c>
      <c r="AX57" s="4794">
        <f t="shared" si="49"/>
        <v>0</v>
      </c>
      <c r="AY57" s="4794">
        <f t="shared" si="50"/>
        <v>0</v>
      </c>
      <c r="AZ57" s="4794">
        <f t="shared" si="51"/>
        <v>0</v>
      </c>
      <c r="BA57" s="4794">
        <f t="shared" si="52"/>
        <v>0</v>
      </c>
      <c r="BB57" s="4794">
        <f t="shared" si="53"/>
        <v>0</v>
      </c>
      <c r="BC57" s="4794">
        <f t="shared" si="54"/>
        <v>0</v>
      </c>
      <c r="BD57" s="4794">
        <f t="shared" si="55"/>
        <v>0</v>
      </c>
      <c r="BE57" s="4794">
        <f t="shared" si="56"/>
        <v>0</v>
      </c>
      <c r="BF57" s="4794">
        <f t="shared" si="57"/>
        <v>0</v>
      </c>
      <c r="BG57" s="4794">
        <f t="shared" si="58"/>
        <v>0</v>
      </c>
      <c r="BH57" s="4794">
        <f t="shared" si="59"/>
        <v>0</v>
      </c>
      <c r="BI57" s="4794">
        <f t="shared" si="60"/>
        <v>0</v>
      </c>
      <c r="BJ57" s="4794">
        <f t="shared" si="61"/>
        <v>0</v>
      </c>
      <c r="BK57" s="4794">
        <f t="shared" si="62"/>
        <v>0</v>
      </c>
      <c r="BL57" s="4794">
        <f t="shared" si="63"/>
        <v>0</v>
      </c>
      <c r="BM57" s="4794">
        <f t="shared" si="64"/>
        <v>0</v>
      </c>
      <c r="BN57" s="4794">
        <f t="shared" si="65"/>
        <v>0</v>
      </c>
      <c r="BO57" s="4794">
        <f t="shared" si="66"/>
        <v>0</v>
      </c>
      <c r="BP57" s="4794">
        <f t="shared" si="67"/>
        <v>0</v>
      </c>
      <c r="BQ57" s="4794">
        <f t="shared" si="68"/>
        <v>0</v>
      </c>
      <c r="BR57" s="4794">
        <f t="shared" si="69"/>
        <v>0</v>
      </c>
      <c r="BS57" s="4794">
        <f t="shared" si="70"/>
        <v>0</v>
      </c>
      <c r="BT57" s="4794">
        <f t="shared" si="71"/>
        <v>0</v>
      </c>
      <c r="BU57" s="4794">
        <f t="shared" si="72"/>
        <v>0</v>
      </c>
      <c r="BV57" s="4794">
        <f t="shared" si="73"/>
        <v>0</v>
      </c>
      <c r="BW57" s="4794">
        <f t="shared" si="74"/>
        <v>0</v>
      </c>
      <c r="BX57" s="4794">
        <f t="shared" si="75"/>
        <v>0</v>
      </c>
      <c r="BY57" s="4794">
        <f t="shared" si="76"/>
        <v>0</v>
      </c>
      <c r="BZ57" s="4794">
        <f t="shared" si="77"/>
        <v>0</v>
      </c>
      <c r="CA57" s="4794">
        <f t="shared" si="78"/>
        <v>0</v>
      </c>
      <c r="CB57" s="4794">
        <f t="shared" si="79"/>
        <v>0</v>
      </c>
      <c r="CC57" s="4794">
        <f t="shared" si="80"/>
        <v>0</v>
      </c>
      <c r="CD57" s="4794">
        <f t="shared" si="81"/>
        <v>0</v>
      </c>
      <c r="CE57" s="4794">
        <f t="shared" si="82"/>
        <v>0</v>
      </c>
      <c r="CF57" s="4794">
        <f t="shared" si="83"/>
        <v>0</v>
      </c>
      <c r="CG57" s="4794">
        <f t="shared" si="84"/>
        <v>0</v>
      </c>
      <c r="CH57" s="4794">
        <f t="shared" si="85"/>
        <v>0</v>
      </c>
      <c r="CI57" s="4794">
        <f t="shared" si="86"/>
        <v>0</v>
      </c>
      <c r="CJ57" s="4794">
        <f t="shared" si="87"/>
        <v>0</v>
      </c>
      <c r="CK57" s="4794">
        <f t="shared" si="88"/>
        <v>0</v>
      </c>
    </row>
    <row r="58" spans="1:89" s="34" customFormat="1" ht="24">
      <c r="A58" s="2871">
        <v>11</v>
      </c>
      <c r="B58" s="3822">
        <v>215</v>
      </c>
      <c r="C58" s="3805">
        <v>0.2</v>
      </c>
      <c r="D58" s="2870" t="s">
        <v>679</v>
      </c>
      <c r="E58" s="2864">
        <f>'11.2. ДА за периода'!E58</f>
        <v>0</v>
      </c>
      <c r="F58" s="2795">
        <f>SUMIF('9.Инвестиционна програма'!$B$12:$B$35,$B58,'9.Инвестиционна програма'!H$12:H$35)*$E$6</f>
        <v>10</v>
      </c>
      <c r="G58" s="2783">
        <f>SUMIF('9.Инвестиционна програма'!$B$12:$B$35,$B58,'9.Инвестиционна програма'!I$12:I$35)*$E$6</f>
        <v>10</v>
      </c>
      <c r="H58" s="2783">
        <f>SUMIF('9.Инвестиционна програма'!$B$12:$B$35,$B58,'9.Инвестиционна програма'!J$12:J$35)*$E$6</f>
        <v>10</v>
      </c>
      <c r="I58" s="2783">
        <f>SUMIF('9.Инвестиционна програма'!$B$12:$B$35,$B58,'9.Инвестиционна програма'!K$12:K$35)*$E$6</f>
        <v>10</v>
      </c>
      <c r="J58" s="2783">
        <f>SUMIF('9.Инвестиционна програма'!$B$12:$B$35,$B58,'9.Инвестиционна програма'!L$12:L$35)*$E$6</f>
        <v>10</v>
      </c>
      <c r="K58" s="2802">
        <f>SUMIF('9.Инвестиционна програма'!$B$12:$B$35,$B58,'9.Инвестиционна програма'!M$12:M$35)*$E$6</f>
        <v>10</v>
      </c>
      <c r="L58" s="1132">
        <f>'11.2. ДА за периода'!L58</f>
        <v>0</v>
      </c>
      <c r="M58" s="2795">
        <f>SUMIF('9.Инвестиционна програма'!$B$37:$B$47,$B58,'9.Инвестиционна програма'!H$37:H$47)*$E$6</f>
        <v>0</v>
      </c>
      <c r="N58" s="2783">
        <f>SUMIF('9.Инвестиционна програма'!$B$37:$B$47,$B58,'9.Инвестиционна програма'!I$37:I$47)*$E$6</f>
        <v>0</v>
      </c>
      <c r="O58" s="2783">
        <f>SUMIF('9.Инвестиционна програма'!$B$37:$B$47,$B58,'9.Инвестиционна програма'!J$37:J$47)*$E$6</f>
        <v>0</v>
      </c>
      <c r="P58" s="2783">
        <f>SUMIF('9.Инвестиционна програма'!$B$37:$B$47,$B58,'9.Инвестиционна програма'!K$37:K$47)*$E$6</f>
        <v>0</v>
      </c>
      <c r="Q58" s="2783">
        <f>SUMIF('9.Инвестиционна програма'!$B$37:$B$47,$B58,'9.Инвестиционна програма'!L$37:L$47)*$E$6</f>
        <v>0</v>
      </c>
      <c r="R58" s="2784">
        <f>SUMIF('9.Инвестиционна програма'!$B$37:$B$47,$B58,'9.Инвестиционна програма'!M$37:M$47)*$E$6</f>
        <v>0</v>
      </c>
      <c r="S58" s="1132">
        <f>'11.2. ДА за периода'!S58</f>
        <v>0</v>
      </c>
      <c r="T58" s="2782">
        <f>SUMIF('9.Инвестиционна програма'!$B$49:$B$56,$B58,'9.Инвестиционна програма'!H$49:H$56)*$E$6</f>
        <v>0</v>
      </c>
      <c r="U58" s="2783">
        <f>SUMIF('9.Инвестиционна програма'!$B$49:$B$56,$B58,'9.Инвестиционна програма'!I$49:I$56)*$E$6</f>
        <v>0</v>
      </c>
      <c r="V58" s="2783">
        <f>SUMIF('9.Инвестиционна програма'!$B$49:$B$56,$B58,'9.Инвестиционна програма'!J$49:J$56)*$E$6</f>
        <v>0</v>
      </c>
      <c r="W58" s="2783">
        <f>SUMIF('9.Инвестиционна програма'!$B$49:$B$56,$B58,'9.Инвестиционна програма'!K$49:K$56)*$E$6</f>
        <v>0</v>
      </c>
      <c r="X58" s="2783">
        <f>SUMIF('9.Инвестиционна програма'!$B$49:$B$56,$B58,'9.Инвестиционна програма'!L$49:L$56)*$E$6</f>
        <v>0</v>
      </c>
      <c r="Y58" s="2784">
        <f>SUMIF('9.Инвестиционна програма'!$B$49:$B$56,$B58,'9.Инвестиционна програма'!M$49:M$56)*$E$6</f>
        <v>0</v>
      </c>
      <c r="Z58" s="1132">
        <f>'11.2. ДА за периода'!Z58</f>
        <v>0</v>
      </c>
      <c r="AA58" s="2782">
        <f>SUMIF('9.Инвестиционна програма'!$B$74:$B$97,$B58,'9.Инвестиционна програма'!H$74:H$97)*$E$6</f>
        <v>0</v>
      </c>
      <c r="AB58" s="2783">
        <f>SUMIF('9.Инвестиционна програма'!$B$74:$B$97,$B58,'9.Инвестиционна програма'!I$74:I$97)*$E$6</f>
        <v>0</v>
      </c>
      <c r="AC58" s="2783">
        <f>SUMIF('9.Инвестиционна програма'!$B$74:$B$97,$B58,'9.Инвестиционна програма'!J$74:J$97)*$E$6</f>
        <v>0</v>
      </c>
      <c r="AD58" s="2783">
        <f>SUMIF('9.Инвестиционна програма'!$B$74:$B$97,$B58,'9.Инвестиционна програма'!K$74:K$97)*$E$6</f>
        <v>0</v>
      </c>
      <c r="AE58" s="2783">
        <f>SUMIF('9.Инвестиционна програма'!$B$74:$B$97,$B58,'9.Инвестиционна програма'!L$74:L$97)*$E$6</f>
        <v>0</v>
      </c>
      <c r="AF58" s="2784">
        <f>SUMIF('9.Инвестиционна програма'!$B$74:$B$97,$B58,'9.Инвестиционна програма'!M$74:M$97)*$E$6</f>
        <v>0</v>
      </c>
      <c r="AG58" s="1132">
        <f>'11.2. ДА за периода'!AG58</f>
        <v>0</v>
      </c>
      <c r="AH58" s="2782">
        <f>SUMIF('9.Инвестиционна програма'!$B$100:$B$123,$B58,'9.Инвестиционна програма'!H$100:H$123)*$E$6</f>
        <v>0</v>
      </c>
      <c r="AI58" s="2783">
        <f>SUMIF('9.Инвестиционна програма'!$B$100:$B$123,$B58,'9.Инвестиционна програма'!I$100:I$123)*$E$6</f>
        <v>0</v>
      </c>
      <c r="AJ58" s="2783">
        <f>SUMIF('9.Инвестиционна програма'!$B$100:$B$123,$B58,'9.Инвестиционна програма'!J$100:J$123)*$E$6</f>
        <v>0</v>
      </c>
      <c r="AK58" s="2783">
        <f>SUMIF('9.Инвестиционна програма'!$B$100:$B$123,$B58,'9.Инвестиционна програма'!K$100:K$123)*$E$6</f>
        <v>0</v>
      </c>
      <c r="AL58" s="2783">
        <f>SUMIF('9.Инвестиционна програма'!$B$100:$B$123,$B58,'9.Инвестиционна програма'!L$100:L$123)*$E$6</f>
        <v>0</v>
      </c>
      <c r="AM58" s="2784">
        <f>SUMIF('9.Инвестиционна програма'!$B$100:$B$123,$B58,'9.Инвестиционна програма'!M$100:M$123)*$E$6</f>
        <v>0</v>
      </c>
      <c r="AN58" s="1132">
        <f>'11.2. ДА за периода'!AN58</f>
        <v>0</v>
      </c>
      <c r="AO58" s="2782">
        <f>(SUMIF('9.Инвестиционна програма'!$B$58:$B$59,$B58,'9.Инвестиционна програма'!H$58:H$59)+SUMIF('9.Инвестиционна програма'!$B$61:$B$71,$B58,'9.Инвестиционна програма'!H$61:H$71))*$E$6</f>
        <v>0</v>
      </c>
      <c r="AP58" s="2783">
        <f>(SUMIF('9.Инвестиционна програма'!$B$58:$B$59,$B58,'9.Инвестиционна програма'!I$58:I$59)+SUMIF('9.Инвестиционна програма'!$B$61:$B$71,$B58,'9.Инвестиционна програма'!I$61:I$71))*$E$6</f>
        <v>0</v>
      </c>
      <c r="AQ58" s="2783">
        <f>(SUMIF('9.Инвестиционна програма'!$B$58:$B$59,$B58,'9.Инвестиционна програма'!J$58:J$59)+SUMIF('9.Инвестиционна програма'!$B$61:$B$71,$B58,'9.Инвестиционна програма'!J$61:J$71))*$E$6</f>
        <v>0</v>
      </c>
      <c r="AR58" s="2783">
        <f>(SUMIF('9.Инвестиционна програма'!$B$58:$B$59,$B58,'9.Инвестиционна програма'!K$58:K$59)+SUMIF('9.Инвестиционна програма'!$B$61:$B$71,$B58,'9.Инвестиционна програма'!K$61:K$71))*$E$6</f>
        <v>0</v>
      </c>
      <c r="AS58" s="2783">
        <f>(SUMIF('9.Инвестиционна програма'!$B$58:$B$59,$B58,'9.Инвестиционна програма'!L$58:L$59)+SUMIF('9.Инвестиционна програма'!$B$61:$B$71,$B58,'9.Инвестиционна програма'!L$61:L$71))*$E$6</f>
        <v>0</v>
      </c>
      <c r="AT58" s="2784">
        <f>(SUMIF('9.Инвестиционна програма'!$B$58:$B$59,$B58,'9.Инвестиционна програма'!M$58:M$59)+SUMIF('9.Инвестиционна програма'!$B$61:$B$71,$B58,'9.Инвестиционна програма'!M$61:M$71))*$E$6</f>
        <v>0</v>
      </c>
      <c r="AU58" s="4775"/>
      <c r="AV58" s="4794">
        <f t="shared" si="47"/>
        <v>0</v>
      </c>
      <c r="AW58" s="4794">
        <f t="shared" si="48"/>
        <v>5.1129188119621851</v>
      </c>
      <c r="AX58" s="4794">
        <f t="shared" si="49"/>
        <v>5.1129188119621851</v>
      </c>
      <c r="AY58" s="4794">
        <f t="shared" si="50"/>
        <v>5.1129188119621851</v>
      </c>
      <c r="AZ58" s="4794">
        <f t="shared" si="51"/>
        <v>5.1129188119621851</v>
      </c>
      <c r="BA58" s="4794">
        <f t="shared" si="52"/>
        <v>5.1129188119621851</v>
      </c>
      <c r="BB58" s="4794">
        <f t="shared" si="53"/>
        <v>5.1129188119621851</v>
      </c>
      <c r="BC58" s="4794">
        <f t="shared" si="54"/>
        <v>0</v>
      </c>
      <c r="BD58" s="4794">
        <f t="shared" si="55"/>
        <v>0</v>
      </c>
      <c r="BE58" s="4794">
        <f t="shared" si="56"/>
        <v>0</v>
      </c>
      <c r="BF58" s="4794">
        <f t="shared" si="57"/>
        <v>0</v>
      </c>
      <c r="BG58" s="4794">
        <f t="shared" si="58"/>
        <v>0</v>
      </c>
      <c r="BH58" s="4794">
        <f t="shared" si="59"/>
        <v>0</v>
      </c>
      <c r="BI58" s="4794">
        <f t="shared" si="60"/>
        <v>0</v>
      </c>
      <c r="BJ58" s="4794">
        <f t="shared" si="61"/>
        <v>0</v>
      </c>
      <c r="BK58" s="4794">
        <f t="shared" si="62"/>
        <v>0</v>
      </c>
      <c r="BL58" s="4794">
        <f t="shared" si="63"/>
        <v>0</v>
      </c>
      <c r="BM58" s="4794">
        <f t="shared" si="64"/>
        <v>0</v>
      </c>
      <c r="BN58" s="4794">
        <f t="shared" si="65"/>
        <v>0</v>
      </c>
      <c r="BO58" s="4794">
        <f t="shared" si="66"/>
        <v>0</v>
      </c>
      <c r="BP58" s="4794">
        <f t="shared" si="67"/>
        <v>0</v>
      </c>
      <c r="BQ58" s="4794">
        <f t="shared" si="68"/>
        <v>0</v>
      </c>
      <c r="BR58" s="4794">
        <f t="shared" si="69"/>
        <v>0</v>
      </c>
      <c r="BS58" s="4794">
        <f t="shared" si="70"/>
        <v>0</v>
      </c>
      <c r="BT58" s="4794">
        <f t="shared" si="71"/>
        <v>0</v>
      </c>
      <c r="BU58" s="4794">
        <f t="shared" si="72"/>
        <v>0</v>
      </c>
      <c r="BV58" s="4794">
        <f t="shared" si="73"/>
        <v>0</v>
      </c>
      <c r="BW58" s="4794">
        <f t="shared" si="74"/>
        <v>0</v>
      </c>
      <c r="BX58" s="4794">
        <f t="shared" si="75"/>
        <v>0</v>
      </c>
      <c r="BY58" s="4794">
        <f t="shared" si="76"/>
        <v>0</v>
      </c>
      <c r="BZ58" s="4794">
        <f t="shared" si="77"/>
        <v>0</v>
      </c>
      <c r="CA58" s="4794">
        <f t="shared" si="78"/>
        <v>0</v>
      </c>
      <c r="CB58" s="4794">
        <f t="shared" si="79"/>
        <v>0</v>
      </c>
      <c r="CC58" s="4794">
        <f t="shared" si="80"/>
        <v>0</v>
      </c>
      <c r="CD58" s="4794">
        <f t="shared" si="81"/>
        <v>0</v>
      </c>
      <c r="CE58" s="4794">
        <f t="shared" si="82"/>
        <v>0</v>
      </c>
      <c r="CF58" s="4794">
        <f t="shared" si="83"/>
        <v>0</v>
      </c>
      <c r="CG58" s="4794">
        <f t="shared" si="84"/>
        <v>0</v>
      </c>
      <c r="CH58" s="4794">
        <f t="shared" si="85"/>
        <v>0</v>
      </c>
      <c r="CI58" s="4794">
        <f t="shared" si="86"/>
        <v>0</v>
      </c>
      <c r="CJ58" s="4794">
        <f t="shared" si="87"/>
        <v>0</v>
      </c>
      <c r="CK58" s="4794">
        <f t="shared" si="88"/>
        <v>0</v>
      </c>
    </row>
    <row r="59" spans="1:89" s="34" customFormat="1" ht="13.5" thickBot="1">
      <c r="A59" s="2899">
        <v>12</v>
      </c>
      <c r="B59" s="3824">
        <v>219</v>
      </c>
      <c r="C59" s="3807">
        <v>0.1</v>
      </c>
      <c r="D59" s="2900" t="s">
        <v>216</v>
      </c>
      <c r="E59" s="2901">
        <f>'11.2. ДА за периода'!E59</f>
        <v>0</v>
      </c>
      <c r="F59" s="2902">
        <f>SUMIF('9.Инвестиционна програма'!$B$12:$B$35,$B59,'9.Инвестиционна програма'!H$12:H$35)*$E$6</f>
        <v>0</v>
      </c>
      <c r="G59" s="2903">
        <f>SUMIF('9.Инвестиционна програма'!$B$12:$B$35,$B59,'9.Инвестиционна програма'!I$12:I$35)*$E$6</f>
        <v>0</v>
      </c>
      <c r="H59" s="2903">
        <f>SUMIF('9.Инвестиционна програма'!$B$12:$B$35,$B59,'9.Инвестиционна програма'!J$12:J$35)*$E$6</f>
        <v>0</v>
      </c>
      <c r="I59" s="2903">
        <f>SUMIF('9.Инвестиционна програма'!$B$12:$B$35,$B59,'9.Инвестиционна програма'!K$12:K$35)*$E$6</f>
        <v>0</v>
      </c>
      <c r="J59" s="2903">
        <f>SUMIF('9.Инвестиционна програма'!$B$12:$B$35,$B59,'9.Инвестиционна програма'!L$12:L$35)*$E$6</f>
        <v>0</v>
      </c>
      <c r="K59" s="2904">
        <f>SUMIF('9.Инвестиционна програма'!$B$12:$B$35,$B59,'9.Инвестиционна програма'!M$12:M$35)*$E$6</f>
        <v>0</v>
      </c>
      <c r="L59" s="2905">
        <f>'11.2. ДА за периода'!L59</f>
        <v>0</v>
      </c>
      <c r="M59" s="2902">
        <f>SUMIF('9.Инвестиционна програма'!$B$37:$B$47,$B59,'9.Инвестиционна програма'!H$37:H$47)*$E$6</f>
        <v>0</v>
      </c>
      <c r="N59" s="2903">
        <f>SUMIF('9.Инвестиционна програма'!$B$37:$B$47,$B59,'9.Инвестиционна програма'!I$37:I$47)*$E$6</f>
        <v>0</v>
      </c>
      <c r="O59" s="2903">
        <f>SUMIF('9.Инвестиционна програма'!$B$37:$B$47,$B59,'9.Инвестиционна програма'!J$37:J$47)*$E$6</f>
        <v>0</v>
      </c>
      <c r="P59" s="2903">
        <f>SUMIF('9.Инвестиционна програма'!$B$37:$B$47,$B59,'9.Инвестиционна програма'!K$37:K$47)*$E$6</f>
        <v>0</v>
      </c>
      <c r="Q59" s="2903">
        <f>SUMIF('9.Инвестиционна програма'!$B$37:$B$47,$B59,'9.Инвестиционна програма'!L$37:L$47)*$E$6</f>
        <v>0</v>
      </c>
      <c r="R59" s="2906">
        <f>SUMIF('9.Инвестиционна програма'!$B$37:$B$47,$B59,'9.Инвестиционна програма'!M$37:M$47)*$E$6</f>
        <v>0</v>
      </c>
      <c r="S59" s="2905">
        <f>'11.2. ДА за периода'!S59</f>
        <v>0</v>
      </c>
      <c r="T59" s="2907">
        <f>SUMIF('9.Инвестиционна програма'!$B$49:$B$56,$B59,'9.Инвестиционна програма'!H$49:H$56)*$E$6</f>
        <v>0</v>
      </c>
      <c r="U59" s="2903">
        <f>SUMIF('9.Инвестиционна програма'!$B$49:$B$56,$B59,'9.Инвестиционна програма'!I$49:I$56)*$E$6</f>
        <v>0</v>
      </c>
      <c r="V59" s="2903">
        <f>SUMIF('9.Инвестиционна програма'!$B$49:$B$56,$B59,'9.Инвестиционна програма'!J$49:J$56)*$E$6</f>
        <v>0</v>
      </c>
      <c r="W59" s="2903">
        <f>SUMIF('9.Инвестиционна програма'!$B$49:$B$56,$B59,'9.Инвестиционна програма'!K$49:K$56)*$E$6</f>
        <v>0</v>
      </c>
      <c r="X59" s="2903">
        <f>SUMIF('9.Инвестиционна програма'!$B$49:$B$56,$B59,'9.Инвестиционна програма'!L$49:L$56)*$E$6</f>
        <v>0</v>
      </c>
      <c r="Y59" s="2906">
        <f>SUMIF('9.Инвестиционна програма'!$B$49:$B$56,$B59,'9.Инвестиционна програма'!M$49:M$56)*$E$6</f>
        <v>0</v>
      </c>
      <c r="Z59" s="2905">
        <f>'11.2. ДА за периода'!Z59</f>
        <v>0</v>
      </c>
      <c r="AA59" s="2907">
        <f>SUMIF('9.Инвестиционна програма'!$B$74:$B$97,$B59,'9.Инвестиционна програма'!H$74:H$97)*$E$6</f>
        <v>0</v>
      </c>
      <c r="AB59" s="2903">
        <f>SUMIF('9.Инвестиционна програма'!$B$74:$B$97,$B59,'9.Инвестиционна програма'!I$74:I$97)*$E$6</f>
        <v>0</v>
      </c>
      <c r="AC59" s="2903">
        <f>SUMIF('9.Инвестиционна програма'!$B$74:$B$97,$B59,'9.Инвестиционна програма'!J$74:J$97)*$E$6</f>
        <v>0</v>
      </c>
      <c r="AD59" s="2903">
        <f>SUMIF('9.Инвестиционна програма'!$B$74:$B$97,$B59,'9.Инвестиционна програма'!K$74:K$97)*$E$6</f>
        <v>0</v>
      </c>
      <c r="AE59" s="2903">
        <f>SUMIF('9.Инвестиционна програма'!$B$74:$B$97,$B59,'9.Инвестиционна програма'!L$74:L$97)*$E$6</f>
        <v>0</v>
      </c>
      <c r="AF59" s="2906">
        <f>SUMIF('9.Инвестиционна програма'!$B$74:$B$97,$B59,'9.Инвестиционна програма'!M$74:M$97)*$E$6</f>
        <v>0</v>
      </c>
      <c r="AG59" s="2905">
        <f>'11.2. ДА за периода'!AG59</f>
        <v>0</v>
      </c>
      <c r="AH59" s="2907">
        <f>SUMIF('9.Инвестиционна програма'!$B$100:$B$123,$B59,'9.Инвестиционна програма'!H$100:H$123)*$E$6</f>
        <v>0</v>
      </c>
      <c r="AI59" s="2903">
        <f>SUMIF('9.Инвестиционна програма'!$B$100:$B$123,$B59,'9.Инвестиционна програма'!I$100:I$123)*$E$6</f>
        <v>0</v>
      </c>
      <c r="AJ59" s="2903">
        <f>SUMIF('9.Инвестиционна програма'!$B$100:$B$123,$B59,'9.Инвестиционна програма'!J$100:J$123)*$E$6</f>
        <v>0</v>
      </c>
      <c r="AK59" s="2903">
        <f>SUMIF('9.Инвестиционна програма'!$B$100:$B$123,$B59,'9.Инвестиционна програма'!K$100:K$123)*$E$6</f>
        <v>0</v>
      </c>
      <c r="AL59" s="2903">
        <f>SUMIF('9.Инвестиционна програма'!$B$100:$B$123,$B59,'9.Инвестиционна програма'!L$100:L$123)*$E$6</f>
        <v>0</v>
      </c>
      <c r="AM59" s="2906">
        <f>SUMIF('9.Инвестиционна програма'!$B$100:$B$123,$B59,'9.Инвестиционна програма'!M$100:M$123)*$E$6</f>
        <v>0</v>
      </c>
      <c r="AN59" s="2905">
        <f>'11.2. ДА за периода'!AN59</f>
        <v>0</v>
      </c>
      <c r="AO59" s="2907">
        <f>(SUMIF('9.Инвестиционна програма'!$B$58:$B$59,$B59,'9.Инвестиционна програма'!H$58:H$59)+SUMIF('9.Инвестиционна програма'!$B$61:$B$71,$B59,'9.Инвестиционна програма'!H$61:H$71))*$E$6</f>
        <v>0</v>
      </c>
      <c r="AP59" s="2903">
        <f>(SUMIF('9.Инвестиционна програма'!$B$58:$B$59,$B59,'9.Инвестиционна програма'!I$58:I$59)+SUMIF('9.Инвестиционна програма'!$B$61:$B$71,$B59,'9.Инвестиционна програма'!I$61:I$71))*$E$6</f>
        <v>0</v>
      </c>
      <c r="AQ59" s="2903">
        <f>(SUMIF('9.Инвестиционна програма'!$B$58:$B$59,$B59,'9.Инвестиционна програма'!J$58:J$59)+SUMIF('9.Инвестиционна програма'!$B$61:$B$71,$B59,'9.Инвестиционна програма'!J$61:J$71))*$E$6</f>
        <v>0</v>
      </c>
      <c r="AR59" s="2903">
        <f>(SUMIF('9.Инвестиционна програма'!$B$58:$B$59,$B59,'9.Инвестиционна програма'!K$58:K$59)+SUMIF('9.Инвестиционна програма'!$B$61:$B$71,$B59,'9.Инвестиционна програма'!K$61:K$71))*$E$6</f>
        <v>0</v>
      </c>
      <c r="AS59" s="2903">
        <f>(SUMIF('9.Инвестиционна програма'!$B$58:$B$59,$B59,'9.Инвестиционна програма'!L$58:L$59)+SUMIF('9.Инвестиционна програма'!$B$61:$B$71,$B59,'9.Инвестиционна програма'!L$61:L$71))*$E$6</f>
        <v>0</v>
      </c>
      <c r="AT59" s="2906">
        <f>(SUMIF('9.Инвестиционна програма'!$B$58:$B$59,$B59,'9.Инвестиционна програма'!M$58:M$59)+SUMIF('9.Инвестиционна програма'!$B$61:$B$71,$B59,'9.Инвестиционна програма'!M$61:M$71))*$E$6</f>
        <v>0</v>
      </c>
      <c r="AU59" s="4775"/>
      <c r="AV59" s="4794">
        <f t="shared" si="47"/>
        <v>0</v>
      </c>
      <c r="AW59" s="4794">
        <f t="shared" si="48"/>
        <v>0</v>
      </c>
      <c r="AX59" s="4794">
        <f t="shared" si="49"/>
        <v>0</v>
      </c>
      <c r="AY59" s="4794">
        <f t="shared" si="50"/>
        <v>0</v>
      </c>
      <c r="AZ59" s="4794">
        <f t="shared" si="51"/>
        <v>0</v>
      </c>
      <c r="BA59" s="4794">
        <f t="shared" si="52"/>
        <v>0</v>
      </c>
      <c r="BB59" s="4794">
        <f t="shared" si="53"/>
        <v>0</v>
      </c>
      <c r="BC59" s="4794">
        <f t="shared" si="54"/>
        <v>0</v>
      </c>
      <c r="BD59" s="4794">
        <f t="shared" si="55"/>
        <v>0</v>
      </c>
      <c r="BE59" s="4794">
        <f t="shared" si="56"/>
        <v>0</v>
      </c>
      <c r="BF59" s="4794">
        <f t="shared" si="57"/>
        <v>0</v>
      </c>
      <c r="BG59" s="4794">
        <f t="shared" si="58"/>
        <v>0</v>
      </c>
      <c r="BH59" s="4794">
        <f t="shared" si="59"/>
        <v>0</v>
      </c>
      <c r="BI59" s="4794">
        <f t="shared" si="60"/>
        <v>0</v>
      </c>
      <c r="BJ59" s="4794">
        <f t="shared" si="61"/>
        <v>0</v>
      </c>
      <c r="BK59" s="4794">
        <f t="shared" si="62"/>
        <v>0</v>
      </c>
      <c r="BL59" s="4794">
        <f t="shared" si="63"/>
        <v>0</v>
      </c>
      <c r="BM59" s="4794">
        <f t="shared" si="64"/>
        <v>0</v>
      </c>
      <c r="BN59" s="4794">
        <f t="shared" si="65"/>
        <v>0</v>
      </c>
      <c r="BO59" s="4794">
        <f t="shared" si="66"/>
        <v>0</v>
      </c>
      <c r="BP59" s="4794">
        <f t="shared" si="67"/>
        <v>0</v>
      </c>
      <c r="BQ59" s="4794">
        <f t="shared" si="68"/>
        <v>0</v>
      </c>
      <c r="BR59" s="4794">
        <f t="shared" si="69"/>
        <v>0</v>
      </c>
      <c r="BS59" s="4794">
        <f t="shared" si="70"/>
        <v>0</v>
      </c>
      <c r="BT59" s="4794">
        <f t="shared" si="71"/>
        <v>0</v>
      </c>
      <c r="BU59" s="4794">
        <f t="shared" si="72"/>
        <v>0</v>
      </c>
      <c r="BV59" s="4794">
        <f t="shared" si="73"/>
        <v>0</v>
      </c>
      <c r="BW59" s="4794">
        <f t="shared" si="74"/>
        <v>0</v>
      </c>
      <c r="BX59" s="4794">
        <f t="shared" si="75"/>
        <v>0</v>
      </c>
      <c r="BY59" s="4794">
        <f t="shared" si="76"/>
        <v>0</v>
      </c>
      <c r="BZ59" s="4794">
        <f t="shared" si="77"/>
        <v>0</v>
      </c>
      <c r="CA59" s="4794">
        <f t="shared" si="78"/>
        <v>0</v>
      </c>
      <c r="CB59" s="4794">
        <f t="shared" si="79"/>
        <v>0</v>
      </c>
      <c r="CC59" s="4794">
        <f t="shared" si="80"/>
        <v>0</v>
      </c>
      <c r="CD59" s="4794">
        <f t="shared" si="81"/>
        <v>0</v>
      </c>
      <c r="CE59" s="4794">
        <f t="shared" si="82"/>
        <v>0</v>
      </c>
      <c r="CF59" s="4794">
        <f t="shared" si="83"/>
        <v>0</v>
      </c>
      <c r="CG59" s="4794">
        <f t="shared" si="84"/>
        <v>0</v>
      </c>
      <c r="CH59" s="4794">
        <f t="shared" si="85"/>
        <v>0</v>
      </c>
      <c r="CI59" s="4794">
        <f t="shared" si="86"/>
        <v>0</v>
      </c>
      <c r="CJ59" s="4794">
        <f t="shared" si="87"/>
        <v>0</v>
      </c>
      <c r="CK59" s="4794">
        <f t="shared" si="88"/>
        <v>0</v>
      </c>
    </row>
    <row r="60" spans="1:89" s="43" customFormat="1" ht="15" thickBot="1">
      <c r="A60" s="2846" t="s">
        <v>206</v>
      </c>
      <c r="B60" s="3825"/>
      <c r="C60" s="3808"/>
      <c r="D60" s="2847" t="s">
        <v>218</v>
      </c>
      <c r="E60" s="2848">
        <f t="shared" ref="E60:AT60" si="106">E61+E64+E67+E79+E94+E99+SUM(E103:E108)</f>
        <v>223.88000000000002</v>
      </c>
      <c r="F60" s="2849">
        <f t="shared" si="106"/>
        <v>60.525000000000006</v>
      </c>
      <c r="G60" s="2850">
        <f t="shared" si="106"/>
        <v>167.55</v>
      </c>
      <c r="H60" s="2850">
        <f t="shared" si="106"/>
        <v>251.15</v>
      </c>
      <c r="I60" s="2850">
        <f t="shared" si="106"/>
        <v>329.90000000000003</v>
      </c>
      <c r="J60" s="2850">
        <f t="shared" si="106"/>
        <v>424.05</v>
      </c>
      <c r="K60" s="2908">
        <f t="shared" si="106"/>
        <v>513.40000000000009</v>
      </c>
      <c r="L60" s="2852">
        <f t="shared" si="106"/>
        <v>22.990000000000002</v>
      </c>
      <c r="M60" s="2849">
        <f t="shared" si="106"/>
        <v>1.7</v>
      </c>
      <c r="N60" s="2850">
        <f t="shared" si="106"/>
        <v>5.75</v>
      </c>
      <c r="O60" s="2850">
        <f t="shared" si="106"/>
        <v>10.199999999999999</v>
      </c>
      <c r="P60" s="2850">
        <f t="shared" si="106"/>
        <v>14.4</v>
      </c>
      <c r="Q60" s="2850">
        <f t="shared" si="106"/>
        <v>18.5</v>
      </c>
      <c r="R60" s="2851">
        <f t="shared" si="106"/>
        <v>22.5</v>
      </c>
      <c r="S60" s="2852">
        <f t="shared" si="106"/>
        <v>4.0600000000000005</v>
      </c>
      <c r="T60" s="2853">
        <f t="shared" si="106"/>
        <v>3</v>
      </c>
      <c r="U60" s="2850">
        <f t="shared" si="106"/>
        <v>11.5</v>
      </c>
      <c r="V60" s="2850">
        <f t="shared" si="106"/>
        <v>21.5</v>
      </c>
      <c r="W60" s="2850">
        <f t="shared" si="106"/>
        <v>30</v>
      </c>
      <c r="X60" s="2850">
        <f t="shared" si="106"/>
        <v>39.5</v>
      </c>
      <c r="Y60" s="2851">
        <f t="shared" si="106"/>
        <v>49</v>
      </c>
      <c r="Z60" s="2852">
        <f t="shared" ref="Z60:AM60" si="107">Z61+Z64+Z67+Z79+Z94+Z99+SUM(Z103:Z108)</f>
        <v>0</v>
      </c>
      <c r="AA60" s="2853">
        <f t="shared" si="107"/>
        <v>0</v>
      </c>
      <c r="AB60" s="2850">
        <f t="shared" si="107"/>
        <v>0</v>
      </c>
      <c r="AC60" s="2850">
        <f t="shared" si="107"/>
        <v>0</v>
      </c>
      <c r="AD60" s="2850">
        <f t="shared" si="107"/>
        <v>0</v>
      </c>
      <c r="AE60" s="2850">
        <f t="shared" si="107"/>
        <v>0</v>
      </c>
      <c r="AF60" s="2851">
        <f t="shared" si="107"/>
        <v>0</v>
      </c>
      <c r="AG60" s="2852">
        <f t="shared" si="107"/>
        <v>0</v>
      </c>
      <c r="AH60" s="2853">
        <f t="shared" si="107"/>
        <v>0</v>
      </c>
      <c r="AI60" s="2850">
        <f t="shared" si="107"/>
        <v>0</v>
      </c>
      <c r="AJ60" s="2850">
        <f t="shared" si="107"/>
        <v>0</v>
      </c>
      <c r="AK60" s="2850">
        <f t="shared" si="107"/>
        <v>0</v>
      </c>
      <c r="AL60" s="2850">
        <f t="shared" si="107"/>
        <v>0</v>
      </c>
      <c r="AM60" s="2851">
        <f t="shared" si="107"/>
        <v>0</v>
      </c>
      <c r="AN60" s="2852">
        <f t="shared" si="106"/>
        <v>0</v>
      </c>
      <c r="AO60" s="2853">
        <f t="shared" si="106"/>
        <v>17.75</v>
      </c>
      <c r="AP60" s="2850">
        <f t="shared" si="106"/>
        <v>46.55</v>
      </c>
      <c r="AQ60" s="2850">
        <f t="shared" si="106"/>
        <v>66.849999999999994</v>
      </c>
      <c r="AR60" s="2850">
        <f t="shared" si="106"/>
        <v>95.85</v>
      </c>
      <c r="AS60" s="2850">
        <f t="shared" si="106"/>
        <v>124.1</v>
      </c>
      <c r="AT60" s="2851">
        <f t="shared" si="106"/>
        <v>142.35</v>
      </c>
      <c r="AU60" s="4775"/>
      <c r="AV60" s="4794">
        <f t="shared" si="47"/>
        <v>114.46802636220941</v>
      </c>
      <c r="AW60" s="4794">
        <f t="shared" si="48"/>
        <v>30.945941109401126</v>
      </c>
      <c r="AX60" s="4794">
        <f t="shared" si="49"/>
        <v>85.666954694426408</v>
      </c>
      <c r="AY60" s="4794">
        <f t="shared" si="50"/>
        <v>128.41095596243028</v>
      </c>
      <c r="AZ60" s="4794">
        <f t="shared" si="51"/>
        <v>168.6751916066325</v>
      </c>
      <c r="BA60" s="4794">
        <f t="shared" si="52"/>
        <v>216.81332222125647</v>
      </c>
      <c r="BB60" s="4794">
        <f t="shared" si="53"/>
        <v>262.49725180613865</v>
      </c>
      <c r="BC60" s="4794">
        <f t="shared" si="54"/>
        <v>11.754600348701064</v>
      </c>
      <c r="BD60" s="4794">
        <f t="shared" si="55"/>
        <v>0.8691961980335714</v>
      </c>
      <c r="BE60" s="4794">
        <f t="shared" si="56"/>
        <v>2.9399283168782562</v>
      </c>
      <c r="BF60" s="4794">
        <f t="shared" si="57"/>
        <v>5.2151771882014284</v>
      </c>
      <c r="BG60" s="4794">
        <f t="shared" si="58"/>
        <v>7.362603089225547</v>
      </c>
      <c r="BH60" s="4794">
        <f t="shared" si="59"/>
        <v>9.458899802130043</v>
      </c>
      <c r="BI60" s="4794">
        <f t="shared" si="60"/>
        <v>11.504067326914916</v>
      </c>
      <c r="BJ60" s="4794">
        <f t="shared" si="61"/>
        <v>2.0758450376566473</v>
      </c>
      <c r="BK60" s="4794">
        <f t="shared" si="62"/>
        <v>1.5338756435886556</v>
      </c>
      <c r="BL60" s="4794">
        <f t="shared" si="63"/>
        <v>5.8798566337565124</v>
      </c>
      <c r="BM60" s="4794">
        <f t="shared" si="64"/>
        <v>10.992775445718697</v>
      </c>
      <c r="BN60" s="4794">
        <f t="shared" si="65"/>
        <v>15.338756435886555</v>
      </c>
      <c r="BO60" s="4794">
        <f t="shared" si="66"/>
        <v>20.19602930725063</v>
      </c>
      <c r="BP60" s="4794">
        <f t="shared" si="67"/>
        <v>25.053302178614707</v>
      </c>
      <c r="BQ60" s="4794">
        <f t="shared" si="68"/>
        <v>0</v>
      </c>
      <c r="BR60" s="4794">
        <f t="shared" si="69"/>
        <v>0</v>
      </c>
      <c r="BS60" s="4794">
        <f t="shared" si="70"/>
        <v>0</v>
      </c>
      <c r="BT60" s="4794">
        <f t="shared" si="71"/>
        <v>0</v>
      </c>
      <c r="BU60" s="4794">
        <f t="shared" si="72"/>
        <v>0</v>
      </c>
      <c r="BV60" s="4794">
        <f t="shared" si="73"/>
        <v>0</v>
      </c>
      <c r="BW60" s="4794">
        <f t="shared" si="74"/>
        <v>0</v>
      </c>
      <c r="BX60" s="4794">
        <f t="shared" si="75"/>
        <v>0</v>
      </c>
      <c r="BY60" s="4794">
        <f t="shared" si="76"/>
        <v>0</v>
      </c>
      <c r="BZ60" s="4794">
        <f t="shared" si="77"/>
        <v>0</v>
      </c>
      <c r="CA60" s="4794">
        <f t="shared" si="78"/>
        <v>0</v>
      </c>
      <c r="CB60" s="4794">
        <f t="shared" si="79"/>
        <v>0</v>
      </c>
      <c r="CC60" s="4794">
        <f t="shared" si="80"/>
        <v>0</v>
      </c>
      <c r="CD60" s="4794">
        <f t="shared" si="81"/>
        <v>0</v>
      </c>
      <c r="CE60" s="4794">
        <f t="shared" si="82"/>
        <v>0</v>
      </c>
      <c r="CF60" s="4794">
        <f t="shared" si="83"/>
        <v>9.0754308912328785</v>
      </c>
      <c r="CG60" s="4794">
        <f t="shared" si="84"/>
        <v>23.800637069683969</v>
      </c>
      <c r="CH60" s="4794">
        <f t="shared" si="85"/>
        <v>34.179862257967201</v>
      </c>
      <c r="CI60" s="4794">
        <f t="shared" si="86"/>
        <v>49.007326812657539</v>
      </c>
      <c r="CJ60" s="4794">
        <f t="shared" si="87"/>
        <v>63.451322456450711</v>
      </c>
      <c r="CK60" s="4794">
        <f t="shared" si="88"/>
        <v>72.782399288281695</v>
      </c>
    </row>
    <row r="61" spans="1:89" s="34" customFormat="1">
      <c r="A61" s="2909">
        <v>1</v>
      </c>
      <c r="B61" s="3826">
        <v>201</v>
      </c>
      <c r="C61" s="3809">
        <v>0</v>
      </c>
      <c r="D61" s="2910" t="s">
        <v>217</v>
      </c>
      <c r="E61" s="2911">
        <f>SUM(E62:E63)</f>
        <v>0</v>
      </c>
      <c r="F61" s="2912">
        <f>SUM(F62:F63)</f>
        <v>0</v>
      </c>
      <c r="G61" s="2913">
        <f t="shared" ref="G61:J61" si="108">SUM(G62:G63)</f>
        <v>0</v>
      </c>
      <c r="H61" s="2913">
        <f t="shared" si="108"/>
        <v>0</v>
      </c>
      <c r="I61" s="2913">
        <f t="shared" si="108"/>
        <v>0</v>
      </c>
      <c r="J61" s="2913">
        <f t="shared" si="108"/>
        <v>0</v>
      </c>
      <c r="K61" s="2914">
        <f>SUM(K62:K63)</f>
        <v>0</v>
      </c>
      <c r="L61" s="2860">
        <f>SUM(L62:L63)</f>
        <v>0</v>
      </c>
      <c r="M61" s="2912">
        <f>SUM(M62:M63)</f>
        <v>0</v>
      </c>
      <c r="N61" s="2913">
        <f t="shared" ref="N61:Q61" si="109">SUM(N62:N63)</f>
        <v>0</v>
      </c>
      <c r="O61" s="2913">
        <f t="shared" si="109"/>
        <v>0</v>
      </c>
      <c r="P61" s="2913">
        <f t="shared" si="109"/>
        <v>0</v>
      </c>
      <c r="Q61" s="2913">
        <f t="shared" si="109"/>
        <v>0</v>
      </c>
      <c r="R61" s="2915">
        <f>SUM(R62:R63)</f>
        <v>0</v>
      </c>
      <c r="S61" s="2860">
        <f>SUM(S62:S63)</f>
        <v>0</v>
      </c>
      <c r="T61" s="2916">
        <f>SUM(T62:T63)</f>
        <v>0</v>
      </c>
      <c r="U61" s="2913">
        <f t="shared" ref="U61:X61" si="110">SUM(U62:U63)</f>
        <v>0</v>
      </c>
      <c r="V61" s="2913">
        <f t="shared" si="110"/>
        <v>0</v>
      </c>
      <c r="W61" s="2913">
        <f t="shared" si="110"/>
        <v>0</v>
      </c>
      <c r="X61" s="2913">
        <f t="shared" si="110"/>
        <v>0</v>
      </c>
      <c r="Y61" s="2915">
        <f>SUM(Y62:Y63)</f>
        <v>0</v>
      </c>
      <c r="Z61" s="2860">
        <f>SUM(Z62:Z63)</f>
        <v>0</v>
      </c>
      <c r="AA61" s="2916">
        <f>SUM(AA62:AA63)</f>
        <v>0</v>
      </c>
      <c r="AB61" s="2913">
        <f t="shared" ref="AB61:AE61" si="111">SUM(AB62:AB63)</f>
        <v>0</v>
      </c>
      <c r="AC61" s="2913">
        <f t="shared" si="111"/>
        <v>0</v>
      </c>
      <c r="AD61" s="2913">
        <f t="shared" si="111"/>
        <v>0</v>
      </c>
      <c r="AE61" s="2913">
        <f t="shared" si="111"/>
        <v>0</v>
      </c>
      <c r="AF61" s="2915">
        <f>SUM(AF62:AF63)</f>
        <v>0</v>
      </c>
      <c r="AG61" s="2860">
        <f>SUM(AG62:AG63)</f>
        <v>0</v>
      </c>
      <c r="AH61" s="2916">
        <f>SUM(AH62:AH63)</f>
        <v>0</v>
      </c>
      <c r="AI61" s="2913">
        <f t="shared" ref="AI61:AL61" si="112">SUM(AI62:AI63)</f>
        <v>0</v>
      </c>
      <c r="AJ61" s="2913">
        <f t="shared" si="112"/>
        <v>0</v>
      </c>
      <c r="AK61" s="2913">
        <f t="shared" si="112"/>
        <v>0</v>
      </c>
      <c r="AL61" s="2913">
        <f t="shared" si="112"/>
        <v>0</v>
      </c>
      <c r="AM61" s="2915">
        <f>SUM(AM62:AM63)</f>
        <v>0</v>
      </c>
      <c r="AN61" s="2860">
        <f>SUM(AN62:AN63)</f>
        <v>0</v>
      </c>
      <c r="AO61" s="2912">
        <f>SUM(AO62:AO63)</f>
        <v>0</v>
      </c>
      <c r="AP61" s="2913">
        <f t="shared" ref="AP61:AS61" si="113">SUM(AP62:AP63)</f>
        <v>0</v>
      </c>
      <c r="AQ61" s="2913">
        <f t="shared" si="113"/>
        <v>0</v>
      </c>
      <c r="AR61" s="2913">
        <f t="shared" si="113"/>
        <v>0</v>
      </c>
      <c r="AS61" s="2913">
        <f t="shared" si="113"/>
        <v>0</v>
      </c>
      <c r="AT61" s="2915">
        <f>SUM(AT62:AT63)</f>
        <v>0</v>
      </c>
      <c r="AU61" s="4775"/>
      <c r="AV61" s="4794">
        <f t="shared" si="47"/>
        <v>0</v>
      </c>
      <c r="AW61" s="4794">
        <f t="shared" si="48"/>
        <v>0</v>
      </c>
      <c r="AX61" s="4794">
        <f t="shared" si="49"/>
        <v>0</v>
      </c>
      <c r="AY61" s="4794">
        <f t="shared" si="50"/>
        <v>0</v>
      </c>
      <c r="AZ61" s="4794">
        <f t="shared" si="51"/>
        <v>0</v>
      </c>
      <c r="BA61" s="4794">
        <f t="shared" si="52"/>
        <v>0</v>
      </c>
      <c r="BB61" s="4794">
        <f t="shared" si="53"/>
        <v>0</v>
      </c>
      <c r="BC61" s="4794">
        <f t="shared" si="54"/>
        <v>0</v>
      </c>
      <c r="BD61" s="4794">
        <f t="shared" si="55"/>
        <v>0</v>
      </c>
      <c r="BE61" s="4794">
        <f t="shared" si="56"/>
        <v>0</v>
      </c>
      <c r="BF61" s="4794">
        <f t="shared" si="57"/>
        <v>0</v>
      </c>
      <c r="BG61" s="4794">
        <f t="shared" si="58"/>
        <v>0</v>
      </c>
      <c r="BH61" s="4794">
        <f t="shared" si="59"/>
        <v>0</v>
      </c>
      <c r="BI61" s="4794">
        <f t="shared" si="60"/>
        <v>0</v>
      </c>
      <c r="BJ61" s="4794">
        <f t="shared" si="61"/>
        <v>0</v>
      </c>
      <c r="BK61" s="4794">
        <f t="shared" si="62"/>
        <v>0</v>
      </c>
      <c r="BL61" s="4794">
        <f t="shared" si="63"/>
        <v>0</v>
      </c>
      <c r="BM61" s="4794">
        <f t="shared" si="64"/>
        <v>0</v>
      </c>
      <c r="BN61" s="4794">
        <f t="shared" si="65"/>
        <v>0</v>
      </c>
      <c r="BO61" s="4794">
        <f t="shared" si="66"/>
        <v>0</v>
      </c>
      <c r="BP61" s="4794">
        <f t="shared" si="67"/>
        <v>0</v>
      </c>
      <c r="BQ61" s="4794">
        <f t="shared" si="68"/>
        <v>0</v>
      </c>
      <c r="BR61" s="4794">
        <f t="shared" si="69"/>
        <v>0</v>
      </c>
      <c r="BS61" s="4794">
        <f t="shared" si="70"/>
        <v>0</v>
      </c>
      <c r="BT61" s="4794">
        <f t="shared" si="71"/>
        <v>0</v>
      </c>
      <c r="BU61" s="4794">
        <f t="shared" si="72"/>
        <v>0</v>
      </c>
      <c r="BV61" s="4794">
        <f t="shared" si="73"/>
        <v>0</v>
      </c>
      <c r="BW61" s="4794">
        <f t="shared" si="74"/>
        <v>0</v>
      </c>
      <c r="BX61" s="4794">
        <f t="shared" si="75"/>
        <v>0</v>
      </c>
      <c r="BY61" s="4794">
        <f t="shared" si="76"/>
        <v>0</v>
      </c>
      <c r="BZ61" s="4794">
        <f t="shared" si="77"/>
        <v>0</v>
      </c>
      <c r="CA61" s="4794">
        <f t="shared" si="78"/>
        <v>0</v>
      </c>
      <c r="CB61" s="4794">
        <f t="shared" si="79"/>
        <v>0</v>
      </c>
      <c r="CC61" s="4794">
        <f t="shared" si="80"/>
        <v>0</v>
      </c>
      <c r="CD61" s="4794">
        <f t="shared" si="81"/>
        <v>0</v>
      </c>
      <c r="CE61" s="4794">
        <f t="shared" si="82"/>
        <v>0</v>
      </c>
      <c r="CF61" s="4794">
        <f t="shared" si="83"/>
        <v>0</v>
      </c>
      <c r="CG61" s="4794">
        <f t="shared" si="84"/>
        <v>0</v>
      </c>
      <c r="CH61" s="4794">
        <f t="shared" si="85"/>
        <v>0</v>
      </c>
      <c r="CI61" s="4794">
        <f t="shared" si="86"/>
        <v>0</v>
      </c>
      <c r="CJ61" s="4794">
        <f t="shared" si="87"/>
        <v>0</v>
      </c>
      <c r="CK61" s="4794">
        <f t="shared" si="88"/>
        <v>0</v>
      </c>
    </row>
    <row r="62" spans="1:89" s="42" customFormat="1">
      <c r="A62" s="2862"/>
      <c r="B62" s="3815">
        <v>20101</v>
      </c>
      <c r="C62" s="3798">
        <v>0</v>
      </c>
      <c r="D62" s="2863" t="s">
        <v>556</v>
      </c>
      <c r="E62" s="2864">
        <f>'11.2. ДА за периода'!E62</f>
        <v>0</v>
      </c>
      <c r="F62" s="2792">
        <f>($F13*$C62)/$E$7</f>
        <v>0</v>
      </c>
      <c r="G62" s="1155">
        <f>($F13*$C62)+($G13*$C62)/$E$7</f>
        <v>0</v>
      </c>
      <c r="H62" s="1155">
        <f>($F13*$C62)+($G13*$C62)+($H13*$C62)/$E$7</f>
        <v>0</v>
      </c>
      <c r="I62" s="1155">
        <f>($F13*$C62)+($G13*$C62)+($H13*$C62)+($I13*$C62)/$E$7</f>
        <v>0</v>
      </c>
      <c r="J62" s="1155">
        <f>($F13*$C62)+($G13*$C62)+($H13*$C62)+($I13*$C62)+($J13*$C62)/$E$7</f>
        <v>0</v>
      </c>
      <c r="K62" s="2917">
        <f>($F13*$C62)+($G13*$C62)+($H13*$C62)+($I13*$C62)+($J13*$C62)+($K13*$C62)/$E$7</f>
        <v>0</v>
      </c>
      <c r="L62" s="2864">
        <f>'11.2. ДА за периода'!L62</f>
        <v>0</v>
      </c>
      <c r="M62" s="2792">
        <f>($M13*$C62)/$E$7</f>
        <v>0</v>
      </c>
      <c r="N62" s="1155">
        <f>($M13*$C62)+($N13*$C62)/$E$7</f>
        <v>0</v>
      </c>
      <c r="O62" s="1155">
        <f>($M13*$C62)+($N13*$C62)+($O13*$C62)/$E$7</f>
        <v>0</v>
      </c>
      <c r="P62" s="1155">
        <f>($M13*$C62)+($N13*$C62)+($O13*$C62)+($P13*$C62)/$E$7</f>
        <v>0</v>
      </c>
      <c r="Q62" s="2917">
        <f>($M13*$C62)+($N13*$C62)+($O13*$C62)+($P13*$C62)+($Q13*$C62)/$E$7</f>
        <v>0</v>
      </c>
      <c r="R62" s="2793">
        <f>($M13*$C62)+($N13*$C62)+($O13*$C62)+($P13*$C62)+($Q13*$C62)+($R13*$C62)/$E$7</f>
        <v>0</v>
      </c>
      <c r="S62" s="1132">
        <f>'11.2. ДА за периода'!S62</f>
        <v>0</v>
      </c>
      <c r="T62" s="926">
        <f>(T13*$C62)/$E$7</f>
        <v>0</v>
      </c>
      <c r="U62" s="1155">
        <f>(T13*$C62)+(U13*$C62)/$E$7</f>
        <v>0</v>
      </c>
      <c r="V62" s="1155">
        <f>(T13*$C62)+(U13*$C62)+(V13*$C62)/$E$7</f>
        <v>0</v>
      </c>
      <c r="W62" s="1155">
        <f>(T13*$C62)+(U13*$C62)+(V13*$C62)+(W13*$C62)/$E$7</f>
        <v>0</v>
      </c>
      <c r="X62" s="1155">
        <f>(T13*$C62)+(U13*$C62)+(V13*$C62)+(W13*$C62)+(X13*$C62)/$E$7</f>
        <v>0</v>
      </c>
      <c r="Y62" s="2793">
        <f>(T13*$C62)+(U13*$C62)+(V13*$C62)+(W13*$C62)+(X13*$C62)+(Y13*$C62)/$E$7</f>
        <v>0</v>
      </c>
      <c r="Z62" s="1132">
        <f>'11.2. ДА за периода'!Z62</f>
        <v>0</v>
      </c>
      <c r="AA62" s="926">
        <f>(AA13*$C62)/$E$7</f>
        <v>0</v>
      </c>
      <c r="AB62" s="1155">
        <f>(AA13*$C62)+(AB13*$C62)/$E$7</f>
        <v>0</v>
      </c>
      <c r="AC62" s="1155">
        <f>(AA13*$C62)+(AB13*$C62)+(AC13*$C62)/$E$7</f>
        <v>0</v>
      </c>
      <c r="AD62" s="1155">
        <f>(AA13*$C62)+(AB13*$C62)+(AC13*$C62)+(AD13*$C62)/$E$7</f>
        <v>0</v>
      </c>
      <c r="AE62" s="1155">
        <f>(AA13*$C62)+(AB13*$C62)+(AC13*$C62)+(AD13*$C62)+(AE13*$C62)/$E$7</f>
        <v>0</v>
      </c>
      <c r="AF62" s="2917">
        <f>(AA13*$C62)+(AB13*$C62)+(AC13*$C62)+(AD13*$C62)+(AE13*$C62)+(AF13*$C62)/$E$7</f>
        <v>0</v>
      </c>
      <c r="AG62" s="1132">
        <f>'11.2. ДА за периода'!AG62</f>
        <v>0</v>
      </c>
      <c r="AH62" s="926">
        <f>(AH13*$C62)/$E$7</f>
        <v>0</v>
      </c>
      <c r="AI62" s="1155">
        <f>(AH13*$C62)+(AI13*$C62)/$E$7</f>
        <v>0</v>
      </c>
      <c r="AJ62" s="1155">
        <f>(AH13*$C62)+(AI13*$C62)+(AJ13*$C62)/$E$7</f>
        <v>0</v>
      </c>
      <c r="AK62" s="1155">
        <f>(AH13*$C62)+(AI13*$C62)+(AJ13*$C62)+(AK13*$C62)/$E$7</f>
        <v>0</v>
      </c>
      <c r="AL62" s="1155">
        <f>(AH13*$C62)+(AI13*$C62)+(AJ13*$C62)+(AK13*$C62)+(AL13*$C62)/$E$7</f>
        <v>0</v>
      </c>
      <c r="AM62" s="2917">
        <f>(AH13*$C62)+(AI13*$C62)+(AJ13*$C62)+(AK13*$C62)+(AL13*$C62)+(AM13*$C62)/$E$7</f>
        <v>0</v>
      </c>
      <c r="AN62" s="2864">
        <f>'11.2. ДА за периода'!AN62</f>
        <v>0</v>
      </c>
      <c r="AO62" s="2792">
        <f>($AO13*$C62)/$E$7</f>
        <v>0</v>
      </c>
      <c r="AP62" s="1155">
        <f>($AO13*$C62)+($AP13*$C62)/$E$7</f>
        <v>0</v>
      </c>
      <c r="AQ62" s="1155">
        <f>($AO13*$C62)+($AP13*$C62)+($AQ13*$C62)/$E$7</f>
        <v>0</v>
      </c>
      <c r="AR62" s="1155">
        <f>($AO13*$C62)+($AP13*$C62)+($AQ13*$C62)+($AR13*$C62)/$E$7</f>
        <v>0</v>
      </c>
      <c r="AS62" s="1155">
        <f>($AO13*$C62)+($AP13*$C62)+($AQ13*$C62)+($AR13*$C62)+($AS13*$C62)/$E$7</f>
        <v>0</v>
      </c>
      <c r="AT62" s="2793">
        <f>($AO13*$C62)+($AP13*$C62)+($AQ13*$C62)+($AR13*$C62)+($AS13*$C62)+($AT13*$C62)/$E$7</f>
        <v>0</v>
      </c>
      <c r="AU62" s="4775"/>
      <c r="AV62" s="4794">
        <f t="shared" si="47"/>
        <v>0</v>
      </c>
      <c r="AW62" s="4794">
        <f t="shared" si="48"/>
        <v>0</v>
      </c>
      <c r="AX62" s="4794">
        <f t="shared" si="49"/>
        <v>0</v>
      </c>
      <c r="AY62" s="4794">
        <f t="shared" si="50"/>
        <v>0</v>
      </c>
      <c r="AZ62" s="4794">
        <f t="shared" si="51"/>
        <v>0</v>
      </c>
      <c r="BA62" s="4794">
        <f t="shared" si="52"/>
        <v>0</v>
      </c>
      <c r="BB62" s="4794">
        <f t="shared" si="53"/>
        <v>0</v>
      </c>
      <c r="BC62" s="4794">
        <f t="shared" si="54"/>
        <v>0</v>
      </c>
      <c r="BD62" s="4794">
        <f t="shared" si="55"/>
        <v>0</v>
      </c>
      <c r="BE62" s="4794">
        <f t="shared" si="56"/>
        <v>0</v>
      </c>
      <c r="BF62" s="4794">
        <f t="shared" si="57"/>
        <v>0</v>
      </c>
      <c r="BG62" s="4794">
        <f t="shared" si="58"/>
        <v>0</v>
      </c>
      <c r="BH62" s="4794">
        <f t="shared" si="59"/>
        <v>0</v>
      </c>
      <c r="BI62" s="4794">
        <f t="shared" si="60"/>
        <v>0</v>
      </c>
      <c r="BJ62" s="4794">
        <f t="shared" si="61"/>
        <v>0</v>
      </c>
      <c r="BK62" s="4794">
        <f t="shared" si="62"/>
        <v>0</v>
      </c>
      <c r="BL62" s="4794">
        <f t="shared" si="63"/>
        <v>0</v>
      </c>
      <c r="BM62" s="4794">
        <f t="shared" si="64"/>
        <v>0</v>
      </c>
      <c r="BN62" s="4794">
        <f t="shared" si="65"/>
        <v>0</v>
      </c>
      <c r="BO62" s="4794">
        <f t="shared" si="66"/>
        <v>0</v>
      </c>
      <c r="BP62" s="4794">
        <f t="shared" si="67"/>
        <v>0</v>
      </c>
      <c r="BQ62" s="4794">
        <f t="shared" si="68"/>
        <v>0</v>
      </c>
      <c r="BR62" s="4794">
        <f t="shared" si="69"/>
        <v>0</v>
      </c>
      <c r="BS62" s="4794">
        <f t="shared" si="70"/>
        <v>0</v>
      </c>
      <c r="BT62" s="4794">
        <f t="shared" si="71"/>
        <v>0</v>
      </c>
      <c r="BU62" s="4794">
        <f t="shared" si="72"/>
        <v>0</v>
      </c>
      <c r="BV62" s="4794">
        <f t="shared" si="73"/>
        <v>0</v>
      </c>
      <c r="BW62" s="4794">
        <f t="shared" si="74"/>
        <v>0</v>
      </c>
      <c r="BX62" s="4794">
        <f t="shared" si="75"/>
        <v>0</v>
      </c>
      <c r="BY62" s="4794">
        <f t="shared" si="76"/>
        <v>0</v>
      </c>
      <c r="BZ62" s="4794">
        <f t="shared" si="77"/>
        <v>0</v>
      </c>
      <c r="CA62" s="4794">
        <f t="shared" si="78"/>
        <v>0</v>
      </c>
      <c r="CB62" s="4794">
        <f t="shared" si="79"/>
        <v>0</v>
      </c>
      <c r="CC62" s="4794">
        <f t="shared" si="80"/>
        <v>0</v>
      </c>
      <c r="CD62" s="4794">
        <f t="shared" si="81"/>
        <v>0</v>
      </c>
      <c r="CE62" s="4794">
        <f t="shared" si="82"/>
        <v>0</v>
      </c>
      <c r="CF62" s="4794">
        <f t="shared" si="83"/>
        <v>0</v>
      </c>
      <c r="CG62" s="4794">
        <f t="shared" si="84"/>
        <v>0</v>
      </c>
      <c r="CH62" s="4794">
        <f t="shared" si="85"/>
        <v>0</v>
      </c>
      <c r="CI62" s="4794">
        <f t="shared" si="86"/>
        <v>0</v>
      </c>
      <c r="CJ62" s="4794">
        <f t="shared" si="87"/>
        <v>0</v>
      </c>
      <c r="CK62" s="4794">
        <f t="shared" si="88"/>
        <v>0</v>
      </c>
    </row>
    <row r="63" spans="1:89" s="42" customFormat="1">
      <c r="A63" s="2862"/>
      <c r="B63" s="3815">
        <v>20102</v>
      </c>
      <c r="C63" s="3798">
        <v>0</v>
      </c>
      <c r="D63" s="2918" t="s">
        <v>558</v>
      </c>
      <c r="E63" s="2864">
        <f>'11.2. ДА за периода'!E63</f>
        <v>0</v>
      </c>
      <c r="F63" s="2792">
        <f>($F14*$C63)/$E$7</f>
        <v>0</v>
      </c>
      <c r="G63" s="1155">
        <f>($F14*$C63)+($G14*$C63)/$E$7</f>
        <v>0</v>
      </c>
      <c r="H63" s="1155">
        <f>($F14*$C63)+($G14*$C63)+($H14*$C63)/$E$7</f>
        <v>0</v>
      </c>
      <c r="I63" s="1155">
        <f>($F14*$C63)+($G14*$C63)+($H14*$C63)+($I14*$C63)/$E$7</f>
        <v>0</v>
      </c>
      <c r="J63" s="1155">
        <f>($F14*$C63)+($G14*$C63)+($H14*$C63)+($I14*$C63)+($J14*$C63)/$E$7</f>
        <v>0</v>
      </c>
      <c r="K63" s="2917">
        <f>($F14*$C63)+($G14*$C63)+($H14*$C63)+($I14*$C63)+($J14*$C63)+($K14*$C63)/$E$7</f>
        <v>0</v>
      </c>
      <c r="L63" s="2864">
        <f>'11.2. ДА за периода'!L63</f>
        <v>0</v>
      </c>
      <c r="M63" s="2792">
        <f>($M14*$C63)/$E$7</f>
        <v>0</v>
      </c>
      <c r="N63" s="1155">
        <f>($M14*$C63)+($N14*$C63)/$E$7</f>
        <v>0</v>
      </c>
      <c r="O63" s="1155">
        <f>($M14*$C63)+($N14*$C63)+($O14*$C63)/$E$7</f>
        <v>0</v>
      </c>
      <c r="P63" s="1155">
        <f>($M14*$C63)+($N14*$C63)+($O14*$C63)+($P14*$C63)/$E$7</f>
        <v>0</v>
      </c>
      <c r="Q63" s="2917">
        <f>($M14*$C63)+($N14*$C63)+($O14*$C63)+($P14*$C63)+($Q14*$C63)/$E$7</f>
        <v>0</v>
      </c>
      <c r="R63" s="2793">
        <f>($M14*$C63)+($N14*$C63)+($O14*$C63)+($P14*$C63)+($Q14*$C63)+($R14*$C63)/$E$7</f>
        <v>0</v>
      </c>
      <c r="S63" s="1132">
        <f>'11.2. ДА за периода'!S63</f>
        <v>0</v>
      </c>
      <c r="T63" s="926">
        <f>($T14*$C63)/$E$7</f>
        <v>0</v>
      </c>
      <c r="U63" s="1155">
        <f>($T14*$C63)+($U14*$C63)/$E$7</f>
        <v>0</v>
      </c>
      <c r="V63" s="1155">
        <f>($T14*$C63)+($U14*$C63)+($V14*$C63)/$E$7</f>
        <v>0</v>
      </c>
      <c r="W63" s="1155">
        <f>($T14*$C63)+($U14*$C63)+($V14*$C63)+($W14*$C63)/$E$7</f>
        <v>0</v>
      </c>
      <c r="X63" s="1155">
        <f>($T14*$C63)+($U14*$C63)+($V14*$C63)+($W14*$C63)+($X14*$C63)/$E$7</f>
        <v>0</v>
      </c>
      <c r="Y63" s="2793">
        <f>($T14*$C63)+($U14*$C63)+($V14*$C63)+($W14*$C63)+($X14*$C63)+($Y14*$C63)/$E$7</f>
        <v>0</v>
      </c>
      <c r="Z63" s="1132">
        <f>'11.2. ДА за периода'!Z63</f>
        <v>0</v>
      </c>
      <c r="AA63" s="926">
        <f>(AA14*$C63)/$E$7</f>
        <v>0</v>
      </c>
      <c r="AB63" s="1155">
        <f>(AA14*$C63)+(AB14*$C63)/$E$7</f>
        <v>0</v>
      </c>
      <c r="AC63" s="1155">
        <f>(AA14*$C63)+(AB14*$C63)+(AC14*$C63)/$E$7</f>
        <v>0</v>
      </c>
      <c r="AD63" s="1155">
        <f>(AA14*$C63)+(AB14*$C63)+(AC14*$C63)+(AD14*$C63)/$E$7</f>
        <v>0</v>
      </c>
      <c r="AE63" s="1155">
        <f>(AA14*$C63)+(AB14*$C63)+(AC14*$C63)+(AD14*$C63)+(AE14*$C63)/$E$7</f>
        <v>0</v>
      </c>
      <c r="AF63" s="2917">
        <f>(AA14*$C63)+(AB14*$C63)+(AC14*$C63)+(AD14*$C63)+(AE14*$C63)+(AF14*$C63)/$E$7</f>
        <v>0</v>
      </c>
      <c r="AG63" s="1132">
        <f>'11.2. ДА за периода'!AG63</f>
        <v>0</v>
      </c>
      <c r="AH63" s="926">
        <f>(AH14*$C63)/$E$7</f>
        <v>0</v>
      </c>
      <c r="AI63" s="1155">
        <f>(AH14*$C63)+(AI14*$C63)/$E$7</f>
        <v>0</v>
      </c>
      <c r="AJ63" s="1155">
        <f>(AH14*$C63)+(AI14*$C63)+(AJ14*$C63)/$E$7</f>
        <v>0</v>
      </c>
      <c r="AK63" s="1155">
        <f>(AH14*$C63)+(AI14*$C63)+(AJ14*$C63)+(AK14*$C63)/$E$7</f>
        <v>0</v>
      </c>
      <c r="AL63" s="1155">
        <f>(AH14*$C63)+(AI14*$C63)+(AJ14*$C63)+(AK14*$C63)+(AL14*$C63)/$E$7</f>
        <v>0</v>
      </c>
      <c r="AM63" s="2917">
        <f>(AH14*$C63)+(AI14*$C63)+(AJ14*$C63)+(AK14*$C63)+(AL14*$C63)+(AM14*$C63)/$E$7</f>
        <v>0</v>
      </c>
      <c r="AN63" s="2864">
        <f>'11.2. ДА за периода'!AN63</f>
        <v>0</v>
      </c>
      <c r="AO63" s="2792">
        <f>($AO14*$C63)/$E$7</f>
        <v>0</v>
      </c>
      <c r="AP63" s="1155">
        <f>($AO14*$C63)+($AP14*$C63)/$E$7</f>
        <v>0</v>
      </c>
      <c r="AQ63" s="1155">
        <f>($AO14*$C63)+($AP14*$C63)+($AQ14*$C63)/$E$7</f>
        <v>0</v>
      </c>
      <c r="AR63" s="1155">
        <f>($AO14*$C63)+($AP14*$C63)+($AQ14*$C63)+($AR14*$C63)/$E$7</f>
        <v>0</v>
      </c>
      <c r="AS63" s="1155">
        <f>($AO14*$C63)+($AP14*$C63)+($AQ14*$C63)+($AR14*$C63)+($AS14*$C63)/$E$7</f>
        <v>0</v>
      </c>
      <c r="AT63" s="2793">
        <f>($AO14*$C63)+($AP14*$C63)+($AQ14*$C63)+($AR14*$C63)+($AS14*$C63)+($AT14*$C63)/$E$7</f>
        <v>0</v>
      </c>
      <c r="AU63" s="4775"/>
      <c r="AV63" s="4794">
        <f t="shared" si="47"/>
        <v>0</v>
      </c>
      <c r="AW63" s="4794">
        <f t="shared" si="48"/>
        <v>0</v>
      </c>
      <c r="AX63" s="4794">
        <f t="shared" si="49"/>
        <v>0</v>
      </c>
      <c r="AY63" s="4794">
        <f t="shared" si="50"/>
        <v>0</v>
      </c>
      <c r="AZ63" s="4794">
        <f t="shared" si="51"/>
        <v>0</v>
      </c>
      <c r="BA63" s="4794">
        <f t="shared" si="52"/>
        <v>0</v>
      </c>
      <c r="BB63" s="4794">
        <f t="shared" si="53"/>
        <v>0</v>
      </c>
      <c r="BC63" s="4794">
        <f t="shared" si="54"/>
        <v>0</v>
      </c>
      <c r="BD63" s="4794">
        <f t="shared" si="55"/>
        <v>0</v>
      </c>
      <c r="BE63" s="4794">
        <f t="shared" si="56"/>
        <v>0</v>
      </c>
      <c r="BF63" s="4794">
        <f t="shared" si="57"/>
        <v>0</v>
      </c>
      <c r="BG63" s="4794">
        <f t="shared" si="58"/>
        <v>0</v>
      </c>
      <c r="BH63" s="4794">
        <f t="shared" si="59"/>
        <v>0</v>
      </c>
      <c r="BI63" s="4794">
        <f t="shared" si="60"/>
        <v>0</v>
      </c>
      <c r="BJ63" s="4794">
        <f t="shared" si="61"/>
        <v>0</v>
      </c>
      <c r="BK63" s="4794">
        <f t="shared" si="62"/>
        <v>0</v>
      </c>
      <c r="BL63" s="4794">
        <f t="shared" si="63"/>
        <v>0</v>
      </c>
      <c r="BM63" s="4794">
        <f t="shared" si="64"/>
        <v>0</v>
      </c>
      <c r="BN63" s="4794">
        <f t="shared" si="65"/>
        <v>0</v>
      </c>
      <c r="BO63" s="4794">
        <f t="shared" si="66"/>
        <v>0</v>
      </c>
      <c r="BP63" s="4794">
        <f t="shared" si="67"/>
        <v>0</v>
      </c>
      <c r="BQ63" s="4794">
        <f t="shared" si="68"/>
        <v>0</v>
      </c>
      <c r="BR63" s="4794">
        <f t="shared" si="69"/>
        <v>0</v>
      </c>
      <c r="BS63" s="4794">
        <f t="shared" si="70"/>
        <v>0</v>
      </c>
      <c r="BT63" s="4794">
        <f t="shared" si="71"/>
        <v>0</v>
      </c>
      <c r="BU63" s="4794">
        <f t="shared" si="72"/>
        <v>0</v>
      </c>
      <c r="BV63" s="4794">
        <f t="shared" si="73"/>
        <v>0</v>
      </c>
      <c r="BW63" s="4794">
        <f t="shared" si="74"/>
        <v>0</v>
      </c>
      <c r="BX63" s="4794">
        <f t="shared" si="75"/>
        <v>0</v>
      </c>
      <c r="BY63" s="4794">
        <f t="shared" si="76"/>
        <v>0</v>
      </c>
      <c r="BZ63" s="4794">
        <f t="shared" si="77"/>
        <v>0</v>
      </c>
      <c r="CA63" s="4794">
        <f t="shared" si="78"/>
        <v>0</v>
      </c>
      <c r="CB63" s="4794">
        <f t="shared" si="79"/>
        <v>0</v>
      </c>
      <c r="CC63" s="4794">
        <f t="shared" si="80"/>
        <v>0</v>
      </c>
      <c r="CD63" s="4794">
        <f t="shared" si="81"/>
        <v>0</v>
      </c>
      <c r="CE63" s="4794">
        <f t="shared" si="82"/>
        <v>0</v>
      </c>
      <c r="CF63" s="4794">
        <f t="shared" si="83"/>
        <v>0</v>
      </c>
      <c r="CG63" s="4794">
        <f t="shared" si="84"/>
        <v>0</v>
      </c>
      <c r="CH63" s="4794">
        <f t="shared" si="85"/>
        <v>0</v>
      </c>
      <c r="CI63" s="4794">
        <f t="shared" si="86"/>
        <v>0</v>
      </c>
      <c r="CJ63" s="4794">
        <f t="shared" si="87"/>
        <v>0</v>
      </c>
      <c r="CK63" s="4794">
        <f t="shared" si="88"/>
        <v>0</v>
      </c>
    </row>
    <row r="64" spans="1:89" s="34" customFormat="1">
      <c r="A64" s="2869">
        <v>2</v>
      </c>
      <c r="B64" s="3827">
        <v>202</v>
      </c>
      <c r="C64" s="3810">
        <v>0.03</v>
      </c>
      <c r="D64" s="2919" t="s">
        <v>404</v>
      </c>
      <c r="E64" s="2920">
        <f>SUM(E65:E66)</f>
        <v>0</v>
      </c>
      <c r="F64" s="2921">
        <f>SUM(F65:F66)</f>
        <v>0.22499999999999998</v>
      </c>
      <c r="G64" s="2922">
        <f t="shared" ref="G64:AT64" si="114">SUM(G65:G66)</f>
        <v>0.75</v>
      </c>
      <c r="H64" s="2922">
        <f t="shared" si="114"/>
        <v>1.3499999999999999</v>
      </c>
      <c r="I64" s="2922">
        <f t="shared" si="114"/>
        <v>1.95</v>
      </c>
      <c r="J64" s="2922">
        <f t="shared" si="114"/>
        <v>2.5499999999999998</v>
      </c>
      <c r="K64" s="2923">
        <f t="shared" si="114"/>
        <v>3.15</v>
      </c>
      <c r="L64" s="2924">
        <f t="shared" si="114"/>
        <v>0</v>
      </c>
      <c r="M64" s="2921">
        <f t="shared" si="114"/>
        <v>0</v>
      </c>
      <c r="N64" s="2922">
        <f t="shared" si="114"/>
        <v>0</v>
      </c>
      <c r="O64" s="2922">
        <f t="shared" si="114"/>
        <v>0</v>
      </c>
      <c r="P64" s="2922">
        <f t="shared" si="114"/>
        <v>0</v>
      </c>
      <c r="Q64" s="2922">
        <f t="shared" si="114"/>
        <v>0</v>
      </c>
      <c r="R64" s="2925">
        <f t="shared" si="114"/>
        <v>0</v>
      </c>
      <c r="S64" s="2924">
        <f t="shared" si="114"/>
        <v>0</v>
      </c>
      <c r="T64" s="2926">
        <f t="shared" si="114"/>
        <v>0</v>
      </c>
      <c r="U64" s="2922">
        <f t="shared" si="114"/>
        <v>0</v>
      </c>
      <c r="V64" s="2922">
        <f t="shared" si="114"/>
        <v>0</v>
      </c>
      <c r="W64" s="2922">
        <f t="shared" si="114"/>
        <v>0</v>
      </c>
      <c r="X64" s="2922">
        <f t="shared" si="114"/>
        <v>0</v>
      </c>
      <c r="Y64" s="2925">
        <f t="shared" si="114"/>
        <v>0</v>
      </c>
      <c r="Z64" s="2924">
        <f t="shared" si="114"/>
        <v>0</v>
      </c>
      <c r="AA64" s="2926">
        <f t="shared" si="114"/>
        <v>0</v>
      </c>
      <c r="AB64" s="2922">
        <f t="shared" si="114"/>
        <v>0</v>
      </c>
      <c r="AC64" s="2922">
        <f t="shared" si="114"/>
        <v>0</v>
      </c>
      <c r="AD64" s="2922">
        <f t="shared" si="114"/>
        <v>0</v>
      </c>
      <c r="AE64" s="2922">
        <f t="shared" si="114"/>
        <v>0</v>
      </c>
      <c r="AF64" s="2925">
        <f t="shared" si="114"/>
        <v>0</v>
      </c>
      <c r="AG64" s="2924">
        <f t="shared" si="114"/>
        <v>0</v>
      </c>
      <c r="AH64" s="2926">
        <f t="shared" si="114"/>
        <v>0</v>
      </c>
      <c r="AI64" s="2922">
        <f t="shared" si="114"/>
        <v>0</v>
      </c>
      <c r="AJ64" s="2922">
        <f t="shared" si="114"/>
        <v>0</v>
      </c>
      <c r="AK64" s="2922">
        <f t="shared" si="114"/>
        <v>0</v>
      </c>
      <c r="AL64" s="2922">
        <f t="shared" si="114"/>
        <v>0</v>
      </c>
      <c r="AM64" s="2925">
        <f t="shared" si="114"/>
        <v>0</v>
      </c>
      <c r="AN64" s="2924">
        <f t="shared" si="114"/>
        <v>0</v>
      </c>
      <c r="AO64" s="2926">
        <f t="shared" si="114"/>
        <v>0.75</v>
      </c>
      <c r="AP64" s="2922">
        <f t="shared" si="114"/>
        <v>2.5499999999999998</v>
      </c>
      <c r="AQ64" s="2922">
        <f t="shared" si="114"/>
        <v>4.3499999999999996</v>
      </c>
      <c r="AR64" s="2922">
        <f t="shared" si="114"/>
        <v>5.85</v>
      </c>
      <c r="AS64" s="2922">
        <f t="shared" si="114"/>
        <v>6.6</v>
      </c>
      <c r="AT64" s="2925">
        <f t="shared" si="114"/>
        <v>7.35</v>
      </c>
      <c r="AU64" s="4775"/>
      <c r="AV64" s="4794">
        <f t="shared" si="47"/>
        <v>0</v>
      </c>
      <c r="AW64" s="4794">
        <f t="shared" si="48"/>
        <v>0.11504067326914914</v>
      </c>
      <c r="AX64" s="4794">
        <f t="shared" si="49"/>
        <v>0.38346891089716389</v>
      </c>
      <c r="AY64" s="4794">
        <f t="shared" si="50"/>
        <v>0.69024403961489489</v>
      </c>
      <c r="AZ64" s="4794">
        <f t="shared" si="51"/>
        <v>0.99701916833262605</v>
      </c>
      <c r="BA64" s="4794">
        <f t="shared" si="52"/>
        <v>1.3037942970503571</v>
      </c>
      <c r="BB64" s="4794">
        <f t="shared" si="53"/>
        <v>1.6105694257680883</v>
      </c>
      <c r="BC64" s="4794">
        <f t="shared" si="54"/>
        <v>0</v>
      </c>
      <c r="BD64" s="4794">
        <f t="shared" si="55"/>
        <v>0</v>
      </c>
      <c r="BE64" s="4794">
        <f t="shared" si="56"/>
        <v>0</v>
      </c>
      <c r="BF64" s="4794">
        <f t="shared" si="57"/>
        <v>0</v>
      </c>
      <c r="BG64" s="4794">
        <f t="shared" si="58"/>
        <v>0</v>
      </c>
      <c r="BH64" s="4794">
        <f t="shared" si="59"/>
        <v>0</v>
      </c>
      <c r="BI64" s="4794">
        <f t="shared" si="60"/>
        <v>0</v>
      </c>
      <c r="BJ64" s="4794">
        <f t="shared" si="61"/>
        <v>0</v>
      </c>
      <c r="BK64" s="4794">
        <f t="shared" si="62"/>
        <v>0</v>
      </c>
      <c r="BL64" s="4794">
        <f t="shared" si="63"/>
        <v>0</v>
      </c>
      <c r="BM64" s="4794">
        <f t="shared" si="64"/>
        <v>0</v>
      </c>
      <c r="BN64" s="4794">
        <f t="shared" si="65"/>
        <v>0</v>
      </c>
      <c r="BO64" s="4794">
        <f t="shared" si="66"/>
        <v>0</v>
      </c>
      <c r="BP64" s="4794">
        <f t="shared" si="67"/>
        <v>0</v>
      </c>
      <c r="BQ64" s="4794">
        <f t="shared" si="68"/>
        <v>0</v>
      </c>
      <c r="BR64" s="4794">
        <f t="shared" si="69"/>
        <v>0</v>
      </c>
      <c r="BS64" s="4794">
        <f t="shared" si="70"/>
        <v>0</v>
      </c>
      <c r="BT64" s="4794">
        <f t="shared" si="71"/>
        <v>0</v>
      </c>
      <c r="BU64" s="4794">
        <f t="shared" si="72"/>
        <v>0</v>
      </c>
      <c r="BV64" s="4794">
        <f t="shared" si="73"/>
        <v>0</v>
      </c>
      <c r="BW64" s="4794">
        <f t="shared" si="74"/>
        <v>0</v>
      </c>
      <c r="BX64" s="4794">
        <f t="shared" si="75"/>
        <v>0</v>
      </c>
      <c r="BY64" s="4794">
        <f t="shared" si="76"/>
        <v>0</v>
      </c>
      <c r="BZ64" s="4794">
        <f t="shared" si="77"/>
        <v>0</v>
      </c>
      <c r="CA64" s="4794">
        <f t="shared" si="78"/>
        <v>0</v>
      </c>
      <c r="CB64" s="4794">
        <f t="shared" si="79"/>
        <v>0</v>
      </c>
      <c r="CC64" s="4794">
        <f t="shared" si="80"/>
        <v>0</v>
      </c>
      <c r="CD64" s="4794">
        <f t="shared" si="81"/>
        <v>0</v>
      </c>
      <c r="CE64" s="4794">
        <f t="shared" si="82"/>
        <v>0</v>
      </c>
      <c r="CF64" s="4794">
        <f t="shared" si="83"/>
        <v>0.38346891089716389</v>
      </c>
      <c r="CG64" s="4794">
        <f t="shared" si="84"/>
        <v>1.3037942970503571</v>
      </c>
      <c r="CH64" s="4794">
        <f t="shared" si="85"/>
        <v>2.2241196832035501</v>
      </c>
      <c r="CI64" s="4794">
        <f t="shared" si="86"/>
        <v>2.9910575049978778</v>
      </c>
      <c r="CJ64" s="4794">
        <f t="shared" si="87"/>
        <v>3.3745264158950419</v>
      </c>
      <c r="CK64" s="4794">
        <f t="shared" si="88"/>
        <v>3.7579953267922059</v>
      </c>
    </row>
    <row r="65" spans="1:89">
      <c r="A65" s="2876"/>
      <c r="B65" s="3828">
        <v>20201</v>
      </c>
      <c r="C65" s="3811">
        <v>0.03</v>
      </c>
      <c r="D65" s="2927" t="s">
        <v>425</v>
      </c>
      <c r="E65" s="2864">
        <f>'11.2. ДА за периода'!E65</f>
        <v>0</v>
      </c>
      <c r="F65" s="2792">
        <f>($F16*$C65)/$E$7</f>
        <v>0</v>
      </c>
      <c r="G65" s="1155">
        <f>($F16*$C65)+($G16*$C65)/$E$7</f>
        <v>0</v>
      </c>
      <c r="H65" s="1155">
        <f>($F16*$C65)+($G16*$C65)+($H16*$C65)/$E$7</f>
        <v>0</v>
      </c>
      <c r="I65" s="1155">
        <f>($F16*$C65)+($G16*$C65)+($H16*$C65)+($I16*$C65)/$E$7</f>
        <v>0</v>
      </c>
      <c r="J65" s="1155">
        <f>($F16*$C65)+($G16*$C65)+($H16*$C65)+($I16*$C65)+($J16*$C65)/$E$7</f>
        <v>0</v>
      </c>
      <c r="K65" s="2917">
        <f>($F16*$C65)+($G16*$C65)+($H16*$C65)+($I16*$C65)+($J16*$C65)+($K16*$C65)/$E$7</f>
        <v>0</v>
      </c>
      <c r="L65" s="2864">
        <f>'11.2. ДА за периода'!L65</f>
        <v>0</v>
      </c>
      <c r="M65" s="2792">
        <f>($M16*$C65)/$E$7</f>
        <v>0</v>
      </c>
      <c r="N65" s="1155">
        <f>($M16*$C65)+($N16*$C65)/$E$7</f>
        <v>0</v>
      </c>
      <c r="O65" s="1155">
        <f>($M16*$C65)+($N16*$C65)+($O16*$C65)/$E$7</f>
        <v>0</v>
      </c>
      <c r="P65" s="1155">
        <f>($M16*$C65)+($N16*$C65)+($O16*$C65)+($P16*$C65)/$E$7</f>
        <v>0</v>
      </c>
      <c r="Q65" s="2917">
        <f>($M16*$C65)+($N16*$C65)+($O16*$C65)+($P16*$C65)+($Q16*$C65)/$E$7</f>
        <v>0</v>
      </c>
      <c r="R65" s="2793">
        <f>($M16*$C65)+($N16*$C65)+($O16*$C65)+($P16*$C65)+($Q16*$C65)+($R16*$C65)/$E$7</f>
        <v>0</v>
      </c>
      <c r="S65" s="1132">
        <f>'11.2. ДА за периода'!S65</f>
        <v>0</v>
      </c>
      <c r="T65" s="926">
        <f>($T16*$C65)/$E$7</f>
        <v>0</v>
      </c>
      <c r="U65" s="1155">
        <f>($T16*$C65)+($U16*$C65)/$E$7</f>
        <v>0</v>
      </c>
      <c r="V65" s="1155">
        <f>($T16*$C65)+($U16*$C65)+($V16*$C65)/$E$7</f>
        <v>0</v>
      </c>
      <c r="W65" s="1155">
        <f>($T16*$C65)+($U16*$C65)+($V16*$C65)+($W16*$C65)/$E$7</f>
        <v>0</v>
      </c>
      <c r="X65" s="1155">
        <f>($T16*$C65)+($U16*$C65)+($V16*$C65)+($W16*$C65)+($X16*$C65)/$E$7</f>
        <v>0</v>
      </c>
      <c r="Y65" s="2793">
        <f>($T16*$C65)+($U16*$C65)+($V16*$C65)+($W16*$C65)+($X16*$C65)+($Y16*$C65)/$E$7</f>
        <v>0</v>
      </c>
      <c r="Z65" s="1132">
        <f>'11.2. ДА за периода'!Z65</f>
        <v>0</v>
      </c>
      <c r="AA65" s="926">
        <f t="shared" ref="AA65:AA66" si="115">(AA16*$C65)/$E$7</f>
        <v>0</v>
      </c>
      <c r="AB65" s="1155">
        <f t="shared" ref="AB65:AB66" si="116">(AA16*$C65)+(AB16*$C65)/$E$7</f>
        <v>0</v>
      </c>
      <c r="AC65" s="1155">
        <f t="shared" ref="AC65:AC66" si="117">(AA16*$C65)+(AB16*$C65)+(AC16*$C65)/$E$7</f>
        <v>0</v>
      </c>
      <c r="AD65" s="1155">
        <f t="shared" ref="AD65:AD66" si="118">(AA16*$C65)+(AB16*$C65)+(AC16*$C65)+(AD16*$C65)/$E$7</f>
        <v>0</v>
      </c>
      <c r="AE65" s="1155">
        <f t="shared" ref="AE65:AE66" si="119">(AA16*$C65)+(AB16*$C65)+(AC16*$C65)+(AD16*$C65)+(AE16*$C65)/$E$7</f>
        <v>0</v>
      </c>
      <c r="AF65" s="2917">
        <f t="shared" ref="AF65:AF66" si="120">(AA16*$C65)+(AB16*$C65)+(AC16*$C65)+(AD16*$C65)+(AE16*$C65)+(AF16*$C65)/$E$7</f>
        <v>0</v>
      </c>
      <c r="AG65" s="1132">
        <f>'11.2. ДА за периода'!AG65</f>
        <v>0</v>
      </c>
      <c r="AH65" s="926">
        <f t="shared" ref="AH65:AH66" si="121">(AH16*$C65)/$E$7</f>
        <v>0</v>
      </c>
      <c r="AI65" s="1155">
        <f t="shared" ref="AI65:AI66" si="122">(AH16*$C65)+(AI16*$C65)/$E$7</f>
        <v>0</v>
      </c>
      <c r="AJ65" s="1155">
        <f t="shared" ref="AJ65:AJ66" si="123">(AH16*$C65)+(AI16*$C65)+(AJ16*$C65)/$E$7</f>
        <v>0</v>
      </c>
      <c r="AK65" s="1155">
        <f t="shared" ref="AK65:AK66" si="124">(AH16*$C65)+(AI16*$C65)+(AJ16*$C65)+(AK16*$C65)/$E$7</f>
        <v>0</v>
      </c>
      <c r="AL65" s="1155">
        <f t="shared" ref="AL65:AL66" si="125">(AH16*$C65)+(AI16*$C65)+(AJ16*$C65)+(AK16*$C65)+(AL16*$C65)/$E$7</f>
        <v>0</v>
      </c>
      <c r="AM65" s="2917">
        <f t="shared" ref="AM65:AM66" si="126">(AH16*$C65)+(AI16*$C65)+(AJ16*$C65)+(AK16*$C65)+(AL16*$C65)+(AM16*$C65)/$E$7</f>
        <v>0</v>
      </c>
      <c r="AN65" s="2864">
        <f>'11.2. ДА за периода'!AN65</f>
        <v>0</v>
      </c>
      <c r="AO65" s="2792">
        <f>($AO16*$C65)/$E$7</f>
        <v>0.75</v>
      </c>
      <c r="AP65" s="1155">
        <f>($AO16*$C65)+($AP16*$C65)/$E$7</f>
        <v>2.5499999999999998</v>
      </c>
      <c r="AQ65" s="1155">
        <f>($AO16*$C65)+($AP16*$C65)+($AQ16*$C65)/$E$7</f>
        <v>4.3499999999999996</v>
      </c>
      <c r="AR65" s="1155">
        <f>($AO16*$C65)+($AP16*$C65)+($AQ16*$C65)+($AR16*$C65)/$E$7</f>
        <v>5.85</v>
      </c>
      <c r="AS65" s="1155">
        <f>($AO16*$C65)+($AP16*$C65)+($AQ16*$C65)+($AR16*$C65)+($AS16*$C65)/$E$7</f>
        <v>6.6</v>
      </c>
      <c r="AT65" s="2793">
        <f>($AO16*$C65)+($AP16*$C65)+($AQ16*$C65)+($AR16*$C65)+($AS16*$C65)+($AT16*$C65)/$E$7</f>
        <v>7.35</v>
      </c>
      <c r="AU65" s="4775"/>
      <c r="AV65" s="4794">
        <f t="shared" si="47"/>
        <v>0</v>
      </c>
      <c r="AW65" s="4794">
        <f t="shared" si="48"/>
        <v>0</v>
      </c>
      <c r="AX65" s="4794">
        <f t="shared" si="49"/>
        <v>0</v>
      </c>
      <c r="AY65" s="4794">
        <f t="shared" si="50"/>
        <v>0</v>
      </c>
      <c r="AZ65" s="4794">
        <f t="shared" si="51"/>
        <v>0</v>
      </c>
      <c r="BA65" s="4794">
        <f t="shared" si="52"/>
        <v>0</v>
      </c>
      <c r="BB65" s="4794">
        <f t="shared" si="53"/>
        <v>0</v>
      </c>
      <c r="BC65" s="4794">
        <f t="shared" si="54"/>
        <v>0</v>
      </c>
      <c r="BD65" s="4794">
        <f t="shared" si="55"/>
        <v>0</v>
      </c>
      <c r="BE65" s="4794">
        <f t="shared" si="56"/>
        <v>0</v>
      </c>
      <c r="BF65" s="4794">
        <f t="shared" si="57"/>
        <v>0</v>
      </c>
      <c r="BG65" s="4794">
        <f t="shared" si="58"/>
        <v>0</v>
      </c>
      <c r="BH65" s="4794">
        <f t="shared" si="59"/>
        <v>0</v>
      </c>
      <c r="BI65" s="4794">
        <f t="shared" si="60"/>
        <v>0</v>
      </c>
      <c r="BJ65" s="4794">
        <f t="shared" si="61"/>
        <v>0</v>
      </c>
      <c r="BK65" s="4794">
        <f t="shared" si="62"/>
        <v>0</v>
      </c>
      <c r="BL65" s="4794">
        <f t="shared" si="63"/>
        <v>0</v>
      </c>
      <c r="BM65" s="4794">
        <f t="shared" si="64"/>
        <v>0</v>
      </c>
      <c r="BN65" s="4794">
        <f t="shared" si="65"/>
        <v>0</v>
      </c>
      <c r="BO65" s="4794">
        <f t="shared" si="66"/>
        <v>0</v>
      </c>
      <c r="BP65" s="4794">
        <f t="shared" si="67"/>
        <v>0</v>
      </c>
      <c r="BQ65" s="4794">
        <f t="shared" si="68"/>
        <v>0</v>
      </c>
      <c r="BR65" s="4794">
        <f t="shared" si="69"/>
        <v>0</v>
      </c>
      <c r="BS65" s="4794">
        <f t="shared" si="70"/>
        <v>0</v>
      </c>
      <c r="BT65" s="4794">
        <f t="shared" si="71"/>
        <v>0</v>
      </c>
      <c r="BU65" s="4794">
        <f t="shared" si="72"/>
        <v>0</v>
      </c>
      <c r="BV65" s="4794">
        <f t="shared" si="73"/>
        <v>0</v>
      </c>
      <c r="BW65" s="4794">
        <f t="shared" si="74"/>
        <v>0</v>
      </c>
      <c r="BX65" s="4794">
        <f t="shared" si="75"/>
        <v>0</v>
      </c>
      <c r="BY65" s="4794">
        <f t="shared" si="76"/>
        <v>0</v>
      </c>
      <c r="BZ65" s="4794">
        <f t="shared" si="77"/>
        <v>0</v>
      </c>
      <c r="CA65" s="4794">
        <f t="shared" si="78"/>
        <v>0</v>
      </c>
      <c r="CB65" s="4794">
        <f t="shared" si="79"/>
        <v>0</v>
      </c>
      <c r="CC65" s="4794">
        <f t="shared" si="80"/>
        <v>0</v>
      </c>
      <c r="CD65" s="4794">
        <f t="shared" si="81"/>
        <v>0</v>
      </c>
      <c r="CE65" s="4794">
        <f t="shared" si="82"/>
        <v>0</v>
      </c>
      <c r="CF65" s="4794">
        <f t="shared" si="83"/>
        <v>0.38346891089716389</v>
      </c>
      <c r="CG65" s="4794">
        <f t="shared" si="84"/>
        <v>1.3037942970503571</v>
      </c>
      <c r="CH65" s="4794">
        <f t="shared" si="85"/>
        <v>2.2241196832035501</v>
      </c>
      <c r="CI65" s="4794">
        <f t="shared" si="86"/>
        <v>2.9910575049978778</v>
      </c>
      <c r="CJ65" s="4794">
        <f t="shared" si="87"/>
        <v>3.3745264158950419</v>
      </c>
      <c r="CK65" s="4794">
        <f t="shared" si="88"/>
        <v>3.7579953267922059</v>
      </c>
    </row>
    <row r="66" spans="1:89">
      <c r="A66" s="2876"/>
      <c r="B66" s="3828">
        <v>20202</v>
      </c>
      <c r="C66" s="3811">
        <v>0.03</v>
      </c>
      <c r="D66" s="2927" t="s">
        <v>426</v>
      </c>
      <c r="E66" s="2864">
        <f>'11.2. ДА за периода'!E66</f>
        <v>0</v>
      </c>
      <c r="F66" s="2792">
        <f>($F17*$C66)/$E$7</f>
        <v>0.22499999999999998</v>
      </c>
      <c r="G66" s="1155">
        <f>($F17*$C66)+($G17*$C66)/$E$7</f>
        <v>0.75</v>
      </c>
      <c r="H66" s="1155">
        <f>($F17*$C66)+($G17*$C66)+($H17*$C66)/$E$7</f>
        <v>1.3499999999999999</v>
      </c>
      <c r="I66" s="1155">
        <f>($F17*$C66)+($G17*$C66)+($H17*$C66)+($I17*$C66)/$E$7</f>
        <v>1.95</v>
      </c>
      <c r="J66" s="1155">
        <f>($F17*$C66)+($G17*$C66)+($H17*$C66)+($I17*$C66)+($J17*$C66)/$E$7</f>
        <v>2.5499999999999998</v>
      </c>
      <c r="K66" s="2917">
        <f>($F17*$C66)+($G17*$C66)+($H17*$C66)+($I17*$C66)+($J17*$C66)+($K17*$C66)/$E$7</f>
        <v>3.15</v>
      </c>
      <c r="L66" s="2864">
        <f>'11.2. ДА за периода'!L66</f>
        <v>0</v>
      </c>
      <c r="M66" s="2792">
        <f>($M17*$C66)/$E$7</f>
        <v>0</v>
      </c>
      <c r="N66" s="1155">
        <f>($M17*$C66)+($N17*$C66)/$E$7</f>
        <v>0</v>
      </c>
      <c r="O66" s="1155">
        <f>($M17*$C66)+($N17*$C66)+($O17*$C66)/$E$7</f>
        <v>0</v>
      </c>
      <c r="P66" s="1155">
        <f>($M17*$C66)+($N17*$C66)+($O17*$C66)+($P17*$C66)/$E$7</f>
        <v>0</v>
      </c>
      <c r="Q66" s="2917">
        <f>($M17*$C66)+($N17*$C66)+($O17*$C66)+($P17*$C66)+($Q17*$C66)/$E$7</f>
        <v>0</v>
      </c>
      <c r="R66" s="2793">
        <f>($M17*$C66)+($N17*$C66)+($O17*$C66)+($P17*$C66)+($Q17*$C66)+($R17*$C66)/$E$7</f>
        <v>0</v>
      </c>
      <c r="S66" s="1132">
        <f>'11.2. ДА за периода'!S66</f>
        <v>0</v>
      </c>
      <c r="T66" s="926">
        <f>($T17*$C66)/$E$7</f>
        <v>0</v>
      </c>
      <c r="U66" s="1155">
        <f>($T17*$C66)+($U17*$C66)/$E$7</f>
        <v>0</v>
      </c>
      <c r="V66" s="1155">
        <f>($T17*$C66)+($U17*$C66)+($V17*$C66)/$E$7</f>
        <v>0</v>
      </c>
      <c r="W66" s="1155">
        <f>($T17*$C66)+($U17*$C66)+($V17*$C66)+($W17*$C66)/$E$7</f>
        <v>0</v>
      </c>
      <c r="X66" s="1155">
        <f>($T17*$C66)+($U17*$C66)+($V17*$C66)+($W17*$C66)+($X17*$C66)/$E$7</f>
        <v>0</v>
      </c>
      <c r="Y66" s="2793">
        <f>($T17*$C66)+($U17*$C66)+($V17*$C66)+($W17*$C66)+($X17*$C66)+($Y17*$C66)/$E$7</f>
        <v>0</v>
      </c>
      <c r="Z66" s="1132">
        <f>'11.2. ДА за периода'!Z66</f>
        <v>0</v>
      </c>
      <c r="AA66" s="926">
        <f t="shared" si="115"/>
        <v>0</v>
      </c>
      <c r="AB66" s="1155">
        <f t="shared" si="116"/>
        <v>0</v>
      </c>
      <c r="AC66" s="1155">
        <f t="shared" si="117"/>
        <v>0</v>
      </c>
      <c r="AD66" s="1155">
        <f t="shared" si="118"/>
        <v>0</v>
      </c>
      <c r="AE66" s="1155">
        <f t="shared" si="119"/>
        <v>0</v>
      </c>
      <c r="AF66" s="2917">
        <f t="shared" si="120"/>
        <v>0</v>
      </c>
      <c r="AG66" s="1132">
        <f>'11.2. ДА за периода'!AG66</f>
        <v>0</v>
      </c>
      <c r="AH66" s="926">
        <f t="shared" si="121"/>
        <v>0</v>
      </c>
      <c r="AI66" s="1155">
        <f t="shared" si="122"/>
        <v>0</v>
      </c>
      <c r="AJ66" s="1155">
        <f t="shared" si="123"/>
        <v>0</v>
      </c>
      <c r="AK66" s="1155">
        <f t="shared" si="124"/>
        <v>0</v>
      </c>
      <c r="AL66" s="1155">
        <f t="shared" si="125"/>
        <v>0</v>
      </c>
      <c r="AM66" s="2917">
        <f t="shared" si="126"/>
        <v>0</v>
      </c>
      <c r="AN66" s="2864">
        <f>'11.2. ДА за периода'!AN66</f>
        <v>0</v>
      </c>
      <c r="AO66" s="2792">
        <f>($AO17*$C66)/$E$7</f>
        <v>0</v>
      </c>
      <c r="AP66" s="1155">
        <f>($AO17*$C66)+($AP17*$C66)/$E$7</f>
        <v>0</v>
      </c>
      <c r="AQ66" s="1155">
        <f>($AO17*$C66)+($AP17*$C66)+($AQ17*$C66)/$E$7</f>
        <v>0</v>
      </c>
      <c r="AR66" s="1155">
        <f>($AO17*$C66)+($AP17*$C66)+($AQ17*$C66)+($AR17*$C66)/$E$7</f>
        <v>0</v>
      </c>
      <c r="AS66" s="1155">
        <f>($AO17*$C66)+($AP17*$C66)+($AQ17*$C66)+($AR17*$C66)+($AS17*$C66)/$E$7</f>
        <v>0</v>
      </c>
      <c r="AT66" s="2793">
        <f>($AO17*$C66)+($AP17*$C66)+($AQ17*$C66)+($AR17*$C66)+($AS17*$C66)+($AT17*$C66)/$E$7</f>
        <v>0</v>
      </c>
      <c r="AU66" s="4775"/>
      <c r="AV66" s="4794">
        <f t="shared" si="47"/>
        <v>0</v>
      </c>
      <c r="AW66" s="4794">
        <f t="shared" si="48"/>
        <v>0.11504067326914914</v>
      </c>
      <c r="AX66" s="4794">
        <f t="shared" si="49"/>
        <v>0.38346891089716389</v>
      </c>
      <c r="AY66" s="4794">
        <f t="shared" si="50"/>
        <v>0.69024403961489489</v>
      </c>
      <c r="AZ66" s="4794">
        <f t="shared" si="51"/>
        <v>0.99701916833262605</v>
      </c>
      <c r="BA66" s="4794">
        <f t="shared" si="52"/>
        <v>1.3037942970503571</v>
      </c>
      <c r="BB66" s="4794">
        <f t="shared" si="53"/>
        <v>1.6105694257680883</v>
      </c>
      <c r="BC66" s="4794">
        <f t="shared" si="54"/>
        <v>0</v>
      </c>
      <c r="BD66" s="4794">
        <f t="shared" si="55"/>
        <v>0</v>
      </c>
      <c r="BE66" s="4794">
        <f t="shared" si="56"/>
        <v>0</v>
      </c>
      <c r="BF66" s="4794">
        <f t="shared" si="57"/>
        <v>0</v>
      </c>
      <c r="BG66" s="4794">
        <f t="shared" si="58"/>
        <v>0</v>
      </c>
      <c r="BH66" s="4794">
        <f t="shared" si="59"/>
        <v>0</v>
      </c>
      <c r="BI66" s="4794">
        <f t="shared" si="60"/>
        <v>0</v>
      </c>
      <c r="BJ66" s="4794">
        <f t="shared" si="61"/>
        <v>0</v>
      </c>
      <c r="BK66" s="4794">
        <f t="shared" si="62"/>
        <v>0</v>
      </c>
      <c r="BL66" s="4794">
        <f t="shared" si="63"/>
        <v>0</v>
      </c>
      <c r="BM66" s="4794">
        <f t="shared" si="64"/>
        <v>0</v>
      </c>
      <c r="BN66" s="4794">
        <f t="shared" si="65"/>
        <v>0</v>
      </c>
      <c r="BO66" s="4794">
        <f t="shared" si="66"/>
        <v>0</v>
      </c>
      <c r="BP66" s="4794">
        <f t="shared" si="67"/>
        <v>0</v>
      </c>
      <c r="BQ66" s="4794">
        <f t="shared" si="68"/>
        <v>0</v>
      </c>
      <c r="BR66" s="4794">
        <f t="shared" si="69"/>
        <v>0</v>
      </c>
      <c r="BS66" s="4794">
        <f t="shared" si="70"/>
        <v>0</v>
      </c>
      <c r="BT66" s="4794">
        <f t="shared" si="71"/>
        <v>0</v>
      </c>
      <c r="BU66" s="4794">
        <f t="shared" si="72"/>
        <v>0</v>
      </c>
      <c r="BV66" s="4794">
        <f t="shared" si="73"/>
        <v>0</v>
      </c>
      <c r="BW66" s="4794">
        <f t="shared" si="74"/>
        <v>0</v>
      </c>
      <c r="BX66" s="4794">
        <f t="shared" si="75"/>
        <v>0</v>
      </c>
      <c r="BY66" s="4794">
        <f t="shared" si="76"/>
        <v>0</v>
      </c>
      <c r="BZ66" s="4794">
        <f t="shared" si="77"/>
        <v>0</v>
      </c>
      <c r="CA66" s="4794">
        <f t="shared" si="78"/>
        <v>0</v>
      </c>
      <c r="CB66" s="4794">
        <f t="shared" si="79"/>
        <v>0</v>
      </c>
      <c r="CC66" s="4794">
        <f t="shared" si="80"/>
        <v>0</v>
      </c>
      <c r="CD66" s="4794">
        <f t="shared" si="81"/>
        <v>0</v>
      </c>
      <c r="CE66" s="4794">
        <f t="shared" si="82"/>
        <v>0</v>
      </c>
      <c r="CF66" s="4794">
        <f t="shared" si="83"/>
        <v>0</v>
      </c>
      <c r="CG66" s="4794">
        <f t="shared" si="84"/>
        <v>0</v>
      </c>
      <c r="CH66" s="4794">
        <f t="shared" si="85"/>
        <v>0</v>
      </c>
      <c r="CI66" s="4794">
        <f t="shared" si="86"/>
        <v>0</v>
      </c>
      <c r="CJ66" s="4794">
        <f t="shared" si="87"/>
        <v>0</v>
      </c>
      <c r="CK66" s="4794">
        <f t="shared" si="88"/>
        <v>0</v>
      </c>
    </row>
    <row r="67" spans="1:89" s="44" customFormat="1" ht="12.75" customHeight="1">
      <c r="A67" s="2878">
        <v>3</v>
      </c>
      <c r="B67" s="3827">
        <v>203</v>
      </c>
      <c r="C67" s="3810"/>
      <c r="D67" s="2919" t="s">
        <v>405</v>
      </c>
      <c r="E67" s="2920">
        <f t="shared" ref="E67:AT67" si="127">SUM(E68:E78)-E71-E74</f>
        <v>82.350000000000009</v>
      </c>
      <c r="F67" s="2921">
        <f t="shared" si="127"/>
        <v>12.6</v>
      </c>
      <c r="G67" s="2922">
        <f t="shared" si="127"/>
        <v>34.799999999999997</v>
      </c>
      <c r="H67" s="2922">
        <f t="shared" si="127"/>
        <v>50.4</v>
      </c>
      <c r="I67" s="2922">
        <f t="shared" si="127"/>
        <v>67.650000000000006</v>
      </c>
      <c r="J67" s="2922">
        <f t="shared" si="127"/>
        <v>89.65</v>
      </c>
      <c r="K67" s="2923">
        <f t="shared" si="127"/>
        <v>106.15</v>
      </c>
      <c r="L67" s="2924">
        <f t="shared" si="127"/>
        <v>18.900000000000002</v>
      </c>
      <c r="M67" s="2921">
        <f t="shared" si="127"/>
        <v>0.5</v>
      </c>
      <c r="N67" s="2922">
        <f t="shared" si="127"/>
        <v>1.75</v>
      </c>
      <c r="O67" s="2922">
        <f t="shared" si="127"/>
        <v>3</v>
      </c>
      <c r="P67" s="2922">
        <f t="shared" si="127"/>
        <v>4</v>
      </c>
      <c r="Q67" s="2922">
        <f t="shared" si="127"/>
        <v>5</v>
      </c>
      <c r="R67" s="2925">
        <f t="shared" si="127"/>
        <v>6</v>
      </c>
      <c r="S67" s="2924">
        <f t="shared" si="127"/>
        <v>0.70000000000000007</v>
      </c>
      <c r="T67" s="2926">
        <f t="shared" si="127"/>
        <v>1</v>
      </c>
      <c r="U67" s="2922">
        <f t="shared" si="127"/>
        <v>5.5</v>
      </c>
      <c r="V67" s="2922">
        <f t="shared" si="127"/>
        <v>11.5</v>
      </c>
      <c r="W67" s="2922">
        <f t="shared" si="127"/>
        <v>16</v>
      </c>
      <c r="X67" s="2922">
        <f t="shared" si="127"/>
        <v>21.5</v>
      </c>
      <c r="Y67" s="2925">
        <f t="shared" si="127"/>
        <v>27</v>
      </c>
      <c r="Z67" s="2924">
        <f t="shared" ref="Z67:AM67" si="128">SUM(Z68:Z78)-Z71-Z74</f>
        <v>0</v>
      </c>
      <c r="AA67" s="2926">
        <f t="shared" si="128"/>
        <v>0</v>
      </c>
      <c r="AB67" s="2922">
        <f t="shared" si="128"/>
        <v>0</v>
      </c>
      <c r="AC67" s="2922">
        <f t="shared" si="128"/>
        <v>0</v>
      </c>
      <c r="AD67" s="2922">
        <f t="shared" si="128"/>
        <v>0</v>
      </c>
      <c r="AE67" s="2922">
        <f t="shared" si="128"/>
        <v>0</v>
      </c>
      <c r="AF67" s="2925">
        <f t="shared" si="128"/>
        <v>0</v>
      </c>
      <c r="AG67" s="2924">
        <f t="shared" si="128"/>
        <v>0</v>
      </c>
      <c r="AH67" s="2926">
        <f t="shared" si="128"/>
        <v>0</v>
      </c>
      <c r="AI67" s="2922">
        <f t="shared" si="128"/>
        <v>0</v>
      </c>
      <c r="AJ67" s="2922">
        <f t="shared" si="128"/>
        <v>0</v>
      </c>
      <c r="AK67" s="2922">
        <f t="shared" si="128"/>
        <v>0</v>
      </c>
      <c r="AL67" s="2922">
        <f t="shared" si="128"/>
        <v>0</v>
      </c>
      <c r="AM67" s="2925">
        <f t="shared" si="128"/>
        <v>0</v>
      </c>
      <c r="AN67" s="2924">
        <f t="shared" si="127"/>
        <v>0</v>
      </c>
      <c r="AO67" s="2926">
        <f t="shared" si="127"/>
        <v>5</v>
      </c>
      <c r="AP67" s="2922">
        <f t="shared" si="127"/>
        <v>14</v>
      </c>
      <c r="AQ67" s="2922">
        <f t="shared" si="127"/>
        <v>22</v>
      </c>
      <c r="AR67" s="2922">
        <f t="shared" si="127"/>
        <v>30</v>
      </c>
      <c r="AS67" s="2922">
        <f t="shared" si="127"/>
        <v>38</v>
      </c>
      <c r="AT67" s="2925">
        <f t="shared" si="127"/>
        <v>46</v>
      </c>
      <c r="AU67" s="4775"/>
      <c r="AV67" s="4794">
        <f t="shared" si="47"/>
        <v>42.104886416508599</v>
      </c>
      <c r="AW67" s="4794">
        <f t="shared" si="48"/>
        <v>6.442277703072353</v>
      </c>
      <c r="AX67" s="4794">
        <f t="shared" si="49"/>
        <v>17.792957465628401</v>
      </c>
      <c r="AY67" s="4794">
        <f t="shared" si="50"/>
        <v>25.769110812289412</v>
      </c>
      <c r="AZ67" s="4794">
        <f t="shared" si="51"/>
        <v>34.588895762924182</v>
      </c>
      <c r="BA67" s="4794">
        <f t="shared" si="52"/>
        <v>45.837317149240988</v>
      </c>
      <c r="BB67" s="4794">
        <f t="shared" si="53"/>
        <v>54.273633188978593</v>
      </c>
      <c r="BC67" s="4794">
        <f t="shared" si="54"/>
        <v>9.6634165546085313</v>
      </c>
      <c r="BD67" s="4794">
        <f t="shared" si="55"/>
        <v>0.25564594059810924</v>
      </c>
      <c r="BE67" s="4794">
        <f t="shared" si="56"/>
        <v>0.89476079209338233</v>
      </c>
      <c r="BF67" s="4794">
        <f t="shared" si="57"/>
        <v>1.5338756435886556</v>
      </c>
      <c r="BG67" s="4794">
        <f t="shared" si="58"/>
        <v>2.045167524784874</v>
      </c>
      <c r="BH67" s="4794">
        <f t="shared" si="59"/>
        <v>2.5564594059810926</v>
      </c>
      <c r="BI67" s="4794">
        <f t="shared" si="60"/>
        <v>3.0677512871773112</v>
      </c>
      <c r="BJ67" s="4794">
        <f t="shared" si="61"/>
        <v>0.35790431683735296</v>
      </c>
      <c r="BK67" s="4794">
        <f t="shared" si="62"/>
        <v>0.51129188119621849</v>
      </c>
      <c r="BL67" s="4794">
        <f t="shared" si="63"/>
        <v>2.8121053465792016</v>
      </c>
      <c r="BM67" s="4794">
        <f t="shared" si="64"/>
        <v>5.8798566337565124</v>
      </c>
      <c r="BN67" s="4794">
        <f t="shared" si="65"/>
        <v>8.1806700991394958</v>
      </c>
      <c r="BO67" s="4794">
        <f t="shared" si="66"/>
        <v>10.992775445718697</v>
      </c>
      <c r="BP67" s="4794">
        <f t="shared" si="67"/>
        <v>13.804880792297899</v>
      </c>
      <c r="BQ67" s="4794">
        <f t="shared" si="68"/>
        <v>0</v>
      </c>
      <c r="BR67" s="4794">
        <f t="shared" si="69"/>
        <v>0</v>
      </c>
      <c r="BS67" s="4794">
        <f t="shared" si="70"/>
        <v>0</v>
      </c>
      <c r="BT67" s="4794">
        <f t="shared" si="71"/>
        <v>0</v>
      </c>
      <c r="BU67" s="4794">
        <f t="shared" si="72"/>
        <v>0</v>
      </c>
      <c r="BV67" s="4794">
        <f t="shared" si="73"/>
        <v>0</v>
      </c>
      <c r="BW67" s="4794">
        <f t="shared" si="74"/>
        <v>0</v>
      </c>
      <c r="BX67" s="4794">
        <f t="shared" si="75"/>
        <v>0</v>
      </c>
      <c r="BY67" s="4794">
        <f t="shared" si="76"/>
        <v>0</v>
      </c>
      <c r="BZ67" s="4794">
        <f t="shared" si="77"/>
        <v>0</v>
      </c>
      <c r="CA67" s="4794">
        <f t="shared" si="78"/>
        <v>0</v>
      </c>
      <c r="CB67" s="4794">
        <f t="shared" si="79"/>
        <v>0</v>
      </c>
      <c r="CC67" s="4794">
        <f t="shared" si="80"/>
        <v>0</v>
      </c>
      <c r="CD67" s="4794">
        <f t="shared" si="81"/>
        <v>0</v>
      </c>
      <c r="CE67" s="4794">
        <f t="shared" si="82"/>
        <v>0</v>
      </c>
      <c r="CF67" s="4794">
        <f t="shared" si="83"/>
        <v>2.5564594059810926</v>
      </c>
      <c r="CG67" s="4794">
        <f t="shared" si="84"/>
        <v>7.1580863367470586</v>
      </c>
      <c r="CH67" s="4794">
        <f t="shared" si="85"/>
        <v>11.248421386316807</v>
      </c>
      <c r="CI67" s="4794">
        <f t="shared" si="86"/>
        <v>15.338756435886555</v>
      </c>
      <c r="CJ67" s="4794">
        <f t="shared" si="87"/>
        <v>19.429091485456304</v>
      </c>
      <c r="CK67" s="4794">
        <f t="shared" si="88"/>
        <v>23.519426535026049</v>
      </c>
    </row>
    <row r="68" spans="1:89">
      <c r="A68" s="2876"/>
      <c r="B68" s="3828">
        <v>20301</v>
      </c>
      <c r="C68" s="3811">
        <v>0.1</v>
      </c>
      <c r="D68" s="2928" t="s">
        <v>427</v>
      </c>
      <c r="E68" s="2864">
        <f>'11.2. ДА за периода'!E68</f>
        <v>5.5500000000000007</v>
      </c>
      <c r="F68" s="2792">
        <f>($F19*$C68)/$E$7</f>
        <v>0</v>
      </c>
      <c r="G68" s="1155">
        <f>($F19*$C68)+($G19*$C68)/$E$7</f>
        <v>0</v>
      </c>
      <c r="H68" s="1155">
        <f>($F19*$C68)+($G19*$C68)+($H19*$C68)/$E$7</f>
        <v>0</v>
      </c>
      <c r="I68" s="1155">
        <f>($F19*$C68)+($G19*$C68)+($H19*$C68)+($I19*$C68)/$E$7</f>
        <v>0</v>
      </c>
      <c r="J68" s="1155">
        <f>($F19*$C68)+($G19*$C68)+($H19*$C68)+($I19*$C68)+($J19*$C68)/$E$7</f>
        <v>0</v>
      </c>
      <c r="K68" s="2917">
        <f>($F19*$C68)+($G19*$C68)+($H19*$C68)+($I19*$C68)+($J19*$C68)+($K19*$C68)/$E$7</f>
        <v>0</v>
      </c>
      <c r="L68" s="2864">
        <f>'11.2. ДА за периода'!L68</f>
        <v>1</v>
      </c>
      <c r="M68" s="2792">
        <f>($M19*$C68)/$E$7</f>
        <v>0</v>
      </c>
      <c r="N68" s="1155">
        <f>($M19*$C68)+($N19*$C68)/$E$7</f>
        <v>0</v>
      </c>
      <c r="O68" s="1155">
        <f>($M19*$C68)+($N19*$C68)+($O19*$C68)/$E$7</f>
        <v>0</v>
      </c>
      <c r="P68" s="1155">
        <f>($M19*$C68)+($N19*$C68)+($O19*$C68)+($P19*$C68)/$E$7</f>
        <v>0</v>
      </c>
      <c r="Q68" s="2917">
        <f>($M19*$C68)+($N19*$C68)+($O19*$C68)+($P19*$C68)+($Q19*$C68)/$E$7</f>
        <v>0</v>
      </c>
      <c r="R68" s="2793">
        <f>($M19*$C68)+($N19*$C68)+($O19*$C68)+($P19*$C68)+($Q19*$C68)+($R19*$C68)/$E$7</f>
        <v>0</v>
      </c>
      <c r="S68" s="1132">
        <f>'11.2. ДА за периода'!S68</f>
        <v>0.45</v>
      </c>
      <c r="T68" s="926">
        <f>($T19*$C68)/$E$7</f>
        <v>0</v>
      </c>
      <c r="U68" s="1155">
        <f>($T19*$C68)+($U19*$C68)/$E$7</f>
        <v>0</v>
      </c>
      <c r="V68" s="1155">
        <f>($T19*$C68)+($U19*$C68)+($V19*$C68)/$E$7</f>
        <v>0</v>
      </c>
      <c r="W68" s="1155">
        <f>($T19*$C68)+($U19*$C68)+($V19*$C68)+($W19*$C68)/$E$7</f>
        <v>0</v>
      </c>
      <c r="X68" s="1155">
        <f>($T19*$C68)+($U19*$C68)+($V19*$C68)+($W19*$C68)+($X19*$C68)/$E$7</f>
        <v>0</v>
      </c>
      <c r="Y68" s="2793">
        <f>($T19*$C68)+($U19*$C68)+($V19*$C68)+($W19*$C68)+($X19*$C68)+($Y19*$C68)/$E$7</f>
        <v>0</v>
      </c>
      <c r="Z68" s="1132">
        <f>'11.2. ДА за периода'!Z68</f>
        <v>0</v>
      </c>
      <c r="AA68" s="926">
        <f t="shared" ref="AA68:AA70" si="129">(AA19*$C68)/$E$7</f>
        <v>0</v>
      </c>
      <c r="AB68" s="1155">
        <f t="shared" ref="AB68:AB70" si="130">(AA19*$C68)+(AB19*$C68)/$E$7</f>
        <v>0</v>
      </c>
      <c r="AC68" s="1155">
        <f t="shared" ref="AC68:AC70" si="131">(AA19*$C68)+(AB19*$C68)+(AC19*$C68)/$E$7</f>
        <v>0</v>
      </c>
      <c r="AD68" s="1155">
        <f t="shared" ref="AD68:AD70" si="132">(AA19*$C68)+(AB19*$C68)+(AC19*$C68)+(AD19*$C68)/$E$7</f>
        <v>0</v>
      </c>
      <c r="AE68" s="1155">
        <f t="shared" ref="AE68:AE70" si="133">(AA19*$C68)+(AB19*$C68)+(AC19*$C68)+(AD19*$C68)+(AE19*$C68)/$E$7</f>
        <v>0</v>
      </c>
      <c r="AF68" s="2917">
        <f t="shared" ref="AF68:AF70" si="134">(AA19*$C68)+(AB19*$C68)+(AC19*$C68)+(AD19*$C68)+(AE19*$C68)+(AF19*$C68)/$E$7</f>
        <v>0</v>
      </c>
      <c r="AG68" s="1132">
        <f>'11.2. ДА за периода'!AG68</f>
        <v>0</v>
      </c>
      <c r="AH68" s="926">
        <f t="shared" ref="AH68:AH70" si="135">(AH19*$C68)/$E$7</f>
        <v>0</v>
      </c>
      <c r="AI68" s="1155">
        <f t="shared" ref="AI68:AI70" si="136">(AH19*$C68)+(AI19*$C68)/$E$7</f>
        <v>0</v>
      </c>
      <c r="AJ68" s="1155">
        <f t="shared" ref="AJ68:AJ70" si="137">(AH19*$C68)+(AI19*$C68)+(AJ19*$C68)/$E$7</f>
        <v>0</v>
      </c>
      <c r="AK68" s="1155">
        <f t="shared" ref="AK68:AK70" si="138">(AH19*$C68)+(AI19*$C68)+(AJ19*$C68)+(AK19*$C68)/$E$7</f>
        <v>0</v>
      </c>
      <c r="AL68" s="1155">
        <f t="shared" ref="AL68:AL70" si="139">(AH19*$C68)+(AI19*$C68)+(AJ19*$C68)+(AK19*$C68)+(AL19*$C68)/$E$7</f>
        <v>0</v>
      </c>
      <c r="AM68" s="2917">
        <f t="shared" ref="AM68:AM70" si="140">(AH19*$C68)+(AI19*$C68)+(AJ19*$C68)+(AK19*$C68)+(AL19*$C68)+(AM19*$C68)/$E$7</f>
        <v>0</v>
      </c>
      <c r="AN68" s="2864">
        <f>'11.2. ДА за периода'!AN68</f>
        <v>0</v>
      </c>
      <c r="AO68" s="2792">
        <f>($AO19*$C68)/$E$7</f>
        <v>0</v>
      </c>
      <c r="AP68" s="1155">
        <f>($AO19*$C68)+($AP19*$C68)/$E$7</f>
        <v>0</v>
      </c>
      <c r="AQ68" s="1155">
        <f>($AO19*$C68)+($AP19*$C68)+($AQ19*$C68)/$E$7</f>
        <v>0</v>
      </c>
      <c r="AR68" s="1155">
        <f>($AO19*$C68)+($AP19*$C68)+($AQ19*$C68)+($AR19*$C68)/$E$7</f>
        <v>0</v>
      </c>
      <c r="AS68" s="1155">
        <f>($AO19*$C68)+($AP19*$C68)+($AQ19*$C68)+($AR19*$C68)+($AS19*$C68)/$E$7</f>
        <v>0</v>
      </c>
      <c r="AT68" s="2793">
        <f>($AO19*$C68)+($AP19*$C68)+($AQ19*$C68)+($AR19*$C68)+($AS19*$C68)+($AT19*$C68)/$E$7</f>
        <v>0</v>
      </c>
      <c r="AU68" s="4775"/>
      <c r="AV68" s="4794">
        <f t="shared" si="47"/>
        <v>2.8376699406390129</v>
      </c>
      <c r="AW68" s="4794">
        <f t="shared" si="48"/>
        <v>0</v>
      </c>
      <c r="AX68" s="4794">
        <f t="shared" si="49"/>
        <v>0</v>
      </c>
      <c r="AY68" s="4794">
        <f t="shared" si="50"/>
        <v>0</v>
      </c>
      <c r="AZ68" s="4794">
        <f t="shared" si="51"/>
        <v>0</v>
      </c>
      <c r="BA68" s="4794">
        <f t="shared" si="52"/>
        <v>0</v>
      </c>
      <c r="BB68" s="4794">
        <f t="shared" si="53"/>
        <v>0</v>
      </c>
      <c r="BC68" s="4794">
        <f t="shared" si="54"/>
        <v>0.51129188119621849</v>
      </c>
      <c r="BD68" s="4794">
        <f t="shared" si="55"/>
        <v>0</v>
      </c>
      <c r="BE68" s="4794">
        <f t="shared" si="56"/>
        <v>0</v>
      </c>
      <c r="BF68" s="4794">
        <f t="shared" si="57"/>
        <v>0</v>
      </c>
      <c r="BG68" s="4794">
        <f t="shared" si="58"/>
        <v>0</v>
      </c>
      <c r="BH68" s="4794">
        <f t="shared" si="59"/>
        <v>0</v>
      </c>
      <c r="BI68" s="4794">
        <f t="shared" si="60"/>
        <v>0</v>
      </c>
      <c r="BJ68" s="4794">
        <f t="shared" si="61"/>
        <v>0.23008134653829834</v>
      </c>
      <c r="BK68" s="4794">
        <f t="shared" si="62"/>
        <v>0</v>
      </c>
      <c r="BL68" s="4794">
        <f t="shared" si="63"/>
        <v>0</v>
      </c>
      <c r="BM68" s="4794">
        <f t="shared" si="64"/>
        <v>0</v>
      </c>
      <c r="BN68" s="4794">
        <f t="shared" si="65"/>
        <v>0</v>
      </c>
      <c r="BO68" s="4794">
        <f t="shared" si="66"/>
        <v>0</v>
      </c>
      <c r="BP68" s="4794">
        <f t="shared" si="67"/>
        <v>0</v>
      </c>
      <c r="BQ68" s="4794">
        <f t="shared" si="68"/>
        <v>0</v>
      </c>
      <c r="BR68" s="4794">
        <f t="shared" si="69"/>
        <v>0</v>
      </c>
      <c r="BS68" s="4794">
        <f t="shared" si="70"/>
        <v>0</v>
      </c>
      <c r="BT68" s="4794">
        <f t="shared" si="71"/>
        <v>0</v>
      </c>
      <c r="BU68" s="4794">
        <f t="shared" si="72"/>
        <v>0</v>
      </c>
      <c r="BV68" s="4794">
        <f t="shared" si="73"/>
        <v>0</v>
      </c>
      <c r="BW68" s="4794">
        <f t="shared" si="74"/>
        <v>0</v>
      </c>
      <c r="BX68" s="4794">
        <f t="shared" si="75"/>
        <v>0</v>
      </c>
      <c r="BY68" s="4794">
        <f t="shared" si="76"/>
        <v>0</v>
      </c>
      <c r="BZ68" s="4794">
        <f t="shared" si="77"/>
        <v>0</v>
      </c>
      <c r="CA68" s="4794">
        <f t="shared" si="78"/>
        <v>0</v>
      </c>
      <c r="CB68" s="4794">
        <f t="shared" si="79"/>
        <v>0</v>
      </c>
      <c r="CC68" s="4794">
        <f t="shared" si="80"/>
        <v>0</v>
      </c>
      <c r="CD68" s="4794">
        <f t="shared" si="81"/>
        <v>0</v>
      </c>
      <c r="CE68" s="4794">
        <f t="shared" si="82"/>
        <v>0</v>
      </c>
      <c r="CF68" s="4794">
        <f t="shared" si="83"/>
        <v>0</v>
      </c>
      <c r="CG68" s="4794">
        <f t="shared" si="84"/>
        <v>0</v>
      </c>
      <c r="CH68" s="4794">
        <f t="shared" si="85"/>
        <v>0</v>
      </c>
      <c r="CI68" s="4794">
        <f t="shared" si="86"/>
        <v>0</v>
      </c>
      <c r="CJ68" s="4794">
        <f t="shared" si="87"/>
        <v>0</v>
      </c>
      <c r="CK68" s="4794">
        <f t="shared" si="88"/>
        <v>0</v>
      </c>
    </row>
    <row r="69" spans="1:89">
      <c r="A69" s="2876"/>
      <c r="B69" s="3828">
        <v>20302</v>
      </c>
      <c r="C69" s="3811">
        <v>0.1</v>
      </c>
      <c r="D69" s="2928" t="s">
        <v>428</v>
      </c>
      <c r="E69" s="2864">
        <f>'11.2. ДА за периода'!E69</f>
        <v>1.05</v>
      </c>
      <c r="F69" s="2792">
        <f>($F20*$C69)/$E$7</f>
        <v>0</v>
      </c>
      <c r="G69" s="1243">
        <f>($F20*$C69)+($G20*$C69)/$E$7</f>
        <v>0</v>
      </c>
      <c r="H69" s="1243">
        <f>($F20*$C69)+($G20*$C69)+($H20*$C69)/$E$7</f>
        <v>0</v>
      </c>
      <c r="I69" s="1243">
        <f>($F20*$C69)+($G20*$C69)+($H20*$C69)+($I20*$C69)/$E$7</f>
        <v>0</v>
      </c>
      <c r="J69" s="1243">
        <f>($F20*$C69)+($G20*$C69)+($H20*$C69)+($I20*$C69)+($J20*$C69)/$E$7</f>
        <v>0</v>
      </c>
      <c r="K69" s="2798">
        <f>($F20*$C69)+($G20*$C69)+($H20*$C69)+($I20*$C69)+($J20*$C69)+($K20*$C69)/$E$7</f>
        <v>0</v>
      </c>
      <c r="L69" s="2864">
        <f>'11.2. ДА за периода'!L69</f>
        <v>0</v>
      </c>
      <c r="M69" s="1247">
        <f>($M20*$C69)/$E$7</f>
        <v>0</v>
      </c>
      <c r="N69" s="1243">
        <f>($M20*$C69)+($N20*$C69)/$E$7</f>
        <v>0</v>
      </c>
      <c r="O69" s="1243">
        <f>($M20*$C69)+($N20*$C69)+($O20*$C69)/$E$7</f>
        <v>0</v>
      </c>
      <c r="P69" s="1243">
        <f>($M20*$C69)+($N20*$C69)+($O20*$C69)+($P20*$C69)/$E$7</f>
        <v>0</v>
      </c>
      <c r="Q69" s="2798">
        <f>($M20*$C69)+($N20*$C69)+($O20*$C69)+($P20*$C69)+($Q20*$C69)/$E$7</f>
        <v>0</v>
      </c>
      <c r="R69" s="1248">
        <f>($M20*$C69)+($N20*$C69)+($O20*$C69)+($P20*$C69)+($Q20*$C69)+($R20*$C69)/$E$7</f>
        <v>0</v>
      </c>
      <c r="S69" s="1132">
        <f>'11.2. ДА за периода'!S69</f>
        <v>0</v>
      </c>
      <c r="T69" s="927">
        <f>($T20*$C69)/$E$7</f>
        <v>0</v>
      </c>
      <c r="U69" s="1243">
        <f>($T20*$C69)+($U20*$C69)/$E$7</f>
        <v>1</v>
      </c>
      <c r="V69" s="1243">
        <f>($T20*$C69)+($U20*$C69)+($V20*$C69)/$E$7</f>
        <v>3</v>
      </c>
      <c r="W69" s="1243">
        <f>($T20*$C69)+($U20*$C69)+($V20*$C69)+($W20*$C69)/$E$7</f>
        <v>5</v>
      </c>
      <c r="X69" s="1243">
        <f>($T20*$C69)+($U20*$C69)+($V20*$C69)+($W20*$C69)+($X20*$C69)/$E$7</f>
        <v>7</v>
      </c>
      <c r="Y69" s="1248">
        <f>($T20*$C69)+($U20*$C69)+($V20*$C69)+($W20*$C69)+($X20*$C69)+($Y20*$C69)/$E$7</f>
        <v>9</v>
      </c>
      <c r="Z69" s="1132">
        <f>'11.2. ДА за периода'!Z69</f>
        <v>0</v>
      </c>
      <c r="AA69" s="927">
        <f t="shared" si="129"/>
        <v>0</v>
      </c>
      <c r="AB69" s="1243">
        <f t="shared" si="130"/>
        <v>0</v>
      </c>
      <c r="AC69" s="1243">
        <f t="shared" si="131"/>
        <v>0</v>
      </c>
      <c r="AD69" s="1243">
        <f t="shared" si="132"/>
        <v>0</v>
      </c>
      <c r="AE69" s="1243">
        <f t="shared" si="133"/>
        <v>0</v>
      </c>
      <c r="AF69" s="2798">
        <f t="shared" si="134"/>
        <v>0</v>
      </c>
      <c r="AG69" s="1132">
        <f>'11.2. ДА за периода'!AG69</f>
        <v>0</v>
      </c>
      <c r="AH69" s="927">
        <f t="shared" si="135"/>
        <v>0</v>
      </c>
      <c r="AI69" s="1243">
        <f t="shared" si="136"/>
        <v>0</v>
      </c>
      <c r="AJ69" s="1243">
        <f t="shared" si="137"/>
        <v>0</v>
      </c>
      <c r="AK69" s="1243">
        <f t="shared" si="138"/>
        <v>0</v>
      </c>
      <c r="AL69" s="1243">
        <f t="shared" si="139"/>
        <v>0</v>
      </c>
      <c r="AM69" s="2798">
        <f t="shared" si="140"/>
        <v>0</v>
      </c>
      <c r="AN69" s="2864">
        <f>'11.2. ДА за периода'!AN69</f>
        <v>0</v>
      </c>
      <c r="AO69" s="1247">
        <f>($AO20*$C69)/$E$7</f>
        <v>0</v>
      </c>
      <c r="AP69" s="1243">
        <f>($AO20*$C69)+($AP20*$C69)/$E$7</f>
        <v>0</v>
      </c>
      <c r="AQ69" s="1243">
        <f>($AO20*$C69)+($AP20*$C69)+($AQ20*$C69)/$E$7</f>
        <v>0</v>
      </c>
      <c r="AR69" s="1243">
        <f>($AO20*$C69)+($AP20*$C69)+($AQ20*$C69)+($AR20*$C69)/$E$7</f>
        <v>0</v>
      </c>
      <c r="AS69" s="1243">
        <f>($AO20*$C69)+($AP20*$C69)+($AQ20*$C69)+($AR20*$C69)+($AS20*$C69)/$E$7</f>
        <v>0</v>
      </c>
      <c r="AT69" s="1248">
        <f>($AO20*$C69)+($AP20*$C69)+($AQ20*$C69)+($AR20*$C69)+($AS20*$C69)+($AT20*$C69)/$E$7</f>
        <v>0</v>
      </c>
      <c r="AU69" s="4775"/>
      <c r="AV69" s="4794">
        <f t="shared" si="47"/>
        <v>0.53685647525602942</v>
      </c>
      <c r="AW69" s="4794">
        <f t="shared" si="48"/>
        <v>0</v>
      </c>
      <c r="AX69" s="4794">
        <f t="shared" si="49"/>
        <v>0</v>
      </c>
      <c r="AY69" s="4794">
        <f t="shared" si="50"/>
        <v>0</v>
      </c>
      <c r="AZ69" s="4794">
        <f t="shared" si="51"/>
        <v>0</v>
      </c>
      <c r="BA69" s="4794">
        <f t="shared" si="52"/>
        <v>0</v>
      </c>
      <c r="BB69" s="4794">
        <f t="shared" si="53"/>
        <v>0</v>
      </c>
      <c r="BC69" s="4794">
        <f t="shared" si="54"/>
        <v>0</v>
      </c>
      <c r="BD69" s="4794">
        <f t="shared" si="55"/>
        <v>0</v>
      </c>
      <c r="BE69" s="4794">
        <f t="shared" si="56"/>
        <v>0</v>
      </c>
      <c r="BF69" s="4794">
        <f t="shared" si="57"/>
        <v>0</v>
      </c>
      <c r="BG69" s="4794">
        <f t="shared" si="58"/>
        <v>0</v>
      </c>
      <c r="BH69" s="4794">
        <f t="shared" si="59"/>
        <v>0</v>
      </c>
      <c r="BI69" s="4794">
        <f t="shared" si="60"/>
        <v>0</v>
      </c>
      <c r="BJ69" s="4794">
        <f t="shared" si="61"/>
        <v>0</v>
      </c>
      <c r="BK69" s="4794">
        <f t="shared" si="62"/>
        <v>0</v>
      </c>
      <c r="BL69" s="4794">
        <f t="shared" si="63"/>
        <v>0.51129188119621849</v>
      </c>
      <c r="BM69" s="4794">
        <f t="shared" si="64"/>
        <v>1.5338756435886556</v>
      </c>
      <c r="BN69" s="4794">
        <f t="shared" si="65"/>
        <v>2.5564594059810926</v>
      </c>
      <c r="BO69" s="4794">
        <f t="shared" si="66"/>
        <v>3.5790431683735293</v>
      </c>
      <c r="BP69" s="4794">
        <f t="shared" si="67"/>
        <v>4.6016269307659661</v>
      </c>
      <c r="BQ69" s="4794">
        <f t="shared" si="68"/>
        <v>0</v>
      </c>
      <c r="BR69" s="4794">
        <f t="shared" si="69"/>
        <v>0</v>
      </c>
      <c r="BS69" s="4794">
        <f t="shared" si="70"/>
        <v>0</v>
      </c>
      <c r="BT69" s="4794">
        <f t="shared" si="71"/>
        <v>0</v>
      </c>
      <c r="BU69" s="4794">
        <f t="shared" si="72"/>
        <v>0</v>
      </c>
      <c r="BV69" s="4794">
        <f t="shared" si="73"/>
        <v>0</v>
      </c>
      <c r="BW69" s="4794">
        <f t="shared" si="74"/>
        <v>0</v>
      </c>
      <c r="BX69" s="4794">
        <f t="shared" si="75"/>
        <v>0</v>
      </c>
      <c r="BY69" s="4794">
        <f t="shared" si="76"/>
        <v>0</v>
      </c>
      <c r="BZ69" s="4794">
        <f t="shared" si="77"/>
        <v>0</v>
      </c>
      <c r="CA69" s="4794">
        <f t="shared" si="78"/>
        <v>0</v>
      </c>
      <c r="CB69" s="4794">
        <f t="shared" si="79"/>
        <v>0</v>
      </c>
      <c r="CC69" s="4794">
        <f t="shared" si="80"/>
        <v>0</v>
      </c>
      <c r="CD69" s="4794">
        <f t="shared" si="81"/>
        <v>0</v>
      </c>
      <c r="CE69" s="4794">
        <f t="shared" si="82"/>
        <v>0</v>
      </c>
      <c r="CF69" s="4794">
        <f t="shared" si="83"/>
        <v>0</v>
      </c>
      <c r="CG69" s="4794">
        <f t="shared" si="84"/>
        <v>0</v>
      </c>
      <c r="CH69" s="4794">
        <f t="shared" si="85"/>
        <v>0</v>
      </c>
      <c r="CI69" s="4794">
        <f t="shared" si="86"/>
        <v>0</v>
      </c>
      <c r="CJ69" s="4794">
        <f t="shared" si="87"/>
        <v>0</v>
      </c>
      <c r="CK69" s="4794">
        <f t="shared" si="88"/>
        <v>0</v>
      </c>
    </row>
    <row r="70" spans="1:89">
      <c r="A70" s="2876"/>
      <c r="B70" s="3828">
        <v>20303</v>
      </c>
      <c r="C70" s="3811">
        <v>0.1</v>
      </c>
      <c r="D70" s="2928" t="s">
        <v>406</v>
      </c>
      <c r="E70" s="2864">
        <f>'11.2. ДА за периода'!E70</f>
        <v>48.6</v>
      </c>
      <c r="F70" s="2792">
        <f>($F21*$C70)/$E$7</f>
        <v>0</v>
      </c>
      <c r="G70" s="1243">
        <f>($F21*$C70)+($G21*$C70)/$E$7</f>
        <v>0</v>
      </c>
      <c r="H70" s="1243">
        <f>($F21*$C70)+($G21*$C70)+($H21*$C70)/$E$7</f>
        <v>0</v>
      </c>
      <c r="I70" s="1243">
        <f>($F21*$C70)+($G21*$C70)+($H21*$C70)+($I21*$C70)/$E$7</f>
        <v>5</v>
      </c>
      <c r="J70" s="1243">
        <f>($F21*$C70)+($G21*$C70)+($H21*$C70)+($I21*$C70)+($J21*$C70)/$E$7</f>
        <v>15</v>
      </c>
      <c r="K70" s="2798">
        <f>($F21*$C70)+($G21*$C70)+($H21*$C70)+($I21*$C70)+($J21*$C70)+($K21*$C70)/$E$7</f>
        <v>20</v>
      </c>
      <c r="L70" s="2864">
        <f>'11.2. ДА за периода'!L70</f>
        <v>17.900000000000002</v>
      </c>
      <c r="M70" s="1247">
        <f>($M21*$C70)/$E$7</f>
        <v>0</v>
      </c>
      <c r="N70" s="1243">
        <f>($M21*$C70)+($N21*$C70)/$E$7</f>
        <v>0</v>
      </c>
      <c r="O70" s="1243">
        <f>($M21*$C70)+($N21*$C70)+($O21*$C70)/$E$7</f>
        <v>0</v>
      </c>
      <c r="P70" s="1243">
        <f>($M21*$C70)+($N21*$C70)+($O21*$C70)+($P21*$C70)/$E$7</f>
        <v>0</v>
      </c>
      <c r="Q70" s="2798">
        <f>($M21*$C70)+($N21*$C70)+($O21*$C70)+($P21*$C70)+($Q21*$C70)/$E$7</f>
        <v>0</v>
      </c>
      <c r="R70" s="1248">
        <f>($M21*$C70)+($N21*$C70)+($O21*$C70)+($P21*$C70)+($Q21*$C70)+($R21*$C70)/$E$7</f>
        <v>0</v>
      </c>
      <c r="S70" s="1132">
        <f>'11.2. ДА за периода'!S70</f>
        <v>0.15000000000000002</v>
      </c>
      <c r="T70" s="927">
        <f>($T21*$C70)/$E$7</f>
        <v>0</v>
      </c>
      <c r="U70" s="1243">
        <f>($T21*$C70)+($U21*$C70)/$E$7</f>
        <v>0</v>
      </c>
      <c r="V70" s="1243">
        <f>($T21*$C70)+($U21*$C70)+($V21*$C70)/$E$7</f>
        <v>0</v>
      </c>
      <c r="W70" s="1243">
        <f>($T21*$C70)+($U21*$C70)+($V21*$C70)+($W21*$C70)/$E$7</f>
        <v>0</v>
      </c>
      <c r="X70" s="1243">
        <f>($T21*$C70)+($U21*$C70)+($V21*$C70)+($W21*$C70)+($X21*$C70)/$E$7</f>
        <v>0</v>
      </c>
      <c r="Y70" s="1248">
        <f>($T21*$C70)+($U21*$C70)+($V21*$C70)+($W21*$C70)+($X21*$C70)+($Y21*$C70)/$E$7</f>
        <v>0</v>
      </c>
      <c r="Z70" s="1132">
        <f>'11.2. ДА за периода'!Z70</f>
        <v>0</v>
      </c>
      <c r="AA70" s="927">
        <f t="shared" si="129"/>
        <v>0</v>
      </c>
      <c r="AB70" s="1243">
        <f t="shared" si="130"/>
        <v>0</v>
      </c>
      <c r="AC70" s="1243">
        <f t="shared" si="131"/>
        <v>0</v>
      </c>
      <c r="AD70" s="1243">
        <f t="shared" si="132"/>
        <v>0</v>
      </c>
      <c r="AE70" s="1243">
        <f t="shared" si="133"/>
        <v>0</v>
      </c>
      <c r="AF70" s="2798">
        <f t="shared" si="134"/>
        <v>0</v>
      </c>
      <c r="AG70" s="1132">
        <f>'11.2. ДА за периода'!AG70</f>
        <v>0</v>
      </c>
      <c r="AH70" s="927">
        <f t="shared" si="135"/>
        <v>0</v>
      </c>
      <c r="AI70" s="1243">
        <f t="shared" si="136"/>
        <v>0</v>
      </c>
      <c r="AJ70" s="1243">
        <f t="shared" si="137"/>
        <v>0</v>
      </c>
      <c r="AK70" s="1243">
        <f t="shared" si="138"/>
        <v>0</v>
      </c>
      <c r="AL70" s="1243">
        <f t="shared" si="139"/>
        <v>0</v>
      </c>
      <c r="AM70" s="2798">
        <f t="shared" si="140"/>
        <v>0</v>
      </c>
      <c r="AN70" s="2864">
        <f>'11.2. ДА за периода'!AN70</f>
        <v>0</v>
      </c>
      <c r="AO70" s="1247">
        <f>($AO21*$C70)/$E$7</f>
        <v>0</v>
      </c>
      <c r="AP70" s="1243">
        <f>($AO21*$C70)+($AP21*$C70)/$E$7</f>
        <v>0</v>
      </c>
      <c r="AQ70" s="1243">
        <f>($AO21*$C70)+($AP21*$C70)+($AQ21*$C70)/$E$7</f>
        <v>0</v>
      </c>
      <c r="AR70" s="1243">
        <f>($AO21*$C70)+($AP21*$C70)+($AQ21*$C70)+($AR21*$C70)/$E$7</f>
        <v>0</v>
      </c>
      <c r="AS70" s="1243">
        <f>($AO21*$C70)+($AP21*$C70)+($AQ21*$C70)+($AR21*$C70)+($AS21*$C70)/$E$7</f>
        <v>0</v>
      </c>
      <c r="AT70" s="1248">
        <f>($AO21*$C70)+($AP21*$C70)+($AQ21*$C70)+($AR21*$C70)+($AS21*$C70)+($AT21*$C70)/$E$7</f>
        <v>0</v>
      </c>
      <c r="AU70" s="4775"/>
      <c r="AV70" s="4794">
        <f t="shared" si="47"/>
        <v>24.848785426136221</v>
      </c>
      <c r="AW70" s="4794">
        <f t="shared" si="48"/>
        <v>0</v>
      </c>
      <c r="AX70" s="4794">
        <f t="shared" si="49"/>
        <v>0</v>
      </c>
      <c r="AY70" s="4794">
        <f t="shared" si="50"/>
        <v>0</v>
      </c>
      <c r="AZ70" s="4794">
        <f t="shared" si="51"/>
        <v>2.5564594059810926</v>
      </c>
      <c r="BA70" s="4794">
        <f t="shared" si="52"/>
        <v>7.6693782179432777</v>
      </c>
      <c r="BB70" s="4794">
        <f t="shared" si="53"/>
        <v>10.22583762392437</v>
      </c>
      <c r="BC70" s="4794">
        <f t="shared" si="54"/>
        <v>9.1521246734123114</v>
      </c>
      <c r="BD70" s="4794">
        <f t="shared" si="55"/>
        <v>0</v>
      </c>
      <c r="BE70" s="4794">
        <f t="shared" si="56"/>
        <v>0</v>
      </c>
      <c r="BF70" s="4794">
        <f t="shared" si="57"/>
        <v>0</v>
      </c>
      <c r="BG70" s="4794">
        <f t="shared" si="58"/>
        <v>0</v>
      </c>
      <c r="BH70" s="4794">
        <f t="shared" si="59"/>
        <v>0</v>
      </c>
      <c r="BI70" s="4794">
        <f t="shared" si="60"/>
        <v>0</v>
      </c>
      <c r="BJ70" s="4794">
        <f t="shared" si="61"/>
        <v>7.669378217943279E-2</v>
      </c>
      <c r="BK70" s="4794">
        <f t="shared" si="62"/>
        <v>0</v>
      </c>
      <c r="BL70" s="4794">
        <f t="shared" si="63"/>
        <v>0</v>
      </c>
      <c r="BM70" s="4794">
        <f t="shared" si="64"/>
        <v>0</v>
      </c>
      <c r="BN70" s="4794">
        <f t="shared" si="65"/>
        <v>0</v>
      </c>
      <c r="BO70" s="4794">
        <f t="shared" si="66"/>
        <v>0</v>
      </c>
      <c r="BP70" s="4794">
        <f t="shared" si="67"/>
        <v>0</v>
      </c>
      <c r="BQ70" s="4794">
        <f t="shared" si="68"/>
        <v>0</v>
      </c>
      <c r="BR70" s="4794">
        <f t="shared" si="69"/>
        <v>0</v>
      </c>
      <c r="BS70" s="4794">
        <f t="shared" si="70"/>
        <v>0</v>
      </c>
      <c r="BT70" s="4794">
        <f t="shared" si="71"/>
        <v>0</v>
      </c>
      <c r="BU70" s="4794">
        <f t="shared" si="72"/>
        <v>0</v>
      </c>
      <c r="BV70" s="4794">
        <f t="shared" si="73"/>
        <v>0</v>
      </c>
      <c r="BW70" s="4794">
        <f t="shared" si="74"/>
        <v>0</v>
      </c>
      <c r="BX70" s="4794">
        <f t="shared" si="75"/>
        <v>0</v>
      </c>
      <c r="BY70" s="4794">
        <f t="shared" si="76"/>
        <v>0</v>
      </c>
      <c r="BZ70" s="4794">
        <f t="shared" si="77"/>
        <v>0</v>
      </c>
      <c r="CA70" s="4794">
        <f t="shared" si="78"/>
        <v>0</v>
      </c>
      <c r="CB70" s="4794">
        <f t="shared" si="79"/>
        <v>0</v>
      </c>
      <c r="CC70" s="4794">
        <f t="shared" si="80"/>
        <v>0</v>
      </c>
      <c r="CD70" s="4794">
        <f t="shared" si="81"/>
        <v>0</v>
      </c>
      <c r="CE70" s="4794">
        <f t="shared" si="82"/>
        <v>0</v>
      </c>
      <c r="CF70" s="4794">
        <f t="shared" si="83"/>
        <v>0</v>
      </c>
      <c r="CG70" s="4794">
        <f t="shared" si="84"/>
        <v>0</v>
      </c>
      <c r="CH70" s="4794">
        <f t="shared" si="85"/>
        <v>0</v>
      </c>
      <c r="CI70" s="4794">
        <f t="shared" si="86"/>
        <v>0</v>
      </c>
      <c r="CJ70" s="4794">
        <f t="shared" si="87"/>
        <v>0</v>
      </c>
      <c r="CK70" s="4794">
        <f t="shared" si="88"/>
        <v>0</v>
      </c>
    </row>
    <row r="71" spans="1:89">
      <c r="A71" s="2876"/>
      <c r="B71" s="3828">
        <v>20304</v>
      </c>
      <c r="C71" s="3811">
        <v>0.1</v>
      </c>
      <c r="D71" s="2928" t="s">
        <v>407</v>
      </c>
      <c r="E71" s="2880">
        <f t="shared" ref="E71:AT71" si="141">SUM(E72:E73)</f>
        <v>0</v>
      </c>
      <c r="F71" s="2881">
        <f t="shared" si="141"/>
        <v>0</v>
      </c>
      <c r="G71" s="2882">
        <f t="shared" si="141"/>
        <v>0</v>
      </c>
      <c r="H71" s="2882">
        <f t="shared" si="141"/>
        <v>0</v>
      </c>
      <c r="I71" s="2882">
        <f t="shared" si="141"/>
        <v>0</v>
      </c>
      <c r="J71" s="2882">
        <f t="shared" si="141"/>
        <v>0</v>
      </c>
      <c r="K71" s="2929">
        <f t="shared" si="141"/>
        <v>0</v>
      </c>
      <c r="L71" s="2884">
        <f t="shared" si="141"/>
        <v>0</v>
      </c>
      <c r="M71" s="2881">
        <f t="shared" si="141"/>
        <v>0</v>
      </c>
      <c r="N71" s="2882">
        <f t="shared" si="141"/>
        <v>0</v>
      </c>
      <c r="O71" s="2882">
        <f t="shared" si="141"/>
        <v>0</v>
      </c>
      <c r="P71" s="2882">
        <f t="shared" si="141"/>
        <v>0</v>
      </c>
      <c r="Q71" s="2882">
        <f t="shared" si="141"/>
        <v>0</v>
      </c>
      <c r="R71" s="2883">
        <f t="shared" si="141"/>
        <v>0</v>
      </c>
      <c r="S71" s="2884">
        <f t="shared" si="141"/>
        <v>0</v>
      </c>
      <c r="T71" s="2885">
        <f t="shared" si="141"/>
        <v>0</v>
      </c>
      <c r="U71" s="2882">
        <f t="shared" si="141"/>
        <v>0</v>
      </c>
      <c r="V71" s="2882">
        <f t="shared" si="141"/>
        <v>0</v>
      </c>
      <c r="W71" s="2882">
        <f t="shared" si="141"/>
        <v>0</v>
      </c>
      <c r="X71" s="2882">
        <f t="shared" si="141"/>
        <v>0</v>
      </c>
      <c r="Y71" s="2883">
        <f t="shared" si="141"/>
        <v>0</v>
      </c>
      <c r="Z71" s="2884">
        <f t="shared" ref="Z71:AM71" si="142">SUM(Z72:Z73)</f>
        <v>0</v>
      </c>
      <c r="AA71" s="2885">
        <f t="shared" si="142"/>
        <v>0</v>
      </c>
      <c r="AB71" s="2882">
        <f t="shared" si="142"/>
        <v>0</v>
      </c>
      <c r="AC71" s="2882">
        <f t="shared" si="142"/>
        <v>0</v>
      </c>
      <c r="AD71" s="2882">
        <f t="shared" si="142"/>
        <v>0</v>
      </c>
      <c r="AE71" s="2882">
        <f t="shared" si="142"/>
        <v>0</v>
      </c>
      <c r="AF71" s="2883">
        <f t="shared" si="142"/>
        <v>0</v>
      </c>
      <c r="AG71" s="2884">
        <f t="shared" si="142"/>
        <v>0</v>
      </c>
      <c r="AH71" s="2885">
        <f t="shared" si="142"/>
        <v>0</v>
      </c>
      <c r="AI71" s="2882">
        <f t="shared" si="142"/>
        <v>0</v>
      </c>
      <c r="AJ71" s="2882">
        <f t="shared" si="142"/>
        <v>0</v>
      </c>
      <c r="AK71" s="2882">
        <f t="shared" si="142"/>
        <v>0</v>
      </c>
      <c r="AL71" s="2882">
        <f t="shared" si="142"/>
        <v>0</v>
      </c>
      <c r="AM71" s="2883">
        <f t="shared" si="142"/>
        <v>0</v>
      </c>
      <c r="AN71" s="2884">
        <f t="shared" si="141"/>
        <v>0</v>
      </c>
      <c r="AO71" s="2885">
        <f t="shared" si="141"/>
        <v>0</v>
      </c>
      <c r="AP71" s="2882">
        <f t="shared" si="141"/>
        <v>0</v>
      </c>
      <c r="AQ71" s="2882">
        <f t="shared" si="141"/>
        <v>0</v>
      </c>
      <c r="AR71" s="2882">
        <f t="shared" si="141"/>
        <v>0</v>
      </c>
      <c r="AS71" s="2882">
        <f t="shared" si="141"/>
        <v>0</v>
      </c>
      <c r="AT71" s="2883">
        <f t="shared" si="141"/>
        <v>0</v>
      </c>
      <c r="AU71" s="4775"/>
      <c r="AV71" s="4794">
        <f t="shared" si="47"/>
        <v>0</v>
      </c>
      <c r="AW71" s="4794">
        <f t="shared" si="48"/>
        <v>0</v>
      </c>
      <c r="AX71" s="4794">
        <f t="shared" si="49"/>
        <v>0</v>
      </c>
      <c r="AY71" s="4794">
        <f t="shared" si="50"/>
        <v>0</v>
      </c>
      <c r="AZ71" s="4794">
        <f t="shared" si="51"/>
        <v>0</v>
      </c>
      <c r="BA71" s="4794">
        <f t="shared" si="52"/>
        <v>0</v>
      </c>
      <c r="BB71" s="4794">
        <f t="shared" si="53"/>
        <v>0</v>
      </c>
      <c r="BC71" s="4794">
        <f t="shared" si="54"/>
        <v>0</v>
      </c>
      <c r="BD71" s="4794">
        <f t="shared" si="55"/>
        <v>0</v>
      </c>
      <c r="BE71" s="4794">
        <f t="shared" si="56"/>
        <v>0</v>
      </c>
      <c r="BF71" s="4794">
        <f t="shared" si="57"/>
        <v>0</v>
      </c>
      <c r="BG71" s="4794">
        <f t="shared" si="58"/>
        <v>0</v>
      </c>
      <c r="BH71" s="4794">
        <f t="shared" si="59"/>
        <v>0</v>
      </c>
      <c r="BI71" s="4794">
        <f t="shared" si="60"/>
        <v>0</v>
      </c>
      <c r="BJ71" s="4794">
        <f t="shared" si="61"/>
        <v>0</v>
      </c>
      <c r="BK71" s="4794">
        <f t="shared" si="62"/>
        <v>0</v>
      </c>
      <c r="BL71" s="4794">
        <f t="shared" si="63"/>
        <v>0</v>
      </c>
      <c r="BM71" s="4794">
        <f t="shared" si="64"/>
        <v>0</v>
      </c>
      <c r="BN71" s="4794">
        <f t="shared" si="65"/>
        <v>0</v>
      </c>
      <c r="BO71" s="4794">
        <f t="shared" si="66"/>
        <v>0</v>
      </c>
      <c r="BP71" s="4794">
        <f t="shared" si="67"/>
        <v>0</v>
      </c>
      <c r="BQ71" s="4794">
        <f t="shared" si="68"/>
        <v>0</v>
      </c>
      <c r="BR71" s="4794">
        <f t="shared" si="69"/>
        <v>0</v>
      </c>
      <c r="BS71" s="4794">
        <f t="shared" si="70"/>
        <v>0</v>
      </c>
      <c r="BT71" s="4794">
        <f t="shared" si="71"/>
        <v>0</v>
      </c>
      <c r="BU71" s="4794">
        <f t="shared" si="72"/>
        <v>0</v>
      </c>
      <c r="BV71" s="4794">
        <f t="shared" si="73"/>
        <v>0</v>
      </c>
      <c r="BW71" s="4794">
        <f t="shared" si="74"/>
        <v>0</v>
      </c>
      <c r="BX71" s="4794">
        <f t="shared" si="75"/>
        <v>0</v>
      </c>
      <c r="BY71" s="4794">
        <f t="shared" si="76"/>
        <v>0</v>
      </c>
      <c r="BZ71" s="4794">
        <f t="shared" si="77"/>
        <v>0</v>
      </c>
      <c r="CA71" s="4794">
        <f t="shared" si="78"/>
        <v>0</v>
      </c>
      <c r="CB71" s="4794">
        <f t="shared" si="79"/>
        <v>0</v>
      </c>
      <c r="CC71" s="4794">
        <f t="shared" si="80"/>
        <v>0</v>
      </c>
      <c r="CD71" s="4794">
        <f t="shared" si="81"/>
        <v>0</v>
      </c>
      <c r="CE71" s="4794">
        <f t="shared" si="82"/>
        <v>0</v>
      </c>
      <c r="CF71" s="4794">
        <f t="shared" si="83"/>
        <v>0</v>
      </c>
      <c r="CG71" s="4794">
        <f t="shared" si="84"/>
        <v>0</v>
      </c>
      <c r="CH71" s="4794">
        <f t="shared" si="85"/>
        <v>0</v>
      </c>
      <c r="CI71" s="4794">
        <f t="shared" si="86"/>
        <v>0</v>
      </c>
      <c r="CJ71" s="4794">
        <f t="shared" si="87"/>
        <v>0</v>
      </c>
      <c r="CK71" s="4794">
        <f t="shared" si="88"/>
        <v>0</v>
      </c>
    </row>
    <row r="72" spans="1:89" s="71" customFormat="1">
      <c r="A72" s="2930"/>
      <c r="B72" s="3829">
        <v>2030401</v>
      </c>
      <c r="C72" s="3812">
        <v>0.1</v>
      </c>
      <c r="D72" s="2931" t="s">
        <v>991</v>
      </c>
      <c r="E72" s="2864">
        <f>'11.2. ДА за периода'!E72</f>
        <v>0</v>
      </c>
      <c r="F72" s="2932">
        <f>($F23*$C72)/$E$7</f>
        <v>0</v>
      </c>
      <c r="G72" s="2933">
        <f>($F23*$C72)+($G23*$C72)/$E$7</f>
        <v>0</v>
      </c>
      <c r="H72" s="2933">
        <f>($F23*$C72)+($G23*$C72)+($H23*$C72)/$E$7</f>
        <v>0</v>
      </c>
      <c r="I72" s="2933">
        <f>($F23*$C72)+($G23*$C72)+($H23*$C72)+($I23*$C72)/$E$7</f>
        <v>0</v>
      </c>
      <c r="J72" s="2933">
        <f>($F23*$C72)+($G23*$C72)+($H23*$C72)+($I23*$C72)+($J23*$C72)/$E$7</f>
        <v>0</v>
      </c>
      <c r="K72" s="2934">
        <f>($F23*$C72)+($G23*$C72)+($H23*$C72)+($I23*$C72)+($J23*$C72)+($K23*$C72)/$E$7</f>
        <v>0</v>
      </c>
      <c r="L72" s="2864">
        <f>'11.2. ДА за периода'!L72</f>
        <v>0</v>
      </c>
      <c r="M72" s="2935">
        <f>($M23*$C72)/$E$7</f>
        <v>0</v>
      </c>
      <c r="N72" s="2933">
        <f>($M23*$C72)+($N23*$C72)/$E$7</f>
        <v>0</v>
      </c>
      <c r="O72" s="2933">
        <f>($M23*$C72)+($N23*$C72)+($O23*$C72)/$E$7</f>
        <v>0</v>
      </c>
      <c r="P72" s="2933">
        <f>($M23*$C72)+($N23*$C72)+($O23*$C72)+($P23*$C72)/$E$7</f>
        <v>0</v>
      </c>
      <c r="Q72" s="2934">
        <f>($M23*$C72)+($N23*$C72)+($O23*$C72)+($P23*$C72)+($Q23*$C72)/$E$7</f>
        <v>0</v>
      </c>
      <c r="R72" s="2936">
        <f>($M23*$C72)+($N23*$C72)+($O23*$C72)+($P23*$C72)+($Q23*$C72)+($R23*$C72)/$E$7</f>
        <v>0</v>
      </c>
      <c r="S72" s="1132">
        <f>'11.2. ДА за периода'!S72</f>
        <v>0</v>
      </c>
      <c r="T72" s="2937">
        <f>($T23*$C72)/$E$7</f>
        <v>0</v>
      </c>
      <c r="U72" s="2933">
        <f>($T23*$C72)+($U23*$C72)/$E$7</f>
        <v>0</v>
      </c>
      <c r="V72" s="2933">
        <f>($T23*$C72)+($U23*$C72)+($V23*$C72)/$E$7</f>
        <v>0</v>
      </c>
      <c r="W72" s="2933">
        <f>($T23*$C72)+($U23*$C72)+($V23*$C72)+($W23*$C72)/$E$7</f>
        <v>0</v>
      </c>
      <c r="X72" s="2933">
        <f>($T23*$C72)+($U23*$C72)+($V23*$C72)+($W23*$C72)+($X23*$C72)/$E$7</f>
        <v>0</v>
      </c>
      <c r="Y72" s="2936">
        <f>($T23*$C72)+($U23*$C72)+($V23*$C72)+($W23*$C72)+($X23*$C72)+($Y23*$C72)/$E$7</f>
        <v>0</v>
      </c>
      <c r="Z72" s="1132">
        <f>'11.2. ДА за периода'!Z72</f>
        <v>0</v>
      </c>
      <c r="AA72" s="2937">
        <f t="shared" ref="AA72:AA73" si="143">(AA23*$C72)/$E$7</f>
        <v>0</v>
      </c>
      <c r="AB72" s="2933">
        <f t="shared" ref="AB72:AB73" si="144">(AA23*$C72)+(AB23*$C72)/$E$7</f>
        <v>0</v>
      </c>
      <c r="AC72" s="2933">
        <f t="shared" ref="AC72:AC73" si="145">(AA23*$C72)+(AB23*$C72)+(AC23*$C72)/$E$7</f>
        <v>0</v>
      </c>
      <c r="AD72" s="2933">
        <f t="shared" ref="AD72:AD73" si="146">(AA23*$C72)+(AB23*$C72)+(AC23*$C72)+(AD23*$C72)/$E$7</f>
        <v>0</v>
      </c>
      <c r="AE72" s="2933">
        <f t="shared" ref="AE72:AE73" si="147">(AA23*$C72)+(AB23*$C72)+(AC23*$C72)+(AD23*$C72)+(AE23*$C72)/$E$7</f>
        <v>0</v>
      </c>
      <c r="AF72" s="2934">
        <f t="shared" ref="AF72:AF73" si="148">(AA23*$C72)+(AB23*$C72)+(AC23*$C72)+(AD23*$C72)+(AE23*$C72)+(AF23*$C72)/$E$7</f>
        <v>0</v>
      </c>
      <c r="AG72" s="1132">
        <f>'11.2. ДА за периода'!AG72</f>
        <v>0</v>
      </c>
      <c r="AH72" s="2937">
        <f t="shared" ref="AH72:AH73" si="149">(AH23*$C72)/$E$7</f>
        <v>0</v>
      </c>
      <c r="AI72" s="2933">
        <f t="shared" ref="AI72:AI73" si="150">(AH23*$C72)+(AI23*$C72)/$E$7</f>
        <v>0</v>
      </c>
      <c r="AJ72" s="2933">
        <f t="shared" ref="AJ72:AJ73" si="151">(AH23*$C72)+(AI23*$C72)+(AJ23*$C72)/$E$7</f>
        <v>0</v>
      </c>
      <c r="AK72" s="2933">
        <f t="shared" ref="AK72:AK73" si="152">(AH23*$C72)+(AI23*$C72)+(AJ23*$C72)+(AK23*$C72)/$E$7</f>
        <v>0</v>
      </c>
      <c r="AL72" s="2933">
        <f t="shared" ref="AL72:AL73" si="153">(AH23*$C72)+(AI23*$C72)+(AJ23*$C72)+(AK23*$C72)+(AL23*$C72)/$E$7</f>
        <v>0</v>
      </c>
      <c r="AM72" s="2934">
        <f t="shared" ref="AM72:AM73" si="154">(AH23*$C72)+(AI23*$C72)+(AJ23*$C72)+(AK23*$C72)+(AL23*$C72)+(AM23*$C72)/$E$7</f>
        <v>0</v>
      </c>
      <c r="AN72" s="2864">
        <f>'11.2. ДА за периода'!AN72</f>
        <v>0</v>
      </c>
      <c r="AO72" s="2935">
        <f>($AO23*$C72)/$E$7</f>
        <v>0</v>
      </c>
      <c r="AP72" s="2933">
        <f>($AO23*$C72)+($AP23*$C72)/$E$7</f>
        <v>0</v>
      </c>
      <c r="AQ72" s="2933">
        <f>($AO23*$C72)+($AP23*$C72)+($AQ23*$C72)/$E$7</f>
        <v>0</v>
      </c>
      <c r="AR72" s="2933">
        <f>($AO23*$C72)+($AP23*$C72)+($AQ23*$C72)+($AR23*$C72)/$E$7</f>
        <v>0</v>
      </c>
      <c r="AS72" s="2933">
        <f>($AO23*$C72)+($AP23*$C72)+($AQ23*$C72)+($AR23*$C72)+($AS23*$C72)/$E$7</f>
        <v>0</v>
      </c>
      <c r="AT72" s="2936">
        <f>($AO23*$C72)+($AP23*$C72)+($AQ23*$C72)+($AR23*$C72)+($AS23*$C72)+($AT23*$C72)/$E$7</f>
        <v>0</v>
      </c>
      <c r="AU72" s="4775"/>
      <c r="AV72" s="4794">
        <f t="shared" si="47"/>
        <v>0</v>
      </c>
      <c r="AW72" s="4794">
        <f t="shared" si="48"/>
        <v>0</v>
      </c>
      <c r="AX72" s="4794">
        <f t="shared" si="49"/>
        <v>0</v>
      </c>
      <c r="AY72" s="4794">
        <f t="shared" si="50"/>
        <v>0</v>
      </c>
      <c r="AZ72" s="4794">
        <f t="shared" si="51"/>
        <v>0</v>
      </c>
      <c r="BA72" s="4794">
        <f t="shared" si="52"/>
        <v>0</v>
      </c>
      <c r="BB72" s="4794">
        <f t="shared" si="53"/>
        <v>0</v>
      </c>
      <c r="BC72" s="4794">
        <f t="shared" si="54"/>
        <v>0</v>
      </c>
      <c r="BD72" s="4794">
        <f t="shared" si="55"/>
        <v>0</v>
      </c>
      <c r="BE72" s="4794">
        <f t="shared" si="56"/>
        <v>0</v>
      </c>
      <c r="BF72" s="4794">
        <f t="shared" si="57"/>
        <v>0</v>
      </c>
      <c r="BG72" s="4794">
        <f t="shared" si="58"/>
        <v>0</v>
      </c>
      <c r="BH72" s="4794">
        <f t="shared" si="59"/>
        <v>0</v>
      </c>
      <c r="BI72" s="4794">
        <f t="shared" si="60"/>
        <v>0</v>
      </c>
      <c r="BJ72" s="4794">
        <f t="shared" si="61"/>
        <v>0</v>
      </c>
      <c r="BK72" s="4794">
        <f t="shared" si="62"/>
        <v>0</v>
      </c>
      <c r="BL72" s="4794">
        <f t="shared" si="63"/>
        <v>0</v>
      </c>
      <c r="BM72" s="4794">
        <f t="shared" si="64"/>
        <v>0</v>
      </c>
      <c r="BN72" s="4794">
        <f t="shared" si="65"/>
        <v>0</v>
      </c>
      <c r="BO72" s="4794">
        <f t="shared" si="66"/>
        <v>0</v>
      </c>
      <c r="BP72" s="4794">
        <f t="shared" si="67"/>
        <v>0</v>
      </c>
      <c r="BQ72" s="4794">
        <f t="shared" si="68"/>
        <v>0</v>
      </c>
      <c r="BR72" s="4794">
        <f t="shared" si="69"/>
        <v>0</v>
      </c>
      <c r="BS72" s="4794">
        <f t="shared" si="70"/>
        <v>0</v>
      </c>
      <c r="BT72" s="4794">
        <f t="shared" si="71"/>
        <v>0</v>
      </c>
      <c r="BU72" s="4794">
        <f t="shared" si="72"/>
        <v>0</v>
      </c>
      <c r="BV72" s="4794">
        <f t="shared" si="73"/>
        <v>0</v>
      </c>
      <c r="BW72" s="4794">
        <f t="shared" si="74"/>
        <v>0</v>
      </c>
      <c r="BX72" s="4794">
        <f t="shared" si="75"/>
        <v>0</v>
      </c>
      <c r="BY72" s="4794">
        <f t="shared" si="76"/>
        <v>0</v>
      </c>
      <c r="BZ72" s="4794">
        <f t="shared" si="77"/>
        <v>0</v>
      </c>
      <c r="CA72" s="4794">
        <f t="shared" si="78"/>
        <v>0</v>
      </c>
      <c r="CB72" s="4794">
        <f t="shared" si="79"/>
        <v>0</v>
      </c>
      <c r="CC72" s="4794">
        <f t="shared" si="80"/>
        <v>0</v>
      </c>
      <c r="CD72" s="4794">
        <f t="shared" si="81"/>
        <v>0</v>
      </c>
      <c r="CE72" s="4794">
        <f t="shared" si="82"/>
        <v>0</v>
      </c>
      <c r="CF72" s="4794">
        <f t="shared" si="83"/>
        <v>0</v>
      </c>
      <c r="CG72" s="4794">
        <f t="shared" si="84"/>
        <v>0</v>
      </c>
      <c r="CH72" s="4794">
        <f t="shared" si="85"/>
        <v>0</v>
      </c>
      <c r="CI72" s="4794">
        <f t="shared" si="86"/>
        <v>0</v>
      </c>
      <c r="CJ72" s="4794">
        <f t="shared" si="87"/>
        <v>0</v>
      </c>
      <c r="CK72" s="4794">
        <f t="shared" si="88"/>
        <v>0</v>
      </c>
    </row>
    <row r="73" spans="1:89" s="71" customFormat="1">
      <c r="A73" s="2930"/>
      <c r="B73" s="3829">
        <v>2030402</v>
      </c>
      <c r="C73" s="3812">
        <v>0.1</v>
      </c>
      <c r="D73" s="2931" t="s">
        <v>429</v>
      </c>
      <c r="E73" s="2864">
        <f>'11.2. ДА за периода'!E73</f>
        <v>0</v>
      </c>
      <c r="F73" s="2932">
        <f>($F24*$C73)/$E$7</f>
        <v>0</v>
      </c>
      <c r="G73" s="2933">
        <f>($F24*$C73)+($G24*$C73)/$E$7</f>
        <v>0</v>
      </c>
      <c r="H73" s="2933">
        <f>($F24*$C73)+($G24*$C73)+($H24*$C73)/$E$7</f>
        <v>0</v>
      </c>
      <c r="I73" s="2933">
        <f>($F24*$C73)+($G24*$C73)+($H24*$C73)+($I24*$C73)/$E$7</f>
        <v>0</v>
      </c>
      <c r="J73" s="2933">
        <f>($F24*$C73)+($G24*$C73)+($H24*$C73)+($I24*$C73)+($J24*$C73)/$E$7</f>
        <v>0</v>
      </c>
      <c r="K73" s="2934">
        <f>($F24*$C73)+($G24*$C73)+($H24*$C73)+($I24*$C73)+($J24*$C73)+($K24*$C73)/$E$7</f>
        <v>0</v>
      </c>
      <c r="L73" s="2864">
        <f>'11.2. ДА за периода'!L73</f>
        <v>0</v>
      </c>
      <c r="M73" s="2935">
        <f>($M24*$C73)/$E$7</f>
        <v>0</v>
      </c>
      <c r="N73" s="2933">
        <f>($M24*$C73)+($N24*$C73)/$E$7</f>
        <v>0</v>
      </c>
      <c r="O73" s="2933">
        <f>($M24*$C73)+($N24*$C73)+($O24*$C73)/$E$7</f>
        <v>0</v>
      </c>
      <c r="P73" s="2933">
        <f>($M24*$C73)+($N24*$C73)+($O24*$C73)+($P24*$C73)/$E$7</f>
        <v>0</v>
      </c>
      <c r="Q73" s="2934">
        <f>($M24*$C73)+($N24*$C73)+($O24*$C73)+($P24*$C73)+($Q24*$C73)/$E$7</f>
        <v>0</v>
      </c>
      <c r="R73" s="2936">
        <f>($M24*$C73)+($N24*$C73)+($O24*$C73)+($P24*$C73)+($Q24*$C73)+($R24*$C73)/$E$7</f>
        <v>0</v>
      </c>
      <c r="S73" s="1132">
        <f>'11.2. ДА за периода'!S73</f>
        <v>0</v>
      </c>
      <c r="T73" s="2937">
        <f>($T24*$C73)/$E$7</f>
        <v>0</v>
      </c>
      <c r="U73" s="2933">
        <f>($T24*$C73)+($U24*$C73)/$E$7</f>
        <v>0</v>
      </c>
      <c r="V73" s="2933">
        <f>($T24*$C73)+($U24*$C73)+($V24*$C73)/$E$7</f>
        <v>0</v>
      </c>
      <c r="W73" s="2933">
        <f>($T24*$C73)+($U24*$C73)+($V24*$C73)+($W24*$C73)/$E$7</f>
        <v>0</v>
      </c>
      <c r="X73" s="2933">
        <f>($T24*$C73)+($U24*$C73)+($V24*$C73)+($W24*$C73)+($X24*$C73)/$E$7</f>
        <v>0</v>
      </c>
      <c r="Y73" s="2936">
        <f>($T24*$C73)+($U24*$C73)+($V24*$C73)+($W24*$C73)+($X24*$C73)+($Y24*$C73)/$E$7</f>
        <v>0</v>
      </c>
      <c r="Z73" s="1132">
        <f>'11.2. ДА за периода'!Z73</f>
        <v>0</v>
      </c>
      <c r="AA73" s="2937">
        <f t="shared" si="143"/>
        <v>0</v>
      </c>
      <c r="AB73" s="2933">
        <f t="shared" si="144"/>
        <v>0</v>
      </c>
      <c r="AC73" s="2933">
        <f t="shared" si="145"/>
        <v>0</v>
      </c>
      <c r="AD73" s="2933">
        <f t="shared" si="146"/>
        <v>0</v>
      </c>
      <c r="AE73" s="2933">
        <f t="shared" si="147"/>
        <v>0</v>
      </c>
      <c r="AF73" s="2934">
        <f t="shared" si="148"/>
        <v>0</v>
      </c>
      <c r="AG73" s="1132">
        <f>'11.2. ДА за периода'!AG73</f>
        <v>0</v>
      </c>
      <c r="AH73" s="2937">
        <f t="shared" si="149"/>
        <v>0</v>
      </c>
      <c r="AI73" s="2933">
        <f t="shared" si="150"/>
        <v>0</v>
      </c>
      <c r="AJ73" s="2933">
        <f t="shared" si="151"/>
        <v>0</v>
      </c>
      <c r="AK73" s="2933">
        <f t="shared" si="152"/>
        <v>0</v>
      </c>
      <c r="AL73" s="2933">
        <f t="shared" si="153"/>
        <v>0</v>
      </c>
      <c r="AM73" s="2934">
        <f t="shared" si="154"/>
        <v>0</v>
      </c>
      <c r="AN73" s="2864">
        <f>'11.2. ДА за периода'!AN73</f>
        <v>0</v>
      </c>
      <c r="AO73" s="2935">
        <f>($AO24*$C73)/$E$7</f>
        <v>0</v>
      </c>
      <c r="AP73" s="2933">
        <f>($AO24*$C73)+($AP24*$C73)/$E$7</f>
        <v>0</v>
      </c>
      <c r="AQ73" s="2933">
        <f>($AO24*$C73)+($AP24*$C73)+($AQ24*$C73)/$E$7</f>
        <v>0</v>
      </c>
      <c r="AR73" s="2933">
        <f>($AO24*$C73)+($AP24*$C73)+($AQ24*$C73)+($AR24*$C73)/$E$7</f>
        <v>0</v>
      </c>
      <c r="AS73" s="2933">
        <f>($AO24*$C73)+($AP24*$C73)+($AQ24*$C73)+($AR24*$C73)+($AS24*$C73)/$E$7</f>
        <v>0</v>
      </c>
      <c r="AT73" s="2936">
        <f>($AO24*$C73)+($AP24*$C73)+($AQ24*$C73)+($AR24*$C73)+($AS24*$C73)+($AT24*$C73)/$E$7</f>
        <v>0</v>
      </c>
      <c r="AU73" s="4775"/>
      <c r="AV73" s="4794">
        <f t="shared" si="47"/>
        <v>0</v>
      </c>
      <c r="AW73" s="4794">
        <f t="shared" si="48"/>
        <v>0</v>
      </c>
      <c r="AX73" s="4794">
        <f t="shared" si="49"/>
        <v>0</v>
      </c>
      <c r="AY73" s="4794">
        <f t="shared" si="50"/>
        <v>0</v>
      </c>
      <c r="AZ73" s="4794">
        <f t="shared" si="51"/>
        <v>0</v>
      </c>
      <c r="BA73" s="4794">
        <f t="shared" si="52"/>
        <v>0</v>
      </c>
      <c r="BB73" s="4794">
        <f t="shared" si="53"/>
        <v>0</v>
      </c>
      <c r="BC73" s="4794">
        <f t="shared" si="54"/>
        <v>0</v>
      </c>
      <c r="BD73" s="4794">
        <f t="shared" si="55"/>
        <v>0</v>
      </c>
      <c r="BE73" s="4794">
        <f t="shared" si="56"/>
        <v>0</v>
      </c>
      <c r="BF73" s="4794">
        <f t="shared" si="57"/>
        <v>0</v>
      </c>
      <c r="BG73" s="4794">
        <f t="shared" si="58"/>
        <v>0</v>
      </c>
      <c r="BH73" s="4794">
        <f t="shared" si="59"/>
        <v>0</v>
      </c>
      <c r="BI73" s="4794">
        <f t="shared" si="60"/>
        <v>0</v>
      </c>
      <c r="BJ73" s="4794">
        <f t="shared" si="61"/>
        <v>0</v>
      </c>
      <c r="BK73" s="4794">
        <f t="shared" si="62"/>
        <v>0</v>
      </c>
      <c r="BL73" s="4794">
        <f t="shared" si="63"/>
        <v>0</v>
      </c>
      <c r="BM73" s="4794">
        <f t="shared" si="64"/>
        <v>0</v>
      </c>
      <c r="BN73" s="4794">
        <f t="shared" si="65"/>
        <v>0</v>
      </c>
      <c r="BO73" s="4794">
        <f t="shared" si="66"/>
        <v>0</v>
      </c>
      <c r="BP73" s="4794">
        <f t="shared" si="67"/>
        <v>0</v>
      </c>
      <c r="BQ73" s="4794">
        <f t="shared" si="68"/>
        <v>0</v>
      </c>
      <c r="BR73" s="4794">
        <f t="shared" si="69"/>
        <v>0</v>
      </c>
      <c r="BS73" s="4794">
        <f t="shared" si="70"/>
        <v>0</v>
      </c>
      <c r="BT73" s="4794">
        <f t="shared" si="71"/>
        <v>0</v>
      </c>
      <c r="BU73" s="4794">
        <f t="shared" si="72"/>
        <v>0</v>
      </c>
      <c r="BV73" s="4794">
        <f t="shared" si="73"/>
        <v>0</v>
      </c>
      <c r="BW73" s="4794">
        <f t="shared" si="74"/>
        <v>0</v>
      </c>
      <c r="BX73" s="4794">
        <f t="shared" si="75"/>
        <v>0</v>
      </c>
      <c r="BY73" s="4794">
        <f t="shared" si="76"/>
        <v>0</v>
      </c>
      <c r="BZ73" s="4794">
        <f t="shared" si="77"/>
        <v>0</v>
      </c>
      <c r="CA73" s="4794">
        <f t="shared" si="78"/>
        <v>0</v>
      </c>
      <c r="CB73" s="4794">
        <f t="shared" si="79"/>
        <v>0</v>
      </c>
      <c r="CC73" s="4794">
        <f t="shared" si="80"/>
        <v>0</v>
      </c>
      <c r="CD73" s="4794">
        <f t="shared" si="81"/>
        <v>0</v>
      </c>
      <c r="CE73" s="4794">
        <f t="shared" si="82"/>
        <v>0</v>
      </c>
      <c r="CF73" s="4794">
        <f t="shared" si="83"/>
        <v>0</v>
      </c>
      <c r="CG73" s="4794">
        <f t="shared" si="84"/>
        <v>0</v>
      </c>
      <c r="CH73" s="4794">
        <f t="shared" si="85"/>
        <v>0</v>
      </c>
      <c r="CI73" s="4794">
        <f t="shared" si="86"/>
        <v>0</v>
      </c>
      <c r="CJ73" s="4794">
        <f t="shared" si="87"/>
        <v>0</v>
      </c>
      <c r="CK73" s="4794">
        <f t="shared" si="88"/>
        <v>0</v>
      </c>
    </row>
    <row r="74" spans="1:89">
      <c r="A74" s="2876"/>
      <c r="B74" s="3828">
        <v>20305</v>
      </c>
      <c r="C74" s="3811"/>
      <c r="D74" s="2928" t="s">
        <v>430</v>
      </c>
      <c r="E74" s="2880">
        <f>SUM(E75:E77)</f>
        <v>21.75</v>
      </c>
      <c r="F74" s="2881">
        <f t="shared" ref="F74:AT74" si="155">SUM(F75:F77)</f>
        <v>5.0999999999999996</v>
      </c>
      <c r="G74" s="2882">
        <f t="shared" si="155"/>
        <v>14.8</v>
      </c>
      <c r="H74" s="2882">
        <f t="shared" si="155"/>
        <v>22.9</v>
      </c>
      <c r="I74" s="2882">
        <f t="shared" si="155"/>
        <v>30.15</v>
      </c>
      <c r="J74" s="2882">
        <f t="shared" si="155"/>
        <v>37.15</v>
      </c>
      <c r="K74" s="2929">
        <f t="shared" si="155"/>
        <v>43.65</v>
      </c>
      <c r="L74" s="2884">
        <f t="shared" si="155"/>
        <v>0</v>
      </c>
      <c r="M74" s="2881">
        <f t="shared" si="155"/>
        <v>0</v>
      </c>
      <c r="N74" s="2882">
        <f t="shared" si="155"/>
        <v>0</v>
      </c>
      <c r="O74" s="2882">
        <f t="shared" si="155"/>
        <v>0</v>
      </c>
      <c r="P74" s="2882">
        <f t="shared" si="155"/>
        <v>0</v>
      </c>
      <c r="Q74" s="2882">
        <f t="shared" si="155"/>
        <v>0</v>
      </c>
      <c r="R74" s="2883">
        <f t="shared" si="155"/>
        <v>0</v>
      </c>
      <c r="S74" s="2884">
        <f t="shared" si="155"/>
        <v>0</v>
      </c>
      <c r="T74" s="2885">
        <f t="shared" si="155"/>
        <v>0</v>
      </c>
      <c r="U74" s="2882">
        <f t="shared" si="155"/>
        <v>0</v>
      </c>
      <c r="V74" s="2882">
        <f t="shared" si="155"/>
        <v>0</v>
      </c>
      <c r="W74" s="2882">
        <f t="shared" si="155"/>
        <v>0</v>
      </c>
      <c r="X74" s="2882">
        <f t="shared" si="155"/>
        <v>0</v>
      </c>
      <c r="Y74" s="2883">
        <f t="shared" si="155"/>
        <v>0</v>
      </c>
      <c r="Z74" s="2884">
        <f t="shared" si="155"/>
        <v>0</v>
      </c>
      <c r="AA74" s="2885">
        <f t="shared" si="155"/>
        <v>0</v>
      </c>
      <c r="AB74" s="2882">
        <f t="shared" si="155"/>
        <v>0</v>
      </c>
      <c r="AC74" s="2882">
        <f t="shared" si="155"/>
        <v>0</v>
      </c>
      <c r="AD74" s="2882">
        <f t="shared" si="155"/>
        <v>0</v>
      </c>
      <c r="AE74" s="2882">
        <f t="shared" si="155"/>
        <v>0</v>
      </c>
      <c r="AF74" s="2883">
        <f t="shared" si="155"/>
        <v>0</v>
      </c>
      <c r="AG74" s="2884">
        <f t="shared" si="155"/>
        <v>0</v>
      </c>
      <c r="AH74" s="2885">
        <f t="shared" si="155"/>
        <v>0</v>
      </c>
      <c r="AI74" s="2882">
        <f t="shared" si="155"/>
        <v>0</v>
      </c>
      <c r="AJ74" s="2882">
        <f t="shared" si="155"/>
        <v>0</v>
      </c>
      <c r="AK74" s="2882">
        <f t="shared" si="155"/>
        <v>0</v>
      </c>
      <c r="AL74" s="2882">
        <f t="shared" si="155"/>
        <v>0</v>
      </c>
      <c r="AM74" s="2883">
        <f t="shared" si="155"/>
        <v>0</v>
      </c>
      <c r="AN74" s="2884">
        <f t="shared" si="155"/>
        <v>0</v>
      </c>
      <c r="AO74" s="2885">
        <f t="shared" si="155"/>
        <v>5</v>
      </c>
      <c r="AP74" s="2882">
        <f t="shared" si="155"/>
        <v>14</v>
      </c>
      <c r="AQ74" s="2882">
        <f t="shared" si="155"/>
        <v>22</v>
      </c>
      <c r="AR74" s="2882">
        <f t="shared" si="155"/>
        <v>30</v>
      </c>
      <c r="AS74" s="2882">
        <f t="shared" si="155"/>
        <v>38</v>
      </c>
      <c r="AT74" s="2883">
        <f t="shared" si="155"/>
        <v>46</v>
      </c>
      <c r="AU74" s="4775"/>
      <c r="AV74" s="4794">
        <f t="shared" si="47"/>
        <v>11.120598416017753</v>
      </c>
      <c r="AW74" s="4794">
        <f t="shared" si="48"/>
        <v>2.6075885941007142</v>
      </c>
      <c r="AX74" s="4794">
        <f t="shared" si="49"/>
        <v>7.5671198417040344</v>
      </c>
      <c r="AY74" s="4794">
        <f t="shared" si="50"/>
        <v>11.708584079393402</v>
      </c>
      <c r="AZ74" s="4794">
        <f t="shared" si="51"/>
        <v>15.415450218065986</v>
      </c>
      <c r="BA74" s="4794">
        <f t="shared" si="52"/>
        <v>18.994493386439515</v>
      </c>
      <c r="BB74" s="4794">
        <f t="shared" si="53"/>
        <v>22.317890614214935</v>
      </c>
      <c r="BC74" s="4794">
        <f t="shared" si="54"/>
        <v>0</v>
      </c>
      <c r="BD74" s="4794">
        <f t="shared" si="55"/>
        <v>0</v>
      </c>
      <c r="BE74" s="4794">
        <f t="shared" si="56"/>
        <v>0</v>
      </c>
      <c r="BF74" s="4794">
        <f t="shared" si="57"/>
        <v>0</v>
      </c>
      <c r="BG74" s="4794">
        <f t="shared" si="58"/>
        <v>0</v>
      </c>
      <c r="BH74" s="4794">
        <f t="shared" si="59"/>
        <v>0</v>
      </c>
      <c r="BI74" s="4794">
        <f t="shared" si="60"/>
        <v>0</v>
      </c>
      <c r="BJ74" s="4794">
        <f t="shared" si="61"/>
        <v>0</v>
      </c>
      <c r="BK74" s="4794">
        <f t="shared" si="62"/>
        <v>0</v>
      </c>
      <c r="BL74" s="4794">
        <f t="shared" si="63"/>
        <v>0</v>
      </c>
      <c r="BM74" s="4794">
        <f t="shared" si="64"/>
        <v>0</v>
      </c>
      <c r="BN74" s="4794">
        <f t="shared" si="65"/>
        <v>0</v>
      </c>
      <c r="BO74" s="4794">
        <f t="shared" si="66"/>
        <v>0</v>
      </c>
      <c r="BP74" s="4794">
        <f t="shared" si="67"/>
        <v>0</v>
      </c>
      <c r="BQ74" s="4794">
        <f t="shared" si="68"/>
        <v>0</v>
      </c>
      <c r="BR74" s="4794">
        <f t="shared" si="69"/>
        <v>0</v>
      </c>
      <c r="BS74" s="4794">
        <f t="shared" si="70"/>
        <v>0</v>
      </c>
      <c r="BT74" s="4794">
        <f t="shared" si="71"/>
        <v>0</v>
      </c>
      <c r="BU74" s="4794">
        <f t="shared" si="72"/>
        <v>0</v>
      </c>
      <c r="BV74" s="4794">
        <f t="shared" si="73"/>
        <v>0</v>
      </c>
      <c r="BW74" s="4794">
        <f t="shared" si="74"/>
        <v>0</v>
      </c>
      <c r="BX74" s="4794">
        <f t="shared" si="75"/>
        <v>0</v>
      </c>
      <c r="BY74" s="4794">
        <f t="shared" si="76"/>
        <v>0</v>
      </c>
      <c r="BZ74" s="4794">
        <f t="shared" si="77"/>
        <v>0</v>
      </c>
      <c r="CA74" s="4794">
        <f t="shared" si="78"/>
        <v>0</v>
      </c>
      <c r="CB74" s="4794">
        <f t="shared" si="79"/>
        <v>0</v>
      </c>
      <c r="CC74" s="4794">
        <f t="shared" si="80"/>
        <v>0</v>
      </c>
      <c r="CD74" s="4794">
        <f t="shared" si="81"/>
        <v>0</v>
      </c>
      <c r="CE74" s="4794">
        <f t="shared" si="82"/>
        <v>0</v>
      </c>
      <c r="CF74" s="4794">
        <f t="shared" si="83"/>
        <v>2.5564594059810926</v>
      </c>
      <c r="CG74" s="4794">
        <f t="shared" si="84"/>
        <v>7.1580863367470586</v>
      </c>
      <c r="CH74" s="4794">
        <f t="shared" si="85"/>
        <v>11.248421386316807</v>
      </c>
      <c r="CI74" s="4794">
        <f t="shared" si="86"/>
        <v>15.338756435886555</v>
      </c>
      <c r="CJ74" s="4794">
        <f t="shared" si="87"/>
        <v>19.429091485456304</v>
      </c>
      <c r="CK74" s="4794">
        <f t="shared" si="88"/>
        <v>23.519426535026049</v>
      </c>
    </row>
    <row r="75" spans="1:89" s="71" customFormat="1">
      <c r="A75" s="2930"/>
      <c r="B75" s="3829">
        <v>2030501</v>
      </c>
      <c r="C75" s="3812">
        <v>0.1</v>
      </c>
      <c r="D75" s="2931" t="s">
        <v>1001</v>
      </c>
      <c r="E75" s="2864">
        <f>'11.2. ДА за периода'!E75</f>
        <v>15.75</v>
      </c>
      <c r="F75" s="2932">
        <f>($F26*$C75)/$E$7</f>
        <v>3.1</v>
      </c>
      <c r="G75" s="2933">
        <f>($F26*$C75)+($G26*$C75)/$E$7</f>
        <v>9.3000000000000007</v>
      </c>
      <c r="H75" s="2933">
        <f>($F26*$C75)+($G26*$C75)+($H26*$C75)/$E$7</f>
        <v>14.4</v>
      </c>
      <c r="I75" s="2933">
        <f>($F26*$C75)+($G26*$C75)+($H26*$C75)+($I26*$C75)/$E$7</f>
        <v>18.649999999999999</v>
      </c>
      <c r="J75" s="2933">
        <f>($F26*$C75)+($G26*$C75)+($H26*$C75)+($I26*$C75)+($J26*$C75)/$E$7</f>
        <v>22.65</v>
      </c>
      <c r="K75" s="2934">
        <f>($F26*$C75)+($G26*$C75)+($H26*$C75)+($I26*$C75)+($J26*$C75)+($K26*$C75)/$E$7</f>
        <v>26.15</v>
      </c>
      <c r="L75" s="2864">
        <f>'11.2. ДА за периода'!L75</f>
        <v>0</v>
      </c>
      <c r="M75" s="2935">
        <f>($M26*$C75)/$E$7</f>
        <v>0</v>
      </c>
      <c r="N75" s="2933">
        <f>($M26*$C75)+($N26*$C75)/$E$7</f>
        <v>0</v>
      </c>
      <c r="O75" s="2933">
        <f>($M26*$C75)+($N26*$C75)+($O26*$C75)/$E$7</f>
        <v>0</v>
      </c>
      <c r="P75" s="2933">
        <f>($M26*$C75)+($N26*$C75)+($O26*$C75)+($P26*$C75)/$E$7</f>
        <v>0</v>
      </c>
      <c r="Q75" s="2934">
        <f>($M26*$C75)+($N26*$C75)+($O26*$C75)+($P26*$C75)+($Q26*$C75)/$E$7</f>
        <v>0</v>
      </c>
      <c r="R75" s="2936">
        <f>($M26*$C75)+($N26*$C75)+($O26*$C75)+($P26*$C75)+($Q26*$C75)+($R26*$C75)/$E$7</f>
        <v>0</v>
      </c>
      <c r="S75" s="1132">
        <f>'11.2. ДА за периода'!S75</f>
        <v>0</v>
      </c>
      <c r="T75" s="2937">
        <f>($T26*$C75)/$E$7</f>
        <v>0</v>
      </c>
      <c r="U75" s="2933">
        <f>($T26*$C75)+($U26*$C75)/$E$7</f>
        <v>0</v>
      </c>
      <c r="V75" s="2933">
        <f>($T26*$C75)+($U26*$C75)+($V26*$C75)/$E$7</f>
        <v>0</v>
      </c>
      <c r="W75" s="2933">
        <f>($T26*$C75)+($U26*$C75)+($V26*$C75)+($W26*$C75)/$E$7</f>
        <v>0</v>
      </c>
      <c r="X75" s="2933">
        <f>($T26*$C75)+($U26*$C75)+($V26*$C75)+($W26*$C75)+($X26*$C75)/$E$7</f>
        <v>0</v>
      </c>
      <c r="Y75" s="2936">
        <f>($T26*$C75)+($U26*$C75)+($V26*$C75)+($W26*$C75)+($X26*$C75)+($Y26*$C75)/$E$7</f>
        <v>0</v>
      </c>
      <c r="Z75" s="1132">
        <f>'11.2. ДА за периода'!Z75</f>
        <v>0</v>
      </c>
      <c r="AA75" s="2937">
        <f>(AA26*$C75)/$E$7</f>
        <v>0</v>
      </c>
      <c r="AB75" s="2933">
        <f>(AA26*$C75)+(AB26*$C75)/$E$7</f>
        <v>0</v>
      </c>
      <c r="AC75" s="2933">
        <f>(AA26*$C75)+(AB26*$C75)+(AC26*$C75)/$E$7</f>
        <v>0</v>
      </c>
      <c r="AD75" s="2933">
        <f>(AA26*$C75)+(AB26*$C75)+(AC26*$C75)+(AD26*$C75)/$E$7</f>
        <v>0</v>
      </c>
      <c r="AE75" s="2933">
        <f>(AA26*$C75)+(AB26*$C75)+(AC26*$C75)+(AD26*$C75)+(AE26*$C75)/$E$7</f>
        <v>0</v>
      </c>
      <c r="AF75" s="2934">
        <f>(AA26*$C75)+(AB26*$C75)+(AC26*$C75)+(AD26*$C75)+(AE26*$C75)+(AF26*$C75)/$E$7</f>
        <v>0</v>
      </c>
      <c r="AG75" s="1132">
        <f>'11.2. ДА за периода'!AG75</f>
        <v>0</v>
      </c>
      <c r="AH75" s="2937">
        <f t="shared" ref="AH75:AH78" si="156">(AH26*$C75)/$E$7</f>
        <v>0</v>
      </c>
      <c r="AI75" s="2933">
        <f t="shared" ref="AI75:AI78" si="157">(AH26*$C75)+(AI26*$C75)/$E$7</f>
        <v>0</v>
      </c>
      <c r="AJ75" s="2933">
        <f t="shared" ref="AJ75:AJ78" si="158">(AH26*$C75)+(AI26*$C75)+(AJ26*$C75)/$E$7</f>
        <v>0</v>
      </c>
      <c r="AK75" s="2933">
        <f t="shared" ref="AK75:AK78" si="159">(AH26*$C75)+(AI26*$C75)+(AJ26*$C75)+(AK26*$C75)/$E$7</f>
        <v>0</v>
      </c>
      <c r="AL75" s="2933">
        <f t="shared" ref="AL75:AL78" si="160">(AH26*$C75)+(AI26*$C75)+(AJ26*$C75)+(AK26*$C75)+(AL26*$C75)/$E$7</f>
        <v>0</v>
      </c>
      <c r="AM75" s="2934">
        <f t="shared" ref="AM75:AM78" si="161">(AH26*$C75)+(AI26*$C75)+(AJ26*$C75)+(AK26*$C75)+(AL26*$C75)+(AM26*$C75)/$E$7</f>
        <v>0</v>
      </c>
      <c r="AN75" s="2864">
        <f>'11.2. ДА за периода'!AN75</f>
        <v>0</v>
      </c>
      <c r="AO75" s="2935">
        <f>($AO26*$C75)/$E$7</f>
        <v>5</v>
      </c>
      <c r="AP75" s="2933">
        <f>($AO26*$C75)+($AP26*$C75)/$E$7</f>
        <v>14</v>
      </c>
      <c r="AQ75" s="2933">
        <f>($AO26*$C75)+($AP26*$C75)+($AQ26*$C75)/$E$7</f>
        <v>22</v>
      </c>
      <c r="AR75" s="2933">
        <f>($AO26*$C75)+($AP26*$C75)+($AQ26*$C75)+($AR26*$C75)/$E$7</f>
        <v>30</v>
      </c>
      <c r="AS75" s="2933">
        <f>($AO26*$C75)+($AP26*$C75)+($AQ26*$C75)+($AR26*$C75)+($AS26*$C75)/$E$7</f>
        <v>38</v>
      </c>
      <c r="AT75" s="2936">
        <f>($AO26*$C75)+($AP26*$C75)+($AQ26*$C75)+($AR26*$C75)+($AS26*$C75)+($AT26*$C75)/$E$7</f>
        <v>46</v>
      </c>
      <c r="AU75" s="4775"/>
      <c r="AV75" s="4794">
        <f t="shared" si="47"/>
        <v>8.0528471288404422</v>
      </c>
      <c r="AW75" s="4794">
        <f t="shared" si="48"/>
        <v>1.5850048317082774</v>
      </c>
      <c r="AX75" s="4794">
        <f t="shared" si="49"/>
        <v>4.7550144951248328</v>
      </c>
      <c r="AY75" s="4794">
        <f t="shared" si="50"/>
        <v>7.362603089225547</v>
      </c>
      <c r="AZ75" s="4794">
        <f t="shared" si="51"/>
        <v>9.5355935843094741</v>
      </c>
      <c r="BA75" s="4794">
        <f t="shared" si="52"/>
        <v>11.580761109094349</v>
      </c>
      <c r="BB75" s="4794">
        <f t="shared" si="53"/>
        <v>13.370282693281112</v>
      </c>
      <c r="BC75" s="4794">
        <f t="shared" si="54"/>
        <v>0</v>
      </c>
      <c r="BD75" s="4794">
        <f t="shared" si="55"/>
        <v>0</v>
      </c>
      <c r="BE75" s="4794">
        <f t="shared" si="56"/>
        <v>0</v>
      </c>
      <c r="BF75" s="4794">
        <f t="shared" si="57"/>
        <v>0</v>
      </c>
      <c r="BG75" s="4794">
        <f t="shared" si="58"/>
        <v>0</v>
      </c>
      <c r="BH75" s="4794">
        <f t="shared" si="59"/>
        <v>0</v>
      </c>
      <c r="BI75" s="4794">
        <f t="shared" si="60"/>
        <v>0</v>
      </c>
      <c r="BJ75" s="4794">
        <f t="shared" si="61"/>
        <v>0</v>
      </c>
      <c r="BK75" s="4794">
        <f t="shared" si="62"/>
        <v>0</v>
      </c>
      <c r="BL75" s="4794">
        <f t="shared" si="63"/>
        <v>0</v>
      </c>
      <c r="BM75" s="4794">
        <f t="shared" si="64"/>
        <v>0</v>
      </c>
      <c r="BN75" s="4794">
        <f t="shared" si="65"/>
        <v>0</v>
      </c>
      <c r="BO75" s="4794">
        <f t="shared" si="66"/>
        <v>0</v>
      </c>
      <c r="BP75" s="4794">
        <f t="shared" si="67"/>
        <v>0</v>
      </c>
      <c r="BQ75" s="4794">
        <f t="shared" si="68"/>
        <v>0</v>
      </c>
      <c r="BR75" s="4794">
        <f t="shared" si="69"/>
        <v>0</v>
      </c>
      <c r="BS75" s="4794">
        <f t="shared" si="70"/>
        <v>0</v>
      </c>
      <c r="BT75" s="4794">
        <f t="shared" si="71"/>
        <v>0</v>
      </c>
      <c r="BU75" s="4794">
        <f t="shared" si="72"/>
        <v>0</v>
      </c>
      <c r="BV75" s="4794">
        <f t="shared" si="73"/>
        <v>0</v>
      </c>
      <c r="BW75" s="4794">
        <f t="shared" si="74"/>
        <v>0</v>
      </c>
      <c r="BX75" s="4794">
        <f t="shared" si="75"/>
        <v>0</v>
      </c>
      <c r="BY75" s="4794">
        <f t="shared" si="76"/>
        <v>0</v>
      </c>
      <c r="BZ75" s="4794">
        <f t="shared" si="77"/>
        <v>0</v>
      </c>
      <c r="CA75" s="4794">
        <f t="shared" si="78"/>
        <v>0</v>
      </c>
      <c r="CB75" s="4794">
        <f t="shared" si="79"/>
        <v>0</v>
      </c>
      <c r="CC75" s="4794">
        <f t="shared" si="80"/>
        <v>0</v>
      </c>
      <c r="CD75" s="4794">
        <f t="shared" si="81"/>
        <v>0</v>
      </c>
      <c r="CE75" s="4794">
        <f t="shared" si="82"/>
        <v>0</v>
      </c>
      <c r="CF75" s="4794">
        <f t="shared" si="83"/>
        <v>2.5564594059810926</v>
      </c>
      <c r="CG75" s="4794">
        <f t="shared" si="84"/>
        <v>7.1580863367470586</v>
      </c>
      <c r="CH75" s="4794">
        <f t="shared" si="85"/>
        <v>11.248421386316807</v>
      </c>
      <c r="CI75" s="4794">
        <f t="shared" si="86"/>
        <v>15.338756435886555</v>
      </c>
      <c r="CJ75" s="4794">
        <f t="shared" si="87"/>
        <v>19.429091485456304</v>
      </c>
      <c r="CK75" s="4794">
        <f t="shared" si="88"/>
        <v>23.519426535026049</v>
      </c>
    </row>
    <row r="76" spans="1:89" s="3839" customFormat="1" ht="24">
      <c r="A76" s="3833"/>
      <c r="B76" s="3834">
        <v>2030502</v>
      </c>
      <c r="C76" s="3835">
        <v>0.1</v>
      </c>
      <c r="D76" s="3836" t="s">
        <v>695</v>
      </c>
      <c r="E76" s="2864">
        <f>'11.2. ДА за периода'!E76</f>
        <v>6</v>
      </c>
      <c r="F76" s="2932">
        <f>($F27*$C76)/$E$7</f>
        <v>2</v>
      </c>
      <c r="G76" s="3273">
        <f>($F27*$C76)+($G27*$C76)/$E$7</f>
        <v>5.5</v>
      </c>
      <c r="H76" s="3273">
        <f>($F27*$C76)+($G27*$C76)+($H27*$C76)/$E$7</f>
        <v>8.5</v>
      </c>
      <c r="I76" s="3273">
        <f>($F27*$C76)+($G27*$C76)+($H27*$C76)+($I27*$C76)/$E$7</f>
        <v>11.5</v>
      </c>
      <c r="J76" s="3273">
        <f>($F27*$C76)+($G27*$C76)+($H27*$C76)+($I27*$C76)+($J27*$C76)/$E$7</f>
        <v>14.5</v>
      </c>
      <c r="K76" s="3837">
        <f>($F27*$C76)+($G27*$C76)+($H27*$C76)+($I27*$C76)+($J27*$C76)+($K27*$C76)/$E$7</f>
        <v>17.5</v>
      </c>
      <c r="L76" s="2864">
        <f>'11.2. ДА за периода'!L76</f>
        <v>0</v>
      </c>
      <c r="M76" s="2932">
        <f>($M27*$C76)/$E$7</f>
        <v>0</v>
      </c>
      <c r="N76" s="3273">
        <f>($M27*$C76)+($N27*$C76)/$E$7</f>
        <v>0</v>
      </c>
      <c r="O76" s="3273">
        <f>($M27*$C76)+($N27*$C76)+($O27*$C76)/$E$7</f>
        <v>0</v>
      </c>
      <c r="P76" s="3273">
        <f>($M27*$C76)+($N27*$C76)+($O27*$C76)+($P27*$C76)/$E$7</f>
        <v>0</v>
      </c>
      <c r="Q76" s="3837">
        <f>($M27*$C76)+($N27*$C76)+($O27*$C76)+($P27*$C76)+($Q27*$C76)/$E$7</f>
        <v>0</v>
      </c>
      <c r="R76" s="3838">
        <f>($M27*$C76)+($N27*$C76)+($O27*$C76)+($P27*$C76)+($Q27*$C76)+($R27*$C76)/$E$7</f>
        <v>0</v>
      </c>
      <c r="S76" s="1132">
        <f>'11.2. ДА за периода'!S76</f>
        <v>0</v>
      </c>
      <c r="T76" s="3245">
        <f>($T27*$C76)/$E$7</f>
        <v>0</v>
      </c>
      <c r="U76" s="3273">
        <f>($T27*$C76)+($U27*$C76)/$E$7</f>
        <v>0</v>
      </c>
      <c r="V76" s="3273">
        <f>($T27*$C76)+($U27*$C76)+($V27*$C76)/$E$7</f>
        <v>0</v>
      </c>
      <c r="W76" s="3273">
        <f>($T27*$C76)+($U27*$C76)+($V27*$C76)+($W27*$C76)/$E$7</f>
        <v>0</v>
      </c>
      <c r="X76" s="3273">
        <f>($T27*$C76)+($U27*$C76)+($V27*$C76)+($W27*$C76)+($X27*$C76)/$E$7</f>
        <v>0</v>
      </c>
      <c r="Y76" s="3838">
        <f>($T27*$C76)+($U27*$C76)+($V27*$C76)+($W27*$C76)+($X27*$C76)+($Y27*$C76)/$E$7</f>
        <v>0</v>
      </c>
      <c r="Z76" s="1132">
        <f>'11.2. ДА за периода'!Z76</f>
        <v>0</v>
      </c>
      <c r="AA76" s="3245">
        <f>(AA27*$C76)/$E$7</f>
        <v>0</v>
      </c>
      <c r="AB76" s="3273">
        <f>(AA27*$C76)+(AB27*$C76)/$E$7</f>
        <v>0</v>
      </c>
      <c r="AC76" s="3273">
        <f>(AA27*$C76)+(AB27*$C76)+(AC27*$C76)/$E$7</f>
        <v>0</v>
      </c>
      <c r="AD76" s="3273">
        <f>(AA27*$C76)+(AB27*$C76)+(AC27*$C76)+(AD27*$C76)/$E$7</f>
        <v>0</v>
      </c>
      <c r="AE76" s="3273">
        <f>(AA27*$C76)+(AB27*$C76)+(AC27*$C76)+(AD27*$C76)+(AE27*$C76)/$E$7</f>
        <v>0</v>
      </c>
      <c r="AF76" s="3837">
        <f>(AA27*$C76)+(AB27*$C76)+(AC27*$C76)+(AD27*$C76)+(AE27*$C76)+(AF27*$C76)/$E$7</f>
        <v>0</v>
      </c>
      <c r="AG76" s="1132">
        <f>'11.2. ДА за периода'!AG76</f>
        <v>0</v>
      </c>
      <c r="AH76" s="3245">
        <f t="shared" si="156"/>
        <v>0</v>
      </c>
      <c r="AI76" s="3273">
        <f t="shared" si="157"/>
        <v>0</v>
      </c>
      <c r="AJ76" s="3273">
        <f t="shared" si="158"/>
        <v>0</v>
      </c>
      <c r="AK76" s="3273">
        <f t="shared" si="159"/>
        <v>0</v>
      </c>
      <c r="AL76" s="3273">
        <f t="shared" si="160"/>
        <v>0</v>
      </c>
      <c r="AM76" s="3837">
        <f t="shared" si="161"/>
        <v>0</v>
      </c>
      <c r="AN76" s="2864">
        <f>'11.2. ДА за периода'!AN76</f>
        <v>0</v>
      </c>
      <c r="AO76" s="2932">
        <f>($AO27*$C76)/$E$7</f>
        <v>0</v>
      </c>
      <c r="AP76" s="3273">
        <f>($AO27*$C76)+($AP27*$C76)/$E$7</f>
        <v>0</v>
      </c>
      <c r="AQ76" s="3273">
        <f>($AO27*$C76)+($AP27*$C76)+($AQ27*$C76)/$E$7</f>
        <v>0</v>
      </c>
      <c r="AR76" s="3273">
        <f>($AO27*$C76)+($AP27*$C76)+($AQ27*$C76)+($AR27*$C76)/$E$7</f>
        <v>0</v>
      </c>
      <c r="AS76" s="3273">
        <f>($AO27*$C76)+($AP27*$C76)+($AQ27*$C76)+($AR27*$C76)+($AS27*$C76)/$E$7</f>
        <v>0</v>
      </c>
      <c r="AT76" s="3838">
        <f>($AO27*$C76)+($AP27*$C76)+($AQ27*$C76)+($AR27*$C76)+($AS27*$C76)+($AT27*$C76)/$E$7</f>
        <v>0</v>
      </c>
      <c r="AU76" s="4775"/>
      <c r="AV76" s="4794">
        <f t="shared" ref="AV76:AV107" si="162">IFERROR(E76/$D$1,0)</f>
        <v>3.0677512871773112</v>
      </c>
      <c r="AW76" s="4794">
        <f t="shared" ref="AW76:AW108" si="163">IFERROR(F76/$D$1,0)</f>
        <v>1.022583762392437</v>
      </c>
      <c r="AX76" s="4794">
        <f t="shared" ref="AX76:AX108" si="164">IFERROR(G76/$D$1,0)</f>
        <v>2.8121053465792016</v>
      </c>
      <c r="AY76" s="4794">
        <f t="shared" ref="AY76:AY108" si="165">IFERROR(H76/$D$1,0)</f>
        <v>4.345980990167857</v>
      </c>
      <c r="AZ76" s="4794">
        <f t="shared" ref="AZ76:AZ108" si="166">IFERROR(I76/$D$1,0)</f>
        <v>5.8798566337565124</v>
      </c>
      <c r="BA76" s="4794">
        <f t="shared" ref="BA76:BA108" si="167">IFERROR(J76/$D$1,0)</f>
        <v>7.4137322773451686</v>
      </c>
      <c r="BB76" s="4794">
        <f t="shared" ref="BB76:BB108" si="168">IFERROR(K76/$D$1,0)</f>
        <v>8.9476079209338231</v>
      </c>
      <c r="BC76" s="4794">
        <f t="shared" ref="BC76:BC108" si="169">IFERROR(L76/$D$1,0)</f>
        <v>0</v>
      </c>
      <c r="BD76" s="4794">
        <f t="shared" ref="BD76:BD108" si="170">IFERROR(M76/$D$1,0)</f>
        <v>0</v>
      </c>
      <c r="BE76" s="4794">
        <f t="shared" ref="BE76:BE108" si="171">IFERROR(N76/$D$1,0)</f>
        <v>0</v>
      </c>
      <c r="BF76" s="4794">
        <f t="shared" ref="BF76:BF108" si="172">IFERROR(O76/$D$1,0)</f>
        <v>0</v>
      </c>
      <c r="BG76" s="4794">
        <f t="shared" ref="BG76:BG108" si="173">IFERROR(P76/$D$1,0)</f>
        <v>0</v>
      </c>
      <c r="BH76" s="4794">
        <f t="shared" ref="BH76:BH108" si="174">IFERROR(Q76/$D$1,0)</f>
        <v>0</v>
      </c>
      <c r="BI76" s="4794">
        <f t="shared" ref="BI76:BI108" si="175">IFERROR(R76/$D$1,0)</f>
        <v>0</v>
      </c>
      <c r="BJ76" s="4794">
        <f t="shared" ref="BJ76:BJ108" si="176">IFERROR(S76/$D$1,0)</f>
        <v>0</v>
      </c>
      <c r="BK76" s="4794">
        <f t="shared" ref="BK76:BK108" si="177">IFERROR(T76/$D$1,0)</f>
        <v>0</v>
      </c>
      <c r="BL76" s="4794">
        <f t="shared" ref="BL76:BL108" si="178">IFERROR(U76/$D$1,0)</f>
        <v>0</v>
      </c>
      <c r="BM76" s="4794">
        <f t="shared" ref="BM76:BM108" si="179">IFERROR(V76/$D$1,0)</f>
        <v>0</v>
      </c>
      <c r="BN76" s="4794">
        <f t="shared" ref="BN76:BN108" si="180">IFERROR(W76/$D$1,0)</f>
        <v>0</v>
      </c>
      <c r="BO76" s="4794">
        <f t="shared" ref="BO76:BO108" si="181">IFERROR(X76/$D$1,0)</f>
        <v>0</v>
      </c>
      <c r="BP76" s="4794">
        <f t="shared" ref="BP76:BP108" si="182">IFERROR(Y76/$D$1,0)</f>
        <v>0</v>
      </c>
      <c r="BQ76" s="4794">
        <f t="shared" ref="BQ76:BQ108" si="183">IFERROR(Z76/$D$1,0)</f>
        <v>0</v>
      </c>
      <c r="BR76" s="4794">
        <f t="shared" ref="BR76:BR108" si="184">IFERROR(AA76/$D$1,0)</f>
        <v>0</v>
      </c>
      <c r="BS76" s="4794">
        <f t="shared" ref="BS76:BS108" si="185">IFERROR(AB76/$D$1,0)</f>
        <v>0</v>
      </c>
      <c r="BT76" s="4794">
        <f t="shared" ref="BT76:BT108" si="186">IFERROR(AC76/$D$1,0)</f>
        <v>0</v>
      </c>
      <c r="BU76" s="4794">
        <f t="shared" ref="BU76:BU108" si="187">IFERROR(AD76/$D$1,0)</f>
        <v>0</v>
      </c>
      <c r="BV76" s="4794">
        <f t="shared" ref="BV76:BV108" si="188">IFERROR(AE76/$D$1,0)</f>
        <v>0</v>
      </c>
      <c r="BW76" s="4794">
        <f t="shared" ref="BW76:BW108" si="189">IFERROR(AF76/$D$1,0)</f>
        <v>0</v>
      </c>
      <c r="BX76" s="4794">
        <f t="shared" ref="BX76:BX108" si="190">IFERROR(AG76/$D$1,0)</f>
        <v>0</v>
      </c>
      <c r="BY76" s="4794">
        <f t="shared" ref="BY76:BY108" si="191">IFERROR(AH76/$D$1,0)</f>
        <v>0</v>
      </c>
      <c r="BZ76" s="4794">
        <f t="shared" ref="BZ76:BZ108" si="192">IFERROR(AI76/$D$1,0)</f>
        <v>0</v>
      </c>
      <c r="CA76" s="4794">
        <f t="shared" ref="CA76:CA108" si="193">IFERROR(AJ76/$D$1,0)</f>
        <v>0</v>
      </c>
      <c r="CB76" s="4794">
        <f t="shared" ref="CB76:CB108" si="194">IFERROR(AK76/$D$1,0)</f>
        <v>0</v>
      </c>
      <c r="CC76" s="4794">
        <f t="shared" ref="CC76:CC108" si="195">IFERROR(AL76/$D$1,0)</f>
        <v>0</v>
      </c>
      <c r="CD76" s="4794">
        <f t="shared" ref="CD76:CD108" si="196">IFERROR(AM76/$D$1,0)</f>
        <v>0</v>
      </c>
      <c r="CE76" s="4794">
        <f t="shared" ref="CE76:CE108" si="197">IFERROR(AN76/$D$1,0)</f>
        <v>0</v>
      </c>
      <c r="CF76" s="4794">
        <f t="shared" ref="CF76:CF108" si="198">IFERROR(AO76/$D$1,0)</f>
        <v>0</v>
      </c>
      <c r="CG76" s="4794">
        <f t="shared" ref="CG76:CG108" si="199">IFERROR(AP76/$D$1,0)</f>
        <v>0</v>
      </c>
      <c r="CH76" s="4794">
        <f t="shared" ref="CH76:CH108" si="200">IFERROR(AQ76/$D$1,0)</f>
        <v>0</v>
      </c>
      <c r="CI76" s="4794">
        <f t="shared" ref="CI76:CI108" si="201">IFERROR(AR76/$D$1,0)</f>
        <v>0</v>
      </c>
      <c r="CJ76" s="4794">
        <f t="shared" ref="CJ76:CJ108" si="202">IFERROR(AS76/$D$1,0)</f>
        <v>0</v>
      </c>
      <c r="CK76" s="4794">
        <f t="shared" ref="CK76:CK108" si="203">IFERROR(AT76/$D$1,0)</f>
        <v>0</v>
      </c>
    </row>
    <row r="77" spans="1:89" s="71" customFormat="1">
      <c r="A77" s="2930"/>
      <c r="B77" s="3829">
        <v>2030503</v>
      </c>
      <c r="C77" s="3812">
        <v>0.1</v>
      </c>
      <c r="D77" s="2931" t="s">
        <v>713</v>
      </c>
      <c r="E77" s="2864">
        <f>'11.2. ДА за периода'!E77</f>
        <v>0</v>
      </c>
      <c r="F77" s="2932">
        <f>($F28*$C77)/$E$7</f>
        <v>0</v>
      </c>
      <c r="G77" s="2933">
        <f>($F28*$C77)+($G28*$C77)/$E$7</f>
        <v>0</v>
      </c>
      <c r="H77" s="2933">
        <f>($F28*$C77)+($G28*$C77)+($H28*$C77)/$E$7</f>
        <v>0</v>
      </c>
      <c r="I77" s="2933">
        <f>($F28*$C77)+($G28*$C77)+($H28*$C77)+($I28*$C77)/$E$7</f>
        <v>0</v>
      </c>
      <c r="J77" s="2933">
        <f>($F28*$C77)+($G28*$C77)+($H28*$C77)+($I28*$C77)+($J28*$C77)/$E$7</f>
        <v>0</v>
      </c>
      <c r="K77" s="2934">
        <f>($F28*$C77)+($G28*$C77)+($H28*$C77)+($I28*$C77)+($J28*$C77)+($K28*$C77)/$E$7</f>
        <v>0</v>
      </c>
      <c r="L77" s="2864">
        <f>'11.2. ДА за периода'!L77</f>
        <v>0</v>
      </c>
      <c r="M77" s="2935">
        <f>($M28*$C77)/$E$7</f>
        <v>0</v>
      </c>
      <c r="N77" s="2933">
        <f>($M28*$C77)+($N28*$C77)/$E$7</f>
        <v>0</v>
      </c>
      <c r="O77" s="2933">
        <f>($M28*$C77)+($N28*$C77)+($O28*$C77)/$E$7</f>
        <v>0</v>
      </c>
      <c r="P77" s="2933">
        <f>($M28*$C77)+($N28*$C77)+($O28*$C77)+($P28*$C77)/$E$7</f>
        <v>0</v>
      </c>
      <c r="Q77" s="2934">
        <f>($M28*$C77)+($N28*$C77)+($O28*$C77)+($P28*$C77)+($Q28*$C77)/$E$7</f>
        <v>0</v>
      </c>
      <c r="R77" s="2936">
        <f>($M28*$C77)+($N28*$C77)+($O28*$C77)+($P28*$C77)+($Q28*$C77)+($R28*$C77)/$E$7</f>
        <v>0</v>
      </c>
      <c r="S77" s="1132">
        <f>'11.2. ДА за периода'!S77</f>
        <v>0</v>
      </c>
      <c r="T77" s="2937">
        <f>($T28*$C77)/$E$7</f>
        <v>0</v>
      </c>
      <c r="U77" s="2933">
        <f>($T28*$C77)+($U28*$C77)/$E$7</f>
        <v>0</v>
      </c>
      <c r="V77" s="2933">
        <f>($T28*$C77)+($U28*$C77)+($V28*$C77)/$E$7</f>
        <v>0</v>
      </c>
      <c r="W77" s="2933">
        <f>($T28*$C77)+($U28*$C77)+($V28*$C77)+($W28*$C77)/$E$7</f>
        <v>0</v>
      </c>
      <c r="X77" s="2933">
        <f>($T28*$C77)+($U28*$C77)+($V28*$C77)+($W28*$C77)+($X28*$C77)/$E$7</f>
        <v>0</v>
      </c>
      <c r="Y77" s="2936">
        <f>($T28*$C77)+($U28*$C77)+($V28*$C77)+($W28*$C77)+($X28*$C77)+($Y28*$C77)/$E$7</f>
        <v>0</v>
      </c>
      <c r="Z77" s="1132">
        <f>'11.2. ДА за периода'!Z77</f>
        <v>0</v>
      </c>
      <c r="AA77" s="2937">
        <f t="shared" ref="AA77:AA78" si="204">(AA28*$C77)/$E$7</f>
        <v>0</v>
      </c>
      <c r="AB77" s="2933">
        <f t="shared" ref="AB77:AB78" si="205">(AA28*$C77)+(AB28*$C77)/$E$7</f>
        <v>0</v>
      </c>
      <c r="AC77" s="2933">
        <f t="shared" ref="AC77:AC78" si="206">(AA28*$C77)+(AB28*$C77)+(AC28*$C77)/$E$7</f>
        <v>0</v>
      </c>
      <c r="AD77" s="2933">
        <f t="shared" ref="AD77:AD78" si="207">(AA28*$C77)+(AB28*$C77)+(AC28*$C77)+(AD28*$C77)/$E$7</f>
        <v>0</v>
      </c>
      <c r="AE77" s="2933">
        <f t="shared" ref="AE77:AE78" si="208">(AA28*$C77)+(AB28*$C77)+(AC28*$C77)+(AD28*$C77)+(AE28*$C77)/$E$7</f>
        <v>0</v>
      </c>
      <c r="AF77" s="2934">
        <f t="shared" ref="AF77:AF78" si="209">(AA28*$C77)+(AB28*$C77)+(AC28*$C77)+(AD28*$C77)+(AE28*$C77)+(AF28*$C77)/$E$7</f>
        <v>0</v>
      </c>
      <c r="AG77" s="1132">
        <f>'11.2. ДА за периода'!AG77</f>
        <v>0</v>
      </c>
      <c r="AH77" s="2937">
        <f t="shared" si="156"/>
        <v>0</v>
      </c>
      <c r="AI77" s="2933">
        <f t="shared" si="157"/>
        <v>0</v>
      </c>
      <c r="AJ77" s="2933">
        <f t="shared" si="158"/>
        <v>0</v>
      </c>
      <c r="AK77" s="2933">
        <f t="shared" si="159"/>
        <v>0</v>
      </c>
      <c r="AL77" s="2933">
        <f t="shared" si="160"/>
        <v>0</v>
      </c>
      <c r="AM77" s="2934">
        <f t="shared" si="161"/>
        <v>0</v>
      </c>
      <c r="AN77" s="2864">
        <f>'11.2. ДА за периода'!AN77</f>
        <v>0</v>
      </c>
      <c r="AO77" s="2935">
        <f>($AO28*$C77)/$E$7</f>
        <v>0</v>
      </c>
      <c r="AP77" s="2933">
        <f>($AO28*$C77)+($AP28*$C77)/$E$7</f>
        <v>0</v>
      </c>
      <c r="AQ77" s="2933">
        <f>($AO28*$C77)+($AP28*$C77)+($AQ28*$C77)/$E$7</f>
        <v>0</v>
      </c>
      <c r="AR77" s="2933">
        <f>($AO28*$C77)+($AP28*$C77)+($AQ28*$C77)+($AR28*$C77)/$E$7</f>
        <v>0</v>
      </c>
      <c r="AS77" s="2933">
        <f>($AO28*$C77)+($AP28*$C77)+($AQ28*$C77)+($AR28*$C77)+($AS28*$C77)/$E$7</f>
        <v>0</v>
      </c>
      <c r="AT77" s="2936">
        <f>($AO28*$C77)+($AP28*$C77)+($AQ28*$C77)+($AR28*$C77)+($AS28*$C77)+($AT28*$C77)/$E$7</f>
        <v>0</v>
      </c>
      <c r="AU77" s="4775"/>
      <c r="AV77" s="4794">
        <f t="shared" si="162"/>
        <v>0</v>
      </c>
      <c r="AW77" s="4794">
        <f t="shared" si="163"/>
        <v>0</v>
      </c>
      <c r="AX77" s="4794">
        <f t="shared" si="164"/>
        <v>0</v>
      </c>
      <c r="AY77" s="4794">
        <f t="shared" si="165"/>
        <v>0</v>
      </c>
      <c r="AZ77" s="4794">
        <f t="shared" si="166"/>
        <v>0</v>
      </c>
      <c r="BA77" s="4794">
        <f t="shared" si="167"/>
        <v>0</v>
      </c>
      <c r="BB77" s="4794">
        <f t="shared" si="168"/>
        <v>0</v>
      </c>
      <c r="BC77" s="4794">
        <f t="shared" si="169"/>
        <v>0</v>
      </c>
      <c r="BD77" s="4794">
        <f t="shared" si="170"/>
        <v>0</v>
      </c>
      <c r="BE77" s="4794">
        <f t="shared" si="171"/>
        <v>0</v>
      </c>
      <c r="BF77" s="4794">
        <f t="shared" si="172"/>
        <v>0</v>
      </c>
      <c r="BG77" s="4794">
        <f t="shared" si="173"/>
        <v>0</v>
      </c>
      <c r="BH77" s="4794">
        <f t="shared" si="174"/>
        <v>0</v>
      </c>
      <c r="BI77" s="4794">
        <f t="shared" si="175"/>
        <v>0</v>
      </c>
      <c r="BJ77" s="4794">
        <f t="shared" si="176"/>
        <v>0</v>
      </c>
      <c r="BK77" s="4794">
        <f t="shared" si="177"/>
        <v>0</v>
      </c>
      <c r="BL77" s="4794">
        <f t="shared" si="178"/>
        <v>0</v>
      </c>
      <c r="BM77" s="4794">
        <f t="shared" si="179"/>
        <v>0</v>
      </c>
      <c r="BN77" s="4794">
        <f t="shared" si="180"/>
        <v>0</v>
      </c>
      <c r="BO77" s="4794">
        <f t="shared" si="181"/>
        <v>0</v>
      </c>
      <c r="BP77" s="4794">
        <f t="shared" si="182"/>
        <v>0</v>
      </c>
      <c r="BQ77" s="4794">
        <f t="shared" si="183"/>
        <v>0</v>
      </c>
      <c r="BR77" s="4794">
        <f t="shared" si="184"/>
        <v>0</v>
      </c>
      <c r="BS77" s="4794">
        <f t="shared" si="185"/>
        <v>0</v>
      </c>
      <c r="BT77" s="4794">
        <f t="shared" si="186"/>
        <v>0</v>
      </c>
      <c r="BU77" s="4794">
        <f t="shared" si="187"/>
        <v>0</v>
      </c>
      <c r="BV77" s="4794">
        <f t="shared" si="188"/>
        <v>0</v>
      </c>
      <c r="BW77" s="4794">
        <f t="shared" si="189"/>
        <v>0</v>
      </c>
      <c r="BX77" s="4794">
        <f t="shared" si="190"/>
        <v>0</v>
      </c>
      <c r="BY77" s="4794">
        <f t="shared" si="191"/>
        <v>0</v>
      </c>
      <c r="BZ77" s="4794">
        <f t="shared" si="192"/>
        <v>0</v>
      </c>
      <c r="CA77" s="4794">
        <f t="shared" si="193"/>
        <v>0</v>
      </c>
      <c r="CB77" s="4794">
        <f t="shared" si="194"/>
        <v>0</v>
      </c>
      <c r="CC77" s="4794">
        <f t="shared" si="195"/>
        <v>0</v>
      </c>
      <c r="CD77" s="4794">
        <f t="shared" si="196"/>
        <v>0</v>
      </c>
      <c r="CE77" s="4794">
        <f t="shared" si="197"/>
        <v>0</v>
      </c>
      <c r="CF77" s="4794">
        <f t="shared" si="198"/>
        <v>0</v>
      </c>
      <c r="CG77" s="4794">
        <f t="shared" si="199"/>
        <v>0</v>
      </c>
      <c r="CH77" s="4794">
        <f t="shared" si="200"/>
        <v>0</v>
      </c>
      <c r="CI77" s="4794">
        <f t="shared" si="201"/>
        <v>0</v>
      </c>
      <c r="CJ77" s="4794">
        <f t="shared" si="202"/>
        <v>0</v>
      </c>
      <c r="CK77" s="4794">
        <f t="shared" si="203"/>
        <v>0</v>
      </c>
    </row>
    <row r="78" spans="1:89">
      <c r="A78" s="2876"/>
      <c r="B78" s="3828">
        <v>20306</v>
      </c>
      <c r="C78" s="3801">
        <v>0.1</v>
      </c>
      <c r="D78" s="2879" t="s">
        <v>409</v>
      </c>
      <c r="E78" s="2864">
        <f>'11.2. ДА за периода'!E78</f>
        <v>5.4</v>
      </c>
      <c r="F78" s="2792">
        <f>($F29*$C78)/$E$7</f>
        <v>7.5</v>
      </c>
      <c r="G78" s="1243">
        <f>($F29*$C78)+($G29*$C78)/$E$7</f>
        <v>20</v>
      </c>
      <c r="H78" s="1243">
        <f>($F29*$C78)+($G29*$C78)+($H29*$C78)/$E$7</f>
        <v>27.5</v>
      </c>
      <c r="I78" s="1243">
        <f>($F29*$C78)+($G29*$C78)+($H29*$C78)+($I29*$C78)/$E$7</f>
        <v>32.5</v>
      </c>
      <c r="J78" s="1243">
        <f>($F29*$C78)+($G29*$C78)+($H29*$C78)+($I29*$C78)+($J29*$C78)/$E$7</f>
        <v>37.5</v>
      </c>
      <c r="K78" s="2798">
        <f>($F29*$C78)+($G29*$C78)+($H29*$C78)+($I29*$C78)+($J29*$C78)+($K29*$C78)/$E$7</f>
        <v>42.5</v>
      </c>
      <c r="L78" s="2864">
        <f>'11.2. ДА за периода'!L78</f>
        <v>0</v>
      </c>
      <c r="M78" s="1247">
        <f>($M29*$C78)/$E$7</f>
        <v>0.5</v>
      </c>
      <c r="N78" s="1243">
        <f>($M29*$C78)+($N29*$C78)/$E$7</f>
        <v>1.75</v>
      </c>
      <c r="O78" s="1243">
        <f>($M29*$C78)+($N29*$C78)+($O29*$C78)/$E$7</f>
        <v>3</v>
      </c>
      <c r="P78" s="1243">
        <f>($M29*$C78)+($N29*$C78)+($O29*$C78)+($P29*$C78)/$E$7</f>
        <v>4</v>
      </c>
      <c r="Q78" s="2798">
        <f>($M29*$C78)+($N29*$C78)+($O29*$C78)+($P29*$C78)+($Q29*$C78)/$E$7</f>
        <v>5</v>
      </c>
      <c r="R78" s="1248">
        <f>($M29*$C78)+($N29*$C78)+($O29*$C78)+($P29*$C78)+($Q29*$C78)+($R29*$C78)/$E$7</f>
        <v>6</v>
      </c>
      <c r="S78" s="1132">
        <f>'11.2. ДА за периода'!S78</f>
        <v>0.1</v>
      </c>
      <c r="T78" s="927">
        <f>($T29*$C78)/$E$7</f>
        <v>1</v>
      </c>
      <c r="U78" s="1243">
        <f>($T29*$C78)+($U29*$C78)/$E$7</f>
        <v>4.5</v>
      </c>
      <c r="V78" s="1243">
        <f>($T29*$C78)+($U29*$C78)+($V29*$C78)/$E$7</f>
        <v>8.5</v>
      </c>
      <c r="W78" s="1243">
        <f>($T29*$C78)+($U29*$C78)+($V29*$C78)+($W29*$C78)/$E$7</f>
        <v>11</v>
      </c>
      <c r="X78" s="1243">
        <f>($T29*$C78)+($U29*$C78)+($V29*$C78)+($W29*$C78)+($X29*$C78)/$E$7</f>
        <v>14.5</v>
      </c>
      <c r="Y78" s="1248">
        <f>($T29*$C78)+($U29*$C78)+($V29*$C78)+($W29*$C78)+($X29*$C78)+($Y29*$C78)/$E$7</f>
        <v>18</v>
      </c>
      <c r="Z78" s="1132">
        <f>'11.2. ДА за периода'!Z78</f>
        <v>0</v>
      </c>
      <c r="AA78" s="927">
        <f t="shared" si="204"/>
        <v>0</v>
      </c>
      <c r="AB78" s="1243">
        <f t="shared" si="205"/>
        <v>0</v>
      </c>
      <c r="AC78" s="1243">
        <f t="shared" si="206"/>
        <v>0</v>
      </c>
      <c r="AD78" s="1243">
        <f t="shared" si="207"/>
        <v>0</v>
      </c>
      <c r="AE78" s="1243">
        <f t="shared" si="208"/>
        <v>0</v>
      </c>
      <c r="AF78" s="2798">
        <f t="shared" si="209"/>
        <v>0</v>
      </c>
      <c r="AG78" s="1132">
        <f>'11.2. ДА за периода'!AG78</f>
        <v>0</v>
      </c>
      <c r="AH78" s="927">
        <f t="shared" si="156"/>
        <v>0</v>
      </c>
      <c r="AI78" s="1243">
        <f t="shared" si="157"/>
        <v>0</v>
      </c>
      <c r="AJ78" s="1243">
        <f t="shared" si="158"/>
        <v>0</v>
      </c>
      <c r="AK78" s="1243">
        <f t="shared" si="159"/>
        <v>0</v>
      </c>
      <c r="AL78" s="1243">
        <f t="shared" si="160"/>
        <v>0</v>
      </c>
      <c r="AM78" s="2798">
        <f t="shared" si="161"/>
        <v>0</v>
      </c>
      <c r="AN78" s="1132">
        <f>'11.2. ДА за периода'!AN78</f>
        <v>0</v>
      </c>
      <c r="AO78" s="1247">
        <f>($AO29*$C78)/$E$7</f>
        <v>0</v>
      </c>
      <c r="AP78" s="1243">
        <f>($AO29*$C78)+($AP29*$C78)/$E$7</f>
        <v>0</v>
      </c>
      <c r="AQ78" s="1243">
        <f>($AO29*$C78)+($AP29*$C78)+($AQ29*$C78)/$E$7</f>
        <v>0</v>
      </c>
      <c r="AR78" s="1243">
        <f>($AO29*$C78)+($AP29*$C78)+($AQ29*$C78)+($AR29*$C78)/$E$7</f>
        <v>0</v>
      </c>
      <c r="AS78" s="1243">
        <f>($AO29*$C78)+($AP29*$C78)+($AQ29*$C78)+($AR29*$C78)+($AS29*$C78)/$E$7</f>
        <v>0</v>
      </c>
      <c r="AT78" s="1248">
        <f>($AO29*$C78)+($AP29*$C78)+($AQ29*$C78)+($AR29*$C78)+($AS29*$C78)+($AT29*$C78)/$E$7</f>
        <v>0</v>
      </c>
      <c r="AU78" s="4775"/>
      <c r="AV78" s="4794">
        <f t="shared" si="162"/>
        <v>2.76097615845958</v>
      </c>
      <c r="AW78" s="4794">
        <f t="shared" si="163"/>
        <v>3.8346891089716388</v>
      </c>
      <c r="AX78" s="4794">
        <f t="shared" si="164"/>
        <v>10.22583762392437</v>
      </c>
      <c r="AY78" s="4794">
        <f t="shared" si="165"/>
        <v>14.060526732896008</v>
      </c>
      <c r="AZ78" s="4794">
        <f t="shared" si="166"/>
        <v>16.616986138877103</v>
      </c>
      <c r="BA78" s="4794">
        <f t="shared" si="167"/>
        <v>19.173445544858193</v>
      </c>
      <c r="BB78" s="4794">
        <f t="shared" si="168"/>
        <v>21.729904950839288</v>
      </c>
      <c r="BC78" s="4794">
        <f t="shared" si="169"/>
        <v>0</v>
      </c>
      <c r="BD78" s="4794">
        <f t="shared" si="170"/>
        <v>0.25564594059810924</v>
      </c>
      <c r="BE78" s="4794">
        <f t="shared" si="171"/>
        <v>0.89476079209338233</v>
      </c>
      <c r="BF78" s="4794">
        <f t="shared" si="172"/>
        <v>1.5338756435886556</v>
      </c>
      <c r="BG78" s="4794">
        <f t="shared" si="173"/>
        <v>2.045167524784874</v>
      </c>
      <c r="BH78" s="4794">
        <f t="shared" si="174"/>
        <v>2.5564594059810926</v>
      </c>
      <c r="BI78" s="4794">
        <f t="shared" si="175"/>
        <v>3.0677512871773112</v>
      </c>
      <c r="BJ78" s="4794">
        <f t="shared" si="176"/>
        <v>5.1129188119621853E-2</v>
      </c>
      <c r="BK78" s="4794">
        <f t="shared" si="177"/>
        <v>0.51129188119621849</v>
      </c>
      <c r="BL78" s="4794">
        <f t="shared" si="178"/>
        <v>2.300813465382983</v>
      </c>
      <c r="BM78" s="4794">
        <f t="shared" si="179"/>
        <v>4.345980990167857</v>
      </c>
      <c r="BN78" s="4794">
        <f t="shared" si="180"/>
        <v>5.6242106931584033</v>
      </c>
      <c r="BO78" s="4794">
        <f t="shared" si="181"/>
        <v>7.4137322773451686</v>
      </c>
      <c r="BP78" s="4794">
        <f t="shared" si="182"/>
        <v>9.2032538615319321</v>
      </c>
      <c r="BQ78" s="4794">
        <f t="shared" si="183"/>
        <v>0</v>
      </c>
      <c r="BR78" s="4794">
        <f t="shared" si="184"/>
        <v>0</v>
      </c>
      <c r="BS78" s="4794">
        <f t="shared" si="185"/>
        <v>0</v>
      </c>
      <c r="BT78" s="4794">
        <f t="shared" si="186"/>
        <v>0</v>
      </c>
      <c r="BU78" s="4794">
        <f t="shared" si="187"/>
        <v>0</v>
      </c>
      <c r="BV78" s="4794">
        <f t="shared" si="188"/>
        <v>0</v>
      </c>
      <c r="BW78" s="4794">
        <f t="shared" si="189"/>
        <v>0</v>
      </c>
      <c r="BX78" s="4794">
        <f t="shared" si="190"/>
        <v>0</v>
      </c>
      <c r="BY78" s="4794">
        <f t="shared" si="191"/>
        <v>0</v>
      </c>
      <c r="BZ78" s="4794">
        <f t="shared" si="192"/>
        <v>0</v>
      </c>
      <c r="CA78" s="4794">
        <f t="shared" si="193"/>
        <v>0</v>
      </c>
      <c r="CB78" s="4794">
        <f t="shared" si="194"/>
        <v>0</v>
      </c>
      <c r="CC78" s="4794">
        <f t="shared" si="195"/>
        <v>0</v>
      </c>
      <c r="CD78" s="4794">
        <f t="shared" si="196"/>
        <v>0</v>
      </c>
      <c r="CE78" s="4794">
        <f t="shared" si="197"/>
        <v>0</v>
      </c>
      <c r="CF78" s="4794">
        <f t="shared" si="198"/>
        <v>0</v>
      </c>
      <c r="CG78" s="4794">
        <f t="shared" si="199"/>
        <v>0</v>
      </c>
      <c r="CH78" s="4794">
        <f t="shared" si="200"/>
        <v>0</v>
      </c>
      <c r="CI78" s="4794">
        <f t="shared" si="201"/>
        <v>0</v>
      </c>
      <c r="CJ78" s="4794">
        <f t="shared" si="202"/>
        <v>0</v>
      </c>
      <c r="CK78" s="4794">
        <f t="shared" si="203"/>
        <v>0</v>
      </c>
    </row>
    <row r="79" spans="1:89" ht="14.25" customHeight="1">
      <c r="A79" s="2869">
        <v>4</v>
      </c>
      <c r="B79" s="3827">
        <v>204</v>
      </c>
      <c r="C79" s="3800"/>
      <c r="D79" s="2887" t="s">
        <v>211</v>
      </c>
      <c r="E79" s="2920">
        <f>E80+E83+E92+E93</f>
        <v>44.39</v>
      </c>
      <c r="F79" s="2921">
        <f t="shared" ref="F79:AT79" si="210">F80+F83+F92+F93</f>
        <v>46.7</v>
      </c>
      <c r="G79" s="2922">
        <f t="shared" si="210"/>
        <v>129</v>
      </c>
      <c r="H79" s="2922">
        <f t="shared" si="210"/>
        <v>194.4</v>
      </c>
      <c r="I79" s="2922">
        <f t="shared" si="210"/>
        <v>253.3</v>
      </c>
      <c r="J79" s="2922">
        <f t="shared" si="210"/>
        <v>310.85000000000002</v>
      </c>
      <c r="K79" s="2923">
        <f t="shared" si="210"/>
        <v>369.10000000000008</v>
      </c>
      <c r="L79" s="2924">
        <f t="shared" si="210"/>
        <v>0.94000000000000006</v>
      </c>
      <c r="M79" s="2921">
        <f t="shared" si="210"/>
        <v>1.2</v>
      </c>
      <c r="N79" s="2922">
        <f t="shared" si="210"/>
        <v>4</v>
      </c>
      <c r="O79" s="2922">
        <f t="shared" si="210"/>
        <v>7.1999999999999993</v>
      </c>
      <c r="P79" s="2922">
        <f t="shared" si="210"/>
        <v>10.4</v>
      </c>
      <c r="Q79" s="2922">
        <f t="shared" si="210"/>
        <v>13.5</v>
      </c>
      <c r="R79" s="2925">
        <f t="shared" si="210"/>
        <v>16.5</v>
      </c>
      <c r="S79" s="2924">
        <f t="shared" si="210"/>
        <v>1.86</v>
      </c>
      <c r="T79" s="2926">
        <f t="shared" si="210"/>
        <v>2</v>
      </c>
      <c r="U79" s="2922">
        <f t="shared" si="210"/>
        <v>6</v>
      </c>
      <c r="V79" s="2922">
        <f t="shared" si="210"/>
        <v>10</v>
      </c>
      <c r="W79" s="2922">
        <f t="shared" si="210"/>
        <v>14</v>
      </c>
      <c r="X79" s="2922">
        <f t="shared" si="210"/>
        <v>18</v>
      </c>
      <c r="Y79" s="2925">
        <f t="shared" si="210"/>
        <v>22</v>
      </c>
      <c r="Z79" s="2924">
        <f t="shared" si="210"/>
        <v>0</v>
      </c>
      <c r="AA79" s="2926">
        <f t="shared" si="210"/>
        <v>0</v>
      </c>
      <c r="AB79" s="2922">
        <f t="shared" si="210"/>
        <v>0</v>
      </c>
      <c r="AC79" s="2922">
        <f t="shared" si="210"/>
        <v>0</v>
      </c>
      <c r="AD79" s="2922">
        <f t="shared" si="210"/>
        <v>0</v>
      </c>
      <c r="AE79" s="2922">
        <f t="shared" si="210"/>
        <v>0</v>
      </c>
      <c r="AF79" s="2925">
        <f t="shared" si="210"/>
        <v>0</v>
      </c>
      <c r="AG79" s="2924">
        <f t="shared" si="210"/>
        <v>0</v>
      </c>
      <c r="AH79" s="2926">
        <f t="shared" si="210"/>
        <v>0</v>
      </c>
      <c r="AI79" s="2922">
        <f t="shared" si="210"/>
        <v>0</v>
      </c>
      <c r="AJ79" s="2922">
        <f t="shared" si="210"/>
        <v>0</v>
      </c>
      <c r="AK79" s="2922">
        <f t="shared" si="210"/>
        <v>0</v>
      </c>
      <c r="AL79" s="2922">
        <f t="shared" si="210"/>
        <v>0</v>
      </c>
      <c r="AM79" s="2925">
        <f t="shared" si="210"/>
        <v>0</v>
      </c>
      <c r="AN79" s="2924">
        <f t="shared" si="210"/>
        <v>0</v>
      </c>
      <c r="AO79" s="2926">
        <f t="shared" si="210"/>
        <v>0</v>
      </c>
      <c r="AP79" s="2922">
        <f t="shared" si="210"/>
        <v>0</v>
      </c>
      <c r="AQ79" s="2922">
        <f t="shared" si="210"/>
        <v>0</v>
      </c>
      <c r="AR79" s="2922">
        <f t="shared" si="210"/>
        <v>0</v>
      </c>
      <c r="AS79" s="2922">
        <f t="shared" si="210"/>
        <v>0</v>
      </c>
      <c r="AT79" s="2925">
        <f t="shared" si="210"/>
        <v>0</v>
      </c>
      <c r="AU79" s="4775"/>
      <c r="AV79" s="4794">
        <f t="shared" si="162"/>
        <v>22.696246606300139</v>
      </c>
      <c r="AW79" s="4794">
        <f t="shared" si="163"/>
        <v>23.877330851863405</v>
      </c>
      <c r="AX79" s="4794">
        <f t="shared" si="164"/>
        <v>65.956652674312181</v>
      </c>
      <c r="AY79" s="4794">
        <f t="shared" si="165"/>
        <v>99.395141704544884</v>
      </c>
      <c r="AZ79" s="4794">
        <f t="shared" si="166"/>
        <v>129.51023350700214</v>
      </c>
      <c r="BA79" s="4794">
        <f t="shared" si="167"/>
        <v>158.93508126984455</v>
      </c>
      <c r="BB79" s="4794">
        <f t="shared" si="168"/>
        <v>188.71783334952428</v>
      </c>
      <c r="BC79" s="4794">
        <f t="shared" si="169"/>
        <v>0.48061436832444543</v>
      </c>
      <c r="BD79" s="4794">
        <f t="shared" si="170"/>
        <v>0.61355025743546221</v>
      </c>
      <c r="BE79" s="4794">
        <f t="shared" si="171"/>
        <v>2.045167524784874</v>
      </c>
      <c r="BF79" s="4794">
        <f t="shared" si="172"/>
        <v>3.6813015446127726</v>
      </c>
      <c r="BG79" s="4794">
        <f t="shared" si="173"/>
        <v>5.3174355644406726</v>
      </c>
      <c r="BH79" s="4794">
        <f t="shared" si="174"/>
        <v>6.9024403961489496</v>
      </c>
      <c r="BI79" s="4794">
        <f t="shared" si="175"/>
        <v>8.4363160397376049</v>
      </c>
      <c r="BJ79" s="4794">
        <f t="shared" si="176"/>
        <v>0.95100289902496649</v>
      </c>
      <c r="BK79" s="4794">
        <f t="shared" si="177"/>
        <v>1.022583762392437</v>
      </c>
      <c r="BL79" s="4794">
        <f t="shared" si="178"/>
        <v>3.0677512871773112</v>
      </c>
      <c r="BM79" s="4794">
        <f t="shared" si="179"/>
        <v>5.1129188119621851</v>
      </c>
      <c r="BN79" s="4794">
        <f t="shared" si="180"/>
        <v>7.1580863367470586</v>
      </c>
      <c r="BO79" s="4794">
        <f t="shared" si="181"/>
        <v>9.2032538615319321</v>
      </c>
      <c r="BP79" s="4794">
        <f t="shared" si="182"/>
        <v>11.248421386316807</v>
      </c>
      <c r="BQ79" s="4794">
        <f t="shared" si="183"/>
        <v>0</v>
      </c>
      <c r="BR79" s="4794">
        <f t="shared" si="184"/>
        <v>0</v>
      </c>
      <c r="BS79" s="4794">
        <f t="shared" si="185"/>
        <v>0</v>
      </c>
      <c r="BT79" s="4794">
        <f t="shared" si="186"/>
        <v>0</v>
      </c>
      <c r="BU79" s="4794">
        <f t="shared" si="187"/>
        <v>0</v>
      </c>
      <c r="BV79" s="4794">
        <f t="shared" si="188"/>
        <v>0</v>
      </c>
      <c r="BW79" s="4794">
        <f t="shared" si="189"/>
        <v>0</v>
      </c>
      <c r="BX79" s="4794">
        <f t="shared" si="190"/>
        <v>0</v>
      </c>
      <c r="BY79" s="4794">
        <f t="shared" si="191"/>
        <v>0</v>
      </c>
      <c r="BZ79" s="4794">
        <f t="shared" si="192"/>
        <v>0</v>
      </c>
      <c r="CA79" s="4794">
        <f t="shared" si="193"/>
        <v>0</v>
      </c>
      <c r="CB79" s="4794">
        <f t="shared" si="194"/>
        <v>0</v>
      </c>
      <c r="CC79" s="4794">
        <f t="shared" si="195"/>
        <v>0</v>
      </c>
      <c r="CD79" s="4794">
        <f t="shared" si="196"/>
        <v>0</v>
      </c>
      <c r="CE79" s="4794">
        <f t="shared" si="197"/>
        <v>0</v>
      </c>
      <c r="CF79" s="4794">
        <f t="shared" si="198"/>
        <v>0</v>
      </c>
      <c r="CG79" s="4794">
        <f t="shared" si="199"/>
        <v>0</v>
      </c>
      <c r="CH79" s="4794">
        <f t="shared" si="200"/>
        <v>0</v>
      </c>
      <c r="CI79" s="4794">
        <f t="shared" si="201"/>
        <v>0</v>
      </c>
      <c r="CJ79" s="4794">
        <f t="shared" si="202"/>
        <v>0</v>
      </c>
      <c r="CK79" s="4794">
        <f t="shared" si="203"/>
        <v>0</v>
      </c>
    </row>
    <row r="80" spans="1:89">
      <c r="A80" s="2876"/>
      <c r="B80" s="3828">
        <v>20401</v>
      </c>
      <c r="C80" s="3801"/>
      <c r="D80" s="2868" t="s">
        <v>417</v>
      </c>
      <c r="E80" s="2880">
        <f t="shared" ref="E80:AT80" si="211">SUM(E81:E82)</f>
        <v>0</v>
      </c>
      <c r="F80" s="2881">
        <f t="shared" si="211"/>
        <v>0</v>
      </c>
      <c r="G80" s="2882">
        <f t="shared" si="211"/>
        <v>0</v>
      </c>
      <c r="H80" s="2882">
        <f t="shared" si="211"/>
        <v>0</v>
      </c>
      <c r="I80" s="2882">
        <f t="shared" si="211"/>
        <v>0</v>
      </c>
      <c r="J80" s="2882">
        <f t="shared" si="211"/>
        <v>0</v>
      </c>
      <c r="K80" s="2929">
        <f t="shared" si="211"/>
        <v>0</v>
      </c>
      <c r="L80" s="2884">
        <f t="shared" si="211"/>
        <v>0</v>
      </c>
      <c r="M80" s="2881">
        <f t="shared" si="211"/>
        <v>0</v>
      </c>
      <c r="N80" s="2882">
        <f t="shared" si="211"/>
        <v>0</v>
      </c>
      <c r="O80" s="2882">
        <f t="shared" si="211"/>
        <v>0</v>
      </c>
      <c r="P80" s="2882">
        <f t="shared" si="211"/>
        <v>0</v>
      </c>
      <c r="Q80" s="2882">
        <f t="shared" si="211"/>
        <v>0</v>
      </c>
      <c r="R80" s="2883">
        <f t="shared" si="211"/>
        <v>0</v>
      </c>
      <c r="S80" s="2884">
        <f t="shared" si="211"/>
        <v>0</v>
      </c>
      <c r="T80" s="2885">
        <f t="shared" si="211"/>
        <v>0</v>
      </c>
      <c r="U80" s="2882">
        <f t="shared" si="211"/>
        <v>0</v>
      </c>
      <c r="V80" s="2882">
        <f t="shared" si="211"/>
        <v>0</v>
      </c>
      <c r="W80" s="2882">
        <f t="shared" si="211"/>
        <v>0</v>
      </c>
      <c r="X80" s="2882">
        <f t="shared" si="211"/>
        <v>0</v>
      </c>
      <c r="Y80" s="2883">
        <f t="shared" si="211"/>
        <v>0</v>
      </c>
      <c r="Z80" s="2884">
        <f t="shared" ref="Z80:AM80" si="212">SUM(Z81:Z82)</f>
        <v>0</v>
      </c>
      <c r="AA80" s="2885">
        <f t="shared" si="212"/>
        <v>0</v>
      </c>
      <c r="AB80" s="2882">
        <f t="shared" si="212"/>
        <v>0</v>
      </c>
      <c r="AC80" s="2882">
        <f t="shared" si="212"/>
        <v>0</v>
      </c>
      <c r="AD80" s="2882">
        <f t="shared" si="212"/>
        <v>0</v>
      </c>
      <c r="AE80" s="2882">
        <f t="shared" si="212"/>
        <v>0</v>
      </c>
      <c r="AF80" s="2883">
        <f t="shared" si="212"/>
        <v>0</v>
      </c>
      <c r="AG80" s="2884">
        <f t="shared" si="212"/>
        <v>0</v>
      </c>
      <c r="AH80" s="2885">
        <f t="shared" si="212"/>
        <v>0</v>
      </c>
      <c r="AI80" s="2882">
        <f t="shared" si="212"/>
        <v>0</v>
      </c>
      <c r="AJ80" s="2882">
        <f t="shared" si="212"/>
        <v>0</v>
      </c>
      <c r="AK80" s="2882">
        <f t="shared" si="212"/>
        <v>0</v>
      </c>
      <c r="AL80" s="2882">
        <f t="shared" si="212"/>
        <v>0</v>
      </c>
      <c r="AM80" s="2883">
        <f t="shared" si="212"/>
        <v>0</v>
      </c>
      <c r="AN80" s="2884">
        <f t="shared" si="211"/>
        <v>0</v>
      </c>
      <c r="AO80" s="2885">
        <f t="shared" si="211"/>
        <v>0</v>
      </c>
      <c r="AP80" s="2882">
        <f t="shared" si="211"/>
        <v>0</v>
      </c>
      <c r="AQ80" s="2882">
        <f t="shared" si="211"/>
        <v>0</v>
      </c>
      <c r="AR80" s="2882">
        <f t="shared" si="211"/>
        <v>0</v>
      </c>
      <c r="AS80" s="2882">
        <f t="shared" si="211"/>
        <v>0</v>
      </c>
      <c r="AT80" s="2883">
        <f t="shared" si="211"/>
        <v>0</v>
      </c>
      <c r="AU80" s="4775"/>
      <c r="AV80" s="4794">
        <f t="shared" si="162"/>
        <v>0</v>
      </c>
      <c r="AW80" s="4794">
        <f t="shared" si="163"/>
        <v>0</v>
      </c>
      <c r="AX80" s="4794">
        <f t="shared" si="164"/>
        <v>0</v>
      </c>
      <c r="AY80" s="4794">
        <f t="shared" si="165"/>
        <v>0</v>
      </c>
      <c r="AZ80" s="4794">
        <f t="shared" si="166"/>
        <v>0</v>
      </c>
      <c r="BA80" s="4794">
        <f t="shared" si="167"/>
        <v>0</v>
      </c>
      <c r="BB80" s="4794">
        <f t="shared" si="168"/>
        <v>0</v>
      </c>
      <c r="BC80" s="4794">
        <f t="shared" si="169"/>
        <v>0</v>
      </c>
      <c r="BD80" s="4794">
        <f t="shared" si="170"/>
        <v>0</v>
      </c>
      <c r="BE80" s="4794">
        <f t="shared" si="171"/>
        <v>0</v>
      </c>
      <c r="BF80" s="4794">
        <f t="shared" si="172"/>
        <v>0</v>
      </c>
      <c r="BG80" s="4794">
        <f t="shared" si="173"/>
        <v>0</v>
      </c>
      <c r="BH80" s="4794">
        <f t="shared" si="174"/>
        <v>0</v>
      </c>
      <c r="BI80" s="4794">
        <f t="shared" si="175"/>
        <v>0</v>
      </c>
      <c r="BJ80" s="4794">
        <f t="shared" si="176"/>
        <v>0</v>
      </c>
      <c r="BK80" s="4794">
        <f t="shared" si="177"/>
        <v>0</v>
      </c>
      <c r="BL80" s="4794">
        <f t="shared" si="178"/>
        <v>0</v>
      </c>
      <c r="BM80" s="4794">
        <f t="shared" si="179"/>
        <v>0</v>
      </c>
      <c r="BN80" s="4794">
        <f t="shared" si="180"/>
        <v>0</v>
      </c>
      <c r="BO80" s="4794">
        <f t="shared" si="181"/>
        <v>0</v>
      </c>
      <c r="BP80" s="4794">
        <f t="shared" si="182"/>
        <v>0</v>
      </c>
      <c r="BQ80" s="4794">
        <f t="shared" si="183"/>
        <v>0</v>
      </c>
      <c r="BR80" s="4794">
        <f t="shared" si="184"/>
        <v>0</v>
      </c>
      <c r="BS80" s="4794">
        <f t="shared" si="185"/>
        <v>0</v>
      </c>
      <c r="BT80" s="4794">
        <f t="shared" si="186"/>
        <v>0</v>
      </c>
      <c r="BU80" s="4794">
        <f t="shared" si="187"/>
        <v>0</v>
      </c>
      <c r="BV80" s="4794">
        <f t="shared" si="188"/>
        <v>0</v>
      </c>
      <c r="BW80" s="4794">
        <f t="shared" si="189"/>
        <v>0</v>
      </c>
      <c r="BX80" s="4794">
        <f t="shared" si="190"/>
        <v>0</v>
      </c>
      <c r="BY80" s="4794">
        <f t="shared" si="191"/>
        <v>0</v>
      </c>
      <c r="BZ80" s="4794">
        <f t="shared" si="192"/>
        <v>0</v>
      </c>
      <c r="CA80" s="4794">
        <f t="shared" si="193"/>
        <v>0</v>
      </c>
      <c r="CB80" s="4794">
        <f t="shared" si="194"/>
        <v>0</v>
      </c>
      <c r="CC80" s="4794">
        <f t="shared" si="195"/>
        <v>0</v>
      </c>
      <c r="CD80" s="4794">
        <f t="shared" si="196"/>
        <v>0</v>
      </c>
      <c r="CE80" s="4794">
        <f t="shared" si="197"/>
        <v>0</v>
      </c>
      <c r="CF80" s="4794">
        <f t="shared" si="198"/>
        <v>0</v>
      </c>
      <c r="CG80" s="4794">
        <f t="shared" si="199"/>
        <v>0</v>
      </c>
      <c r="CH80" s="4794">
        <f t="shared" si="200"/>
        <v>0</v>
      </c>
      <c r="CI80" s="4794">
        <f t="shared" si="201"/>
        <v>0</v>
      </c>
      <c r="CJ80" s="4794">
        <f t="shared" si="202"/>
        <v>0</v>
      </c>
      <c r="CK80" s="4794">
        <f t="shared" si="203"/>
        <v>0</v>
      </c>
    </row>
    <row r="81" spans="1:89" s="71" customFormat="1">
      <c r="A81" s="2930"/>
      <c r="B81" s="3829">
        <v>2040101</v>
      </c>
      <c r="C81" s="3802">
        <v>0.1</v>
      </c>
      <c r="D81" s="2888" t="s">
        <v>431</v>
      </c>
      <c r="E81" s="2864">
        <f>'11.2. ДА за периода'!E81</f>
        <v>0</v>
      </c>
      <c r="F81" s="2932">
        <f>($F32*$C81)/$E$7</f>
        <v>0</v>
      </c>
      <c r="G81" s="2933">
        <f>($F32*$C81)+($G32*$C81)/$E$7</f>
        <v>0</v>
      </c>
      <c r="H81" s="2933">
        <f>($F32*$C81)+($G32*$C81)+($H32*$C81)/$E$7</f>
        <v>0</v>
      </c>
      <c r="I81" s="2933">
        <f>($F32*$C81)+($G32*$C81)+($H32*$C81)+($I32*$C81)/$E$7</f>
        <v>0</v>
      </c>
      <c r="J81" s="2933">
        <f>($F32*$C81)+($G32*$C81)+($H32*$C81)+($I32*$C81)+($J32*$C81)/$E$7</f>
        <v>0</v>
      </c>
      <c r="K81" s="2934">
        <f>($F32*$C81)+($G32*$C81)+($H32*$C81)+($I32*$C81)+($J32*$C81)+($K32*$C81)/$E$7</f>
        <v>0</v>
      </c>
      <c r="L81" s="2864">
        <f>'11.2. ДА за периода'!L81</f>
        <v>0</v>
      </c>
      <c r="M81" s="2935">
        <f>($M32*$C81)/$E$7</f>
        <v>0</v>
      </c>
      <c r="N81" s="2933">
        <f>($M32*$C81)+($N32*$C81)/$E$7</f>
        <v>0</v>
      </c>
      <c r="O81" s="2933">
        <f>($M32*$C81)+($N32*$C81)+($O32*$C81)/$E$7</f>
        <v>0</v>
      </c>
      <c r="P81" s="2933">
        <f>($M32*$C81)+($N32*$C81)+($O32*$C81)+($P32*$C81)/$E$7</f>
        <v>0</v>
      </c>
      <c r="Q81" s="2934">
        <f>($M32*$C81)+($N32*$C81)+($O32*$C81)+($P32*$C81)+($Q32*$C81)/$E$7</f>
        <v>0</v>
      </c>
      <c r="R81" s="2936">
        <f>($M32*$C81)+($N32*$C81)+($O32*$C81)+($P32*$C81)+($Q32*$C81)+($R32*$C81)/$E$7</f>
        <v>0</v>
      </c>
      <c r="S81" s="1132">
        <f>'11.2. ДА за периода'!S81</f>
        <v>0</v>
      </c>
      <c r="T81" s="2937">
        <f>($T32*$C81)/$E$7</f>
        <v>0</v>
      </c>
      <c r="U81" s="2933">
        <f>($T32*$C81)+($U32*$C81)/$E$7</f>
        <v>0</v>
      </c>
      <c r="V81" s="2933">
        <f>($T32*$C81)+($U32*$C81)+($V32*$C81)/$E$7</f>
        <v>0</v>
      </c>
      <c r="W81" s="2933">
        <f>($T32*$C81)+($U32*$C81)+($V32*$C81)+($W32*$C81)/$E$7</f>
        <v>0</v>
      </c>
      <c r="X81" s="2933">
        <f>($T32*$C81)+($U32*$C81)+($V32*$C81)+($W32*$C81)+($X32*$C81)/$E$7</f>
        <v>0</v>
      </c>
      <c r="Y81" s="2936">
        <f>($T32*$C81)+($U32*$C81)+($V32*$C81)+($W32*$C81)+($X32*$C81)+($Y32*$C81)/$E$7</f>
        <v>0</v>
      </c>
      <c r="Z81" s="1132">
        <f>'11.2. ДА за периода'!Z81</f>
        <v>0</v>
      </c>
      <c r="AA81" s="2937">
        <f t="shared" ref="AA81:AA82" si="213">(AA32*$C81)/$E$7</f>
        <v>0</v>
      </c>
      <c r="AB81" s="2933">
        <f t="shared" ref="AB81:AB82" si="214">(AA32*$C81)+(AB32*$C81)/$E$7</f>
        <v>0</v>
      </c>
      <c r="AC81" s="2933">
        <f t="shared" ref="AC81:AC82" si="215">(AA32*$C81)+(AB32*$C81)+(AC32*$C81)/$E$7</f>
        <v>0</v>
      </c>
      <c r="AD81" s="2933">
        <f t="shared" ref="AD81:AD82" si="216">(AA32*$C81)+(AB32*$C81)+(AC32*$C81)+(AD32*$C81)/$E$7</f>
        <v>0</v>
      </c>
      <c r="AE81" s="2933">
        <f t="shared" ref="AE81:AE82" si="217">(AA32*$C81)+(AB32*$C81)+(AC32*$C81)+(AD32*$C81)+(AE32*$C81)/$E$7</f>
        <v>0</v>
      </c>
      <c r="AF81" s="2934">
        <f t="shared" ref="AF81:AF82" si="218">(AA32*$C81)+(AB32*$C81)+(AC32*$C81)+(AD32*$C81)+(AE32*$C81)+(AF32*$C81)/$E$7</f>
        <v>0</v>
      </c>
      <c r="AG81" s="1132">
        <f>'11.2. ДА за периода'!AG81</f>
        <v>0</v>
      </c>
      <c r="AH81" s="2937">
        <f t="shared" ref="AH81:AH82" si="219">(AH32*$C81)/$E$7</f>
        <v>0</v>
      </c>
      <c r="AI81" s="2933">
        <f t="shared" ref="AI81:AI82" si="220">(AH32*$C81)+(AI32*$C81)/$E$7</f>
        <v>0</v>
      </c>
      <c r="AJ81" s="2933">
        <f t="shared" ref="AJ81:AJ82" si="221">(AH32*$C81)+(AI32*$C81)+(AJ32*$C81)/$E$7</f>
        <v>0</v>
      </c>
      <c r="AK81" s="2933">
        <f t="shared" ref="AK81:AK82" si="222">(AH32*$C81)+(AI32*$C81)+(AJ32*$C81)+(AK32*$C81)/$E$7</f>
        <v>0</v>
      </c>
      <c r="AL81" s="2933">
        <f t="shared" ref="AL81:AL82" si="223">(AH32*$C81)+(AI32*$C81)+(AJ32*$C81)+(AK32*$C81)+(AL32*$C81)/$E$7</f>
        <v>0</v>
      </c>
      <c r="AM81" s="2934">
        <f t="shared" ref="AM81:AM82" si="224">(AH32*$C81)+(AI32*$C81)+(AJ32*$C81)+(AK32*$C81)+(AL32*$C81)+(AM32*$C81)/$E$7</f>
        <v>0</v>
      </c>
      <c r="AN81" s="1132">
        <f>'11.2. ДА за периода'!AN81</f>
        <v>0</v>
      </c>
      <c r="AO81" s="2935">
        <f>($AO32*$C81)/$E$7</f>
        <v>0</v>
      </c>
      <c r="AP81" s="2933">
        <f>($AO32*$C81)+($AP32*$C81)/$E$7</f>
        <v>0</v>
      </c>
      <c r="AQ81" s="2933">
        <f>($AO32*$C81)+($AP32*$C81)+($AQ32*$C81)/$E$7</f>
        <v>0</v>
      </c>
      <c r="AR81" s="2933">
        <f>($AO32*$C81)+($AP32*$C81)+($AQ32*$C81)+($AR32*$C81)/$E$7</f>
        <v>0</v>
      </c>
      <c r="AS81" s="2933">
        <f>($AO32*$C81)+($AP32*$C81)+($AQ32*$C81)+($AR32*$C81)+($AS32*$C81)/$E$7</f>
        <v>0</v>
      </c>
      <c r="AT81" s="2936">
        <f>($AO32*$C81)+($AP32*$C81)+($AQ32*$C81)+($AR32*$C81)+($AS32*$C81)+($AT32*$C81)/$E$7</f>
        <v>0</v>
      </c>
      <c r="AU81" s="4775"/>
      <c r="AV81" s="4794">
        <f t="shared" si="162"/>
        <v>0</v>
      </c>
      <c r="AW81" s="4794">
        <f t="shared" si="163"/>
        <v>0</v>
      </c>
      <c r="AX81" s="4794">
        <f t="shared" si="164"/>
        <v>0</v>
      </c>
      <c r="AY81" s="4794">
        <f t="shared" si="165"/>
        <v>0</v>
      </c>
      <c r="AZ81" s="4794">
        <f t="shared" si="166"/>
        <v>0</v>
      </c>
      <c r="BA81" s="4794">
        <f t="shared" si="167"/>
        <v>0</v>
      </c>
      <c r="BB81" s="4794">
        <f t="shared" si="168"/>
        <v>0</v>
      </c>
      <c r="BC81" s="4794">
        <f t="shared" si="169"/>
        <v>0</v>
      </c>
      <c r="BD81" s="4794">
        <f t="shared" si="170"/>
        <v>0</v>
      </c>
      <c r="BE81" s="4794">
        <f t="shared" si="171"/>
        <v>0</v>
      </c>
      <c r="BF81" s="4794">
        <f t="shared" si="172"/>
        <v>0</v>
      </c>
      <c r="BG81" s="4794">
        <f t="shared" si="173"/>
        <v>0</v>
      </c>
      <c r="BH81" s="4794">
        <f t="shared" si="174"/>
        <v>0</v>
      </c>
      <c r="BI81" s="4794">
        <f t="shared" si="175"/>
        <v>0</v>
      </c>
      <c r="BJ81" s="4794">
        <f t="shared" si="176"/>
        <v>0</v>
      </c>
      <c r="BK81" s="4794">
        <f t="shared" si="177"/>
        <v>0</v>
      </c>
      <c r="BL81" s="4794">
        <f t="shared" si="178"/>
        <v>0</v>
      </c>
      <c r="BM81" s="4794">
        <f t="shared" si="179"/>
        <v>0</v>
      </c>
      <c r="BN81" s="4794">
        <f t="shared" si="180"/>
        <v>0</v>
      </c>
      <c r="BO81" s="4794">
        <f t="shared" si="181"/>
        <v>0</v>
      </c>
      <c r="BP81" s="4794">
        <f t="shared" si="182"/>
        <v>0</v>
      </c>
      <c r="BQ81" s="4794">
        <f t="shared" si="183"/>
        <v>0</v>
      </c>
      <c r="BR81" s="4794">
        <f t="shared" si="184"/>
        <v>0</v>
      </c>
      <c r="BS81" s="4794">
        <f t="shared" si="185"/>
        <v>0</v>
      </c>
      <c r="BT81" s="4794">
        <f t="shared" si="186"/>
        <v>0</v>
      </c>
      <c r="BU81" s="4794">
        <f t="shared" si="187"/>
        <v>0</v>
      </c>
      <c r="BV81" s="4794">
        <f t="shared" si="188"/>
        <v>0</v>
      </c>
      <c r="BW81" s="4794">
        <f t="shared" si="189"/>
        <v>0</v>
      </c>
      <c r="BX81" s="4794">
        <f t="shared" si="190"/>
        <v>0</v>
      </c>
      <c r="BY81" s="4794">
        <f t="shared" si="191"/>
        <v>0</v>
      </c>
      <c r="BZ81" s="4794">
        <f t="shared" si="192"/>
        <v>0</v>
      </c>
      <c r="CA81" s="4794">
        <f t="shared" si="193"/>
        <v>0</v>
      </c>
      <c r="CB81" s="4794">
        <f t="shared" si="194"/>
        <v>0</v>
      </c>
      <c r="CC81" s="4794">
        <f t="shared" si="195"/>
        <v>0</v>
      </c>
      <c r="CD81" s="4794">
        <f t="shared" si="196"/>
        <v>0</v>
      </c>
      <c r="CE81" s="4794">
        <f t="shared" si="197"/>
        <v>0</v>
      </c>
      <c r="CF81" s="4794">
        <f t="shared" si="198"/>
        <v>0</v>
      </c>
      <c r="CG81" s="4794">
        <f t="shared" si="199"/>
        <v>0</v>
      </c>
      <c r="CH81" s="4794">
        <f t="shared" si="200"/>
        <v>0</v>
      </c>
      <c r="CI81" s="4794">
        <f t="shared" si="201"/>
        <v>0</v>
      </c>
      <c r="CJ81" s="4794">
        <f t="shared" si="202"/>
        <v>0</v>
      </c>
      <c r="CK81" s="4794">
        <f t="shared" si="203"/>
        <v>0</v>
      </c>
    </row>
    <row r="82" spans="1:89" s="71" customFormat="1">
      <c r="A82" s="2930"/>
      <c r="B82" s="3829">
        <v>2040102</v>
      </c>
      <c r="C82" s="3802">
        <v>0.04</v>
      </c>
      <c r="D82" s="2888" t="s">
        <v>432</v>
      </c>
      <c r="E82" s="2864">
        <f>'11.2. ДА за периода'!E82</f>
        <v>0</v>
      </c>
      <c r="F82" s="2932">
        <f>($F33*$C82)/$E$7</f>
        <v>0</v>
      </c>
      <c r="G82" s="2933">
        <f>($F33*$C82)+($G33*$C82)/$E$7</f>
        <v>0</v>
      </c>
      <c r="H82" s="2933">
        <f>($F33*$C82)+($G33*$C82)+($H33*$C82)/$E$7</f>
        <v>0</v>
      </c>
      <c r="I82" s="2933">
        <f>($F33*$C82)+($G33*$C82)+($H33*$C82)+($I33*$C82)/$E$7</f>
        <v>0</v>
      </c>
      <c r="J82" s="2933">
        <f>($F33*$C82)+($G33*$C82)+($H33*$C82)+($I33*$C82)+($J33*$C82)/$E$7</f>
        <v>0</v>
      </c>
      <c r="K82" s="2934">
        <f>($F33*$C82)+($G33*$C82)+($H33*$C82)+($I33*$C82)+($J33*$C82)+($K33*$C82)/$E$7</f>
        <v>0</v>
      </c>
      <c r="L82" s="2864">
        <f>'11.2. ДА за периода'!L82</f>
        <v>0</v>
      </c>
      <c r="M82" s="2935">
        <f>($M33*$C82)/$E$7</f>
        <v>0</v>
      </c>
      <c r="N82" s="2933">
        <f>($M33*$C82)+($N33*$C82)/$E$7</f>
        <v>0</v>
      </c>
      <c r="O82" s="2933">
        <f>($M33*$C82)+($N33*$C82)+($O33*$C82)/$E$7</f>
        <v>0</v>
      </c>
      <c r="P82" s="2933">
        <f>($M33*$C82)+($N33*$C82)+($O33*$C82)+($P33*$C82)/$E$7</f>
        <v>0</v>
      </c>
      <c r="Q82" s="2934">
        <f>($M33*$C82)+($N33*$C82)+($O33*$C82)+($P33*$C82)+($Q33*$C82)/$E$7</f>
        <v>0</v>
      </c>
      <c r="R82" s="2936">
        <f>($M33*$C82)+($N33*$C82)+($O33*$C82)+($P33*$C82)+($Q33*$C82)+($R33*$C82)/$E$7</f>
        <v>0</v>
      </c>
      <c r="S82" s="1132">
        <f>'11.2. ДА за периода'!S82</f>
        <v>0</v>
      </c>
      <c r="T82" s="2937">
        <f>($T33*$C82)/$E$7</f>
        <v>0</v>
      </c>
      <c r="U82" s="2933">
        <f>($T33*$C82)+($U33*$C82)/$E$7</f>
        <v>0</v>
      </c>
      <c r="V82" s="2933">
        <f>($T33*$C82)+($U33*$C82)+($V33*$C82)/$E$7</f>
        <v>0</v>
      </c>
      <c r="W82" s="2933">
        <f>($T33*$C82)+($U33*$C82)+($V33*$C82)+($W33*$C82)/$E$7</f>
        <v>0</v>
      </c>
      <c r="X82" s="2933">
        <f>($T33*$C82)+($U33*$C82)+($V33*$C82)+($W33*$C82)+($X33*$C82)/$E$7</f>
        <v>0</v>
      </c>
      <c r="Y82" s="2936">
        <f>($T33*$C82)+($U33*$C82)+($V33*$C82)+($W33*$C82)+($X33*$C82)+($Y33*$C82)/$E$7</f>
        <v>0</v>
      </c>
      <c r="Z82" s="1132">
        <f>'11.2. ДА за периода'!Z82</f>
        <v>0</v>
      </c>
      <c r="AA82" s="2937">
        <f t="shared" si="213"/>
        <v>0</v>
      </c>
      <c r="AB82" s="2933">
        <f t="shared" si="214"/>
        <v>0</v>
      </c>
      <c r="AC82" s="2933">
        <f t="shared" si="215"/>
        <v>0</v>
      </c>
      <c r="AD82" s="2933">
        <f t="shared" si="216"/>
        <v>0</v>
      </c>
      <c r="AE82" s="2933">
        <f t="shared" si="217"/>
        <v>0</v>
      </c>
      <c r="AF82" s="2934">
        <f t="shared" si="218"/>
        <v>0</v>
      </c>
      <c r="AG82" s="1132">
        <f>'11.2. ДА за периода'!AG82</f>
        <v>0</v>
      </c>
      <c r="AH82" s="2937">
        <f t="shared" si="219"/>
        <v>0</v>
      </c>
      <c r="AI82" s="2933">
        <f t="shared" si="220"/>
        <v>0</v>
      </c>
      <c r="AJ82" s="2933">
        <f t="shared" si="221"/>
        <v>0</v>
      </c>
      <c r="AK82" s="2933">
        <f t="shared" si="222"/>
        <v>0</v>
      </c>
      <c r="AL82" s="2933">
        <f t="shared" si="223"/>
        <v>0</v>
      </c>
      <c r="AM82" s="2934">
        <f t="shared" si="224"/>
        <v>0</v>
      </c>
      <c r="AN82" s="1132">
        <f>'11.2. ДА за периода'!AN82</f>
        <v>0</v>
      </c>
      <c r="AO82" s="2935">
        <f>($AO33*$C82)/$E$7</f>
        <v>0</v>
      </c>
      <c r="AP82" s="2933">
        <f>($AO33*$C82)+($AP33*$C82)/$E$7</f>
        <v>0</v>
      </c>
      <c r="AQ82" s="2933">
        <f>($AO33*$C82)+($AP33*$C82)+($AQ33*$C82)/$E$7</f>
        <v>0</v>
      </c>
      <c r="AR82" s="2933">
        <f>($AO33*$C82)+($AP33*$C82)+($AQ33*$C82)+($AR33*$C82)/$E$7</f>
        <v>0</v>
      </c>
      <c r="AS82" s="2933">
        <f>($AO33*$C82)+($AP33*$C82)+($AQ33*$C82)+($AR33*$C82)+($AS33*$C82)/$E$7</f>
        <v>0</v>
      </c>
      <c r="AT82" s="2936">
        <f>($AO33*$C82)+($AP33*$C82)+($AQ33*$C82)+($AR33*$C82)+($AS33*$C82)+($AT33*$C82)/$E$7</f>
        <v>0</v>
      </c>
      <c r="AU82" s="4775"/>
      <c r="AV82" s="4794">
        <f t="shared" si="162"/>
        <v>0</v>
      </c>
      <c r="AW82" s="4794">
        <f t="shared" si="163"/>
        <v>0</v>
      </c>
      <c r="AX82" s="4794">
        <f t="shared" si="164"/>
        <v>0</v>
      </c>
      <c r="AY82" s="4794">
        <f t="shared" si="165"/>
        <v>0</v>
      </c>
      <c r="AZ82" s="4794">
        <f t="shared" si="166"/>
        <v>0</v>
      </c>
      <c r="BA82" s="4794">
        <f t="shared" si="167"/>
        <v>0</v>
      </c>
      <c r="BB82" s="4794">
        <f t="shared" si="168"/>
        <v>0</v>
      </c>
      <c r="BC82" s="4794">
        <f t="shared" si="169"/>
        <v>0</v>
      </c>
      <c r="BD82" s="4794">
        <f t="shared" si="170"/>
        <v>0</v>
      </c>
      <c r="BE82" s="4794">
        <f t="shared" si="171"/>
        <v>0</v>
      </c>
      <c r="BF82" s="4794">
        <f t="shared" si="172"/>
        <v>0</v>
      </c>
      <c r="BG82" s="4794">
        <f t="shared" si="173"/>
        <v>0</v>
      </c>
      <c r="BH82" s="4794">
        <f t="shared" si="174"/>
        <v>0</v>
      </c>
      <c r="BI82" s="4794">
        <f t="shared" si="175"/>
        <v>0</v>
      </c>
      <c r="BJ82" s="4794">
        <f t="shared" si="176"/>
        <v>0</v>
      </c>
      <c r="BK82" s="4794">
        <f t="shared" si="177"/>
        <v>0</v>
      </c>
      <c r="BL82" s="4794">
        <f t="shared" si="178"/>
        <v>0</v>
      </c>
      <c r="BM82" s="4794">
        <f t="shared" si="179"/>
        <v>0</v>
      </c>
      <c r="BN82" s="4794">
        <f t="shared" si="180"/>
        <v>0</v>
      </c>
      <c r="BO82" s="4794">
        <f t="shared" si="181"/>
        <v>0</v>
      </c>
      <c r="BP82" s="4794">
        <f t="shared" si="182"/>
        <v>0</v>
      </c>
      <c r="BQ82" s="4794">
        <f t="shared" si="183"/>
        <v>0</v>
      </c>
      <c r="BR82" s="4794">
        <f t="shared" si="184"/>
        <v>0</v>
      </c>
      <c r="BS82" s="4794">
        <f t="shared" si="185"/>
        <v>0</v>
      </c>
      <c r="BT82" s="4794">
        <f t="shared" si="186"/>
        <v>0</v>
      </c>
      <c r="BU82" s="4794">
        <f t="shared" si="187"/>
        <v>0</v>
      </c>
      <c r="BV82" s="4794">
        <f t="shared" si="188"/>
        <v>0</v>
      </c>
      <c r="BW82" s="4794">
        <f t="shared" si="189"/>
        <v>0</v>
      </c>
      <c r="BX82" s="4794">
        <f t="shared" si="190"/>
        <v>0</v>
      </c>
      <c r="BY82" s="4794">
        <f t="shared" si="191"/>
        <v>0</v>
      </c>
      <c r="BZ82" s="4794">
        <f t="shared" si="192"/>
        <v>0</v>
      </c>
      <c r="CA82" s="4794">
        <f t="shared" si="193"/>
        <v>0</v>
      </c>
      <c r="CB82" s="4794">
        <f t="shared" si="194"/>
        <v>0</v>
      </c>
      <c r="CC82" s="4794">
        <f t="shared" si="195"/>
        <v>0</v>
      </c>
      <c r="CD82" s="4794">
        <f t="shared" si="196"/>
        <v>0</v>
      </c>
      <c r="CE82" s="4794">
        <f t="shared" si="197"/>
        <v>0</v>
      </c>
      <c r="CF82" s="4794">
        <f t="shared" si="198"/>
        <v>0</v>
      </c>
      <c r="CG82" s="4794">
        <f t="shared" si="199"/>
        <v>0</v>
      </c>
      <c r="CH82" s="4794">
        <f t="shared" si="200"/>
        <v>0</v>
      </c>
      <c r="CI82" s="4794">
        <f t="shared" si="201"/>
        <v>0</v>
      </c>
      <c r="CJ82" s="4794">
        <f t="shared" si="202"/>
        <v>0</v>
      </c>
      <c r="CK82" s="4794">
        <f t="shared" si="203"/>
        <v>0</v>
      </c>
    </row>
    <row r="83" spans="1:89">
      <c r="A83" s="2876"/>
      <c r="B83" s="3828">
        <v>20402</v>
      </c>
      <c r="C83" s="3801"/>
      <c r="D83" s="2868" t="s">
        <v>433</v>
      </c>
      <c r="E83" s="2880">
        <f>SUM(E84:E91)</f>
        <v>44.39</v>
      </c>
      <c r="F83" s="2881">
        <f t="shared" ref="F83:AT83" si="225">SUM(F84:F91)</f>
        <v>46.7</v>
      </c>
      <c r="G83" s="2882">
        <f t="shared" si="225"/>
        <v>129</v>
      </c>
      <c r="H83" s="2882">
        <f t="shared" si="225"/>
        <v>194.4</v>
      </c>
      <c r="I83" s="2882">
        <f t="shared" si="225"/>
        <v>253.3</v>
      </c>
      <c r="J83" s="2882">
        <f t="shared" si="225"/>
        <v>310.85000000000002</v>
      </c>
      <c r="K83" s="2929">
        <f t="shared" si="225"/>
        <v>369.10000000000008</v>
      </c>
      <c r="L83" s="2884">
        <f t="shared" si="225"/>
        <v>0.94000000000000006</v>
      </c>
      <c r="M83" s="2881">
        <f t="shared" si="225"/>
        <v>1.2</v>
      </c>
      <c r="N83" s="2882">
        <f t="shared" si="225"/>
        <v>4</v>
      </c>
      <c r="O83" s="2882">
        <f t="shared" si="225"/>
        <v>7.1999999999999993</v>
      </c>
      <c r="P83" s="2882">
        <f t="shared" si="225"/>
        <v>10.4</v>
      </c>
      <c r="Q83" s="2882">
        <f t="shared" si="225"/>
        <v>13.5</v>
      </c>
      <c r="R83" s="2883">
        <f t="shared" si="225"/>
        <v>16.5</v>
      </c>
      <c r="S83" s="2884">
        <f t="shared" si="225"/>
        <v>1.86</v>
      </c>
      <c r="T83" s="2885">
        <f t="shared" si="225"/>
        <v>2</v>
      </c>
      <c r="U83" s="2882">
        <f t="shared" si="225"/>
        <v>6</v>
      </c>
      <c r="V83" s="2882">
        <f t="shared" si="225"/>
        <v>10</v>
      </c>
      <c r="W83" s="2882">
        <f t="shared" si="225"/>
        <v>14</v>
      </c>
      <c r="X83" s="2882">
        <f t="shared" si="225"/>
        <v>18</v>
      </c>
      <c r="Y83" s="2883">
        <f t="shared" si="225"/>
        <v>22</v>
      </c>
      <c r="Z83" s="2884">
        <f t="shared" si="225"/>
        <v>0</v>
      </c>
      <c r="AA83" s="2885">
        <f t="shared" si="225"/>
        <v>0</v>
      </c>
      <c r="AB83" s="2882">
        <f t="shared" si="225"/>
        <v>0</v>
      </c>
      <c r="AC83" s="2882">
        <f t="shared" si="225"/>
        <v>0</v>
      </c>
      <c r="AD83" s="2882">
        <f t="shared" si="225"/>
        <v>0</v>
      </c>
      <c r="AE83" s="2882">
        <f t="shared" si="225"/>
        <v>0</v>
      </c>
      <c r="AF83" s="2883">
        <f t="shared" si="225"/>
        <v>0</v>
      </c>
      <c r="AG83" s="2884">
        <f t="shared" si="225"/>
        <v>0</v>
      </c>
      <c r="AH83" s="2885">
        <f t="shared" si="225"/>
        <v>0</v>
      </c>
      <c r="AI83" s="2882">
        <f t="shared" si="225"/>
        <v>0</v>
      </c>
      <c r="AJ83" s="2882">
        <f t="shared" si="225"/>
        <v>0</v>
      </c>
      <c r="AK83" s="2882">
        <f t="shared" si="225"/>
        <v>0</v>
      </c>
      <c r="AL83" s="2882">
        <f t="shared" si="225"/>
        <v>0</v>
      </c>
      <c r="AM83" s="2883">
        <f t="shared" si="225"/>
        <v>0</v>
      </c>
      <c r="AN83" s="2884">
        <f t="shared" si="225"/>
        <v>0</v>
      </c>
      <c r="AO83" s="2885">
        <f t="shared" si="225"/>
        <v>0</v>
      </c>
      <c r="AP83" s="2882">
        <f t="shared" si="225"/>
        <v>0</v>
      </c>
      <c r="AQ83" s="2882">
        <f t="shared" si="225"/>
        <v>0</v>
      </c>
      <c r="AR83" s="2882">
        <f t="shared" si="225"/>
        <v>0</v>
      </c>
      <c r="AS83" s="2882">
        <f t="shared" si="225"/>
        <v>0</v>
      </c>
      <c r="AT83" s="2883">
        <f t="shared" si="225"/>
        <v>0</v>
      </c>
      <c r="AU83" s="4775"/>
      <c r="AV83" s="4794">
        <f t="shared" si="162"/>
        <v>22.696246606300139</v>
      </c>
      <c r="AW83" s="4794">
        <f t="shared" si="163"/>
        <v>23.877330851863405</v>
      </c>
      <c r="AX83" s="4794">
        <f t="shared" si="164"/>
        <v>65.956652674312181</v>
      </c>
      <c r="AY83" s="4794">
        <f t="shared" si="165"/>
        <v>99.395141704544884</v>
      </c>
      <c r="AZ83" s="4794">
        <f t="shared" si="166"/>
        <v>129.51023350700214</v>
      </c>
      <c r="BA83" s="4794">
        <f t="shared" si="167"/>
        <v>158.93508126984455</v>
      </c>
      <c r="BB83" s="4794">
        <f t="shared" si="168"/>
        <v>188.71783334952428</v>
      </c>
      <c r="BC83" s="4794">
        <f t="shared" si="169"/>
        <v>0.48061436832444543</v>
      </c>
      <c r="BD83" s="4794">
        <f t="shared" si="170"/>
        <v>0.61355025743546221</v>
      </c>
      <c r="BE83" s="4794">
        <f t="shared" si="171"/>
        <v>2.045167524784874</v>
      </c>
      <c r="BF83" s="4794">
        <f t="shared" si="172"/>
        <v>3.6813015446127726</v>
      </c>
      <c r="BG83" s="4794">
        <f t="shared" si="173"/>
        <v>5.3174355644406726</v>
      </c>
      <c r="BH83" s="4794">
        <f t="shared" si="174"/>
        <v>6.9024403961489496</v>
      </c>
      <c r="BI83" s="4794">
        <f t="shared" si="175"/>
        <v>8.4363160397376049</v>
      </c>
      <c r="BJ83" s="4794">
        <f t="shared" si="176"/>
        <v>0.95100289902496649</v>
      </c>
      <c r="BK83" s="4794">
        <f t="shared" si="177"/>
        <v>1.022583762392437</v>
      </c>
      <c r="BL83" s="4794">
        <f t="shared" si="178"/>
        <v>3.0677512871773112</v>
      </c>
      <c r="BM83" s="4794">
        <f t="shared" si="179"/>
        <v>5.1129188119621851</v>
      </c>
      <c r="BN83" s="4794">
        <f t="shared" si="180"/>
        <v>7.1580863367470586</v>
      </c>
      <c r="BO83" s="4794">
        <f t="shared" si="181"/>
        <v>9.2032538615319321</v>
      </c>
      <c r="BP83" s="4794">
        <f t="shared" si="182"/>
        <v>11.248421386316807</v>
      </c>
      <c r="BQ83" s="4794">
        <f t="shared" si="183"/>
        <v>0</v>
      </c>
      <c r="BR83" s="4794">
        <f t="shared" si="184"/>
        <v>0</v>
      </c>
      <c r="BS83" s="4794">
        <f t="shared" si="185"/>
        <v>0</v>
      </c>
      <c r="BT83" s="4794">
        <f t="shared" si="186"/>
        <v>0</v>
      </c>
      <c r="BU83" s="4794">
        <f t="shared" si="187"/>
        <v>0</v>
      </c>
      <c r="BV83" s="4794">
        <f t="shared" si="188"/>
        <v>0</v>
      </c>
      <c r="BW83" s="4794">
        <f t="shared" si="189"/>
        <v>0</v>
      </c>
      <c r="BX83" s="4794">
        <f t="shared" si="190"/>
        <v>0</v>
      </c>
      <c r="BY83" s="4794">
        <f t="shared" si="191"/>
        <v>0</v>
      </c>
      <c r="BZ83" s="4794">
        <f t="shared" si="192"/>
        <v>0</v>
      </c>
      <c r="CA83" s="4794">
        <f t="shared" si="193"/>
        <v>0</v>
      </c>
      <c r="CB83" s="4794">
        <f t="shared" si="194"/>
        <v>0</v>
      </c>
      <c r="CC83" s="4794">
        <f t="shared" si="195"/>
        <v>0</v>
      </c>
      <c r="CD83" s="4794">
        <f t="shared" si="196"/>
        <v>0</v>
      </c>
      <c r="CE83" s="4794">
        <f t="shared" si="197"/>
        <v>0</v>
      </c>
      <c r="CF83" s="4794">
        <f t="shared" si="198"/>
        <v>0</v>
      </c>
      <c r="CG83" s="4794">
        <f t="shared" si="199"/>
        <v>0</v>
      </c>
      <c r="CH83" s="4794">
        <f t="shared" si="200"/>
        <v>0</v>
      </c>
      <c r="CI83" s="4794">
        <f t="shared" si="201"/>
        <v>0</v>
      </c>
      <c r="CJ83" s="4794">
        <f t="shared" si="202"/>
        <v>0</v>
      </c>
      <c r="CK83" s="4794">
        <f t="shared" si="203"/>
        <v>0</v>
      </c>
    </row>
    <row r="84" spans="1:89" s="71" customFormat="1">
      <c r="A84" s="2930"/>
      <c r="B84" s="3829">
        <v>2040201</v>
      </c>
      <c r="C84" s="3802">
        <v>0.02</v>
      </c>
      <c r="D84" s="2886" t="s">
        <v>738</v>
      </c>
      <c r="E84" s="2864">
        <f>'11.2. ДА за периода'!E84</f>
        <v>0</v>
      </c>
      <c r="F84" s="2932">
        <f t="shared" ref="F84:F93" si="226">($F35*$C84)/$E$7</f>
        <v>0</v>
      </c>
      <c r="G84" s="2933">
        <f t="shared" ref="G84:G93" si="227">($F35*$C84)+($G35*$C84)/$E$7</f>
        <v>0</v>
      </c>
      <c r="H84" s="2933">
        <f t="shared" ref="H84:H93" si="228">($F35*$C84)+($G35*$C84)+($H35*$C84)/$E$7</f>
        <v>0</v>
      </c>
      <c r="I84" s="2933">
        <f t="shared" ref="I84:I93" si="229">($F35*$C84)+($G35*$C84)+($H35*$C84)+($I35*$C84)/$E$7</f>
        <v>0</v>
      </c>
      <c r="J84" s="2933">
        <f t="shared" ref="J84:J93" si="230">($F35*$C84)+($G35*$C84)+($H35*$C84)+($I35*$C84)+($J35*$C84)/$E$7</f>
        <v>0</v>
      </c>
      <c r="K84" s="2934">
        <f t="shared" ref="K84:K93" si="231">($F35*$C84)+($G35*$C84)+($H35*$C84)+($I35*$C84)+($J35*$C84)+($K35*$C84)/$E$7</f>
        <v>0</v>
      </c>
      <c r="L84" s="2864">
        <f>'11.2. ДА за периода'!L84</f>
        <v>0</v>
      </c>
      <c r="M84" s="2935">
        <f t="shared" ref="M84:M93" si="232">($M35*$C84)/$E$7</f>
        <v>0</v>
      </c>
      <c r="N84" s="2933">
        <f t="shared" ref="N84:N93" si="233">($M35*$C84)+($N35*$C84)/$E$7</f>
        <v>0</v>
      </c>
      <c r="O84" s="2933">
        <f t="shared" ref="O84:O93" si="234">($M35*$C84)+($N35*$C84)+($O35*$C84)/$E$7</f>
        <v>0</v>
      </c>
      <c r="P84" s="2933">
        <f t="shared" ref="P84:P93" si="235">($M35*$C84)+($N35*$C84)+($O35*$C84)+($P35*$C84)/$E$7</f>
        <v>0</v>
      </c>
      <c r="Q84" s="2934">
        <f t="shared" ref="Q84:Q93" si="236">($M35*$C84)+($N35*$C84)+($O35*$C84)+($P35*$C84)+($Q35*$C84)/$E$7</f>
        <v>0</v>
      </c>
      <c r="R84" s="2936">
        <f t="shared" ref="R84:R93" si="237">($M35*$C84)+($N35*$C84)+($O35*$C84)+($P35*$C84)+($Q35*$C84)+($R35*$C84)/$E$7</f>
        <v>0</v>
      </c>
      <c r="S84" s="1132">
        <f>'11.2. ДА за периода'!S84</f>
        <v>0</v>
      </c>
      <c r="T84" s="2937">
        <f t="shared" ref="T84:T93" si="238">($T35*$C84)/$E$7</f>
        <v>0</v>
      </c>
      <c r="U84" s="2933">
        <f t="shared" ref="U84:U93" si="239">($T35*$C84)+($U35*$C84)/$E$7</f>
        <v>0</v>
      </c>
      <c r="V84" s="2933">
        <f t="shared" ref="V84:V93" si="240">($T35*$C84)+($U35*$C84)+($V35*$C84)/$E$7</f>
        <v>0</v>
      </c>
      <c r="W84" s="2933">
        <f t="shared" ref="W84:W93" si="241">($T35*$C84)+($U35*$C84)+($V35*$C84)+($W35*$C84)/$E$7</f>
        <v>0</v>
      </c>
      <c r="X84" s="2933">
        <f t="shared" ref="X84:X93" si="242">($T35*$C84)+($U35*$C84)+($V35*$C84)+($W35*$C84)+($X35*$C84)/$E$7</f>
        <v>0</v>
      </c>
      <c r="Y84" s="2936">
        <f t="shared" ref="Y84:Y93" si="243">($T35*$C84)+($U35*$C84)+($V35*$C84)+($W35*$C84)+($X35*$C84)+($Y35*$C84)/$E$7</f>
        <v>0</v>
      </c>
      <c r="Z84" s="1132">
        <f>'11.2. ДА за периода'!Z84</f>
        <v>0</v>
      </c>
      <c r="AA84" s="2937">
        <f t="shared" ref="AA84:AA93" si="244">(AA35*$C84)/$E$7</f>
        <v>0</v>
      </c>
      <c r="AB84" s="2933">
        <f t="shared" ref="AB84:AB93" si="245">(AA35*$C84)+(AB35*$C84)/$E$7</f>
        <v>0</v>
      </c>
      <c r="AC84" s="2933">
        <f t="shared" ref="AC84:AC93" si="246">(AA35*$C84)+(AB35*$C84)+(AC35*$C84)/$E$7</f>
        <v>0</v>
      </c>
      <c r="AD84" s="2933">
        <f t="shared" ref="AD84:AD93" si="247">(AA35*$C84)+(AB35*$C84)+(AC35*$C84)+(AD35*$C84)/$E$7</f>
        <v>0</v>
      </c>
      <c r="AE84" s="2933">
        <f t="shared" ref="AE84:AE93" si="248">(AA35*$C84)+(AB35*$C84)+(AC35*$C84)+(AD35*$C84)+(AE35*$C84)/$E$7</f>
        <v>0</v>
      </c>
      <c r="AF84" s="2934">
        <f t="shared" ref="AF84:AF93" si="249">(AA35*$C84)+(AB35*$C84)+(AC35*$C84)+(AD35*$C84)+(AE35*$C84)+(AF35*$C84)/$E$7</f>
        <v>0</v>
      </c>
      <c r="AG84" s="1132">
        <f>'11.2. ДА за периода'!AG84</f>
        <v>0</v>
      </c>
      <c r="AH84" s="2937">
        <f t="shared" ref="AH84:AH93" si="250">(AH35*$C84)/$E$7</f>
        <v>0</v>
      </c>
      <c r="AI84" s="2933">
        <f t="shared" ref="AI84:AI93" si="251">(AH35*$C84)+(AI35*$C84)/$E$7</f>
        <v>0</v>
      </c>
      <c r="AJ84" s="2933">
        <f t="shared" ref="AJ84:AJ93" si="252">(AH35*$C84)+(AI35*$C84)+(AJ35*$C84)/$E$7</f>
        <v>0</v>
      </c>
      <c r="AK84" s="2933">
        <f t="shared" ref="AK84:AK93" si="253">(AH35*$C84)+(AI35*$C84)+(AJ35*$C84)+(AK35*$C84)/$E$7</f>
        <v>0</v>
      </c>
      <c r="AL84" s="2933">
        <f t="shared" ref="AL84:AL93" si="254">(AH35*$C84)+(AI35*$C84)+(AJ35*$C84)+(AK35*$C84)+(AL35*$C84)/$E$7</f>
        <v>0</v>
      </c>
      <c r="AM84" s="2934">
        <f t="shared" ref="AM84:AM93" si="255">(AH35*$C84)+(AI35*$C84)+(AJ35*$C84)+(AK35*$C84)+(AL35*$C84)+(AM35*$C84)/$E$7</f>
        <v>0</v>
      </c>
      <c r="AN84" s="1132">
        <f>'11.2. ДА за периода'!AN84</f>
        <v>0</v>
      </c>
      <c r="AO84" s="2935">
        <f t="shared" ref="AO84:AO93" si="256">($AO35*$C84)/$E$7</f>
        <v>0</v>
      </c>
      <c r="AP84" s="2933">
        <f t="shared" ref="AP84:AP93" si="257">($AO35*$C84)+($AP35*$C84)/$E$7</f>
        <v>0</v>
      </c>
      <c r="AQ84" s="2933">
        <f t="shared" ref="AQ84:AQ93" si="258">($AO35*$C84)+($AP35*$C84)+($AQ35*$C84)/$E$7</f>
        <v>0</v>
      </c>
      <c r="AR84" s="2933">
        <f t="shared" ref="AR84:AR93" si="259">($AO35*$C84)+($AP35*$C84)+($AQ35*$C84)+($AR35*$C84)/$E$7</f>
        <v>0</v>
      </c>
      <c r="AS84" s="2933">
        <f t="shared" ref="AS84:AS93" si="260">($AO35*$C84)+($AP35*$C84)+($AQ35*$C84)+($AR35*$C84)+($AS35*$C84)/$E$7</f>
        <v>0</v>
      </c>
      <c r="AT84" s="2936">
        <f t="shared" ref="AT84:AT93" si="261">($AO35*$C84)+($AP35*$C84)+($AQ35*$C84)+($AR35*$C84)+($AS35*$C84)+($AT35*$C84)/$E$7</f>
        <v>0</v>
      </c>
      <c r="AU84" s="4775"/>
      <c r="AV84" s="4794">
        <f t="shared" si="162"/>
        <v>0</v>
      </c>
      <c r="AW84" s="4794">
        <f t="shared" si="163"/>
        <v>0</v>
      </c>
      <c r="AX84" s="4794">
        <f t="shared" si="164"/>
        <v>0</v>
      </c>
      <c r="AY84" s="4794">
        <f t="shared" si="165"/>
        <v>0</v>
      </c>
      <c r="AZ84" s="4794">
        <f t="shared" si="166"/>
        <v>0</v>
      </c>
      <c r="BA84" s="4794">
        <f t="shared" si="167"/>
        <v>0</v>
      </c>
      <c r="BB84" s="4794">
        <f t="shared" si="168"/>
        <v>0</v>
      </c>
      <c r="BC84" s="4794">
        <f t="shared" si="169"/>
        <v>0</v>
      </c>
      <c r="BD84" s="4794">
        <f t="shared" si="170"/>
        <v>0</v>
      </c>
      <c r="BE84" s="4794">
        <f t="shared" si="171"/>
        <v>0</v>
      </c>
      <c r="BF84" s="4794">
        <f t="shared" si="172"/>
        <v>0</v>
      </c>
      <c r="BG84" s="4794">
        <f t="shared" si="173"/>
        <v>0</v>
      </c>
      <c r="BH84" s="4794">
        <f t="shared" si="174"/>
        <v>0</v>
      </c>
      <c r="BI84" s="4794">
        <f t="shared" si="175"/>
        <v>0</v>
      </c>
      <c r="BJ84" s="4794">
        <f t="shared" si="176"/>
        <v>0</v>
      </c>
      <c r="BK84" s="4794">
        <f t="shared" si="177"/>
        <v>0</v>
      </c>
      <c r="BL84" s="4794">
        <f t="shared" si="178"/>
        <v>0</v>
      </c>
      <c r="BM84" s="4794">
        <f t="shared" si="179"/>
        <v>0</v>
      </c>
      <c r="BN84" s="4794">
        <f t="shared" si="180"/>
        <v>0</v>
      </c>
      <c r="BO84" s="4794">
        <f t="shared" si="181"/>
        <v>0</v>
      </c>
      <c r="BP84" s="4794">
        <f t="shared" si="182"/>
        <v>0</v>
      </c>
      <c r="BQ84" s="4794">
        <f t="shared" si="183"/>
        <v>0</v>
      </c>
      <c r="BR84" s="4794">
        <f t="shared" si="184"/>
        <v>0</v>
      </c>
      <c r="BS84" s="4794">
        <f t="shared" si="185"/>
        <v>0</v>
      </c>
      <c r="BT84" s="4794">
        <f t="shared" si="186"/>
        <v>0</v>
      </c>
      <c r="BU84" s="4794">
        <f t="shared" si="187"/>
        <v>0</v>
      </c>
      <c r="BV84" s="4794">
        <f t="shared" si="188"/>
        <v>0</v>
      </c>
      <c r="BW84" s="4794">
        <f t="shared" si="189"/>
        <v>0</v>
      </c>
      <c r="BX84" s="4794">
        <f t="shared" si="190"/>
        <v>0</v>
      </c>
      <c r="BY84" s="4794">
        <f t="shared" si="191"/>
        <v>0</v>
      </c>
      <c r="BZ84" s="4794">
        <f t="shared" si="192"/>
        <v>0</v>
      </c>
      <c r="CA84" s="4794">
        <f t="shared" si="193"/>
        <v>0</v>
      </c>
      <c r="CB84" s="4794">
        <f t="shared" si="194"/>
        <v>0</v>
      </c>
      <c r="CC84" s="4794">
        <f t="shared" si="195"/>
        <v>0</v>
      </c>
      <c r="CD84" s="4794">
        <f t="shared" si="196"/>
        <v>0</v>
      </c>
      <c r="CE84" s="4794">
        <f t="shared" si="197"/>
        <v>0</v>
      </c>
      <c r="CF84" s="4794">
        <f t="shared" si="198"/>
        <v>0</v>
      </c>
      <c r="CG84" s="4794">
        <f t="shared" si="199"/>
        <v>0</v>
      </c>
      <c r="CH84" s="4794">
        <f t="shared" si="200"/>
        <v>0</v>
      </c>
      <c r="CI84" s="4794">
        <f t="shared" si="201"/>
        <v>0</v>
      </c>
      <c r="CJ84" s="4794">
        <f t="shared" si="202"/>
        <v>0</v>
      </c>
      <c r="CK84" s="4794">
        <f t="shared" si="203"/>
        <v>0</v>
      </c>
    </row>
    <row r="85" spans="1:89" s="71" customFormat="1">
      <c r="A85" s="2930"/>
      <c r="B85" s="3829">
        <v>2040202</v>
      </c>
      <c r="C85" s="3802">
        <v>0.02</v>
      </c>
      <c r="D85" s="2886" t="s">
        <v>739</v>
      </c>
      <c r="E85" s="2864">
        <f>'11.2. ДА за периода'!E85</f>
        <v>0</v>
      </c>
      <c r="F85" s="2932">
        <f t="shared" si="226"/>
        <v>1</v>
      </c>
      <c r="G85" s="2933">
        <f t="shared" si="227"/>
        <v>2.5</v>
      </c>
      <c r="H85" s="2933">
        <f t="shared" si="228"/>
        <v>3.3</v>
      </c>
      <c r="I85" s="2933">
        <f t="shared" si="229"/>
        <v>3.9</v>
      </c>
      <c r="J85" s="2933">
        <f t="shared" si="230"/>
        <v>4.5</v>
      </c>
      <c r="K85" s="2934">
        <f t="shared" si="231"/>
        <v>5.0999999999999996</v>
      </c>
      <c r="L85" s="2864">
        <f>'11.2. ДА за периода'!L85</f>
        <v>0</v>
      </c>
      <c r="M85" s="2935">
        <f t="shared" si="232"/>
        <v>0</v>
      </c>
      <c r="N85" s="2933">
        <f t="shared" si="233"/>
        <v>0</v>
      </c>
      <c r="O85" s="2933">
        <f t="shared" si="234"/>
        <v>0</v>
      </c>
      <c r="P85" s="2933">
        <f t="shared" si="235"/>
        <v>0</v>
      </c>
      <c r="Q85" s="2934">
        <f t="shared" si="236"/>
        <v>0</v>
      </c>
      <c r="R85" s="2936">
        <f t="shared" si="237"/>
        <v>0</v>
      </c>
      <c r="S85" s="1132">
        <f>'11.2. ДА за периода'!S85</f>
        <v>0</v>
      </c>
      <c r="T85" s="2937">
        <f t="shared" si="238"/>
        <v>0</v>
      </c>
      <c r="U85" s="2933">
        <f t="shared" si="239"/>
        <v>0</v>
      </c>
      <c r="V85" s="2933">
        <f t="shared" si="240"/>
        <v>0</v>
      </c>
      <c r="W85" s="2933">
        <f t="shared" si="241"/>
        <v>0</v>
      </c>
      <c r="X85" s="2933">
        <f t="shared" si="242"/>
        <v>0</v>
      </c>
      <c r="Y85" s="2936">
        <f t="shared" si="243"/>
        <v>0</v>
      </c>
      <c r="Z85" s="1132">
        <f>'11.2. ДА за периода'!Z85</f>
        <v>0</v>
      </c>
      <c r="AA85" s="2937">
        <f t="shared" si="244"/>
        <v>0</v>
      </c>
      <c r="AB85" s="2933">
        <f t="shared" si="245"/>
        <v>0</v>
      </c>
      <c r="AC85" s="2933">
        <f t="shared" si="246"/>
        <v>0</v>
      </c>
      <c r="AD85" s="2933">
        <f t="shared" si="247"/>
        <v>0</v>
      </c>
      <c r="AE85" s="2933">
        <f t="shared" si="248"/>
        <v>0</v>
      </c>
      <c r="AF85" s="2934">
        <f t="shared" si="249"/>
        <v>0</v>
      </c>
      <c r="AG85" s="1132">
        <f>'11.2. ДА за периода'!AG85</f>
        <v>0</v>
      </c>
      <c r="AH85" s="2937">
        <f t="shared" si="250"/>
        <v>0</v>
      </c>
      <c r="AI85" s="2933">
        <f t="shared" si="251"/>
        <v>0</v>
      </c>
      <c r="AJ85" s="2933">
        <f t="shared" si="252"/>
        <v>0</v>
      </c>
      <c r="AK85" s="2933">
        <f t="shared" si="253"/>
        <v>0</v>
      </c>
      <c r="AL85" s="2933">
        <f t="shared" si="254"/>
        <v>0</v>
      </c>
      <c r="AM85" s="2934">
        <f t="shared" si="255"/>
        <v>0</v>
      </c>
      <c r="AN85" s="1132">
        <f>'11.2. ДА за периода'!AN85</f>
        <v>0</v>
      </c>
      <c r="AO85" s="2935">
        <f t="shared" si="256"/>
        <v>0</v>
      </c>
      <c r="AP85" s="2933">
        <f t="shared" si="257"/>
        <v>0</v>
      </c>
      <c r="AQ85" s="2933">
        <f t="shared" si="258"/>
        <v>0</v>
      </c>
      <c r="AR85" s="2933">
        <f t="shared" si="259"/>
        <v>0</v>
      </c>
      <c r="AS85" s="2933">
        <f t="shared" si="260"/>
        <v>0</v>
      </c>
      <c r="AT85" s="2936">
        <f t="shared" si="261"/>
        <v>0</v>
      </c>
      <c r="AU85" s="4775"/>
      <c r="AV85" s="4794">
        <f t="shared" si="162"/>
        <v>0</v>
      </c>
      <c r="AW85" s="4794">
        <f t="shared" si="163"/>
        <v>0.51129188119621849</v>
      </c>
      <c r="AX85" s="4794">
        <f t="shared" si="164"/>
        <v>1.2782297029905463</v>
      </c>
      <c r="AY85" s="4794">
        <f t="shared" si="165"/>
        <v>1.6872632079475209</v>
      </c>
      <c r="AZ85" s="4794">
        <f t="shared" si="166"/>
        <v>1.9940383366652521</v>
      </c>
      <c r="BA85" s="4794">
        <f t="shared" si="167"/>
        <v>2.300813465382983</v>
      </c>
      <c r="BB85" s="4794">
        <f t="shared" si="168"/>
        <v>2.6075885941007142</v>
      </c>
      <c r="BC85" s="4794">
        <f t="shared" si="169"/>
        <v>0</v>
      </c>
      <c r="BD85" s="4794">
        <f t="shared" si="170"/>
        <v>0</v>
      </c>
      <c r="BE85" s="4794">
        <f t="shared" si="171"/>
        <v>0</v>
      </c>
      <c r="BF85" s="4794">
        <f t="shared" si="172"/>
        <v>0</v>
      </c>
      <c r="BG85" s="4794">
        <f t="shared" si="173"/>
        <v>0</v>
      </c>
      <c r="BH85" s="4794">
        <f t="shared" si="174"/>
        <v>0</v>
      </c>
      <c r="BI85" s="4794">
        <f t="shared" si="175"/>
        <v>0</v>
      </c>
      <c r="BJ85" s="4794">
        <f t="shared" si="176"/>
        <v>0</v>
      </c>
      <c r="BK85" s="4794">
        <f t="shared" si="177"/>
        <v>0</v>
      </c>
      <c r="BL85" s="4794">
        <f t="shared" si="178"/>
        <v>0</v>
      </c>
      <c r="BM85" s="4794">
        <f t="shared" si="179"/>
        <v>0</v>
      </c>
      <c r="BN85" s="4794">
        <f t="shared" si="180"/>
        <v>0</v>
      </c>
      <c r="BO85" s="4794">
        <f t="shared" si="181"/>
        <v>0</v>
      </c>
      <c r="BP85" s="4794">
        <f t="shared" si="182"/>
        <v>0</v>
      </c>
      <c r="BQ85" s="4794">
        <f t="shared" si="183"/>
        <v>0</v>
      </c>
      <c r="BR85" s="4794">
        <f t="shared" si="184"/>
        <v>0</v>
      </c>
      <c r="BS85" s="4794">
        <f t="shared" si="185"/>
        <v>0</v>
      </c>
      <c r="BT85" s="4794">
        <f t="shared" si="186"/>
        <v>0</v>
      </c>
      <c r="BU85" s="4794">
        <f t="shared" si="187"/>
        <v>0</v>
      </c>
      <c r="BV85" s="4794">
        <f t="shared" si="188"/>
        <v>0</v>
      </c>
      <c r="BW85" s="4794">
        <f t="shared" si="189"/>
        <v>0</v>
      </c>
      <c r="BX85" s="4794">
        <f t="shared" si="190"/>
        <v>0</v>
      </c>
      <c r="BY85" s="4794">
        <f t="shared" si="191"/>
        <v>0</v>
      </c>
      <c r="BZ85" s="4794">
        <f t="shared" si="192"/>
        <v>0</v>
      </c>
      <c r="CA85" s="4794">
        <f t="shared" si="193"/>
        <v>0</v>
      </c>
      <c r="CB85" s="4794">
        <f t="shared" si="194"/>
        <v>0</v>
      </c>
      <c r="CC85" s="4794">
        <f t="shared" si="195"/>
        <v>0</v>
      </c>
      <c r="CD85" s="4794">
        <f t="shared" si="196"/>
        <v>0</v>
      </c>
      <c r="CE85" s="4794">
        <f t="shared" si="197"/>
        <v>0</v>
      </c>
      <c r="CF85" s="4794">
        <f t="shared" si="198"/>
        <v>0</v>
      </c>
      <c r="CG85" s="4794">
        <f t="shared" si="199"/>
        <v>0</v>
      </c>
      <c r="CH85" s="4794">
        <f t="shared" si="200"/>
        <v>0</v>
      </c>
      <c r="CI85" s="4794">
        <f t="shared" si="201"/>
        <v>0</v>
      </c>
      <c r="CJ85" s="4794">
        <f t="shared" si="202"/>
        <v>0</v>
      </c>
      <c r="CK85" s="4794">
        <f t="shared" si="203"/>
        <v>0</v>
      </c>
    </row>
    <row r="86" spans="1:89" s="71" customFormat="1">
      <c r="A86" s="2930"/>
      <c r="B86" s="3829">
        <v>2040203</v>
      </c>
      <c r="C86" s="3802">
        <v>0.02</v>
      </c>
      <c r="D86" s="2886" t="s">
        <v>418</v>
      </c>
      <c r="E86" s="2864">
        <f>'11.2. ДА за периода'!E86</f>
        <v>0</v>
      </c>
      <c r="F86" s="2932">
        <f t="shared" si="226"/>
        <v>0</v>
      </c>
      <c r="G86" s="2933">
        <f t="shared" si="227"/>
        <v>0</v>
      </c>
      <c r="H86" s="2933">
        <f t="shared" si="228"/>
        <v>0</v>
      </c>
      <c r="I86" s="2933">
        <f t="shared" si="229"/>
        <v>0</v>
      </c>
      <c r="J86" s="2933">
        <f t="shared" si="230"/>
        <v>0</v>
      </c>
      <c r="K86" s="2934">
        <f t="shared" si="231"/>
        <v>0</v>
      </c>
      <c r="L86" s="2864">
        <f>'11.2. ДА за периода'!L86</f>
        <v>0</v>
      </c>
      <c r="M86" s="2935">
        <f t="shared" si="232"/>
        <v>0</v>
      </c>
      <c r="N86" s="2933">
        <f t="shared" si="233"/>
        <v>0</v>
      </c>
      <c r="O86" s="2933">
        <f t="shared" si="234"/>
        <v>0</v>
      </c>
      <c r="P86" s="2933">
        <f t="shared" si="235"/>
        <v>0</v>
      </c>
      <c r="Q86" s="2934">
        <f t="shared" si="236"/>
        <v>0</v>
      </c>
      <c r="R86" s="2936">
        <f t="shared" si="237"/>
        <v>0</v>
      </c>
      <c r="S86" s="1132">
        <f>'11.2. ДА за периода'!S86</f>
        <v>0</v>
      </c>
      <c r="T86" s="2937">
        <f t="shared" si="238"/>
        <v>0</v>
      </c>
      <c r="U86" s="2933">
        <f t="shared" si="239"/>
        <v>0</v>
      </c>
      <c r="V86" s="2933">
        <f t="shared" si="240"/>
        <v>0</v>
      </c>
      <c r="W86" s="2933">
        <f t="shared" si="241"/>
        <v>0</v>
      </c>
      <c r="X86" s="2933">
        <f t="shared" si="242"/>
        <v>0</v>
      </c>
      <c r="Y86" s="2936">
        <f t="shared" si="243"/>
        <v>0</v>
      </c>
      <c r="Z86" s="1132">
        <f>'11.2. ДА за периода'!Z86</f>
        <v>0</v>
      </c>
      <c r="AA86" s="2937">
        <f t="shared" si="244"/>
        <v>0</v>
      </c>
      <c r="AB86" s="2933">
        <f t="shared" si="245"/>
        <v>0</v>
      </c>
      <c r="AC86" s="2933">
        <f t="shared" si="246"/>
        <v>0</v>
      </c>
      <c r="AD86" s="2933">
        <f t="shared" si="247"/>
        <v>0</v>
      </c>
      <c r="AE86" s="2933">
        <f t="shared" si="248"/>
        <v>0</v>
      </c>
      <c r="AF86" s="2934">
        <f t="shared" si="249"/>
        <v>0</v>
      </c>
      <c r="AG86" s="1132">
        <f>'11.2. ДА за периода'!AG86</f>
        <v>0</v>
      </c>
      <c r="AH86" s="2937">
        <f t="shared" si="250"/>
        <v>0</v>
      </c>
      <c r="AI86" s="2933">
        <f t="shared" si="251"/>
        <v>0</v>
      </c>
      <c r="AJ86" s="2933">
        <f t="shared" si="252"/>
        <v>0</v>
      </c>
      <c r="AK86" s="2933">
        <f t="shared" si="253"/>
        <v>0</v>
      </c>
      <c r="AL86" s="2933">
        <f t="shared" si="254"/>
        <v>0</v>
      </c>
      <c r="AM86" s="2934">
        <f t="shared" si="255"/>
        <v>0</v>
      </c>
      <c r="AN86" s="1132">
        <f>'11.2. ДА за периода'!AN86</f>
        <v>0</v>
      </c>
      <c r="AO86" s="2935">
        <f t="shared" si="256"/>
        <v>0</v>
      </c>
      <c r="AP86" s="2933">
        <f t="shared" si="257"/>
        <v>0</v>
      </c>
      <c r="AQ86" s="2933">
        <f t="shared" si="258"/>
        <v>0</v>
      </c>
      <c r="AR86" s="2933">
        <f t="shared" si="259"/>
        <v>0</v>
      </c>
      <c r="AS86" s="2933">
        <f t="shared" si="260"/>
        <v>0</v>
      </c>
      <c r="AT86" s="2936">
        <f t="shared" si="261"/>
        <v>0</v>
      </c>
      <c r="AU86" s="4775"/>
      <c r="AV86" s="4794">
        <f t="shared" si="162"/>
        <v>0</v>
      </c>
      <c r="AW86" s="4794">
        <f t="shared" si="163"/>
        <v>0</v>
      </c>
      <c r="AX86" s="4794">
        <f t="shared" si="164"/>
        <v>0</v>
      </c>
      <c r="AY86" s="4794">
        <f t="shared" si="165"/>
        <v>0</v>
      </c>
      <c r="AZ86" s="4794">
        <f t="shared" si="166"/>
        <v>0</v>
      </c>
      <c r="BA86" s="4794">
        <f t="shared" si="167"/>
        <v>0</v>
      </c>
      <c r="BB86" s="4794">
        <f t="shared" si="168"/>
        <v>0</v>
      </c>
      <c r="BC86" s="4794">
        <f t="shared" si="169"/>
        <v>0</v>
      </c>
      <c r="BD86" s="4794">
        <f t="shared" si="170"/>
        <v>0</v>
      </c>
      <c r="BE86" s="4794">
        <f t="shared" si="171"/>
        <v>0</v>
      </c>
      <c r="BF86" s="4794">
        <f t="shared" si="172"/>
        <v>0</v>
      </c>
      <c r="BG86" s="4794">
        <f t="shared" si="173"/>
        <v>0</v>
      </c>
      <c r="BH86" s="4794">
        <f t="shared" si="174"/>
        <v>0</v>
      </c>
      <c r="BI86" s="4794">
        <f t="shared" si="175"/>
        <v>0</v>
      </c>
      <c r="BJ86" s="4794">
        <f t="shared" si="176"/>
        <v>0</v>
      </c>
      <c r="BK86" s="4794">
        <f t="shared" si="177"/>
        <v>0</v>
      </c>
      <c r="BL86" s="4794">
        <f t="shared" si="178"/>
        <v>0</v>
      </c>
      <c r="BM86" s="4794">
        <f t="shared" si="179"/>
        <v>0</v>
      </c>
      <c r="BN86" s="4794">
        <f t="shared" si="180"/>
        <v>0</v>
      </c>
      <c r="BO86" s="4794">
        <f t="shared" si="181"/>
        <v>0</v>
      </c>
      <c r="BP86" s="4794">
        <f t="shared" si="182"/>
        <v>0</v>
      </c>
      <c r="BQ86" s="4794">
        <f t="shared" si="183"/>
        <v>0</v>
      </c>
      <c r="BR86" s="4794">
        <f t="shared" si="184"/>
        <v>0</v>
      </c>
      <c r="BS86" s="4794">
        <f t="shared" si="185"/>
        <v>0</v>
      </c>
      <c r="BT86" s="4794">
        <f t="shared" si="186"/>
        <v>0</v>
      </c>
      <c r="BU86" s="4794">
        <f t="shared" si="187"/>
        <v>0</v>
      </c>
      <c r="BV86" s="4794">
        <f t="shared" si="188"/>
        <v>0</v>
      </c>
      <c r="BW86" s="4794">
        <f t="shared" si="189"/>
        <v>0</v>
      </c>
      <c r="BX86" s="4794">
        <f t="shared" si="190"/>
        <v>0</v>
      </c>
      <c r="BY86" s="4794">
        <f t="shared" si="191"/>
        <v>0</v>
      </c>
      <c r="BZ86" s="4794">
        <f t="shared" si="192"/>
        <v>0</v>
      </c>
      <c r="CA86" s="4794">
        <f t="shared" si="193"/>
        <v>0</v>
      </c>
      <c r="CB86" s="4794">
        <f t="shared" si="194"/>
        <v>0</v>
      </c>
      <c r="CC86" s="4794">
        <f t="shared" si="195"/>
        <v>0</v>
      </c>
      <c r="CD86" s="4794">
        <f t="shared" si="196"/>
        <v>0</v>
      </c>
      <c r="CE86" s="4794">
        <f t="shared" si="197"/>
        <v>0</v>
      </c>
      <c r="CF86" s="4794">
        <f t="shared" si="198"/>
        <v>0</v>
      </c>
      <c r="CG86" s="4794">
        <f t="shared" si="199"/>
        <v>0</v>
      </c>
      <c r="CH86" s="4794">
        <f t="shared" si="200"/>
        <v>0</v>
      </c>
      <c r="CI86" s="4794">
        <f t="shared" si="201"/>
        <v>0</v>
      </c>
      <c r="CJ86" s="4794">
        <f t="shared" si="202"/>
        <v>0</v>
      </c>
      <c r="CK86" s="4794">
        <f t="shared" si="203"/>
        <v>0</v>
      </c>
    </row>
    <row r="87" spans="1:89" s="71" customFormat="1">
      <c r="A87" s="2930"/>
      <c r="B87" s="3829">
        <v>2040204</v>
      </c>
      <c r="C87" s="3802">
        <v>0.02</v>
      </c>
      <c r="D87" s="2888" t="s">
        <v>419</v>
      </c>
      <c r="E87" s="2864">
        <f>'11.2. ДА за периода'!E87</f>
        <v>0</v>
      </c>
      <c r="F87" s="2932">
        <f t="shared" si="226"/>
        <v>0</v>
      </c>
      <c r="G87" s="2933">
        <f t="shared" si="227"/>
        <v>0</v>
      </c>
      <c r="H87" s="2933">
        <f t="shared" si="228"/>
        <v>0</v>
      </c>
      <c r="I87" s="2933">
        <f t="shared" si="229"/>
        <v>0</v>
      </c>
      <c r="J87" s="2933">
        <f t="shared" si="230"/>
        <v>0</v>
      </c>
      <c r="K87" s="2934">
        <f t="shared" si="231"/>
        <v>0</v>
      </c>
      <c r="L87" s="2864">
        <f>'11.2. ДА за периода'!L87</f>
        <v>0</v>
      </c>
      <c r="M87" s="2935">
        <f t="shared" si="232"/>
        <v>0</v>
      </c>
      <c r="N87" s="2933">
        <f t="shared" si="233"/>
        <v>0</v>
      </c>
      <c r="O87" s="2933">
        <f t="shared" si="234"/>
        <v>0</v>
      </c>
      <c r="P87" s="2933">
        <f t="shared" si="235"/>
        <v>0</v>
      </c>
      <c r="Q87" s="2934">
        <f t="shared" si="236"/>
        <v>0</v>
      </c>
      <c r="R87" s="2936">
        <f t="shared" si="237"/>
        <v>0</v>
      </c>
      <c r="S87" s="1132">
        <f>'11.2. ДА за периода'!S87</f>
        <v>0</v>
      </c>
      <c r="T87" s="2937">
        <f t="shared" si="238"/>
        <v>0</v>
      </c>
      <c r="U87" s="2933">
        <f t="shared" si="239"/>
        <v>0</v>
      </c>
      <c r="V87" s="2933">
        <f t="shared" si="240"/>
        <v>0</v>
      </c>
      <c r="W87" s="2933">
        <f t="shared" si="241"/>
        <v>0</v>
      </c>
      <c r="X87" s="2933">
        <f t="shared" si="242"/>
        <v>0</v>
      </c>
      <c r="Y87" s="2936">
        <f t="shared" si="243"/>
        <v>0</v>
      </c>
      <c r="Z87" s="1132">
        <f>'11.2. ДА за периода'!Z87</f>
        <v>0</v>
      </c>
      <c r="AA87" s="2937">
        <f t="shared" si="244"/>
        <v>0</v>
      </c>
      <c r="AB87" s="2933">
        <f t="shared" si="245"/>
        <v>0</v>
      </c>
      <c r="AC87" s="2933">
        <f t="shared" si="246"/>
        <v>0</v>
      </c>
      <c r="AD87" s="2933">
        <f t="shared" si="247"/>
        <v>0</v>
      </c>
      <c r="AE87" s="2933">
        <f t="shared" si="248"/>
        <v>0</v>
      </c>
      <c r="AF87" s="2934">
        <f t="shared" si="249"/>
        <v>0</v>
      </c>
      <c r="AG87" s="1132">
        <f>'11.2. ДА за периода'!AG87</f>
        <v>0</v>
      </c>
      <c r="AH87" s="2937">
        <f t="shared" si="250"/>
        <v>0</v>
      </c>
      <c r="AI87" s="2933">
        <f t="shared" si="251"/>
        <v>0</v>
      </c>
      <c r="AJ87" s="2933">
        <f t="shared" si="252"/>
        <v>0</v>
      </c>
      <c r="AK87" s="2933">
        <f t="shared" si="253"/>
        <v>0</v>
      </c>
      <c r="AL87" s="2933">
        <f t="shared" si="254"/>
        <v>0</v>
      </c>
      <c r="AM87" s="2934">
        <f t="shared" si="255"/>
        <v>0</v>
      </c>
      <c r="AN87" s="1132">
        <f>'11.2. ДА за периода'!AN87</f>
        <v>0</v>
      </c>
      <c r="AO87" s="2935">
        <f t="shared" si="256"/>
        <v>0</v>
      </c>
      <c r="AP87" s="2933">
        <f t="shared" si="257"/>
        <v>0</v>
      </c>
      <c r="AQ87" s="2933">
        <f t="shared" si="258"/>
        <v>0</v>
      </c>
      <c r="AR87" s="2933">
        <f t="shared" si="259"/>
        <v>0</v>
      </c>
      <c r="AS87" s="2933">
        <f t="shared" si="260"/>
        <v>0</v>
      </c>
      <c r="AT87" s="2936">
        <f t="shared" si="261"/>
        <v>0</v>
      </c>
      <c r="AU87" s="4775"/>
      <c r="AV87" s="4794">
        <f t="shared" si="162"/>
        <v>0</v>
      </c>
      <c r="AW87" s="4794">
        <f t="shared" si="163"/>
        <v>0</v>
      </c>
      <c r="AX87" s="4794">
        <f t="shared" si="164"/>
        <v>0</v>
      </c>
      <c r="AY87" s="4794">
        <f t="shared" si="165"/>
        <v>0</v>
      </c>
      <c r="AZ87" s="4794">
        <f t="shared" si="166"/>
        <v>0</v>
      </c>
      <c r="BA87" s="4794">
        <f t="shared" si="167"/>
        <v>0</v>
      </c>
      <c r="BB87" s="4794">
        <f t="shared" si="168"/>
        <v>0</v>
      </c>
      <c r="BC87" s="4794">
        <f t="shared" si="169"/>
        <v>0</v>
      </c>
      <c r="BD87" s="4794">
        <f t="shared" si="170"/>
        <v>0</v>
      </c>
      <c r="BE87" s="4794">
        <f t="shared" si="171"/>
        <v>0</v>
      </c>
      <c r="BF87" s="4794">
        <f t="shared" si="172"/>
        <v>0</v>
      </c>
      <c r="BG87" s="4794">
        <f t="shared" si="173"/>
        <v>0</v>
      </c>
      <c r="BH87" s="4794">
        <f t="shared" si="174"/>
        <v>0</v>
      </c>
      <c r="BI87" s="4794">
        <f t="shared" si="175"/>
        <v>0</v>
      </c>
      <c r="BJ87" s="4794">
        <f t="shared" si="176"/>
        <v>0</v>
      </c>
      <c r="BK87" s="4794">
        <f t="shared" si="177"/>
        <v>0</v>
      </c>
      <c r="BL87" s="4794">
        <f t="shared" si="178"/>
        <v>0</v>
      </c>
      <c r="BM87" s="4794">
        <f t="shared" si="179"/>
        <v>0</v>
      </c>
      <c r="BN87" s="4794">
        <f t="shared" si="180"/>
        <v>0</v>
      </c>
      <c r="BO87" s="4794">
        <f t="shared" si="181"/>
        <v>0</v>
      </c>
      <c r="BP87" s="4794">
        <f t="shared" si="182"/>
        <v>0</v>
      </c>
      <c r="BQ87" s="4794">
        <f t="shared" si="183"/>
        <v>0</v>
      </c>
      <c r="BR87" s="4794">
        <f t="shared" si="184"/>
        <v>0</v>
      </c>
      <c r="BS87" s="4794">
        <f t="shared" si="185"/>
        <v>0</v>
      </c>
      <c r="BT87" s="4794">
        <f t="shared" si="186"/>
        <v>0</v>
      </c>
      <c r="BU87" s="4794">
        <f t="shared" si="187"/>
        <v>0</v>
      </c>
      <c r="BV87" s="4794">
        <f t="shared" si="188"/>
        <v>0</v>
      </c>
      <c r="BW87" s="4794">
        <f t="shared" si="189"/>
        <v>0</v>
      </c>
      <c r="BX87" s="4794">
        <f t="shared" si="190"/>
        <v>0</v>
      </c>
      <c r="BY87" s="4794">
        <f t="shared" si="191"/>
        <v>0</v>
      </c>
      <c r="BZ87" s="4794">
        <f t="shared" si="192"/>
        <v>0</v>
      </c>
      <c r="CA87" s="4794">
        <f t="shared" si="193"/>
        <v>0</v>
      </c>
      <c r="CB87" s="4794">
        <f t="shared" si="194"/>
        <v>0</v>
      </c>
      <c r="CC87" s="4794">
        <f t="shared" si="195"/>
        <v>0</v>
      </c>
      <c r="CD87" s="4794">
        <f t="shared" si="196"/>
        <v>0</v>
      </c>
      <c r="CE87" s="4794">
        <f t="shared" si="197"/>
        <v>0</v>
      </c>
      <c r="CF87" s="4794">
        <f t="shared" si="198"/>
        <v>0</v>
      </c>
      <c r="CG87" s="4794">
        <f t="shared" si="199"/>
        <v>0</v>
      </c>
      <c r="CH87" s="4794">
        <f t="shared" si="200"/>
        <v>0</v>
      </c>
      <c r="CI87" s="4794">
        <f t="shared" si="201"/>
        <v>0</v>
      </c>
      <c r="CJ87" s="4794">
        <f t="shared" si="202"/>
        <v>0</v>
      </c>
      <c r="CK87" s="4794">
        <f t="shared" si="203"/>
        <v>0</v>
      </c>
    </row>
    <row r="88" spans="1:89" s="71" customFormat="1">
      <c r="A88" s="2930"/>
      <c r="B88" s="3829">
        <v>2040205</v>
      </c>
      <c r="C88" s="3802">
        <v>0.02</v>
      </c>
      <c r="D88" s="2886" t="s">
        <v>420</v>
      </c>
      <c r="E88" s="2864">
        <f>'11.2. ДА за периода'!E88</f>
        <v>39.17</v>
      </c>
      <c r="F88" s="2932">
        <f t="shared" si="226"/>
        <v>41.5</v>
      </c>
      <c r="G88" s="2933">
        <f t="shared" si="227"/>
        <v>115.5</v>
      </c>
      <c r="H88" s="2933">
        <f t="shared" si="228"/>
        <v>175.5</v>
      </c>
      <c r="I88" s="2933">
        <f t="shared" si="229"/>
        <v>229.8</v>
      </c>
      <c r="J88" s="2933">
        <f t="shared" si="230"/>
        <v>282.75</v>
      </c>
      <c r="K88" s="2934">
        <f t="shared" si="231"/>
        <v>336.40000000000003</v>
      </c>
      <c r="L88" s="2864">
        <f>'11.2. ДА за периода'!L88</f>
        <v>0</v>
      </c>
      <c r="M88" s="2935">
        <f t="shared" si="232"/>
        <v>0</v>
      </c>
      <c r="N88" s="2933">
        <f t="shared" si="233"/>
        <v>0</v>
      </c>
      <c r="O88" s="2933">
        <f t="shared" si="234"/>
        <v>0</v>
      </c>
      <c r="P88" s="2933">
        <f t="shared" si="235"/>
        <v>0</v>
      </c>
      <c r="Q88" s="2934">
        <f t="shared" si="236"/>
        <v>0</v>
      </c>
      <c r="R88" s="2936">
        <f t="shared" si="237"/>
        <v>0</v>
      </c>
      <c r="S88" s="1132">
        <f>'11.2. ДА за периода'!S88</f>
        <v>0</v>
      </c>
      <c r="T88" s="2937">
        <f t="shared" si="238"/>
        <v>0</v>
      </c>
      <c r="U88" s="2933">
        <f t="shared" si="239"/>
        <v>0</v>
      </c>
      <c r="V88" s="2933">
        <f t="shared" si="240"/>
        <v>0</v>
      </c>
      <c r="W88" s="2933">
        <f t="shared" si="241"/>
        <v>0</v>
      </c>
      <c r="X88" s="2933">
        <f t="shared" si="242"/>
        <v>0</v>
      </c>
      <c r="Y88" s="2936">
        <f t="shared" si="243"/>
        <v>0</v>
      </c>
      <c r="Z88" s="1132">
        <f>'11.2. ДА за периода'!Z88</f>
        <v>0</v>
      </c>
      <c r="AA88" s="2937">
        <f t="shared" si="244"/>
        <v>0</v>
      </c>
      <c r="AB88" s="2933">
        <f t="shared" si="245"/>
        <v>0</v>
      </c>
      <c r="AC88" s="2933">
        <f t="shared" si="246"/>
        <v>0</v>
      </c>
      <c r="AD88" s="2933">
        <f t="shared" si="247"/>
        <v>0</v>
      </c>
      <c r="AE88" s="2933">
        <f t="shared" si="248"/>
        <v>0</v>
      </c>
      <c r="AF88" s="2934">
        <f t="shared" si="249"/>
        <v>0</v>
      </c>
      <c r="AG88" s="1132">
        <f>'11.2. ДА за периода'!AG88</f>
        <v>0</v>
      </c>
      <c r="AH88" s="2937">
        <f t="shared" si="250"/>
        <v>0</v>
      </c>
      <c r="AI88" s="2933">
        <f t="shared" si="251"/>
        <v>0</v>
      </c>
      <c r="AJ88" s="2933">
        <f t="shared" si="252"/>
        <v>0</v>
      </c>
      <c r="AK88" s="2933">
        <f t="shared" si="253"/>
        <v>0</v>
      </c>
      <c r="AL88" s="2933">
        <f t="shared" si="254"/>
        <v>0</v>
      </c>
      <c r="AM88" s="2934">
        <f t="shared" si="255"/>
        <v>0</v>
      </c>
      <c r="AN88" s="1132">
        <f>'11.2. ДА за периода'!AN88</f>
        <v>0</v>
      </c>
      <c r="AO88" s="2935">
        <f t="shared" si="256"/>
        <v>0</v>
      </c>
      <c r="AP88" s="2933">
        <f t="shared" si="257"/>
        <v>0</v>
      </c>
      <c r="AQ88" s="2933">
        <f t="shared" si="258"/>
        <v>0</v>
      </c>
      <c r="AR88" s="2933">
        <f t="shared" si="259"/>
        <v>0</v>
      </c>
      <c r="AS88" s="2933">
        <f t="shared" si="260"/>
        <v>0</v>
      </c>
      <c r="AT88" s="2936">
        <f t="shared" si="261"/>
        <v>0</v>
      </c>
      <c r="AU88" s="4775"/>
      <c r="AV88" s="4794">
        <f t="shared" si="162"/>
        <v>20.027302986455879</v>
      </c>
      <c r="AW88" s="4794">
        <f t="shared" si="163"/>
        <v>21.218613069643066</v>
      </c>
      <c r="AX88" s="4794">
        <f t="shared" si="164"/>
        <v>59.054212278163234</v>
      </c>
      <c r="AY88" s="4794">
        <f t="shared" si="165"/>
        <v>89.731725149936352</v>
      </c>
      <c r="AZ88" s="4794">
        <f t="shared" si="166"/>
        <v>117.49487429889102</v>
      </c>
      <c r="BA88" s="4794">
        <f t="shared" si="167"/>
        <v>144.56777940823079</v>
      </c>
      <c r="BB88" s="4794">
        <f t="shared" si="168"/>
        <v>171.99858883440791</v>
      </c>
      <c r="BC88" s="4794">
        <f t="shared" si="169"/>
        <v>0</v>
      </c>
      <c r="BD88" s="4794">
        <f t="shared" si="170"/>
        <v>0</v>
      </c>
      <c r="BE88" s="4794">
        <f t="shared" si="171"/>
        <v>0</v>
      </c>
      <c r="BF88" s="4794">
        <f t="shared" si="172"/>
        <v>0</v>
      </c>
      <c r="BG88" s="4794">
        <f t="shared" si="173"/>
        <v>0</v>
      </c>
      <c r="BH88" s="4794">
        <f t="shared" si="174"/>
        <v>0</v>
      </c>
      <c r="BI88" s="4794">
        <f t="shared" si="175"/>
        <v>0</v>
      </c>
      <c r="BJ88" s="4794">
        <f t="shared" si="176"/>
        <v>0</v>
      </c>
      <c r="BK88" s="4794">
        <f t="shared" si="177"/>
        <v>0</v>
      </c>
      <c r="BL88" s="4794">
        <f t="shared" si="178"/>
        <v>0</v>
      </c>
      <c r="BM88" s="4794">
        <f t="shared" si="179"/>
        <v>0</v>
      </c>
      <c r="BN88" s="4794">
        <f t="shared" si="180"/>
        <v>0</v>
      </c>
      <c r="BO88" s="4794">
        <f t="shared" si="181"/>
        <v>0</v>
      </c>
      <c r="BP88" s="4794">
        <f t="shared" si="182"/>
        <v>0</v>
      </c>
      <c r="BQ88" s="4794">
        <f t="shared" si="183"/>
        <v>0</v>
      </c>
      <c r="BR88" s="4794">
        <f t="shared" si="184"/>
        <v>0</v>
      </c>
      <c r="BS88" s="4794">
        <f t="shared" si="185"/>
        <v>0</v>
      </c>
      <c r="BT88" s="4794">
        <f t="shared" si="186"/>
        <v>0</v>
      </c>
      <c r="BU88" s="4794">
        <f t="shared" si="187"/>
        <v>0</v>
      </c>
      <c r="BV88" s="4794">
        <f t="shared" si="188"/>
        <v>0</v>
      </c>
      <c r="BW88" s="4794">
        <f t="shared" si="189"/>
        <v>0</v>
      </c>
      <c r="BX88" s="4794">
        <f t="shared" si="190"/>
        <v>0</v>
      </c>
      <c r="BY88" s="4794">
        <f t="shared" si="191"/>
        <v>0</v>
      </c>
      <c r="BZ88" s="4794">
        <f t="shared" si="192"/>
        <v>0</v>
      </c>
      <c r="CA88" s="4794">
        <f t="shared" si="193"/>
        <v>0</v>
      </c>
      <c r="CB88" s="4794">
        <f t="shared" si="194"/>
        <v>0</v>
      </c>
      <c r="CC88" s="4794">
        <f t="shared" si="195"/>
        <v>0</v>
      </c>
      <c r="CD88" s="4794">
        <f t="shared" si="196"/>
        <v>0</v>
      </c>
      <c r="CE88" s="4794">
        <f t="shared" si="197"/>
        <v>0</v>
      </c>
      <c r="CF88" s="4794">
        <f t="shared" si="198"/>
        <v>0</v>
      </c>
      <c r="CG88" s="4794">
        <f t="shared" si="199"/>
        <v>0</v>
      </c>
      <c r="CH88" s="4794">
        <f t="shared" si="200"/>
        <v>0</v>
      </c>
      <c r="CI88" s="4794">
        <f t="shared" si="201"/>
        <v>0</v>
      </c>
      <c r="CJ88" s="4794">
        <f t="shared" si="202"/>
        <v>0</v>
      </c>
      <c r="CK88" s="4794">
        <f t="shared" si="203"/>
        <v>0</v>
      </c>
    </row>
    <row r="89" spans="1:89" s="71" customFormat="1">
      <c r="A89" s="2930"/>
      <c r="B89" s="3829">
        <v>2040206</v>
      </c>
      <c r="C89" s="3802">
        <v>0.02</v>
      </c>
      <c r="D89" s="2886" t="s">
        <v>421</v>
      </c>
      <c r="E89" s="2864">
        <f>'11.2. ДА за периода'!E89</f>
        <v>0</v>
      </c>
      <c r="F89" s="2932">
        <f t="shared" si="226"/>
        <v>0</v>
      </c>
      <c r="G89" s="2933">
        <f t="shared" si="227"/>
        <v>0</v>
      </c>
      <c r="H89" s="2933">
        <f t="shared" si="228"/>
        <v>0</v>
      </c>
      <c r="I89" s="2933">
        <f t="shared" si="229"/>
        <v>0</v>
      </c>
      <c r="J89" s="2933">
        <f t="shared" si="230"/>
        <v>0</v>
      </c>
      <c r="K89" s="2934">
        <f t="shared" si="231"/>
        <v>0</v>
      </c>
      <c r="L89" s="2864">
        <f>'11.2. ДА за периода'!L89</f>
        <v>0.94000000000000006</v>
      </c>
      <c r="M89" s="2935">
        <f t="shared" si="232"/>
        <v>1.2</v>
      </c>
      <c r="N89" s="2933">
        <f t="shared" si="233"/>
        <v>4</v>
      </c>
      <c r="O89" s="2933">
        <f t="shared" si="234"/>
        <v>7.1999999999999993</v>
      </c>
      <c r="P89" s="2933">
        <f t="shared" si="235"/>
        <v>10.4</v>
      </c>
      <c r="Q89" s="2934">
        <f t="shared" si="236"/>
        <v>13.5</v>
      </c>
      <c r="R89" s="2936">
        <f t="shared" si="237"/>
        <v>16.5</v>
      </c>
      <c r="S89" s="1132">
        <f>'11.2. ДА за периода'!S89</f>
        <v>0</v>
      </c>
      <c r="T89" s="2937">
        <f t="shared" si="238"/>
        <v>0</v>
      </c>
      <c r="U89" s="2933">
        <f t="shared" si="239"/>
        <v>0</v>
      </c>
      <c r="V89" s="2933">
        <f t="shared" si="240"/>
        <v>0</v>
      </c>
      <c r="W89" s="2933">
        <f t="shared" si="241"/>
        <v>0</v>
      </c>
      <c r="X89" s="2933">
        <f t="shared" si="242"/>
        <v>0</v>
      </c>
      <c r="Y89" s="2936">
        <f t="shared" si="243"/>
        <v>0</v>
      </c>
      <c r="Z89" s="1132">
        <f>'11.2. ДА за периода'!Z89</f>
        <v>0</v>
      </c>
      <c r="AA89" s="2937">
        <f t="shared" si="244"/>
        <v>0</v>
      </c>
      <c r="AB89" s="2933">
        <f t="shared" si="245"/>
        <v>0</v>
      </c>
      <c r="AC89" s="2933">
        <f t="shared" si="246"/>
        <v>0</v>
      </c>
      <c r="AD89" s="2933">
        <f t="shared" si="247"/>
        <v>0</v>
      </c>
      <c r="AE89" s="2933">
        <f t="shared" si="248"/>
        <v>0</v>
      </c>
      <c r="AF89" s="2934">
        <f t="shared" si="249"/>
        <v>0</v>
      </c>
      <c r="AG89" s="1132">
        <f>'11.2. ДА за периода'!AG89</f>
        <v>0</v>
      </c>
      <c r="AH89" s="2937">
        <f t="shared" si="250"/>
        <v>0</v>
      </c>
      <c r="AI89" s="2933">
        <f t="shared" si="251"/>
        <v>0</v>
      </c>
      <c r="AJ89" s="2933">
        <f t="shared" si="252"/>
        <v>0</v>
      </c>
      <c r="AK89" s="2933">
        <f t="shared" si="253"/>
        <v>0</v>
      </c>
      <c r="AL89" s="2933">
        <f t="shared" si="254"/>
        <v>0</v>
      </c>
      <c r="AM89" s="2934">
        <f t="shared" si="255"/>
        <v>0</v>
      </c>
      <c r="AN89" s="1132">
        <f>'11.2. ДА за периода'!AN89</f>
        <v>0</v>
      </c>
      <c r="AO89" s="2935">
        <f t="shared" si="256"/>
        <v>0</v>
      </c>
      <c r="AP89" s="2933">
        <f t="shared" si="257"/>
        <v>0</v>
      </c>
      <c r="AQ89" s="2933">
        <f t="shared" si="258"/>
        <v>0</v>
      </c>
      <c r="AR89" s="2933">
        <f t="shared" si="259"/>
        <v>0</v>
      </c>
      <c r="AS89" s="2933">
        <f t="shared" si="260"/>
        <v>0</v>
      </c>
      <c r="AT89" s="2936">
        <f t="shared" si="261"/>
        <v>0</v>
      </c>
      <c r="AU89" s="4775"/>
      <c r="AV89" s="4794">
        <f t="shared" si="162"/>
        <v>0</v>
      </c>
      <c r="AW89" s="4794">
        <f t="shared" si="163"/>
        <v>0</v>
      </c>
      <c r="AX89" s="4794">
        <f t="shared" si="164"/>
        <v>0</v>
      </c>
      <c r="AY89" s="4794">
        <f t="shared" si="165"/>
        <v>0</v>
      </c>
      <c r="AZ89" s="4794">
        <f t="shared" si="166"/>
        <v>0</v>
      </c>
      <c r="BA89" s="4794">
        <f t="shared" si="167"/>
        <v>0</v>
      </c>
      <c r="BB89" s="4794">
        <f t="shared" si="168"/>
        <v>0</v>
      </c>
      <c r="BC89" s="4794">
        <f t="shared" si="169"/>
        <v>0.48061436832444543</v>
      </c>
      <c r="BD89" s="4794">
        <f t="shared" si="170"/>
        <v>0.61355025743546221</v>
      </c>
      <c r="BE89" s="4794">
        <f t="shared" si="171"/>
        <v>2.045167524784874</v>
      </c>
      <c r="BF89" s="4794">
        <f t="shared" si="172"/>
        <v>3.6813015446127726</v>
      </c>
      <c r="BG89" s="4794">
        <f t="shared" si="173"/>
        <v>5.3174355644406726</v>
      </c>
      <c r="BH89" s="4794">
        <f t="shared" si="174"/>
        <v>6.9024403961489496</v>
      </c>
      <c r="BI89" s="4794">
        <f t="shared" si="175"/>
        <v>8.4363160397376049</v>
      </c>
      <c r="BJ89" s="4794">
        <f t="shared" si="176"/>
        <v>0</v>
      </c>
      <c r="BK89" s="4794">
        <f t="shared" si="177"/>
        <v>0</v>
      </c>
      <c r="BL89" s="4794">
        <f t="shared" si="178"/>
        <v>0</v>
      </c>
      <c r="BM89" s="4794">
        <f t="shared" si="179"/>
        <v>0</v>
      </c>
      <c r="BN89" s="4794">
        <f t="shared" si="180"/>
        <v>0</v>
      </c>
      <c r="BO89" s="4794">
        <f t="shared" si="181"/>
        <v>0</v>
      </c>
      <c r="BP89" s="4794">
        <f t="shared" si="182"/>
        <v>0</v>
      </c>
      <c r="BQ89" s="4794">
        <f t="shared" si="183"/>
        <v>0</v>
      </c>
      <c r="BR89" s="4794">
        <f t="shared" si="184"/>
        <v>0</v>
      </c>
      <c r="BS89" s="4794">
        <f t="shared" si="185"/>
        <v>0</v>
      </c>
      <c r="BT89" s="4794">
        <f t="shared" si="186"/>
        <v>0</v>
      </c>
      <c r="BU89" s="4794">
        <f t="shared" si="187"/>
        <v>0</v>
      </c>
      <c r="BV89" s="4794">
        <f t="shared" si="188"/>
        <v>0</v>
      </c>
      <c r="BW89" s="4794">
        <f t="shared" si="189"/>
        <v>0</v>
      </c>
      <c r="BX89" s="4794">
        <f t="shared" si="190"/>
        <v>0</v>
      </c>
      <c r="BY89" s="4794">
        <f t="shared" si="191"/>
        <v>0</v>
      </c>
      <c r="BZ89" s="4794">
        <f t="shared" si="192"/>
        <v>0</v>
      </c>
      <c r="CA89" s="4794">
        <f t="shared" si="193"/>
        <v>0</v>
      </c>
      <c r="CB89" s="4794">
        <f t="shared" si="194"/>
        <v>0</v>
      </c>
      <c r="CC89" s="4794">
        <f t="shared" si="195"/>
        <v>0</v>
      </c>
      <c r="CD89" s="4794">
        <f t="shared" si="196"/>
        <v>0</v>
      </c>
      <c r="CE89" s="4794">
        <f t="shared" si="197"/>
        <v>0</v>
      </c>
      <c r="CF89" s="4794">
        <f t="shared" si="198"/>
        <v>0</v>
      </c>
      <c r="CG89" s="4794">
        <f t="shared" si="199"/>
        <v>0</v>
      </c>
      <c r="CH89" s="4794">
        <f t="shared" si="200"/>
        <v>0</v>
      </c>
      <c r="CI89" s="4794">
        <f t="shared" si="201"/>
        <v>0</v>
      </c>
      <c r="CJ89" s="4794">
        <f t="shared" si="202"/>
        <v>0</v>
      </c>
      <c r="CK89" s="4794">
        <f t="shared" si="203"/>
        <v>0</v>
      </c>
    </row>
    <row r="90" spans="1:89" s="71" customFormat="1" ht="24">
      <c r="A90" s="2930"/>
      <c r="B90" s="3829">
        <v>2040207</v>
      </c>
      <c r="C90" s="3802">
        <v>0.04</v>
      </c>
      <c r="D90" s="2886" t="s">
        <v>422</v>
      </c>
      <c r="E90" s="2864">
        <f>'11.2. ДА за периода'!E90</f>
        <v>5.22</v>
      </c>
      <c r="F90" s="2932">
        <f t="shared" si="226"/>
        <v>4.2</v>
      </c>
      <c r="G90" s="2933">
        <f t="shared" si="227"/>
        <v>11</v>
      </c>
      <c r="H90" s="2933">
        <f t="shared" si="228"/>
        <v>15.600000000000001</v>
      </c>
      <c r="I90" s="2933">
        <f t="shared" si="229"/>
        <v>19.600000000000001</v>
      </c>
      <c r="J90" s="2933">
        <f t="shared" si="230"/>
        <v>23.6</v>
      </c>
      <c r="K90" s="2934">
        <f t="shared" si="231"/>
        <v>27.6</v>
      </c>
      <c r="L90" s="2864">
        <f>'11.2. ДА за периода'!L90</f>
        <v>0</v>
      </c>
      <c r="M90" s="2935">
        <f t="shared" si="232"/>
        <v>0</v>
      </c>
      <c r="N90" s="2933">
        <f t="shared" si="233"/>
        <v>0</v>
      </c>
      <c r="O90" s="2933">
        <f t="shared" si="234"/>
        <v>0</v>
      </c>
      <c r="P90" s="2933">
        <f t="shared" si="235"/>
        <v>0</v>
      </c>
      <c r="Q90" s="2934">
        <f t="shared" si="236"/>
        <v>0</v>
      </c>
      <c r="R90" s="2936">
        <f t="shared" si="237"/>
        <v>0</v>
      </c>
      <c r="S90" s="1132">
        <f>'11.2. ДА за периода'!S90</f>
        <v>1.86</v>
      </c>
      <c r="T90" s="2937">
        <f t="shared" si="238"/>
        <v>2</v>
      </c>
      <c r="U90" s="2933">
        <f t="shared" si="239"/>
        <v>6</v>
      </c>
      <c r="V90" s="2933">
        <f t="shared" si="240"/>
        <v>10</v>
      </c>
      <c r="W90" s="2933">
        <f t="shared" si="241"/>
        <v>14</v>
      </c>
      <c r="X90" s="2933">
        <f t="shared" si="242"/>
        <v>18</v>
      </c>
      <c r="Y90" s="2936">
        <f t="shared" si="243"/>
        <v>22</v>
      </c>
      <c r="Z90" s="1132">
        <f>'11.2. ДА за периода'!Z90</f>
        <v>0</v>
      </c>
      <c r="AA90" s="2937">
        <f t="shared" si="244"/>
        <v>0</v>
      </c>
      <c r="AB90" s="2933">
        <f t="shared" si="245"/>
        <v>0</v>
      </c>
      <c r="AC90" s="2933">
        <f t="shared" si="246"/>
        <v>0</v>
      </c>
      <c r="AD90" s="2933">
        <f t="shared" si="247"/>
        <v>0</v>
      </c>
      <c r="AE90" s="2933">
        <f t="shared" si="248"/>
        <v>0</v>
      </c>
      <c r="AF90" s="2934">
        <f t="shared" si="249"/>
        <v>0</v>
      </c>
      <c r="AG90" s="1132">
        <f>'11.2. ДА за периода'!AG90</f>
        <v>0</v>
      </c>
      <c r="AH90" s="2937">
        <f t="shared" si="250"/>
        <v>0</v>
      </c>
      <c r="AI90" s="2933">
        <f t="shared" si="251"/>
        <v>0</v>
      </c>
      <c r="AJ90" s="2933">
        <f t="shared" si="252"/>
        <v>0</v>
      </c>
      <c r="AK90" s="2933">
        <f t="shared" si="253"/>
        <v>0</v>
      </c>
      <c r="AL90" s="2933">
        <f t="shared" si="254"/>
        <v>0</v>
      </c>
      <c r="AM90" s="2934">
        <f t="shared" si="255"/>
        <v>0</v>
      </c>
      <c r="AN90" s="1132">
        <f>'11.2. ДА за периода'!AN90</f>
        <v>0</v>
      </c>
      <c r="AO90" s="2935">
        <f t="shared" si="256"/>
        <v>0</v>
      </c>
      <c r="AP90" s="2933">
        <f t="shared" si="257"/>
        <v>0</v>
      </c>
      <c r="AQ90" s="2933">
        <f t="shared" si="258"/>
        <v>0</v>
      </c>
      <c r="AR90" s="2933">
        <f t="shared" si="259"/>
        <v>0</v>
      </c>
      <c r="AS90" s="2933">
        <f t="shared" si="260"/>
        <v>0</v>
      </c>
      <c r="AT90" s="2936">
        <f t="shared" si="261"/>
        <v>0</v>
      </c>
      <c r="AU90" s="4775"/>
      <c r="AV90" s="4794">
        <f t="shared" si="162"/>
        <v>2.6689436198442604</v>
      </c>
      <c r="AW90" s="4794">
        <f t="shared" si="163"/>
        <v>2.1474259010241177</v>
      </c>
      <c r="AX90" s="4794">
        <f t="shared" si="164"/>
        <v>5.6242106931584033</v>
      </c>
      <c r="AY90" s="4794">
        <f t="shared" si="165"/>
        <v>7.9761533466610093</v>
      </c>
      <c r="AZ90" s="4794">
        <f t="shared" si="166"/>
        <v>10.021320871445884</v>
      </c>
      <c r="BA90" s="4794">
        <f t="shared" si="167"/>
        <v>12.066488396230758</v>
      </c>
      <c r="BB90" s="4794">
        <f t="shared" si="168"/>
        <v>14.111655921015631</v>
      </c>
      <c r="BC90" s="4794">
        <f t="shared" si="169"/>
        <v>0</v>
      </c>
      <c r="BD90" s="4794">
        <f t="shared" si="170"/>
        <v>0</v>
      </c>
      <c r="BE90" s="4794">
        <f t="shared" si="171"/>
        <v>0</v>
      </c>
      <c r="BF90" s="4794">
        <f t="shared" si="172"/>
        <v>0</v>
      </c>
      <c r="BG90" s="4794">
        <f t="shared" si="173"/>
        <v>0</v>
      </c>
      <c r="BH90" s="4794">
        <f t="shared" si="174"/>
        <v>0</v>
      </c>
      <c r="BI90" s="4794">
        <f t="shared" si="175"/>
        <v>0</v>
      </c>
      <c r="BJ90" s="4794">
        <f t="shared" si="176"/>
        <v>0.95100289902496649</v>
      </c>
      <c r="BK90" s="4794">
        <f t="shared" si="177"/>
        <v>1.022583762392437</v>
      </c>
      <c r="BL90" s="4794">
        <f t="shared" si="178"/>
        <v>3.0677512871773112</v>
      </c>
      <c r="BM90" s="4794">
        <f t="shared" si="179"/>
        <v>5.1129188119621851</v>
      </c>
      <c r="BN90" s="4794">
        <f t="shared" si="180"/>
        <v>7.1580863367470586</v>
      </c>
      <c r="BO90" s="4794">
        <f t="shared" si="181"/>
        <v>9.2032538615319321</v>
      </c>
      <c r="BP90" s="4794">
        <f t="shared" si="182"/>
        <v>11.248421386316807</v>
      </c>
      <c r="BQ90" s="4794">
        <f t="shared" si="183"/>
        <v>0</v>
      </c>
      <c r="BR90" s="4794">
        <f t="shared" si="184"/>
        <v>0</v>
      </c>
      <c r="BS90" s="4794">
        <f t="shared" si="185"/>
        <v>0</v>
      </c>
      <c r="BT90" s="4794">
        <f t="shared" si="186"/>
        <v>0</v>
      </c>
      <c r="BU90" s="4794">
        <f t="shared" si="187"/>
        <v>0</v>
      </c>
      <c r="BV90" s="4794">
        <f t="shared" si="188"/>
        <v>0</v>
      </c>
      <c r="BW90" s="4794">
        <f t="shared" si="189"/>
        <v>0</v>
      </c>
      <c r="BX90" s="4794">
        <f t="shared" si="190"/>
        <v>0</v>
      </c>
      <c r="BY90" s="4794">
        <f t="shared" si="191"/>
        <v>0</v>
      </c>
      <c r="BZ90" s="4794">
        <f t="shared" si="192"/>
        <v>0</v>
      </c>
      <c r="CA90" s="4794">
        <f t="shared" si="193"/>
        <v>0</v>
      </c>
      <c r="CB90" s="4794">
        <f t="shared" si="194"/>
        <v>0</v>
      </c>
      <c r="CC90" s="4794">
        <f t="shared" si="195"/>
        <v>0</v>
      </c>
      <c r="CD90" s="4794">
        <f t="shared" si="196"/>
        <v>0</v>
      </c>
      <c r="CE90" s="4794">
        <f t="shared" si="197"/>
        <v>0</v>
      </c>
      <c r="CF90" s="4794">
        <f t="shared" si="198"/>
        <v>0</v>
      </c>
      <c r="CG90" s="4794">
        <f t="shared" si="199"/>
        <v>0</v>
      </c>
      <c r="CH90" s="4794">
        <f t="shared" si="200"/>
        <v>0</v>
      </c>
      <c r="CI90" s="4794">
        <f t="shared" si="201"/>
        <v>0</v>
      </c>
      <c r="CJ90" s="4794">
        <f t="shared" si="202"/>
        <v>0</v>
      </c>
      <c r="CK90" s="4794">
        <f t="shared" si="203"/>
        <v>0</v>
      </c>
    </row>
    <row r="91" spans="1:89" s="71" customFormat="1">
      <c r="A91" s="2930"/>
      <c r="B91" s="3829">
        <v>2040208</v>
      </c>
      <c r="C91" s="3802">
        <v>0.04</v>
      </c>
      <c r="D91" s="2886" t="s">
        <v>423</v>
      </c>
      <c r="E91" s="2864">
        <f>'11.2. ДА за периода'!E91</f>
        <v>0</v>
      </c>
      <c r="F91" s="2932">
        <f t="shared" si="226"/>
        <v>0</v>
      </c>
      <c r="G91" s="2933">
        <f t="shared" si="227"/>
        <v>0</v>
      </c>
      <c r="H91" s="2933">
        <f t="shared" si="228"/>
        <v>0</v>
      </c>
      <c r="I91" s="2933">
        <f t="shared" si="229"/>
        <v>0</v>
      </c>
      <c r="J91" s="2933">
        <f t="shared" si="230"/>
        <v>0</v>
      </c>
      <c r="K91" s="2934">
        <f t="shared" si="231"/>
        <v>0</v>
      </c>
      <c r="L91" s="2864">
        <f>'11.2. ДА за периода'!L91</f>
        <v>0</v>
      </c>
      <c r="M91" s="2935">
        <f t="shared" si="232"/>
        <v>0</v>
      </c>
      <c r="N91" s="2933">
        <f t="shared" si="233"/>
        <v>0</v>
      </c>
      <c r="O91" s="2933">
        <f t="shared" si="234"/>
        <v>0</v>
      </c>
      <c r="P91" s="2933">
        <f t="shared" si="235"/>
        <v>0</v>
      </c>
      <c r="Q91" s="2934">
        <f t="shared" si="236"/>
        <v>0</v>
      </c>
      <c r="R91" s="2936">
        <f t="shared" si="237"/>
        <v>0</v>
      </c>
      <c r="S91" s="1132">
        <f>'11.2. ДА за периода'!S91</f>
        <v>0</v>
      </c>
      <c r="T91" s="2937">
        <f t="shared" si="238"/>
        <v>0</v>
      </c>
      <c r="U91" s="2933">
        <f t="shared" si="239"/>
        <v>0</v>
      </c>
      <c r="V91" s="2933">
        <f t="shared" si="240"/>
        <v>0</v>
      </c>
      <c r="W91" s="2933">
        <f t="shared" si="241"/>
        <v>0</v>
      </c>
      <c r="X91" s="2933">
        <f t="shared" si="242"/>
        <v>0</v>
      </c>
      <c r="Y91" s="2936">
        <f t="shared" si="243"/>
        <v>0</v>
      </c>
      <c r="Z91" s="1132">
        <f>'11.2. ДА за периода'!Z91</f>
        <v>0</v>
      </c>
      <c r="AA91" s="2937">
        <f t="shared" si="244"/>
        <v>0</v>
      </c>
      <c r="AB91" s="2933">
        <f t="shared" si="245"/>
        <v>0</v>
      </c>
      <c r="AC91" s="2933">
        <f t="shared" si="246"/>
        <v>0</v>
      </c>
      <c r="AD91" s="2933">
        <f t="shared" si="247"/>
        <v>0</v>
      </c>
      <c r="AE91" s="2933">
        <f t="shared" si="248"/>
        <v>0</v>
      </c>
      <c r="AF91" s="2934">
        <f t="shared" si="249"/>
        <v>0</v>
      </c>
      <c r="AG91" s="1132">
        <f>'11.2. ДА за периода'!AG91</f>
        <v>0</v>
      </c>
      <c r="AH91" s="2937">
        <f t="shared" si="250"/>
        <v>0</v>
      </c>
      <c r="AI91" s="2933">
        <f t="shared" si="251"/>
        <v>0</v>
      </c>
      <c r="AJ91" s="2933">
        <f t="shared" si="252"/>
        <v>0</v>
      </c>
      <c r="AK91" s="2933">
        <f t="shared" si="253"/>
        <v>0</v>
      </c>
      <c r="AL91" s="2933">
        <f t="shared" si="254"/>
        <v>0</v>
      </c>
      <c r="AM91" s="2934">
        <f t="shared" si="255"/>
        <v>0</v>
      </c>
      <c r="AN91" s="1132">
        <f>'11.2. ДА за периода'!AN91</f>
        <v>0</v>
      </c>
      <c r="AO91" s="2935">
        <f t="shared" si="256"/>
        <v>0</v>
      </c>
      <c r="AP91" s="2933">
        <f t="shared" si="257"/>
        <v>0</v>
      </c>
      <c r="AQ91" s="2933">
        <f t="shared" si="258"/>
        <v>0</v>
      </c>
      <c r="AR91" s="2933">
        <f t="shared" si="259"/>
        <v>0</v>
      </c>
      <c r="AS91" s="2933">
        <f t="shared" si="260"/>
        <v>0</v>
      </c>
      <c r="AT91" s="2936">
        <f t="shared" si="261"/>
        <v>0</v>
      </c>
      <c r="AU91" s="4775"/>
      <c r="AV91" s="4794">
        <f t="shared" si="162"/>
        <v>0</v>
      </c>
      <c r="AW91" s="4794">
        <f t="shared" si="163"/>
        <v>0</v>
      </c>
      <c r="AX91" s="4794">
        <f t="shared" si="164"/>
        <v>0</v>
      </c>
      <c r="AY91" s="4794">
        <f t="shared" si="165"/>
        <v>0</v>
      </c>
      <c r="AZ91" s="4794">
        <f t="shared" si="166"/>
        <v>0</v>
      </c>
      <c r="BA91" s="4794">
        <f t="shared" si="167"/>
        <v>0</v>
      </c>
      <c r="BB91" s="4794">
        <f t="shared" si="168"/>
        <v>0</v>
      </c>
      <c r="BC91" s="4794">
        <f t="shared" si="169"/>
        <v>0</v>
      </c>
      <c r="BD91" s="4794">
        <f t="shared" si="170"/>
        <v>0</v>
      </c>
      <c r="BE91" s="4794">
        <f t="shared" si="171"/>
        <v>0</v>
      </c>
      <c r="BF91" s="4794">
        <f t="shared" si="172"/>
        <v>0</v>
      </c>
      <c r="BG91" s="4794">
        <f t="shared" si="173"/>
        <v>0</v>
      </c>
      <c r="BH91" s="4794">
        <f t="shared" si="174"/>
        <v>0</v>
      </c>
      <c r="BI91" s="4794">
        <f t="shared" si="175"/>
        <v>0</v>
      </c>
      <c r="BJ91" s="4794">
        <f t="shared" si="176"/>
        <v>0</v>
      </c>
      <c r="BK91" s="4794">
        <f t="shared" si="177"/>
        <v>0</v>
      </c>
      <c r="BL91" s="4794">
        <f t="shared" si="178"/>
        <v>0</v>
      </c>
      <c r="BM91" s="4794">
        <f t="shared" si="179"/>
        <v>0</v>
      </c>
      <c r="BN91" s="4794">
        <f t="shared" si="180"/>
        <v>0</v>
      </c>
      <c r="BO91" s="4794">
        <f t="shared" si="181"/>
        <v>0</v>
      </c>
      <c r="BP91" s="4794">
        <f t="shared" si="182"/>
        <v>0</v>
      </c>
      <c r="BQ91" s="4794">
        <f t="shared" si="183"/>
        <v>0</v>
      </c>
      <c r="BR91" s="4794">
        <f t="shared" si="184"/>
        <v>0</v>
      </c>
      <c r="BS91" s="4794">
        <f t="shared" si="185"/>
        <v>0</v>
      </c>
      <c r="BT91" s="4794">
        <f t="shared" si="186"/>
        <v>0</v>
      </c>
      <c r="BU91" s="4794">
        <f t="shared" si="187"/>
        <v>0</v>
      </c>
      <c r="BV91" s="4794">
        <f t="shared" si="188"/>
        <v>0</v>
      </c>
      <c r="BW91" s="4794">
        <f t="shared" si="189"/>
        <v>0</v>
      </c>
      <c r="BX91" s="4794">
        <f t="shared" si="190"/>
        <v>0</v>
      </c>
      <c r="BY91" s="4794">
        <f t="shared" si="191"/>
        <v>0</v>
      </c>
      <c r="BZ91" s="4794">
        <f t="shared" si="192"/>
        <v>0</v>
      </c>
      <c r="CA91" s="4794">
        <f t="shared" si="193"/>
        <v>0</v>
      </c>
      <c r="CB91" s="4794">
        <f t="shared" si="194"/>
        <v>0</v>
      </c>
      <c r="CC91" s="4794">
        <f t="shared" si="195"/>
        <v>0</v>
      </c>
      <c r="CD91" s="4794">
        <f t="shared" si="196"/>
        <v>0</v>
      </c>
      <c r="CE91" s="4794">
        <f t="shared" si="197"/>
        <v>0</v>
      </c>
      <c r="CF91" s="4794">
        <f t="shared" si="198"/>
        <v>0</v>
      </c>
      <c r="CG91" s="4794">
        <f t="shared" si="199"/>
        <v>0</v>
      </c>
      <c r="CH91" s="4794">
        <f t="shared" si="200"/>
        <v>0</v>
      </c>
      <c r="CI91" s="4794">
        <f t="shared" si="201"/>
        <v>0</v>
      </c>
      <c r="CJ91" s="4794">
        <f t="shared" si="202"/>
        <v>0</v>
      </c>
      <c r="CK91" s="4794">
        <f t="shared" si="203"/>
        <v>0</v>
      </c>
    </row>
    <row r="92" spans="1:89">
      <c r="A92" s="2876"/>
      <c r="B92" s="3820">
        <v>20403</v>
      </c>
      <c r="C92" s="3803">
        <v>0.04</v>
      </c>
      <c r="D92" s="2889" t="s">
        <v>1050</v>
      </c>
      <c r="E92" s="2864">
        <f>'11.2. ДА за периода'!E92</f>
        <v>0</v>
      </c>
      <c r="F92" s="2792">
        <f t="shared" si="226"/>
        <v>0</v>
      </c>
      <c r="G92" s="1243">
        <f t="shared" si="227"/>
        <v>0</v>
      </c>
      <c r="H92" s="1243">
        <f t="shared" si="228"/>
        <v>0</v>
      </c>
      <c r="I92" s="1243">
        <f t="shared" si="229"/>
        <v>0</v>
      </c>
      <c r="J92" s="1243">
        <f t="shared" si="230"/>
        <v>0</v>
      </c>
      <c r="K92" s="2798">
        <f t="shared" si="231"/>
        <v>0</v>
      </c>
      <c r="L92" s="2864">
        <f>'11.2. ДА за периода'!L92</f>
        <v>0</v>
      </c>
      <c r="M92" s="1247">
        <f t="shared" si="232"/>
        <v>0</v>
      </c>
      <c r="N92" s="1243">
        <f t="shared" si="233"/>
        <v>0</v>
      </c>
      <c r="O92" s="1243">
        <f t="shared" si="234"/>
        <v>0</v>
      </c>
      <c r="P92" s="1243">
        <f t="shared" si="235"/>
        <v>0</v>
      </c>
      <c r="Q92" s="2798">
        <f t="shared" si="236"/>
        <v>0</v>
      </c>
      <c r="R92" s="1248">
        <f t="shared" si="237"/>
        <v>0</v>
      </c>
      <c r="S92" s="1132">
        <f>'11.2. ДА за периода'!S92</f>
        <v>0</v>
      </c>
      <c r="T92" s="927">
        <f t="shared" si="238"/>
        <v>0</v>
      </c>
      <c r="U92" s="1243">
        <f t="shared" si="239"/>
        <v>0</v>
      </c>
      <c r="V92" s="1243">
        <f t="shared" si="240"/>
        <v>0</v>
      </c>
      <c r="W92" s="1243">
        <f t="shared" si="241"/>
        <v>0</v>
      </c>
      <c r="X92" s="1243">
        <f t="shared" si="242"/>
        <v>0</v>
      </c>
      <c r="Y92" s="1248">
        <f t="shared" si="243"/>
        <v>0</v>
      </c>
      <c r="Z92" s="1132">
        <f>'11.2. ДА за периода'!Z92</f>
        <v>0</v>
      </c>
      <c r="AA92" s="927">
        <f t="shared" si="244"/>
        <v>0</v>
      </c>
      <c r="AB92" s="1243">
        <f t="shared" si="245"/>
        <v>0</v>
      </c>
      <c r="AC92" s="1243">
        <f t="shared" si="246"/>
        <v>0</v>
      </c>
      <c r="AD92" s="1243">
        <f t="shared" si="247"/>
        <v>0</v>
      </c>
      <c r="AE92" s="1243">
        <f t="shared" si="248"/>
        <v>0</v>
      </c>
      <c r="AF92" s="2798">
        <f t="shared" si="249"/>
        <v>0</v>
      </c>
      <c r="AG92" s="1132">
        <f>'11.2. ДА за периода'!AG92</f>
        <v>0</v>
      </c>
      <c r="AH92" s="927">
        <f t="shared" si="250"/>
        <v>0</v>
      </c>
      <c r="AI92" s="1243">
        <f t="shared" si="251"/>
        <v>0</v>
      </c>
      <c r="AJ92" s="1243">
        <f t="shared" si="252"/>
        <v>0</v>
      </c>
      <c r="AK92" s="1243">
        <f t="shared" si="253"/>
        <v>0</v>
      </c>
      <c r="AL92" s="1243">
        <f t="shared" si="254"/>
        <v>0</v>
      </c>
      <c r="AM92" s="2798">
        <f t="shared" si="255"/>
        <v>0</v>
      </c>
      <c r="AN92" s="1132">
        <f>'11.2. ДА за периода'!AN92</f>
        <v>0</v>
      </c>
      <c r="AO92" s="1247">
        <f t="shared" si="256"/>
        <v>0</v>
      </c>
      <c r="AP92" s="1243">
        <f t="shared" si="257"/>
        <v>0</v>
      </c>
      <c r="AQ92" s="1243">
        <f t="shared" si="258"/>
        <v>0</v>
      </c>
      <c r="AR92" s="1243">
        <f t="shared" si="259"/>
        <v>0</v>
      </c>
      <c r="AS92" s="1243">
        <f t="shared" si="260"/>
        <v>0</v>
      </c>
      <c r="AT92" s="1248">
        <f t="shared" si="261"/>
        <v>0</v>
      </c>
      <c r="AU92" s="4775"/>
      <c r="AV92" s="4794">
        <f t="shared" si="162"/>
        <v>0</v>
      </c>
      <c r="AW92" s="4794">
        <f t="shared" si="163"/>
        <v>0</v>
      </c>
      <c r="AX92" s="4794">
        <f t="shared" si="164"/>
        <v>0</v>
      </c>
      <c r="AY92" s="4794">
        <f t="shared" si="165"/>
        <v>0</v>
      </c>
      <c r="AZ92" s="4794">
        <f t="shared" si="166"/>
        <v>0</v>
      </c>
      <c r="BA92" s="4794">
        <f t="shared" si="167"/>
        <v>0</v>
      </c>
      <c r="BB92" s="4794">
        <f t="shared" si="168"/>
        <v>0</v>
      </c>
      <c r="BC92" s="4794">
        <f t="shared" si="169"/>
        <v>0</v>
      </c>
      <c r="BD92" s="4794">
        <f t="shared" si="170"/>
        <v>0</v>
      </c>
      <c r="BE92" s="4794">
        <f t="shared" si="171"/>
        <v>0</v>
      </c>
      <c r="BF92" s="4794">
        <f t="shared" si="172"/>
        <v>0</v>
      </c>
      <c r="BG92" s="4794">
        <f t="shared" si="173"/>
        <v>0</v>
      </c>
      <c r="BH92" s="4794">
        <f t="shared" si="174"/>
        <v>0</v>
      </c>
      <c r="BI92" s="4794">
        <f t="shared" si="175"/>
        <v>0</v>
      </c>
      <c r="BJ92" s="4794">
        <f t="shared" si="176"/>
        <v>0</v>
      </c>
      <c r="BK92" s="4794">
        <f t="shared" si="177"/>
        <v>0</v>
      </c>
      <c r="BL92" s="4794">
        <f t="shared" si="178"/>
        <v>0</v>
      </c>
      <c r="BM92" s="4794">
        <f t="shared" si="179"/>
        <v>0</v>
      </c>
      <c r="BN92" s="4794">
        <f t="shared" si="180"/>
        <v>0</v>
      </c>
      <c r="BO92" s="4794">
        <f t="shared" si="181"/>
        <v>0</v>
      </c>
      <c r="BP92" s="4794">
        <f t="shared" si="182"/>
        <v>0</v>
      </c>
      <c r="BQ92" s="4794">
        <f t="shared" si="183"/>
        <v>0</v>
      </c>
      <c r="BR92" s="4794">
        <f t="shared" si="184"/>
        <v>0</v>
      </c>
      <c r="BS92" s="4794">
        <f t="shared" si="185"/>
        <v>0</v>
      </c>
      <c r="BT92" s="4794">
        <f t="shared" si="186"/>
        <v>0</v>
      </c>
      <c r="BU92" s="4794">
        <f t="shared" si="187"/>
        <v>0</v>
      </c>
      <c r="BV92" s="4794">
        <f t="shared" si="188"/>
        <v>0</v>
      </c>
      <c r="BW92" s="4794">
        <f t="shared" si="189"/>
        <v>0</v>
      </c>
      <c r="BX92" s="4794">
        <f t="shared" si="190"/>
        <v>0</v>
      </c>
      <c r="BY92" s="4794">
        <f t="shared" si="191"/>
        <v>0</v>
      </c>
      <c r="BZ92" s="4794">
        <f t="shared" si="192"/>
        <v>0</v>
      </c>
      <c r="CA92" s="4794">
        <f t="shared" si="193"/>
        <v>0</v>
      </c>
      <c r="CB92" s="4794">
        <f t="shared" si="194"/>
        <v>0</v>
      </c>
      <c r="CC92" s="4794">
        <f t="shared" si="195"/>
        <v>0</v>
      </c>
      <c r="CD92" s="4794">
        <f t="shared" si="196"/>
        <v>0</v>
      </c>
      <c r="CE92" s="4794">
        <f t="shared" si="197"/>
        <v>0</v>
      </c>
      <c r="CF92" s="4794">
        <f t="shared" si="198"/>
        <v>0</v>
      </c>
      <c r="CG92" s="4794">
        <f t="shared" si="199"/>
        <v>0</v>
      </c>
      <c r="CH92" s="4794">
        <f t="shared" si="200"/>
        <v>0</v>
      </c>
      <c r="CI92" s="4794">
        <f t="shared" si="201"/>
        <v>0</v>
      </c>
      <c r="CJ92" s="4794">
        <f t="shared" si="202"/>
        <v>0</v>
      </c>
      <c r="CK92" s="4794">
        <f t="shared" si="203"/>
        <v>0</v>
      </c>
    </row>
    <row r="93" spans="1:89" ht="25.5">
      <c r="A93" s="2876"/>
      <c r="B93" s="3820" t="s">
        <v>1051</v>
      </c>
      <c r="C93" s="3803">
        <v>0.04</v>
      </c>
      <c r="D93" s="2889" t="s">
        <v>1052</v>
      </c>
      <c r="E93" s="2864">
        <f>'11.2. ДА за периода'!E93</f>
        <v>0</v>
      </c>
      <c r="F93" s="2792">
        <f t="shared" si="226"/>
        <v>0</v>
      </c>
      <c r="G93" s="1243">
        <f t="shared" si="227"/>
        <v>0</v>
      </c>
      <c r="H93" s="1243">
        <f t="shared" si="228"/>
        <v>0</v>
      </c>
      <c r="I93" s="1243">
        <f t="shared" si="229"/>
        <v>0</v>
      </c>
      <c r="J93" s="1243">
        <f t="shared" si="230"/>
        <v>0</v>
      </c>
      <c r="K93" s="2798">
        <f t="shared" si="231"/>
        <v>0</v>
      </c>
      <c r="L93" s="2864">
        <f>'11.2. ДА за периода'!L93</f>
        <v>0</v>
      </c>
      <c r="M93" s="1247">
        <f t="shared" si="232"/>
        <v>0</v>
      </c>
      <c r="N93" s="1243">
        <f t="shared" si="233"/>
        <v>0</v>
      </c>
      <c r="O93" s="1243">
        <f t="shared" si="234"/>
        <v>0</v>
      </c>
      <c r="P93" s="1243">
        <f t="shared" si="235"/>
        <v>0</v>
      </c>
      <c r="Q93" s="2798">
        <f t="shared" si="236"/>
        <v>0</v>
      </c>
      <c r="R93" s="1248">
        <f t="shared" si="237"/>
        <v>0</v>
      </c>
      <c r="S93" s="1132">
        <f>'11.2. ДА за периода'!S93</f>
        <v>0</v>
      </c>
      <c r="T93" s="927">
        <f t="shared" si="238"/>
        <v>0</v>
      </c>
      <c r="U93" s="1243">
        <f t="shared" si="239"/>
        <v>0</v>
      </c>
      <c r="V93" s="1243">
        <f t="shared" si="240"/>
        <v>0</v>
      </c>
      <c r="W93" s="1243">
        <f t="shared" si="241"/>
        <v>0</v>
      </c>
      <c r="X93" s="1243">
        <f t="shared" si="242"/>
        <v>0</v>
      </c>
      <c r="Y93" s="1248">
        <f t="shared" si="243"/>
        <v>0</v>
      </c>
      <c r="Z93" s="1132">
        <f>'11.2. ДА за периода'!Z93</f>
        <v>0</v>
      </c>
      <c r="AA93" s="927">
        <f t="shared" si="244"/>
        <v>0</v>
      </c>
      <c r="AB93" s="1243">
        <f t="shared" si="245"/>
        <v>0</v>
      </c>
      <c r="AC93" s="1243">
        <f t="shared" si="246"/>
        <v>0</v>
      </c>
      <c r="AD93" s="1243">
        <f t="shared" si="247"/>
        <v>0</v>
      </c>
      <c r="AE93" s="1243">
        <f t="shared" si="248"/>
        <v>0</v>
      </c>
      <c r="AF93" s="2798">
        <f t="shared" si="249"/>
        <v>0</v>
      </c>
      <c r="AG93" s="1132">
        <f>'11.2. ДА за периода'!AG93</f>
        <v>0</v>
      </c>
      <c r="AH93" s="927">
        <f t="shared" si="250"/>
        <v>0</v>
      </c>
      <c r="AI93" s="1243">
        <f t="shared" si="251"/>
        <v>0</v>
      </c>
      <c r="AJ93" s="1243">
        <f t="shared" si="252"/>
        <v>0</v>
      </c>
      <c r="AK93" s="1243">
        <f t="shared" si="253"/>
        <v>0</v>
      </c>
      <c r="AL93" s="1243">
        <f t="shared" si="254"/>
        <v>0</v>
      </c>
      <c r="AM93" s="2798">
        <f t="shared" si="255"/>
        <v>0</v>
      </c>
      <c r="AN93" s="1132">
        <f>'11.2. ДА за периода'!AN93</f>
        <v>0</v>
      </c>
      <c r="AO93" s="1247">
        <f t="shared" si="256"/>
        <v>0</v>
      </c>
      <c r="AP93" s="1243">
        <f t="shared" si="257"/>
        <v>0</v>
      </c>
      <c r="AQ93" s="1243">
        <f t="shared" si="258"/>
        <v>0</v>
      </c>
      <c r="AR93" s="1243">
        <f t="shared" si="259"/>
        <v>0</v>
      </c>
      <c r="AS93" s="1243">
        <f t="shared" si="260"/>
        <v>0</v>
      </c>
      <c r="AT93" s="1248">
        <f t="shared" si="261"/>
        <v>0</v>
      </c>
      <c r="AU93" s="4775"/>
      <c r="AV93" s="4794">
        <f t="shared" si="162"/>
        <v>0</v>
      </c>
      <c r="AW93" s="4794">
        <f t="shared" si="163"/>
        <v>0</v>
      </c>
      <c r="AX93" s="4794">
        <f t="shared" si="164"/>
        <v>0</v>
      </c>
      <c r="AY93" s="4794">
        <f t="shared" si="165"/>
        <v>0</v>
      </c>
      <c r="AZ93" s="4794">
        <f t="shared" si="166"/>
        <v>0</v>
      </c>
      <c r="BA93" s="4794">
        <f t="shared" si="167"/>
        <v>0</v>
      </c>
      <c r="BB93" s="4794">
        <f t="shared" si="168"/>
        <v>0</v>
      </c>
      <c r="BC93" s="4794">
        <f t="shared" si="169"/>
        <v>0</v>
      </c>
      <c r="BD93" s="4794">
        <f t="shared" si="170"/>
        <v>0</v>
      </c>
      <c r="BE93" s="4794">
        <f t="shared" si="171"/>
        <v>0</v>
      </c>
      <c r="BF93" s="4794">
        <f t="shared" si="172"/>
        <v>0</v>
      </c>
      <c r="BG93" s="4794">
        <f t="shared" si="173"/>
        <v>0</v>
      </c>
      <c r="BH93" s="4794">
        <f t="shared" si="174"/>
        <v>0</v>
      </c>
      <c r="BI93" s="4794">
        <f t="shared" si="175"/>
        <v>0</v>
      </c>
      <c r="BJ93" s="4794">
        <f t="shared" si="176"/>
        <v>0</v>
      </c>
      <c r="BK93" s="4794">
        <f t="shared" si="177"/>
        <v>0</v>
      </c>
      <c r="BL93" s="4794">
        <f t="shared" si="178"/>
        <v>0</v>
      </c>
      <c r="BM93" s="4794">
        <f t="shared" si="179"/>
        <v>0</v>
      </c>
      <c r="BN93" s="4794">
        <f t="shared" si="180"/>
        <v>0</v>
      </c>
      <c r="BO93" s="4794">
        <f t="shared" si="181"/>
        <v>0</v>
      </c>
      <c r="BP93" s="4794">
        <f t="shared" si="182"/>
        <v>0</v>
      </c>
      <c r="BQ93" s="4794">
        <f t="shared" si="183"/>
        <v>0</v>
      </c>
      <c r="BR93" s="4794">
        <f t="shared" si="184"/>
        <v>0</v>
      </c>
      <c r="BS93" s="4794">
        <f t="shared" si="185"/>
        <v>0</v>
      </c>
      <c r="BT93" s="4794">
        <f t="shared" si="186"/>
        <v>0</v>
      </c>
      <c r="BU93" s="4794">
        <f t="shared" si="187"/>
        <v>0</v>
      </c>
      <c r="BV93" s="4794">
        <f t="shared" si="188"/>
        <v>0</v>
      </c>
      <c r="BW93" s="4794">
        <f t="shared" si="189"/>
        <v>0</v>
      </c>
      <c r="BX93" s="4794">
        <f t="shared" si="190"/>
        <v>0</v>
      </c>
      <c r="BY93" s="4794">
        <f t="shared" si="191"/>
        <v>0</v>
      </c>
      <c r="BZ93" s="4794">
        <f t="shared" si="192"/>
        <v>0</v>
      </c>
      <c r="CA93" s="4794">
        <f t="shared" si="193"/>
        <v>0</v>
      </c>
      <c r="CB93" s="4794">
        <f t="shared" si="194"/>
        <v>0</v>
      </c>
      <c r="CC93" s="4794">
        <f t="shared" si="195"/>
        <v>0</v>
      </c>
      <c r="CD93" s="4794">
        <f t="shared" si="196"/>
        <v>0</v>
      </c>
      <c r="CE93" s="4794">
        <f t="shared" si="197"/>
        <v>0</v>
      </c>
      <c r="CF93" s="4794">
        <f t="shared" si="198"/>
        <v>0</v>
      </c>
      <c r="CG93" s="4794">
        <f t="shared" si="199"/>
        <v>0</v>
      </c>
      <c r="CH93" s="4794">
        <f t="shared" si="200"/>
        <v>0</v>
      </c>
      <c r="CI93" s="4794">
        <f t="shared" si="201"/>
        <v>0</v>
      </c>
      <c r="CJ93" s="4794">
        <f t="shared" si="202"/>
        <v>0</v>
      </c>
      <c r="CK93" s="4794">
        <f t="shared" si="203"/>
        <v>0</v>
      </c>
    </row>
    <row r="94" spans="1:89">
      <c r="A94" s="2869">
        <v>5</v>
      </c>
      <c r="B94" s="3827">
        <v>205</v>
      </c>
      <c r="C94" s="3800"/>
      <c r="D94" s="2870" t="s">
        <v>212</v>
      </c>
      <c r="E94" s="2920">
        <f>SUM(E95:E98)</f>
        <v>86.640000000000015</v>
      </c>
      <c r="F94" s="2921">
        <f>SUM(F95:F98)</f>
        <v>0</v>
      </c>
      <c r="G94" s="2922">
        <f>SUM(G95:G98)</f>
        <v>0</v>
      </c>
      <c r="H94" s="2922">
        <f t="shared" ref="H94:K94" si="262">SUM(H95:H98)</f>
        <v>0</v>
      </c>
      <c r="I94" s="2922">
        <f t="shared" si="262"/>
        <v>0</v>
      </c>
      <c r="J94" s="2922">
        <f t="shared" si="262"/>
        <v>12</v>
      </c>
      <c r="K94" s="2923">
        <f t="shared" si="262"/>
        <v>24</v>
      </c>
      <c r="L94" s="2924">
        <f>SUM(L95:L98)</f>
        <v>0</v>
      </c>
      <c r="M94" s="2921">
        <f>SUM(M95:M98)</f>
        <v>0</v>
      </c>
      <c r="N94" s="2922">
        <f>SUM(N95:N98)</f>
        <v>0</v>
      </c>
      <c r="O94" s="2922">
        <f t="shared" ref="O94:R94" si="263">SUM(O95:O98)</f>
        <v>0</v>
      </c>
      <c r="P94" s="2922">
        <f t="shared" si="263"/>
        <v>0</v>
      </c>
      <c r="Q94" s="2922">
        <f t="shared" si="263"/>
        <v>0</v>
      </c>
      <c r="R94" s="2925">
        <f t="shared" si="263"/>
        <v>0</v>
      </c>
      <c r="S94" s="2924">
        <f>SUM(S95:S98)</f>
        <v>0</v>
      </c>
      <c r="T94" s="2926">
        <f>SUM(T95:T98)</f>
        <v>0</v>
      </c>
      <c r="U94" s="2922">
        <f>SUM(U95:U98)</f>
        <v>0</v>
      </c>
      <c r="V94" s="2922">
        <f t="shared" ref="V94:Y94" si="264">SUM(V95:V98)</f>
        <v>0</v>
      </c>
      <c r="W94" s="2922">
        <f t="shared" si="264"/>
        <v>0</v>
      </c>
      <c r="X94" s="2922">
        <f t="shared" si="264"/>
        <v>0</v>
      </c>
      <c r="Y94" s="2925">
        <f t="shared" si="264"/>
        <v>0</v>
      </c>
      <c r="Z94" s="2924">
        <f>SUM(Z95:Z98)</f>
        <v>0</v>
      </c>
      <c r="AA94" s="2926">
        <f>SUM(AA95:AA98)</f>
        <v>0</v>
      </c>
      <c r="AB94" s="2922">
        <f>SUM(AB95:AB98)</f>
        <v>0</v>
      </c>
      <c r="AC94" s="2922">
        <f t="shared" ref="AC94:AF94" si="265">SUM(AC95:AC98)</f>
        <v>0</v>
      </c>
      <c r="AD94" s="2922">
        <f t="shared" si="265"/>
        <v>0</v>
      </c>
      <c r="AE94" s="2922">
        <f t="shared" si="265"/>
        <v>0</v>
      </c>
      <c r="AF94" s="2925">
        <f t="shared" si="265"/>
        <v>0</v>
      </c>
      <c r="AG94" s="2924">
        <f>SUM(AG95:AG98)</f>
        <v>0</v>
      </c>
      <c r="AH94" s="2926">
        <f>SUM(AH95:AH98)</f>
        <v>0</v>
      </c>
      <c r="AI94" s="2922">
        <f>SUM(AI95:AI98)</f>
        <v>0</v>
      </c>
      <c r="AJ94" s="2922">
        <f t="shared" ref="AJ94:AM94" si="266">SUM(AJ95:AJ98)</f>
        <v>0</v>
      </c>
      <c r="AK94" s="2922">
        <f t="shared" si="266"/>
        <v>0</v>
      </c>
      <c r="AL94" s="2922">
        <f t="shared" si="266"/>
        <v>0</v>
      </c>
      <c r="AM94" s="2925">
        <f t="shared" si="266"/>
        <v>0</v>
      </c>
      <c r="AN94" s="2924">
        <f>SUM(AN95:AN98)</f>
        <v>0</v>
      </c>
      <c r="AO94" s="2926">
        <f>SUM(AO95:AO98)</f>
        <v>0</v>
      </c>
      <c r="AP94" s="2922">
        <f>SUM(AP95:AP98)</f>
        <v>0</v>
      </c>
      <c r="AQ94" s="2922">
        <f t="shared" ref="AQ94:AS94" si="267">SUM(AQ95:AQ98)</f>
        <v>0</v>
      </c>
      <c r="AR94" s="2922">
        <f t="shared" si="267"/>
        <v>7.5</v>
      </c>
      <c r="AS94" s="2922">
        <f t="shared" si="267"/>
        <v>15</v>
      </c>
      <c r="AT94" s="2925">
        <f>SUM(AT95:AT98)</f>
        <v>15</v>
      </c>
      <c r="AU94" s="4775"/>
      <c r="AV94" s="4794">
        <f t="shared" si="162"/>
        <v>44.298328586840377</v>
      </c>
      <c r="AW94" s="4794">
        <f t="shared" si="163"/>
        <v>0</v>
      </c>
      <c r="AX94" s="4794">
        <f t="shared" si="164"/>
        <v>0</v>
      </c>
      <c r="AY94" s="4794">
        <f t="shared" si="165"/>
        <v>0</v>
      </c>
      <c r="AZ94" s="4794">
        <f t="shared" si="166"/>
        <v>0</v>
      </c>
      <c r="BA94" s="4794">
        <f t="shared" si="167"/>
        <v>6.1355025743546223</v>
      </c>
      <c r="BB94" s="4794">
        <f t="shared" si="168"/>
        <v>12.271005148709245</v>
      </c>
      <c r="BC94" s="4794">
        <f t="shared" si="169"/>
        <v>0</v>
      </c>
      <c r="BD94" s="4794">
        <f t="shared" si="170"/>
        <v>0</v>
      </c>
      <c r="BE94" s="4794">
        <f t="shared" si="171"/>
        <v>0</v>
      </c>
      <c r="BF94" s="4794">
        <f t="shared" si="172"/>
        <v>0</v>
      </c>
      <c r="BG94" s="4794">
        <f t="shared" si="173"/>
        <v>0</v>
      </c>
      <c r="BH94" s="4794">
        <f t="shared" si="174"/>
        <v>0</v>
      </c>
      <c r="BI94" s="4794">
        <f t="shared" si="175"/>
        <v>0</v>
      </c>
      <c r="BJ94" s="4794">
        <f t="shared" si="176"/>
        <v>0</v>
      </c>
      <c r="BK94" s="4794">
        <f t="shared" si="177"/>
        <v>0</v>
      </c>
      <c r="BL94" s="4794">
        <f t="shared" si="178"/>
        <v>0</v>
      </c>
      <c r="BM94" s="4794">
        <f t="shared" si="179"/>
        <v>0</v>
      </c>
      <c r="BN94" s="4794">
        <f t="shared" si="180"/>
        <v>0</v>
      </c>
      <c r="BO94" s="4794">
        <f t="shared" si="181"/>
        <v>0</v>
      </c>
      <c r="BP94" s="4794">
        <f t="shared" si="182"/>
        <v>0</v>
      </c>
      <c r="BQ94" s="4794">
        <f t="shared" si="183"/>
        <v>0</v>
      </c>
      <c r="BR94" s="4794">
        <f t="shared" si="184"/>
        <v>0</v>
      </c>
      <c r="BS94" s="4794">
        <f t="shared" si="185"/>
        <v>0</v>
      </c>
      <c r="BT94" s="4794">
        <f t="shared" si="186"/>
        <v>0</v>
      </c>
      <c r="BU94" s="4794">
        <f t="shared" si="187"/>
        <v>0</v>
      </c>
      <c r="BV94" s="4794">
        <f t="shared" si="188"/>
        <v>0</v>
      </c>
      <c r="BW94" s="4794">
        <f t="shared" si="189"/>
        <v>0</v>
      </c>
      <c r="BX94" s="4794">
        <f t="shared" si="190"/>
        <v>0</v>
      </c>
      <c r="BY94" s="4794">
        <f t="shared" si="191"/>
        <v>0</v>
      </c>
      <c r="BZ94" s="4794">
        <f t="shared" si="192"/>
        <v>0</v>
      </c>
      <c r="CA94" s="4794">
        <f t="shared" si="193"/>
        <v>0</v>
      </c>
      <c r="CB94" s="4794">
        <f t="shared" si="194"/>
        <v>0</v>
      </c>
      <c r="CC94" s="4794">
        <f t="shared" si="195"/>
        <v>0</v>
      </c>
      <c r="CD94" s="4794">
        <f t="shared" si="196"/>
        <v>0</v>
      </c>
      <c r="CE94" s="4794">
        <f t="shared" si="197"/>
        <v>0</v>
      </c>
      <c r="CF94" s="4794">
        <f t="shared" si="198"/>
        <v>0</v>
      </c>
      <c r="CG94" s="4794">
        <f t="shared" si="199"/>
        <v>0</v>
      </c>
      <c r="CH94" s="4794">
        <f t="shared" si="200"/>
        <v>0</v>
      </c>
      <c r="CI94" s="4794">
        <f t="shared" si="201"/>
        <v>3.8346891089716388</v>
      </c>
      <c r="CJ94" s="4794">
        <f t="shared" si="202"/>
        <v>7.6693782179432777</v>
      </c>
      <c r="CK94" s="4794">
        <f t="shared" si="203"/>
        <v>7.6693782179432777</v>
      </c>
    </row>
    <row r="95" spans="1:89">
      <c r="A95" s="2896"/>
      <c r="B95" s="3830">
        <v>20501</v>
      </c>
      <c r="C95" s="3804">
        <v>0.08</v>
      </c>
      <c r="D95" s="2897" t="s">
        <v>563</v>
      </c>
      <c r="E95" s="2864">
        <f>'11.2. ДА за периода'!E95</f>
        <v>41.24</v>
      </c>
      <c r="F95" s="2792">
        <f>($F46*$C95)/$E$7</f>
        <v>0</v>
      </c>
      <c r="G95" s="1155">
        <f>($F46*$C95)+($G46*$C95)/$E$7</f>
        <v>0</v>
      </c>
      <c r="H95" s="1155">
        <f>($F46*$C95)+($G46*$C95)+($H46*$C95)/$E$7</f>
        <v>0</v>
      </c>
      <c r="I95" s="1155">
        <f>($F46*$C95)+($G46*$C95)+($H46*$C95)+($I46*$C95)/$E$7</f>
        <v>0</v>
      </c>
      <c r="J95" s="1155">
        <f>($F46*$C95)+($G46*$C95)+($H46*$C95)+($I46*$C95)+($J46*$C95)/$E$7</f>
        <v>12</v>
      </c>
      <c r="K95" s="2917">
        <f>($F46*$C95)+($G46*$C95)+($H46*$C95)+($I46*$C95)+($J46*$C95)+($K46*$C95)/$E$7</f>
        <v>24</v>
      </c>
      <c r="L95" s="2864">
        <f>'11.2. ДА за периода'!L95</f>
        <v>0</v>
      </c>
      <c r="M95" s="2792">
        <f>($M46*$C95)/$E$7</f>
        <v>0</v>
      </c>
      <c r="N95" s="1155">
        <f>($M46*$C95)+($N46*$C95)/$E$7</f>
        <v>0</v>
      </c>
      <c r="O95" s="1155">
        <f>($M46*$C95)+($N46*$C95)+($O46*$C95)/$E$7</f>
        <v>0</v>
      </c>
      <c r="P95" s="1155">
        <f>($M46*$C95)+($N46*$C95)+($O46*$C95)+($P46*$C95)/$E$7</f>
        <v>0</v>
      </c>
      <c r="Q95" s="2917">
        <f>($M46*$C95)+($N46*$C95)+($O46*$C95)+($P46*$C95)+($Q46*$C95)/$E$7</f>
        <v>0</v>
      </c>
      <c r="R95" s="2793">
        <f>($M46*$C95)+($N46*$C95)+($O46*$C95)+($P46*$C95)+($Q46*$C95)+($R46*$C95)/$E$7</f>
        <v>0</v>
      </c>
      <c r="S95" s="1132">
        <f>'11.2. ДА за периода'!S95</f>
        <v>0</v>
      </c>
      <c r="T95" s="926">
        <f>($T46*$C95)/$E$7</f>
        <v>0</v>
      </c>
      <c r="U95" s="1155">
        <f>($T46*$C95)+($U46*$C95)/$E$7</f>
        <v>0</v>
      </c>
      <c r="V95" s="1155">
        <f>($T46*$C95)+($U46*$C95)+($V46*$C95)/$E$7</f>
        <v>0</v>
      </c>
      <c r="W95" s="1155">
        <f>($T46*$C95)+($U46*$C95)+($V46*$C95)+($W46*$C95)/$E$7</f>
        <v>0</v>
      </c>
      <c r="X95" s="1155">
        <f>($T46*$C95)+($U46*$C95)+($V46*$C95)+($W46*$C95)+($X46*$C95)/$E$7</f>
        <v>0</v>
      </c>
      <c r="Y95" s="2793">
        <f>($T46*$C95)+($U46*$C95)+($V46*$C95)+($W46*$C95)+($X46*$C95)+($Y46*$C95)/$E$7</f>
        <v>0</v>
      </c>
      <c r="Z95" s="1132">
        <f>'11.2. ДА за периода'!Z95</f>
        <v>0</v>
      </c>
      <c r="AA95" s="926">
        <f t="shared" ref="AA95:AA98" si="268">(AA46*$C95)/$E$7</f>
        <v>0</v>
      </c>
      <c r="AB95" s="1155">
        <f t="shared" ref="AB95:AB98" si="269">(AA46*$C95)+(AB46*$C95)/$E$7</f>
        <v>0</v>
      </c>
      <c r="AC95" s="1155">
        <f t="shared" ref="AC95:AC98" si="270">(AA46*$C95)+(AB46*$C95)+(AC46*$C95)/$E$7</f>
        <v>0</v>
      </c>
      <c r="AD95" s="1155">
        <f t="shared" ref="AD95:AD98" si="271">(AA46*$C95)+(AB46*$C95)+(AC46*$C95)+(AD46*$C95)/$E$7</f>
        <v>0</v>
      </c>
      <c r="AE95" s="1155">
        <f t="shared" ref="AE95:AE98" si="272">(AA46*$C95)+(AB46*$C95)+(AC46*$C95)+(AD46*$C95)+(AE46*$C95)/$E$7</f>
        <v>0</v>
      </c>
      <c r="AF95" s="2917">
        <f t="shared" ref="AF95:AF98" si="273">(AA46*$C95)+(AB46*$C95)+(AC46*$C95)+(AD46*$C95)+(AE46*$C95)+(AF46*$C95)/$E$7</f>
        <v>0</v>
      </c>
      <c r="AG95" s="1132">
        <f>'11.2. ДА за периода'!AG95</f>
        <v>0</v>
      </c>
      <c r="AH95" s="926">
        <f t="shared" ref="AH95:AH98" si="274">(AH46*$C95)/$E$7</f>
        <v>0</v>
      </c>
      <c r="AI95" s="1155">
        <f t="shared" ref="AI95:AI98" si="275">(AH46*$C95)+(AI46*$C95)/$E$7</f>
        <v>0</v>
      </c>
      <c r="AJ95" s="1155">
        <f t="shared" ref="AJ95:AJ98" si="276">(AH46*$C95)+(AI46*$C95)+(AJ46*$C95)/$E$7</f>
        <v>0</v>
      </c>
      <c r="AK95" s="1155">
        <f t="shared" ref="AK95:AK98" si="277">(AH46*$C95)+(AI46*$C95)+(AJ46*$C95)+(AK46*$C95)/$E$7</f>
        <v>0</v>
      </c>
      <c r="AL95" s="1155">
        <f t="shared" ref="AL95:AL98" si="278">(AH46*$C95)+(AI46*$C95)+(AJ46*$C95)+(AK46*$C95)+(AL46*$C95)/$E$7</f>
        <v>0</v>
      </c>
      <c r="AM95" s="2917">
        <f t="shared" ref="AM95:AM98" si="279">(AH46*$C95)+(AI46*$C95)+(AJ46*$C95)+(AK46*$C95)+(AL46*$C95)+(AM46*$C95)/$E$7</f>
        <v>0</v>
      </c>
      <c r="AN95" s="1132">
        <f>'11.2. ДА за периода'!AN95</f>
        <v>0</v>
      </c>
      <c r="AO95" s="2792">
        <f>($AO46*$C95)/$E$7</f>
        <v>0</v>
      </c>
      <c r="AP95" s="1155">
        <f>($AO46*$C95)+($AP46*$C95)/$E$7</f>
        <v>0</v>
      </c>
      <c r="AQ95" s="1155">
        <f>($AO46*$C95)+($AP46*$C95)+($AQ46*$C95)/$E$7</f>
        <v>0</v>
      </c>
      <c r="AR95" s="1155">
        <f>($AO46*$C95)+($AP46*$C95)+($AQ46*$C95)+($AR46*$C95)/$E$7</f>
        <v>0</v>
      </c>
      <c r="AS95" s="1155">
        <f>($AO46*$C95)+($AP46*$C95)+($AQ46*$C95)+($AR46*$C95)+($AS46*$C95)/$E$7</f>
        <v>0</v>
      </c>
      <c r="AT95" s="2793">
        <f>($AO46*$C95)+($AP46*$C95)+($AQ46*$C95)+($AR46*$C95)+($AS46*$C95)+($AT46*$C95)/$E$7</f>
        <v>0</v>
      </c>
      <c r="AU95" s="4775"/>
      <c r="AV95" s="4794">
        <f t="shared" si="162"/>
        <v>21.085677180532052</v>
      </c>
      <c r="AW95" s="4794">
        <f t="shared" si="163"/>
        <v>0</v>
      </c>
      <c r="AX95" s="4794">
        <f t="shared" si="164"/>
        <v>0</v>
      </c>
      <c r="AY95" s="4794">
        <f t="shared" si="165"/>
        <v>0</v>
      </c>
      <c r="AZ95" s="4794">
        <f t="shared" si="166"/>
        <v>0</v>
      </c>
      <c r="BA95" s="4794">
        <f t="shared" si="167"/>
        <v>6.1355025743546223</v>
      </c>
      <c r="BB95" s="4794">
        <f t="shared" si="168"/>
        <v>12.271005148709245</v>
      </c>
      <c r="BC95" s="4794">
        <f t="shared" si="169"/>
        <v>0</v>
      </c>
      <c r="BD95" s="4794">
        <f t="shared" si="170"/>
        <v>0</v>
      </c>
      <c r="BE95" s="4794">
        <f t="shared" si="171"/>
        <v>0</v>
      </c>
      <c r="BF95" s="4794">
        <f t="shared" si="172"/>
        <v>0</v>
      </c>
      <c r="BG95" s="4794">
        <f t="shared" si="173"/>
        <v>0</v>
      </c>
      <c r="BH95" s="4794">
        <f t="shared" si="174"/>
        <v>0</v>
      </c>
      <c r="BI95" s="4794">
        <f t="shared" si="175"/>
        <v>0</v>
      </c>
      <c r="BJ95" s="4794">
        <f t="shared" si="176"/>
        <v>0</v>
      </c>
      <c r="BK95" s="4794">
        <f t="shared" si="177"/>
        <v>0</v>
      </c>
      <c r="BL95" s="4794">
        <f t="shared" si="178"/>
        <v>0</v>
      </c>
      <c r="BM95" s="4794">
        <f t="shared" si="179"/>
        <v>0</v>
      </c>
      <c r="BN95" s="4794">
        <f t="shared" si="180"/>
        <v>0</v>
      </c>
      <c r="BO95" s="4794">
        <f t="shared" si="181"/>
        <v>0</v>
      </c>
      <c r="BP95" s="4794">
        <f t="shared" si="182"/>
        <v>0</v>
      </c>
      <c r="BQ95" s="4794">
        <f t="shared" si="183"/>
        <v>0</v>
      </c>
      <c r="BR95" s="4794">
        <f t="shared" si="184"/>
        <v>0</v>
      </c>
      <c r="BS95" s="4794">
        <f t="shared" si="185"/>
        <v>0</v>
      </c>
      <c r="BT95" s="4794">
        <f t="shared" si="186"/>
        <v>0</v>
      </c>
      <c r="BU95" s="4794">
        <f t="shared" si="187"/>
        <v>0</v>
      </c>
      <c r="BV95" s="4794">
        <f t="shared" si="188"/>
        <v>0</v>
      </c>
      <c r="BW95" s="4794">
        <f t="shared" si="189"/>
        <v>0</v>
      </c>
      <c r="BX95" s="4794">
        <f t="shared" si="190"/>
        <v>0</v>
      </c>
      <c r="BY95" s="4794">
        <f t="shared" si="191"/>
        <v>0</v>
      </c>
      <c r="BZ95" s="4794">
        <f t="shared" si="192"/>
        <v>0</v>
      </c>
      <c r="CA95" s="4794">
        <f t="shared" si="193"/>
        <v>0</v>
      </c>
      <c r="CB95" s="4794">
        <f t="shared" si="194"/>
        <v>0</v>
      </c>
      <c r="CC95" s="4794">
        <f t="shared" si="195"/>
        <v>0</v>
      </c>
      <c r="CD95" s="4794">
        <f t="shared" si="196"/>
        <v>0</v>
      </c>
      <c r="CE95" s="4794">
        <f t="shared" si="197"/>
        <v>0</v>
      </c>
      <c r="CF95" s="4794">
        <f t="shared" si="198"/>
        <v>0</v>
      </c>
      <c r="CG95" s="4794">
        <f t="shared" si="199"/>
        <v>0</v>
      </c>
      <c r="CH95" s="4794">
        <f t="shared" si="200"/>
        <v>0</v>
      </c>
      <c r="CI95" s="4794">
        <f t="shared" si="201"/>
        <v>0</v>
      </c>
      <c r="CJ95" s="4794">
        <f t="shared" si="202"/>
        <v>0</v>
      </c>
      <c r="CK95" s="4794">
        <f t="shared" si="203"/>
        <v>0</v>
      </c>
    </row>
    <row r="96" spans="1:89">
      <c r="A96" s="2896"/>
      <c r="B96" s="3830">
        <v>20502</v>
      </c>
      <c r="C96" s="3804">
        <v>0.1</v>
      </c>
      <c r="D96" s="2897" t="s">
        <v>411</v>
      </c>
      <c r="E96" s="2864">
        <f>'11.2. ДА за периода'!E96</f>
        <v>45.400000000000006</v>
      </c>
      <c r="F96" s="2792">
        <f>($F47*$C96)/$E$7</f>
        <v>0</v>
      </c>
      <c r="G96" s="1243">
        <f>($F47*$C96)+($G47*$C96)/$E$7</f>
        <v>0</v>
      </c>
      <c r="H96" s="1243">
        <f>($F47*$C96)+($G47*$C96)+($H47*$C96)/$E$7</f>
        <v>0</v>
      </c>
      <c r="I96" s="1243">
        <f>($F47*$C96)+($G47*$C96)+($H47*$C96)+($I47*$C96)/$E$7</f>
        <v>0</v>
      </c>
      <c r="J96" s="1243">
        <f>($F47*$C96)+($G47*$C96)+($H47*$C96)+($I47*$C96)+($J47*$C96)/$E$7</f>
        <v>0</v>
      </c>
      <c r="K96" s="2798">
        <f>($F47*$C96)+($G47*$C96)+($H47*$C96)+($I47*$C96)+($J47*$C96)+($K47*$C96)/$E$7</f>
        <v>0</v>
      </c>
      <c r="L96" s="2864">
        <f>'11.2. ДА за периода'!L96</f>
        <v>0</v>
      </c>
      <c r="M96" s="1247">
        <f>($M47*$C96)/$E$7</f>
        <v>0</v>
      </c>
      <c r="N96" s="1243">
        <f>($M47*$C96)+($N47*$C96)/$E$7</f>
        <v>0</v>
      </c>
      <c r="O96" s="1243">
        <f>($M47*$C96)+($N47*$C96)+($O47*$C96)/$E$7</f>
        <v>0</v>
      </c>
      <c r="P96" s="1243">
        <f>($M47*$C96)+($N47*$C96)+($O47*$C96)+($P47*$C96)/$E$7</f>
        <v>0</v>
      </c>
      <c r="Q96" s="2798">
        <f>($M47*$C96)+($N47*$C96)+($O47*$C96)+($P47*$C96)+($Q47*$C96)/$E$7</f>
        <v>0</v>
      </c>
      <c r="R96" s="1248">
        <f>($M47*$C96)+($N47*$C96)+($O47*$C96)+($P47*$C96)+($Q47*$C96)+($R47*$C96)/$E$7</f>
        <v>0</v>
      </c>
      <c r="S96" s="1132">
        <f>'11.2. ДА за периода'!S96</f>
        <v>0</v>
      </c>
      <c r="T96" s="927">
        <f>($T47*$C96)/$E$7</f>
        <v>0</v>
      </c>
      <c r="U96" s="1243">
        <f>($T47*$C96)+($U47*$C96)/$E$7</f>
        <v>0</v>
      </c>
      <c r="V96" s="1243">
        <f>($T47*$C96)+($U47*$C96)+($V47*$C96)/$E$7</f>
        <v>0</v>
      </c>
      <c r="W96" s="1243">
        <f>($T47*$C96)+($U47*$C96)+($V47*$C96)+($W47*$C96)/$E$7</f>
        <v>0</v>
      </c>
      <c r="X96" s="1243">
        <f>($T47*$C96)+($U47*$C96)+($V47*$C96)+($W47*$C96)+($X47*$C96)/$E$7</f>
        <v>0</v>
      </c>
      <c r="Y96" s="1248">
        <f>($T47*$C96)+($U47*$C96)+($V47*$C96)+($W47*$C96)+($X47*$C96)+($Y47*$C96)/$E$7</f>
        <v>0</v>
      </c>
      <c r="Z96" s="1132">
        <f>'11.2. ДА за периода'!Z96</f>
        <v>0</v>
      </c>
      <c r="AA96" s="927">
        <f t="shared" si="268"/>
        <v>0</v>
      </c>
      <c r="AB96" s="1243">
        <f t="shared" si="269"/>
        <v>0</v>
      </c>
      <c r="AC96" s="1243">
        <f t="shared" si="270"/>
        <v>0</v>
      </c>
      <c r="AD96" s="1243">
        <f t="shared" si="271"/>
        <v>0</v>
      </c>
      <c r="AE96" s="1243">
        <f t="shared" si="272"/>
        <v>0</v>
      </c>
      <c r="AF96" s="2798">
        <f t="shared" si="273"/>
        <v>0</v>
      </c>
      <c r="AG96" s="1132">
        <f>'11.2. ДА за периода'!AG96</f>
        <v>0</v>
      </c>
      <c r="AH96" s="927">
        <f t="shared" si="274"/>
        <v>0</v>
      </c>
      <c r="AI96" s="1243">
        <f t="shared" si="275"/>
        <v>0</v>
      </c>
      <c r="AJ96" s="1243">
        <f t="shared" si="276"/>
        <v>0</v>
      </c>
      <c r="AK96" s="1243">
        <f t="shared" si="277"/>
        <v>0</v>
      </c>
      <c r="AL96" s="1243">
        <f t="shared" si="278"/>
        <v>0</v>
      </c>
      <c r="AM96" s="2798">
        <f t="shared" si="279"/>
        <v>0</v>
      </c>
      <c r="AN96" s="1132">
        <f>'11.2. ДА за периода'!AN96</f>
        <v>0</v>
      </c>
      <c r="AO96" s="1247">
        <f>($AO47*$C96)/$E$7</f>
        <v>0</v>
      </c>
      <c r="AP96" s="1243">
        <f>($AO47*$C96)+($AP47*$C96)/$E$7</f>
        <v>0</v>
      </c>
      <c r="AQ96" s="1243">
        <f>($AO47*$C96)+($AP47*$C96)+($AQ47*$C96)/$E$7</f>
        <v>0</v>
      </c>
      <c r="AR96" s="1243">
        <f>($AO47*$C96)+($AP47*$C96)+($AQ47*$C96)+($AR47*$C96)/$E$7</f>
        <v>7.5</v>
      </c>
      <c r="AS96" s="1243">
        <f>($AO47*$C96)+($AP47*$C96)+($AQ47*$C96)+($AR47*$C96)+($AS47*$C96)/$E$7</f>
        <v>15</v>
      </c>
      <c r="AT96" s="1248">
        <f>($AO47*$C96)+($AP47*$C96)+($AQ47*$C96)+($AR47*$C96)+($AS47*$C96)+($AT47*$C96)/$E$7</f>
        <v>15</v>
      </c>
      <c r="AU96" s="4775"/>
      <c r="AV96" s="4794">
        <f t="shared" si="162"/>
        <v>23.212651406308321</v>
      </c>
      <c r="AW96" s="4794">
        <f t="shared" si="163"/>
        <v>0</v>
      </c>
      <c r="AX96" s="4794">
        <f t="shared" si="164"/>
        <v>0</v>
      </c>
      <c r="AY96" s="4794">
        <f t="shared" si="165"/>
        <v>0</v>
      </c>
      <c r="AZ96" s="4794">
        <f t="shared" si="166"/>
        <v>0</v>
      </c>
      <c r="BA96" s="4794">
        <f t="shared" si="167"/>
        <v>0</v>
      </c>
      <c r="BB96" s="4794">
        <f t="shared" si="168"/>
        <v>0</v>
      </c>
      <c r="BC96" s="4794">
        <f t="shared" si="169"/>
        <v>0</v>
      </c>
      <c r="BD96" s="4794">
        <f t="shared" si="170"/>
        <v>0</v>
      </c>
      <c r="BE96" s="4794">
        <f t="shared" si="171"/>
        <v>0</v>
      </c>
      <c r="BF96" s="4794">
        <f t="shared" si="172"/>
        <v>0</v>
      </c>
      <c r="BG96" s="4794">
        <f t="shared" si="173"/>
        <v>0</v>
      </c>
      <c r="BH96" s="4794">
        <f t="shared" si="174"/>
        <v>0</v>
      </c>
      <c r="BI96" s="4794">
        <f t="shared" si="175"/>
        <v>0</v>
      </c>
      <c r="BJ96" s="4794">
        <f t="shared" si="176"/>
        <v>0</v>
      </c>
      <c r="BK96" s="4794">
        <f t="shared" si="177"/>
        <v>0</v>
      </c>
      <c r="BL96" s="4794">
        <f t="shared" si="178"/>
        <v>0</v>
      </c>
      <c r="BM96" s="4794">
        <f t="shared" si="179"/>
        <v>0</v>
      </c>
      <c r="BN96" s="4794">
        <f t="shared" si="180"/>
        <v>0</v>
      </c>
      <c r="BO96" s="4794">
        <f t="shared" si="181"/>
        <v>0</v>
      </c>
      <c r="BP96" s="4794">
        <f t="shared" si="182"/>
        <v>0</v>
      </c>
      <c r="BQ96" s="4794">
        <f t="shared" si="183"/>
        <v>0</v>
      </c>
      <c r="BR96" s="4794">
        <f t="shared" si="184"/>
        <v>0</v>
      </c>
      <c r="BS96" s="4794">
        <f t="shared" si="185"/>
        <v>0</v>
      </c>
      <c r="BT96" s="4794">
        <f t="shared" si="186"/>
        <v>0</v>
      </c>
      <c r="BU96" s="4794">
        <f t="shared" si="187"/>
        <v>0</v>
      </c>
      <c r="BV96" s="4794">
        <f t="shared" si="188"/>
        <v>0</v>
      </c>
      <c r="BW96" s="4794">
        <f t="shared" si="189"/>
        <v>0</v>
      </c>
      <c r="BX96" s="4794">
        <f t="shared" si="190"/>
        <v>0</v>
      </c>
      <c r="BY96" s="4794">
        <f t="shared" si="191"/>
        <v>0</v>
      </c>
      <c r="BZ96" s="4794">
        <f t="shared" si="192"/>
        <v>0</v>
      </c>
      <c r="CA96" s="4794">
        <f t="shared" si="193"/>
        <v>0</v>
      </c>
      <c r="CB96" s="4794">
        <f t="shared" si="194"/>
        <v>0</v>
      </c>
      <c r="CC96" s="4794">
        <f t="shared" si="195"/>
        <v>0</v>
      </c>
      <c r="CD96" s="4794">
        <f t="shared" si="196"/>
        <v>0</v>
      </c>
      <c r="CE96" s="4794">
        <f t="shared" si="197"/>
        <v>0</v>
      </c>
      <c r="CF96" s="4794">
        <f t="shared" si="198"/>
        <v>0</v>
      </c>
      <c r="CG96" s="4794">
        <f t="shared" si="199"/>
        <v>0</v>
      </c>
      <c r="CH96" s="4794">
        <f t="shared" si="200"/>
        <v>0</v>
      </c>
      <c r="CI96" s="4794">
        <f t="shared" si="201"/>
        <v>3.8346891089716388</v>
      </c>
      <c r="CJ96" s="4794">
        <f t="shared" si="202"/>
        <v>7.6693782179432777</v>
      </c>
      <c r="CK96" s="4794">
        <f t="shared" si="203"/>
        <v>7.6693782179432777</v>
      </c>
    </row>
    <row r="97" spans="1:89">
      <c r="A97" s="2896"/>
      <c r="B97" s="3830">
        <v>20503</v>
      </c>
      <c r="C97" s="3804">
        <v>0.1</v>
      </c>
      <c r="D97" s="2879" t="s">
        <v>412</v>
      </c>
      <c r="E97" s="2864">
        <f>'11.2. ДА за периода'!E97</f>
        <v>0</v>
      </c>
      <c r="F97" s="2792">
        <f>($F48*$C97)/$E$7</f>
        <v>0</v>
      </c>
      <c r="G97" s="1243">
        <f>($F48*$C97)+($G48*$C97)/$E$7</f>
        <v>0</v>
      </c>
      <c r="H97" s="1243">
        <f>($F48*$C97)+($G48*$C97)+($H48*$C97)/$E$7</f>
        <v>0</v>
      </c>
      <c r="I97" s="1243">
        <f>($F48*$C97)+($G48*$C97)+($H48*$C97)+($I48*$C97)/$E$7</f>
        <v>0</v>
      </c>
      <c r="J97" s="1243">
        <f>($F48*$C97)+($G48*$C97)+($H48*$C97)+($I48*$C97)+($J48*$C97)/$E$7</f>
        <v>0</v>
      </c>
      <c r="K97" s="2798">
        <f>($F48*$C97)+($G48*$C97)+($H48*$C97)+($I48*$C97)+($J48*$C97)+($K48*$C97)/$E$7</f>
        <v>0</v>
      </c>
      <c r="L97" s="2864">
        <f>'11.2. ДА за периода'!L97</f>
        <v>0</v>
      </c>
      <c r="M97" s="1247">
        <f>($M48*$C97)/$E$7</f>
        <v>0</v>
      </c>
      <c r="N97" s="1243">
        <f>($M48*$C97)+($N48*$C97)/$E$7</f>
        <v>0</v>
      </c>
      <c r="O97" s="1243">
        <f>($M48*$C97)+($N48*$C97)+($O48*$C97)/$E$7</f>
        <v>0</v>
      </c>
      <c r="P97" s="1243">
        <f>($M48*$C97)+($N48*$C97)+($O48*$C97)+($P48*$C97)/$E$7</f>
        <v>0</v>
      </c>
      <c r="Q97" s="2798">
        <f>($M48*$C97)+($N48*$C97)+($O48*$C97)+($P48*$C97)+($Q48*$C97)/$E$7</f>
        <v>0</v>
      </c>
      <c r="R97" s="1248">
        <f>($M48*$C97)+($N48*$C97)+($O48*$C97)+($P48*$C97)+($Q48*$C97)+($R48*$C97)/$E$7</f>
        <v>0</v>
      </c>
      <c r="S97" s="1132">
        <f>'11.2. ДА за периода'!S97</f>
        <v>0</v>
      </c>
      <c r="T97" s="927">
        <f>($T48*$C97)/$E$7</f>
        <v>0</v>
      </c>
      <c r="U97" s="1243">
        <f>($T48*$C97)+($U48*$C97)/$E$7</f>
        <v>0</v>
      </c>
      <c r="V97" s="1243">
        <f>($T48*$C97)+($U48*$C97)+($V48*$C97)/$E$7</f>
        <v>0</v>
      </c>
      <c r="W97" s="1243">
        <f>($T48*$C97)+($U48*$C97)+($V48*$C97)+($W48*$C97)/$E$7</f>
        <v>0</v>
      </c>
      <c r="X97" s="1243">
        <f>($T48*$C97)+($U48*$C97)+($V48*$C97)+($W48*$C97)+($X48*$C97)/$E$7</f>
        <v>0</v>
      </c>
      <c r="Y97" s="1248">
        <f>($T48*$C97)+($U48*$C97)+($V48*$C97)+($W48*$C97)+($X48*$C97)+($Y48*$C97)/$E$7</f>
        <v>0</v>
      </c>
      <c r="Z97" s="1132">
        <f>'11.2. ДА за периода'!Z97</f>
        <v>0</v>
      </c>
      <c r="AA97" s="927">
        <f t="shared" si="268"/>
        <v>0</v>
      </c>
      <c r="AB97" s="1243">
        <f t="shared" si="269"/>
        <v>0</v>
      </c>
      <c r="AC97" s="1243">
        <f t="shared" si="270"/>
        <v>0</v>
      </c>
      <c r="AD97" s="1243">
        <f t="shared" si="271"/>
        <v>0</v>
      </c>
      <c r="AE97" s="1243">
        <f t="shared" si="272"/>
        <v>0</v>
      </c>
      <c r="AF97" s="2798">
        <f t="shared" si="273"/>
        <v>0</v>
      </c>
      <c r="AG97" s="1132">
        <f>'11.2. ДА за периода'!AG97</f>
        <v>0</v>
      </c>
      <c r="AH97" s="927">
        <f t="shared" si="274"/>
        <v>0</v>
      </c>
      <c r="AI97" s="1243">
        <f t="shared" si="275"/>
        <v>0</v>
      </c>
      <c r="AJ97" s="1243">
        <f t="shared" si="276"/>
        <v>0</v>
      </c>
      <c r="AK97" s="1243">
        <f t="shared" si="277"/>
        <v>0</v>
      </c>
      <c r="AL97" s="1243">
        <f t="shared" si="278"/>
        <v>0</v>
      </c>
      <c r="AM97" s="2798">
        <f t="shared" si="279"/>
        <v>0</v>
      </c>
      <c r="AN97" s="1132">
        <f>'11.2. ДА за периода'!AN97</f>
        <v>0</v>
      </c>
      <c r="AO97" s="1247">
        <f>($AO48*$C97)/$E$7</f>
        <v>0</v>
      </c>
      <c r="AP97" s="1243">
        <f>($AO48*$C97)+($AP48*$C97)/$E$7</f>
        <v>0</v>
      </c>
      <c r="AQ97" s="1243">
        <f>($AO48*$C97)+($AP48*$C97)+($AQ48*$C97)/$E$7</f>
        <v>0</v>
      </c>
      <c r="AR97" s="1243">
        <f>($AO48*$C97)+($AP48*$C97)+($AQ48*$C97)+($AR48*$C97)/$E$7</f>
        <v>0</v>
      </c>
      <c r="AS97" s="1243">
        <f>($AO48*$C97)+($AP48*$C97)+($AQ48*$C97)+($AR48*$C97)+($AS48*$C97)/$E$7</f>
        <v>0</v>
      </c>
      <c r="AT97" s="1248">
        <f>($AO48*$C97)+($AP48*$C97)+($AQ48*$C97)+($AR48*$C97)+($AS48*$C97)+($AT48*$C97)/$E$7</f>
        <v>0</v>
      </c>
      <c r="AU97" s="4775"/>
      <c r="AV97" s="4794">
        <f t="shared" si="162"/>
        <v>0</v>
      </c>
      <c r="AW97" s="4794">
        <f t="shared" si="163"/>
        <v>0</v>
      </c>
      <c r="AX97" s="4794">
        <f t="shared" si="164"/>
        <v>0</v>
      </c>
      <c r="AY97" s="4794">
        <f t="shared" si="165"/>
        <v>0</v>
      </c>
      <c r="AZ97" s="4794">
        <f t="shared" si="166"/>
        <v>0</v>
      </c>
      <c r="BA97" s="4794">
        <f t="shared" si="167"/>
        <v>0</v>
      </c>
      <c r="BB97" s="4794">
        <f t="shared" si="168"/>
        <v>0</v>
      </c>
      <c r="BC97" s="4794">
        <f t="shared" si="169"/>
        <v>0</v>
      </c>
      <c r="BD97" s="4794">
        <f t="shared" si="170"/>
        <v>0</v>
      </c>
      <c r="BE97" s="4794">
        <f t="shared" si="171"/>
        <v>0</v>
      </c>
      <c r="BF97" s="4794">
        <f t="shared" si="172"/>
        <v>0</v>
      </c>
      <c r="BG97" s="4794">
        <f t="shared" si="173"/>
        <v>0</v>
      </c>
      <c r="BH97" s="4794">
        <f t="shared" si="174"/>
        <v>0</v>
      </c>
      <c r="BI97" s="4794">
        <f t="shared" si="175"/>
        <v>0</v>
      </c>
      <c r="BJ97" s="4794">
        <f t="shared" si="176"/>
        <v>0</v>
      </c>
      <c r="BK97" s="4794">
        <f t="shared" si="177"/>
        <v>0</v>
      </c>
      <c r="BL97" s="4794">
        <f t="shared" si="178"/>
        <v>0</v>
      </c>
      <c r="BM97" s="4794">
        <f t="shared" si="179"/>
        <v>0</v>
      </c>
      <c r="BN97" s="4794">
        <f t="shared" si="180"/>
        <v>0</v>
      </c>
      <c r="BO97" s="4794">
        <f t="shared" si="181"/>
        <v>0</v>
      </c>
      <c r="BP97" s="4794">
        <f t="shared" si="182"/>
        <v>0</v>
      </c>
      <c r="BQ97" s="4794">
        <f t="shared" si="183"/>
        <v>0</v>
      </c>
      <c r="BR97" s="4794">
        <f t="shared" si="184"/>
        <v>0</v>
      </c>
      <c r="BS97" s="4794">
        <f t="shared" si="185"/>
        <v>0</v>
      </c>
      <c r="BT97" s="4794">
        <f t="shared" si="186"/>
        <v>0</v>
      </c>
      <c r="BU97" s="4794">
        <f t="shared" si="187"/>
        <v>0</v>
      </c>
      <c r="BV97" s="4794">
        <f t="shared" si="188"/>
        <v>0</v>
      </c>
      <c r="BW97" s="4794">
        <f t="shared" si="189"/>
        <v>0</v>
      </c>
      <c r="BX97" s="4794">
        <f t="shared" si="190"/>
        <v>0</v>
      </c>
      <c r="BY97" s="4794">
        <f t="shared" si="191"/>
        <v>0</v>
      </c>
      <c r="BZ97" s="4794">
        <f t="shared" si="192"/>
        <v>0</v>
      </c>
      <c r="CA97" s="4794">
        <f t="shared" si="193"/>
        <v>0</v>
      </c>
      <c r="CB97" s="4794">
        <f t="shared" si="194"/>
        <v>0</v>
      </c>
      <c r="CC97" s="4794">
        <f t="shared" si="195"/>
        <v>0</v>
      </c>
      <c r="CD97" s="4794">
        <f t="shared" si="196"/>
        <v>0</v>
      </c>
      <c r="CE97" s="4794">
        <f t="shared" si="197"/>
        <v>0</v>
      </c>
      <c r="CF97" s="4794">
        <f t="shared" si="198"/>
        <v>0</v>
      </c>
      <c r="CG97" s="4794">
        <f t="shared" si="199"/>
        <v>0</v>
      </c>
      <c r="CH97" s="4794">
        <f t="shared" si="200"/>
        <v>0</v>
      </c>
      <c r="CI97" s="4794">
        <f t="shared" si="201"/>
        <v>0</v>
      </c>
      <c r="CJ97" s="4794">
        <f t="shared" si="202"/>
        <v>0</v>
      </c>
      <c r="CK97" s="4794">
        <f t="shared" si="203"/>
        <v>0</v>
      </c>
    </row>
    <row r="98" spans="1:89">
      <c r="A98" s="2896"/>
      <c r="B98" s="3830">
        <v>20504</v>
      </c>
      <c r="C98" s="3804">
        <v>0.1</v>
      </c>
      <c r="D98" s="2879" t="s">
        <v>557</v>
      </c>
      <c r="E98" s="2864">
        <f>'11.2. ДА за периода'!E98</f>
        <v>0</v>
      </c>
      <c r="F98" s="2792">
        <f>($F49*$C98)/$E$7</f>
        <v>0</v>
      </c>
      <c r="G98" s="1243">
        <f>($F49*$C98)+($G49*$C98)/$E$7</f>
        <v>0</v>
      </c>
      <c r="H98" s="1243">
        <f>($F49*$C98)+($G49*$C98)+($H49*$C98)/$E$7</f>
        <v>0</v>
      </c>
      <c r="I98" s="1243">
        <f>($F49*$C98)+($G49*$C98)+($H49*$C98)+($I49*$C98)/$E$7</f>
        <v>0</v>
      </c>
      <c r="J98" s="1243">
        <f>($F49*$C98)+($G49*$C98)+($H49*$C98)+($I49*$C98)+($J49*$C98)/$E$7</f>
        <v>0</v>
      </c>
      <c r="K98" s="2798">
        <f>($F49*$C98)+($G49*$C98)+($H49*$C98)+($I49*$C98)+($J49*$C98)+($K49*$C98)/$E$7</f>
        <v>0</v>
      </c>
      <c r="L98" s="2864">
        <f>'11.2. ДА за периода'!L98</f>
        <v>0</v>
      </c>
      <c r="M98" s="1247">
        <f>($M49*$C98)/$E$7</f>
        <v>0</v>
      </c>
      <c r="N98" s="1243">
        <f>($M49*$C98)+($N49*$C98)/$E$7</f>
        <v>0</v>
      </c>
      <c r="O98" s="1243">
        <f>($M49*$C98)+($N49*$C98)+($O49*$C98)/$E$7</f>
        <v>0</v>
      </c>
      <c r="P98" s="1243">
        <f>($M49*$C98)+($N49*$C98)+($O49*$C98)+($P49*$C98)/$E$7</f>
        <v>0</v>
      </c>
      <c r="Q98" s="2798">
        <f>($M49*$C98)+($N49*$C98)+($O49*$C98)+($P49*$C98)+($Q49*$C98)/$E$7</f>
        <v>0</v>
      </c>
      <c r="R98" s="1248">
        <f>($M49*$C98)+($N49*$C98)+($O49*$C98)+($P49*$C98)+($Q49*$C98)+($R49*$C98)/$E$7</f>
        <v>0</v>
      </c>
      <c r="S98" s="1132">
        <f>'11.2. ДА за периода'!S98</f>
        <v>0</v>
      </c>
      <c r="T98" s="927">
        <f>($T49*$C98)/$E$7</f>
        <v>0</v>
      </c>
      <c r="U98" s="1243">
        <f>($T49*$C98)+($U49*$C98)/$E$7</f>
        <v>0</v>
      </c>
      <c r="V98" s="1243">
        <f>($T49*$C98)+($U49*$C98)+($V49*$C98)/$E$7</f>
        <v>0</v>
      </c>
      <c r="W98" s="1243">
        <f>($T49*$C98)+($U49*$C98)+($V49*$C98)+($W49*$C98)/$E$7</f>
        <v>0</v>
      </c>
      <c r="X98" s="1243">
        <f>($T49*$C98)+($U49*$C98)+($V49*$C98)+($W49*$C98)+($X49*$C98)/$E$7</f>
        <v>0</v>
      </c>
      <c r="Y98" s="1248">
        <f>($T49*$C98)+($U49*$C98)+($V49*$C98)+($W49*$C98)+($X49*$C98)+($Y49*$C98)/$E$7</f>
        <v>0</v>
      </c>
      <c r="Z98" s="1132">
        <f>'11.2. ДА за периода'!Z98</f>
        <v>0</v>
      </c>
      <c r="AA98" s="927">
        <f t="shared" si="268"/>
        <v>0</v>
      </c>
      <c r="AB98" s="1243">
        <f t="shared" si="269"/>
        <v>0</v>
      </c>
      <c r="AC98" s="1243">
        <f t="shared" si="270"/>
        <v>0</v>
      </c>
      <c r="AD98" s="1243">
        <f t="shared" si="271"/>
        <v>0</v>
      </c>
      <c r="AE98" s="1243">
        <f t="shared" si="272"/>
        <v>0</v>
      </c>
      <c r="AF98" s="2798">
        <f t="shared" si="273"/>
        <v>0</v>
      </c>
      <c r="AG98" s="1132">
        <f>'11.2. ДА за периода'!AG98</f>
        <v>0</v>
      </c>
      <c r="AH98" s="927">
        <f t="shared" si="274"/>
        <v>0</v>
      </c>
      <c r="AI98" s="1243">
        <f t="shared" si="275"/>
        <v>0</v>
      </c>
      <c r="AJ98" s="1243">
        <f t="shared" si="276"/>
        <v>0</v>
      </c>
      <c r="AK98" s="1243">
        <f t="shared" si="277"/>
        <v>0</v>
      </c>
      <c r="AL98" s="1243">
        <f t="shared" si="278"/>
        <v>0</v>
      </c>
      <c r="AM98" s="2798">
        <f t="shared" si="279"/>
        <v>0</v>
      </c>
      <c r="AN98" s="1132">
        <f>'11.2. ДА за периода'!AN98</f>
        <v>0</v>
      </c>
      <c r="AO98" s="1247">
        <f>($AO49*$C98)/$E$7</f>
        <v>0</v>
      </c>
      <c r="AP98" s="1243">
        <f>($AO49*$C98)+($AP49*$C98)/$E$7</f>
        <v>0</v>
      </c>
      <c r="AQ98" s="1243">
        <f>($AO49*$C98)+($AP49*$C98)+($AQ49*$C98)/$E$7</f>
        <v>0</v>
      </c>
      <c r="AR98" s="1243">
        <f>($AO49*$C98)+($AP49*$C98)+($AQ49*$C98)+($AR49*$C98)/$E$7</f>
        <v>0</v>
      </c>
      <c r="AS98" s="1243">
        <f>($AO49*$C98)+($AP49*$C98)+($AQ49*$C98)+($AR49*$C98)+($AS49*$C98)/$E$7</f>
        <v>0</v>
      </c>
      <c r="AT98" s="1248">
        <f>($AO49*$C98)+($AP49*$C98)+($AQ49*$C98)+($AR49*$C98)+($AS49*$C98)+($AT49*$C98)/$E$7</f>
        <v>0</v>
      </c>
      <c r="AU98" s="4775"/>
      <c r="AV98" s="4794">
        <f t="shared" si="162"/>
        <v>0</v>
      </c>
      <c r="AW98" s="4794">
        <f t="shared" si="163"/>
        <v>0</v>
      </c>
      <c r="AX98" s="4794">
        <f t="shared" si="164"/>
        <v>0</v>
      </c>
      <c r="AY98" s="4794">
        <f t="shared" si="165"/>
        <v>0</v>
      </c>
      <c r="AZ98" s="4794">
        <f t="shared" si="166"/>
        <v>0</v>
      </c>
      <c r="BA98" s="4794">
        <f t="shared" si="167"/>
        <v>0</v>
      </c>
      <c r="BB98" s="4794">
        <f t="shared" si="168"/>
        <v>0</v>
      </c>
      <c r="BC98" s="4794">
        <f t="shared" si="169"/>
        <v>0</v>
      </c>
      <c r="BD98" s="4794">
        <f t="shared" si="170"/>
        <v>0</v>
      </c>
      <c r="BE98" s="4794">
        <f t="shared" si="171"/>
        <v>0</v>
      </c>
      <c r="BF98" s="4794">
        <f t="shared" si="172"/>
        <v>0</v>
      </c>
      <c r="BG98" s="4794">
        <f t="shared" si="173"/>
        <v>0</v>
      </c>
      <c r="BH98" s="4794">
        <f t="shared" si="174"/>
        <v>0</v>
      </c>
      <c r="BI98" s="4794">
        <f t="shared" si="175"/>
        <v>0</v>
      </c>
      <c r="BJ98" s="4794">
        <f t="shared" si="176"/>
        <v>0</v>
      </c>
      <c r="BK98" s="4794">
        <f t="shared" si="177"/>
        <v>0</v>
      </c>
      <c r="BL98" s="4794">
        <f t="shared" si="178"/>
        <v>0</v>
      </c>
      <c r="BM98" s="4794">
        <f t="shared" si="179"/>
        <v>0</v>
      </c>
      <c r="BN98" s="4794">
        <f t="shared" si="180"/>
        <v>0</v>
      </c>
      <c r="BO98" s="4794">
        <f t="shared" si="181"/>
        <v>0</v>
      </c>
      <c r="BP98" s="4794">
        <f t="shared" si="182"/>
        <v>0</v>
      </c>
      <c r="BQ98" s="4794">
        <f t="shared" si="183"/>
        <v>0</v>
      </c>
      <c r="BR98" s="4794">
        <f t="shared" si="184"/>
        <v>0</v>
      </c>
      <c r="BS98" s="4794">
        <f t="shared" si="185"/>
        <v>0</v>
      </c>
      <c r="BT98" s="4794">
        <f t="shared" si="186"/>
        <v>0</v>
      </c>
      <c r="BU98" s="4794">
        <f t="shared" si="187"/>
        <v>0</v>
      </c>
      <c r="BV98" s="4794">
        <f t="shared" si="188"/>
        <v>0</v>
      </c>
      <c r="BW98" s="4794">
        <f t="shared" si="189"/>
        <v>0</v>
      </c>
      <c r="BX98" s="4794">
        <f t="shared" si="190"/>
        <v>0</v>
      </c>
      <c r="BY98" s="4794">
        <f t="shared" si="191"/>
        <v>0</v>
      </c>
      <c r="BZ98" s="4794">
        <f t="shared" si="192"/>
        <v>0</v>
      </c>
      <c r="CA98" s="4794">
        <f t="shared" si="193"/>
        <v>0</v>
      </c>
      <c r="CB98" s="4794">
        <f t="shared" si="194"/>
        <v>0</v>
      </c>
      <c r="CC98" s="4794">
        <f t="shared" si="195"/>
        <v>0</v>
      </c>
      <c r="CD98" s="4794">
        <f t="shared" si="196"/>
        <v>0</v>
      </c>
      <c r="CE98" s="4794">
        <f t="shared" si="197"/>
        <v>0</v>
      </c>
      <c r="CF98" s="4794">
        <f t="shared" si="198"/>
        <v>0</v>
      </c>
      <c r="CG98" s="4794">
        <f t="shared" si="199"/>
        <v>0</v>
      </c>
      <c r="CH98" s="4794">
        <f t="shared" si="200"/>
        <v>0</v>
      </c>
      <c r="CI98" s="4794">
        <f t="shared" si="201"/>
        <v>0</v>
      </c>
      <c r="CJ98" s="4794">
        <f t="shared" si="202"/>
        <v>0</v>
      </c>
      <c r="CK98" s="4794">
        <f t="shared" si="203"/>
        <v>0</v>
      </c>
    </row>
    <row r="99" spans="1:89" s="34" customFormat="1">
      <c r="A99" s="2871">
        <v>6</v>
      </c>
      <c r="B99" s="3831">
        <v>206</v>
      </c>
      <c r="C99" s="3805">
        <v>0.1</v>
      </c>
      <c r="D99" s="2887" t="s">
        <v>394</v>
      </c>
      <c r="E99" s="2920">
        <f t="shared" ref="E99:K99" si="280">SUM(E100:E102)</f>
        <v>3.2</v>
      </c>
      <c r="F99" s="2921">
        <f t="shared" si="280"/>
        <v>0</v>
      </c>
      <c r="G99" s="2922">
        <f t="shared" si="280"/>
        <v>0</v>
      </c>
      <c r="H99" s="2922">
        <f t="shared" si="280"/>
        <v>0</v>
      </c>
      <c r="I99" s="2922">
        <f t="shared" si="280"/>
        <v>0</v>
      </c>
      <c r="J99" s="2922">
        <f t="shared" si="280"/>
        <v>0</v>
      </c>
      <c r="K99" s="2923">
        <f t="shared" si="280"/>
        <v>0</v>
      </c>
      <c r="L99" s="2924">
        <f t="shared" ref="L99:AT99" si="281">SUM(L100:L102)</f>
        <v>0.75</v>
      </c>
      <c r="M99" s="2921">
        <f t="shared" si="281"/>
        <v>0</v>
      </c>
      <c r="N99" s="2922">
        <f t="shared" si="281"/>
        <v>0</v>
      </c>
      <c r="O99" s="2922">
        <f t="shared" si="281"/>
        <v>0</v>
      </c>
      <c r="P99" s="2922">
        <f t="shared" si="281"/>
        <v>0</v>
      </c>
      <c r="Q99" s="2922">
        <f t="shared" si="281"/>
        <v>0</v>
      </c>
      <c r="R99" s="2925">
        <f t="shared" si="281"/>
        <v>0</v>
      </c>
      <c r="S99" s="2924">
        <f t="shared" si="281"/>
        <v>0.5</v>
      </c>
      <c r="T99" s="2926">
        <f t="shared" si="281"/>
        <v>0</v>
      </c>
      <c r="U99" s="2922">
        <f t="shared" si="281"/>
        <v>0</v>
      </c>
      <c r="V99" s="2922">
        <f t="shared" si="281"/>
        <v>0</v>
      </c>
      <c r="W99" s="2922">
        <f t="shared" si="281"/>
        <v>0</v>
      </c>
      <c r="X99" s="2922">
        <f t="shared" si="281"/>
        <v>0</v>
      </c>
      <c r="Y99" s="2925">
        <f t="shared" si="281"/>
        <v>0</v>
      </c>
      <c r="Z99" s="2924">
        <f t="shared" si="281"/>
        <v>0</v>
      </c>
      <c r="AA99" s="2926">
        <f t="shared" si="281"/>
        <v>0</v>
      </c>
      <c r="AB99" s="2922">
        <f t="shared" si="281"/>
        <v>0</v>
      </c>
      <c r="AC99" s="2922">
        <f t="shared" si="281"/>
        <v>0</v>
      </c>
      <c r="AD99" s="2922">
        <f t="shared" si="281"/>
        <v>0</v>
      </c>
      <c r="AE99" s="2922">
        <f t="shared" si="281"/>
        <v>0</v>
      </c>
      <c r="AF99" s="2925">
        <f t="shared" si="281"/>
        <v>0</v>
      </c>
      <c r="AG99" s="2924">
        <f t="shared" si="281"/>
        <v>0</v>
      </c>
      <c r="AH99" s="2926">
        <f t="shared" si="281"/>
        <v>0</v>
      </c>
      <c r="AI99" s="2922">
        <f t="shared" si="281"/>
        <v>0</v>
      </c>
      <c r="AJ99" s="2922">
        <f t="shared" si="281"/>
        <v>0</v>
      </c>
      <c r="AK99" s="2922">
        <f t="shared" si="281"/>
        <v>0</v>
      </c>
      <c r="AL99" s="2922">
        <f t="shared" si="281"/>
        <v>0</v>
      </c>
      <c r="AM99" s="2925">
        <f t="shared" si="281"/>
        <v>0</v>
      </c>
      <c r="AN99" s="2924">
        <f t="shared" si="281"/>
        <v>0</v>
      </c>
      <c r="AO99" s="2926">
        <f t="shared" si="281"/>
        <v>5</v>
      </c>
      <c r="AP99" s="2922">
        <f t="shared" si="281"/>
        <v>14</v>
      </c>
      <c r="AQ99" s="2922">
        <f t="shared" si="281"/>
        <v>20.5</v>
      </c>
      <c r="AR99" s="2922">
        <f t="shared" si="281"/>
        <v>26</v>
      </c>
      <c r="AS99" s="2922">
        <f t="shared" si="281"/>
        <v>31.5</v>
      </c>
      <c r="AT99" s="2925">
        <f t="shared" si="281"/>
        <v>37</v>
      </c>
      <c r="AU99" s="4775"/>
      <c r="AV99" s="4794">
        <f t="shared" si="162"/>
        <v>1.6361340198278993</v>
      </c>
      <c r="AW99" s="4794">
        <f t="shared" si="163"/>
        <v>0</v>
      </c>
      <c r="AX99" s="4794">
        <f t="shared" si="164"/>
        <v>0</v>
      </c>
      <c r="AY99" s="4794">
        <f t="shared" si="165"/>
        <v>0</v>
      </c>
      <c r="AZ99" s="4794">
        <f t="shared" si="166"/>
        <v>0</v>
      </c>
      <c r="BA99" s="4794">
        <f t="shared" si="167"/>
        <v>0</v>
      </c>
      <c r="BB99" s="4794">
        <f t="shared" si="168"/>
        <v>0</v>
      </c>
      <c r="BC99" s="4794">
        <f t="shared" si="169"/>
        <v>0.38346891089716389</v>
      </c>
      <c r="BD99" s="4794">
        <f t="shared" si="170"/>
        <v>0</v>
      </c>
      <c r="BE99" s="4794">
        <f t="shared" si="171"/>
        <v>0</v>
      </c>
      <c r="BF99" s="4794">
        <f t="shared" si="172"/>
        <v>0</v>
      </c>
      <c r="BG99" s="4794">
        <f t="shared" si="173"/>
        <v>0</v>
      </c>
      <c r="BH99" s="4794">
        <f t="shared" si="174"/>
        <v>0</v>
      </c>
      <c r="BI99" s="4794">
        <f t="shared" si="175"/>
        <v>0</v>
      </c>
      <c r="BJ99" s="4794">
        <f t="shared" si="176"/>
        <v>0.25564594059810924</v>
      </c>
      <c r="BK99" s="4794">
        <f t="shared" si="177"/>
        <v>0</v>
      </c>
      <c r="BL99" s="4794">
        <f t="shared" si="178"/>
        <v>0</v>
      </c>
      <c r="BM99" s="4794">
        <f t="shared" si="179"/>
        <v>0</v>
      </c>
      <c r="BN99" s="4794">
        <f t="shared" si="180"/>
        <v>0</v>
      </c>
      <c r="BO99" s="4794">
        <f t="shared" si="181"/>
        <v>0</v>
      </c>
      <c r="BP99" s="4794">
        <f t="shared" si="182"/>
        <v>0</v>
      </c>
      <c r="BQ99" s="4794">
        <f t="shared" si="183"/>
        <v>0</v>
      </c>
      <c r="BR99" s="4794">
        <f t="shared" si="184"/>
        <v>0</v>
      </c>
      <c r="BS99" s="4794">
        <f t="shared" si="185"/>
        <v>0</v>
      </c>
      <c r="BT99" s="4794">
        <f t="shared" si="186"/>
        <v>0</v>
      </c>
      <c r="BU99" s="4794">
        <f t="shared" si="187"/>
        <v>0</v>
      </c>
      <c r="BV99" s="4794">
        <f t="shared" si="188"/>
        <v>0</v>
      </c>
      <c r="BW99" s="4794">
        <f t="shared" si="189"/>
        <v>0</v>
      </c>
      <c r="BX99" s="4794">
        <f t="shared" si="190"/>
        <v>0</v>
      </c>
      <c r="BY99" s="4794">
        <f t="shared" si="191"/>
        <v>0</v>
      </c>
      <c r="BZ99" s="4794">
        <f t="shared" si="192"/>
        <v>0</v>
      </c>
      <c r="CA99" s="4794">
        <f t="shared" si="193"/>
        <v>0</v>
      </c>
      <c r="CB99" s="4794">
        <f t="shared" si="194"/>
        <v>0</v>
      </c>
      <c r="CC99" s="4794">
        <f t="shared" si="195"/>
        <v>0</v>
      </c>
      <c r="CD99" s="4794">
        <f t="shared" si="196"/>
        <v>0</v>
      </c>
      <c r="CE99" s="4794">
        <f t="shared" si="197"/>
        <v>0</v>
      </c>
      <c r="CF99" s="4794">
        <f t="shared" si="198"/>
        <v>2.5564594059810926</v>
      </c>
      <c r="CG99" s="4794">
        <f t="shared" si="199"/>
        <v>7.1580863367470586</v>
      </c>
      <c r="CH99" s="4794">
        <f t="shared" si="200"/>
        <v>10.481483564522479</v>
      </c>
      <c r="CI99" s="4794">
        <f t="shared" si="201"/>
        <v>13.293588911101681</v>
      </c>
      <c r="CJ99" s="4794">
        <f t="shared" si="202"/>
        <v>16.105694257680884</v>
      </c>
      <c r="CK99" s="4794">
        <f t="shared" si="203"/>
        <v>18.917799604260086</v>
      </c>
    </row>
    <row r="100" spans="1:89">
      <c r="A100" s="2871"/>
      <c r="B100" s="3830">
        <v>20601</v>
      </c>
      <c r="C100" s="3804">
        <v>0.1</v>
      </c>
      <c r="D100" s="2879" t="s">
        <v>564</v>
      </c>
      <c r="E100" s="2864">
        <f>'11.2. ДА за периода'!E100</f>
        <v>2.6</v>
      </c>
      <c r="F100" s="2792">
        <f t="shared" ref="F100:F108" si="282">($F51*$C100)/$E$7</f>
        <v>0</v>
      </c>
      <c r="G100" s="1243">
        <f t="shared" ref="G100:G108" si="283">($F51*$C100)+($G51*$C100)/$E$7</f>
        <v>0</v>
      </c>
      <c r="H100" s="1243">
        <f t="shared" ref="H100:H108" si="284">($F51*$C100)+($G51*$C100)+($H51*$C100)/$E$7</f>
        <v>0</v>
      </c>
      <c r="I100" s="1243">
        <f t="shared" ref="I100:I108" si="285">($F51*$C100)+($G51*$C100)+($H51*$C100)+($I51*$C100)/$E$7</f>
        <v>0</v>
      </c>
      <c r="J100" s="1243">
        <f t="shared" ref="J100:J108" si="286">($F51*$C100)+($G51*$C100)+($H51*$C100)+($I51*$C100)+($J51*$C100)/$E$7</f>
        <v>0</v>
      </c>
      <c r="K100" s="2798">
        <f t="shared" ref="K100:K108" si="287">($F51*$C100)+($G51*$C100)+($H51*$C100)+($I51*$C100)+($J51*$C100)+($K51*$C100)/$E$7</f>
        <v>0</v>
      </c>
      <c r="L100" s="2864">
        <f>'11.2. ДА за периода'!L100</f>
        <v>0.65</v>
      </c>
      <c r="M100" s="1247">
        <f t="shared" ref="M100:M108" si="288">($M51*$C100)/$E$7</f>
        <v>0</v>
      </c>
      <c r="N100" s="1243">
        <f t="shared" ref="N100:N108" si="289">($M51*$C100)+($N51*$C100)/$E$7</f>
        <v>0</v>
      </c>
      <c r="O100" s="1243">
        <f t="shared" ref="O100:O108" si="290">($M51*$C100)+($N51*$C100)+($O51*$C100)/$E$7</f>
        <v>0</v>
      </c>
      <c r="P100" s="1243">
        <f t="shared" ref="P100:P108" si="291">($M51*$C100)+($N51*$C100)+($O51*$C100)+($P51*$C100)/$E$7</f>
        <v>0</v>
      </c>
      <c r="Q100" s="2798">
        <f t="shared" ref="Q100:Q108" si="292">($M51*$C100)+($N51*$C100)+($O51*$C100)+($P51*$C100)+($Q51*$C100)/$E$7</f>
        <v>0</v>
      </c>
      <c r="R100" s="1248">
        <f t="shared" ref="R100:R108" si="293">($M51*$C100)+($N51*$C100)+($O51*$C100)+($P51*$C100)+($Q51*$C100)+($R51*$C100)/$E$7</f>
        <v>0</v>
      </c>
      <c r="S100" s="1132">
        <f>'11.2. ДА за периода'!S100</f>
        <v>0.45</v>
      </c>
      <c r="T100" s="927">
        <f t="shared" ref="T100:T108" si="294">($T51*$C100)/$E$7</f>
        <v>0</v>
      </c>
      <c r="U100" s="1243">
        <f t="shared" ref="U100:U108" si="295">($T51*$C100)+($U51*$C100)/$E$7</f>
        <v>0</v>
      </c>
      <c r="V100" s="1243">
        <f t="shared" ref="V100:V108" si="296">($T51*$C100)+($U51*$C100)+($V51*$C100)/$E$7</f>
        <v>0</v>
      </c>
      <c r="W100" s="1243">
        <f t="shared" ref="W100:W108" si="297">($T51*$C100)+($U51*$C100)+($V51*$C100)+($W51*$C100)/$E$7</f>
        <v>0</v>
      </c>
      <c r="X100" s="1243">
        <f t="shared" ref="X100:X108" si="298">($T51*$C100)+($U51*$C100)+($V51*$C100)+($W51*$C100)+($X51*$C100)/$E$7</f>
        <v>0</v>
      </c>
      <c r="Y100" s="1248">
        <f t="shared" ref="Y100:Y108" si="299">($T51*$C100)+($U51*$C100)+($V51*$C100)+($W51*$C100)+($X51*$C100)+($Y51*$C100)/$E$7</f>
        <v>0</v>
      </c>
      <c r="Z100" s="1132">
        <f>'11.2. ДА за периода'!Z100</f>
        <v>0</v>
      </c>
      <c r="AA100" s="927">
        <f t="shared" ref="AA100:AA108" si="300">(AA51*$C100)/$E$7</f>
        <v>0</v>
      </c>
      <c r="AB100" s="1243">
        <f t="shared" ref="AB100:AB108" si="301">(AA51*$C100)+(AB51*$C100)/$E$7</f>
        <v>0</v>
      </c>
      <c r="AC100" s="1243">
        <f t="shared" ref="AC100:AC108" si="302">(AA51*$C100)+(AB51*$C100)+(AC51*$C100)/$E$7</f>
        <v>0</v>
      </c>
      <c r="AD100" s="1243">
        <f t="shared" ref="AD100:AD108" si="303">(AA51*$C100)+(AB51*$C100)+(AC51*$C100)+(AD51*$C100)/$E$7</f>
        <v>0</v>
      </c>
      <c r="AE100" s="1243">
        <f t="shared" ref="AE100:AE108" si="304">(AA51*$C100)+(AB51*$C100)+(AC51*$C100)+(AD51*$C100)+(AE51*$C100)/$E$7</f>
        <v>0</v>
      </c>
      <c r="AF100" s="2798">
        <f t="shared" ref="AF100:AF108" si="305">(AA51*$C100)+(AB51*$C100)+(AC51*$C100)+(AD51*$C100)+(AE51*$C100)+(AF51*$C100)/$E$7</f>
        <v>0</v>
      </c>
      <c r="AG100" s="1132">
        <f>'11.2. ДА за периода'!AG100</f>
        <v>0</v>
      </c>
      <c r="AH100" s="927">
        <f t="shared" ref="AH100:AH108" si="306">(AH51*$C100)/$E$7</f>
        <v>0</v>
      </c>
      <c r="AI100" s="1243">
        <f t="shared" ref="AI100:AI108" si="307">(AH51*$C100)+(AI51*$C100)/$E$7</f>
        <v>0</v>
      </c>
      <c r="AJ100" s="1243">
        <f t="shared" ref="AJ100:AJ108" si="308">(AH51*$C100)+(AI51*$C100)+(AJ51*$C100)/$E$7</f>
        <v>0</v>
      </c>
      <c r="AK100" s="1243">
        <f t="shared" ref="AK100:AK108" si="309">(AH51*$C100)+(AI51*$C100)+(AJ51*$C100)+(AK51*$C100)/$E$7</f>
        <v>0</v>
      </c>
      <c r="AL100" s="1243">
        <f t="shared" ref="AL100:AL108" si="310">(AH51*$C100)+(AI51*$C100)+(AJ51*$C100)+(AK51*$C100)+(AL51*$C100)/$E$7</f>
        <v>0</v>
      </c>
      <c r="AM100" s="2798">
        <f t="shared" ref="AM100:AM108" si="311">(AH51*$C100)+(AI51*$C100)+(AJ51*$C100)+(AK51*$C100)+(AL51*$C100)+(AM51*$C100)/$E$7</f>
        <v>0</v>
      </c>
      <c r="AN100" s="1132">
        <f>'11.2. ДА за периода'!AN100</f>
        <v>0</v>
      </c>
      <c r="AO100" s="1247">
        <f t="shared" ref="AO100:AO108" si="312">($AO51*$C100)/$E$7</f>
        <v>5</v>
      </c>
      <c r="AP100" s="1243">
        <f t="shared" ref="AP100:AP108" si="313">($AO51*$C100)+($AP51*$C100)/$E$7</f>
        <v>14</v>
      </c>
      <c r="AQ100" s="1243">
        <f t="shared" ref="AQ100:AQ108" si="314">($AO51*$C100)+($AP51*$C100)+($AQ51*$C100)/$E$7</f>
        <v>20.5</v>
      </c>
      <c r="AR100" s="1243">
        <f t="shared" ref="AR100:AR108" si="315">($AO51*$C100)+($AP51*$C100)+($AQ51*$C100)+($AR51*$C100)/$E$7</f>
        <v>26</v>
      </c>
      <c r="AS100" s="1243">
        <f t="shared" ref="AS100:AS108" si="316">($AO51*$C100)+($AP51*$C100)+($AQ51*$C100)+($AR51*$C100)+($AS51*$C100)/$E$7</f>
        <v>31.5</v>
      </c>
      <c r="AT100" s="1248">
        <f t="shared" ref="AT100:AT108" si="317">($AO51*$C100)+($AP51*$C100)+($AQ51*$C100)+($AR51*$C100)+($AS51*$C100)+($AT51*$C100)/$E$7</f>
        <v>37</v>
      </c>
      <c r="AU100" s="4775"/>
      <c r="AV100" s="4794">
        <f t="shared" si="162"/>
        <v>1.3293588911101681</v>
      </c>
      <c r="AW100" s="4794">
        <f t="shared" si="163"/>
        <v>0</v>
      </c>
      <c r="AX100" s="4794">
        <f t="shared" si="164"/>
        <v>0</v>
      </c>
      <c r="AY100" s="4794">
        <f t="shared" si="165"/>
        <v>0</v>
      </c>
      <c r="AZ100" s="4794">
        <f t="shared" si="166"/>
        <v>0</v>
      </c>
      <c r="BA100" s="4794">
        <f t="shared" si="167"/>
        <v>0</v>
      </c>
      <c r="BB100" s="4794">
        <f t="shared" si="168"/>
        <v>0</v>
      </c>
      <c r="BC100" s="4794">
        <f t="shared" si="169"/>
        <v>0.33233972277754203</v>
      </c>
      <c r="BD100" s="4794">
        <f t="shared" si="170"/>
        <v>0</v>
      </c>
      <c r="BE100" s="4794">
        <f t="shared" si="171"/>
        <v>0</v>
      </c>
      <c r="BF100" s="4794">
        <f t="shared" si="172"/>
        <v>0</v>
      </c>
      <c r="BG100" s="4794">
        <f t="shared" si="173"/>
        <v>0</v>
      </c>
      <c r="BH100" s="4794">
        <f t="shared" si="174"/>
        <v>0</v>
      </c>
      <c r="BI100" s="4794">
        <f t="shared" si="175"/>
        <v>0</v>
      </c>
      <c r="BJ100" s="4794">
        <f t="shared" si="176"/>
        <v>0.23008134653829834</v>
      </c>
      <c r="BK100" s="4794">
        <f t="shared" si="177"/>
        <v>0</v>
      </c>
      <c r="BL100" s="4794">
        <f t="shared" si="178"/>
        <v>0</v>
      </c>
      <c r="BM100" s="4794">
        <f t="shared" si="179"/>
        <v>0</v>
      </c>
      <c r="BN100" s="4794">
        <f t="shared" si="180"/>
        <v>0</v>
      </c>
      <c r="BO100" s="4794">
        <f t="shared" si="181"/>
        <v>0</v>
      </c>
      <c r="BP100" s="4794">
        <f t="shared" si="182"/>
        <v>0</v>
      </c>
      <c r="BQ100" s="4794">
        <f t="shared" si="183"/>
        <v>0</v>
      </c>
      <c r="BR100" s="4794">
        <f t="shared" si="184"/>
        <v>0</v>
      </c>
      <c r="BS100" s="4794">
        <f t="shared" si="185"/>
        <v>0</v>
      </c>
      <c r="BT100" s="4794">
        <f t="shared" si="186"/>
        <v>0</v>
      </c>
      <c r="BU100" s="4794">
        <f t="shared" si="187"/>
        <v>0</v>
      </c>
      <c r="BV100" s="4794">
        <f t="shared" si="188"/>
        <v>0</v>
      </c>
      <c r="BW100" s="4794">
        <f t="shared" si="189"/>
        <v>0</v>
      </c>
      <c r="BX100" s="4794">
        <f t="shared" si="190"/>
        <v>0</v>
      </c>
      <c r="BY100" s="4794">
        <f t="shared" si="191"/>
        <v>0</v>
      </c>
      <c r="BZ100" s="4794">
        <f t="shared" si="192"/>
        <v>0</v>
      </c>
      <c r="CA100" s="4794">
        <f t="shared" si="193"/>
        <v>0</v>
      </c>
      <c r="CB100" s="4794">
        <f t="shared" si="194"/>
        <v>0</v>
      </c>
      <c r="CC100" s="4794">
        <f t="shared" si="195"/>
        <v>0</v>
      </c>
      <c r="CD100" s="4794">
        <f t="shared" si="196"/>
        <v>0</v>
      </c>
      <c r="CE100" s="4794">
        <f t="shared" si="197"/>
        <v>0</v>
      </c>
      <c r="CF100" s="4794">
        <f t="shared" si="198"/>
        <v>2.5564594059810926</v>
      </c>
      <c r="CG100" s="4794">
        <f t="shared" si="199"/>
        <v>7.1580863367470586</v>
      </c>
      <c r="CH100" s="4794">
        <f t="shared" si="200"/>
        <v>10.481483564522479</v>
      </c>
      <c r="CI100" s="4794">
        <f t="shared" si="201"/>
        <v>13.293588911101681</v>
      </c>
      <c r="CJ100" s="4794">
        <f t="shared" si="202"/>
        <v>16.105694257680884</v>
      </c>
      <c r="CK100" s="4794">
        <f t="shared" si="203"/>
        <v>18.917799604260086</v>
      </c>
    </row>
    <row r="101" spans="1:89">
      <c r="A101" s="2871"/>
      <c r="B101" s="3830">
        <v>20602</v>
      </c>
      <c r="C101" s="3804">
        <v>0.1</v>
      </c>
      <c r="D101" s="2879" t="s">
        <v>435</v>
      </c>
      <c r="E101" s="2864">
        <f>'11.2. ДА за периода'!E101</f>
        <v>0.35000000000000003</v>
      </c>
      <c r="F101" s="2792">
        <f t="shared" si="282"/>
        <v>0</v>
      </c>
      <c r="G101" s="1243">
        <f t="shared" si="283"/>
        <v>0</v>
      </c>
      <c r="H101" s="1243">
        <f t="shared" si="284"/>
        <v>0</v>
      </c>
      <c r="I101" s="1243">
        <f t="shared" si="285"/>
        <v>0</v>
      </c>
      <c r="J101" s="1243">
        <f t="shared" si="286"/>
        <v>0</v>
      </c>
      <c r="K101" s="2798">
        <f t="shared" si="287"/>
        <v>0</v>
      </c>
      <c r="L101" s="2864">
        <f>'11.2. ДА за периода'!L101</f>
        <v>0.1</v>
      </c>
      <c r="M101" s="1247">
        <f t="shared" si="288"/>
        <v>0</v>
      </c>
      <c r="N101" s="1243">
        <f t="shared" si="289"/>
        <v>0</v>
      </c>
      <c r="O101" s="1243">
        <f t="shared" si="290"/>
        <v>0</v>
      </c>
      <c r="P101" s="1243">
        <f t="shared" si="291"/>
        <v>0</v>
      </c>
      <c r="Q101" s="2798">
        <f t="shared" si="292"/>
        <v>0</v>
      </c>
      <c r="R101" s="1248">
        <f t="shared" si="293"/>
        <v>0</v>
      </c>
      <c r="S101" s="1132">
        <f>'11.2. ДА за периода'!S101</f>
        <v>0.05</v>
      </c>
      <c r="T101" s="927">
        <f t="shared" si="294"/>
        <v>0</v>
      </c>
      <c r="U101" s="1243">
        <f t="shared" si="295"/>
        <v>0</v>
      </c>
      <c r="V101" s="1243">
        <f t="shared" si="296"/>
        <v>0</v>
      </c>
      <c r="W101" s="1243">
        <f t="shared" si="297"/>
        <v>0</v>
      </c>
      <c r="X101" s="1243">
        <f t="shared" si="298"/>
        <v>0</v>
      </c>
      <c r="Y101" s="1248">
        <f t="shared" si="299"/>
        <v>0</v>
      </c>
      <c r="Z101" s="1132">
        <f>'11.2. ДА за периода'!Z101</f>
        <v>0</v>
      </c>
      <c r="AA101" s="927">
        <f t="shared" si="300"/>
        <v>0</v>
      </c>
      <c r="AB101" s="1243">
        <f t="shared" si="301"/>
        <v>0</v>
      </c>
      <c r="AC101" s="1243">
        <f t="shared" si="302"/>
        <v>0</v>
      </c>
      <c r="AD101" s="1243">
        <f t="shared" si="303"/>
        <v>0</v>
      </c>
      <c r="AE101" s="1243">
        <f t="shared" si="304"/>
        <v>0</v>
      </c>
      <c r="AF101" s="2798">
        <f t="shared" si="305"/>
        <v>0</v>
      </c>
      <c r="AG101" s="1132">
        <f>'11.2. ДА за периода'!AG101</f>
        <v>0</v>
      </c>
      <c r="AH101" s="927">
        <f t="shared" si="306"/>
        <v>0</v>
      </c>
      <c r="AI101" s="1243">
        <f t="shared" si="307"/>
        <v>0</v>
      </c>
      <c r="AJ101" s="1243">
        <f t="shared" si="308"/>
        <v>0</v>
      </c>
      <c r="AK101" s="1243">
        <f t="shared" si="309"/>
        <v>0</v>
      </c>
      <c r="AL101" s="1243">
        <f t="shared" si="310"/>
        <v>0</v>
      </c>
      <c r="AM101" s="2798">
        <f t="shared" si="311"/>
        <v>0</v>
      </c>
      <c r="AN101" s="1132">
        <f>'11.2. ДА за периода'!AN101</f>
        <v>0</v>
      </c>
      <c r="AO101" s="1247">
        <f t="shared" si="312"/>
        <v>0</v>
      </c>
      <c r="AP101" s="1243">
        <f t="shared" si="313"/>
        <v>0</v>
      </c>
      <c r="AQ101" s="1243">
        <f t="shared" si="314"/>
        <v>0</v>
      </c>
      <c r="AR101" s="1243">
        <f t="shared" si="315"/>
        <v>0</v>
      </c>
      <c r="AS101" s="1243">
        <f t="shared" si="316"/>
        <v>0</v>
      </c>
      <c r="AT101" s="1248">
        <f t="shared" si="317"/>
        <v>0</v>
      </c>
      <c r="AU101" s="4775"/>
      <c r="AV101" s="4794">
        <f t="shared" si="162"/>
        <v>0.17895215841867648</v>
      </c>
      <c r="AW101" s="4794">
        <f t="shared" si="163"/>
        <v>0</v>
      </c>
      <c r="AX101" s="4794">
        <f t="shared" si="164"/>
        <v>0</v>
      </c>
      <c r="AY101" s="4794">
        <f t="shared" si="165"/>
        <v>0</v>
      </c>
      <c r="AZ101" s="4794">
        <f t="shared" si="166"/>
        <v>0</v>
      </c>
      <c r="BA101" s="4794">
        <f t="shared" si="167"/>
        <v>0</v>
      </c>
      <c r="BB101" s="4794">
        <f t="shared" si="168"/>
        <v>0</v>
      </c>
      <c r="BC101" s="4794">
        <f t="shared" si="169"/>
        <v>5.1129188119621853E-2</v>
      </c>
      <c r="BD101" s="4794">
        <f t="shared" si="170"/>
        <v>0</v>
      </c>
      <c r="BE101" s="4794">
        <f t="shared" si="171"/>
        <v>0</v>
      </c>
      <c r="BF101" s="4794">
        <f t="shared" si="172"/>
        <v>0</v>
      </c>
      <c r="BG101" s="4794">
        <f t="shared" si="173"/>
        <v>0</v>
      </c>
      <c r="BH101" s="4794">
        <f t="shared" si="174"/>
        <v>0</v>
      </c>
      <c r="BI101" s="4794">
        <f t="shared" si="175"/>
        <v>0</v>
      </c>
      <c r="BJ101" s="4794">
        <f t="shared" si="176"/>
        <v>2.5564594059810927E-2</v>
      </c>
      <c r="BK101" s="4794">
        <f t="shared" si="177"/>
        <v>0</v>
      </c>
      <c r="BL101" s="4794">
        <f t="shared" si="178"/>
        <v>0</v>
      </c>
      <c r="BM101" s="4794">
        <f t="shared" si="179"/>
        <v>0</v>
      </c>
      <c r="BN101" s="4794">
        <f t="shared" si="180"/>
        <v>0</v>
      </c>
      <c r="BO101" s="4794">
        <f t="shared" si="181"/>
        <v>0</v>
      </c>
      <c r="BP101" s="4794">
        <f t="shared" si="182"/>
        <v>0</v>
      </c>
      <c r="BQ101" s="4794">
        <f t="shared" si="183"/>
        <v>0</v>
      </c>
      <c r="BR101" s="4794">
        <f t="shared" si="184"/>
        <v>0</v>
      </c>
      <c r="BS101" s="4794">
        <f t="shared" si="185"/>
        <v>0</v>
      </c>
      <c r="BT101" s="4794">
        <f t="shared" si="186"/>
        <v>0</v>
      </c>
      <c r="BU101" s="4794">
        <f t="shared" si="187"/>
        <v>0</v>
      </c>
      <c r="BV101" s="4794">
        <f t="shared" si="188"/>
        <v>0</v>
      </c>
      <c r="BW101" s="4794">
        <f t="shared" si="189"/>
        <v>0</v>
      </c>
      <c r="BX101" s="4794">
        <f t="shared" si="190"/>
        <v>0</v>
      </c>
      <c r="BY101" s="4794">
        <f t="shared" si="191"/>
        <v>0</v>
      </c>
      <c r="BZ101" s="4794">
        <f t="shared" si="192"/>
        <v>0</v>
      </c>
      <c r="CA101" s="4794">
        <f t="shared" si="193"/>
        <v>0</v>
      </c>
      <c r="CB101" s="4794">
        <f t="shared" si="194"/>
        <v>0</v>
      </c>
      <c r="CC101" s="4794">
        <f t="shared" si="195"/>
        <v>0</v>
      </c>
      <c r="CD101" s="4794">
        <f t="shared" si="196"/>
        <v>0</v>
      </c>
      <c r="CE101" s="4794">
        <f t="shared" si="197"/>
        <v>0</v>
      </c>
      <c r="CF101" s="4794">
        <f t="shared" si="198"/>
        <v>0</v>
      </c>
      <c r="CG101" s="4794">
        <f t="shared" si="199"/>
        <v>0</v>
      </c>
      <c r="CH101" s="4794">
        <f t="shared" si="200"/>
        <v>0</v>
      </c>
      <c r="CI101" s="4794">
        <f t="shared" si="201"/>
        <v>0</v>
      </c>
      <c r="CJ101" s="4794">
        <f t="shared" si="202"/>
        <v>0</v>
      </c>
      <c r="CK101" s="4794">
        <f t="shared" si="203"/>
        <v>0</v>
      </c>
    </row>
    <row r="102" spans="1:89">
      <c r="A102" s="2871"/>
      <c r="B102" s="3823">
        <v>20603</v>
      </c>
      <c r="C102" s="3806">
        <v>0.5</v>
      </c>
      <c r="D102" s="2889" t="s">
        <v>1015</v>
      </c>
      <c r="E102" s="2864">
        <f>'11.2. ДА за периода'!E102</f>
        <v>0.25</v>
      </c>
      <c r="F102" s="2792">
        <f t="shared" si="282"/>
        <v>0</v>
      </c>
      <c r="G102" s="1243">
        <f t="shared" si="283"/>
        <v>0</v>
      </c>
      <c r="H102" s="1243">
        <f t="shared" si="284"/>
        <v>0</v>
      </c>
      <c r="I102" s="1243">
        <f t="shared" si="285"/>
        <v>0</v>
      </c>
      <c r="J102" s="1243">
        <f t="shared" si="286"/>
        <v>0</v>
      </c>
      <c r="K102" s="2798">
        <f t="shared" si="287"/>
        <v>0</v>
      </c>
      <c r="L102" s="2864">
        <f>'11.2. ДА за периода'!L102</f>
        <v>0</v>
      </c>
      <c r="M102" s="1247">
        <f t="shared" si="288"/>
        <v>0</v>
      </c>
      <c r="N102" s="1243">
        <f t="shared" si="289"/>
        <v>0</v>
      </c>
      <c r="O102" s="1243">
        <f t="shared" si="290"/>
        <v>0</v>
      </c>
      <c r="P102" s="1243">
        <f t="shared" si="291"/>
        <v>0</v>
      </c>
      <c r="Q102" s="2798">
        <f t="shared" si="292"/>
        <v>0</v>
      </c>
      <c r="R102" s="1248">
        <f t="shared" si="293"/>
        <v>0</v>
      </c>
      <c r="S102" s="1132">
        <f>'11.2. ДА за периода'!S102</f>
        <v>0</v>
      </c>
      <c r="T102" s="927">
        <f t="shared" si="294"/>
        <v>0</v>
      </c>
      <c r="U102" s="1243">
        <f t="shared" si="295"/>
        <v>0</v>
      </c>
      <c r="V102" s="1243">
        <f t="shared" si="296"/>
        <v>0</v>
      </c>
      <c r="W102" s="1243">
        <f t="shared" si="297"/>
        <v>0</v>
      </c>
      <c r="X102" s="1243">
        <f t="shared" si="298"/>
        <v>0</v>
      </c>
      <c r="Y102" s="1248">
        <f t="shared" si="299"/>
        <v>0</v>
      </c>
      <c r="Z102" s="1132">
        <f>'11.2. ДА за периода'!Z102</f>
        <v>0</v>
      </c>
      <c r="AA102" s="927">
        <f t="shared" si="300"/>
        <v>0</v>
      </c>
      <c r="AB102" s="1243">
        <f t="shared" si="301"/>
        <v>0</v>
      </c>
      <c r="AC102" s="1243">
        <f t="shared" si="302"/>
        <v>0</v>
      </c>
      <c r="AD102" s="1243">
        <f t="shared" si="303"/>
        <v>0</v>
      </c>
      <c r="AE102" s="1243">
        <f t="shared" si="304"/>
        <v>0</v>
      </c>
      <c r="AF102" s="2798">
        <f t="shared" si="305"/>
        <v>0</v>
      </c>
      <c r="AG102" s="1132">
        <f>'11.2. ДА за периода'!AG102</f>
        <v>0</v>
      </c>
      <c r="AH102" s="927">
        <f t="shared" si="306"/>
        <v>0</v>
      </c>
      <c r="AI102" s="1243">
        <f t="shared" si="307"/>
        <v>0</v>
      </c>
      <c r="AJ102" s="1243">
        <f t="shared" si="308"/>
        <v>0</v>
      </c>
      <c r="AK102" s="1243">
        <f t="shared" si="309"/>
        <v>0</v>
      </c>
      <c r="AL102" s="1243">
        <f t="shared" si="310"/>
        <v>0</v>
      </c>
      <c r="AM102" s="2798">
        <f t="shared" si="311"/>
        <v>0</v>
      </c>
      <c r="AN102" s="1132">
        <f>'11.2. ДА за периода'!AN102</f>
        <v>0</v>
      </c>
      <c r="AO102" s="1247">
        <f t="shared" si="312"/>
        <v>0</v>
      </c>
      <c r="AP102" s="1243">
        <f t="shared" si="313"/>
        <v>0</v>
      </c>
      <c r="AQ102" s="1243">
        <f t="shared" si="314"/>
        <v>0</v>
      </c>
      <c r="AR102" s="1243">
        <f t="shared" si="315"/>
        <v>0</v>
      </c>
      <c r="AS102" s="1243">
        <f t="shared" si="316"/>
        <v>0</v>
      </c>
      <c r="AT102" s="1248">
        <f t="shared" si="317"/>
        <v>0</v>
      </c>
      <c r="AU102" s="4775"/>
      <c r="AV102" s="4794">
        <f t="shared" si="162"/>
        <v>0.12782297029905462</v>
      </c>
      <c r="AW102" s="4794">
        <f t="shared" si="163"/>
        <v>0</v>
      </c>
      <c r="AX102" s="4794">
        <f t="shared" si="164"/>
        <v>0</v>
      </c>
      <c r="AY102" s="4794">
        <f t="shared" si="165"/>
        <v>0</v>
      </c>
      <c r="AZ102" s="4794">
        <f t="shared" si="166"/>
        <v>0</v>
      </c>
      <c r="BA102" s="4794">
        <f t="shared" si="167"/>
        <v>0</v>
      </c>
      <c r="BB102" s="4794">
        <f t="shared" si="168"/>
        <v>0</v>
      </c>
      <c r="BC102" s="4794">
        <f t="shared" si="169"/>
        <v>0</v>
      </c>
      <c r="BD102" s="4794">
        <f t="shared" si="170"/>
        <v>0</v>
      </c>
      <c r="BE102" s="4794">
        <f t="shared" si="171"/>
        <v>0</v>
      </c>
      <c r="BF102" s="4794">
        <f t="shared" si="172"/>
        <v>0</v>
      </c>
      <c r="BG102" s="4794">
        <f t="shared" si="173"/>
        <v>0</v>
      </c>
      <c r="BH102" s="4794">
        <f t="shared" si="174"/>
        <v>0</v>
      </c>
      <c r="BI102" s="4794">
        <f t="shared" si="175"/>
        <v>0</v>
      </c>
      <c r="BJ102" s="4794">
        <f t="shared" si="176"/>
        <v>0</v>
      </c>
      <c r="BK102" s="4794">
        <f t="shared" si="177"/>
        <v>0</v>
      </c>
      <c r="BL102" s="4794">
        <f t="shared" si="178"/>
        <v>0</v>
      </c>
      <c r="BM102" s="4794">
        <f t="shared" si="179"/>
        <v>0</v>
      </c>
      <c r="BN102" s="4794">
        <f t="shared" si="180"/>
        <v>0</v>
      </c>
      <c r="BO102" s="4794">
        <f t="shared" si="181"/>
        <v>0</v>
      </c>
      <c r="BP102" s="4794">
        <f t="shared" si="182"/>
        <v>0</v>
      </c>
      <c r="BQ102" s="4794">
        <f t="shared" si="183"/>
        <v>0</v>
      </c>
      <c r="BR102" s="4794">
        <f t="shared" si="184"/>
        <v>0</v>
      </c>
      <c r="BS102" s="4794">
        <f t="shared" si="185"/>
        <v>0</v>
      </c>
      <c r="BT102" s="4794">
        <f t="shared" si="186"/>
        <v>0</v>
      </c>
      <c r="BU102" s="4794">
        <f t="shared" si="187"/>
        <v>0</v>
      </c>
      <c r="BV102" s="4794">
        <f t="shared" si="188"/>
        <v>0</v>
      </c>
      <c r="BW102" s="4794">
        <f t="shared" si="189"/>
        <v>0</v>
      </c>
      <c r="BX102" s="4794">
        <f t="shared" si="190"/>
        <v>0</v>
      </c>
      <c r="BY102" s="4794">
        <f t="shared" si="191"/>
        <v>0</v>
      </c>
      <c r="BZ102" s="4794">
        <f t="shared" si="192"/>
        <v>0</v>
      </c>
      <c r="CA102" s="4794">
        <f t="shared" si="193"/>
        <v>0</v>
      </c>
      <c r="CB102" s="4794">
        <f t="shared" si="194"/>
        <v>0</v>
      </c>
      <c r="CC102" s="4794">
        <f t="shared" si="195"/>
        <v>0</v>
      </c>
      <c r="CD102" s="4794">
        <f t="shared" si="196"/>
        <v>0</v>
      </c>
      <c r="CE102" s="4794">
        <f t="shared" si="197"/>
        <v>0</v>
      </c>
      <c r="CF102" s="4794">
        <f t="shared" si="198"/>
        <v>0</v>
      </c>
      <c r="CG102" s="4794">
        <f t="shared" si="199"/>
        <v>0</v>
      </c>
      <c r="CH102" s="4794">
        <f t="shared" si="200"/>
        <v>0</v>
      </c>
      <c r="CI102" s="4794">
        <f t="shared" si="201"/>
        <v>0</v>
      </c>
      <c r="CJ102" s="4794">
        <f t="shared" si="202"/>
        <v>0</v>
      </c>
      <c r="CK102" s="4794">
        <f t="shared" si="203"/>
        <v>0</v>
      </c>
    </row>
    <row r="103" spans="1:89" s="34" customFormat="1">
      <c r="A103" s="2871">
        <v>7</v>
      </c>
      <c r="B103" s="3831">
        <v>208</v>
      </c>
      <c r="C103" s="3805">
        <v>0.2</v>
      </c>
      <c r="D103" s="2887" t="s">
        <v>413</v>
      </c>
      <c r="E103" s="2911">
        <f>'11.2. ДА за периода'!E103</f>
        <v>1.6</v>
      </c>
      <c r="F103" s="2938">
        <f t="shared" si="282"/>
        <v>0</v>
      </c>
      <c r="G103" s="1178">
        <f t="shared" si="283"/>
        <v>0</v>
      </c>
      <c r="H103" s="1178">
        <f t="shared" si="284"/>
        <v>0</v>
      </c>
      <c r="I103" s="1178">
        <f t="shared" si="285"/>
        <v>0</v>
      </c>
      <c r="J103" s="1178">
        <f t="shared" si="286"/>
        <v>0</v>
      </c>
      <c r="K103" s="2939">
        <f t="shared" si="287"/>
        <v>0</v>
      </c>
      <c r="L103" s="2911">
        <f>'11.2. ДА за периода'!L103</f>
        <v>0.2</v>
      </c>
      <c r="M103" s="2938">
        <f t="shared" si="288"/>
        <v>0</v>
      </c>
      <c r="N103" s="1178">
        <f t="shared" si="289"/>
        <v>0</v>
      </c>
      <c r="O103" s="1178">
        <f t="shared" si="290"/>
        <v>0</v>
      </c>
      <c r="P103" s="1178">
        <f t="shared" si="291"/>
        <v>0</v>
      </c>
      <c r="Q103" s="2939">
        <f t="shared" si="292"/>
        <v>0</v>
      </c>
      <c r="R103" s="2940">
        <f t="shared" si="293"/>
        <v>0</v>
      </c>
      <c r="S103" s="2941">
        <f>'11.2. ДА за периода'!S103</f>
        <v>0.2</v>
      </c>
      <c r="T103" s="1177">
        <f t="shared" si="294"/>
        <v>0</v>
      </c>
      <c r="U103" s="1178">
        <f t="shared" si="295"/>
        <v>0</v>
      </c>
      <c r="V103" s="1178">
        <f t="shared" si="296"/>
        <v>0</v>
      </c>
      <c r="W103" s="1178">
        <f t="shared" si="297"/>
        <v>0</v>
      </c>
      <c r="X103" s="1178">
        <f t="shared" si="298"/>
        <v>0</v>
      </c>
      <c r="Y103" s="2940">
        <f t="shared" si="299"/>
        <v>0</v>
      </c>
      <c r="Z103" s="2941">
        <f>'11.2. ДА за периода'!Z103</f>
        <v>0</v>
      </c>
      <c r="AA103" s="1177">
        <f t="shared" si="300"/>
        <v>0</v>
      </c>
      <c r="AB103" s="1178">
        <f t="shared" si="301"/>
        <v>0</v>
      </c>
      <c r="AC103" s="1178">
        <f t="shared" si="302"/>
        <v>0</v>
      </c>
      <c r="AD103" s="1178">
        <f t="shared" si="303"/>
        <v>0</v>
      </c>
      <c r="AE103" s="1178">
        <f t="shared" si="304"/>
        <v>0</v>
      </c>
      <c r="AF103" s="2940">
        <f t="shared" si="305"/>
        <v>0</v>
      </c>
      <c r="AG103" s="2941">
        <f>'11.2. ДА за периода'!AG103</f>
        <v>0</v>
      </c>
      <c r="AH103" s="1177">
        <f t="shared" si="306"/>
        <v>0</v>
      </c>
      <c r="AI103" s="1178">
        <f t="shared" si="307"/>
        <v>0</v>
      </c>
      <c r="AJ103" s="1178">
        <f t="shared" si="308"/>
        <v>0</v>
      </c>
      <c r="AK103" s="1178">
        <f t="shared" si="309"/>
        <v>0</v>
      </c>
      <c r="AL103" s="1178">
        <f t="shared" si="310"/>
        <v>0</v>
      </c>
      <c r="AM103" s="2940">
        <f t="shared" si="311"/>
        <v>0</v>
      </c>
      <c r="AN103" s="2941">
        <f>'11.2. ДА за периода'!AN103</f>
        <v>0</v>
      </c>
      <c r="AO103" s="1177">
        <f t="shared" si="312"/>
        <v>2</v>
      </c>
      <c r="AP103" s="1178">
        <f t="shared" si="313"/>
        <v>6</v>
      </c>
      <c r="AQ103" s="1178">
        <f t="shared" si="314"/>
        <v>10</v>
      </c>
      <c r="AR103" s="1178">
        <f t="shared" si="315"/>
        <v>14</v>
      </c>
      <c r="AS103" s="1178">
        <f t="shared" si="316"/>
        <v>18</v>
      </c>
      <c r="AT103" s="2940">
        <f t="shared" si="317"/>
        <v>22</v>
      </c>
      <c r="AU103" s="4775"/>
      <c r="AV103" s="4794">
        <f t="shared" si="162"/>
        <v>0.81806700991394965</v>
      </c>
      <c r="AW103" s="4794">
        <f t="shared" si="163"/>
        <v>0</v>
      </c>
      <c r="AX103" s="4794">
        <f t="shared" si="164"/>
        <v>0</v>
      </c>
      <c r="AY103" s="4794">
        <f t="shared" si="165"/>
        <v>0</v>
      </c>
      <c r="AZ103" s="4794">
        <f t="shared" si="166"/>
        <v>0</v>
      </c>
      <c r="BA103" s="4794">
        <f t="shared" si="167"/>
        <v>0</v>
      </c>
      <c r="BB103" s="4794">
        <f t="shared" si="168"/>
        <v>0</v>
      </c>
      <c r="BC103" s="4794">
        <f t="shared" si="169"/>
        <v>0.10225837623924371</v>
      </c>
      <c r="BD103" s="4794">
        <f t="shared" si="170"/>
        <v>0</v>
      </c>
      <c r="BE103" s="4794">
        <f t="shared" si="171"/>
        <v>0</v>
      </c>
      <c r="BF103" s="4794">
        <f t="shared" si="172"/>
        <v>0</v>
      </c>
      <c r="BG103" s="4794">
        <f t="shared" si="173"/>
        <v>0</v>
      </c>
      <c r="BH103" s="4794">
        <f t="shared" si="174"/>
        <v>0</v>
      </c>
      <c r="BI103" s="4794">
        <f t="shared" si="175"/>
        <v>0</v>
      </c>
      <c r="BJ103" s="4794">
        <f t="shared" si="176"/>
        <v>0.10225837623924371</v>
      </c>
      <c r="BK103" s="4794">
        <f t="shared" si="177"/>
        <v>0</v>
      </c>
      <c r="BL103" s="4794">
        <f t="shared" si="178"/>
        <v>0</v>
      </c>
      <c r="BM103" s="4794">
        <f t="shared" si="179"/>
        <v>0</v>
      </c>
      <c r="BN103" s="4794">
        <f t="shared" si="180"/>
        <v>0</v>
      </c>
      <c r="BO103" s="4794">
        <f t="shared" si="181"/>
        <v>0</v>
      </c>
      <c r="BP103" s="4794">
        <f t="shared" si="182"/>
        <v>0</v>
      </c>
      <c r="BQ103" s="4794">
        <f t="shared" si="183"/>
        <v>0</v>
      </c>
      <c r="BR103" s="4794">
        <f t="shared" si="184"/>
        <v>0</v>
      </c>
      <c r="BS103" s="4794">
        <f t="shared" si="185"/>
        <v>0</v>
      </c>
      <c r="BT103" s="4794">
        <f t="shared" si="186"/>
        <v>0</v>
      </c>
      <c r="BU103" s="4794">
        <f t="shared" si="187"/>
        <v>0</v>
      </c>
      <c r="BV103" s="4794">
        <f t="shared" si="188"/>
        <v>0</v>
      </c>
      <c r="BW103" s="4794">
        <f t="shared" si="189"/>
        <v>0</v>
      </c>
      <c r="BX103" s="4794">
        <f t="shared" si="190"/>
        <v>0</v>
      </c>
      <c r="BY103" s="4794">
        <f t="shared" si="191"/>
        <v>0</v>
      </c>
      <c r="BZ103" s="4794">
        <f t="shared" si="192"/>
        <v>0</v>
      </c>
      <c r="CA103" s="4794">
        <f t="shared" si="193"/>
        <v>0</v>
      </c>
      <c r="CB103" s="4794">
        <f t="shared" si="194"/>
        <v>0</v>
      </c>
      <c r="CC103" s="4794">
        <f t="shared" si="195"/>
        <v>0</v>
      </c>
      <c r="CD103" s="4794">
        <f t="shared" si="196"/>
        <v>0</v>
      </c>
      <c r="CE103" s="4794">
        <f t="shared" si="197"/>
        <v>0</v>
      </c>
      <c r="CF103" s="4794">
        <f t="shared" si="198"/>
        <v>1.022583762392437</v>
      </c>
      <c r="CG103" s="4794">
        <f t="shared" si="199"/>
        <v>3.0677512871773112</v>
      </c>
      <c r="CH103" s="4794">
        <f t="shared" si="200"/>
        <v>5.1129188119621851</v>
      </c>
      <c r="CI103" s="4794">
        <f t="shared" si="201"/>
        <v>7.1580863367470586</v>
      </c>
      <c r="CJ103" s="4794">
        <f t="shared" si="202"/>
        <v>9.2032538615319321</v>
      </c>
      <c r="CK103" s="4794">
        <f t="shared" si="203"/>
        <v>11.248421386316807</v>
      </c>
    </row>
    <row r="104" spans="1:89" s="34" customFormat="1">
      <c r="A104" s="2871">
        <v>8</v>
      </c>
      <c r="B104" s="3831">
        <v>209</v>
      </c>
      <c r="C104" s="3805">
        <v>0.1</v>
      </c>
      <c r="D104" s="2887" t="s">
        <v>213</v>
      </c>
      <c r="E104" s="2911">
        <f>'11.2. ДА за периода'!E104</f>
        <v>0</v>
      </c>
      <c r="F104" s="2938">
        <f t="shared" si="282"/>
        <v>0</v>
      </c>
      <c r="G104" s="1178">
        <f t="shared" si="283"/>
        <v>0</v>
      </c>
      <c r="H104" s="1178">
        <f t="shared" si="284"/>
        <v>0</v>
      </c>
      <c r="I104" s="1178">
        <f t="shared" si="285"/>
        <v>0</v>
      </c>
      <c r="J104" s="1178">
        <f t="shared" si="286"/>
        <v>0</v>
      </c>
      <c r="K104" s="2939">
        <f t="shared" si="287"/>
        <v>0</v>
      </c>
      <c r="L104" s="2911">
        <f>'11.2. ДА за периода'!L104</f>
        <v>0</v>
      </c>
      <c r="M104" s="2938">
        <f t="shared" si="288"/>
        <v>0</v>
      </c>
      <c r="N104" s="1178">
        <f t="shared" si="289"/>
        <v>0</v>
      </c>
      <c r="O104" s="1178">
        <f t="shared" si="290"/>
        <v>0</v>
      </c>
      <c r="P104" s="1178">
        <f t="shared" si="291"/>
        <v>0</v>
      </c>
      <c r="Q104" s="2939">
        <f t="shared" si="292"/>
        <v>0</v>
      </c>
      <c r="R104" s="2940">
        <f t="shared" si="293"/>
        <v>0</v>
      </c>
      <c r="S104" s="2941">
        <f>'11.2. ДА за периода'!S104</f>
        <v>0</v>
      </c>
      <c r="T104" s="1177">
        <f t="shared" si="294"/>
        <v>0</v>
      </c>
      <c r="U104" s="1178">
        <f t="shared" si="295"/>
        <v>0</v>
      </c>
      <c r="V104" s="1178">
        <f t="shared" si="296"/>
        <v>0</v>
      </c>
      <c r="W104" s="1178">
        <f t="shared" si="297"/>
        <v>0</v>
      </c>
      <c r="X104" s="1178">
        <f t="shared" si="298"/>
        <v>0</v>
      </c>
      <c r="Y104" s="2940">
        <f t="shared" si="299"/>
        <v>0</v>
      </c>
      <c r="Z104" s="2941">
        <f>'11.2. ДА за периода'!Z104</f>
        <v>0</v>
      </c>
      <c r="AA104" s="1177">
        <f t="shared" si="300"/>
        <v>0</v>
      </c>
      <c r="AB104" s="1178">
        <f t="shared" si="301"/>
        <v>0</v>
      </c>
      <c r="AC104" s="1178">
        <f t="shared" si="302"/>
        <v>0</v>
      </c>
      <c r="AD104" s="1178">
        <f t="shared" si="303"/>
        <v>0</v>
      </c>
      <c r="AE104" s="1178">
        <f t="shared" si="304"/>
        <v>0</v>
      </c>
      <c r="AF104" s="2940">
        <f t="shared" si="305"/>
        <v>0</v>
      </c>
      <c r="AG104" s="2941">
        <f>'11.2. ДА за периода'!AG104</f>
        <v>0</v>
      </c>
      <c r="AH104" s="1177">
        <f t="shared" si="306"/>
        <v>0</v>
      </c>
      <c r="AI104" s="1178">
        <f t="shared" si="307"/>
        <v>0</v>
      </c>
      <c r="AJ104" s="1178">
        <f t="shared" si="308"/>
        <v>0</v>
      </c>
      <c r="AK104" s="1178">
        <f t="shared" si="309"/>
        <v>0</v>
      </c>
      <c r="AL104" s="1178">
        <f t="shared" si="310"/>
        <v>0</v>
      </c>
      <c r="AM104" s="2940">
        <f t="shared" si="311"/>
        <v>0</v>
      </c>
      <c r="AN104" s="2941">
        <f>'11.2. ДА за периода'!AN104</f>
        <v>0</v>
      </c>
      <c r="AO104" s="1177">
        <f t="shared" si="312"/>
        <v>0</v>
      </c>
      <c r="AP104" s="1178">
        <f t="shared" si="313"/>
        <v>0</v>
      </c>
      <c r="AQ104" s="1178">
        <f t="shared" si="314"/>
        <v>0</v>
      </c>
      <c r="AR104" s="1178">
        <f t="shared" si="315"/>
        <v>0</v>
      </c>
      <c r="AS104" s="1178">
        <f t="shared" si="316"/>
        <v>0</v>
      </c>
      <c r="AT104" s="2940">
        <f t="shared" si="317"/>
        <v>0</v>
      </c>
      <c r="AU104" s="4775"/>
      <c r="AV104" s="4794">
        <f t="shared" si="162"/>
        <v>0</v>
      </c>
      <c r="AW104" s="4794">
        <f t="shared" si="163"/>
        <v>0</v>
      </c>
      <c r="AX104" s="4794">
        <f t="shared" si="164"/>
        <v>0</v>
      </c>
      <c r="AY104" s="4794">
        <f t="shared" si="165"/>
        <v>0</v>
      </c>
      <c r="AZ104" s="4794">
        <f t="shared" si="166"/>
        <v>0</v>
      </c>
      <c r="BA104" s="4794">
        <f t="shared" si="167"/>
        <v>0</v>
      </c>
      <c r="BB104" s="4794">
        <f t="shared" si="168"/>
        <v>0</v>
      </c>
      <c r="BC104" s="4794">
        <f t="shared" si="169"/>
        <v>0</v>
      </c>
      <c r="BD104" s="4794">
        <f t="shared" si="170"/>
        <v>0</v>
      </c>
      <c r="BE104" s="4794">
        <f t="shared" si="171"/>
        <v>0</v>
      </c>
      <c r="BF104" s="4794">
        <f t="shared" si="172"/>
        <v>0</v>
      </c>
      <c r="BG104" s="4794">
        <f t="shared" si="173"/>
        <v>0</v>
      </c>
      <c r="BH104" s="4794">
        <f t="shared" si="174"/>
        <v>0</v>
      </c>
      <c r="BI104" s="4794">
        <f t="shared" si="175"/>
        <v>0</v>
      </c>
      <c r="BJ104" s="4794">
        <f t="shared" si="176"/>
        <v>0</v>
      </c>
      <c r="BK104" s="4794">
        <f t="shared" si="177"/>
        <v>0</v>
      </c>
      <c r="BL104" s="4794">
        <f t="shared" si="178"/>
        <v>0</v>
      </c>
      <c r="BM104" s="4794">
        <f t="shared" si="179"/>
        <v>0</v>
      </c>
      <c r="BN104" s="4794">
        <f t="shared" si="180"/>
        <v>0</v>
      </c>
      <c r="BO104" s="4794">
        <f t="shared" si="181"/>
        <v>0</v>
      </c>
      <c r="BP104" s="4794">
        <f t="shared" si="182"/>
        <v>0</v>
      </c>
      <c r="BQ104" s="4794">
        <f t="shared" si="183"/>
        <v>0</v>
      </c>
      <c r="BR104" s="4794">
        <f t="shared" si="184"/>
        <v>0</v>
      </c>
      <c r="BS104" s="4794">
        <f t="shared" si="185"/>
        <v>0</v>
      </c>
      <c r="BT104" s="4794">
        <f t="shared" si="186"/>
        <v>0</v>
      </c>
      <c r="BU104" s="4794">
        <f t="shared" si="187"/>
        <v>0</v>
      </c>
      <c r="BV104" s="4794">
        <f t="shared" si="188"/>
        <v>0</v>
      </c>
      <c r="BW104" s="4794">
        <f t="shared" si="189"/>
        <v>0</v>
      </c>
      <c r="BX104" s="4794">
        <f t="shared" si="190"/>
        <v>0</v>
      </c>
      <c r="BY104" s="4794">
        <f t="shared" si="191"/>
        <v>0</v>
      </c>
      <c r="BZ104" s="4794">
        <f t="shared" si="192"/>
        <v>0</v>
      </c>
      <c r="CA104" s="4794">
        <f t="shared" si="193"/>
        <v>0</v>
      </c>
      <c r="CB104" s="4794">
        <f t="shared" si="194"/>
        <v>0</v>
      </c>
      <c r="CC104" s="4794">
        <f t="shared" si="195"/>
        <v>0</v>
      </c>
      <c r="CD104" s="4794">
        <f t="shared" si="196"/>
        <v>0</v>
      </c>
      <c r="CE104" s="4794">
        <f t="shared" si="197"/>
        <v>0</v>
      </c>
      <c r="CF104" s="4794">
        <f t="shared" si="198"/>
        <v>0</v>
      </c>
      <c r="CG104" s="4794">
        <f t="shared" si="199"/>
        <v>0</v>
      </c>
      <c r="CH104" s="4794">
        <f t="shared" si="200"/>
        <v>0</v>
      </c>
      <c r="CI104" s="4794">
        <f t="shared" si="201"/>
        <v>0</v>
      </c>
      <c r="CJ104" s="4794">
        <f t="shared" si="202"/>
        <v>0</v>
      </c>
      <c r="CK104" s="4794">
        <f t="shared" si="203"/>
        <v>0</v>
      </c>
    </row>
    <row r="105" spans="1:89" s="34" customFormat="1">
      <c r="A105" s="2871">
        <v>9</v>
      </c>
      <c r="B105" s="3831">
        <v>212</v>
      </c>
      <c r="C105" s="3805">
        <v>0.2</v>
      </c>
      <c r="D105" s="2898" t="s">
        <v>214</v>
      </c>
      <c r="E105" s="2911">
        <f>'11.2. ДА за периода'!E105</f>
        <v>5.7</v>
      </c>
      <c r="F105" s="2938">
        <f t="shared" si="282"/>
        <v>0</v>
      </c>
      <c r="G105" s="1178">
        <f t="shared" si="283"/>
        <v>0</v>
      </c>
      <c r="H105" s="1178">
        <f t="shared" si="284"/>
        <v>0</v>
      </c>
      <c r="I105" s="1178">
        <f t="shared" si="285"/>
        <v>0</v>
      </c>
      <c r="J105" s="1178">
        <f t="shared" si="286"/>
        <v>0</v>
      </c>
      <c r="K105" s="2939">
        <f t="shared" si="287"/>
        <v>0</v>
      </c>
      <c r="L105" s="2911">
        <f>'11.2. ДА за периода'!L105</f>
        <v>2.2000000000000002</v>
      </c>
      <c r="M105" s="2938">
        <f t="shared" si="288"/>
        <v>0</v>
      </c>
      <c r="N105" s="1178">
        <f t="shared" si="289"/>
        <v>0</v>
      </c>
      <c r="O105" s="1178">
        <f t="shared" si="290"/>
        <v>0</v>
      </c>
      <c r="P105" s="1178">
        <f t="shared" si="291"/>
        <v>0</v>
      </c>
      <c r="Q105" s="2939">
        <f t="shared" si="292"/>
        <v>0</v>
      </c>
      <c r="R105" s="2940">
        <f t="shared" si="293"/>
        <v>0</v>
      </c>
      <c r="S105" s="2941">
        <f>'11.2. ДА за периода'!S105</f>
        <v>0.8</v>
      </c>
      <c r="T105" s="1177">
        <f t="shared" si="294"/>
        <v>0</v>
      </c>
      <c r="U105" s="1178">
        <f t="shared" si="295"/>
        <v>0</v>
      </c>
      <c r="V105" s="1178">
        <f t="shared" si="296"/>
        <v>0</v>
      </c>
      <c r="W105" s="1178">
        <f t="shared" si="297"/>
        <v>0</v>
      </c>
      <c r="X105" s="1178">
        <f t="shared" si="298"/>
        <v>0</v>
      </c>
      <c r="Y105" s="2940">
        <f t="shared" si="299"/>
        <v>0</v>
      </c>
      <c r="Z105" s="2941">
        <f>'11.2. ДА за периода'!Z105</f>
        <v>0</v>
      </c>
      <c r="AA105" s="1177">
        <f t="shared" si="300"/>
        <v>0</v>
      </c>
      <c r="AB105" s="1178">
        <f t="shared" si="301"/>
        <v>0</v>
      </c>
      <c r="AC105" s="1178">
        <f t="shared" si="302"/>
        <v>0</v>
      </c>
      <c r="AD105" s="1178">
        <f t="shared" si="303"/>
        <v>0</v>
      </c>
      <c r="AE105" s="1178">
        <f t="shared" si="304"/>
        <v>0</v>
      </c>
      <c r="AF105" s="2940">
        <f t="shared" si="305"/>
        <v>0</v>
      </c>
      <c r="AG105" s="2941">
        <f>'11.2. ДА за периода'!AG105</f>
        <v>0</v>
      </c>
      <c r="AH105" s="1177">
        <f t="shared" si="306"/>
        <v>0</v>
      </c>
      <c r="AI105" s="1178">
        <f t="shared" si="307"/>
        <v>0</v>
      </c>
      <c r="AJ105" s="1178">
        <f t="shared" si="308"/>
        <v>0</v>
      </c>
      <c r="AK105" s="1178">
        <f t="shared" si="309"/>
        <v>0</v>
      </c>
      <c r="AL105" s="1178">
        <f t="shared" si="310"/>
        <v>0</v>
      </c>
      <c r="AM105" s="2940">
        <f t="shared" si="311"/>
        <v>0</v>
      </c>
      <c r="AN105" s="2941">
        <f>'11.2. ДА за периода'!AN105</f>
        <v>0</v>
      </c>
      <c r="AO105" s="1177">
        <f t="shared" si="312"/>
        <v>5</v>
      </c>
      <c r="AP105" s="1178">
        <f t="shared" si="313"/>
        <v>10</v>
      </c>
      <c r="AQ105" s="1178">
        <f t="shared" si="314"/>
        <v>10</v>
      </c>
      <c r="AR105" s="1178">
        <f t="shared" si="315"/>
        <v>12.5</v>
      </c>
      <c r="AS105" s="1178">
        <f t="shared" si="316"/>
        <v>15</v>
      </c>
      <c r="AT105" s="2940">
        <f t="shared" si="317"/>
        <v>15</v>
      </c>
      <c r="AU105" s="4775"/>
      <c r="AV105" s="4794">
        <f t="shared" si="162"/>
        <v>2.9143637228184454</v>
      </c>
      <c r="AW105" s="4794">
        <f t="shared" si="163"/>
        <v>0</v>
      </c>
      <c r="AX105" s="4794">
        <f t="shared" si="164"/>
        <v>0</v>
      </c>
      <c r="AY105" s="4794">
        <f t="shared" si="165"/>
        <v>0</v>
      </c>
      <c r="AZ105" s="4794">
        <f t="shared" si="166"/>
        <v>0</v>
      </c>
      <c r="BA105" s="4794">
        <f t="shared" si="167"/>
        <v>0</v>
      </c>
      <c r="BB105" s="4794">
        <f t="shared" si="168"/>
        <v>0</v>
      </c>
      <c r="BC105" s="4794">
        <f t="shared" si="169"/>
        <v>1.1248421386316807</v>
      </c>
      <c r="BD105" s="4794">
        <f t="shared" si="170"/>
        <v>0</v>
      </c>
      <c r="BE105" s="4794">
        <f t="shared" si="171"/>
        <v>0</v>
      </c>
      <c r="BF105" s="4794">
        <f t="shared" si="172"/>
        <v>0</v>
      </c>
      <c r="BG105" s="4794">
        <f t="shared" si="173"/>
        <v>0</v>
      </c>
      <c r="BH105" s="4794">
        <f t="shared" si="174"/>
        <v>0</v>
      </c>
      <c r="BI105" s="4794">
        <f t="shared" si="175"/>
        <v>0</v>
      </c>
      <c r="BJ105" s="4794">
        <f t="shared" si="176"/>
        <v>0.40903350495697482</v>
      </c>
      <c r="BK105" s="4794">
        <f t="shared" si="177"/>
        <v>0</v>
      </c>
      <c r="BL105" s="4794">
        <f t="shared" si="178"/>
        <v>0</v>
      </c>
      <c r="BM105" s="4794">
        <f t="shared" si="179"/>
        <v>0</v>
      </c>
      <c r="BN105" s="4794">
        <f t="shared" si="180"/>
        <v>0</v>
      </c>
      <c r="BO105" s="4794">
        <f t="shared" si="181"/>
        <v>0</v>
      </c>
      <c r="BP105" s="4794">
        <f t="shared" si="182"/>
        <v>0</v>
      </c>
      <c r="BQ105" s="4794">
        <f t="shared" si="183"/>
        <v>0</v>
      </c>
      <c r="BR105" s="4794">
        <f t="shared" si="184"/>
        <v>0</v>
      </c>
      <c r="BS105" s="4794">
        <f t="shared" si="185"/>
        <v>0</v>
      </c>
      <c r="BT105" s="4794">
        <f t="shared" si="186"/>
        <v>0</v>
      </c>
      <c r="BU105" s="4794">
        <f t="shared" si="187"/>
        <v>0</v>
      </c>
      <c r="BV105" s="4794">
        <f t="shared" si="188"/>
        <v>0</v>
      </c>
      <c r="BW105" s="4794">
        <f t="shared" si="189"/>
        <v>0</v>
      </c>
      <c r="BX105" s="4794">
        <f t="shared" si="190"/>
        <v>0</v>
      </c>
      <c r="BY105" s="4794">
        <f t="shared" si="191"/>
        <v>0</v>
      </c>
      <c r="BZ105" s="4794">
        <f t="shared" si="192"/>
        <v>0</v>
      </c>
      <c r="CA105" s="4794">
        <f t="shared" si="193"/>
        <v>0</v>
      </c>
      <c r="CB105" s="4794">
        <f t="shared" si="194"/>
        <v>0</v>
      </c>
      <c r="CC105" s="4794">
        <f t="shared" si="195"/>
        <v>0</v>
      </c>
      <c r="CD105" s="4794">
        <f t="shared" si="196"/>
        <v>0</v>
      </c>
      <c r="CE105" s="4794">
        <f t="shared" si="197"/>
        <v>0</v>
      </c>
      <c r="CF105" s="4794">
        <f t="shared" si="198"/>
        <v>2.5564594059810926</v>
      </c>
      <c r="CG105" s="4794">
        <f t="shared" si="199"/>
        <v>5.1129188119621851</v>
      </c>
      <c r="CH105" s="4794">
        <f t="shared" si="200"/>
        <v>5.1129188119621851</v>
      </c>
      <c r="CI105" s="4794">
        <f t="shared" si="201"/>
        <v>6.3911485149527314</v>
      </c>
      <c r="CJ105" s="4794">
        <f t="shared" si="202"/>
        <v>7.6693782179432777</v>
      </c>
      <c r="CK105" s="4794">
        <f t="shared" si="203"/>
        <v>7.6693782179432777</v>
      </c>
    </row>
    <row r="106" spans="1:89" s="34" customFormat="1">
      <c r="A106" s="2871">
        <v>10</v>
      </c>
      <c r="B106" s="3831">
        <v>213</v>
      </c>
      <c r="C106" s="3805">
        <v>0.2</v>
      </c>
      <c r="D106" s="2870" t="s">
        <v>215</v>
      </c>
      <c r="E106" s="2911">
        <f>'11.2. ДА за периода'!E106</f>
        <v>0</v>
      </c>
      <c r="F106" s="2938">
        <f t="shared" si="282"/>
        <v>0</v>
      </c>
      <c r="G106" s="1178">
        <f t="shared" si="283"/>
        <v>0</v>
      </c>
      <c r="H106" s="1178">
        <f t="shared" si="284"/>
        <v>0</v>
      </c>
      <c r="I106" s="1178">
        <f t="shared" si="285"/>
        <v>0</v>
      </c>
      <c r="J106" s="1178">
        <f t="shared" si="286"/>
        <v>0</v>
      </c>
      <c r="K106" s="2939">
        <f t="shared" si="287"/>
        <v>0</v>
      </c>
      <c r="L106" s="2911">
        <f>'11.2. ДА за периода'!L106</f>
        <v>0</v>
      </c>
      <c r="M106" s="2938">
        <f t="shared" si="288"/>
        <v>0</v>
      </c>
      <c r="N106" s="1178">
        <f t="shared" si="289"/>
        <v>0</v>
      </c>
      <c r="O106" s="1178">
        <f t="shared" si="290"/>
        <v>0</v>
      </c>
      <c r="P106" s="1178">
        <f t="shared" si="291"/>
        <v>0</v>
      </c>
      <c r="Q106" s="2939">
        <f t="shared" si="292"/>
        <v>0</v>
      </c>
      <c r="R106" s="2940">
        <f t="shared" si="293"/>
        <v>0</v>
      </c>
      <c r="S106" s="2941">
        <f>'11.2. ДА за периода'!S106</f>
        <v>0</v>
      </c>
      <c r="T106" s="1177">
        <f t="shared" si="294"/>
        <v>0</v>
      </c>
      <c r="U106" s="1178">
        <f t="shared" si="295"/>
        <v>0</v>
      </c>
      <c r="V106" s="1178">
        <f t="shared" si="296"/>
        <v>0</v>
      </c>
      <c r="W106" s="1178">
        <f t="shared" si="297"/>
        <v>0</v>
      </c>
      <c r="X106" s="1178">
        <f t="shared" si="298"/>
        <v>0</v>
      </c>
      <c r="Y106" s="2940">
        <f t="shared" si="299"/>
        <v>0</v>
      </c>
      <c r="Z106" s="2941">
        <f>'11.2. ДА за периода'!Z106</f>
        <v>0</v>
      </c>
      <c r="AA106" s="1177">
        <f t="shared" si="300"/>
        <v>0</v>
      </c>
      <c r="AB106" s="1178">
        <f t="shared" si="301"/>
        <v>0</v>
      </c>
      <c r="AC106" s="1178">
        <f t="shared" si="302"/>
        <v>0</v>
      </c>
      <c r="AD106" s="1178">
        <f t="shared" si="303"/>
        <v>0</v>
      </c>
      <c r="AE106" s="1178">
        <f t="shared" si="304"/>
        <v>0</v>
      </c>
      <c r="AF106" s="2940">
        <f t="shared" si="305"/>
        <v>0</v>
      </c>
      <c r="AG106" s="2941">
        <f>'11.2. ДА за периода'!AG106</f>
        <v>0</v>
      </c>
      <c r="AH106" s="1177">
        <f t="shared" si="306"/>
        <v>0</v>
      </c>
      <c r="AI106" s="1178">
        <f t="shared" si="307"/>
        <v>0</v>
      </c>
      <c r="AJ106" s="1178">
        <f t="shared" si="308"/>
        <v>0</v>
      </c>
      <c r="AK106" s="1178">
        <f t="shared" si="309"/>
        <v>0</v>
      </c>
      <c r="AL106" s="1178">
        <f t="shared" si="310"/>
        <v>0</v>
      </c>
      <c r="AM106" s="2940">
        <f t="shared" si="311"/>
        <v>0</v>
      </c>
      <c r="AN106" s="2941">
        <f>'11.2. ДА за периода'!AN106</f>
        <v>0</v>
      </c>
      <c r="AO106" s="1177">
        <f t="shared" si="312"/>
        <v>0</v>
      </c>
      <c r="AP106" s="1178">
        <f t="shared" si="313"/>
        <v>0</v>
      </c>
      <c r="AQ106" s="1178">
        <f t="shared" si="314"/>
        <v>0</v>
      </c>
      <c r="AR106" s="1178">
        <f t="shared" si="315"/>
        <v>0</v>
      </c>
      <c r="AS106" s="1178">
        <f t="shared" si="316"/>
        <v>0</v>
      </c>
      <c r="AT106" s="2940">
        <f t="shared" si="317"/>
        <v>0</v>
      </c>
      <c r="AU106" s="4775"/>
      <c r="AV106" s="4794">
        <f t="shared" si="162"/>
        <v>0</v>
      </c>
      <c r="AW106" s="4794">
        <f t="shared" si="163"/>
        <v>0</v>
      </c>
      <c r="AX106" s="4794">
        <f t="shared" si="164"/>
        <v>0</v>
      </c>
      <c r="AY106" s="4794">
        <f t="shared" si="165"/>
        <v>0</v>
      </c>
      <c r="AZ106" s="4794">
        <f t="shared" si="166"/>
        <v>0</v>
      </c>
      <c r="BA106" s="4794">
        <f t="shared" si="167"/>
        <v>0</v>
      </c>
      <c r="BB106" s="4794">
        <f t="shared" si="168"/>
        <v>0</v>
      </c>
      <c r="BC106" s="4794">
        <f t="shared" si="169"/>
        <v>0</v>
      </c>
      <c r="BD106" s="4794">
        <f t="shared" si="170"/>
        <v>0</v>
      </c>
      <c r="BE106" s="4794">
        <f t="shared" si="171"/>
        <v>0</v>
      </c>
      <c r="BF106" s="4794">
        <f t="shared" si="172"/>
        <v>0</v>
      </c>
      <c r="BG106" s="4794">
        <f t="shared" si="173"/>
        <v>0</v>
      </c>
      <c r="BH106" s="4794">
        <f t="shared" si="174"/>
        <v>0</v>
      </c>
      <c r="BI106" s="4794">
        <f t="shared" si="175"/>
        <v>0</v>
      </c>
      <c r="BJ106" s="4794">
        <f t="shared" si="176"/>
        <v>0</v>
      </c>
      <c r="BK106" s="4794">
        <f t="shared" si="177"/>
        <v>0</v>
      </c>
      <c r="BL106" s="4794">
        <f t="shared" si="178"/>
        <v>0</v>
      </c>
      <c r="BM106" s="4794">
        <f t="shared" si="179"/>
        <v>0</v>
      </c>
      <c r="BN106" s="4794">
        <f t="shared" si="180"/>
        <v>0</v>
      </c>
      <c r="BO106" s="4794">
        <f t="shared" si="181"/>
        <v>0</v>
      </c>
      <c r="BP106" s="4794">
        <f t="shared" si="182"/>
        <v>0</v>
      </c>
      <c r="BQ106" s="4794">
        <f t="shared" si="183"/>
        <v>0</v>
      </c>
      <c r="BR106" s="4794">
        <f t="shared" si="184"/>
        <v>0</v>
      </c>
      <c r="BS106" s="4794">
        <f t="shared" si="185"/>
        <v>0</v>
      </c>
      <c r="BT106" s="4794">
        <f t="shared" si="186"/>
        <v>0</v>
      </c>
      <c r="BU106" s="4794">
        <f t="shared" si="187"/>
        <v>0</v>
      </c>
      <c r="BV106" s="4794">
        <f t="shared" si="188"/>
        <v>0</v>
      </c>
      <c r="BW106" s="4794">
        <f t="shared" si="189"/>
        <v>0</v>
      </c>
      <c r="BX106" s="4794">
        <f t="shared" si="190"/>
        <v>0</v>
      </c>
      <c r="BY106" s="4794">
        <f t="shared" si="191"/>
        <v>0</v>
      </c>
      <c r="BZ106" s="4794">
        <f t="shared" si="192"/>
        <v>0</v>
      </c>
      <c r="CA106" s="4794">
        <f t="shared" si="193"/>
        <v>0</v>
      </c>
      <c r="CB106" s="4794">
        <f t="shared" si="194"/>
        <v>0</v>
      </c>
      <c r="CC106" s="4794">
        <f t="shared" si="195"/>
        <v>0</v>
      </c>
      <c r="CD106" s="4794">
        <f t="shared" si="196"/>
        <v>0</v>
      </c>
      <c r="CE106" s="4794">
        <f t="shared" si="197"/>
        <v>0</v>
      </c>
      <c r="CF106" s="4794">
        <f t="shared" si="198"/>
        <v>0</v>
      </c>
      <c r="CG106" s="4794">
        <f t="shared" si="199"/>
        <v>0</v>
      </c>
      <c r="CH106" s="4794">
        <f t="shared" si="200"/>
        <v>0</v>
      </c>
      <c r="CI106" s="4794">
        <f t="shared" si="201"/>
        <v>0</v>
      </c>
      <c r="CJ106" s="4794">
        <f t="shared" si="202"/>
        <v>0</v>
      </c>
      <c r="CK106" s="4794">
        <f t="shared" si="203"/>
        <v>0</v>
      </c>
    </row>
    <row r="107" spans="1:89" s="34" customFormat="1" ht="24">
      <c r="A107" s="2942">
        <v>11</v>
      </c>
      <c r="B107" s="3832">
        <v>215</v>
      </c>
      <c r="C107" s="3805">
        <v>0.2</v>
      </c>
      <c r="D107" s="2870" t="s">
        <v>679</v>
      </c>
      <c r="E107" s="2911">
        <f>'11.2. ДА за периода'!E107</f>
        <v>0</v>
      </c>
      <c r="F107" s="2938">
        <f t="shared" si="282"/>
        <v>1</v>
      </c>
      <c r="G107" s="1178">
        <f t="shared" si="283"/>
        <v>3</v>
      </c>
      <c r="H107" s="1178">
        <f t="shared" si="284"/>
        <v>5</v>
      </c>
      <c r="I107" s="1178">
        <f t="shared" si="285"/>
        <v>7</v>
      </c>
      <c r="J107" s="1178">
        <f t="shared" si="286"/>
        <v>9</v>
      </c>
      <c r="K107" s="2939">
        <f t="shared" si="287"/>
        <v>11</v>
      </c>
      <c r="L107" s="2911">
        <f>'11.2. ДА за периода'!L107</f>
        <v>0</v>
      </c>
      <c r="M107" s="2938">
        <f t="shared" si="288"/>
        <v>0</v>
      </c>
      <c r="N107" s="1178">
        <f t="shared" si="289"/>
        <v>0</v>
      </c>
      <c r="O107" s="1178">
        <f t="shared" si="290"/>
        <v>0</v>
      </c>
      <c r="P107" s="1178">
        <f t="shared" si="291"/>
        <v>0</v>
      </c>
      <c r="Q107" s="2939">
        <f t="shared" si="292"/>
        <v>0</v>
      </c>
      <c r="R107" s="2940">
        <f t="shared" si="293"/>
        <v>0</v>
      </c>
      <c r="S107" s="2941">
        <f>'11.2. ДА за периода'!S107</f>
        <v>0</v>
      </c>
      <c r="T107" s="1177">
        <f t="shared" si="294"/>
        <v>0</v>
      </c>
      <c r="U107" s="1178">
        <f t="shared" si="295"/>
        <v>0</v>
      </c>
      <c r="V107" s="1178">
        <f t="shared" si="296"/>
        <v>0</v>
      </c>
      <c r="W107" s="1178">
        <f t="shared" si="297"/>
        <v>0</v>
      </c>
      <c r="X107" s="1178">
        <f t="shared" si="298"/>
        <v>0</v>
      </c>
      <c r="Y107" s="2940">
        <f t="shared" si="299"/>
        <v>0</v>
      </c>
      <c r="Z107" s="2941">
        <f>'11.2. ДА за периода'!Z107</f>
        <v>0</v>
      </c>
      <c r="AA107" s="1177">
        <f t="shared" si="300"/>
        <v>0</v>
      </c>
      <c r="AB107" s="1178">
        <f t="shared" si="301"/>
        <v>0</v>
      </c>
      <c r="AC107" s="1178">
        <f t="shared" si="302"/>
        <v>0</v>
      </c>
      <c r="AD107" s="1178">
        <f t="shared" si="303"/>
        <v>0</v>
      </c>
      <c r="AE107" s="1178">
        <f t="shared" si="304"/>
        <v>0</v>
      </c>
      <c r="AF107" s="2940">
        <f t="shared" si="305"/>
        <v>0</v>
      </c>
      <c r="AG107" s="2941">
        <f>'11.2. ДА за периода'!AG107</f>
        <v>0</v>
      </c>
      <c r="AH107" s="1177">
        <f t="shared" si="306"/>
        <v>0</v>
      </c>
      <c r="AI107" s="1178">
        <f t="shared" si="307"/>
        <v>0</v>
      </c>
      <c r="AJ107" s="1178">
        <f t="shared" si="308"/>
        <v>0</v>
      </c>
      <c r="AK107" s="1178">
        <f t="shared" si="309"/>
        <v>0</v>
      </c>
      <c r="AL107" s="1178">
        <f t="shared" si="310"/>
        <v>0</v>
      </c>
      <c r="AM107" s="2940">
        <f t="shared" si="311"/>
        <v>0</v>
      </c>
      <c r="AN107" s="2941">
        <f>'11.2. ДА за периода'!AN107</f>
        <v>0</v>
      </c>
      <c r="AO107" s="1177">
        <f t="shared" si="312"/>
        <v>0</v>
      </c>
      <c r="AP107" s="1178">
        <f t="shared" si="313"/>
        <v>0</v>
      </c>
      <c r="AQ107" s="1178">
        <f t="shared" si="314"/>
        <v>0</v>
      </c>
      <c r="AR107" s="1178">
        <f t="shared" si="315"/>
        <v>0</v>
      </c>
      <c r="AS107" s="1178">
        <f t="shared" si="316"/>
        <v>0</v>
      </c>
      <c r="AT107" s="2940">
        <f t="shared" si="317"/>
        <v>0</v>
      </c>
      <c r="AU107" s="4775"/>
      <c r="AV107" s="4794">
        <f t="shared" si="162"/>
        <v>0</v>
      </c>
      <c r="AW107" s="4794">
        <f t="shared" si="163"/>
        <v>0.51129188119621849</v>
      </c>
      <c r="AX107" s="4794">
        <f t="shared" si="164"/>
        <v>1.5338756435886556</v>
      </c>
      <c r="AY107" s="4794">
        <f t="shared" si="165"/>
        <v>2.5564594059810926</v>
      </c>
      <c r="AZ107" s="4794">
        <f t="shared" si="166"/>
        <v>3.5790431683735293</v>
      </c>
      <c r="BA107" s="4794">
        <f t="shared" si="167"/>
        <v>4.6016269307659661</v>
      </c>
      <c r="BB107" s="4794">
        <f t="shared" si="168"/>
        <v>5.6242106931584033</v>
      </c>
      <c r="BC107" s="4794">
        <f t="shared" si="169"/>
        <v>0</v>
      </c>
      <c r="BD107" s="4794">
        <f t="shared" si="170"/>
        <v>0</v>
      </c>
      <c r="BE107" s="4794">
        <f t="shared" si="171"/>
        <v>0</v>
      </c>
      <c r="BF107" s="4794">
        <f t="shared" si="172"/>
        <v>0</v>
      </c>
      <c r="BG107" s="4794">
        <f t="shared" si="173"/>
        <v>0</v>
      </c>
      <c r="BH107" s="4794">
        <f t="shared" si="174"/>
        <v>0</v>
      </c>
      <c r="BI107" s="4794">
        <f t="shared" si="175"/>
        <v>0</v>
      </c>
      <c r="BJ107" s="4794">
        <f t="shared" si="176"/>
        <v>0</v>
      </c>
      <c r="BK107" s="4794">
        <f t="shared" si="177"/>
        <v>0</v>
      </c>
      <c r="BL107" s="4794">
        <f t="shared" si="178"/>
        <v>0</v>
      </c>
      <c r="BM107" s="4794">
        <f t="shared" si="179"/>
        <v>0</v>
      </c>
      <c r="BN107" s="4794">
        <f t="shared" si="180"/>
        <v>0</v>
      </c>
      <c r="BO107" s="4794">
        <f t="shared" si="181"/>
        <v>0</v>
      </c>
      <c r="BP107" s="4794">
        <f t="shared" si="182"/>
        <v>0</v>
      </c>
      <c r="BQ107" s="4794">
        <f t="shared" si="183"/>
        <v>0</v>
      </c>
      <c r="BR107" s="4794">
        <f t="shared" si="184"/>
        <v>0</v>
      </c>
      <c r="BS107" s="4794">
        <f t="shared" si="185"/>
        <v>0</v>
      </c>
      <c r="BT107" s="4794">
        <f t="shared" si="186"/>
        <v>0</v>
      </c>
      <c r="BU107" s="4794">
        <f t="shared" si="187"/>
        <v>0</v>
      </c>
      <c r="BV107" s="4794">
        <f t="shared" si="188"/>
        <v>0</v>
      </c>
      <c r="BW107" s="4794">
        <f t="shared" si="189"/>
        <v>0</v>
      </c>
      <c r="BX107" s="4794">
        <f t="shared" si="190"/>
        <v>0</v>
      </c>
      <c r="BY107" s="4794">
        <f t="shared" si="191"/>
        <v>0</v>
      </c>
      <c r="BZ107" s="4794">
        <f t="shared" si="192"/>
        <v>0</v>
      </c>
      <c r="CA107" s="4794">
        <f t="shared" si="193"/>
        <v>0</v>
      </c>
      <c r="CB107" s="4794">
        <f t="shared" si="194"/>
        <v>0</v>
      </c>
      <c r="CC107" s="4794">
        <f t="shared" si="195"/>
        <v>0</v>
      </c>
      <c r="CD107" s="4794">
        <f t="shared" si="196"/>
        <v>0</v>
      </c>
      <c r="CE107" s="4794">
        <f t="shared" si="197"/>
        <v>0</v>
      </c>
      <c r="CF107" s="4794">
        <f t="shared" si="198"/>
        <v>0</v>
      </c>
      <c r="CG107" s="4794">
        <f t="shared" si="199"/>
        <v>0</v>
      </c>
      <c r="CH107" s="4794">
        <f t="shared" si="200"/>
        <v>0</v>
      </c>
      <c r="CI107" s="4794">
        <f t="shared" si="201"/>
        <v>0</v>
      </c>
      <c r="CJ107" s="4794">
        <f t="shared" si="202"/>
        <v>0</v>
      </c>
      <c r="CK107" s="4794">
        <f t="shared" si="203"/>
        <v>0</v>
      </c>
    </row>
    <row r="108" spans="1:89" s="34" customFormat="1" ht="13.5" thickBot="1">
      <c r="A108" s="2899">
        <v>12</v>
      </c>
      <c r="B108" s="3824">
        <v>219</v>
      </c>
      <c r="C108" s="3813">
        <v>0.1</v>
      </c>
      <c r="D108" s="2943" t="s">
        <v>216</v>
      </c>
      <c r="E108" s="2944">
        <f>'11.2. ДА за периода'!E108</f>
        <v>0</v>
      </c>
      <c r="F108" s="2945">
        <f t="shared" si="282"/>
        <v>0</v>
      </c>
      <c r="G108" s="2946">
        <f t="shared" si="283"/>
        <v>0</v>
      </c>
      <c r="H108" s="2946">
        <f t="shared" si="284"/>
        <v>0</v>
      </c>
      <c r="I108" s="2946">
        <f t="shared" si="285"/>
        <v>0</v>
      </c>
      <c r="J108" s="2946">
        <f t="shared" si="286"/>
        <v>0</v>
      </c>
      <c r="K108" s="2947">
        <f t="shared" si="287"/>
        <v>0</v>
      </c>
      <c r="L108" s="2944">
        <f>'11.2. ДА за периода'!L108</f>
        <v>0</v>
      </c>
      <c r="M108" s="2945">
        <f t="shared" si="288"/>
        <v>0</v>
      </c>
      <c r="N108" s="2946">
        <f t="shared" si="289"/>
        <v>0</v>
      </c>
      <c r="O108" s="2946">
        <f t="shared" si="290"/>
        <v>0</v>
      </c>
      <c r="P108" s="2946">
        <f t="shared" si="291"/>
        <v>0</v>
      </c>
      <c r="Q108" s="2947">
        <f t="shared" si="292"/>
        <v>0</v>
      </c>
      <c r="R108" s="2948">
        <f t="shared" si="293"/>
        <v>0</v>
      </c>
      <c r="S108" s="2944">
        <f>'11.2. ДА за периода'!S108</f>
        <v>0</v>
      </c>
      <c r="T108" s="2949">
        <f t="shared" si="294"/>
        <v>0</v>
      </c>
      <c r="U108" s="2946">
        <f t="shared" si="295"/>
        <v>0</v>
      </c>
      <c r="V108" s="2946">
        <f t="shared" si="296"/>
        <v>0</v>
      </c>
      <c r="W108" s="2946">
        <f t="shared" si="297"/>
        <v>0</v>
      </c>
      <c r="X108" s="2946">
        <f t="shared" si="298"/>
        <v>0</v>
      </c>
      <c r="Y108" s="2948">
        <f t="shared" si="299"/>
        <v>0</v>
      </c>
      <c r="Z108" s="2944">
        <f>'11.2. ДА за периода'!Z108</f>
        <v>0</v>
      </c>
      <c r="AA108" s="2949">
        <f t="shared" si="300"/>
        <v>0</v>
      </c>
      <c r="AB108" s="2946">
        <f t="shared" si="301"/>
        <v>0</v>
      </c>
      <c r="AC108" s="2946">
        <f t="shared" si="302"/>
        <v>0</v>
      </c>
      <c r="AD108" s="2946">
        <f t="shared" si="303"/>
        <v>0</v>
      </c>
      <c r="AE108" s="2946">
        <f t="shared" si="304"/>
        <v>0</v>
      </c>
      <c r="AF108" s="2948">
        <f t="shared" si="305"/>
        <v>0</v>
      </c>
      <c r="AG108" s="2944">
        <f>'11.2. ДА за периода'!AG108</f>
        <v>0</v>
      </c>
      <c r="AH108" s="2949">
        <f t="shared" si="306"/>
        <v>0</v>
      </c>
      <c r="AI108" s="2946">
        <f t="shared" si="307"/>
        <v>0</v>
      </c>
      <c r="AJ108" s="2946">
        <f t="shared" si="308"/>
        <v>0</v>
      </c>
      <c r="AK108" s="2946">
        <f t="shared" si="309"/>
        <v>0</v>
      </c>
      <c r="AL108" s="2946">
        <f t="shared" si="310"/>
        <v>0</v>
      </c>
      <c r="AM108" s="2948">
        <f t="shared" si="311"/>
        <v>0</v>
      </c>
      <c r="AN108" s="2944">
        <f>'11.2. ДА за периода'!AN108</f>
        <v>0</v>
      </c>
      <c r="AO108" s="2949">
        <f t="shared" si="312"/>
        <v>0</v>
      </c>
      <c r="AP108" s="2946">
        <f t="shared" si="313"/>
        <v>0</v>
      </c>
      <c r="AQ108" s="2946">
        <f t="shared" si="314"/>
        <v>0</v>
      </c>
      <c r="AR108" s="2946">
        <f t="shared" si="315"/>
        <v>0</v>
      </c>
      <c r="AS108" s="2946">
        <f t="shared" si="316"/>
        <v>0</v>
      </c>
      <c r="AT108" s="2948">
        <f t="shared" si="317"/>
        <v>0</v>
      </c>
      <c r="AU108" s="4775"/>
      <c r="AV108" s="4794">
        <f>IFERROR(E108/$D$1,0)</f>
        <v>0</v>
      </c>
      <c r="AW108" s="4794">
        <f t="shared" si="163"/>
        <v>0</v>
      </c>
      <c r="AX108" s="4794">
        <f t="shared" si="164"/>
        <v>0</v>
      </c>
      <c r="AY108" s="4794">
        <f t="shared" si="165"/>
        <v>0</v>
      </c>
      <c r="AZ108" s="4794">
        <f t="shared" si="166"/>
        <v>0</v>
      </c>
      <c r="BA108" s="4794">
        <f t="shared" si="167"/>
        <v>0</v>
      </c>
      <c r="BB108" s="4794">
        <f t="shared" si="168"/>
        <v>0</v>
      </c>
      <c r="BC108" s="4794">
        <f t="shared" si="169"/>
        <v>0</v>
      </c>
      <c r="BD108" s="4794">
        <f t="shared" si="170"/>
        <v>0</v>
      </c>
      <c r="BE108" s="4794">
        <f t="shared" si="171"/>
        <v>0</v>
      </c>
      <c r="BF108" s="4794">
        <f t="shared" si="172"/>
        <v>0</v>
      </c>
      <c r="BG108" s="4794">
        <f t="shared" si="173"/>
        <v>0</v>
      </c>
      <c r="BH108" s="4794">
        <f t="shared" si="174"/>
        <v>0</v>
      </c>
      <c r="BI108" s="4794">
        <f t="shared" si="175"/>
        <v>0</v>
      </c>
      <c r="BJ108" s="4794">
        <f t="shared" si="176"/>
        <v>0</v>
      </c>
      <c r="BK108" s="4794">
        <f t="shared" si="177"/>
        <v>0</v>
      </c>
      <c r="BL108" s="4794">
        <f t="shared" si="178"/>
        <v>0</v>
      </c>
      <c r="BM108" s="4794">
        <f t="shared" si="179"/>
        <v>0</v>
      </c>
      <c r="BN108" s="4794">
        <f t="shared" si="180"/>
        <v>0</v>
      </c>
      <c r="BO108" s="4794">
        <f t="shared" si="181"/>
        <v>0</v>
      </c>
      <c r="BP108" s="4794">
        <f t="shared" si="182"/>
        <v>0</v>
      </c>
      <c r="BQ108" s="4794">
        <f t="shared" si="183"/>
        <v>0</v>
      </c>
      <c r="BR108" s="4794">
        <f t="shared" si="184"/>
        <v>0</v>
      </c>
      <c r="BS108" s="4794">
        <f t="shared" si="185"/>
        <v>0</v>
      </c>
      <c r="BT108" s="4794">
        <f t="shared" si="186"/>
        <v>0</v>
      </c>
      <c r="BU108" s="4794">
        <f t="shared" si="187"/>
        <v>0</v>
      </c>
      <c r="BV108" s="4794">
        <f t="shared" si="188"/>
        <v>0</v>
      </c>
      <c r="BW108" s="4794">
        <f t="shared" si="189"/>
        <v>0</v>
      </c>
      <c r="BX108" s="4794">
        <f t="shared" si="190"/>
        <v>0</v>
      </c>
      <c r="BY108" s="4794">
        <f t="shared" si="191"/>
        <v>0</v>
      </c>
      <c r="BZ108" s="4794">
        <f t="shared" si="192"/>
        <v>0</v>
      </c>
      <c r="CA108" s="4794">
        <f t="shared" si="193"/>
        <v>0</v>
      </c>
      <c r="CB108" s="4794">
        <f t="shared" si="194"/>
        <v>0</v>
      </c>
      <c r="CC108" s="4794">
        <f t="shared" si="195"/>
        <v>0</v>
      </c>
      <c r="CD108" s="4794">
        <f t="shared" si="196"/>
        <v>0</v>
      </c>
      <c r="CE108" s="4794">
        <f t="shared" si="197"/>
        <v>0</v>
      </c>
      <c r="CF108" s="4794">
        <f t="shared" si="198"/>
        <v>0</v>
      </c>
      <c r="CG108" s="4794">
        <f t="shared" si="199"/>
        <v>0</v>
      </c>
      <c r="CH108" s="4794">
        <f t="shared" si="200"/>
        <v>0</v>
      </c>
      <c r="CI108" s="4794">
        <f t="shared" si="201"/>
        <v>0</v>
      </c>
      <c r="CJ108" s="4794">
        <f t="shared" si="202"/>
        <v>0</v>
      </c>
      <c r="CK108" s="4794">
        <f t="shared" si="203"/>
        <v>0</v>
      </c>
    </row>
    <row r="109" spans="1:89" ht="13.5" thickBot="1">
      <c r="A109" s="2950"/>
      <c r="B109" s="2951"/>
      <c r="C109" s="2951"/>
      <c r="D109" s="2951"/>
      <c r="E109" s="2952"/>
      <c r="F109" s="2952"/>
      <c r="G109" s="2952"/>
      <c r="H109" s="2952"/>
      <c r="I109" s="2952"/>
      <c r="J109" s="2952"/>
      <c r="K109" s="2952"/>
      <c r="L109" s="2952"/>
      <c r="M109" s="2952"/>
      <c r="N109" s="2952"/>
      <c r="O109" s="2952"/>
      <c r="P109" s="2952"/>
      <c r="Q109" s="2952"/>
      <c r="R109" s="2952"/>
      <c r="S109" s="2952"/>
      <c r="T109" s="2952"/>
      <c r="U109" s="2952"/>
      <c r="V109" s="2952"/>
      <c r="W109" s="2952"/>
      <c r="X109" s="2952"/>
      <c r="Y109" s="2952"/>
      <c r="Z109" s="2952"/>
      <c r="AA109" s="2952"/>
      <c r="AB109" s="2952"/>
      <c r="AC109" s="2952"/>
      <c r="AD109" s="2952"/>
      <c r="AE109" s="2952"/>
      <c r="AF109" s="2952"/>
      <c r="AG109" s="2952"/>
      <c r="AH109" s="2952"/>
      <c r="AI109" s="2952"/>
      <c r="AJ109" s="2952"/>
      <c r="AK109" s="2952"/>
      <c r="AL109" s="2952"/>
      <c r="AM109" s="2952"/>
      <c r="AN109" s="2952"/>
      <c r="AO109" s="2952"/>
      <c r="AP109" s="2952"/>
      <c r="AQ109" s="2952"/>
      <c r="AR109" s="2952"/>
      <c r="AS109" s="2952"/>
      <c r="AT109" s="2952"/>
      <c r="AU109" s="2827"/>
    </row>
    <row r="110" spans="1:89">
      <c r="A110" s="2950"/>
      <c r="B110" s="2951"/>
      <c r="C110" s="2951"/>
      <c r="D110" s="2953" t="s">
        <v>398</v>
      </c>
      <c r="E110" s="2954"/>
      <c r="F110" s="2955">
        <f>IFERROR(F60/(F$60+M$60+T$60),0)</f>
        <v>0.92794174013031805</v>
      </c>
      <c r="G110" s="2956">
        <f t="shared" ref="G110:K110" si="318">IFERROR(G60/(G$60+N$60+U$60),0)</f>
        <v>0.90665584415584421</v>
      </c>
      <c r="H110" s="2956">
        <f t="shared" si="318"/>
        <v>0.8879264627894643</v>
      </c>
      <c r="I110" s="2956">
        <f t="shared" si="318"/>
        <v>0.88137857333689562</v>
      </c>
      <c r="J110" s="2956">
        <f t="shared" si="318"/>
        <v>0.87968053106524224</v>
      </c>
      <c r="K110" s="2957">
        <f t="shared" si="318"/>
        <v>0.8777568815182083</v>
      </c>
      <c r="L110" s="2958"/>
      <c r="M110" s="2952"/>
      <c r="N110" s="2952"/>
      <c r="O110" s="2952"/>
      <c r="P110" s="2952"/>
      <c r="Q110" s="2952"/>
      <c r="R110" s="2952"/>
      <c r="S110" s="2952"/>
      <c r="T110" s="2952"/>
      <c r="U110" s="2952"/>
      <c r="V110" s="2952"/>
      <c r="W110" s="2952"/>
      <c r="X110" s="2952"/>
      <c r="Y110" s="2952"/>
      <c r="Z110" s="2952"/>
      <c r="AA110" s="2952"/>
      <c r="AB110" s="2952"/>
      <c r="AC110" s="2952"/>
      <c r="AD110" s="2952"/>
      <c r="AE110" s="2952"/>
      <c r="AF110" s="2952"/>
      <c r="AG110" s="2952"/>
      <c r="AH110" s="2952"/>
      <c r="AI110" s="2952"/>
      <c r="AJ110" s="2952"/>
      <c r="AK110" s="2952"/>
      <c r="AL110" s="2952"/>
      <c r="AM110" s="2952"/>
      <c r="AN110" s="2952"/>
      <c r="AO110" s="2952"/>
      <c r="AP110" s="2952"/>
      <c r="AQ110" s="2952"/>
      <c r="AR110" s="2952"/>
      <c r="AS110" s="2952"/>
      <c r="AT110" s="2952"/>
      <c r="AU110" s="2827"/>
    </row>
    <row r="111" spans="1:89">
      <c r="A111" s="2950"/>
      <c r="B111" s="2951"/>
      <c r="C111" s="2951"/>
      <c r="D111" s="2959" t="s">
        <v>646</v>
      </c>
      <c r="E111" s="2960"/>
      <c r="F111" s="2961">
        <f>IFERROR(M60/(F$60+M$60+T$60),0)</f>
        <v>2.6063625910310459E-2</v>
      </c>
      <c r="G111" s="2962">
        <f t="shared" ref="G111:K111" si="319">IFERROR(N60/(G$60+N$60+U$60),0)</f>
        <v>3.1114718614718612E-2</v>
      </c>
      <c r="H111" s="2962">
        <f t="shared" si="319"/>
        <v>3.6061516704967295E-2</v>
      </c>
      <c r="I111" s="2962">
        <f t="shared" si="319"/>
        <v>3.8471814052898741E-2</v>
      </c>
      <c r="J111" s="2962">
        <f t="shared" si="319"/>
        <v>3.8377761642983094E-2</v>
      </c>
      <c r="K111" s="2963">
        <f t="shared" si="319"/>
        <v>3.8468114207556844E-2</v>
      </c>
      <c r="L111" s="2958"/>
      <c r="M111" s="2952"/>
      <c r="N111" s="2952"/>
      <c r="O111" s="2952"/>
      <c r="P111" s="2952"/>
      <c r="Q111" s="2952"/>
      <c r="R111" s="2952"/>
      <c r="S111" s="2952"/>
      <c r="T111" s="2952"/>
      <c r="U111" s="2952"/>
      <c r="V111" s="2952"/>
      <c r="W111" s="2952"/>
      <c r="X111" s="2952"/>
      <c r="Y111" s="2952"/>
      <c r="Z111" s="2952"/>
      <c r="AA111" s="2952"/>
      <c r="AB111" s="2952"/>
      <c r="AC111" s="2952"/>
      <c r="AD111" s="2952"/>
      <c r="AE111" s="2952"/>
      <c r="AF111" s="2952"/>
      <c r="AG111" s="2952"/>
      <c r="AH111" s="2952"/>
      <c r="AI111" s="2952"/>
      <c r="AJ111" s="2952"/>
      <c r="AK111" s="2952"/>
      <c r="AL111" s="2952"/>
      <c r="AM111" s="2952"/>
      <c r="AN111" s="2952"/>
      <c r="AO111" s="2952"/>
      <c r="AP111" s="2952"/>
      <c r="AQ111" s="2952"/>
      <c r="AR111" s="2952"/>
      <c r="AS111" s="2952"/>
      <c r="AT111" s="2952"/>
      <c r="AU111" s="2827"/>
    </row>
    <row r="112" spans="1:89" ht="13.5" thickBot="1">
      <c r="A112" s="2950"/>
      <c r="B112" s="2951"/>
      <c r="C112" s="2951"/>
      <c r="D112" s="2964" t="s">
        <v>399</v>
      </c>
      <c r="E112" s="2965"/>
      <c r="F112" s="2966">
        <f>IFERROR(T60/(F$60+M$60+T$60),0)</f>
        <v>4.5994633959371402E-2</v>
      </c>
      <c r="G112" s="2967">
        <f t="shared" ref="G112:K112" si="320">IFERROR(U60/(G$60+N$60+U$60),0)</f>
        <v>6.2229437229437225E-2</v>
      </c>
      <c r="H112" s="2967">
        <f t="shared" si="320"/>
        <v>7.6012020505568323E-2</v>
      </c>
      <c r="I112" s="2967">
        <f t="shared" si="320"/>
        <v>8.0149612610205714E-2</v>
      </c>
      <c r="J112" s="2967">
        <f t="shared" si="320"/>
        <v>8.1941707291774704E-2</v>
      </c>
      <c r="K112" s="2968">
        <f t="shared" si="320"/>
        <v>8.3775004274234899E-2</v>
      </c>
      <c r="L112" s="2958"/>
      <c r="M112" s="2952"/>
      <c r="N112" s="2952"/>
      <c r="O112" s="2952"/>
      <c r="P112" s="2952"/>
      <c r="Q112" s="2952"/>
      <c r="R112" s="2952"/>
      <c r="S112" s="2952"/>
      <c r="T112" s="2952"/>
      <c r="U112" s="2952"/>
      <c r="V112" s="2952"/>
      <c r="W112" s="2952"/>
      <c r="X112" s="2952"/>
      <c r="Y112" s="2952"/>
      <c r="Z112" s="2952"/>
      <c r="AA112" s="2952"/>
      <c r="AB112" s="2952"/>
      <c r="AC112" s="2952"/>
      <c r="AD112" s="2952"/>
      <c r="AE112" s="2952"/>
      <c r="AF112" s="2952"/>
      <c r="AG112" s="2952"/>
      <c r="AH112" s="2952"/>
      <c r="AI112" s="2952"/>
      <c r="AJ112" s="2952"/>
      <c r="AK112" s="2952"/>
      <c r="AL112" s="2952"/>
      <c r="AM112" s="2952"/>
      <c r="AN112" s="2952"/>
      <c r="AO112" s="2952"/>
      <c r="AP112" s="2952"/>
      <c r="AQ112" s="2952"/>
      <c r="AR112" s="2952"/>
      <c r="AS112" s="2952"/>
      <c r="AT112" s="2952"/>
      <c r="AU112" s="2827"/>
    </row>
    <row r="113" spans="1:47" ht="13.5" thickBot="1">
      <c r="A113" s="2950"/>
      <c r="B113" s="2951"/>
      <c r="C113" s="2951"/>
      <c r="D113" s="2951"/>
      <c r="E113" s="2952"/>
      <c r="F113" s="2969">
        <f>SUM(F110:F112)</f>
        <v>0.99999999999999989</v>
      </c>
      <c r="G113" s="2970">
        <f t="shared" ref="G113:K113" si="321">SUM(G110:G112)</f>
        <v>1</v>
      </c>
      <c r="H113" s="2970">
        <f t="shared" si="321"/>
        <v>0.99999999999999989</v>
      </c>
      <c r="I113" s="2970">
        <f t="shared" si="321"/>
        <v>1.0000000000000002</v>
      </c>
      <c r="J113" s="2970">
        <f t="shared" si="321"/>
        <v>1</v>
      </c>
      <c r="K113" s="2971">
        <f t="shared" si="321"/>
        <v>1</v>
      </c>
      <c r="L113" s="2952"/>
      <c r="M113" s="2952"/>
      <c r="N113" s="2952"/>
      <c r="O113" s="2952"/>
      <c r="P113" s="2952"/>
      <c r="Q113" s="2952"/>
      <c r="R113" s="2952"/>
      <c r="S113" s="2952"/>
      <c r="T113" s="2952"/>
      <c r="U113" s="2825"/>
      <c r="V113" s="2825"/>
      <c r="W113" s="2972"/>
      <c r="X113" s="2973"/>
      <c r="Y113" s="2974"/>
      <c r="Z113" s="2952"/>
      <c r="AA113" s="2952"/>
      <c r="AC113" s="2827"/>
      <c r="AD113" s="2972"/>
      <c r="AE113" s="2973"/>
      <c r="AF113" s="2974"/>
      <c r="AG113" s="2952"/>
      <c r="AH113" s="2952"/>
      <c r="AI113" s="2952"/>
      <c r="AJ113" s="2952"/>
      <c r="AK113" s="2976"/>
      <c r="AL113" s="2977"/>
      <c r="AM113" s="2978"/>
      <c r="AN113" s="2979"/>
      <c r="AO113" s="2980"/>
      <c r="AP113" s="2825"/>
      <c r="AQ113" s="2952"/>
      <c r="AR113" s="2952"/>
      <c r="AS113" s="2952"/>
      <c r="AT113" s="2952"/>
      <c r="AU113" s="2827"/>
    </row>
    <row r="114" spans="1:47">
      <c r="A114" s="2950"/>
      <c r="B114" s="2951"/>
      <c r="C114" s="2951"/>
      <c r="D114" s="2951"/>
      <c r="E114" s="2952"/>
      <c r="F114" s="2952"/>
      <c r="G114" s="2952"/>
      <c r="H114" s="2952"/>
      <c r="I114" s="2952"/>
      <c r="J114" s="2952"/>
      <c r="K114" s="2952"/>
      <c r="L114" s="2952"/>
      <c r="M114" s="2952"/>
      <c r="N114" s="2952"/>
      <c r="O114" s="2952"/>
      <c r="P114" s="2952"/>
      <c r="Q114" s="2952"/>
      <c r="R114" s="2825"/>
      <c r="S114" s="2825"/>
      <c r="T114" s="2825"/>
      <c r="U114" s="2825"/>
      <c r="V114" s="2825"/>
      <c r="W114" s="2825"/>
      <c r="X114" s="2825"/>
      <c r="Y114" s="2825"/>
      <c r="Z114" s="2952"/>
      <c r="AA114" s="2952"/>
      <c r="AB114" s="2825"/>
      <c r="AC114" s="2981"/>
      <c r="AD114" s="2978"/>
      <c r="AE114" s="2979"/>
      <c r="AF114" s="2980"/>
      <c r="AG114" s="2952"/>
      <c r="AH114" s="2952"/>
      <c r="AI114" s="2952"/>
      <c r="AJ114" s="2952"/>
      <c r="AK114" s="2976"/>
      <c r="AL114" s="2982"/>
      <c r="AM114" s="2978"/>
      <c r="AN114" s="2979"/>
      <c r="AO114" s="2980"/>
      <c r="AP114" s="2825"/>
      <c r="AQ114" s="2952"/>
      <c r="AR114" s="2952"/>
      <c r="AS114" s="2952"/>
      <c r="AT114" s="2952"/>
      <c r="AU114" s="2827"/>
    </row>
    <row r="115" spans="1:47">
      <c r="A115" s="2950"/>
      <c r="B115" s="2951"/>
      <c r="C115" s="2983"/>
      <c r="D115" s="2951"/>
      <c r="E115" s="2975" t="str">
        <f>'Приложение '!B82</f>
        <v>Дата: 15.04.2026 г.</v>
      </c>
      <c r="G115" s="2952"/>
      <c r="H115" s="2952"/>
      <c r="I115" s="2952"/>
      <c r="J115" s="2952"/>
      <c r="K115" s="2952"/>
      <c r="L115" s="2952"/>
      <c r="M115" s="2952"/>
      <c r="N115" s="2952"/>
      <c r="O115" s="2952"/>
      <c r="P115" s="2952"/>
      <c r="Q115" s="2952"/>
      <c r="R115" s="2825"/>
      <c r="S115" s="2825"/>
      <c r="T115" s="2825"/>
      <c r="U115" s="2825"/>
      <c r="V115" s="2825"/>
      <c r="W115" s="2825"/>
      <c r="X115" s="2825"/>
      <c r="Y115" s="2825"/>
      <c r="Z115" s="2952"/>
      <c r="AA115" s="2952"/>
      <c r="AB115" s="2825"/>
      <c r="AC115" s="2981"/>
      <c r="AD115" s="2978"/>
      <c r="AE115" s="2979"/>
      <c r="AF115" s="2980"/>
      <c r="AG115" s="2952"/>
      <c r="AH115" s="2825"/>
      <c r="AI115" s="2825"/>
      <c r="AJ115" s="2825"/>
      <c r="AK115" s="2976"/>
      <c r="AL115" s="2977"/>
      <c r="AM115" s="2978"/>
      <c r="AN115" s="2979"/>
      <c r="AO115" s="2980"/>
      <c r="AP115" s="2825"/>
      <c r="AQ115" s="2952"/>
      <c r="AR115" s="2952"/>
      <c r="AS115" s="2952"/>
      <c r="AT115" s="2952"/>
      <c r="AU115" s="2827"/>
    </row>
    <row r="116" spans="1:47">
      <c r="A116" s="2822"/>
      <c r="B116" s="2825"/>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981"/>
      <c r="AD116" s="2978"/>
      <c r="AE116" s="2979"/>
      <c r="AF116" s="2980"/>
      <c r="AG116" s="2825"/>
      <c r="AH116" s="2825"/>
      <c r="AI116" s="2825"/>
      <c r="AJ116" s="2825"/>
      <c r="AK116" s="2976"/>
      <c r="AL116" s="2977"/>
      <c r="AM116" s="2978"/>
      <c r="AN116" s="2979"/>
      <c r="AO116" s="2980"/>
      <c r="AP116" s="2825"/>
      <c r="AQ116" s="2825"/>
      <c r="AR116" s="2825"/>
      <c r="AS116" s="2825"/>
      <c r="AT116" s="2825"/>
      <c r="AU116" s="2827"/>
    </row>
    <row r="117" spans="1:47">
      <c r="A117" s="2822"/>
      <c r="B117" s="2825"/>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981"/>
      <c r="AD117" s="2978"/>
      <c r="AE117" s="2979"/>
      <c r="AF117" s="2980"/>
      <c r="AG117" s="2825"/>
      <c r="AH117" s="2825"/>
      <c r="AI117" s="2825"/>
      <c r="AJ117" s="2825"/>
      <c r="AK117" s="2976"/>
      <c r="AL117" s="2977"/>
      <c r="AM117" s="2978"/>
      <c r="AN117" s="2979"/>
      <c r="AO117" s="2980"/>
      <c r="AP117" s="2825"/>
      <c r="AQ117" s="2825"/>
      <c r="AR117" s="2825"/>
      <c r="AS117" s="2825"/>
      <c r="AT117" s="2825"/>
      <c r="AU117" s="2827"/>
    </row>
    <row r="118" spans="1:47" ht="12.75" customHeight="1">
      <c r="B118" s="4116"/>
      <c r="C118" s="4116"/>
      <c r="D118" s="4116"/>
      <c r="E118" s="4117" t="s">
        <v>187</v>
      </c>
      <c r="F118" s="4116"/>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981"/>
      <c r="AD118" s="2978"/>
      <c r="AE118" s="2979"/>
      <c r="AF118" s="2980"/>
      <c r="AG118" s="2825"/>
      <c r="AH118" s="2825"/>
      <c r="AI118" s="2825"/>
      <c r="AJ118" s="2825"/>
      <c r="AK118" s="2975"/>
      <c r="AL118" s="2982"/>
      <c r="AM118" s="2825"/>
      <c r="AN118" s="2973"/>
      <c r="AO118" s="2974"/>
      <c r="AP118" s="2825"/>
      <c r="AQ118" s="2825"/>
      <c r="AR118" s="2825"/>
      <c r="AS118" s="2825"/>
      <c r="AT118" s="2825"/>
      <c r="AU118" s="2827"/>
    </row>
    <row r="119" spans="1:47" ht="20.25" customHeight="1">
      <c r="B119" s="4028"/>
      <c r="C119" s="4028"/>
      <c r="D119" s="4028"/>
      <c r="E119" s="4118" t="s">
        <v>1480</v>
      </c>
      <c r="F119" s="4028"/>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984"/>
      <c r="AD119" s="2825"/>
      <c r="AE119" s="2973"/>
      <c r="AF119" s="2974"/>
      <c r="AG119" s="2825"/>
      <c r="AH119" s="2825"/>
      <c r="AI119" s="2825"/>
      <c r="AJ119" s="2825"/>
      <c r="AK119" s="2975"/>
      <c r="AL119" s="2984"/>
      <c r="AM119" s="2972"/>
      <c r="AN119" s="2979"/>
      <c r="AO119" s="2980"/>
      <c r="AP119" s="2825"/>
      <c r="AQ119" s="2825"/>
      <c r="AR119" s="2825"/>
      <c r="AS119" s="2825"/>
      <c r="AT119" s="2825"/>
      <c r="AU119" s="2827"/>
    </row>
    <row r="120" spans="1:47">
      <c r="A120" s="2985"/>
      <c r="B120" s="2825"/>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981"/>
      <c r="AD120" s="2972"/>
      <c r="AE120" s="2979"/>
      <c r="AF120" s="2980"/>
      <c r="AG120" s="2825"/>
      <c r="AH120" s="2825"/>
      <c r="AI120" s="2825"/>
      <c r="AJ120" s="2981"/>
      <c r="AK120" s="2972"/>
      <c r="AL120" s="2979"/>
      <c r="AM120" s="2980"/>
      <c r="AN120" s="2979"/>
      <c r="AO120" s="2825"/>
      <c r="AP120" s="2825"/>
      <c r="AQ120" s="2825"/>
      <c r="AR120" s="2825"/>
      <c r="AS120" s="2825"/>
      <c r="AT120" s="2825"/>
      <c r="AU120" s="2827"/>
    </row>
    <row r="121" spans="1:47">
      <c r="A121" s="2825"/>
      <c r="B121" s="2825"/>
      <c r="C121" s="2825"/>
      <c r="D121" s="2825"/>
      <c r="E121" s="2986"/>
      <c r="F121" s="2986"/>
      <c r="G121" s="2987"/>
      <c r="H121" s="2987"/>
      <c r="I121" s="2987"/>
      <c r="J121" s="2987"/>
      <c r="K121" s="2825"/>
      <c r="L121" s="2825"/>
      <c r="M121" s="2825"/>
      <c r="N121" s="2825"/>
      <c r="O121" s="2825"/>
      <c r="P121" s="2825"/>
      <c r="Q121" s="2825"/>
      <c r="R121" s="2825"/>
      <c r="S121" s="2825"/>
      <c r="T121" s="2825"/>
      <c r="U121" s="2825"/>
      <c r="V121" s="2825"/>
      <c r="W121" s="2825"/>
      <c r="X121" s="2825"/>
      <c r="Y121" s="2825"/>
      <c r="Z121" s="2825"/>
      <c r="AA121" s="2825"/>
      <c r="AB121" s="2825"/>
      <c r="AC121" s="2825"/>
      <c r="AD121" s="2825"/>
      <c r="AE121" s="2825"/>
      <c r="AF121" s="2825"/>
      <c r="AG121" s="2825"/>
      <c r="AH121" s="2825"/>
      <c r="AI121" s="2825"/>
      <c r="AJ121" s="2825"/>
      <c r="AK121" s="2825"/>
      <c r="AL121" s="2825"/>
      <c r="AM121" s="2825"/>
      <c r="AN121" s="2825"/>
      <c r="AO121" s="2825"/>
      <c r="AP121" s="2825"/>
      <c r="AQ121" s="2825"/>
      <c r="AR121" s="2825"/>
      <c r="AS121" s="2825"/>
      <c r="AT121" s="2825"/>
      <c r="AU121" s="2827"/>
    </row>
    <row r="122" spans="1:47">
      <c r="A122" s="2822"/>
      <c r="B122" s="2825"/>
      <c r="C122" s="2825"/>
      <c r="D122" s="2825"/>
      <c r="E122" s="2988"/>
      <c r="F122" s="2988"/>
      <c r="G122" s="2987"/>
      <c r="H122" s="2987"/>
      <c r="I122" s="2987"/>
      <c r="J122" s="2987"/>
      <c r="K122" s="2825"/>
      <c r="L122" s="2825"/>
      <c r="M122" s="2825"/>
      <c r="N122" s="2825"/>
      <c r="O122" s="2825"/>
      <c r="P122" s="2825"/>
      <c r="Q122" s="2825"/>
      <c r="R122" s="2825"/>
      <c r="S122" s="2825"/>
      <c r="T122" s="2825"/>
      <c r="U122" s="2825"/>
      <c r="V122" s="2825"/>
      <c r="W122" s="2825"/>
      <c r="X122" s="2825"/>
      <c r="Y122" s="2825"/>
      <c r="Z122" s="2825"/>
      <c r="AA122" s="2825"/>
      <c r="AB122" s="2825"/>
      <c r="AC122" s="2825"/>
      <c r="AD122" s="2825"/>
      <c r="AE122" s="2825"/>
      <c r="AF122" s="2825"/>
      <c r="AG122" s="2825"/>
      <c r="AH122" s="2825"/>
      <c r="AI122" s="2825"/>
      <c r="AJ122" s="2825"/>
      <c r="AK122" s="2825"/>
      <c r="AL122" s="2825"/>
      <c r="AM122" s="2825"/>
      <c r="AN122" s="2825"/>
      <c r="AO122" s="2825"/>
      <c r="AP122" s="2825"/>
      <c r="AQ122" s="2825"/>
      <c r="AR122" s="2825"/>
      <c r="AS122" s="2825"/>
      <c r="AT122" s="2825"/>
      <c r="AU122" s="2827"/>
    </row>
    <row r="123" spans="1:47">
      <c r="M123" s="33"/>
      <c r="N123" s="33"/>
      <c r="O123" s="33"/>
      <c r="P123" s="33"/>
      <c r="Q123" s="33"/>
    </row>
    <row r="124" spans="1:47">
      <c r="U124" s="46"/>
      <c r="V124" s="37"/>
      <c r="W124" s="30"/>
      <c r="X124" s="26"/>
      <c r="Y124" s="29"/>
      <c r="AB124" s="46"/>
      <c r="AC124" s="37"/>
      <c r="AD124" s="30"/>
      <c r="AE124" s="26"/>
      <c r="AF124" s="29"/>
      <c r="AI124" s="46"/>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7"/>
      <c r="U127" s="36"/>
      <c r="V127" s="31"/>
      <c r="W127" s="38"/>
      <c r="X127" s="39"/>
      <c r="Y127" s="29"/>
      <c r="AA127" s="47"/>
      <c r="AB127" s="36"/>
      <c r="AC127" s="31"/>
      <c r="AD127" s="38"/>
      <c r="AE127" s="39"/>
      <c r="AF127" s="29"/>
      <c r="AH127" s="47"/>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sqmXgrqWDxht7UJKbDR8pUYsTihJft1/E/dfFx3Z7JXeNNKtxOvtl1Rp0sQR8r4WPpKf59Vyf2Ljq4D+cCkDlw==" saltValue="1M4LStxS7rMHjXiwoxKcjw==" spinCount="100000" sheet="1" objects="1" scenarios="1"/>
  <mergeCells count="21">
    <mergeCell ref="CE9:CK9"/>
    <mergeCell ref="A1:C1"/>
    <mergeCell ref="AV9:BB9"/>
    <mergeCell ref="BC9:BI9"/>
    <mergeCell ref="BJ9:BP9"/>
    <mergeCell ref="BQ9:BW9"/>
    <mergeCell ref="BX9:CD9"/>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CP193"/>
  <sheetViews>
    <sheetView zoomScale="90" zoomScaleNormal="90" zoomScaleSheetLayoutView="100" workbookViewId="0">
      <pane xSplit="4" ySplit="10" topLeftCell="E11" activePane="bottomRight" state="frozen"/>
      <selection pane="topRight" activeCell="E1" sqref="E1"/>
      <selection pane="bottomLeft" activeCell="A11" sqref="A11"/>
      <selection pane="bottomRight" activeCell="D21" sqref="D21"/>
    </sheetView>
  </sheetViews>
  <sheetFormatPr defaultColWidth="9.140625" defaultRowHeight="12.75"/>
  <cols>
    <col min="1" max="1" width="4.42578125" style="1346" customWidth="1"/>
    <col min="2" max="2" width="9.42578125" style="697" customWidth="1"/>
    <col min="3" max="3" width="7.5703125" style="697" customWidth="1"/>
    <col min="4" max="4" width="38.42578125" style="697" customWidth="1"/>
    <col min="5" max="12" width="7.5703125" style="697" customWidth="1"/>
    <col min="13" max="13" width="7.5703125" style="675" customWidth="1"/>
    <col min="14" max="14" width="7.5703125" style="1347" customWidth="1"/>
    <col min="15" max="15" width="7.5703125" style="675" customWidth="1"/>
    <col min="16" max="39" width="7.5703125" style="152" customWidth="1"/>
    <col min="40" max="46" width="7.5703125" style="152" hidden="1" customWidth="1"/>
    <col min="47" max="47" width="2.7109375" style="152" customWidth="1"/>
    <col min="48" max="16384" width="9.140625" style="152"/>
  </cols>
  <sheetData>
    <row r="1" spans="1:94" ht="28.15" customHeight="1" thickBot="1">
      <c r="A1" s="5338" t="str">
        <f>+'1. Обща информация'!B40</f>
        <v>Фиксиран курс на лева към 1 евро</v>
      </c>
      <c r="B1" s="5339"/>
      <c r="C1" s="5340"/>
      <c r="D1" s="4798">
        <f>+'1. Обща информация'!$C$40</f>
        <v>1.95583</v>
      </c>
      <c r="E1" s="2765"/>
      <c r="F1" s="2765"/>
      <c r="G1" s="2765"/>
      <c r="H1" s="2989"/>
      <c r="I1" s="2990"/>
      <c r="J1" s="2765"/>
      <c r="K1" s="2991"/>
      <c r="L1" s="2765"/>
      <c r="M1" s="2989"/>
      <c r="N1" s="2992"/>
      <c r="O1" s="2989"/>
      <c r="P1" s="2989"/>
      <c r="R1" s="2989"/>
      <c r="S1" s="2989"/>
      <c r="T1" s="2989"/>
      <c r="U1" s="2989"/>
      <c r="V1" s="2989"/>
      <c r="W1" s="2989"/>
      <c r="X1" s="2989"/>
      <c r="Y1" s="2993" t="s">
        <v>189</v>
      </c>
      <c r="Z1" s="2989"/>
      <c r="AA1" s="2989"/>
      <c r="AB1" s="2989"/>
      <c r="AC1" s="2989"/>
      <c r="AD1" s="2989"/>
      <c r="AE1" s="2989"/>
      <c r="AF1" s="2029"/>
      <c r="AG1" s="2989"/>
      <c r="AH1" s="2989"/>
      <c r="AI1" s="2989"/>
      <c r="AJ1" s="2989"/>
      <c r="AK1" s="2989"/>
      <c r="AL1" s="2989"/>
      <c r="AM1" s="2029"/>
      <c r="AN1" s="2029"/>
      <c r="AO1" s="2989"/>
      <c r="AP1" s="2989"/>
      <c r="AQ1" s="2989"/>
      <c r="AR1" s="2989"/>
      <c r="AS1" s="2989"/>
      <c r="AT1" s="2993"/>
      <c r="AU1" s="675"/>
      <c r="AV1" s="675"/>
      <c r="AW1" s="675"/>
      <c r="AX1" s="675"/>
      <c r="AY1" s="675"/>
      <c r="AZ1" s="675"/>
      <c r="BA1" s="675"/>
      <c r="BB1" s="675"/>
      <c r="BC1" s="675"/>
      <c r="BD1" s="675"/>
      <c r="BE1" s="675"/>
      <c r="BF1" s="675"/>
      <c r="BG1" s="675"/>
      <c r="BH1" s="675"/>
      <c r="BI1" s="675"/>
      <c r="BJ1" s="675"/>
      <c r="BK1" s="675"/>
      <c r="BL1" s="675"/>
      <c r="BM1" s="675"/>
      <c r="BN1" s="675"/>
      <c r="BO1" s="675"/>
      <c r="BP1" s="675"/>
      <c r="BQ1" s="675"/>
      <c r="BR1" s="675"/>
      <c r="BS1" s="675"/>
      <c r="BT1" s="675"/>
      <c r="BU1" s="675"/>
      <c r="BV1" s="675"/>
      <c r="BW1" s="675"/>
      <c r="BX1" s="675"/>
      <c r="BY1" s="675"/>
      <c r="BZ1" s="675"/>
      <c r="CA1" s="675"/>
      <c r="CB1" s="675"/>
      <c r="CC1" s="675"/>
      <c r="CD1" s="675"/>
      <c r="CE1" s="675"/>
      <c r="CF1" s="675"/>
      <c r="CG1" s="675"/>
      <c r="CH1" s="675"/>
      <c r="CI1" s="675"/>
      <c r="CJ1" s="675"/>
      <c r="CK1" s="675"/>
      <c r="CL1" s="675"/>
      <c r="CM1" s="675"/>
      <c r="CN1" s="675"/>
      <c r="CO1" s="675"/>
      <c r="CP1" s="675"/>
    </row>
    <row r="2" spans="1:94" ht="34.9" customHeight="1">
      <c r="A2" s="5373" t="s">
        <v>1010</v>
      </c>
      <c r="B2" s="5373"/>
      <c r="C2" s="5373"/>
      <c r="D2" s="5373"/>
      <c r="E2" s="5373"/>
      <c r="F2" s="5373"/>
      <c r="G2" s="5373"/>
      <c r="H2" s="5373"/>
      <c r="I2" s="5373"/>
      <c r="J2" s="5373"/>
      <c r="K2" s="5373"/>
      <c r="L2" s="5373"/>
      <c r="M2" s="5373"/>
      <c r="N2" s="5373"/>
      <c r="O2" s="5373"/>
      <c r="P2" s="5373"/>
      <c r="Q2" s="5373"/>
      <c r="R2" s="5373"/>
      <c r="S2" s="5373"/>
      <c r="T2" s="5373"/>
      <c r="U2" s="5373"/>
      <c r="V2" s="5373"/>
      <c r="W2" s="5373"/>
      <c r="X2" s="5373"/>
      <c r="Y2" s="5373"/>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row>
    <row r="3" spans="1:94" ht="18.75" customHeight="1">
      <c r="A3" s="5392" t="s">
        <v>1509</v>
      </c>
      <c r="B3" s="5392"/>
      <c r="C3" s="5392"/>
      <c r="D3" s="5392"/>
      <c r="E3" s="5392"/>
      <c r="F3" s="5392"/>
      <c r="G3" s="5392"/>
      <c r="H3" s="5392"/>
      <c r="I3" s="5392"/>
      <c r="J3" s="5392"/>
      <c r="K3" s="5392"/>
      <c r="L3" s="5392"/>
      <c r="M3" s="5392"/>
      <c r="N3" s="5392"/>
      <c r="O3" s="5392"/>
      <c r="P3" s="5392"/>
      <c r="Q3" s="5392"/>
      <c r="R3" s="5392"/>
      <c r="S3" s="5392"/>
      <c r="T3" s="5392"/>
      <c r="U3" s="5392"/>
      <c r="V3" s="5392"/>
      <c r="W3" s="5392"/>
      <c r="X3" s="5392"/>
      <c r="Y3" s="5392"/>
      <c r="Z3" s="2989"/>
      <c r="AA3" s="2989"/>
      <c r="AB3" s="2989"/>
      <c r="AC3" s="2989"/>
      <c r="AD3" s="2989"/>
      <c r="AE3" s="2989"/>
      <c r="AF3" s="2989"/>
      <c r="AG3" s="2989"/>
      <c r="AH3" s="2989"/>
      <c r="AI3" s="2989"/>
      <c r="AJ3" s="2989"/>
      <c r="AK3" s="2989"/>
      <c r="AL3" s="2989"/>
      <c r="AM3" s="2989"/>
      <c r="AN3" s="2989"/>
      <c r="AO3" s="2989"/>
      <c r="AP3" s="2989"/>
      <c r="AQ3" s="2989"/>
      <c r="AR3" s="2989"/>
      <c r="AS3" s="2989"/>
      <c r="AT3" s="2989"/>
      <c r="AU3" s="675"/>
      <c r="AV3" s="675"/>
      <c r="AW3" s="675"/>
      <c r="AX3" s="675"/>
      <c r="AY3" s="675"/>
      <c r="AZ3" s="675"/>
      <c r="BA3" s="675"/>
      <c r="BB3" s="675"/>
      <c r="BC3" s="675"/>
      <c r="BD3" s="675"/>
      <c r="BE3" s="675"/>
      <c r="BF3" s="675"/>
      <c r="BG3" s="675"/>
      <c r="BH3" s="675"/>
      <c r="BI3" s="675"/>
      <c r="BJ3" s="675"/>
      <c r="BK3" s="675"/>
      <c r="BL3" s="675"/>
      <c r="BM3" s="675"/>
      <c r="BN3" s="675"/>
      <c r="BO3" s="675"/>
      <c r="BP3" s="675"/>
      <c r="BQ3" s="675"/>
      <c r="BR3" s="675"/>
      <c r="BS3" s="675"/>
      <c r="BT3" s="675"/>
      <c r="BU3" s="675"/>
      <c r="BV3" s="675"/>
      <c r="BW3" s="675"/>
      <c r="BX3" s="675"/>
      <c r="BY3" s="675"/>
      <c r="BZ3" s="675"/>
      <c r="CA3" s="675"/>
      <c r="CB3" s="675"/>
      <c r="CC3" s="675"/>
      <c r="CD3" s="675"/>
      <c r="CE3" s="675"/>
      <c r="CF3" s="675"/>
      <c r="CG3" s="675"/>
      <c r="CH3" s="675"/>
      <c r="CI3" s="675"/>
      <c r="CJ3" s="675"/>
      <c r="CK3" s="675"/>
      <c r="CL3" s="675"/>
      <c r="CM3" s="675"/>
      <c r="CN3" s="675"/>
      <c r="CO3" s="675"/>
      <c r="CP3" s="675"/>
    </row>
    <row r="4" spans="1:94" ht="19.5" customHeight="1">
      <c r="A4" s="5393" t="str">
        <f>'1. Обща информация'!A4:D4</f>
        <v>на "ВОДОСНАБДЯВАНЕ И КАНАЛИЗАЦИЯ" ЕООД, гр. БЛАГОЕВГРАД</v>
      </c>
      <c r="B4" s="5393"/>
      <c r="C4" s="5393"/>
      <c r="D4" s="5393"/>
      <c r="E4" s="5393"/>
      <c r="F4" s="5393"/>
      <c r="G4" s="5393"/>
      <c r="H4" s="5393"/>
      <c r="I4" s="5393"/>
      <c r="J4" s="5393"/>
      <c r="K4" s="5393"/>
      <c r="L4" s="5393"/>
      <c r="M4" s="5393"/>
      <c r="N4" s="5393"/>
      <c r="O4" s="5393"/>
      <c r="P4" s="5393"/>
      <c r="Q4" s="5393"/>
      <c r="R4" s="5393"/>
      <c r="S4" s="5393"/>
      <c r="T4" s="5393"/>
      <c r="U4" s="5393"/>
      <c r="V4" s="5393"/>
      <c r="W4" s="5393"/>
      <c r="X4" s="5393"/>
      <c r="Y4" s="5393"/>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675"/>
      <c r="AV4" s="675"/>
      <c r="AW4" s="675"/>
      <c r="AX4" s="675"/>
      <c r="AY4" s="675"/>
      <c r="AZ4" s="675"/>
      <c r="BA4" s="675"/>
      <c r="BB4" s="675"/>
      <c r="BC4" s="675"/>
      <c r="BD4" s="675"/>
      <c r="BE4" s="675"/>
      <c r="BF4" s="675"/>
      <c r="BG4" s="675"/>
      <c r="BH4" s="675"/>
      <c r="BI4" s="675"/>
      <c r="BJ4" s="675"/>
      <c r="BK4" s="675"/>
      <c r="BL4" s="675"/>
      <c r="BM4" s="675"/>
      <c r="BN4" s="675"/>
      <c r="BO4" s="675"/>
      <c r="BP4" s="675"/>
      <c r="BQ4" s="675"/>
      <c r="BR4" s="675"/>
      <c r="BS4" s="675"/>
      <c r="BT4" s="675"/>
      <c r="BU4" s="675"/>
      <c r="BV4" s="675"/>
      <c r="BW4" s="675"/>
      <c r="BX4" s="675"/>
      <c r="BY4" s="675"/>
      <c r="BZ4" s="675"/>
      <c r="CA4" s="675"/>
      <c r="CB4" s="675"/>
      <c r="CC4" s="675"/>
      <c r="CD4" s="675"/>
      <c r="CE4" s="675"/>
      <c r="CF4" s="675"/>
      <c r="CG4" s="675"/>
      <c r="CH4" s="675"/>
      <c r="CI4" s="675"/>
      <c r="CJ4" s="675"/>
      <c r="CK4" s="675"/>
      <c r="CL4" s="675"/>
      <c r="CM4" s="675"/>
      <c r="CN4" s="675"/>
      <c r="CO4" s="675"/>
      <c r="CP4" s="675"/>
    </row>
    <row r="5" spans="1:94" ht="19.5" customHeight="1">
      <c r="A5" s="5393" t="str">
        <f>'1. Обща информация'!A5:D5</f>
        <v>ЕИК по БУЛСТАТ: 811047831</v>
      </c>
      <c r="B5" s="5393"/>
      <c r="C5" s="5393"/>
      <c r="D5" s="5393"/>
      <c r="E5" s="5393"/>
      <c r="F5" s="5393"/>
      <c r="G5" s="5393"/>
      <c r="H5" s="5393"/>
      <c r="I5" s="5393"/>
      <c r="J5" s="5393"/>
      <c r="K5" s="5393"/>
      <c r="L5" s="5393"/>
      <c r="M5" s="5393"/>
      <c r="N5" s="5393"/>
      <c r="O5" s="5393"/>
      <c r="P5" s="5393"/>
      <c r="Q5" s="5393"/>
      <c r="R5" s="5393"/>
      <c r="S5" s="5393"/>
      <c r="T5" s="5393"/>
      <c r="U5" s="5393"/>
      <c r="V5" s="5393"/>
      <c r="W5" s="5393"/>
      <c r="X5" s="5393"/>
      <c r="Y5" s="5393"/>
      <c r="Z5" s="2989"/>
      <c r="AA5" s="2989"/>
      <c r="AB5" s="2989"/>
      <c r="AC5" s="2989"/>
      <c r="AD5" s="2989"/>
      <c r="AE5" s="2989"/>
      <c r="AF5" s="2989"/>
      <c r="AG5" s="2989"/>
      <c r="AH5" s="2989"/>
      <c r="AI5" s="2989"/>
      <c r="AJ5" s="2989"/>
      <c r="AK5" s="2989"/>
      <c r="AL5" s="2989"/>
      <c r="AM5" s="2989"/>
      <c r="AN5" s="2989"/>
      <c r="AO5" s="2989"/>
      <c r="AP5" s="2989"/>
      <c r="AQ5" s="2989"/>
      <c r="AR5" s="2989"/>
      <c r="AS5" s="2989"/>
      <c r="AT5" s="2989"/>
      <c r="AU5" s="675"/>
      <c r="AV5" s="675"/>
      <c r="AW5" s="675"/>
      <c r="AX5" s="675"/>
      <c r="AY5" s="675"/>
      <c r="AZ5" s="675"/>
      <c r="BA5" s="675"/>
      <c r="BB5" s="675"/>
      <c r="BC5" s="675"/>
      <c r="BD5" s="675"/>
      <c r="BE5" s="675"/>
      <c r="BF5" s="675"/>
      <c r="BG5" s="675"/>
      <c r="BH5" s="675"/>
      <c r="BI5" s="675"/>
      <c r="BJ5" s="675"/>
      <c r="BK5" s="675"/>
      <c r="BL5" s="675"/>
      <c r="BM5" s="675"/>
      <c r="BN5" s="675"/>
      <c r="BO5" s="675"/>
      <c r="BP5" s="675"/>
      <c r="BQ5" s="675"/>
      <c r="BR5" s="675"/>
      <c r="BS5" s="675"/>
      <c r="BT5" s="675"/>
      <c r="BU5" s="675"/>
      <c r="BV5" s="675"/>
      <c r="BW5" s="675"/>
      <c r="BX5" s="675"/>
      <c r="BY5" s="675"/>
      <c r="BZ5" s="675"/>
      <c r="CA5" s="675"/>
      <c r="CB5" s="675"/>
      <c r="CC5" s="675"/>
      <c r="CD5" s="675"/>
      <c r="CE5" s="675"/>
      <c r="CF5" s="675"/>
      <c r="CG5" s="675"/>
      <c r="CH5" s="675"/>
      <c r="CI5" s="675"/>
      <c r="CJ5" s="675"/>
      <c r="CK5" s="675"/>
      <c r="CL5" s="675"/>
      <c r="CM5" s="675"/>
      <c r="CN5" s="675"/>
      <c r="CO5" s="675"/>
      <c r="CP5" s="675"/>
    </row>
    <row r="6" spans="1:94" ht="18" customHeight="1">
      <c r="A6" s="2994"/>
      <c r="B6" s="2994"/>
      <c r="C6" s="2994"/>
      <c r="D6" s="2994"/>
      <c r="E6" s="2994"/>
      <c r="F6" s="2994"/>
      <c r="G6" s="2994"/>
      <c r="H6" s="2994"/>
      <c r="I6" s="2994"/>
      <c r="J6" s="2994"/>
      <c r="K6" s="2994"/>
      <c r="L6" s="2994"/>
      <c r="M6" s="2989"/>
      <c r="N6" s="2992"/>
      <c r="O6" s="2989"/>
      <c r="P6" s="2989"/>
      <c r="Q6" s="2989"/>
      <c r="R6" s="2989"/>
      <c r="S6" s="2989"/>
      <c r="T6" s="2989"/>
      <c r="U6" s="2989"/>
      <c r="V6" s="2989"/>
      <c r="W6" s="2989"/>
      <c r="X6" s="2989"/>
      <c r="Y6" s="2989"/>
      <c r="Z6" s="2989"/>
      <c r="AA6" s="2989"/>
      <c r="AB6" s="2989"/>
      <c r="AC6" s="2989"/>
      <c r="AD6" s="2989"/>
      <c r="AE6" s="2989"/>
      <c r="AF6" s="2989"/>
      <c r="AG6" s="2989"/>
      <c r="AH6" s="2989"/>
      <c r="AI6" s="2989"/>
      <c r="AJ6" s="2989"/>
      <c r="AK6" s="2989"/>
      <c r="AL6" s="2989"/>
      <c r="AM6" s="2989"/>
      <c r="AN6" s="2989"/>
      <c r="AO6" s="2989"/>
      <c r="AP6" s="2989"/>
      <c r="AQ6" s="2989"/>
      <c r="AR6" s="2989"/>
      <c r="AS6" s="2989"/>
      <c r="AT6" s="2989"/>
      <c r="AU6" s="675"/>
      <c r="AV6" s="675"/>
      <c r="AW6" s="675"/>
      <c r="AX6" s="675"/>
      <c r="AY6" s="675"/>
      <c r="AZ6" s="675"/>
      <c r="BA6" s="675"/>
      <c r="BB6" s="675"/>
      <c r="BC6" s="675"/>
      <c r="BD6" s="675"/>
      <c r="BE6" s="675"/>
      <c r="BF6" s="675"/>
      <c r="BG6" s="675"/>
      <c r="BH6" s="675"/>
      <c r="BI6" s="675"/>
      <c r="BJ6" s="675"/>
      <c r="BK6" s="675"/>
      <c r="BL6" s="675"/>
      <c r="BM6" s="675"/>
      <c r="BN6" s="675"/>
      <c r="BO6" s="675"/>
      <c r="BP6" s="675"/>
      <c r="BQ6" s="675"/>
      <c r="BR6" s="675"/>
      <c r="BS6" s="675"/>
      <c r="BT6" s="675"/>
      <c r="BU6" s="675"/>
      <c r="BV6" s="675"/>
      <c r="BW6" s="675"/>
      <c r="BX6" s="675"/>
      <c r="BY6" s="675"/>
      <c r="BZ6" s="675"/>
      <c r="CA6" s="675"/>
      <c r="CB6" s="675"/>
      <c r="CC6" s="675"/>
      <c r="CE6" s="675"/>
      <c r="CF6" s="675"/>
      <c r="CG6" s="675"/>
      <c r="CH6" s="675"/>
      <c r="CI6" s="675"/>
      <c r="CJ6" s="675"/>
      <c r="CK6" s="675"/>
      <c r="CL6" s="675"/>
      <c r="CM6" s="675"/>
      <c r="CN6" s="675"/>
      <c r="CO6" s="675"/>
      <c r="CP6" s="675"/>
    </row>
    <row r="7" spans="1:94" ht="18" customHeight="1" thickBot="1">
      <c r="A7" s="2994"/>
      <c r="B7" s="2994"/>
      <c r="C7" s="2994"/>
      <c r="D7" s="2994"/>
      <c r="E7" s="2994"/>
      <c r="F7" s="2994"/>
      <c r="G7" s="2994"/>
      <c r="H7" s="2994"/>
      <c r="I7" s="2994"/>
      <c r="J7" s="2994"/>
      <c r="K7" s="2994"/>
      <c r="L7" s="2994"/>
      <c r="M7" s="2989"/>
      <c r="N7" s="2992"/>
      <c r="O7" s="2989"/>
      <c r="P7" s="2989"/>
      <c r="Q7" s="2989"/>
      <c r="R7" s="2989"/>
      <c r="S7" s="2989"/>
      <c r="T7" s="2989"/>
      <c r="U7" s="2989"/>
      <c r="V7" s="2989"/>
      <c r="W7" s="2989"/>
      <c r="X7" s="2989"/>
      <c r="Y7" s="2989"/>
      <c r="Z7" s="2989"/>
      <c r="AA7" s="2989"/>
      <c r="AB7" s="2989"/>
      <c r="AC7" s="2989"/>
      <c r="AD7" s="2989"/>
      <c r="AE7" s="2989"/>
      <c r="AF7" s="2989"/>
      <c r="AG7" s="2989"/>
      <c r="AH7" s="2989"/>
      <c r="AI7" s="2989"/>
      <c r="AJ7" s="2989"/>
      <c r="AK7" s="2989"/>
      <c r="AL7" s="2989"/>
      <c r="AM7" s="2558" t="s">
        <v>190</v>
      </c>
      <c r="AN7" s="2989"/>
      <c r="AO7" s="2989"/>
      <c r="AP7" s="2989"/>
      <c r="AQ7" s="2989"/>
      <c r="AR7" s="2989"/>
      <c r="AS7" s="2989"/>
      <c r="AT7" s="2989"/>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2558" t="s">
        <v>1891</v>
      </c>
      <c r="CE7" s="675"/>
      <c r="CF7" s="675"/>
      <c r="CG7" s="675"/>
      <c r="CH7" s="675"/>
      <c r="CI7" s="675"/>
      <c r="CJ7" s="675"/>
      <c r="CK7" s="675"/>
      <c r="CL7" s="675"/>
      <c r="CM7" s="675"/>
      <c r="CN7" s="675"/>
      <c r="CO7" s="675"/>
      <c r="CP7" s="675"/>
    </row>
    <row r="8" spans="1:94" s="675" customFormat="1" ht="19.899999999999999" customHeight="1" thickBot="1">
      <c r="A8" s="5394" t="s">
        <v>1</v>
      </c>
      <c r="B8" s="5375" t="s">
        <v>1044</v>
      </c>
      <c r="C8" s="5375" t="s">
        <v>1043</v>
      </c>
      <c r="D8" s="5394" t="s">
        <v>87</v>
      </c>
      <c r="E8" s="5394" t="s">
        <v>210</v>
      </c>
      <c r="F8" s="5396"/>
      <c r="G8" s="5396"/>
      <c r="H8" s="5396"/>
      <c r="I8" s="5396"/>
      <c r="J8" s="5396"/>
      <c r="K8" s="5396"/>
      <c r="L8" s="5394" t="s">
        <v>174</v>
      </c>
      <c r="M8" s="5396"/>
      <c r="N8" s="5396"/>
      <c r="O8" s="5396"/>
      <c r="P8" s="5396"/>
      <c r="Q8" s="5396"/>
      <c r="R8" s="5397"/>
      <c r="S8" s="5394" t="s">
        <v>184</v>
      </c>
      <c r="T8" s="5396"/>
      <c r="U8" s="5396"/>
      <c r="V8" s="5396"/>
      <c r="W8" s="5396"/>
      <c r="X8" s="5396"/>
      <c r="Y8" s="5397"/>
      <c r="Z8" s="5394" t="s">
        <v>1029</v>
      </c>
      <c r="AA8" s="5396"/>
      <c r="AB8" s="5396"/>
      <c r="AC8" s="5396"/>
      <c r="AD8" s="5396"/>
      <c r="AE8" s="5396"/>
      <c r="AF8" s="5397"/>
      <c r="AG8" s="5394" t="s">
        <v>1092</v>
      </c>
      <c r="AH8" s="5396"/>
      <c r="AI8" s="5396"/>
      <c r="AJ8" s="5396"/>
      <c r="AK8" s="5396"/>
      <c r="AL8" s="5396"/>
      <c r="AM8" s="5397"/>
      <c r="AN8" s="5398" t="s">
        <v>662</v>
      </c>
      <c r="AO8" s="5399"/>
      <c r="AP8" s="5399"/>
      <c r="AQ8" s="5399"/>
      <c r="AR8" s="5399"/>
      <c r="AS8" s="5399"/>
      <c r="AT8" s="5400"/>
      <c r="AU8" s="4775"/>
      <c r="AV8" s="5368" t="s">
        <v>210</v>
      </c>
      <c r="AW8" s="5368"/>
      <c r="AX8" s="5368"/>
      <c r="AY8" s="5368"/>
      <c r="AZ8" s="5368"/>
      <c r="BA8" s="5368"/>
      <c r="BB8" s="5368"/>
      <c r="BC8" s="5368" t="s">
        <v>174</v>
      </c>
      <c r="BD8" s="5368"/>
      <c r="BE8" s="5368"/>
      <c r="BF8" s="5368"/>
      <c r="BG8" s="5368"/>
      <c r="BH8" s="5368"/>
      <c r="BI8" s="5368"/>
      <c r="BJ8" s="5368" t="s">
        <v>184</v>
      </c>
      <c r="BK8" s="5368"/>
      <c r="BL8" s="5368"/>
      <c r="BM8" s="5368"/>
      <c r="BN8" s="5368"/>
      <c r="BO8" s="5368"/>
      <c r="BP8" s="5368"/>
      <c r="BQ8" s="5368" t="s">
        <v>1029</v>
      </c>
      <c r="BR8" s="5368"/>
      <c r="BS8" s="5368"/>
      <c r="BT8" s="5368"/>
      <c r="BU8" s="5368"/>
      <c r="BV8" s="5368"/>
      <c r="BW8" s="5368"/>
      <c r="BX8" s="5368" t="s">
        <v>1092</v>
      </c>
      <c r="BY8" s="5368"/>
      <c r="BZ8" s="5368"/>
      <c r="CA8" s="5368"/>
      <c r="CB8" s="5368"/>
      <c r="CC8" s="5368"/>
      <c r="CD8" s="5368"/>
    </row>
    <row r="9" spans="1:94" s="675" customFormat="1" ht="22.5" customHeight="1" thickBot="1">
      <c r="A9" s="5395"/>
      <c r="B9" s="5376"/>
      <c r="C9" s="5376"/>
      <c r="D9" s="5395"/>
      <c r="E9" s="2995" t="str">
        <f>+'11. Амортиз. план'!E8</f>
        <v>2025 г.</v>
      </c>
      <c r="F9" s="2996" t="str">
        <f>'Приложение '!C13</f>
        <v>2026 г.</v>
      </c>
      <c r="G9" s="2997" t="str">
        <f>'Приложение '!C14</f>
        <v>2027 г.</v>
      </c>
      <c r="H9" s="2997" t="str">
        <f>'Приложение '!C15</f>
        <v>2028 г.</v>
      </c>
      <c r="I9" s="2997" t="str">
        <f>'Приложение '!C16</f>
        <v>2029 г.</v>
      </c>
      <c r="J9" s="2997" t="str">
        <f>'Приложение '!C17</f>
        <v>2030 г.</v>
      </c>
      <c r="K9" s="2998" t="str">
        <f>'Приложение '!C18</f>
        <v>2031 г.</v>
      </c>
      <c r="L9" s="2999" t="str">
        <f t="shared" ref="L9:AM9" si="0">E9</f>
        <v>2025 г.</v>
      </c>
      <c r="M9" s="3000" t="str">
        <f t="shared" si="0"/>
        <v>2026 г.</v>
      </c>
      <c r="N9" s="2997" t="str">
        <f t="shared" si="0"/>
        <v>2027 г.</v>
      </c>
      <c r="O9" s="2997" t="str">
        <f t="shared" si="0"/>
        <v>2028 г.</v>
      </c>
      <c r="P9" s="2997" t="str">
        <f t="shared" si="0"/>
        <v>2029 г.</v>
      </c>
      <c r="Q9" s="2997" t="str">
        <f t="shared" si="0"/>
        <v>2030 г.</v>
      </c>
      <c r="R9" s="2998" t="str">
        <f t="shared" si="0"/>
        <v>2031 г.</v>
      </c>
      <c r="S9" s="2999" t="str">
        <f t="shared" si="0"/>
        <v>2025 г.</v>
      </c>
      <c r="T9" s="3000" t="str">
        <f t="shared" si="0"/>
        <v>2026 г.</v>
      </c>
      <c r="U9" s="2997" t="str">
        <f t="shared" si="0"/>
        <v>2027 г.</v>
      </c>
      <c r="V9" s="2997" t="str">
        <f t="shared" si="0"/>
        <v>2028 г.</v>
      </c>
      <c r="W9" s="2997" t="str">
        <f t="shared" si="0"/>
        <v>2029 г.</v>
      </c>
      <c r="X9" s="2997" t="str">
        <f t="shared" si="0"/>
        <v>2030 г.</v>
      </c>
      <c r="Y9" s="3001" t="str">
        <f t="shared" si="0"/>
        <v>2031 г.</v>
      </c>
      <c r="Z9" s="2999" t="str">
        <f t="shared" si="0"/>
        <v>2025 г.</v>
      </c>
      <c r="AA9" s="3000" t="str">
        <f t="shared" si="0"/>
        <v>2026 г.</v>
      </c>
      <c r="AB9" s="2997" t="str">
        <f t="shared" si="0"/>
        <v>2027 г.</v>
      </c>
      <c r="AC9" s="2997" t="str">
        <f t="shared" si="0"/>
        <v>2028 г.</v>
      </c>
      <c r="AD9" s="2997" t="str">
        <f t="shared" si="0"/>
        <v>2029 г.</v>
      </c>
      <c r="AE9" s="2997" t="str">
        <f t="shared" si="0"/>
        <v>2030 г.</v>
      </c>
      <c r="AF9" s="3001" t="str">
        <f t="shared" si="0"/>
        <v>2031 г.</v>
      </c>
      <c r="AG9" s="2999" t="str">
        <f t="shared" si="0"/>
        <v>2025 г.</v>
      </c>
      <c r="AH9" s="3000" t="str">
        <f t="shared" si="0"/>
        <v>2026 г.</v>
      </c>
      <c r="AI9" s="2997" t="str">
        <f t="shared" si="0"/>
        <v>2027 г.</v>
      </c>
      <c r="AJ9" s="2997" t="str">
        <f t="shared" si="0"/>
        <v>2028 г.</v>
      </c>
      <c r="AK9" s="2997" t="str">
        <f t="shared" si="0"/>
        <v>2029 г.</v>
      </c>
      <c r="AL9" s="2997" t="str">
        <f t="shared" si="0"/>
        <v>2030 г.</v>
      </c>
      <c r="AM9" s="3001" t="str">
        <f t="shared" si="0"/>
        <v>2031 г.</v>
      </c>
      <c r="AN9" s="2999" t="str">
        <f t="shared" ref="AN9:AT9" si="1">S9</f>
        <v>2025 г.</v>
      </c>
      <c r="AO9" s="3000" t="str">
        <f t="shared" si="1"/>
        <v>2026 г.</v>
      </c>
      <c r="AP9" s="2997" t="str">
        <f t="shared" si="1"/>
        <v>2027 г.</v>
      </c>
      <c r="AQ9" s="2997" t="str">
        <f t="shared" si="1"/>
        <v>2028 г.</v>
      </c>
      <c r="AR9" s="2997" t="str">
        <f t="shared" si="1"/>
        <v>2029 г.</v>
      </c>
      <c r="AS9" s="2997" t="str">
        <f t="shared" si="1"/>
        <v>2030 г.</v>
      </c>
      <c r="AT9" s="3001" t="str">
        <f t="shared" si="1"/>
        <v>2031 г.</v>
      </c>
      <c r="AU9" s="4775"/>
      <c r="AV9" s="4799" t="str">
        <f>+E9</f>
        <v>2025 г.</v>
      </c>
      <c r="AW9" s="4799" t="str">
        <f t="shared" ref="AW9:BB9" si="2">+F9</f>
        <v>2026 г.</v>
      </c>
      <c r="AX9" s="4799" t="str">
        <f t="shared" si="2"/>
        <v>2027 г.</v>
      </c>
      <c r="AY9" s="4799" t="str">
        <f t="shared" si="2"/>
        <v>2028 г.</v>
      </c>
      <c r="AZ9" s="4799" t="str">
        <f t="shared" si="2"/>
        <v>2029 г.</v>
      </c>
      <c r="BA9" s="4799" t="str">
        <f t="shared" si="2"/>
        <v>2030 г.</v>
      </c>
      <c r="BB9" s="4799" t="str">
        <f t="shared" si="2"/>
        <v>2031 г.</v>
      </c>
      <c r="BC9" s="4799" t="str">
        <f t="shared" ref="BC9" si="3">AV9</f>
        <v>2025 г.</v>
      </c>
      <c r="BD9" s="4799" t="str">
        <f t="shared" ref="BD9" si="4">AW9</f>
        <v>2026 г.</v>
      </c>
      <c r="BE9" s="4799" t="str">
        <f t="shared" ref="BE9" si="5">AX9</f>
        <v>2027 г.</v>
      </c>
      <c r="BF9" s="4799" t="str">
        <f t="shared" ref="BF9" si="6">AY9</f>
        <v>2028 г.</v>
      </c>
      <c r="BG9" s="4799" t="str">
        <f t="shared" ref="BG9" si="7">AZ9</f>
        <v>2029 г.</v>
      </c>
      <c r="BH9" s="4799" t="str">
        <f t="shared" ref="BH9" si="8">BA9</f>
        <v>2030 г.</v>
      </c>
      <c r="BI9" s="4799" t="str">
        <f t="shared" ref="BI9" si="9">BB9</f>
        <v>2031 г.</v>
      </c>
      <c r="BJ9" s="4799" t="str">
        <f t="shared" ref="BJ9" si="10">BC9</f>
        <v>2025 г.</v>
      </c>
      <c r="BK9" s="4799" t="str">
        <f t="shared" ref="BK9" si="11">BD9</f>
        <v>2026 г.</v>
      </c>
      <c r="BL9" s="4799" t="str">
        <f t="shared" ref="BL9" si="12">BE9</f>
        <v>2027 г.</v>
      </c>
      <c r="BM9" s="4799" t="str">
        <f t="shared" ref="BM9" si="13">BF9</f>
        <v>2028 г.</v>
      </c>
      <c r="BN9" s="4799" t="str">
        <f t="shared" ref="BN9" si="14">BG9</f>
        <v>2029 г.</v>
      </c>
      <c r="BO9" s="4799" t="str">
        <f t="shared" ref="BO9" si="15">BH9</f>
        <v>2030 г.</v>
      </c>
      <c r="BP9" s="4799" t="str">
        <f t="shared" ref="BP9" si="16">BI9</f>
        <v>2031 г.</v>
      </c>
      <c r="BQ9" s="4799" t="str">
        <f t="shared" ref="BQ9" si="17">BJ9</f>
        <v>2025 г.</v>
      </c>
      <c r="BR9" s="4799" t="str">
        <f t="shared" ref="BR9" si="18">BK9</f>
        <v>2026 г.</v>
      </c>
      <c r="BS9" s="4799" t="str">
        <f t="shared" ref="BS9" si="19">BL9</f>
        <v>2027 г.</v>
      </c>
      <c r="BT9" s="4799" t="str">
        <f t="shared" ref="BT9" si="20">BM9</f>
        <v>2028 г.</v>
      </c>
      <c r="BU9" s="4799" t="str">
        <f t="shared" ref="BU9" si="21">BN9</f>
        <v>2029 г.</v>
      </c>
      <c r="BV9" s="4799" t="str">
        <f t="shared" ref="BV9" si="22">BO9</f>
        <v>2030 г.</v>
      </c>
      <c r="BW9" s="4799" t="str">
        <f t="shared" ref="BW9" si="23">BP9</f>
        <v>2031 г.</v>
      </c>
      <c r="BX9" s="4799" t="str">
        <f t="shared" ref="BX9" si="24">BQ9</f>
        <v>2025 г.</v>
      </c>
      <c r="BY9" s="4799" t="str">
        <f t="shared" ref="BY9" si="25">BR9</f>
        <v>2026 г.</v>
      </c>
      <c r="BZ9" s="4799" t="str">
        <f t="shared" ref="BZ9" si="26">BS9</f>
        <v>2027 г.</v>
      </c>
      <c r="CA9" s="4799" t="str">
        <f t="shared" ref="CA9" si="27">BT9</f>
        <v>2028 г.</v>
      </c>
      <c r="CB9" s="4799" t="str">
        <f t="shared" ref="CB9" si="28">BU9</f>
        <v>2029 г.</v>
      </c>
      <c r="CC9" s="4799" t="str">
        <f t="shared" ref="CC9" si="29">BV9</f>
        <v>2030 г.</v>
      </c>
      <c r="CD9" s="4799" t="str">
        <f t="shared" ref="CD9" si="30">BW9</f>
        <v>2031 г.</v>
      </c>
    </row>
    <row r="10" spans="1:94" s="44" customFormat="1" ht="39" thickBot="1">
      <c r="A10" s="3002" t="s">
        <v>1055</v>
      </c>
      <c r="B10" s="3002"/>
      <c r="C10" s="3002"/>
      <c r="D10" s="3003" t="s">
        <v>1504</v>
      </c>
      <c r="E10" s="3004" t="s">
        <v>1505</v>
      </c>
      <c r="F10" s="5388" t="s">
        <v>1506</v>
      </c>
      <c r="G10" s="5389"/>
      <c r="H10" s="5389"/>
      <c r="I10" s="5389"/>
      <c r="J10" s="5389"/>
      <c r="K10" s="5390"/>
      <c r="L10" s="3004" t="s">
        <v>1505</v>
      </c>
      <c r="M10" s="5388" t="s">
        <v>1506</v>
      </c>
      <c r="N10" s="5389"/>
      <c r="O10" s="5389"/>
      <c r="P10" s="5389"/>
      <c r="Q10" s="5389"/>
      <c r="R10" s="5390"/>
      <c r="S10" s="3004" t="s">
        <v>1505</v>
      </c>
      <c r="T10" s="5388" t="s">
        <v>1506</v>
      </c>
      <c r="U10" s="5389"/>
      <c r="V10" s="5389"/>
      <c r="W10" s="5389"/>
      <c r="X10" s="5389"/>
      <c r="Y10" s="5390"/>
      <c r="Z10" s="3004" t="s">
        <v>1505</v>
      </c>
      <c r="AA10" s="5388" t="s">
        <v>1506</v>
      </c>
      <c r="AB10" s="5389"/>
      <c r="AC10" s="5389"/>
      <c r="AD10" s="5389"/>
      <c r="AE10" s="5389"/>
      <c r="AF10" s="5390"/>
      <c r="AG10" s="3004" t="s">
        <v>1505</v>
      </c>
      <c r="AH10" s="5388" t="s">
        <v>1506</v>
      </c>
      <c r="AI10" s="5389"/>
      <c r="AJ10" s="5389"/>
      <c r="AK10" s="5389"/>
      <c r="AL10" s="5389"/>
      <c r="AM10" s="5390"/>
      <c r="AN10" s="3004" t="s">
        <v>1505</v>
      </c>
      <c r="AO10" s="5388" t="s">
        <v>1506</v>
      </c>
      <c r="AP10" s="5389"/>
      <c r="AQ10" s="5389"/>
      <c r="AR10" s="5389"/>
      <c r="AS10" s="5389"/>
      <c r="AT10" s="5390"/>
      <c r="AU10" s="4775"/>
    </row>
    <row r="11" spans="1:94" s="691" customFormat="1" ht="14.25" customHeight="1" thickBot="1">
      <c r="A11" s="3005" t="s">
        <v>205</v>
      </c>
      <c r="B11" s="3006"/>
      <c r="C11" s="3006"/>
      <c r="D11" s="3006" t="s">
        <v>334</v>
      </c>
      <c r="E11" s="3010">
        <f t="shared" ref="E11:AT11" si="31">E12+E15+E18+E30+E45+E50+SUM(E54:E59)</f>
        <v>7897</v>
      </c>
      <c r="F11" s="3007">
        <f t="shared" si="31"/>
        <v>0</v>
      </c>
      <c r="G11" s="3008">
        <f t="shared" si="31"/>
        <v>0</v>
      </c>
      <c r="H11" s="3008">
        <f t="shared" si="31"/>
        <v>0</v>
      </c>
      <c r="I11" s="3008">
        <f t="shared" si="31"/>
        <v>0</v>
      </c>
      <c r="J11" s="3008">
        <f t="shared" si="31"/>
        <v>0</v>
      </c>
      <c r="K11" s="3009">
        <f t="shared" si="31"/>
        <v>0</v>
      </c>
      <c r="L11" s="3010">
        <f t="shared" si="31"/>
        <v>511</v>
      </c>
      <c r="M11" s="3007">
        <f t="shared" si="31"/>
        <v>0</v>
      </c>
      <c r="N11" s="3008">
        <f t="shared" si="31"/>
        <v>0</v>
      </c>
      <c r="O11" s="3008">
        <f t="shared" si="31"/>
        <v>0</v>
      </c>
      <c r="P11" s="3008">
        <f t="shared" si="31"/>
        <v>0</v>
      </c>
      <c r="Q11" s="3008">
        <f t="shared" si="31"/>
        <v>0</v>
      </c>
      <c r="R11" s="3009">
        <f t="shared" si="31"/>
        <v>0</v>
      </c>
      <c r="S11" s="3010">
        <f t="shared" si="31"/>
        <v>127</v>
      </c>
      <c r="T11" s="3007">
        <f t="shared" si="31"/>
        <v>0</v>
      </c>
      <c r="U11" s="3008">
        <f t="shared" si="31"/>
        <v>0</v>
      </c>
      <c r="V11" s="3008">
        <f t="shared" si="31"/>
        <v>0</v>
      </c>
      <c r="W11" s="3008">
        <f t="shared" si="31"/>
        <v>0</v>
      </c>
      <c r="X11" s="3008">
        <f t="shared" si="31"/>
        <v>0</v>
      </c>
      <c r="Y11" s="3011">
        <f t="shared" si="31"/>
        <v>0</v>
      </c>
      <c r="Z11" s="3010">
        <f t="shared" ref="Z11:AF11" si="32">Z12+Z15+Z18+Z30+Z45+Z50+SUM(Z54:Z59)</f>
        <v>0</v>
      </c>
      <c r="AA11" s="3007">
        <f t="shared" si="32"/>
        <v>0</v>
      </c>
      <c r="AB11" s="3008">
        <f t="shared" si="32"/>
        <v>0</v>
      </c>
      <c r="AC11" s="3008">
        <f t="shared" si="32"/>
        <v>0</v>
      </c>
      <c r="AD11" s="3008">
        <f t="shared" si="32"/>
        <v>0</v>
      </c>
      <c r="AE11" s="3008">
        <f t="shared" si="32"/>
        <v>0</v>
      </c>
      <c r="AF11" s="3011">
        <f t="shared" si="32"/>
        <v>0</v>
      </c>
      <c r="AG11" s="3010">
        <f t="shared" ref="AG11:AM11" si="33">AG12+AG15+AG18+AG30+AG45+AG50+SUM(AG54:AG59)</f>
        <v>0</v>
      </c>
      <c r="AH11" s="3007">
        <f t="shared" si="33"/>
        <v>0</v>
      </c>
      <c r="AI11" s="3008">
        <f t="shared" si="33"/>
        <v>0</v>
      </c>
      <c r="AJ11" s="3008">
        <f t="shared" si="33"/>
        <v>0</v>
      </c>
      <c r="AK11" s="3008">
        <f t="shared" si="33"/>
        <v>0</v>
      </c>
      <c r="AL11" s="3008">
        <f t="shared" si="33"/>
        <v>0</v>
      </c>
      <c r="AM11" s="3009">
        <f t="shared" si="33"/>
        <v>0</v>
      </c>
      <c r="AN11" s="3010">
        <f t="shared" si="31"/>
        <v>0</v>
      </c>
      <c r="AO11" s="3007">
        <f>AO12+AO15+AO18+AO30+AO45+AO50+SUM(AO54:AO59)</f>
        <v>0</v>
      </c>
      <c r="AP11" s="3008">
        <f t="shared" si="31"/>
        <v>0</v>
      </c>
      <c r="AQ11" s="3008">
        <f t="shared" si="31"/>
        <v>0</v>
      </c>
      <c r="AR11" s="3008">
        <f t="shared" si="31"/>
        <v>0</v>
      </c>
      <c r="AS11" s="3008">
        <f t="shared" si="31"/>
        <v>0</v>
      </c>
      <c r="AT11" s="3011">
        <f t="shared" si="31"/>
        <v>0</v>
      </c>
      <c r="AU11" s="4775"/>
      <c r="AV11" s="4794">
        <f>IFERROR(E11/$D$1,0)</f>
        <v>4037.6719858065376</v>
      </c>
      <c r="AW11" s="4794">
        <f t="shared" ref="AW11:CC11" si="34">IFERROR(F11/$D$1,0)</f>
        <v>0</v>
      </c>
      <c r="AX11" s="4794">
        <f t="shared" si="34"/>
        <v>0</v>
      </c>
      <c r="AY11" s="4794">
        <f t="shared" si="34"/>
        <v>0</v>
      </c>
      <c r="AZ11" s="4794">
        <f t="shared" si="34"/>
        <v>0</v>
      </c>
      <c r="BA11" s="4794">
        <f t="shared" si="34"/>
        <v>0</v>
      </c>
      <c r="BB11" s="4794">
        <f t="shared" si="34"/>
        <v>0</v>
      </c>
      <c r="BC11" s="4794">
        <f t="shared" si="34"/>
        <v>261.27015129126767</v>
      </c>
      <c r="BD11" s="4794">
        <f t="shared" si="34"/>
        <v>0</v>
      </c>
      <c r="BE11" s="4794">
        <f t="shared" si="34"/>
        <v>0</v>
      </c>
      <c r="BF11" s="4794">
        <f t="shared" si="34"/>
        <v>0</v>
      </c>
      <c r="BG11" s="4794">
        <f t="shared" si="34"/>
        <v>0</v>
      </c>
      <c r="BH11" s="4794">
        <f t="shared" si="34"/>
        <v>0</v>
      </c>
      <c r="BI11" s="4794">
        <f t="shared" si="34"/>
        <v>0</v>
      </c>
      <c r="BJ11" s="4794">
        <f t="shared" si="34"/>
        <v>64.934068911919752</v>
      </c>
      <c r="BK11" s="4794">
        <f t="shared" si="34"/>
        <v>0</v>
      </c>
      <c r="BL11" s="4794">
        <f t="shared" si="34"/>
        <v>0</v>
      </c>
      <c r="BM11" s="4794">
        <f t="shared" si="34"/>
        <v>0</v>
      </c>
      <c r="BN11" s="4794">
        <f t="shared" si="34"/>
        <v>0</v>
      </c>
      <c r="BO11" s="4794">
        <f t="shared" si="34"/>
        <v>0</v>
      </c>
      <c r="BP11" s="4794">
        <f t="shared" si="34"/>
        <v>0</v>
      </c>
      <c r="BQ11" s="4794">
        <f t="shared" si="34"/>
        <v>0</v>
      </c>
      <c r="BR11" s="4794">
        <f t="shared" si="34"/>
        <v>0</v>
      </c>
      <c r="BS11" s="4794">
        <f t="shared" si="34"/>
        <v>0</v>
      </c>
      <c r="BT11" s="4794">
        <f t="shared" si="34"/>
        <v>0</v>
      </c>
      <c r="BU11" s="4794">
        <f t="shared" si="34"/>
        <v>0</v>
      </c>
      <c r="BV11" s="4794">
        <f t="shared" si="34"/>
        <v>0</v>
      </c>
      <c r="BW11" s="4794">
        <f t="shared" si="34"/>
        <v>0</v>
      </c>
      <c r="BX11" s="4794">
        <f t="shared" si="34"/>
        <v>0</v>
      </c>
      <c r="BY11" s="4794">
        <f t="shared" si="34"/>
        <v>0</v>
      </c>
      <c r="BZ11" s="4794">
        <f t="shared" si="34"/>
        <v>0</v>
      </c>
      <c r="CA11" s="4794">
        <f t="shared" si="34"/>
        <v>0</v>
      </c>
      <c r="CB11" s="4794">
        <f t="shared" si="34"/>
        <v>0</v>
      </c>
      <c r="CC11" s="4794">
        <f t="shared" si="34"/>
        <v>0</v>
      </c>
      <c r="CD11" s="4794">
        <f>IFERROR(AM11/$D$1,0)</f>
        <v>0</v>
      </c>
    </row>
    <row r="12" spans="1:94" s="44" customFormat="1">
      <c r="A12" s="3012">
        <v>1</v>
      </c>
      <c r="B12" s="3012">
        <v>201</v>
      </c>
      <c r="C12" s="3013">
        <v>0</v>
      </c>
      <c r="D12" s="3014" t="s">
        <v>217</v>
      </c>
      <c r="E12" s="3015">
        <f>SUM(E13:E14)</f>
        <v>0</v>
      </c>
      <c r="F12" s="3016">
        <f>SUM(F13:F14)</f>
        <v>0</v>
      </c>
      <c r="G12" s="3017">
        <f>SUM(G13:G14)</f>
        <v>0</v>
      </c>
      <c r="H12" s="3017">
        <f>SUM(H13:H14)</f>
        <v>0</v>
      </c>
      <c r="I12" s="3017">
        <f t="shared" ref="I12:K12" si="35">SUM(I13:I14)</f>
        <v>0</v>
      </c>
      <c r="J12" s="3017">
        <f t="shared" si="35"/>
        <v>0</v>
      </c>
      <c r="K12" s="3018">
        <f t="shared" si="35"/>
        <v>0</v>
      </c>
      <c r="L12" s="3015">
        <f>SUM(L13:L14)</f>
        <v>0</v>
      </c>
      <c r="M12" s="3016">
        <f>SUM(M13:M14)</f>
        <v>0</v>
      </c>
      <c r="N12" s="3017">
        <f>SUM(N13:N14)</f>
        <v>0</v>
      </c>
      <c r="O12" s="3017">
        <f>SUM(O13:O14)</f>
        <v>0</v>
      </c>
      <c r="P12" s="3017">
        <f t="shared" ref="P12:R12" si="36">SUM(P13:P14)</f>
        <v>0</v>
      </c>
      <c r="Q12" s="3017">
        <f t="shared" si="36"/>
        <v>0</v>
      </c>
      <c r="R12" s="3018">
        <f t="shared" si="36"/>
        <v>0</v>
      </c>
      <c r="S12" s="3015">
        <f>SUM(S13:S14)</f>
        <v>0</v>
      </c>
      <c r="T12" s="3016">
        <f>SUM(T13:T14)</f>
        <v>0</v>
      </c>
      <c r="U12" s="3017">
        <f>SUM(U13:U14)</f>
        <v>0</v>
      </c>
      <c r="V12" s="3017">
        <f>SUM(V13:V14)</f>
        <v>0</v>
      </c>
      <c r="W12" s="3017">
        <f t="shared" ref="W12:Y12" si="37">SUM(W13:W14)</f>
        <v>0</v>
      </c>
      <c r="X12" s="3017">
        <f t="shared" si="37"/>
        <v>0</v>
      </c>
      <c r="Y12" s="3019">
        <f t="shared" si="37"/>
        <v>0</v>
      </c>
      <c r="Z12" s="3015">
        <f>SUM(Z13:Z14)</f>
        <v>0</v>
      </c>
      <c r="AA12" s="3016">
        <f>SUM(AA13:AA14)</f>
        <v>0</v>
      </c>
      <c r="AB12" s="3017">
        <f>SUM(AB13:AB14)</f>
        <v>0</v>
      </c>
      <c r="AC12" s="3017">
        <f>SUM(AC13:AC14)</f>
        <v>0</v>
      </c>
      <c r="AD12" s="3017">
        <f t="shared" ref="AD12:AF12" si="38">SUM(AD13:AD14)</f>
        <v>0</v>
      </c>
      <c r="AE12" s="3017">
        <f t="shared" si="38"/>
        <v>0</v>
      </c>
      <c r="AF12" s="3019">
        <f t="shared" si="38"/>
        <v>0</v>
      </c>
      <c r="AG12" s="3015">
        <f>SUM(AG13:AG14)</f>
        <v>0</v>
      </c>
      <c r="AH12" s="3016">
        <f>SUM(AH13:AH14)</f>
        <v>0</v>
      </c>
      <c r="AI12" s="3017">
        <f>SUM(AI13:AI14)</f>
        <v>0</v>
      </c>
      <c r="AJ12" s="3017">
        <f>SUM(AJ13:AJ14)</f>
        <v>0</v>
      </c>
      <c r="AK12" s="3017">
        <f t="shared" ref="AK12:AM12" si="39">SUM(AK13:AK14)</f>
        <v>0</v>
      </c>
      <c r="AL12" s="3017">
        <f t="shared" si="39"/>
        <v>0</v>
      </c>
      <c r="AM12" s="3018">
        <f t="shared" si="39"/>
        <v>0</v>
      </c>
      <c r="AN12" s="4367">
        <f>SUM(AN13:AN14)</f>
        <v>0</v>
      </c>
      <c r="AO12" s="3172"/>
      <c r="AP12" s="3173"/>
      <c r="AQ12" s="3173"/>
      <c r="AR12" s="3173"/>
      <c r="AS12" s="3173"/>
      <c r="AT12" s="3174"/>
      <c r="AU12" s="4775"/>
      <c r="AV12" s="4794">
        <f t="shared" ref="AV12:AV75" si="40">IFERROR(E12/$D$1,0)</f>
        <v>0</v>
      </c>
      <c r="AW12" s="4794">
        <f t="shared" ref="AW12:AW75" si="41">IFERROR(F12/$D$1,0)</f>
        <v>0</v>
      </c>
      <c r="AX12" s="4794">
        <f t="shared" ref="AX12:AX75" si="42">IFERROR(G12/$D$1,0)</f>
        <v>0</v>
      </c>
      <c r="AY12" s="4794">
        <f t="shared" ref="AY12:AY75" si="43">IFERROR(H12/$D$1,0)</f>
        <v>0</v>
      </c>
      <c r="AZ12" s="4794">
        <f t="shared" ref="AZ12:AZ75" si="44">IFERROR(I12/$D$1,0)</f>
        <v>0</v>
      </c>
      <c r="BA12" s="4794">
        <f t="shared" ref="BA12:BA75" si="45">IFERROR(J12/$D$1,0)</f>
        <v>0</v>
      </c>
      <c r="BB12" s="4794">
        <f t="shared" ref="BB12:BB75" si="46">IFERROR(K12/$D$1,0)</f>
        <v>0</v>
      </c>
      <c r="BC12" s="4794">
        <f t="shared" ref="BC12:BC75" si="47">IFERROR(L12/$D$1,0)</f>
        <v>0</v>
      </c>
      <c r="BD12" s="4794">
        <f t="shared" ref="BD12:BD75" si="48">IFERROR(M12/$D$1,0)</f>
        <v>0</v>
      </c>
      <c r="BE12" s="4794">
        <f t="shared" ref="BE12:BE75" si="49">IFERROR(N12/$D$1,0)</f>
        <v>0</v>
      </c>
      <c r="BF12" s="4794">
        <f t="shared" ref="BF12:BF75" si="50">IFERROR(O12/$D$1,0)</f>
        <v>0</v>
      </c>
      <c r="BG12" s="4794">
        <f t="shared" ref="BG12:BG75" si="51">IFERROR(P12/$D$1,0)</f>
        <v>0</v>
      </c>
      <c r="BH12" s="4794">
        <f t="shared" ref="BH12:BH75" si="52">IFERROR(Q12/$D$1,0)</f>
        <v>0</v>
      </c>
      <c r="BI12" s="4794">
        <f t="shared" ref="BI12:BI75" si="53">IFERROR(R12/$D$1,0)</f>
        <v>0</v>
      </c>
      <c r="BJ12" s="4794">
        <f t="shared" ref="BJ12:BJ75" si="54">IFERROR(S12/$D$1,0)</f>
        <v>0</v>
      </c>
      <c r="BK12" s="4794">
        <f t="shared" ref="BK12:BK75" si="55">IFERROR(T12/$D$1,0)</f>
        <v>0</v>
      </c>
      <c r="BL12" s="4794">
        <f t="shared" ref="BL12:BL75" si="56">IFERROR(U12/$D$1,0)</f>
        <v>0</v>
      </c>
      <c r="BM12" s="4794">
        <f t="shared" ref="BM12:BM75" si="57">IFERROR(V12/$D$1,0)</f>
        <v>0</v>
      </c>
      <c r="BN12" s="4794">
        <f t="shared" ref="BN12:BN75" si="58">IFERROR(W12/$D$1,0)</f>
        <v>0</v>
      </c>
      <c r="BO12" s="4794">
        <f t="shared" ref="BO12:BO75" si="59">IFERROR(X12/$D$1,0)</f>
        <v>0</v>
      </c>
      <c r="BP12" s="4794">
        <f t="shared" ref="BP12:BP75" si="60">IFERROR(Y12/$D$1,0)</f>
        <v>0</v>
      </c>
      <c r="BQ12" s="4794">
        <f t="shared" ref="BQ12:BQ75" si="61">IFERROR(Z12/$D$1,0)</f>
        <v>0</v>
      </c>
      <c r="BR12" s="4794">
        <f t="shared" ref="BR12:BR75" si="62">IFERROR(AA12/$D$1,0)</f>
        <v>0</v>
      </c>
      <c r="BS12" s="4794">
        <f t="shared" ref="BS12:BS75" si="63">IFERROR(AB12/$D$1,0)</f>
        <v>0</v>
      </c>
      <c r="BT12" s="4794">
        <f t="shared" ref="BT12:BT75" si="64">IFERROR(AC12/$D$1,0)</f>
        <v>0</v>
      </c>
      <c r="BU12" s="4794">
        <f t="shared" ref="BU12:BU75" si="65">IFERROR(AD12/$D$1,0)</f>
        <v>0</v>
      </c>
      <c r="BV12" s="4794">
        <f t="shared" ref="BV12:BV75" si="66">IFERROR(AE12/$D$1,0)</f>
        <v>0</v>
      </c>
      <c r="BW12" s="4794">
        <f t="shared" ref="BW12:BW75" si="67">IFERROR(AF12/$D$1,0)</f>
        <v>0</v>
      </c>
      <c r="BX12" s="4794">
        <f t="shared" ref="BX12:BX75" si="68">IFERROR(AG12/$D$1,0)</f>
        <v>0</v>
      </c>
      <c r="BY12" s="4794">
        <f t="shared" ref="BY12:BY75" si="69">IFERROR(AH12/$D$1,0)</f>
        <v>0</v>
      </c>
      <c r="BZ12" s="4794">
        <f t="shared" ref="BZ12:BZ75" si="70">IFERROR(AI12/$D$1,0)</f>
        <v>0</v>
      </c>
      <c r="CA12" s="4794">
        <f t="shared" ref="CA12:CA75" si="71">IFERROR(AJ12/$D$1,0)</f>
        <v>0</v>
      </c>
      <c r="CB12" s="4794">
        <f t="shared" ref="CB12:CB75" si="72">IFERROR(AK12/$D$1,0)</f>
        <v>0</v>
      </c>
      <c r="CC12" s="4794">
        <f t="shared" ref="CC12:CC75" si="73">IFERROR(AL12/$D$1,0)</f>
        <v>0</v>
      </c>
      <c r="CD12" s="4794">
        <f t="shared" ref="CD12:CD75" si="74">IFERROR(AM12/$D$1,0)</f>
        <v>0</v>
      </c>
    </row>
    <row r="13" spans="1:94" s="691" customFormat="1">
      <c r="A13" s="3020"/>
      <c r="B13" s="3021">
        <v>20101</v>
      </c>
      <c r="C13" s="3022">
        <v>0</v>
      </c>
      <c r="D13" s="3023" t="s">
        <v>556</v>
      </c>
      <c r="E13" s="4738">
        <f>SUMIF('11.3. ДА Базова година'!$B$12:$B$39,$B13,'11.3. ДА Базова година'!F$12:F$39)+SUMIF('11.3. ДА Базова година'!$B$92:$B$110,$B13,'11.3. ДА Базова година'!F$92:F$110)</f>
        <v>0</v>
      </c>
      <c r="F13" s="418"/>
      <c r="G13" s="416"/>
      <c r="H13" s="416"/>
      <c r="I13" s="416"/>
      <c r="J13" s="416"/>
      <c r="K13" s="276"/>
      <c r="L13" s="4738">
        <f>SUMIF('11.3. ДА Базова година'!$B$12:$B$39,$B13,'11.3. ДА Базова година'!J$12:J$39)+SUMIF('11.3. ДА Базова година'!$B$92:$B$110,$B13,'11.3. ДА Базова година'!J$92:J$110)</f>
        <v>0</v>
      </c>
      <c r="M13" s="418"/>
      <c r="N13" s="416"/>
      <c r="O13" s="416"/>
      <c r="P13" s="416"/>
      <c r="Q13" s="416"/>
      <c r="R13" s="276"/>
      <c r="S13" s="4738">
        <f>SUMIF('11.3. ДА Базова година'!$B$12:$B$39,$B13,'11.3. ДА Базова година'!N$12:N$39)+SUMIF('11.3. ДА Базова година'!$B$92:$B$110,$B13,'11.3. ДА Базова година'!N$92:N$110)</f>
        <v>0</v>
      </c>
      <c r="T13" s="418"/>
      <c r="U13" s="416"/>
      <c r="V13" s="416"/>
      <c r="W13" s="416"/>
      <c r="X13" s="416"/>
      <c r="Y13" s="417"/>
      <c r="Z13" s="4738">
        <f>SUMIF('11.3. ДА Базова година'!$B$12:$B$39,$B13,'11.3. ДА Базова година'!R$12:R$39)+SUMIF('11.3. ДА Базова година'!$B$92:$B$110,$B13,'11.3. ДА Базова година'!R$92:R$110)</f>
        <v>0</v>
      </c>
      <c r="AA13" s="418"/>
      <c r="AB13" s="416"/>
      <c r="AC13" s="416"/>
      <c r="AD13" s="416"/>
      <c r="AE13" s="416"/>
      <c r="AF13" s="417"/>
      <c r="AG13" s="4738">
        <f>SUMIF('11.3. ДА Базова година'!$B$12:$B$39,$B13,'11.3. ДА Базова година'!V$12:V$39)+SUMIF('11.3. ДА Базова година'!$B$92:$B$110,$B13,'11.3. ДА Базова година'!V$92:V$110)</f>
        <v>0</v>
      </c>
      <c r="AH13" s="418"/>
      <c r="AI13" s="416"/>
      <c r="AJ13" s="416"/>
      <c r="AK13" s="416"/>
      <c r="AL13" s="416"/>
      <c r="AM13" s="276"/>
      <c r="AN13" s="4368"/>
      <c r="AO13" s="3175"/>
      <c r="AP13" s="3176"/>
      <c r="AQ13" s="3176"/>
      <c r="AR13" s="3176"/>
      <c r="AS13" s="3176"/>
      <c r="AT13" s="3177"/>
      <c r="AU13" s="4775"/>
      <c r="AV13" s="4794">
        <f t="shared" si="40"/>
        <v>0</v>
      </c>
      <c r="AW13" s="4794">
        <f t="shared" si="41"/>
        <v>0</v>
      </c>
      <c r="AX13" s="4794">
        <f t="shared" si="42"/>
        <v>0</v>
      </c>
      <c r="AY13" s="4794">
        <f t="shared" si="43"/>
        <v>0</v>
      </c>
      <c r="AZ13" s="4794">
        <f t="shared" si="44"/>
        <v>0</v>
      </c>
      <c r="BA13" s="4794">
        <f t="shared" si="45"/>
        <v>0</v>
      </c>
      <c r="BB13" s="4794">
        <f t="shared" si="46"/>
        <v>0</v>
      </c>
      <c r="BC13" s="4794">
        <f t="shared" si="47"/>
        <v>0</v>
      </c>
      <c r="BD13" s="4794">
        <f t="shared" si="48"/>
        <v>0</v>
      </c>
      <c r="BE13" s="4794">
        <f t="shared" si="49"/>
        <v>0</v>
      </c>
      <c r="BF13" s="4794">
        <f t="shared" si="50"/>
        <v>0</v>
      </c>
      <c r="BG13" s="4794">
        <f t="shared" si="51"/>
        <v>0</v>
      </c>
      <c r="BH13" s="4794">
        <f t="shared" si="52"/>
        <v>0</v>
      </c>
      <c r="BI13" s="4794">
        <f t="shared" si="53"/>
        <v>0</v>
      </c>
      <c r="BJ13" s="4794">
        <f t="shared" si="54"/>
        <v>0</v>
      </c>
      <c r="BK13" s="4794">
        <f t="shared" si="55"/>
        <v>0</v>
      </c>
      <c r="BL13" s="4794">
        <f t="shared" si="56"/>
        <v>0</v>
      </c>
      <c r="BM13" s="4794">
        <f t="shared" si="57"/>
        <v>0</v>
      </c>
      <c r="BN13" s="4794">
        <f t="shared" si="58"/>
        <v>0</v>
      </c>
      <c r="BO13" s="4794">
        <f t="shared" si="59"/>
        <v>0</v>
      </c>
      <c r="BP13" s="4794">
        <f t="shared" si="60"/>
        <v>0</v>
      </c>
      <c r="BQ13" s="4794">
        <f t="shared" si="61"/>
        <v>0</v>
      </c>
      <c r="BR13" s="4794">
        <f t="shared" si="62"/>
        <v>0</v>
      </c>
      <c r="BS13" s="4794">
        <f t="shared" si="63"/>
        <v>0</v>
      </c>
      <c r="BT13" s="4794">
        <f t="shared" si="64"/>
        <v>0</v>
      </c>
      <c r="BU13" s="4794">
        <f t="shared" si="65"/>
        <v>0</v>
      </c>
      <c r="BV13" s="4794">
        <f t="shared" si="66"/>
        <v>0</v>
      </c>
      <c r="BW13" s="4794">
        <f t="shared" si="67"/>
        <v>0</v>
      </c>
      <c r="BX13" s="4794">
        <f t="shared" si="68"/>
        <v>0</v>
      </c>
      <c r="BY13" s="4794">
        <f t="shared" si="69"/>
        <v>0</v>
      </c>
      <c r="BZ13" s="4794">
        <f t="shared" si="70"/>
        <v>0</v>
      </c>
      <c r="CA13" s="4794">
        <f t="shared" si="71"/>
        <v>0</v>
      </c>
      <c r="CB13" s="4794">
        <f t="shared" si="72"/>
        <v>0</v>
      </c>
      <c r="CC13" s="4794">
        <f t="shared" si="73"/>
        <v>0</v>
      </c>
      <c r="CD13" s="4794">
        <f t="shared" si="74"/>
        <v>0</v>
      </c>
    </row>
    <row r="14" spans="1:94" s="691" customFormat="1">
      <c r="A14" s="3020"/>
      <c r="B14" s="3021">
        <v>20102</v>
      </c>
      <c r="C14" s="3022">
        <v>0</v>
      </c>
      <c r="D14" s="3024" t="s">
        <v>558</v>
      </c>
      <c r="E14" s="4738">
        <f>SUMIF('11.3. ДА Базова година'!$B$12:$B$39,$B14,'11.3. ДА Базова година'!F$12:F$39)+SUMIF('11.3. ДА Базова година'!$B$92:$B$110,$B14,'11.3. ДА Базова година'!F$92:F$110)</f>
        <v>0</v>
      </c>
      <c r="F14" s="418"/>
      <c r="G14" s="416"/>
      <c r="H14" s="416"/>
      <c r="I14" s="416"/>
      <c r="J14" s="416"/>
      <c r="K14" s="276"/>
      <c r="L14" s="4738">
        <f>SUMIF('11.3. ДА Базова година'!$B$12:$B$39,$B14,'11.3. ДА Базова година'!J$12:J$39)+SUMIF('11.3. ДА Базова година'!$B$92:$B$110,$B14,'11.3. ДА Базова година'!J$92:J$110)</f>
        <v>0</v>
      </c>
      <c r="M14" s="418"/>
      <c r="N14" s="416"/>
      <c r="O14" s="416"/>
      <c r="P14" s="416"/>
      <c r="Q14" s="416"/>
      <c r="R14" s="276"/>
      <c r="S14" s="4738">
        <f>SUMIF('11.3. ДА Базова година'!$B$12:$B$39,$B14,'11.3. ДА Базова година'!N$12:N$39)+SUMIF('11.3. ДА Базова година'!$B$92:$B$110,$B14,'11.3. ДА Базова година'!N$92:N$110)</f>
        <v>0</v>
      </c>
      <c r="T14" s="418"/>
      <c r="U14" s="416"/>
      <c r="V14" s="416"/>
      <c r="W14" s="416"/>
      <c r="X14" s="416"/>
      <c r="Y14" s="417"/>
      <c r="Z14" s="4738">
        <f>SUMIF('11.3. ДА Базова година'!$B$12:$B$39,$B14,'11.3. ДА Базова година'!R$12:R$39)+SUMIF('11.3. ДА Базова година'!$B$92:$B$110,$B14,'11.3. ДА Базова година'!R$92:R$110)</f>
        <v>0</v>
      </c>
      <c r="AA14" s="418"/>
      <c r="AB14" s="416"/>
      <c r="AC14" s="416"/>
      <c r="AD14" s="416"/>
      <c r="AE14" s="416"/>
      <c r="AF14" s="417"/>
      <c r="AG14" s="4738">
        <f>SUMIF('11.3. ДА Базова година'!$B$12:$B$39,$B14,'11.3. ДА Базова година'!V$12:V$39)+SUMIF('11.3. ДА Базова година'!$B$92:$B$110,$B14,'11.3. ДА Базова година'!V$92:V$110)</f>
        <v>0</v>
      </c>
      <c r="AH14" s="418"/>
      <c r="AI14" s="416"/>
      <c r="AJ14" s="416"/>
      <c r="AK14" s="416"/>
      <c r="AL14" s="416"/>
      <c r="AM14" s="276"/>
      <c r="AN14" s="4368"/>
      <c r="AO14" s="3175"/>
      <c r="AP14" s="3176"/>
      <c r="AQ14" s="3176"/>
      <c r="AR14" s="3176"/>
      <c r="AS14" s="3176"/>
      <c r="AT14" s="3177"/>
      <c r="AU14" s="4775"/>
      <c r="AV14" s="4794">
        <f t="shared" si="40"/>
        <v>0</v>
      </c>
      <c r="AW14" s="4794">
        <f t="shared" si="41"/>
        <v>0</v>
      </c>
      <c r="AX14" s="4794">
        <f t="shared" si="42"/>
        <v>0</v>
      </c>
      <c r="AY14" s="4794">
        <f t="shared" si="43"/>
        <v>0</v>
      </c>
      <c r="AZ14" s="4794">
        <f t="shared" si="44"/>
        <v>0</v>
      </c>
      <c r="BA14" s="4794">
        <f t="shared" si="45"/>
        <v>0</v>
      </c>
      <c r="BB14" s="4794">
        <f t="shared" si="46"/>
        <v>0</v>
      </c>
      <c r="BC14" s="4794">
        <f t="shared" si="47"/>
        <v>0</v>
      </c>
      <c r="BD14" s="4794">
        <f t="shared" si="48"/>
        <v>0</v>
      </c>
      <c r="BE14" s="4794">
        <f t="shared" si="49"/>
        <v>0</v>
      </c>
      <c r="BF14" s="4794">
        <f t="shared" si="50"/>
        <v>0</v>
      </c>
      <c r="BG14" s="4794">
        <f t="shared" si="51"/>
        <v>0</v>
      </c>
      <c r="BH14" s="4794">
        <f t="shared" si="52"/>
        <v>0</v>
      </c>
      <c r="BI14" s="4794">
        <f t="shared" si="53"/>
        <v>0</v>
      </c>
      <c r="BJ14" s="4794">
        <f t="shared" si="54"/>
        <v>0</v>
      </c>
      <c r="BK14" s="4794">
        <f t="shared" si="55"/>
        <v>0</v>
      </c>
      <c r="BL14" s="4794">
        <f t="shared" si="56"/>
        <v>0</v>
      </c>
      <c r="BM14" s="4794">
        <f t="shared" si="57"/>
        <v>0</v>
      </c>
      <c r="BN14" s="4794">
        <f t="shared" si="58"/>
        <v>0</v>
      </c>
      <c r="BO14" s="4794">
        <f t="shared" si="59"/>
        <v>0</v>
      </c>
      <c r="BP14" s="4794">
        <f t="shared" si="60"/>
        <v>0</v>
      </c>
      <c r="BQ14" s="4794">
        <f t="shared" si="61"/>
        <v>0</v>
      </c>
      <c r="BR14" s="4794">
        <f t="shared" si="62"/>
        <v>0</v>
      </c>
      <c r="BS14" s="4794">
        <f t="shared" si="63"/>
        <v>0</v>
      </c>
      <c r="BT14" s="4794">
        <f t="shared" si="64"/>
        <v>0</v>
      </c>
      <c r="BU14" s="4794">
        <f t="shared" si="65"/>
        <v>0</v>
      </c>
      <c r="BV14" s="4794">
        <f t="shared" si="66"/>
        <v>0</v>
      </c>
      <c r="BW14" s="4794">
        <f t="shared" si="67"/>
        <v>0</v>
      </c>
      <c r="BX14" s="4794">
        <f t="shared" si="68"/>
        <v>0</v>
      </c>
      <c r="BY14" s="4794">
        <f t="shared" si="69"/>
        <v>0</v>
      </c>
      <c r="BZ14" s="4794">
        <f t="shared" si="70"/>
        <v>0</v>
      </c>
      <c r="CA14" s="4794">
        <f t="shared" si="71"/>
        <v>0</v>
      </c>
      <c r="CB14" s="4794">
        <f t="shared" si="72"/>
        <v>0</v>
      </c>
      <c r="CC14" s="4794">
        <f t="shared" si="73"/>
        <v>0</v>
      </c>
      <c r="CD14" s="4794">
        <f t="shared" si="74"/>
        <v>0</v>
      </c>
    </row>
    <row r="15" spans="1:94" s="44" customFormat="1">
      <c r="A15" s="3025">
        <v>2</v>
      </c>
      <c r="B15" s="3026">
        <v>202</v>
      </c>
      <c r="C15" s="3027">
        <v>0.03</v>
      </c>
      <c r="D15" s="3028" t="s">
        <v>404</v>
      </c>
      <c r="E15" s="3029">
        <f>SUM(E16:E17)</f>
        <v>0</v>
      </c>
      <c r="F15" s="3030">
        <f>SUM(F16:F17)</f>
        <v>0</v>
      </c>
      <c r="G15" s="3031">
        <f t="shared" ref="G15:AN15" si="75">SUM(G16:G17)</f>
        <v>0</v>
      </c>
      <c r="H15" s="3031">
        <f t="shared" si="75"/>
        <v>0</v>
      </c>
      <c r="I15" s="3031">
        <f t="shared" si="75"/>
        <v>0</v>
      </c>
      <c r="J15" s="3031">
        <f t="shared" si="75"/>
        <v>0</v>
      </c>
      <c r="K15" s="3032">
        <f t="shared" si="75"/>
        <v>0</v>
      </c>
      <c r="L15" s="3029">
        <f t="shared" si="75"/>
        <v>0</v>
      </c>
      <c r="M15" s="3030">
        <f t="shared" si="75"/>
        <v>0</v>
      </c>
      <c r="N15" s="3031">
        <f t="shared" si="75"/>
        <v>0</v>
      </c>
      <c r="O15" s="3031">
        <f t="shared" si="75"/>
        <v>0</v>
      </c>
      <c r="P15" s="3031">
        <f t="shared" si="75"/>
        <v>0</v>
      </c>
      <c r="Q15" s="3031">
        <f t="shared" si="75"/>
        <v>0</v>
      </c>
      <c r="R15" s="3032">
        <f t="shared" si="75"/>
        <v>0</v>
      </c>
      <c r="S15" s="3029">
        <f t="shared" si="75"/>
        <v>0</v>
      </c>
      <c r="T15" s="3030">
        <f t="shared" si="75"/>
        <v>0</v>
      </c>
      <c r="U15" s="3031">
        <f t="shared" si="75"/>
        <v>0</v>
      </c>
      <c r="V15" s="3031">
        <f t="shared" si="75"/>
        <v>0</v>
      </c>
      <c r="W15" s="3031">
        <f t="shared" si="75"/>
        <v>0</v>
      </c>
      <c r="X15" s="3031">
        <f t="shared" si="75"/>
        <v>0</v>
      </c>
      <c r="Y15" s="3033">
        <f t="shared" si="75"/>
        <v>0</v>
      </c>
      <c r="Z15" s="3029">
        <f t="shared" si="75"/>
        <v>0</v>
      </c>
      <c r="AA15" s="3030">
        <f t="shared" si="75"/>
        <v>0</v>
      </c>
      <c r="AB15" s="3031">
        <f t="shared" si="75"/>
        <v>0</v>
      </c>
      <c r="AC15" s="3031">
        <f t="shared" si="75"/>
        <v>0</v>
      </c>
      <c r="AD15" s="3031">
        <f t="shared" si="75"/>
        <v>0</v>
      </c>
      <c r="AE15" s="3031">
        <f t="shared" si="75"/>
        <v>0</v>
      </c>
      <c r="AF15" s="3033">
        <f t="shared" si="75"/>
        <v>0</v>
      </c>
      <c r="AG15" s="3029">
        <f>SUM(AG16:AG17)</f>
        <v>0</v>
      </c>
      <c r="AH15" s="3030">
        <f>SUM(AH16:AH17)</f>
        <v>0</v>
      </c>
      <c r="AI15" s="3031">
        <f t="shared" ref="AI15:AM15" si="76">SUM(AI16:AI17)</f>
        <v>0</v>
      </c>
      <c r="AJ15" s="3031">
        <f t="shared" si="76"/>
        <v>0</v>
      </c>
      <c r="AK15" s="3031">
        <f t="shared" si="76"/>
        <v>0</v>
      </c>
      <c r="AL15" s="3031">
        <f t="shared" si="76"/>
        <v>0</v>
      </c>
      <c r="AM15" s="3032">
        <f t="shared" si="76"/>
        <v>0</v>
      </c>
      <c r="AN15" s="4369">
        <f t="shared" si="75"/>
        <v>0</v>
      </c>
      <c r="AO15" s="3175"/>
      <c r="AP15" s="3176"/>
      <c r="AQ15" s="3176"/>
      <c r="AR15" s="3176"/>
      <c r="AS15" s="3176"/>
      <c r="AT15" s="3177"/>
      <c r="AU15" s="4775"/>
      <c r="AV15" s="4794">
        <f t="shared" si="40"/>
        <v>0</v>
      </c>
      <c r="AW15" s="4794">
        <f t="shared" si="41"/>
        <v>0</v>
      </c>
      <c r="AX15" s="4794">
        <f t="shared" si="42"/>
        <v>0</v>
      </c>
      <c r="AY15" s="4794">
        <f t="shared" si="43"/>
        <v>0</v>
      </c>
      <c r="AZ15" s="4794">
        <f t="shared" si="44"/>
        <v>0</v>
      </c>
      <c r="BA15" s="4794">
        <f t="shared" si="45"/>
        <v>0</v>
      </c>
      <c r="BB15" s="4794">
        <f t="shared" si="46"/>
        <v>0</v>
      </c>
      <c r="BC15" s="4794">
        <f t="shared" si="47"/>
        <v>0</v>
      </c>
      <c r="BD15" s="4794">
        <f t="shared" si="48"/>
        <v>0</v>
      </c>
      <c r="BE15" s="4794">
        <f t="shared" si="49"/>
        <v>0</v>
      </c>
      <c r="BF15" s="4794">
        <f t="shared" si="50"/>
        <v>0</v>
      </c>
      <c r="BG15" s="4794">
        <f t="shared" si="51"/>
        <v>0</v>
      </c>
      <c r="BH15" s="4794">
        <f t="shared" si="52"/>
        <v>0</v>
      </c>
      <c r="BI15" s="4794">
        <f t="shared" si="53"/>
        <v>0</v>
      </c>
      <c r="BJ15" s="4794">
        <f t="shared" si="54"/>
        <v>0</v>
      </c>
      <c r="BK15" s="4794">
        <f t="shared" si="55"/>
        <v>0</v>
      </c>
      <c r="BL15" s="4794">
        <f t="shared" si="56"/>
        <v>0</v>
      </c>
      <c r="BM15" s="4794">
        <f t="shared" si="57"/>
        <v>0</v>
      </c>
      <c r="BN15" s="4794">
        <f t="shared" si="58"/>
        <v>0</v>
      </c>
      <c r="BO15" s="4794">
        <f t="shared" si="59"/>
        <v>0</v>
      </c>
      <c r="BP15" s="4794">
        <f t="shared" si="60"/>
        <v>0</v>
      </c>
      <c r="BQ15" s="4794">
        <f t="shared" si="61"/>
        <v>0</v>
      </c>
      <c r="BR15" s="4794">
        <f t="shared" si="62"/>
        <v>0</v>
      </c>
      <c r="BS15" s="4794">
        <f t="shared" si="63"/>
        <v>0</v>
      </c>
      <c r="BT15" s="4794">
        <f t="shared" si="64"/>
        <v>0</v>
      </c>
      <c r="BU15" s="4794">
        <f t="shared" si="65"/>
        <v>0</v>
      </c>
      <c r="BV15" s="4794">
        <f t="shared" si="66"/>
        <v>0</v>
      </c>
      <c r="BW15" s="4794">
        <f t="shared" si="67"/>
        <v>0</v>
      </c>
      <c r="BX15" s="4794">
        <f t="shared" si="68"/>
        <v>0</v>
      </c>
      <c r="BY15" s="4794">
        <f t="shared" si="69"/>
        <v>0</v>
      </c>
      <c r="BZ15" s="4794">
        <f t="shared" si="70"/>
        <v>0</v>
      </c>
      <c r="CA15" s="4794">
        <f t="shared" si="71"/>
        <v>0</v>
      </c>
      <c r="CB15" s="4794">
        <f t="shared" si="72"/>
        <v>0</v>
      </c>
      <c r="CC15" s="4794">
        <f t="shared" si="73"/>
        <v>0</v>
      </c>
      <c r="CD15" s="4794">
        <f t="shared" si="74"/>
        <v>0</v>
      </c>
    </row>
    <row r="16" spans="1:94" s="675" customFormat="1">
      <c r="A16" s="3034"/>
      <c r="B16" s="2742">
        <v>20201</v>
      </c>
      <c r="C16" s="3035">
        <v>0.03</v>
      </c>
      <c r="D16" s="3036" t="s">
        <v>425</v>
      </c>
      <c r="E16" s="4738">
        <f>SUMIF('11.3. ДА Базова година'!$B$12:$B$39,$B16,'11.3. ДА Базова година'!F$12:F$39)+SUMIF('11.3. ДА Базова година'!$B$92:$B$110,$B16,'11.3. ДА Базова година'!F$92:F$110)</f>
        <v>0</v>
      </c>
      <c r="F16" s="418"/>
      <c r="G16" s="416"/>
      <c r="H16" s="416"/>
      <c r="I16" s="416"/>
      <c r="J16" s="416"/>
      <c r="K16" s="276"/>
      <c r="L16" s="4738">
        <f>SUMIF('11.3. ДА Базова година'!$B$12:$B$39,$B16,'11.3. ДА Базова година'!J$12:J$39)+SUMIF('11.3. ДА Базова година'!$B$92:$B$110,$B16,'11.3. ДА Базова година'!J$92:J$110)</f>
        <v>0</v>
      </c>
      <c r="M16" s="418"/>
      <c r="N16" s="416"/>
      <c r="O16" s="416"/>
      <c r="P16" s="416"/>
      <c r="Q16" s="416"/>
      <c r="R16" s="276"/>
      <c r="S16" s="4738">
        <f>SUMIF('11.3. ДА Базова година'!$B$12:$B$39,$B16,'11.3. ДА Базова година'!N$12:N$39)+SUMIF('11.3. ДА Базова година'!$B$92:$B$110,$B16,'11.3. ДА Базова година'!N$92:N$110)</f>
        <v>0</v>
      </c>
      <c r="T16" s="418"/>
      <c r="U16" s="416"/>
      <c r="V16" s="416"/>
      <c r="W16" s="416"/>
      <c r="X16" s="416"/>
      <c r="Y16" s="417"/>
      <c r="Z16" s="4738">
        <f>SUMIF('11.3. ДА Базова година'!$B$12:$B$39,$B16,'11.3. ДА Базова година'!R$12:R$39)+SUMIF('11.3. ДА Базова година'!$B$92:$B$110,$B16,'11.3. ДА Базова година'!R$92:R$110)</f>
        <v>0</v>
      </c>
      <c r="AA16" s="418"/>
      <c r="AB16" s="416"/>
      <c r="AC16" s="416"/>
      <c r="AD16" s="416"/>
      <c r="AE16" s="416"/>
      <c r="AF16" s="417"/>
      <c r="AG16" s="4738">
        <f>SUMIF('11.3. ДА Базова година'!$B$12:$B$39,$B16,'11.3. ДА Базова година'!V$12:V$39)+SUMIF('11.3. ДА Базова година'!$B$92:$B$110,$B16,'11.3. ДА Базова година'!V$92:V$110)</f>
        <v>0</v>
      </c>
      <c r="AH16" s="418"/>
      <c r="AI16" s="416"/>
      <c r="AJ16" s="416"/>
      <c r="AK16" s="416"/>
      <c r="AL16" s="416"/>
      <c r="AM16" s="276"/>
      <c r="AN16" s="4368"/>
      <c r="AO16" s="3175"/>
      <c r="AP16" s="3176"/>
      <c r="AQ16" s="3176"/>
      <c r="AR16" s="3176"/>
      <c r="AS16" s="3176"/>
      <c r="AT16" s="3177"/>
      <c r="AU16" s="4775"/>
      <c r="AV16" s="4794">
        <f t="shared" si="40"/>
        <v>0</v>
      </c>
      <c r="AW16" s="4794">
        <f t="shared" si="41"/>
        <v>0</v>
      </c>
      <c r="AX16" s="4794">
        <f t="shared" si="42"/>
        <v>0</v>
      </c>
      <c r="AY16" s="4794">
        <f t="shared" si="43"/>
        <v>0</v>
      </c>
      <c r="AZ16" s="4794">
        <f t="shared" si="44"/>
        <v>0</v>
      </c>
      <c r="BA16" s="4794">
        <f t="shared" si="45"/>
        <v>0</v>
      </c>
      <c r="BB16" s="4794">
        <f t="shared" si="46"/>
        <v>0</v>
      </c>
      <c r="BC16" s="4794">
        <f t="shared" si="47"/>
        <v>0</v>
      </c>
      <c r="BD16" s="4794">
        <f t="shared" si="48"/>
        <v>0</v>
      </c>
      <c r="BE16" s="4794">
        <f t="shared" si="49"/>
        <v>0</v>
      </c>
      <c r="BF16" s="4794">
        <f t="shared" si="50"/>
        <v>0</v>
      </c>
      <c r="BG16" s="4794">
        <f t="shared" si="51"/>
        <v>0</v>
      </c>
      <c r="BH16" s="4794">
        <f t="shared" si="52"/>
        <v>0</v>
      </c>
      <c r="BI16" s="4794">
        <f t="shared" si="53"/>
        <v>0</v>
      </c>
      <c r="BJ16" s="4794">
        <f t="shared" si="54"/>
        <v>0</v>
      </c>
      <c r="BK16" s="4794">
        <f t="shared" si="55"/>
        <v>0</v>
      </c>
      <c r="BL16" s="4794">
        <f t="shared" si="56"/>
        <v>0</v>
      </c>
      <c r="BM16" s="4794">
        <f t="shared" si="57"/>
        <v>0</v>
      </c>
      <c r="BN16" s="4794">
        <f t="shared" si="58"/>
        <v>0</v>
      </c>
      <c r="BO16" s="4794">
        <f t="shared" si="59"/>
        <v>0</v>
      </c>
      <c r="BP16" s="4794">
        <f t="shared" si="60"/>
        <v>0</v>
      </c>
      <c r="BQ16" s="4794">
        <f t="shared" si="61"/>
        <v>0</v>
      </c>
      <c r="BR16" s="4794">
        <f t="shared" si="62"/>
        <v>0</v>
      </c>
      <c r="BS16" s="4794">
        <f t="shared" si="63"/>
        <v>0</v>
      </c>
      <c r="BT16" s="4794">
        <f t="shared" si="64"/>
        <v>0</v>
      </c>
      <c r="BU16" s="4794">
        <f t="shared" si="65"/>
        <v>0</v>
      </c>
      <c r="BV16" s="4794">
        <f t="shared" si="66"/>
        <v>0</v>
      </c>
      <c r="BW16" s="4794">
        <f t="shared" si="67"/>
        <v>0</v>
      </c>
      <c r="BX16" s="4794">
        <f t="shared" si="68"/>
        <v>0</v>
      </c>
      <c r="BY16" s="4794">
        <f t="shared" si="69"/>
        <v>0</v>
      </c>
      <c r="BZ16" s="4794">
        <f t="shared" si="70"/>
        <v>0</v>
      </c>
      <c r="CA16" s="4794">
        <f t="shared" si="71"/>
        <v>0</v>
      </c>
      <c r="CB16" s="4794">
        <f t="shared" si="72"/>
        <v>0</v>
      </c>
      <c r="CC16" s="4794">
        <f t="shared" si="73"/>
        <v>0</v>
      </c>
      <c r="CD16" s="4794">
        <f t="shared" si="74"/>
        <v>0</v>
      </c>
    </row>
    <row r="17" spans="1:82" s="675" customFormat="1">
      <c r="A17" s="3034"/>
      <c r="B17" s="2742">
        <v>20202</v>
      </c>
      <c r="C17" s="3035">
        <v>0.03</v>
      </c>
      <c r="D17" s="3036" t="s">
        <v>426</v>
      </c>
      <c r="E17" s="4738">
        <f>SUMIF('11.3. ДА Базова година'!$B$12:$B$39,$B17,'11.3. ДА Базова година'!F$12:F$39)+SUMIF('11.3. ДА Базова година'!$B$92:$B$110,$B17,'11.3. ДА Базова година'!F$92:F$110)</f>
        <v>0</v>
      </c>
      <c r="F17" s="418"/>
      <c r="G17" s="416"/>
      <c r="H17" s="416"/>
      <c r="I17" s="416"/>
      <c r="J17" s="416"/>
      <c r="K17" s="276"/>
      <c r="L17" s="4738">
        <f>SUMIF('11.3. ДА Базова година'!$B$12:$B$39,$B17,'11.3. ДА Базова година'!J$12:J$39)+SUMIF('11.3. ДА Базова година'!$B$92:$B$110,$B17,'11.3. ДА Базова година'!J$92:J$110)</f>
        <v>0</v>
      </c>
      <c r="M17" s="418"/>
      <c r="N17" s="416"/>
      <c r="O17" s="416"/>
      <c r="P17" s="416"/>
      <c r="Q17" s="416"/>
      <c r="R17" s="276"/>
      <c r="S17" s="4738">
        <f>SUMIF('11.3. ДА Базова година'!$B$12:$B$39,$B17,'11.3. ДА Базова година'!N$12:N$39)+SUMIF('11.3. ДА Базова година'!$B$92:$B$110,$B17,'11.3. ДА Базова година'!N$92:N$110)</f>
        <v>0</v>
      </c>
      <c r="T17" s="418"/>
      <c r="U17" s="416"/>
      <c r="V17" s="416"/>
      <c r="W17" s="416"/>
      <c r="X17" s="416"/>
      <c r="Y17" s="417"/>
      <c r="Z17" s="4738">
        <f>SUMIF('11.3. ДА Базова година'!$B$12:$B$39,$B17,'11.3. ДА Базова година'!R$12:R$39)+SUMIF('11.3. ДА Базова година'!$B$92:$B$110,$B17,'11.3. ДА Базова година'!R$92:R$110)</f>
        <v>0</v>
      </c>
      <c r="AA17" s="418"/>
      <c r="AB17" s="416"/>
      <c r="AC17" s="416"/>
      <c r="AD17" s="416"/>
      <c r="AE17" s="416"/>
      <c r="AF17" s="417"/>
      <c r="AG17" s="4738">
        <f>SUMIF('11.3. ДА Базова година'!$B$12:$B$39,$B17,'11.3. ДА Базова година'!V$12:V$39)+SUMIF('11.3. ДА Базова година'!$B$92:$B$110,$B17,'11.3. ДА Базова година'!V$92:V$110)</f>
        <v>0</v>
      </c>
      <c r="AH17" s="418"/>
      <c r="AI17" s="416"/>
      <c r="AJ17" s="416"/>
      <c r="AK17" s="416"/>
      <c r="AL17" s="416"/>
      <c r="AM17" s="276"/>
      <c r="AN17" s="4368"/>
      <c r="AO17" s="3175"/>
      <c r="AP17" s="3176"/>
      <c r="AQ17" s="3176"/>
      <c r="AR17" s="3176"/>
      <c r="AS17" s="3176"/>
      <c r="AT17" s="3177"/>
      <c r="AU17" s="4775"/>
      <c r="AV17" s="4794">
        <f t="shared" si="40"/>
        <v>0</v>
      </c>
      <c r="AW17" s="4794">
        <f t="shared" si="41"/>
        <v>0</v>
      </c>
      <c r="AX17" s="4794">
        <f t="shared" si="42"/>
        <v>0</v>
      </c>
      <c r="AY17" s="4794">
        <f t="shared" si="43"/>
        <v>0</v>
      </c>
      <c r="AZ17" s="4794">
        <f t="shared" si="44"/>
        <v>0</v>
      </c>
      <c r="BA17" s="4794">
        <f t="shared" si="45"/>
        <v>0</v>
      </c>
      <c r="BB17" s="4794">
        <f t="shared" si="46"/>
        <v>0</v>
      </c>
      <c r="BC17" s="4794">
        <f t="shared" si="47"/>
        <v>0</v>
      </c>
      <c r="BD17" s="4794">
        <f t="shared" si="48"/>
        <v>0</v>
      </c>
      <c r="BE17" s="4794">
        <f t="shared" si="49"/>
        <v>0</v>
      </c>
      <c r="BF17" s="4794">
        <f t="shared" si="50"/>
        <v>0</v>
      </c>
      <c r="BG17" s="4794">
        <f t="shared" si="51"/>
        <v>0</v>
      </c>
      <c r="BH17" s="4794">
        <f t="shared" si="52"/>
        <v>0</v>
      </c>
      <c r="BI17" s="4794">
        <f t="shared" si="53"/>
        <v>0</v>
      </c>
      <c r="BJ17" s="4794">
        <f t="shared" si="54"/>
        <v>0</v>
      </c>
      <c r="BK17" s="4794">
        <f t="shared" si="55"/>
        <v>0</v>
      </c>
      <c r="BL17" s="4794">
        <f t="shared" si="56"/>
        <v>0</v>
      </c>
      <c r="BM17" s="4794">
        <f t="shared" si="57"/>
        <v>0</v>
      </c>
      <c r="BN17" s="4794">
        <f t="shared" si="58"/>
        <v>0</v>
      </c>
      <c r="BO17" s="4794">
        <f t="shared" si="59"/>
        <v>0</v>
      </c>
      <c r="BP17" s="4794">
        <f t="shared" si="60"/>
        <v>0</v>
      </c>
      <c r="BQ17" s="4794">
        <f t="shared" si="61"/>
        <v>0</v>
      </c>
      <c r="BR17" s="4794">
        <f t="shared" si="62"/>
        <v>0</v>
      </c>
      <c r="BS17" s="4794">
        <f t="shared" si="63"/>
        <v>0</v>
      </c>
      <c r="BT17" s="4794">
        <f t="shared" si="64"/>
        <v>0</v>
      </c>
      <c r="BU17" s="4794">
        <f t="shared" si="65"/>
        <v>0</v>
      </c>
      <c r="BV17" s="4794">
        <f t="shared" si="66"/>
        <v>0</v>
      </c>
      <c r="BW17" s="4794">
        <f t="shared" si="67"/>
        <v>0</v>
      </c>
      <c r="BX17" s="4794">
        <f t="shared" si="68"/>
        <v>0</v>
      </c>
      <c r="BY17" s="4794">
        <f t="shared" si="69"/>
        <v>0</v>
      </c>
      <c r="BZ17" s="4794">
        <f t="shared" si="70"/>
        <v>0</v>
      </c>
      <c r="CA17" s="4794">
        <f t="shared" si="71"/>
        <v>0</v>
      </c>
      <c r="CB17" s="4794">
        <f t="shared" si="72"/>
        <v>0</v>
      </c>
      <c r="CC17" s="4794">
        <f t="shared" si="73"/>
        <v>0</v>
      </c>
      <c r="CD17" s="4794">
        <f t="shared" si="74"/>
        <v>0</v>
      </c>
    </row>
    <row r="18" spans="1:82" s="44" customFormat="1" ht="12.75" customHeight="1">
      <c r="A18" s="3025">
        <v>3</v>
      </c>
      <c r="B18" s="3026">
        <v>203</v>
      </c>
      <c r="C18" s="3027"/>
      <c r="D18" s="3037" t="s">
        <v>405</v>
      </c>
      <c r="E18" s="3029">
        <f t="shared" ref="E18:AN18" si="77">SUM(E19:E29)-E22-E25</f>
        <v>1647</v>
      </c>
      <c r="F18" s="3030">
        <f t="shared" si="77"/>
        <v>0</v>
      </c>
      <c r="G18" s="3031">
        <f>SUM(G19:G29)-G22-G25</f>
        <v>0</v>
      </c>
      <c r="H18" s="3031">
        <f t="shared" si="77"/>
        <v>0</v>
      </c>
      <c r="I18" s="3031">
        <f t="shared" si="77"/>
        <v>0</v>
      </c>
      <c r="J18" s="3031">
        <f t="shared" si="77"/>
        <v>0</v>
      </c>
      <c r="K18" s="3032">
        <f t="shared" si="77"/>
        <v>0</v>
      </c>
      <c r="L18" s="3029">
        <f t="shared" si="77"/>
        <v>378</v>
      </c>
      <c r="M18" s="3030">
        <f t="shared" si="77"/>
        <v>0</v>
      </c>
      <c r="N18" s="3031">
        <f t="shared" si="77"/>
        <v>0</v>
      </c>
      <c r="O18" s="3031">
        <f t="shared" si="77"/>
        <v>0</v>
      </c>
      <c r="P18" s="3031">
        <f t="shared" si="77"/>
        <v>0</v>
      </c>
      <c r="Q18" s="3031">
        <f t="shared" si="77"/>
        <v>0</v>
      </c>
      <c r="R18" s="3032">
        <f t="shared" si="77"/>
        <v>0</v>
      </c>
      <c r="S18" s="3029">
        <f t="shared" si="77"/>
        <v>14</v>
      </c>
      <c r="T18" s="3030">
        <f t="shared" si="77"/>
        <v>0</v>
      </c>
      <c r="U18" s="3031">
        <f t="shared" si="77"/>
        <v>0</v>
      </c>
      <c r="V18" s="3031">
        <f t="shared" si="77"/>
        <v>0</v>
      </c>
      <c r="W18" s="3031">
        <f t="shared" si="77"/>
        <v>0</v>
      </c>
      <c r="X18" s="3031">
        <f t="shared" si="77"/>
        <v>0</v>
      </c>
      <c r="Y18" s="3033">
        <f t="shared" si="77"/>
        <v>0</v>
      </c>
      <c r="Z18" s="3029">
        <f t="shared" ref="Z18:AM18" si="78">SUM(Z19:Z29)-Z22-Z25</f>
        <v>0</v>
      </c>
      <c r="AA18" s="3030">
        <f t="shared" si="78"/>
        <v>0</v>
      </c>
      <c r="AB18" s="3031">
        <f t="shared" si="78"/>
        <v>0</v>
      </c>
      <c r="AC18" s="3031">
        <f t="shared" si="78"/>
        <v>0</v>
      </c>
      <c r="AD18" s="3031">
        <f t="shared" si="78"/>
        <v>0</v>
      </c>
      <c r="AE18" s="3031">
        <f t="shared" si="78"/>
        <v>0</v>
      </c>
      <c r="AF18" s="3033">
        <f t="shared" si="78"/>
        <v>0</v>
      </c>
      <c r="AG18" s="3029">
        <f t="shared" si="78"/>
        <v>0</v>
      </c>
      <c r="AH18" s="3030">
        <f t="shared" si="78"/>
        <v>0</v>
      </c>
      <c r="AI18" s="3031">
        <f>SUM(AI19:AI29)-AI22-AI25</f>
        <v>0</v>
      </c>
      <c r="AJ18" s="3031">
        <f t="shared" si="78"/>
        <v>0</v>
      </c>
      <c r="AK18" s="3031">
        <f t="shared" si="78"/>
        <v>0</v>
      </c>
      <c r="AL18" s="3031">
        <f t="shared" si="78"/>
        <v>0</v>
      </c>
      <c r="AM18" s="3032">
        <f t="shared" si="78"/>
        <v>0</v>
      </c>
      <c r="AN18" s="4369">
        <f t="shared" si="77"/>
        <v>0</v>
      </c>
      <c r="AO18" s="3175"/>
      <c r="AP18" s="3176"/>
      <c r="AQ18" s="3176"/>
      <c r="AR18" s="3176"/>
      <c r="AS18" s="3176"/>
      <c r="AT18" s="3177"/>
      <c r="AU18" s="4775"/>
      <c r="AV18" s="4794">
        <f t="shared" si="40"/>
        <v>842.09772833017189</v>
      </c>
      <c r="AW18" s="4794">
        <f t="shared" si="41"/>
        <v>0</v>
      </c>
      <c r="AX18" s="4794">
        <f t="shared" si="42"/>
        <v>0</v>
      </c>
      <c r="AY18" s="4794">
        <f t="shared" si="43"/>
        <v>0</v>
      </c>
      <c r="AZ18" s="4794">
        <f t="shared" si="44"/>
        <v>0</v>
      </c>
      <c r="BA18" s="4794">
        <f t="shared" si="45"/>
        <v>0</v>
      </c>
      <c r="BB18" s="4794">
        <f t="shared" si="46"/>
        <v>0</v>
      </c>
      <c r="BC18" s="4794">
        <f t="shared" si="47"/>
        <v>193.2683310921706</v>
      </c>
      <c r="BD18" s="4794">
        <f t="shared" si="48"/>
        <v>0</v>
      </c>
      <c r="BE18" s="4794">
        <f t="shared" si="49"/>
        <v>0</v>
      </c>
      <c r="BF18" s="4794">
        <f t="shared" si="50"/>
        <v>0</v>
      </c>
      <c r="BG18" s="4794">
        <f t="shared" si="51"/>
        <v>0</v>
      </c>
      <c r="BH18" s="4794">
        <f t="shared" si="52"/>
        <v>0</v>
      </c>
      <c r="BI18" s="4794">
        <f t="shared" si="53"/>
        <v>0</v>
      </c>
      <c r="BJ18" s="4794">
        <f t="shared" si="54"/>
        <v>7.1580863367470586</v>
      </c>
      <c r="BK18" s="4794">
        <f t="shared" si="55"/>
        <v>0</v>
      </c>
      <c r="BL18" s="4794">
        <f t="shared" si="56"/>
        <v>0</v>
      </c>
      <c r="BM18" s="4794">
        <f t="shared" si="57"/>
        <v>0</v>
      </c>
      <c r="BN18" s="4794">
        <f t="shared" si="58"/>
        <v>0</v>
      </c>
      <c r="BO18" s="4794">
        <f t="shared" si="59"/>
        <v>0</v>
      </c>
      <c r="BP18" s="4794">
        <f t="shared" si="60"/>
        <v>0</v>
      </c>
      <c r="BQ18" s="4794">
        <f t="shared" si="61"/>
        <v>0</v>
      </c>
      <c r="BR18" s="4794">
        <f t="shared" si="62"/>
        <v>0</v>
      </c>
      <c r="BS18" s="4794">
        <f t="shared" si="63"/>
        <v>0</v>
      </c>
      <c r="BT18" s="4794">
        <f t="shared" si="64"/>
        <v>0</v>
      </c>
      <c r="BU18" s="4794">
        <f t="shared" si="65"/>
        <v>0</v>
      </c>
      <c r="BV18" s="4794">
        <f t="shared" si="66"/>
        <v>0</v>
      </c>
      <c r="BW18" s="4794">
        <f t="shared" si="67"/>
        <v>0</v>
      </c>
      <c r="BX18" s="4794">
        <f t="shared" si="68"/>
        <v>0</v>
      </c>
      <c r="BY18" s="4794">
        <f t="shared" si="69"/>
        <v>0</v>
      </c>
      <c r="BZ18" s="4794">
        <f t="shared" si="70"/>
        <v>0</v>
      </c>
      <c r="CA18" s="4794">
        <f t="shared" si="71"/>
        <v>0</v>
      </c>
      <c r="CB18" s="4794">
        <f t="shared" si="72"/>
        <v>0</v>
      </c>
      <c r="CC18" s="4794">
        <f t="shared" si="73"/>
        <v>0</v>
      </c>
      <c r="CD18" s="4794">
        <f t="shared" si="74"/>
        <v>0</v>
      </c>
    </row>
    <row r="19" spans="1:82" s="675" customFormat="1">
      <c r="A19" s="3034"/>
      <c r="B19" s="2742">
        <v>20301</v>
      </c>
      <c r="C19" s="3035">
        <v>0.1</v>
      </c>
      <c r="D19" s="3038" t="s">
        <v>427</v>
      </c>
      <c r="E19" s="4738">
        <f>SUMIF('11.3. ДА Базова година'!$B$12:$B$39,$B19,'11.3. ДА Базова година'!F$12:F$39)+SUMIF('11.3. ДА Базова година'!$B$92:$B$110,$B19,'11.3. ДА Базова година'!F$92:F$110)</f>
        <v>111</v>
      </c>
      <c r="F19" s="418"/>
      <c r="G19" s="416"/>
      <c r="H19" s="416"/>
      <c r="I19" s="416"/>
      <c r="J19" s="416"/>
      <c r="K19" s="276"/>
      <c r="L19" s="4738">
        <f>SUMIF('11.3. ДА Базова година'!$B$12:$B$39,$B19,'11.3. ДА Базова година'!J$12:J$39)+SUMIF('11.3. ДА Базова година'!$B$92:$B$110,$B19,'11.3. ДА Базова година'!J$92:J$110)</f>
        <v>20</v>
      </c>
      <c r="M19" s="418"/>
      <c r="N19" s="416"/>
      <c r="O19" s="416"/>
      <c r="P19" s="416"/>
      <c r="Q19" s="416"/>
      <c r="R19" s="276"/>
      <c r="S19" s="4738">
        <f>SUMIF('11.3. ДА Базова година'!$B$12:$B$39,$B19,'11.3. ДА Базова година'!N$12:N$39)+SUMIF('11.3. ДА Базова година'!$B$92:$B$110,$B19,'11.3. ДА Базова година'!N$92:N$110)</f>
        <v>9</v>
      </c>
      <c r="T19" s="418"/>
      <c r="U19" s="416"/>
      <c r="V19" s="416"/>
      <c r="W19" s="416"/>
      <c r="X19" s="416"/>
      <c r="Y19" s="417"/>
      <c r="Z19" s="4738">
        <f>SUMIF('11.3. ДА Базова година'!$B$12:$B$39,$B19,'11.3. ДА Базова година'!R$12:R$39)+SUMIF('11.3. ДА Базова година'!$B$92:$B$110,$B19,'11.3. ДА Базова година'!R$92:R$110)</f>
        <v>0</v>
      </c>
      <c r="AA19" s="418"/>
      <c r="AB19" s="416"/>
      <c r="AC19" s="416"/>
      <c r="AD19" s="416"/>
      <c r="AE19" s="416"/>
      <c r="AF19" s="417"/>
      <c r="AG19" s="4738">
        <f>SUMIF('11.3. ДА Базова година'!$B$12:$B$39,$B19,'11.3. ДА Базова година'!V$12:V$39)+SUMIF('11.3. ДА Базова година'!$B$92:$B$110,$B19,'11.3. ДА Базова година'!V$92:V$110)</f>
        <v>0</v>
      </c>
      <c r="AH19" s="418"/>
      <c r="AI19" s="416"/>
      <c r="AJ19" s="416"/>
      <c r="AK19" s="416"/>
      <c r="AL19" s="416"/>
      <c r="AM19" s="276"/>
      <c r="AN19" s="4368"/>
      <c r="AO19" s="3175"/>
      <c r="AP19" s="3176"/>
      <c r="AQ19" s="3176"/>
      <c r="AR19" s="3176"/>
      <c r="AS19" s="3176"/>
      <c r="AT19" s="3177"/>
      <c r="AU19" s="4775"/>
      <c r="AV19" s="4794">
        <f t="shared" si="40"/>
        <v>56.753398812780254</v>
      </c>
      <c r="AW19" s="4794">
        <f t="shared" si="41"/>
        <v>0</v>
      </c>
      <c r="AX19" s="4794">
        <f t="shared" si="42"/>
        <v>0</v>
      </c>
      <c r="AY19" s="4794">
        <f t="shared" si="43"/>
        <v>0</v>
      </c>
      <c r="AZ19" s="4794">
        <f t="shared" si="44"/>
        <v>0</v>
      </c>
      <c r="BA19" s="4794">
        <f t="shared" si="45"/>
        <v>0</v>
      </c>
      <c r="BB19" s="4794">
        <f t="shared" si="46"/>
        <v>0</v>
      </c>
      <c r="BC19" s="4794">
        <f t="shared" si="47"/>
        <v>10.22583762392437</v>
      </c>
      <c r="BD19" s="4794">
        <f t="shared" si="48"/>
        <v>0</v>
      </c>
      <c r="BE19" s="4794">
        <f t="shared" si="49"/>
        <v>0</v>
      </c>
      <c r="BF19" s="4794">
        <f t="shared" si="50"/>
        <v>0</v>
      </c>
      <c r="BG19" s="4794">
        <f t="shared" si="51"/>
        <v>0</v>
      </c>
      <c r="BH19" s="4794">
        <f t="shared" si="52"/>
        <v>0</v>
      </c>
      <c r="BI19" s="4794">
        <f t="shared" si="53"/>
        <v>0</v>
      </c>
      <c r="BJ19" s="4794">
        <f t="shared" si="54"/>
        <v>4.6016269307659661</v>
      </c>
      <c r="BK19" s="4794">
        <f t="shared" si="55"/>
        <v>0</v>
      </c>
      <c r="BL19" s="4794">
        <f t="shared" si="56"/>
        <v>0</v>
      </c>
      <c r="BM19" s="4794">
        <f t="shared" si="57"/>
        <v>0</v>
      </c>
      <c r="BN19" s="4794">
        <f t="shared" si="58"/>
        <v>0</v>
      </c>
      <c r="BO19" s="4794">
        <f t="shared" si="59"/>
        <v>0</v>
      </c>
      <c r="BP19" s="4794">
        <f t="shared" si="60"/>
        <v>0</v>
      </c>
      <c r="BQ19" s="4794">
        <f t="shared" si="61"/>
        <v>0</v>
      </c>
      <c r="BR19" s="4794">
        <f t="shared" si="62"/>
        <v>0</v>
      </c>
      <c r="BS19" s="4794">
        <f t="shared" si="63"/>
        <v>0</v>
      </c>
      <c r="BT19" s="4794">
        <f t="shared" si="64"/>
        <v>0</v>
      </c>
      <c r="BU19" s="4794">
        <f t="shared" si="65"/>
        <v>0</v>
      </c>
      <c r="BV19" s="4794">
        <f t="shared" si="66"/>
        <v>0</v>
      </c>
      <c r="BW19" s="4794">
        <f t="shared" si="67"/>
        <v>0</v>
      </c>
      <c r="BX19" s="4794">
        <f t="shared" si="68"/>
        <v>0</v>
      </c>
      <c r="BY19" s="4794">
        <f t="shared" si="69"/>
        <v>0</v>
      </c>
      <c r="BZ19" s="4794">
        <f t="shared" si="70"/>
        <v>0</v>
      </c>
      <c r="CA19" s="4794">
        <f t="shared" si="71"/>
        <v>0</v>
      </c>
      <c r="CB19" s="4794">
        <f t="shared" si="72"/>
        <v>0</v>
      </c>
      <c r="CC19" s="4794">
        <f t="shared" si="73"/>
        <v>0</v>
      </c>
      <c r="CD19" s="4794">
        <f t="shared" si="74"/>
        <v>0</v>
      </c>
    </row>
    <row r="20" spans="1:82" s="675" customFormat="1">
      <c r="A20" s="3034"/>
      <c r="B20" s="2742">
        <v>20302</v>
      </c>
      <c r="C20" s="3035">
        <v>0.1</v>
      </c>
      <c r="D20" s="3038" t="s">
        <v>428</v>
      </c>
      <c r="E20" s="4738">
        <f>SUMIF('11.3. ДА Базова година'!$B$12:$B$39,$B20,'11.3. ДА Базова година'!F$12:F$39)+SUMIF('11.3. ДА Базова година'!$B$92:$B$110,$B20,'11.3. ДА Базова година'!F$92:F$110)</f>
        <v>21</v>
      </c>
      <c r="F20" s="418"/>
      <c r="G20" s="416"/>
      <c r="H20" s="416"/>
      <c r="I20" s="416"/>
      <c r="J20" s="416"/>
      <c r="K20" s="276"/>
      <c r="L20" s="4738">
        <f>SUMIF('11.3. ДА Базова година'!$B$12:$B$39,$B20,'11.3. ДА Базова година'!J$12:J$39)+SUMIF('11.3. ДА Базова година'!$B$92:$B$110,$B20,'11.3. ДА Базова година'!J$92:J$110)</f>
        <v>0</v>
      </c>
      <c r="M20" s="418"/>
      <c r="N20" s="416"/>
      <c r="O20" s="416"/>
      <c r="P20" s="416"/>
      <c r="Q20" s="416"/>
      <c r="R20" s="276"/>
      <c r="S20" s="4738">
        <f>SUMIF('11.3. ДА Базова година'!$B$12:$B$39,$B20,'11.3. ДА Базова година'!N$12:N$39)+SUMIF('11.3. ДА Базова година'!$B$92:$B$110,$B20,'11.3. ДА Базова година'!N$92:N$110)</f>
        <v>0</v>
      </c>
      <c r="T20" s="418"/>
      <c r="U20" s="416"/>
      <c r="V20" s="416"/>
      <c r="W20" s="416"/>
      <c r="X20" s="416"/>
      <c r="Y20" s="417"/>
      <c r="Z20" s="4738">
        <f>SUMIF('11.3. ДА Базова година'!$B$12:$B$39,$B20,'11.3. ДА Базова година'!R$12:R$39)+SUMIF('11.3. ДА Базова година'!$B$92:$B$110,$B20,'11.3. ДА Базова година'!R$92:R$110)</f>
        <v>0</v>
      </c>
      <c r="AA20" s="418"/>
      <c r="AB20" s="416"/>
      <c r="AC20" s="416"/>
      <c r="AD20" s="416"/>
      <c r="AE20" s="416"/>
      <c r="AF20" s="417"/>
      <c r="AG20" s="4738">
        <f>SUMIF('11.3. ДА Базова година'!$B$12:$B$39,$B20,'11.3. ДА Базова година'!V$12:V$39)+SUMIF('11.3. ДА Базова година'!$B$92:$B$110,$B20,'11.3. ДА Базова година'!V$92:V$110)</f>
        <v>0</v>
      </c>
      <c r="AH20" s="418"/>
      <c r="AI20" s="416"/>
      <c r="AJ20" s="416"/>
      <c r="AK20" s="416"/>
      <c r="AL20" s="416"/>
      <c r="AM20" s="276"/>
      <c r="AN20" s="4368"/>
      <c r="AO20" s="3175"/>
      <c r="AP20" s="3176"/>
      <c r="AQ20" s="3176"/>
      <c r="AR20" s="3176"/>
      <c r="AS20" s="3176"/>
      <c r="AT20" s="3177"/>
      <c r="AU20" s="4775"/>
      <c r="AV20" s="4794">
        <f t="shared" si="40"/>
        <v>10.737129505120588</v>
      </c>
      <c r="AW20" s="4794">
        <f t="shared" si="41"/>
        <v>0</v>
      </c>
      <c r="AX20" s="4794">
        <f t="shared" si="42"/>
        <v>0</v>
      </c>
      <c r="AY20" s="4794">
        <f t="shared" si="43"/>
        <v>0</v>
      </c>
      <c r="AZ20" s="4794">
        <f t="shared" si="44"/>
        <v>0</v>
      </c>
      <c r="BA20" s="4794">
        <f t="shared" si="45"/>
        <v>0</v>
      </c>
      <c r="BB20" s="4794">
        <f t="shared" si="46"/>
        <v>0</v>
      </c>
      <c r="BC20" s="4794">
        <f t="shared" si="47"/>
        <v>0</v>
      </c>
      <c r="BD20" s="4794">
        <f t="shared" si="48"/>
        <v>0</v>
      </c>
      <c r="BE20" s="4794">
        <f t="shared" si="49"/>
        <v>0</v>
      </c>
      <c r="BF20" s="4794">
        <f t="shared" si="50"/>
        <v>0</v>
      </c>
      <c r="BG20" s="4794">
        <f t="shared" si="51"/>
        <v>0</v>
      </c>
      <c r="BH20" s="4794">
        <f t="shared" si="52"/>
        <v>0</v>
      </c>
      <c r="BI20" s="4794">
        <f t="shared" si="53"/>
        <v>0</v>
      </c>
      <c r="BJ20" s="4794">
        <f t="shared" si="54"/>
        <v>0</v>
      </c>
      <c r="BK20" s="4794">
        <f t="shared" si="55"/>
        <v>0</v>
      </c>
      <c r="BL20" s="4794">
        <f t="shared" si="56"/>
        <v>0</v>
      </c>
      <c r="BM20" s="4794">
        <f t="shared" si="57"/>
        <v>0</v>
      </c>
      <c r="BN20" s="4794">
        <f t="shared" si="58"/>
        <v>0</v>
      </c>
      <c r="BO20" s="4794">
        <f t="shared" si="59"/>
        <v>0</v>
      </c>
      <c r="BP20" s="4794">
        <f t="shared" si="60"/>
        <v>0</v>
      </c>
      <c r="BQ20" s="4794">
        <f t="shared" si="61"/>
        <v>0</v>
      </c>
      <c r="BR20" s="4794">
        <f t="shared" si="62"/>
        <v>0</v>
      </c>
      <c r="BS20" s="4794">
        <f t="shared" si="63"/>
        <v>0</v>
      </c>
      <c r="BT20" s="4794">
        <f t="shared" si="64"/>
        <v>0</v>
      </c>
      <c r="BU20" s="4794">
        <f t="shared" si="65"/>
        <v>0</v>
      </c>
      <c r="BV20" s="4794">
        <f t="shared" si="66"/>
        <v>0</v>
      </c>
      <c r="BW20" s="4794">
        <f t="shared" si="67"/>
        <v>0</v>
      </c>
      <c r="BX20" s="4794">
        <f t="shared" si="68"/>
        <v>0</v>
      </c>
      <c r="BY20" s="4794">
        <f t="shared" si="69"/>
        <v>0</v>
      </c>
      <c r="BZ20" s="4794">
        <f t="shared" si="70"/>
        <v>0</v>
      </c>
      <c r="CA20" s="4794">
        <f t="shared" si="71"/>
        <v>0</v>
      </c>
      <c r="CB20" s="4794">
        <f t="shared" si="72"/>
        <v>0</v>
      </c>
      <c r="CC20" s="4794">
        <f t="shared" si="73"/>
        <v>0</v>
      </c>
      <c r="CD20" s="4794">
        <f t="shared" si="74"/>
        <v>0</v>
      </c>
    </row>
    <row r="21" spans="1:82" s="675" customFormat="1">
      <c r="A21" s="3034"/>
      <c r="B21" s="2742">
        <v>20303</v>
      </c>
      <c r="C21" s="3035">
        <v>0.1</v>
      </c>
      <c r="D21" s="3038" t="s">
        <v>406</v>
      </c>
      <c r="E21" s="4738">
        <f>SUMIF('11.3. ДА Базова година'!$B$12:$B$39,$B21,'11.3. ДА Базова година'!F$12:F$39)+SUMIF('11.3. ДА Базова година'!$B$92:$B$110,$B21,'11.3. ДА Базова година'!F$92:F$110)</f>
        <v>972</v>
      </c>
      <c r="F21" s="418"/>
      <c r="G21" s="416"/>
      <c r="H21" s="416"/>
      <c r="I21" s="416"/>
      <c r="J21" s="416"/>
      <c r="K21" s="276"/>
      <c r="L21" s="4738">
        <f>SUMIF('11.3. ДА Базова година'!$B$12:$B$39,$B21,'11.3. ДА Базова година'!J$12:J$39)+SUMIF('11.3. ДА Базова година'!$B$92:$B$110,$B21,'11.3. ДА Базова година'!J$92:J$110)</f>
        <v>358</v>
      </c>
      <c r="M21" s="418"/>
      <c r="N21" s="416"/>
      <c r="O21" s="416"/>
      <c r="P21" s="416"/>
      <c r="Q21" s="416"/>
      <c r="R21" s="276"/>
      <c r="S21" s="4738">
        <f>SUMIF('11.3. ДА Базова година'!$B$12:$B$39,$B21,'11.3. ДА Базова година'!N$12:N$39)+SUMIF('11.3. ДА Базова година'!$B$92:$B$110,$B21,'11.3. ДА Базова година'!N$92:N$110)</f>
        <v>3</v>
      </c>
      <c r="T21" s="418"/>
      <c r="U21" s="416"/>
      <c r="V21" s="416"/>
      <c r="W21" s="416"/>
      <c r="X21" s="416"/>
      <c r="Y21" s="417"/>
      <c r="Z21" s="4738">
        <f>SUMIF('11.3. ДА Базова година'!$B$12:$B$39,$B21,'11.3. ДА Базова година'!R$12:R$39)+SUMIF('11.3. ДА Базова година'!$B$92:$B$110,$B21,'11.3. ДА Базова година'!R$92:R$110)</f>
        <v>0</v>
      </c>
      <c r="AA21" s="418"/>
      <c r="AB21" s="416"/>
      <c r="AC21" s="416"/>
      <c r="AD21" s="416"/>
      <c r="AE21" s="416"/>
      <c r="AF21" s="417"/>
      <c r="AG21" s="4738">
        <f>SUMIF('11.3. ДА Базова година'!$B$12:$B$39,$B21,'11.3. ДА Базова година'!V$12:V$39)+SUMIF('11.3. ДА Базова година'!$B$92:$B$110,$B21,'11.3. ДА Базова година'!V$92:V$110)</f>
        <v>0</v>
      </c>
      <c r="AH21" s="418"/>
      <c r="AI21" s="416"/>
      <c r="AJ21" s="416"/>
      <c r="AK21" s="416"/>
      <c r="AL21" s="416"/>
      <c r="AM21" s="276"/>
      <c r="AN21" s="4368"/>
      <c r="AO21" s="3175"/>
      <c r="AP21" s="3176"/>
      <c r="AQ21" s="3176"/>
      <c r="AR21" s="3176"/>
      <c r="AS21" s="3176"/>
      <c r="AT21" s="3177"/>
      <c r="AU21" s="4775"/>
      <c r="AV21" s="4794">
        <f t="shared" si="40"/>
        <v>496.9757085227244</v>
      </c>
      <c r="AW21" s="4794">
        <f t="shared" si="41"/>
        <v>0</v>
      </c>
      <c r="AX21" s="4794">
        <f t="shared" si="42"/>
        <v>0</v>
      </c>
      <c r="AY21" s="4794">
        <f t="shared" si="43"/>
        <v>0</v>
      </c>
      <c r="AZ21" s="4794">
        <f t="shared" si="44"/>
        <v>0</v>
      </c>
      <c r="BA21" s="4794">
        <f t="shared" si="45"/>
        <v>0</v>
      </c>
      <c r="BB21" s="4794">
        <f t="shared" si="46"/>
        <v>0</v>
      </c>
      <c r="BC21" s="4794">
        <f t="shared" si="47"/>
        <v>183.04249346824622</v>
      </c>
      <c r="BD21" s="4794">
        <f t="shared" si="48"/>
        <v>0</v>
      </c>
      <c r="BE21" s="4794">
        <f t="shared" si="49"/>
        <v>0</v>
      </c>
      <c r="BF21" s="4794">
        <f t="shared" si="50"/>
        <v>0</v>
      </c>
      <c r="BG21" s="4794">
        <f t="shared" si="51"/>
        <v>0</v>
      </c>
      <c r="BH21" s="4794">
        <f t="shared" si="52"/>
        <v>0</v>
      </c>
      <c r="BI21" s="4794">
        <f t="shared" si="53"/>
        <v>0</v>
      </c>
      <c r="BJ21" s="4794">
        <f t="shared" si="54"/>
        <v>1.5338756435886556</v>
      </c>
      <c r="BK21" s="4794">
        <f t="shared" si="55"/>
        <v>0</v>
      </c>
      <c r="BL21" s="4794">
        <f t="shared" si="56"/>
        <v>0</v>
      </c>
      <c r="BM21" s="4794">
        <f t="shared" si="57"/>
        <v>0</v>
      </c>
      <c r="BN21" s="4794">
        <f t="shared" si="58"/>
        <v>0</v>
      </c>
      <c r="BO21" s="4794">
        <f t="shared" si="59"/>
        <v>0</v>
      </c>
      <c r="BP21" s="4794">
        <f t="shared" si="60"/>
        <v>0</v>
      </c>
      <c r="BQ21" s="4794">
        <f t="shared" si="61"/>
        <v>0</v>
      </c>
      <c r="BR21" s="4794">
        <f t="shared" si="62"/>
        <v>0</v>
      </c>
      <c r="BS21" s="4794">
        <f t="shared" si="63"/>
        <v>0</v>
      </c>
      <c r="BT21" s="4794">
        <f t="shared" si="64"/>
        <v>0</v>
      </c>
      <c r="BU21" s="4794">
        <f t="shared" si="65"/>
        <v>0</v>
      </c>
      <c r="BV21" s="4794">
        <f t="shared" si="66"/>
        <v>0</v>
      </c>
      <c r="BW21" s="4794">
        <f t="shared" si="67"/>
        <v>0</v>
      </c>
      <c r="BX21" s="4794">
        <f t="shared" si="68"/>
        <v>0</v>
      </c>
      <c r="BY21" s="4794">
        <f t="shared" si="69"/>
        <v>0</v>
      </c>
      <c r="BZ21" s="4794">
        <f t="shared" si="70"/>
        <v>0</v>
      </c>
      <c r="CA21" s="4794">
        <f t="shared" si="71"/>
        <v>0</v>
      </c>
      <c r="CB21" s="4794">
        <f t="shared" si="72"/>
        <v>0</v>
      </c>
      <c r="CC21" s="4794">
        <f t="shared" si="73"/>
        <v>0</v>
      </c>
      <c r="CD21" s="4794">
        <f t="shared" si="74"/>
        <v>0</v>
      </c>
    </row>
    <row r="22" spans="1:82" s="675" customFormat="1">
      <c r="A22" s="3034"/>
      <c r="B22" s="2742">
        <v>20304</v>
      </c>
      <c r="C22" s="3035">
        <v>0.1</v>
      </c>
      <c r="D22" s="3038" t="s">
        <v>407</v>
      </c>
      <c r="E22" s="3039">
        <f t="shared" ref="E22:AN22" si="79">SUM(E23:E24)</f>
        <v>0</v>
      </c>
      <c r="F22" s="3040">
        <f t="shared" si="79"/>
        <v>0</v>
      </c>
      <c r="G22" s="3041">
        <f t="shared" si="79"/>
        <v>0</v>
      </c>
      <c r="H22" s="3041">
        <f t="shared" si="79"/>
        <v>0</v>
      </c>
      <c r="I22" s="3041">
        <f t="shared" si="79"/>
        <v>0</v>
      </c>
      <c r="J22" s="3041">
        <f t="shared" si="79"/>
        <v>0</v>
      </c>
      <c r="K22" s="3042">
        <f t="shared" si="79"/>
        <v>0</v>
      </c>
      <c r="L22" s="3039">
        <f t="shared" si="79"/>
        <v>0</v>
      </c>
      <c r="M22" s="3040">
        <f t="shared" si="79"/>
        <v>0</v>
      </c>
      <c r="N22" s="3041">
        <f t="shared" si="79"/>
        <v>0</v>
      </c>
      <c r="O22" s="3041">
        <f t="shared" si="79"/>
        <v>0</v>
      </c>
      <c r="P22" s="3041">
        <f t="shared" si="79"/>
        <v>0</v>
      </c>
      <c r="Q22" s="3041">
        <f t="shared" si="79"/>
        <v>0</v>
      </c>
      <c r="R22" s="3042">
        <f t="shared" si="79"/>
        <v>0</v>
      </c>
      <c r="S22" s="3039">
        <f t="shared" si="79"/>
        <v>0</v>
      </c>
      <c r="T22" s="3040">
        <f t="shared" si="79"/>
        <v>0</v>
      </c>
      <c r="U22" s="3041">
        <f t="shared" si="79"/>
        <v>0</v>
      </c>
      <c r="V22" s="3041">
        <f t="shared" si="79"/>
        <v>0</v>
      </c>
      <c r="W22" s="3041">
        <f t="shared" si="79"/>
        <v>0</v>
      </c>
      <c r="X22" s="3041">
        <f t="shared" si="79"/>
        <v>0</v>
      </c>
      <c r="Y22" s="3043">
        <f t="shared" si="79"/>
        <v>0</v>
      </c>
      <c r="Z22" s="3039">
        <f t="shared" ref="Z22:AM22" si="80">SUM(Z23:Z24)</f>
        <v>0</v>
      </c>
      <c r="AA22" s="3040">
        <f t="shared" si="80"/>
        <v>0</v>
      </c>
      <c r="AB22" s="3041">
        <f t="shared" si="80"/>
        <v>0</v>
      </c>
      <c r="AC22" s="3041">
        <f t="shared" si="80"/>
        <v>0</v>
      </c>
      <c r="AD22" s="3041">
        <f t="shared" si="80"/>
        <v>0</v>
      </c>
      <c r="AE22" s="3041">
        <f t="shared" si="80"/>
        <v>0</v>
      </c>
      <c r="AF22" s="3043">
        <f t="shared" si="80"/>
        <v>0</v>
      </c>
      <c r="AG22" s="3039">
        <f t="shared" si="80"/>
        <v>0</v>
      </c>
      <c r="AH22" s="3040">
        <f t="shared" si="80"/>
        <v>0</v>
      </c>
      <c r="AI22" s="3041">
        <f t="shared" si="80"/>
        <v>0</v>
      </c>
      <c r="AJ22" s="3041">
        <f t="shared" si="80"/>
        <v>0</v>
      </c>
      <c r="AK22" s="3041">
        <f t="shared" si="80"/>
        <v>0</v>
      </c>
      <c r="AL22" s="3041">
        <f t="shared" si="80"/>
        <v>0</v>
      </c>
      <c r="AM22" s="3042">
        <f t="shared" si="80"/>
        <v>0</v>
      </c>
      <c r="AN22" s="4370">
        <f t="shared" si="79"/>
        <v>0</v>
      </c>
      <c r="AO22" s="3175"/>
      <c r="AP22" s="3176"/>
      <c r="AQ22" s="3176"/>
      <c r="AR22" s="3176"/>
      <c r="AS22" s="3176"/>
      <c r="AT22" s="3177"/>
      <c r="AU22" s="4775"/>
      <c r="AV22" s="4794">
        <f t="shared" si="40"/>
        <v>0</v>
      </c>
      <c r="AW22" s="4794">
        <f t="shared" si="41"/>
        <v>0</v>
      </c>
      <c r="AX22" s="4794">
        <f t="shared" si="42"/>
        <v>0</v>
      </c>
      <c r="AY22" s="4794">
        <f t="shared" si="43"/>
        <v>0</v>
      </c>
      <c r="AZ22" s="4794">
        <f t="shared" si="44"/>
        <v>0</v>
      </c>
      <c r="BA22" s="4794">
        <f t="shared" si="45"/>
        <v>0</v>
      </c>
      <c r="BB22" s="4794">
        <f t="shared" si="46"/>
        <v>0</v>
      </c>
      <c r="BC22" s="4794">
        <f t="shared" si="47"/>
        <v>0</v>
      </c>
      <c r="BD22" s="4794">
        <f t="shared" si="48"/>
        <v>0</v>
      </c>
      <c r="BE22" s="4794">
        <f t="shared" si="49"/>
        <v>0</v>
      </c>
      <c r="BF22" s="4794">
        <f t="shared" si="50"/>
        <v>0</v>
      </c>
      <c r="BG22" s="4794">
        <f t="shared" si="51"/>
        <v>0</v>
      </c>
      <c r="BH22" s="4794">
        <f t="shared" si="52"/>
        <v>0</v>
      </c>
      <c r="BI22" s="4794">
        <f t="shared" si="53"/>
        <v>0</v>
      </c>
      <c r="BJ22" s="4794">
        <f t="shared" si="54"/>
        <v>0</v>
      </c>
      <c r="BK22" s="4794">
        <f t="shared" si="55"/>
        <v>0</v>
      </c>
      <c r="BL22" s="4794">
        <f t="shared" si="56"/>
        <v>0</v>
      </c>
      <c r="BM22" s="4794">
        <f t="shared" si="57"/>
        <v>0</v>
      </c>
      <c r="BN22" s="4794">
        <f t="shared" si="58"/>
        <v>0</v>
      </c>
      <c r="BO22" s="4794">
        <f t="shared" si="59"/>
        <v>0</v>
      </c>
      <c r="BP22" s="4794">
        <f t="shared" si="60"/>
        <v>0</v>
      </c>
      <c r="BQ22" s="4794">
        <f t="shared" si="61"/>
        <v>0</v>
      </c>
      <c r="BR22" s="4794">
        <f t="shared" si="62"/>
        <v>0</v>
      </c>
      <c r="BS22" s="4794">
        <f t="shared" si="63"/>
        <v>0</v>
      </c>
      <c r="BT22" s="4794">
        <f t="shared" si="64"/>
        <v>0</v>
      </c>
      <c r="BU22" s="4794">
        <f t="shared" si="65"/>
        <v>0</v>
      </c>
      <c r="BV22" s="4794">
        <f t="shared" si="66"/>
        <v>0</v>
      </c>
      <c r="BW22" s="4794">
        <f t="shared" si="67"/>
        <v>0</v>
      </c>
      <c r="BX22" s="4794">
        <f t="shared" si="68"/>
        <v>0</v>
      </c>
      <c r="BY22" s="4794">
        <f t="shared" si="69"/>
        <v>0</v>
      </c>
      <c r="BZ22" s="4794">
        <f t="shared" si="70"/>
        <v>0</v>
      </c>
      <c r="CA22" s="4794">
        <f t="shared" si="71"/>
        <v>0</v>
      </c>
      <c r="CB22" s="4794">
        <f t="shared" si="72"/>
        <v>0</v>
      </c>
      <c r="CC22" s="4794">
        <f t="shared" si="73"/>
        <v>0</v>
      </c>
      <c r="CD22" s="4794">
        <f t="shared" si="74"/>
        <v>0</v>
      </c>
    </row>
    <row r="23" spans="1:82" s="675" customFormat="1">
      <c r="A23" s="3034"/>
      <c r="B23" s="3044">
        <v>2030401</v>
      </c>
      <c r="C23" s="3045">
        <v>0.1</v>
      </c>
      <c r="D23" s="3046" t="s">
        <v>991</v>
      </c>
      <c r="E23" s="4738">
        <f>SUMIF('11.3. ДА Базова година'!$B$12:$B$39,$B23,'11.3. ДА Базова година'!F$12:F$39)+SUMIF('11.3. ДА Базова година'!$B$92:$B$110,$B23,'11.3. ДА Базова година'!F$92:F$110)</f>
        <v>0</v>
      </c>
      <c r="F23" s="418"/>
      <c r="G23" s="416"/>
      <c r="H23" s="416"/>
      <c r="I23" s="416"/>
      <c r="J23" s="416"/>
      <c r="K23" s="276"/>
      <c r="L23" s="4738">
        <f>SUMIF('11.3. ДА Базова година'!$B$12:$B$39,$B23,'11.3. ДА Базова година'!J$12:J$39)+SUMIF('11.3. ДА Базова година'!$B$92:$B$110,$B23,'11.3. ДА Базова година'!J$92:J$110)</f>
        <v>0</v>
      </c>
      <c r="M23" s="418"/>
      <c r="N23" s="416"/>
      <c r="O23" s="416"/>
      <c r="P23" s="416"/>
      <c r="Q23" s="416"/>
      <c r="R23" s="276"/>
      <c r="S23" s="4738">
        <f>SUMIF('11.3. ДА Базова година'!$B$12:$B$39,$B23,'11.3. ДА Базова година'!N$12:N$39)+SUMIF('11.3. ДА Базова година'!$B$92:$B$110,$B23,'11.3. ДА Базова година'!N$92:N$110)</f>
        <v>0</v>
      </c>
      <c r="T23" s="418"/>
      <c r="U23" s="416"/>
      <c r="V23" s="416"/>
      <c r="W23" s="416"/>
      <c r="X23" s="416"/>
      <c r="Y23" s="417"/>
      <c r="Z23" s="4738">
        <f>SUMIF('11.3. ДА Базова година'!$B$12:$B$39,$B23,'11.3. ДА Базова година'!R$12:R$39)+SUMIF('11.3. ДА Базова година'!$B$92:$B$110,$B23,'11.3. ДА Базова година'!R$92:R$110)</f>
        <v>0</v>
      </c>
      <c r="AA23" s="418"/>
      <c r="AB23" s="416"/>
      <c r="AC23" s="416"/>
      <c r="AD23" s="416"/>
      <c r="AE23" s="416"/>
      <c r="AF23" s="417"/>
      <c r="AG23" s="4738">
        <f>SUMIF('11.3. ДА Базова година'!$B$12:$B$39,$B23,'11.3. ДА Базова година'!V$12:V$39)+SUMIF('11.3. ДА Базова година'!$B$92:$B$110,$B23,'11.3. ДА Базова година'!V$92:V$110)</f>
        <v>0</v>
      </c>
      <c r="AH23" s="418"/>
      <c r="AI23" s="416"/>
      <c r="AJ23" s="416"/>
      <c r="AK23" s="416"/>
      <c r="AL23" s="416"/>
      <c r="AM23" s="276"/>
      <c r="AN23" s="4368"/>
      <c r="AO23" s="3175"/>
      <c r="AP23" s="3176"/>
      <c r="AQ23" s="3176"/>
      <c r="AR23" s="3176"/>
      <c r="AS23" s="3176"/>
      <c r="AT23" s="3177"/>
      <c r="AU23" s="4775"/>
      <c r="AV23" s="4794">
        <f t="shared" si="40"/>
        <v>0</v>
      </c>
      <c r="AW23" s="4794">
        <f t="shared" si="41"/>
        <v>0</v>
      </c>
      <c r="AX23" s="4794">
        <f t="shared" si="42"/>
        <v>0</v>
      </c>
      <c r="AY23" s="4794">
        <f t="shared" si="43"/>
        <v>0</v>
      </c>
      <c r="AZ23" s="4794">
        <f t="shared" si="44"/>
        <v>0</v>
      </c>
      <c r="BA23" s="4794">
        <f t="shared" si="45"/>
        <v>0</v>
      </c>
      <c r="BB23" s="4794">
        <f t="shared" si="46"/>
        <v>0</v>
      </c>
      <c r="BC23" s="4794">
        <f t="shared" si="47"/>
        <v>0</v>
      </c>
      <c r="BD23" s="4794">
        <f t="shared" si="48"/>
        <v>0</v>
      </c>
      <c r="BE23" s="4794">
        <f t="shared" si="49"/>
        <v>0</v>
      </c>
      <c r="BF23" s="4794">
        <f t="shared" si="50"/>
        <v>0</v>
      </c>
      <c r="BG23" s="4794">
        <f t="shared" si="51"/>
        <v>0</v>
      </c>
      <c r="BH23" s="4794">
        <f t="shared" si="52"/>
        <v>0</v>
      </c>
      <c r="BI23" s="4794">
        <f t="shared" si="53"/>
        <v>0</v>
      </c>
      <c r="BJ23" s="4794">
        <f t="shared" si="54"/>
        <v>0</v>
      </c>
      <c r="BK23" s="4794">
        <f t="shared" si="55"/>
        <v>0</v>
      </c>
      <c r="BL23" s="4794">
        <f t="shared" si="56"/>
        <v>0</v>
      </c>
      <c r="BM23" s="4794">
        <f t="shared" si="57"/>
        <v>0</v>
      </c>
      <c r="BN23" s="4794">
        <f t="shared" si="58"/>
        <v>0</v>
      </c>
      <c r="BO23" s="4794">
        <f t="shared" si="59"/>
        <v>0</v>
      </c>
      <c r="BP23" s="4794">
        <f t="shared" si="60"/>
        <v>0</v>
      </c>
      <c r="BQ23" s="4794">
        <f t="shared" si="61"/>
        <v>0</v>
      </c>
      <c r="BR23" s="4794">
        <f t="shared" si="62"/>
        <v>0</v>
      </c>
      <c r="BS23" s="4794">
        <f t="shared" si="63"/>
        <v>0</v>
      </c>
      <c r="BT23" s="4794">
        <f t="shared" si="64"/>
        <v>0</v>
      </c>
      <c r="BU23" s="4794">
        <f t="shared" si="65"/>
        <v>0</v>
      </c>
      <c r="BV23" s="4794">
        <f t="shared" si="66"/>
        <v>0</v>
      </c>
      <c r="BW23" s="4794">
        <f t="shared" si="67"/>
        <v>0</v>
      </c>
      <c r="BX23" s="4794">
        <f t="shared" si="68"/>
        <v>0</v>
      </c>
      <c r="BY23" s="4794">
        <f t="shared" si="69"/>
        <v>0</v>
      </c>
      <c r="BZ23" s="4794">
        <f t="shared" si="70"/>
        <v>0</v>
      </c>
      <c r="CA23" s="4794">
        <f t="shared" si="71"/>
        <v>0</v>
      </c>
      <c r="CB23" s="4794">
        <f t="shared" si="72"/>
        <v>0</v>
      </c>
      <c r="CC23" s="4794">
        <f t="shared" si="73"/>
        <v>0</v>
      </c>
      <c r="CD23" s="4794">
        <f t="shared" si="74"/>
        <v>0</v>
      </c>
    </row>
    <row r="24" spans="1:82" s="675" customFormat="1">
      <c r="A24" s="3034"/>
      <c r="B24" s="3044">
        <v>2030402</v>
      </c>
      <c r="C24" s="3045">
        <v>0.1</v>
      </c>
      <c r="D24" s="3046" t="s">
        <v>429</v>
      </c>
      <c r="E24" s="4738">
        <f>SUMIF('11.3. ДА Базова година'!$B$12:$B$39,$B24,'11.3. ДА Базова година'!F$12:F$39)+SUMIF('11.3. ДА Базова година'!$B$92:$B$110,$B24,'11.3. ДА Базова година'!F$92:F$110)</f>
        <v>0</v>
      </c>
      <c r="F24" s="418"/>
      <c r="G24" s="416"/>
      <c r="H24" s="416"/>
      <c r="I24" s="416"/>
      <c r="J24" s="416"/>
      <c r="K24" s="276"/>
      <c r="L24" s="4738">
        <f>SUMIF('11.3. ДА Базова година'!$B$12:$B$39,$B24,'11.3. ДА Базова година'!J$12:J$39)+SUMIF('11.3. ДА Базова година'!$B$92:$B$110,$B24,'11.3. ДА Базова година'!J$92:J$110)</f>
        <v>0</v>
      </c>
      <c r="M24" s="418"/>
      <c r="N24" s="416"/>
      <c r="O24" s="416"/>
      <c r="P24" s="416"/>
      <c r="Q24" s="416"/>
      <c r="R24" s="276"/>
      <c r="S24" s="4738">
        <f>SUMIF('11.3. ДА Базова година'!$B$12:$B$39,$B24,'11.3. ДА Базова година'!N$12:N$39)+SUMIF('11.3. ДА Базова година'!$B$92:$B$110,$B24,'11.3. ДА Базова година'!N$92:N$110)</f>
        <v>0</v>
      </c>
      <c r="T24" s="418"/>
      <c r="U24" s="416"/>
      <c r="V24" s="416"/>
      <c r="W24" s="416"/>
      <c r="X24" s="416"/>
      <c r="Y24" s="417"/>
      <c r="Z24" s="4738">
        <f>SUMIF('11.3. ДА Базова година'!$B$12:$B$39,$B24,'11.3. ДА Базова година'!R$12:R$39)+SUMIF('11.3. ДА Базова година'!$B$92:$B$110,$B24,'11.3. ДА Базова година'!R$92:R$110)</f>
        <v>0</v>
      </c>
      <c r="AA24" s="418"/>
      <c r="AB24" s="416"/>
      <c r="AC24" s="416"/>
      <c r="AD24" s="416"/>
      <c r="AE24" s="416"/>
      <c r="AF24" s="417"/>
      <c r="AG24" s="4738">
        <f>SUMIF('11.3. ДА Базова година'!$B$12:$B$39,$B24,'11.3. ДА Базова година'!V$12:V$39)+SUMIF('11.3. ДА Базова година'!$B$92:$B$110,$B24,'11.3. ДА Базова година'!V$92:V$110)</f>
        <v>0</v>
      </c>
      <c r="AH24" s="418"/>
      <c r="AI24" s="416"/>
      <c r="AJ24" s="416"/>
      <c r="AK24" s="416"/>
      <c r="AL24" s="416"/>
      <c r="AM24" s="276"/>
      <c r="AN24" s="4368"/>
      <c r="AO24" s="3175"/>
      <c r="AP24" s="3176"/>
      <c r="AQ24" s="3176"/>
      <c r="AR24" s="3176"/>
      <c r="AS24" s="3176"/>
      <c r="AT24" s="3177"/>
      <c r="AU24" s="4775"/>
      <c r="AV24" s="4794">
        <f t="shared" si="40"/>
        <v>0</v>
      </c>
      <c r="AW24" s="4794">
        <f t="shared" si="41"/>
        <v>0</v>
      </c>
      <c r="AX24" s="4794">
        <f t="shared" si="42"/>
        <v>0</v>
      </c>
      <c r="AY24" s="4794">
        <f t="shared" si="43"/>
        <v>0</v>
      </c>
      <c r="AZ24" s="4794">
        <f t="shared" si="44"/>
        <v>0</v>
      </c>
      <c r="BA24" s="4794">
        <f t="shared" si="45"/>
        <v>0</v>
      </c>
      <c r="BB24" s="4794">
        <f t="shared" si="46"/>
        <v>0</v>
      </c>
      <c r="BC24" s="4794">
        <f t="shared" si="47"/>
        <v>0</v>
      </c>
      <c r="BD24" s="4794">
        <f t="shared" si="48"/>
        <v>0</v>
      </c>
      <c r="BE24" s="4794">
        <f t="shared" si="49"/>
        <v>0</v>
      </c>
      <c r="BF24" s="4794">
        <f t="shared" si="50"/>
        <v>0</v>
      </c>
      <c r="BG24" s="4794">
        <f t="shared" si="51"/>
        <v>0</v>
      </c>
      <c r="BH24" s="4794">
        <f t="shared" si="52"/>
        <v>0</v>
      </c>
      <c r="BI24" s="4794">
        <f t="shared" si="53"/>
        <v>0</v>
      </c>
      <c r="BJ24" s="4794">
        <f t="shared" si="54"/>
        <v>0</v>
      </c>
      <c r="BK24" s="4794">
        <f t="shared" si="55"/>
        <v>0</v>
      </c>
      <c r="BL24" s="4794">
        <f t="shared" si="56"/>
        <v>0</v>
      </c>
      <c r="BM24" s="4794">
        <f t="shared" si="57"/>
        <v>0</v>
      </c>
      <c r="BN24" s="4794">
        <f t="shared" si="58"/>
        <v>0</v>
      </c>
      <c r="BO24" s="4794">
        <f t="shared" si="59"/>
        <v>0</v>
      </c>
      <c r="BP24" s="4794">
        <f t="shared" si="60"/>
        <v>0</v>
      </c>
      <c r="BQ24" s="4794">
        <f t="shared" si="61"/>
        <v>0</v>
      </c>
      <c r="BR24" s="4794">
        <f t="shared" si="62"/>
        <v>0</v>
      </c>
      <c r="BS24" s="4794">
        <f t="shared" si="63"/>
        <v>0</v>
      </c>
      <c r="BT24" s="4794">
        <f t="shared" si="64"/>
        <v>0</v>
      </c>
      <c r="BU24" s="4794">
        <f t="shared" si="65"/>
        <v>0</v>
      </c>
      <c r="BV24" s="4794">
        <f t="shared" si="66"/>
        <v>0</v>
      </c>
      <c r="BW24" s="4794">
        <f t="shared" si="67"/>
        <v>0</v>
      </c>
      <c r="BX24" s="4794">
        <f t="shared" si="68"/>
        <v>0</v>
      </c>
      <c r="BY24" s="4794">
        <f t="shared" si="69"/>
        <v>0</v>
      </c>
      <c r="BZ24" s="4794">
        <f t="shared" si="70"/>
        <v>0</v>
      </c>
      <c r="CA24" s="4794">
        <f t="shared" si="71"/>
        <v>0</v>
      </c>
      <c r="CB24" s="4794">
        <f t="shared" si="72"/>
        <v>0</v>
      </c>
      <c r="CC24" s="4794">
        <f t="shared" si="73"/>
        <v>0</v>
      </c>
      <c r="CD24" s="4794">
        <f t="shared" si="74"/>
        <v>0</v>
      </c>
    </row>
    <row r="25" spans="1:82" s="675" customFormat="1">
      <c r="A25" s="3034"/>
      <c r="B25" s="2742">
        <v>20305</v>
      </c>
      <c r="C25" s="3047">
        <v>0.1</v>
      </c>
      <c r="D25" s="3038" t="s">
        <v>430</v>
      </c>
      <c r="E25" s="3039">
        <f>SUM(E26:E28)</f>
        <v>435</v>
      </c>
      <c r="F25" s="3040">
        <f t="shared" ref="F25:AN25" si="81">SUM(F26:F28)</f>
        <v>0</v>
      </c>
      <c r="G25" s="3041">
        <f t="shared" si="81"/>
        <v>0</v>
      </c>
      <c r="H25" s="3041">
        <f t="shared" si="81"/>
        <v>0</v>
      </c>
      <c r="I25" s="3041">
        <f t="shared" si="81"/>
        <v>0</v>
      </c>
      <c r="J25" s="3041">
        <f t="shared" si="81"/>
        <v>0</v>
      </c>
      <c r="K25" s="3042">
        <f t="shared" si="81"/>
        <v>0</v>
      </c>
      <c r="L25" s="3039">
        <f t="shared" si="81"/>
        <v>0</v>
      </c>
      <c r="M25" s="3040">
        <f t="shared" si="81"/>
        <v>0</v>
      </c>
      <c r="N25" s="3041">
        <f t="shared" si="81"/>
        <v>0</v>
      </c>
      <c r="O25" s="3041">
        <f t="shared" si="81"/>
        <v>0</v>
      </c>
      <c r="P25" s="3041">
        <f t="shared" si="81"/>
        <v>0</v>
      </c>
      <c r="Q25" s="3041">
        <f t="shared" si="81"/>
        <v>0</v>
      </c>
      <c r="R25" s="3042">
        <f t="shared" si="81"/>
        <v>0</v>
      </c>
      <c r="S25" s="3039">
        <f t="shared" si="81"/>
        <v>0</v>
      </c>
      <c r="T25" s="3040">
        <f t="shared" si="81"/>
        <v>0</v>
      </c>
      <c r="U25" s="3041">
        <f t="shared" si="81"/>
        <v>0</v>
      </c>
      <c r="V25" s="3041">
        <f t="shared" si="81"/>
        <v>0</v>
      </c>
      <c r="W25" s="3041">
        <f t="shared" si="81"/>
        <v>0</v>
      </c>
      <c r="X25" s="3041">
        <f t="shared" si="81"/>
        <v>0</v>
      </c>
      <c r="Y25" s="3043">
        <f t="shared" si="81"/>
        <v>0</v>
      </c>
      <c r="Z25" s="3039">
        <f t="shared" si="81"/>
        <v>0</v>
      </c>
      <c r="AA25" s="3040">
        <f t="shared" si="81"/>
        <v>0</v>
      </c>
      <c r="AB25" s="3041">
        <f t="shared" si="81"/>
        <v>0</v>
      </c>
      <c r="AC25" s="3041">
        <f t="shared" si="81"/>
        <v>0</v>
      </c>
      <c r="AD25" s="3041">
        <f t="shared" si="81"/>
        <v>0</v>
      </c>
      <c r="AE25" s="3041">
        <f t="shared" si="81"/>
        <v>0</v>
      </c>
      <c r="AF25" s="3043">
        <f t="shared" si="81"/>
        <v>0</v>
      </c>
      <c r="AG25" s="3039">
        <f>SUM(AG26:AG28)</f>
        <v>0</v>
      </c>
      <c r="AH25" s="3040">
        <f t="shared" ref="AH25:AM25" si="82">SUM(AH26:AH28)</f>
        <v>0</v>
      </c>
      <c r="AI25" s="3041">
        <f t="shared" si="82"/>
        <v>0</v>
      </c>
      <c r="AJ25" s="3041">
        <f t="shared" si="82"/>
        <v>0</v>
      </c>
      <c r="AK25" s="3041">
        <f t="shared" si="82"/>
        <v>0</v>
      </c>
      <c r="AL25" s="3041">
        <f t="shared" si="82"/>
        <v>0</v>
      </c>
      <c r="AM25" s="3042">
        <f t="shared" si="82"/>
        <v>0</v>
      </c>
      <c r="AN25" s="4370">
        <f t="shared" si="81"/>
        <v>0</v>
      </c>
      <c r="AO25" s="3175"/>
      <c r="AP25" s="3176"/>
      <c r="AQ25" s="3176"/>
      <c r="AR25" s="3176"/>
      <c r="AS25" s="3176"/>
      <c r="AT25" s="3177"/>
      <c r="AU25" s="4775"/>
      <c r="AV25" s="4794">
        <f t="shared" si="40"/>
        <v>222.41196832035504</v>
      </c>
      <c r="AW25" s="4794">
        <f t="shared" si="41"/>
        <v>0</v>
      </c>
      <c r="AX25" s="4794">
        <f t="shared" si="42"/>
        <v>0</v>
      </c>
      <c r="AY25" s="4794">
        <f t="shared" si="43"/>
        <v>0</v>
      </c>
      <c r="AZ25" s="4794">
        <f t="shared" si="44"/>
        <v>0</v>
      </c>
      <c r="BA25" s="4794">
        <f t="shared" si="45"/>
        <v>0</v>
      </c>
      <c r="BB25" s="4794">
        <f t="shared" si="46"/>
        <v>0</v>
      </c>
      <c r="BC25" s="4794">
        <f t="shared" si="47"/>
        <v>0</v>
      </c>
      <c r="BD25" s="4794">
        <f t="shared" si="48"/>
        <v>0</v>
      </c>
      <c r="BE25" s="4794">
        <f t="shared" si="49"/>
        <v>0</v>
      </c>
      <c r="BF25" s="4794">
        <f t="shared" si="50"/>
        <v>0</v>
      </c>
      <c r="BG25" s="4794">
        <f t="shared" si="51"/>
        <v>0</v>
      </c>
      <c r="BH25" s="4794">
        <f t="shared" si="52"/>
        <v>0</v>
      </c>
      <c r="BI25" s="4794">
        <f t="shared" si="53"/>
        <v>0</v>
      </c>
      <c r="BJ25" s="4794">
        <f t="shared" si="54"/>
        <v>0</v>
      </c>
      <c r="BK25" s="4794">
        <f t="shared" si="55"/>
        <v>0</v>
      </c>
      <c r="BL25" s="4794">
        <f t="shared" si="56"/>
        <v>0</v>
      </c>
      <c r="BM25" s="4794">
        <f t="shared" si="57"/>
        <v>0</v>
      </c>
      <c r="BN25" s="4794">
        <f t="shared" si="58"/>
        <v>0</v>
      </c>
      <c r="BO25" s="4794">
        <f t="shared" si="59"/>
        <v>0</v>
      </c>
      <c r="BP25" s="4794">
        <f t="shared" si="60"/>
        <v>0</v>
      </c>
      <c r="BQ25" s="4794">
        <f t="shared" si="61"/>
        <v>0</v>
      </c>
      <c r="BR25" s="4794">
        <f t="shared" si="62"/>
        <v>0</v>
      </c>
      <c r="BS25" s="4794">
        <f t="shared" si="63"/>
        <v>0</v>
      </c>
      <c r="BT25" s="4794">
        <f t="shared" si="64"/>
        <v>0</v>
      </c>
      <c r="BU25" s="4794">
        <f t="shared" si="65"/>
        <v>0</v>
      </c>
      <c r="BV25" s="4794">
        <f t="shared" si="66"/>
        <v>0</v>
      </c>
      <c r="BW25" s="4794">
        <f t="shared" si="67"/>
        <v>0</v>
      </c>
      <c r="BX25" s="4794">
        <f t="shared" si="68"/>
        <v>0</v>
      </c>
      <c r="BY25" s="4794">
        <f t="shared" si="69"/>
        <v>0</v>
      </c>
      <c r="BZ25" s="4794">
        <f t="shared" si="70"/>
        <v>0</v>
      </c>
      <c r="CA25" s="4794">
        <f t="shared" si="71"/>
        <v>0</v>
      </c>
      <c r="CB25" s="4794">
        <f t="shared" si="72"/>
        <v>0</v>
      </c>
      <c r="CC25" s="4794">
        <f t="shared" si="73"/>
        <v>0</v>
      </c>
      <c r="CD25" s="4794">
        <f t="shared" si="74"/>
        <v>0</v>
      </c>
    </row>
    <row r="26" spans="1:82" s="675" customFormat="1">
      <c r="A26" s="3034"/>
      <c r="B26" s="2742">
        <v>2030501</v>
      </c>
      <c r="C26" s="3048">
        <v>0.1</v>
      </c>
      <c r="D26" s="3046" t="s">
        <v>1001</v>
      </c>
      <c r="E26" s="4738">
        <f>SUMIF('11.3. ДА Базова година'!$B$12:$B$39,$B26,'11.3. ДА Базова година'!F$12:F$39)+SUMIF('11.3. ДА Базова година'!$B$92:$B$110,$B26,'11.3. ДА Базова година'!F$92:F$110)</f>
        <v>315</v>
      </c>
      <c r="F26" s="418"/>
      <c r="G26" s="416"/>
      <c r="H26" s="416"/>
      <c r="I26" s="416"/>
      <c r="J26" s="416"/>
      <c r="K26" s="276"/>
      <c r="L26" s="4738">
        <f>SUMIF('11.3. ДА Базова година'!$B$12:$B$39,$B26,'11.3. ДА Базова година'!J$12:J$39)+SUMIF('11.3. ДА Базова година'!$B$92:$B$110,$B26,'11.3. ДА Базова година'!J$92:J$110)</f>
        <v>0</v>
      </c>
      <c r="M26" s="418"/>
      <c r="N26" s="416"/>
      <c r="O26" s="416"/>
      <c r="P26" s="416"/>
      <c r="Q26" s="416"/>
      <c r="R26" s="276"/>
      <c r="S26" s="4738">
        <f>SUMIF('11.3. ДА Базова година'!$B$12:$B$39,$B26,'11.3. ДА Базова година'!N$12:N$39)+SUMIF('11.3. ДА Базова година'!$B$92:$B$110,$B26,'11.3. ДА Базова година'!N$92:N$110)</f>
        <v>0</v>
      </c>
      <c r="T26" s="418"/>
      <c r="U26" s="416"/>
      <c r="V26" s="416"/>
      <c r="W26" s="416"/>
      <c r="X26" s="416"/>
      <c r="Y26" s="417"/>
      <c r="Z26" s="4738">
        <f>SUMIF('11.3. ДА Базова година'!$B$12:$B$39,$B26,'11.3. ДА Базова година'!R$12:R$39)+SUMIF('11.3. ДА Базова година'!$B$92:$B$110,$B26,'11.3. ДА Базова година'!R$92:R$110)</f>
        <v>0</v>
      </c>
      <c r="AA26" s="418"/>
      <c r="AB26" s="416"/>
      <c r="AC26" s="416"/>
      <c r="AD26" s="416"/>
      <c r="AE26" s="416"/>
      <c r="AF26" s="417"/>
      <c r="AG26" s="4738">
        <f>SUMIF('11.3. ДА Базова година'!$B$12:$B$39,$B26,'11.3. ДА Базова година'!V$12:V$39)+SUMIF('11.3. ДА Базова година'!$B$92:$B$110,$B26,'11.3. ДА Базова година'!V$92:V$110)</f>
        <v>0</v>
      </c>
      <c r="AH26" s="418"/>
      <c r="AI26" s="416"/>
      <c r="AJ26" s="416"/>
      <c r="AK26" s="416"/>
      <c r="AL26" s="416"/>
      <c r="AM26" s="276"/>
      <c r="AN26" s="4368"/>
      <c r="AO26" s="3175"/>
      <c r="AP26" s="3176"/>
      <c r="AQ26" s="3176"/>
      <c r="AR26" s="3176"/>
      <c r="AS26" s="3176"/>
      <c r="AT26" s="3177"/>
      <c r="AU26" s="4775"/>
      <c r="AV26" s="4794">
        <f t="shared" si="40"/>
        <v>161.05694257680884</v>
      </c>
      <c r="AW26" s="4794">
        <f t="shared" si="41"/>
        <v>0</v>
      </c>
      <c r="AX26" s="4794">
        <f t="shared" si="42"/>
        <v>0</v>
      </c>
      <c r="AY26" s="4794">
        <f t="shared" si="43"/>
        <v>0</v>
      </c>
      <c r="AZ26" s="4794">
        <f t="shared" si="44"/>
        <v>0</v>
      </c>
      <c r="BA26" s="4794">
        <f t="shared" si="45"/>
        <v>0</v>
      </c>
      <c r="BB26" s="4794">
        <f t="shared" si="46"/>
        <v>0</v>
      </c>
      <c r="BC26" s="4794">
        <f t="shared" si="47"/>
        <v>0</v>
      </c>
      <c r="BD26" s="4794">
        <f t="shared" si="48"/>
        <v>0</v>
      </c>
      <c r="BE26" s="4794">
        <f t="shared" si="49"/>
        <v>0</v>
      </c>
      <c r="BF26" s="4794">
        <f t="shared" si="50"/>
        <v>0</v>
      </c>
      <c r="BG26" s="4794">
        <f t="shared" si="51"/>
        <v>0</v>
      </c>
      <c r="BH26" s="4794">
        <f t="shared" si="52"/>
        <v>0</v>
      </c>
      <c r="BI26" s="4794">
        <f t="shared" si="53"/>
        <v>0</v>
      </c>
      <c r="BJ26" s="4794">
        <f t="shared" si="54"/>
        <v>0</v>
      </c>
      <c r="BK26" s="4794">
        <f t="shared" si="55"/>
        <v>0</v>
      </c>
      <c r="BL26" s="4794">
        <f t="shared" si="56"/>
        <v>0</v>
      </c>
      <c r="BM26" s="4794">
        <f t="shared" si="57"/>
        <v>0</v>
      </c>
      <c r="BN26" s="4794">
        <f t="shared" si="58"/>
        <v>0</v>
      </c>
      <c r="BO26" s="4794">
        <f t="shared" si="59"/>
        <v>0</v>
      </c>
      <c r="BP26" s="4794">
        <f t="shared" si="60"/>
        <v>0</v>
      </c>
      <c r="BQ26" s="4794">
        <f t="shared" si="61"/>
        <v>0</v>
      </c>
      <c r="BR26" s="4794">
        <f t="shared" si="62"/>
        <v>0</v>
      </c>
      <c r="BS26" s="4794">
        <f t="shared" si="63"/>
        <v>0</v>
      </c>
      <c r="BT26" s="4794">
        <f t="shared" si="64"/>
        <v>0</v>
      </c>
      <c r="BU26" s="4794">
        <f t="shared" si="65"/>
        <v>0</v>
      </c>
      <c r="BV26" s="4794">
        <f t="shared" si="66"/>
        <v>0</v>
      </c>
      <c r="BW26" s="4794">
        <f t="shared" si="67"/>
        <v>0</v>
      </c>
      <c r="BX26" s="4794">
        <f t="shared" si="68"/>
        <v>0</v>
      </c>
      <c r="BY26" s="4794">
        <f t="shared" si="69"/>
        <v>0</v>
      </c>
      <c r="BZ26" s="4794">
        <f t="shared" si="70"/>
        <v>0</v>
      </c>
      <c r="CA26" s="4794">
        <f t="shared" si="71"/>
        <v>0</v>
      </c>
      <c r="CB26" s="4794">
        <f t="shared" si="72"/>
        <v>0</v>
      </c>
      <c r="CC26" s="4794">
        <f t="shared" si="73"/>
        <v>0</v>
      </c>
      <c r="CD26" s="4794">
        <f t="shared" si="74"/>
        <v>0</v>
      </c>
    </row>
    <row r="27" spans="1:82" s="675" customFormat="1" ht="25.5">
      <c r="A27" s="3034"/>
      <c r="B27" s="2742">
        <v>2030502</v>
      </c>
      <c r="C27" s="3048">
        <v>0.1</v>
      </c>
      <c r="D27" s="3046" t="s">
        <v>695</v>
      </c>
      <c r="E27" s="4738">
        <f>SUMIF('11.3. ДА Базова година'!$B$12:$B$39,$B27,'11.3. ДА Базова година'!F$12:F$39)+SUMIF('11.3. ДА Базова година'!$B$92:$B$110,$B27,'11.3. ДА Базова година'!F$92:F$110)</f>
        <v>120</v>
      </c>
      <c r="F27" s="418"/>
      <c r="G27" s="416"/>
      <c r="H27" s="416"/>
      <c r="I27" s="416"/>
      <c r="J27" s="416"/>
      <c r="K27" s="276"/>
      <c r="L27" s="4738">
        <f>SUMIF('11.3. ДА Базова година'!$B$12:$B$39,$B27,'11.3. ДА Базова година'!J$12:J$39)+SUMIF('11.3. ДА Базова година'!$B$92:$B$110,$B27,'11.3. ДА Базова година'!J$92:J$110)</f>
        <v>0</v>
      </c>
      <c r="M27" s="418"/>
      <c r="N27" s="416"/>
      <c r="O27" s="416"/>
      <c r="P27" s="416"/>
      <c r="Q27" s="416"/>
      <c r="R27" s="276"/>
      <c r="S27" s="4738">
        <f>SUMIF('11.3. ДА Базова година'!$B$12:$B$39,$B27,'11.3. ДА Базова година'!N$12:N$39)+SUMIF('11.3. ДА Базова година'!$B$92:$B$110,$B27,'11.3. ДА Базова година'!N$92:N$110)</f>
        <v>0</v>
      </c>
      <c r="T27" s="418"/>
      <c r="U27" s="416"/>
      <c r="V27" s="416"/>
      <c r="W27" s="416"/>
      <c r="X27" s="416"/>
      <c r="Y27" s="417"/>
      <c r="Z27" s="4738">
        <f>SUMIF('11.3. ДА Базова година'!$B$12:$B$39,$B27,'11.3. ДА Базова година'!R$12:R$39)+SUMIF('11.3. ДА Базова година'!$B$92:$B$110,$B27,'11.3. ДА Базова година'!R$92:R$110)</f>
        <v>0</v>
      </c>
      <c r="AA27" s="418"/>
      <c r="AB27" s="416"/>
      <c r="AC27" s="416"/>
      <c r="AD27" s="416"/>
      <c r="AE27" s="416"/>
      <c r="AF27" s="417"/>
      <c r="AG27" s="4738">
        <f>SUMIF('11.3. ДА Базова година'!$B$12:$B$39,$B27,'11.3. ДА Базова година'!V$12:V$39)+SUMIF('11.3. ДА Базова година'!$B$92:$B$110,$B27,'11.3. ДА Базова година'!V$92:V$110)</f>
        <v>0</v>
      </c>
      <c r="AH27" s="418"/>
      <c r="AI27" s="416"/>
      <c r="AJ27" s="416"/>
      <c r="AK27" s="416"/>
      <c r="AL27" s="416"/>
      <c r="AM27" s="276"/>
      <c r="AN27" s="4368"/>
      <c r="AO27" s="3175"/>
      <c r="AP27" s="3176"/>
      <c r="AQ27" s="3176"/>
      <c r="AR27" s="3176"/>
      <c r="AS27" s="3176"/>
      <c r="AT27" s="3177"/>
      <c r="AU27" s="4775"/>
      <c r="AV27" s="4794">
        <f t="shared" si="40"/>
        <v>61.355025743546221</v>
      </c>
      <c r="AW27" s="4794">
        <f t="shared" si="41"/>
        <v>0</v>
      </c>
      <c r="AX27" s="4794">
        <f t="shared" si="42"/>
        <v>0</v>
      </c>
      <c r="AY27" s="4794">
        <f t="shared" si="43"/>
        <v>0</v>
      </c>
      <c r="AZ27" s="4794">
        <f t="shared" si="44"/>
        <v>0</v>
      </c>
      <c r="BA27" s="4794">
        <f t="shared" si="45"/>
        <v>0</v>
      </c>
      <c r="BB27" s="4794">
        <f t="shared" si="46"/>
        <v>0</v>
      </c>
      <c r="BC27" s="4794">
        <f t="shared" si="47"/>
        <v>0</v>
      </c>
      <c r="BD27" s="4794">
        <f t="shared" si="48"/>
        <v>0</v>
      </c>
      <c r="BE27" s="4794">
        <f t="shared" si="49"/>
        <v>0</v>
      </c>
      <c r="BF27" s="4794">
        <f t="shared" si="50"/>
        <v>0</v>
      </c>
      <c r="BG27" s="4794">
        <f t="shared" si="51"/>
        <v>0</v>
      </c>
      <c r="BH27" s="4794">
        <f t="shared" si="52"/>
        <v>0</v>
      </c>
      <c r="BI27" s="4794">
        <f t="shared" si="53"/>
        <v>0</v>
      </c>
      <c r="BJ27" s="4794">
        <f t="shared" si="54"/>
        <v>0</v>
      </c>
      <c r="BK27" s="4794">
        <f t="shared" si="55"/>
        <v>0</v>
      </c>
      <c r="BL27" s="4794">
        <f t="shared" si="56"/>
        <v>0</v>
      </c>
      <c r="BM27" s="4794">
        <f t="shared" si="57"/>
        <v>0</v>
      </c>
      <c r="BN27" s="4794">
        <f t="shared" si="58"/>
        <v>0</v>
      </c>
      <c r="BO27" s="4794">
        <f t="shared" si="59"/>
        <v>0</v>
      </c>
      <c r="BP27" s="4794">
        <f t="shared" si="60"/>
        <v>0</v>
      </c>
      <c r="BQ27" s="4794">
        <f t="shared" si="61"/>
        <v>0</v>
      </c>
      <c r="BR27" s="4794">
        <f t="shared" si="62"/>
        <v>0</v>
      </c>
      <c r="BS27" s="4794">
        <f t="shared" si="63"/>
        <v>0</v>
      </c>
      <c r="BT27" s="4794">
        <f t="shared" si="64"/>
        <v>0</v>
      </c>
      <c r="BU27" s="4794">
        <f t="shared" si="65"/>
        <v>0</v>
      </c>
      <c r="BV27" s="4794">
        <f t="shared" si="66"/>
        <v>0</v>
      </c>
      <c r="BW27" s="4794">
        <f t="shared" si="67"/>
        <v>0</v>
      </c>
      <c r="BX27" s="4794">
        <f t="shared" si="68"/>
        <v>0</v>
      </c>
      <c r="BY27" s="4794">
        <f t="shared" si="69"/>
        <v>0</v>
      </c>
      <c r="BZ27" s="4794">
        <f t="shared" si="70"/>
        <v>0</v>
      </c>
      <c r="CA27" s="4794">
        <f t="shared" si="71"/>
        <v>0</v>
      </c>
      <c r="CB27" s="4794">
        <f t="shared" si="72"/>
        <v>0</v>
      </c>
      <c r="CC27" s="4794">
        <f t="shared" si="73"/>
        <v>0</v>
      </c>
      <c r="CD27" s="4794">
        <f t="shared" si="74"/>
        <v>0</v>
      </c>
    </row>
    <row r="28" spans="1:82" s="675" customFormat="1">
      <c r="A28" s="3034"/>
      <c r="B28" s="2742">
        <v>2030503</v>
      </c>
      <c r="C28" s="3048">
        <v>0.1</v>
      </c>
      <c r="D28" s="3046" t="s">
        <v>713</v>
      </c>
      <c r="E28" s="4738">
        <f>SUMIF('11.3. ДА Базова година'!$B$12:$B$39,$B28,'11.3. ДА Базова година'!F$12:F$39)+SUMIF('11.3. ДА Базова година'!$B$92:$B$110,$B28,'11.3. ДА Базова година'!F$92:F$110)</f>
        <v>0</v>
      </c>
      <c r="F28" s="418"/>
      <c r="G28" s="416"/>
      <c r="H28" s="416"/>
      <c r="I28" s="416"/>
      <c r="J28" s="416"/>
      <c r="K28" s="276"/>
      <c r="L28" s="4738">
        <f>SUMIF('11.3. ДА Базова година'!$B$12:$B$39,$B28,'11.3. ДА Базова година'!J$12:J$39)+SUMIF('11.3. ДА Базова година'!$B$92:$B$110,$B28,'11.3. ДА Базова година'!J$92:J$110)</f>
        <v>0</v>
      </c>
      <c r="M28" s="418"/>
      <c r="N28" s="416"/>
      <c r="O28" s="416"/>
      <c r="P28" s="416"/>
      <c r="Q28" s="416"/>
      <c r="R28" s="276"/>
      <c r="S28" s="4738">
        <f>SUMIF('11.3. ДА Базова година'!$B$12:$B$39,$B28,'11.3. ДА Базова година'!N$12:N$39)+SUMIF('11.3. ДА Базова година'!$B$92:$B$110,$B28,'11.3. ДА Базова година'!N$92:N$110)</f>
        <v>0</v>
      </c>
      <c r="T28" s="418"/>
      <c r="U28" s="416"/>
      <c r="V28" s="416"/>
      <c r="W28" s="416"/>
      <c r="X28" s="416"/>
      <c r="Y28" s="417"/>
      <c r="Z28" s="4738">
        <f>SUMIF('11.3. ДА Базова година'!$B$12:$B$39,$B28,'11.3. ДА Базова година'!R$12:R$39)+SUMIF('11.3. ДА Базова година'!$B$92:$B$110,$B28,'11.3. ДА Базова година'!R$92:R$110)</f>
        <v>0</v>
      </c>
      <c r="AA28" s="418"/>
      <c r="AB28" s="416"/>
      <c r="AC28" s="416"/>
      <c r="AD28" s="416"/>
      <c r="AE28" s="416"/>
      <c r="AF28" s="417"/>
      <c r="AG28" s="4738">
        <f>SUMIF('11.3. ДА Базова година'!$B$12:$B$39,$B28,'11.3. ДА Базова година'!V$12:V$39)+SUMIF('11.3. ДА Базова година'!$B$92:$B$110,$B28,'11.3. ДА Базова година'!V$92:V$110)</f>
        <v>0</v>
      </c>
      <c r="AH28" s="418"/>
      <c r="AI28" s="416"/>
      <c r="AJ28" s="416"/>
      <c r="AK28" s="416"/>
      <c r="AL28" s="416"/>
      <c r="AM28" s="276"/>
      <c r="AN28" s="4368"/>
      <c r="AO28" s="3175"/>
      <c r="AP28" s="3176"/>
      <c r="AQ28" s="3176"/>
      <c r="AR28" s="3176"/>
      <c r="AS28" s="3176"/>
      <c r="AT28" s="3177"/>
      <c r="AU28" s="4775"/>
      <c r="AV28" s="4794">
        <f t="shared" si="40"/>
        <v>0</v>
      </c>
      <c r="AW28" s="4794">
        <f t="shared" si="41"/>
        <v>0</v>
      </c>
      <c r="AX28" s="4794">
        <f t="shared" si="42"/>
        <v>0</v>
      </c>
      <c r="AY28" s="4794">
        <f t="shared" si="43"/>
        <v>0</v>
      </c>
      <c r="AZ28" s="4794">
        <f t="shared" si="44"/>
        <v>0</v>
      </c>
      <c r="BA28" s="4794">
        <f t="shared" si="45"/>
        <v>0</v>
      </c>
      <c r="BB28" s="4794">
        <f t="shared" si="46"/>
        <v>0</v>
      </c>
      <c r="BC28" s="4794">
        <f t="shared" si="47"/>
        <v>0</v>
      </c>
      <c r="BD28" s="4794">
        <f t="shared" si="48"/>
        <v>0</v>
      </c>
      <c r="BE28" s="4794">
        <f t="shared" si="49"/>
        <v>0</v>
      </c>
      <c r="BF28" s="4794">
        <f t="shared" si="50"/>
        <v>0</v>
      </c>
      <c r="BG28" s="4794">
        <f t="shared" si="51"/>
        <v>0</v>
      </c>
      <c r="BH28" s="4794">
        <f t="shared" si="52"/>
        <v>0</v>
      </c>
      <c r="BI28" s="4794">
        <f t="shared" si="53"/>
        <v>0</v>
      </c>
      <c r="BJ28" s="4794">
        <f t="shared" si="54"/>
        <v>0</v>
      </c>
      <c r="BK28" s="4794">
        <f t="shared" si="55"/>
        <v>0</v>
      </c>
      <c r="BL28" s="4794">
        <f t="shared" si="56"/>
        <v>0</v>
      </c>
      <c r="BM28" s="4794">
        <f t="shared" si="57"/>
        <v>0</v>
      </c>
      <c r="BN28" s="4794">
        <f t="shared" si="58"/>
        <v>0</v>
      </c>
      <c r="BO28" s="4794">
        <f t="shared" si="59"/>
        <v>0</v>
      </c>
      <c r="BP28" s="4794">
        <f t="shared" si="60"/>
        <v>0</v>
      </c>
      <c r="BQ28" s="4794">
        <f t="shared" si="61"/>
        <v>0</v>
      </c>
      <c r="BR28" s="4794">
        <f t="shared" si="62"/>
        <v>0</v>
      </c>
      <c r="BS28" s="4794">
        <f t="shared" si="63"/>
        <v>0</v>
      </c>
      <c r="BT28" s="4794">
        <f t="shared" si="64"/>
        <v>0</v>
      </c>
      <c r="BU28" s="4794">
        <f t="shared" si="65"/>
        <v>0</v>
      </c>
      <c r="BV28" s="4794">
        <f t="shared" si="66"/>
        <v>0</v>
      </c>
      <c r="BW28" s="4794">
        <f t="shared" si="67"/>
        <v>0</v>
      </c>
      <c r="BX28" s="4794">
        <f t="shared" si="68"/>
        <v>0</v>
      </c>
      <c r="BY28" s="4794">
        <f t="shared" si="69"/>
        <v>0</v>
      </c>
      <c r="BZ28" s="4794">
        <f t="shared" si="70"/>
        <v>0</v>
      </c>
      <c r="CA28" s="4794">
        <f t="shared" si="71"/>
        <v>0</v>
      </c>
      <c r="CB28" s="4794">
        <f t="shared" si="72"/>
        <v>0</v>
      </c>
      <c r="CC28" s="4794">
        <f t="shared" si="73"/>
        <v>0</v>
      </c>
      <c r="CD28" s="4794">
        <f t="shared" si="74"/>
        <v>0</v>
      </c>
    </row>
    <row r="29" spans="1:82" s="675" customFormat="1">
      <c r="A29" s="3034"/>
      <c r="B29" s="2742">
        <v>20306</v>
      </c>
      <c r="C29" s="3035">
        <v>0.1</v>
      </c>
      <c r="D29" s="3038" t="s">
        <v>409</v>
      </c>
      <c r="E29" s="4738">
        <f>SUMIF('11.3. ДА Базова година'!$B$12:$B$39,$B29,'11.3. ДА Базова година'!F$12:F$39)+SUMIF('11.3. ДА Базова година'!$B$92:$B$110,$B29,'11.3. ДА Базова година'!F$92:F$110)</f>
        <v>108</v>
      </c>
      <c r="F29" s="418"/>
      <c r="G29" s="416"/>
      <c r="H29" s="416"/>
      <c r="I29" s="416"/>
      <c r="J29" s="416"/>
      <c r="K29" s="276"/>
      <c r="L29" s="4738">
        <f>SUMIF('11.3. ДА Базова година'!$B$12:$B$39,$B29,'11.3. ДА Базова година'!J$12:J$39)+SUMIF('11.3. ДА Базова година'!$B$92:$B$110,$B29,'11.3. ДА Базова година'!J$92:J$110)</f>
        <v>0</v>
      </c>
      <c r="M29" s="418"/>
      <c r="N29" s="416"/>
      <c r="O29" s="416"/>
      <c r="P29" s="416"/>
      <c r="Q29" s="416"/>
      <c r="R29" s="276"/>
      <c r="S29" s="4738">
        <f>SUMIF('11.3. ДА Базова година'!$B$12:$B$39,$B29,'11.3. ДА Базова година'!N$12:N$39)+SUMIF('11.3. ДА Базова година'!$B$92:$B$110,$B29,'11.3. ДА Базова година'!N$92:N$110)</f>
        <v>2</v>
      </c>
      <c r="T29" s="418"/>
      <c r="U29" s="416"/>
      <c r="V29" s="416"/>
      <c r="W29" s="416"/>
      <c r="X29" s="416"/>
      <c r="Y29" s="417"/>
      <c r="Z29" s="4738">
        <f>SUMIF('11.3. ДА Базова година'!$B$12:$B$39,$B29,'11.3. ДА Базова година'!R$12:R$39)+SUMIF('11.3. ДА Базова година'!$B$92:$B$110,$B29,'11.3. ДА Базова година'!R$92:R$110)</f>
        <v>0</v>
      </c>
      <c r="AA29" s="418"/>
      <c r="AB29" s="416"/>
      <c r="AC29" s="416"/>
      <c r="AD29" s="416"/>
      <c r="AE29" s="416"/>
      <c r="AF29" s="417"/>
      <c r="AG29" s="4738">
        <f>SUMIF('11.3. ДА Базова година'!$B$12:$B$39,$B29,'11.3. ДА Базова година'!V$12:V$39)+SUMIF('11.3. ДА Базова година'!$B$92:$B$110,$B29,'11.3. ДА Базова година'!V$92:V$110)</f>
        <v>0</v>
      </c>
      <c r="AH29" s="418"/>
      <c r="AI29" s="416"/>
      <c r="AJ29" s="416"/>
      <c r="AK29" s="416"/>
      <c r="AL29" s="416"/>
      <c r="AM29" s="276"/>
      <c r="AN29" s="4368"/>
      <c r="AO29" s="3175"/>
      <c r="AP29" s="3176"/>
      <c r="AQ29" s="3176"/>
      <c r="AR29" s="3176"/>
      <c r="AS29" s="3176"/>
      <c r="AT29" s="3177"/>
      <c r="AU29" s="4775"/>
      <c r="AV29" s="4794">
        <f t="shared" si="40"/>
        <v>55.219523169191596</v>
      </c>
      <c r="AW29" s="4794">
        <f t="shared" si="41"/>
        <v>0</v>
      </c>
      <c r="AX29" s="4794">
        <f t="shared" si="42"/>
        <v>0</v>
      </c>
      <c r="AY29" s="4794">
        <f t="shared" si="43"/>
        <v>0</v>
      </c>
      <c r="AZ29" s="4794">
        <f t="shared" si="44"/>
        <v>0</v>
      </c>
      <c r="BA29" s="4794">
        <f t="shared" si="45"/>
        <v>0</v>
      </c>
      <c r="BB29" s="4794">
        <f t="shared" si="46"/>
        <v>0</v>
      </c>
      <c r="BC29" s="4794">
        <f t="shared" si="47"/>
        <v>0</v>
      </c>
      <c r="BD29" s="4794">
        <f t="shared" si="48"/>
        <v>0</v>
      </c>
      <c r="BE29" s="4794">
        <f t="shared" si="49"/>
        <v>0</v>
      </c>
      <c r="BF29" s="4794">
        <f t="shared" si="50"/>
        <v>0</v>
      </c>
      <c r="BG29" s="4794">
        <f t="shared" si="51"/>
        <v>0</v>
      </c>
      <c r="BH29" s="4794">
        <f t="shared" si="52"/>
        <v>0</v>
      </c>
      <c r="BI29" s="4794">
        <f t="shared" si="53"/>
        <v>0</v>
      </c>
      <c r="BJ29" s="4794">
        <f t="shared" si="54"/>
        <v>1.022583762392437</v>
      </c>
      <c r="BK29" s="4794">
        <f t="shared" si="55"/>
        <v>0</v>
      </c>
      <c r="BL29" s="4794">
        <f t="shared" si="56"/>
        <v>0</v>
      </c>
      <c r="BM29" s="4794">
        <f t="shared" si="57"/>
        <v>0</v>
      </c>
      <c r="BN29" s="4794">
        <f t="shared" si="58"/>
        <v>0</v>
      </c>
      <c r="BO29" s="4794">
        <f t="shared" si="59"/>
        <v>0</v>
      </c>
      <c r="BP29" s="4794">
        <f t="shared" si="60"/>
        <v>0</v>
      </c>
      <c r="BQ29" s="4794">
        <f t="shared" si="61"/>
        <v>0</v>
      </c>
      <c r="BR29" s="4794">
        <f t="shared" si="62"/>
        <v>0</v>
      </c>
      <c r="BS29" s="4794">
        <f t="shared" si="63"/>
        <v>0</v>
      </c>
      <c r="BT29" s="4794">
        <f t="shared" si="64"/>
        <v>0</v>
      </c>
      <c r="BU29" s="4794">
        <f t="shared" si="65"/>
        <v>0</v>
      </c>
      <c r="BV29" s="4794">
        <f t="shared" si="66"/>
        <v>0</v>
      </c>
      <c r="BW29" s="4794">
        <f t="shared" si="67"/>
        <v>0</v>
      </c>
      <c r="BX29" s="4794">
        <f t="shared" si="68"/>
        <v>0</v>
      </c>
      <c r="BY29" s="4794">
        <f t="shared" si="69"/>
        <v>0</v>
      </c>
      <c r="BZ29" s="4794">
        <f t="shared" si="70"/>
        <v>0</v>
      </c>
      <c r="CA29" s="4794">
        <f t="shared" si="71"/>
        <v>0</v>
      </c>
      <c r="CB29" s="4794">
        <f t="shared" si="72"/>
        <v>0</v>
      </c>
      <c r="CC29" s="4794">
        <f t="shared" si="73"/>
        <v>0</v>
      </c>
      <c r="CD29" s="4794">
        <f t="shared" si="74"/>
        <v>0</v>
      </c>
    </row>
    <row r="30" spans="1:82" s="675" customFormat="1" ht="14.25" customHeight="1">
      <c r="A30" s="3025">
        <v>4</v>
      </c>
      <c r="B30" s="3026">
        <v>204</v>
      </c>
      <c r="C30" s="3027"/>
      <c r="D30" s="3049" t="s">
        <v>211</v>
      </c>
      <c r="E30" s="3029">
        <f>E31+E34+E43+E44</f>
        <v>4178</v>
      </c>
      <c r="F30" s="3030">
        <f t="shared" ref="F30:K30" si="83">F31+F34+F43+F44</f>
        <v>0</v>
      </c>
      <c r="G30" s="3031">
        <f t="shared" si="83"/>
        <v>0</v>
      </c>
      <c r="H30" s="3031">
        <f t="shared" si="83"/>
        <v>0</v>
      </c>
      <c r="I30" s="3031">
        <f t="shared" si="83"/>
        <v>0</v>
      </c>
      <c r="J30" s="3031">
        <f t="shared" si="83"/>
        <v>0</v>
      </c>
      <c r="K30" s="3032">
        <f t="shared" si="83"/>
        <v>0</v>
      </c>
      <c r="L30" s="3029">
        <f>L31+L34+L43+L44</f>
        <v>94</v>
      </c>
      <c r="M30" s="3030">
        <f t="shared" ref="M30:R30" si="84">M31+M34+M43+M44</f>
        <v>0</v>
      </c>
      <c r="N30" s="3031">
        <f t="shared" si="84"/>
        <v>0</v>
      </c>
      <c r="O30" s="3031">
        <f t="shared" si="84"/>
        <v>0</v>
      </c>
      <c r="P30" s="3031">
        <f t="shared" si="84"/>
        <v>0</v>
      </c>
      <c r="Q30" s="3031">
        <f t="shared" si="84"/>
        <v>0</v>
      </c>
      <c r="R30" s="3032">
        <f t="shared" si="84"/>
        <v>0</v>
      </c>
      <c r="S30" s="3029">
        <f>S31+S34+S43+S44</f>
        <v>93</v>
      </c>
      <c r="T30" s="3030">
        <f t="shared" ref="T30:AN30" si="85">T31+T34+T43+T44</f>
        <v>0</v>
      </c>
      <c r="U30" s="3031">
        <f t="shared" si="85"/>
        <v>0</v>
      </c>
      <c r="V30" s="3031">
        <f t="shared" si="85"/>
        <v>0</v>
      </c>
      <c r="W30" s="3031">
        <f t="shared" si="85"/>
        <v>0</v>
      </c>
      <c r="X30" s="3031">
        <f t="shared" si="85"/>
        <v>0</v>
      </c>
      <c r="Y30" s="3033">
        <f t="shared" si="85"/>
        <v>0</v>
      </c>
      <c r="Z30" s="3029">
        <f>Z31+Z34+Z43+Z44</f>
        <v>0</v>
      </c>
      <c r="AA30" s="3030">
        <f t="shared" ref="AA30:AF30" si="86">AA31+AA34+AA43+AA44</f>
        <v>0</v>
      </c>
      <c r="AB30" s="3031">
        <f t="shared" si="86"/>
        <v>0</v>
      </c>
      <c r="AC30" s="3031">
        <f t="shared" si="86"/>
        <v>0</v>
      </c>
      <c r="AD30" s="3031">
        <f t="shared" si="86"/>
        <v>0</v>
      </c>
      <c r="AE30" s="3031">
        <f t="shared" si="86"/>
        <v>0</v>
      </c>
      <c r="AF30" s="3033">
        <f t="shared" si="86"/>
        <v>0</v>
      </c>
      <c r="AG30" s="3029">
        <f>AG31+AG34+AG43+AG44</f>
        <v>0</v>
      </c>
      <c r="AH30" s="3030">
        <f t="shared" ref="AH30:AM30" si="87">AH31+AH34+AH43+AH44</f>
        <v>0</v>
      </c>
      <c r="AI30" s="3031">
        <f t="shared" si="87"/>
        <v>0</v>
      </c>
      <c r="AJ30" s="3031">
        <f t="shared" si="87"/>
        <v>0</v>
      </c>
      <c r="AK30" s="3031">
        <f t="shared" si="87"/>
        <v>0</v>
      </c>
      <c r="AL30" s="3031">
        <f t="shared" si="87"/>
        <v>0</v>
      </c>
      <c r="AM30" s="3032">
        <f t="shared" si="87"/>
        <v>0</v>
      </c>
      <c r="AN30" s="4369">
        <f t="shared" si="85"/>
        <v>0</v>
      </c>
      <c r="AO30" s="3175"/>
      <c r="AP30" s="3176"/>
      <c r="AQ30" s="3176"/>
      <c r="AR30" s="3176"/>
      <c r="AS30" s="3176"/>
      <c r="AT30" s="3177"/>
      <c r="AU30" s="4775"/>
      <c r="AV30" s="4794">
        <f t="shared" si="40"/>
        <v>2136.1774796378008</v>
      </c>
      <c r="AW30" s="4794">
        <f t="shared" si="41"/>
        <v>0</v>
      </c>
      <c r="AX30" s="4794">
        <f t="shared" si="42"/>
        <v>0</v>
      </c>
      <c r="AY30" s="4794">
        <f t="shared" si="43"/>
        <v>0</v>
      </c>
      <c r="AZ30" s="4794">
        <f t="shared" si="44"/>
        <v>0</v>
      </c>
      <c r="BA30" s="4794">
        <f t="shared" si="45"/>
        <v>0</v>
      </c>
      <c r="BB30" s="4794">
        <f t="shared" si="46"/>
        <v>0</v>
      </c>
      <c r="BC30" s="4794">
        <f t="shared" si="47"/>
        <v>48.061436832444535</v>
      </c>
      <c r="BD30" s="4794">
        <f t="shared" si="48"/>
        <v>0</v>
      </c>
      <c r="BE30" s="4794">
        <f t="shared" si="49"/>
        <v>0</v>
      </c>
      <c r="BF30" s="4794">
        <f t="shared" si="50"/>
        <v>0</v>
      </c>
      <c r="BG30" s="4794">
        <f t="shared" si="51"/>
        <v>0</v>
      </c>
      <c r="BH30" s="4794">
        <f t="shared" si="52"/>
        <v>0</v>
      </c>
      <c r="BI30" s="4794">
        <f t="shared" si="53"/>
        <v>0</v>
      </c>
      <c r="BJ30" s="4794">
        <f t="shared" si="54"/>
        <v>47.550144951248321</v>
      </c>
      <c r="BK30" s="4794">
        <f t="shared" si="55"/>
        <v>0</v>
      </c>
      <c r="BL30" s="4794">
        <f t="shared" si="56"/>
        <v>0</v>
      </c>
      <c r="BM30" s="4794">
        <f t="shared" si="57"/>
        <v>0</v>
      </c>
      <c r="BN30" s="4794">
        <f t="shared" si="58"/>
        <v>0</v>
      </c>
      <c r="BO30" s="4794">
        <f t="shared" si="59"/>
        <v>0</v>
      </c>
      <c r="BP30" s="4794">
        <f t="shared" si="60"/>
        <v>0</v>
      </c>
      <c r="BQ30" s="4794">
        <f t="shared" si="61"/>
        <v>0</v>
      </c>
      <c r="BR30" s="4794">
        <f t="shared" si="62"/>
        <v>0</v>
      </c>
      <c r="BS30" s="4794">
        <f t="shared" si="63"/>
        <v>0</v>
      </c>
      <c r="BT30" s="4794">
        <f t="shared" si="64"/>
        <v>0</v>
      </c>
      <c r="BU30" s="4794">
        <f t="shared" si="65"/>
        <v>0</v>
      </c>
      <c r="BV30" s="4794">
        <f t="shared" si="66"/>
        <v>0</v>
      </c>
      <c r="BW30" s="4794">
        <f t="shared" si="67"/>
        <v>0</v>
      </c>
      <c r="BX30" s="4794">
        <f t="shared" si="68"/>
        <v>0</v>
      </c>
      <c r="BY30" s="4794">
        <f t="shared" si="69"/>
        <v>0</v>
      </c>
      <c r="BZ30" s="4794">
        <f t="shared" si="70"/>
        <v>0</v>
      </c>
      <c r="CA30" s="4794">
        <f t="shared" si="71"/>
        <v>0</v>
      </c>
      <c r="CB30" s="4794">
        <f t="shared" si="72"/>
        <v>0</v>
      </c>
      <c r="CC30" s="4794">
        <f t="shared" si="73"/>
        <v>0</v>
      </c>
      <c r="CD30" s="4794">
        <f t="shared" si="74"/>
        <v>0</v>
      </c>
    </row>
    <row r="31" spans="1:82" s="675" customFormat="1">
      <c r="A31" s="3034"/>
      <c r="B31" s="2742">
        <v>20401</v>
      </c>
      <c r="C31" s="3047"/>
      <c r="D31" s="3024" t="s">
        <v>417</v>
      </c>
      <c r="E31" s="3039">
        <f t="shared" ref="E31:AN31" si="88">SUM(E32:E33)</f>
        <v>0</v>
      </c>
      <c r="F31" s="3040">
        <f t="shared" si="88"/>
        <v>0</v>
      </c>
      <c r="G31" s="3041">
        <f t="shared" si="88"/>
        <v>0</v>
      </c>
      <c r="H31" s="3041">
        <f t="shared" si="88"/>
        <v>0</v>
      </c>
      <c r="I31" s="3041">
        <f t="shared" si="88"/>
        <v>0</v>
      </c>
      <c r="J31" s="3041">
        <f t="shared" si="88"/>
        <v>0</v>
      </c>
      <c r="K31" s="3042">
        <f t="shared" si="88"/>
        <v>0</v>
      </c>
      <c r="L31" s="3039">
        <f t="shared" si="88"/>
        <v>0</v>
      </c>
      <c r="M31" s="3040">
        <f t="shared" si="88"/>
        <v>0</v>
      </c>
      <c r="N31" s="3041">
        <f t="shared" si="88"/>
        <v>0</v>
      </c>
      <c r="O31" s="3041">
        <f t="shared" si="88"/>
        <v>0</v>
      </c>
      <c r="P31" s="3041">
        <f t="shared" si="88"/>
        <v>0</v>
      </c>
      <c r="Q31" s="3041">
        <f t="shared" si="88"/>
        <v>0</v>
      </c>
      <c r="R31" s="3042">
        <f t="shared" si="88"/>
        <v>0</v>
      </c>
      <c r="S31" s="3039">
        <f t="shared" si="88"/>
        <v>0</v>
      </c>
      <c r="T31" s="3040">
        <f t="shared" si="88"/>
        <v>0</v>
      </c>
      <c r="U31" s="3041">
        <f t="shared" si="88"/>
        <v>0</v>
      </c>
      <c r="V31" s="3041">
        <f t="shared" si="88"/>
        <v>0</v>
      </c>
      <c r="W31" s="3041">
        <f t="shared" si="88"/>
        <v>0</v>
      </c>
      <c r="X31" s="3041">
        <f t="shared" si="88"/>
        <v>0</v>
      </c>
      <c r="Y31" s="3043">
        <f t="shared" si="88"/>
        <v>0</v>
      </c>
      <c r="Z31" s="3039">
        <f t="shared" ref="Z31:AM31" si="89">SUM(Z32:Z33)</f>
        <v>0</v>
      </c>
      <c r="AA31" s="3040">
        <f t="shared" si="89"/>
        <v>0</v>
      </c>
      <c r="AB31" s="3041">
        <f t="shared" si="89"/>
        <v>0</v>
      </c>
      <c r="AC31" s="3041">
        <f t="shared" si="89"/>
        <v>0</v>
      </c>
      <c r="AD31" s="3041">
        <f t="shared" si="89"/>
        <v>0</v>
      </c>
      <c r="AE31" s="3041">
        <f t="shared" si="89"/>
        <v>0</v>
      </c>
      <c r="AF31" s="3043">
        <f t="shared" si="89"/>
        <v>0</v>
      </c>
      <c r="AG31" s="3039">
        <f t="shared" si="89"/>
        <v>0</v>
      </c>
      <c r="AH31" s="3040">
        <f t="shared" si="89"/>
        <v>0</v>
      </c>
      <c r="AI31" s="3041">
        <f t="shared" si="89"/>
        <v>0</v>
      </c>
      <c r="AJ31" s="3041">
        <f t="shared" si="89"/>
        <v>0</v>
      </c>
      <c r="AK31" s="3041">
        <f t="shared" si="89"/>
        <v>0</v>
      </c>
      <c r="AL31" s="3041">
        <f t="shared" si="89"/>
        <v>0</v>
      </c>
      <c r="AM31" s="3042">
        <f t="shared" si="89"/>
        <v>0</v>
      </c>
      <c r="AN31" s="4370">
        <f t="shared" si="88"/>
        <v>0</v>
      </c>
      <c r="AO31" s="3175"/>
      <c r="AP31" s="3176"/>
      <c r="AQ31" s="3176"/>
      <c r="AR31" s="3176"/>
      <c r="AS31" s="3176"/>
      <c r="AT31" s="3177"/>
      <c r="AU31" s="4775"/>
      <c r="AV31" s="4794">
        <f t="shared" si="40"/>
        <v>0</v>
      </c>
      <c r="AW31" s="4794">
        <f t="shared" si="41"/>
        <v>0</v>
      </c>
      <c r="AX31" s="4794">
        <f t="shared" si="42"/>
        <v>0</v>
      </c>
      <c r="AY31" s="4794">
        <f t="shared" si="43"/>
        <v>0</v>
      </c>
      <c r="AZ31" s="4794">
        <f t="shared" si="44"/>
        <v>0</v>
      </c>
      <c r="BA31" s="4794">
        <f t="shared" si="45"/>
        <v>0</v>
      </c>
      <c r="BB31" s="4794">
        <f t="shared" si="46"/>
        <v>0</v>
      </c>
      <c r="BC31" s="4794">
        <f t="shared" si="47"/>
        <v>0</v>
      </c>
      <c r="BD31" s="4794">
        <f t="shared" si="48"/>
        <v>0</v>
      </c>
      <c r="BE31" s="4794">
        <f t="shared" si="49"/>
        <v>0</v>
      </c>
      <c r="BF31" s="4794">
        <f t="shared" si="50"/>
        <v>0</v>
      </c>
      <c r="BG31" s="4794">
        <f t="shared" si="51"/>
        <v>0</v>
      </c>
      <c r="BH31" s="4794">
        <f t="shared" si="52"/>
        <v>0</v>
      </c>
      <c r="BI31" s="4794">
        <f t="shared" si="53"/>
        <v>0</v>
      </c>
      <c r="BJ31" s="4794">
        <f t="shared" si="54"/>
        <v>0</v>
      </c>
      <c r="BK31" s="4794">
        <f t="shared" si="55"/>
        <v>0</v>
      </c>
      <c r="BL31" s="4794">
        <f t="shared" si="56"/>
        <v>0</v>
      </c>
      <c r="BM31" s="4794">
        <f t="shared" si="57"/>
        <v>0</v>
      </c>
      <c r="BN31" s="4794">
        <f t="shared" si="58"/>
        <v>0</v>
      </c>
      <c r="BO31" s="4794">
        <f t="shared" si="59"/>
        <v>0</v>
      </c>
      <c r="BP31" s="4794">
        <f t="shared" si="60"/>
        <v>0</v>
      </c>
      <c r="BQ31" s="4794">
        <f t="shared" si="61"/>
        <v>0</v>
      </c>
      <c r="BR31" s="4794">
        <f t="shared" si="62"/>
        <v>0</v>
      </c>
      <c r="BS31" s="4794">
        <f t="shared" si="63"/>
        <v>0</v>
      </c>
      <c r="BT31" s="4794">
        <f t="shared" si="64"/>
        <v>0</v>
      </c>
      <c r="BU31" s="4794">
        <f t="shared" si="65"/>
        <v>0</v>
      </c>
      <c r="BV31" s="4794">
        <f t="shared" si="66"/>
        <v>0</v>
      </c>
      <c r="BW31" s="4794">
        <f t="shared" si="67"/>
        <v>0</v>
      </c>
      <c r="BX31" s="4794">
        <f t="shared" si="68"/>
        <v>0</v>
      </c>
      <c r="BY31" s="4794">
        <f t="shared" si="69"/>
        <v>0</v>
      </c>
      <c r="BZ31" s="4794">
        <f t="shared" si="70"/>
        <v>0</v>
      </c>
      <c r="CA31" s="4794">
        <f t="shared" si="71"/>
        <v>0</v>
      </c>
      <c r="CB31" s="4794">
        <f t="shared" si="72"/>
        <v>0</v>
      </c>
      <c r="CC31" s="4794">
        <f t="shared" si="73"/>
        <v>0</v>
      </c>
      <c r="CD31" s="4794">
        <f t="shared" si="74"/>
        <v>0</v>
      </c>
    </row>
    <row r="32" spans="1:82" s="675" customFormat="1">
      <c r="A32" s="3034"/>
      <c r="B32" s="3044">
        <v>2040101</v>
      </c>
      <c r="C32" s="3045">
        <v>0.1</v>
      </c>
      <c r="D32" s="3050" t="s">
        <v>431</v>
      </c>
      <c r="E32" s="4738">
        <f>SUMIF('11.3. ДА Базова година'!$B$12:$B$39,$B32,'11.3. ДА Базова година'!F$12:F$39)+SUMIF('11.3. ДА Базова година'!$B$92:$B$110,$B32,'11.3. ДА Базова година'!F$92:F$110)</f>
        <v>0</v>
      </c>
      <c r="F32" s="418"/>
      <c r="G32" s="416"/>
      <c r="H32" s="416"/>
      <c r="I32" s="416"/>
      <c r="J32" s="416"/>
      <c r="K32" s="276"/>
      <c r="L32" s="4738">
        <f>SUMIF('11.3. ДА Базова година'!$B$12:$B$39,$B32,'11.3. ДА Базова година'!J$12:J$39)+SUMIF('11.3. ДА Базова година'!$B$92:$B$110,$B32,'11.3. ДА Базова година'!J$92:J$110)</f>
        <v>0</v>
      </c>
      <c r="M32" s="418"/>
      <c r="N32" s="416"/>
      <c r="O32" s="416"/>
      <c r="P32" s="416"/>
      <c r="Q32" s="416"/>
      <c r="R32" s="276"/>
      <c r="S32" s="4738">
        <f>SUMIF('11.3. ДА Базова година'!$B$12:$B$39,$B32,'11.3. ДА Базова година'!N$12:N$39)+SUMIF('11.3. ДА Базова година'!$B$92:$B$110,$B32,'11.3. ДА Базова година'!N$92:N$110)</f>
        <v>0</v>
      </c>
      <c r="T32" s="418"/>
      <c r="U32" s="416"/>
      <c r="V32" s="416"/>
      <c r="W32" s="416"/>
      <c r="X32" s="416"/>
      <c r="Y32" s="417"/>
      <c r="Z32" s="4738">
        <f>SUMIF('11.3. ДА Базова година'!$B$12:$B$39,$B32,'11.3. ДА Базова година'!R$12:R$39)+SUMIF('11.3. ДА Базова година'!$B$92:$B$110,$B32,'11.3. ДА Базова година'!R$92:R$110)</f>
        <v>0</v>
      </c>
      <c r="AA32" s="418"/>
      <c r="AB32" s="416"/>
      <c r="AC32" s="416"/>
      <c r="AD32" s="416"/>
      <c r="AE32" s="416"/>
      <c r="AF32" s="417"/>
      <c r="AG32" s="4738">
        <f>SUMIF('11.3. ДА Базова година'!$B$12:$B$39,$B32,'11.3. ДА Базова година'!V$12:V$39)+SUMIF('11.3. ДА Базова година'!$B$92:$B$110,$B32,'11.3. ДА Базова година'!V$92:V$110)</f>
        <v>0</v>
      </c>
      <c r="AH32" s="418"/>
      <c r="AI32" s="416"/>
      <c r="AJ32" s="416"/>
      <c r="AK32" s="416"/>
      <c r="AL32" s="416"/>
      <c r="AM32" s="276"/>
      <c r="AN32" s="4368"/>
      <c r="AO32" s="3175"/>
      <c r="AP32" s="3176"/>
      <c r="AQ32" s="3176"/>
      <c r="AR32" s="3176"/>
      <c r="AS32" s="3176"/>
      <c r="AT32" s="3177"/>
      <c r="AU32" s="4775"/>
      <c r="AV32" s="4794">
        <f t="shared" si="40"/>
        <v>0</v>
      </c>
      <c r="AW32" s="4794">
        <f t="shared" si="41"/>
        <v>0</v>
      </c>
      <c r="AX32" s="4794">
        <f t="shared" si="42"/>
        <v>0</v>
      </c>
      <c r="AY32" s="4794">
        <f t="shared" si="43"/>
        <v>0</v>
      </c>
      <c r="AZ32" s="4794">
        <f t="shared" si="44"/>
        <v>0</v>
      </c>
      <c r="BA32" s="4794">
        <f t="shared" si="45"/>
        <v>0</v>
      </c>
      <c r="BB32" s="4794">
        <f t="shared" si="46"/>
        <v>0</v>
      </c>
      <c r="BC32" s="4794">
        <f t="shared" si="47"/>
        <v>0</v>
      </c>
      <c r="BD32" s="4794">
        <f t="shared" si="48"/>
        <v>0</v>
      </c>
      <c r="BE32" s="4794">
        <f t="shared" si="49"/>
        <v>0</v>
      </c>
      <c r="BF32" s="4794">
        <f t="shared" si="50"/>
        <v>0</v>
      </c>
      <c r="BG32" s="4794">
        <f t="shared" si="51"/>
        <v>0</v>
      </c>
      <c r="BH32" s="4794">
        <f t="shared" si="52"/>
        <v>0</v>
      </c>
      <c r="BI32" s="4794">
        <f t="shared" si="53"/>
        <v>0</v>
      </c>
      <c r="BJ32" s="4794">
        <f t="shared" si="54"/>
        <v>0</v>
      </c>
      <c r="BK32" s="4794">
        <f t="shared" si="55"/>
        <v>0</v>
      </c>
      <c r="BL32" s="4794">
        <f t="shared" si="56"/>
        <v>0</v>
      </c>
      <c r="BM32" s="4794">
        <f t="shared" si="57"/>
        <v>0</v>
      </c>
      <c r="BN32" s="4794">
        <f t="shared" si="58"/>
        <v>0</v>
      </c>
      <c r="BO32" s="4794">
        <f t="shared" si="59"/>
        <v>0</v>
      </c>
      <c r="BP32" s="4794">
        <f t="shared" si="60"/>
        <v>0</v>
      </c>
      <c r="BQ32" s="4794">
        <f t="shared" si="61"/>
        <v>0</v>
      </c>
      <c r="BR32" s="4794">
        <f t="shared" si="62"/>
        <v>0</v>
      </c>
      <c r="BS32" s="4794">
        <f t="shared" si="63"/>
        <v>0</v>
      </c>
      <c r="BT32" s="4794">
        <f t="shared" si="64"/>
        <v>0</v>
      </c>
      <c r="BU32" s="4794">
        <f t="shared" si="65"/>
        <v>0</v>
      </c>
      <c r="BV32" s="4794">
        <f t="shared" si="66"/>
        <v>0</v>
      </c>
      <c r="BW32" s="4794">
        <f t="shared" si="67"/>
        <v>0</v>
      </c>
      <c r="BX32" s="4794">
        <f t="shared" si="68"/>
        <v>0</v>
      </c>
      <c r="BY32" s="4794">
        <f t="shared" si="69"/>
        <v>0</v>
      </c>
      <c r="BZ32" s="4794">
        <f t="shared" si="70"/>
        <v>0</v>
      </c>
      <c r="CA32" s="4794">
        <f t="shared" si="71"/>
        <v>0</v>
      </c>
      <c r="CB32" s="4794">
        <f t="shared" si="72"/>
        <v>0</v>
      </c>
      <c r="CC32" s="4794">
        <f t="shared" si="73"/>
        <v>0</v>
      </c>
      <c r="CD32" s="4794">
        <f t="shared" si="74"/>
        <v>0</v>
      </c>
    </row>
    <row r="33" spans="1:82" s="675" customFormat="1">
      <c r="A33" s="3034"/>
      <c r="B33" s="3044">
        <v>2040102</v>
      </c>
      <c r="C33" s="3045">
        <v>0.04</v>
      </c>
      <c r="D33" s="3050" t="s">
        <v>432</v>
      </c>
      <c r="E33" s="4738">
        <f>SUMIF('11.3. ДА Базова година'!$B$12:$B$39,$B33,'11.3. ДА Базова година'!F$12:F$39)+SUMIF('11.3. ДА Базова година'!$B$92:$B$110,$B33,'11.3. ДА Базова година'!F$92:F$110)</f>
        <v>0</v>
      </c>
      <c r="F33" s="418"/>
      <c r="G33" s="416"/>
      <c r="H33" s="416"/>
      <c r="I33" s="416"/>
      <c r="J33" s="416"/>
      <c r="K33" s="276"/>
      <c r="L33" s="4738">
        <f>SUMIF('11.3. ДА Базова година'!$B$12:$B$39,$B33,'11.3. ДА Базова година'!J$12:J$39)+SUMIF('11.3. ДА Базова година'!$B$92:$B$110,$B33,'11.3. ДА Базова година'!J$92:J$110)</f>
        <v>0</v>
      </c>
      <c r="M33" s="418"/>
      <c r="N33" s="416"/>
      <c r="O33" s="416"/>
      <c r="P33" s="416"/>
      <c r="Q33" s="416"/>
      <c r="R33" s="276"/>
      <c r="S33" s="4738">
        <f>SUMIF('11.3. ДА Базова година'!$B$12:$B$39,$B33,'11.3. ДА Базова година'!N$12:N$39)+SUMIF('11.3. ДА Базова година'!$B$92:$B$110,$B33,'11.3. ДА Базова година'!N$92:N$110)</f>
        <v>0</v>
      </c>
      <c r="T33" s="418"/>
      <c r="U33" s="416"/>
      <c r="V33" s="416"/>
      <c r="W33" s="416"/>
      <c r="X33" s="416"/>
      <c r="Y33" s="417"/>
      <c r="Z33" s="4738">
        <f>SUMIF('11.3. ДА Базова година'!$B$12:$B$39,$B33,'11.3. ДА Базова година'!R$12:R$39)+SUMIF('11.3. ДА Базова година'!$B$92:$B$110,$B33,'11.3. ДА Базова година'!R$92:R$110)</f>
        <v>0</v>
      </c>
      <c r="AA33" s="418"/>
      <c r="AB33" s="416"/>
      <c r="AC33" s="416"/>
      <c r="AD33" s="416"/>
      <c r="AE33" s="416"/>
      <c r="AF33" s="417"/>
      <c r="AG33" s="4738">
        <f>SUMIF('11.3. ДА Базова година'!$B$12:$B$39,$B33,'11.3. ДА Базова година'!V$12:V$39)+SUMIF('11.3. ДА Базова година'!$B$92:$B$110,$B33,'11.3. ДА Базова година'!V$92:V$110)</f>
        <v>0</v>
      </c>
      <c r="AH33" s="418"/>
      <c r="AI33" s="416"/>
      <c r="AJ33" s="416"/>
      <c r="AK33" s="416"/>
      <c r="AL33" s="416"/>
      <c r="AM33" s="276"/>
      <c r="AN33" s="4368"/>
      <c r="AO33" s="3175"/>
      <c r="AP33" s="3176"/>
      <c r="AQ33" s="3176"/>
      <c r="AR33" s="3176"/>
      <c r="AS33" s="3176"/>
      <c r="AT33" s="3177"/>
      <c r="AU33" s="4775"/>
      <c r="AV33" s="4794">
        <f t="shared" si="40"/>
        <v>0</v>
      </c>
      <c r="AW33" s="4794">
        <f t="shared" si="41"/>
        <v>0</v>
      </c>
      <c r="AX33" s="4794">
        <f t="shared" si="42"/>
        <v>0</v>
      </c>
      <c r="AY33" s="4794">
        <f t="shared" si="43"/>
        <v>0</v>
      </c>
      <c r="AZ33" s="4794">
        <f t="shared" si="44"/>
        <v>0</v>
      </c>
      <c r="BA33" s="4794">
        <f t="shared" si="45"/>
        <v>0</v>
      </c>
      <c r="BB33" s="4794">
        <f t="shared" si="46"/>
        <v>0</v>
      </c>
      <c r="BC33" s="4794">
        <f t="shared" si="47"/>
        <v>0</v>
      </c>
      <c r="BD33" s="4794">
        <f t="shared" si="48"/>
        <v>0</v>
      </c>
      <c r="BE33" s="4794">
        <f t="shared" si="49"/>
        <v>0</v>
      </c>
      <c r="BF33" s="4794">
        <f t="shared" si="50"/>
        <v>0</v>
      </c>
      <c r="BG33" s="4794">
        <f t="shared" si="51"/>
        <v>0</v>
      </c>
      <c r="BH33" s="4794">
        <f t="shared" si="52"/>
        <v>0</v>
      </c>
      <c r="BI33" s="4794">
        <f t="shared" si="53"/>
        <v>0</v>
      </c>
      <c r="BJ33" s="4794">
        <f t="shared" si="54"/>
        <v>0</v>
      </c>
      <c r="BK33" s="4794">
        <f t="shared" si="55"/>
        <v>0</v>
      </c>
      <c r="BL33" s="4794">
        <f t="shared" si="56"/>
        <v>0</v>
      </c>
      <c r="BM33" s="4794">
        <f t="shared" si="57"/>
        <v>0</v>
      </c>
      <c r="BN33" s="4794">
        <f t="shared" si="58"/>
        <v>0</v>
      </c>
      <c r="BO33" s="4794">
        <f t="shared" si="59"/>
        <v>0</v>
      </c>
      <c r="BP33" s="4794">
        <f t="shared" si="60"/>
        <v>0</v>
      </c>
      <c r="BQ33" s="4794">
        <f t="shared" si="61"/>
        <v>0</v>
      </c>
      <c r="BR33" s="4794">
        <f t="shared" si="62"/>
        <v>0</v>
      </c>
      <c r="BS33" s="4794">
        <f t="shared" si="63"/>
        <v>0</v>
      </c>
      <c r="BT33" s="4794">
        <f t="shared" si="64"/>
        <v>0</v>
      </c>
      <c r="BU33" s="4794">
        <f t="shared" si="65"/>
        <v>0</v>
      </c>
      <c r="BV33" s="4794">
        <f t="shared" si="66"/>
        <v>0</v>
      </c>
      <c r="BW33" s="4794">
        <f t="shared" si="67"/>
        <v>0</v>
      </c>
      <c r="BX33" s="4794">
        <f t="shared" si="68"/>
        <v>0</v>
      </c>
      <c r="BY33" s="4794">
        <f t="shared" si="69"/>
        <v>0</v>
      </c>
      <c r="BZ33" s="4794">
        <f t="shared" si="70"/>
        <v>0</v>
      </c>
      <c r="CA33" s="4794">
        <f t="shared" si="71"/>
        <v>0</v>
      </c>
      <c r="CB33" s="4794">
        <f t="shared" si="72"/>
        <v>0</v>
      </c>
      <c r="CC33" s="4794">
        <f t="shared" si="73"/>
        <v>0</v>
      </c>
      <c r="CD33" s="4794">
        <f t="shared" si="74"/>
        <v>0</v>
      </c>
    </row>
    <row r="34" spans="1:82" s="675" customFormat="1">
      <c r="A34" s="3034"/>
      <c r="B34" s="2742">
        <v>20402</v>
      </c>
      <c r="C34" s="3047"/>
      <c r="D34" s="3024" t="s">
        <v>433</v>
      </c>
      <c r="E34" s="3039">
        <f>SUM(E35:E42)</f>
        <v>4178</v>
      </c>
      <c r="F34" s="3040">
        <f>SUM(F35:F42)</f>
        <v>0</v>
      </c>
      <c r="G34" s="3041">
        <f t="shared" ref="G34:K34" si="90">SUM(G35:G42)</f>
        <v>0</v>
      </c>
      <c r="H34" s="3041">
        <f t="shared" si="90"/>
        <v>0</v>
      </c>
      <c r="I34" s="3041">
        <f t="shared" si="90"/>
        <v>0</v>
      </c>
      <c r="J34" s="3041">
        <f t="shared" si="90"/>
        <v>0</v>
      </c>
      <c r="K34" s="3042">
        <f t="shared" si="90"/>
        <v>0</v>
      </c>
      <c r="L34" s="3039">
        <f>SUM(L35:L42)</f>
        <v>94</v>
      </c>
      <c r="M34" s="3040">
        <f t="shared" ref="M34:AN34" si="91">SUM(M35:M42)</f>
        <v>0</v>
      </c>
      <c r="N34" s="3041">
        <f t="shared" si="91"/>
        <v>0</v>
      </c>
      <c r="O34" s="3041">
        <f t="shared" si="91"/>
        <v>0</v>
      </c>
      <c r="P34" s="3041">
        <f t="shared" si="91"/>
        <v>0</v>
      </c>
      <c r="Q34" s="3041">
        <f t="shared" si="91"/>
        <v>0</v>
      </c>
      <c r="R34" s="3042">
        <f t="shared" si="91"/>
        <v>0</v>
      </c>
      <c r="S34" s="3039">
        <f t="shared" si="91"/>
        <v>93</v>
      </c>
      <c r="T34" s="3040">
        <f t="shared" si="91"/>
        <v>0</v>
      </c>
      <c r="U34" s="3041">
        <f t="shared" si="91"/>
        <v>0</v>
      </c>
      <c r="V34" s="3041">
        <f t="shared" si="91"/>
        <v>0</v>
      </c>
      <c r="W34" s="3041">
        <f t="shared" si="91"/>
        <v>0</v>
      </c>
      <c r="X34" s="3041">
        <f t="shared" si="91"/>
        <v>0</v>
      </c>
      <c r="Y34" s="3043">
        <f t="shared" si="91"/>
        <v>0</v>
      </c>
      <c r="Z34" s="3039">
        <f t="shared" si="91"/>
        <v>0</v>
      </c>
      <c r="AA34" s="3040">
        <f t="shared" si="91"/>
        <v>0</v>
      </c>
      <c r="AB34" s="3041">
        <f t="shared" si="91"/>
        <v>0</v>
      </c>
      <c r="AC34" s="3041">
        <f t="shared" si="91"/>
        <v>0</v>
      </c>
      <c r="AD34" s="3041">
        <f t="shared" si="91"/>
        <v>0</v>
      </c>
      <c r="AE34" s="3041">
        <f t="shared" si="91"/>
        <v>0</v>
      </c>
      <c r="AF34" s="3043">
        <f t="shared" si="91"/>
        <v>0</v>
      </c>
      <c r="AG34" s="3039">
        <f>SUM(AG35:AG42)</f>
        <v>0</v>
      </c>
      <c r="AH34" s="3040">
        <f>SUM(AH35:AH42)</f>
        <v>0</v>
      </c>
      <c r="AI34" s="3041">
        <f t="shared" ref="AI34:AM34" si="92">SUM(AI35:AI42)</f>
        <v>0</v>
      </c>
      <c r="AJ34" s="3041">
        <f t="shared" si="92"/>
        <v>0</v>
      </c>
      <c r="AK34" s="3041">
        <f t="shared" si="92"/>
        <v>0</v>
      </c>
      <c r="AL34" s="3041">
        <f t="shared" si="92"/>
        <v>0</v>
      </c>
      <c r="AM34" s="3042">
        <f t="shared" si="92"/>
        <v>0</v>
      </c>
      <c r="AN34" s="4370">
        <f t="shared" si="91"/>
        <v>0</v>
      </c>
      <c r="AO34" s="3175"/>
      <c r="AP34" s="3176"/>
      <c r="AQ34" s="3176"/>
      <c r="AR34" s="3176"/>
      <c r="AS34" s="3176"/>
      <c r="AT34" s="3177"/>
      <c r="AU34" s="4775"/>
      <c r="AV34" s="4794">
        <f t="shared" si="40"/>
        <v>2136.1774796378008</v>
      </c>
      <c r="AW34" s="4794">
        <f t="shared" si="41"/>
        <v>0</v>
      </c>
      <c r="AX34" s="4794">
        <f t="shared" si="42"/>
        <v>0</v>
      </c>
      <c r="AY34" s="4794">
        <f t="shared" si="43"/>
        <v>0</v>
      </c>
      <c r="AZ34" s="4794">
        <f t="shared" si="44"/>
        <v>0</v>
      </c>
      <c r="BA34" s="4794">
        <f t="shared" si="45"/>
        <v>0</v>
      </c>
      <c r="BB34" s="4794">
        <f t="shared" si="46"/>
        <v>0</v>
      </c>
      <c r="BC34" s="4794">
        <f t="shared" si="47"/>
        <v>48.061436832444535</v>
      </c>
      <c r="BD34" s="4794">
        <f t="shared" si="48"/>
        <v>0</v>
      </c>
      <c r="BE34" s="4794">
        <f t="shared" si="49"/>
        <v>0</v>
      </c>
      <c r="BF34" s="4794">
        <f t="shared" si="50"/>
        <v>0</v>
      </c>
      <c r="BG34" s="4794">
        <f t="shared" si="51"/>
        <v>0</v>
      </c>
      <c r="BH34" s="4794">
        <f t="shared" si="52"/>
        <v>0</v>
      </c>
      <c r="BI34" s="4794">
        <f t="shared" si="53"/>
        <v>0</v>
      </c>
      <c r="BJ34" s="4794">
        <f t="shared" si="54"/>
        <v>47.550144951248321</v>
      </c>
      <c r="BK34" s="4794">
        <f t="shared" si="55"/>
        <v>0</v>
      </c>
      <c r="BL34" s="4794">
        <f t="shared" si="56"/>
        <v>0</v>
      </c>
      <c r="BM34" s="4794">
        <f t="shared" si="57"/>
        <v>0</v>
      </c>
      <c r="BN34" s="4794">
        <f t="shared" si="58"/>
        <v>0</v>
      </c>
      <c r="BO34" s="4794">
        <f t="shared" si="59"/>
        <v>0</v>
      </c>
      <c r="BP34" s="4794">
        <f t="shared" si="60"/>
        <v>0</v>
      </c>
      <c r="BQ34" s="4794">
        <f t="shared" si="61"/>
        <v>0</v>
      </c>
      <c r="BR34" s="4794">
        <f t="shared" si="62"/>
        <v>0</v>
      </c>
      <c r="BS34" s="4794">
        <f t="shared" si="63"/>
        <v>0</v>
      </c>
      <c r="BT34" s="4794">
        <f t="shared" si="64"/>
        <v>0</v>
      </c>
      <c r="BU34" s="4794">
        <f t="shared" si="65"/>
        <v>0</v>
      </c>
      <c r="BV34" s="4794">
        <f t="shared" si="66"/>
        <v>0</v>
      </c>
      <c r="BW34" s="4794">
        <f t="shared" si="67"/>
        <v>0</v>
      </c>
      <c r="BX34" s="4794">
        <f t="shared" si="68"/>
        <v>0</v>
      </c>
      <c r="BY34" s="4794">
        <f t="shared" si="69"/>
        <v>0</v>
      </c>
      <c r="BZ34" s="4794">
        <f t="shared" si="70"/>
        <v>0</v>
      </c>
      <c r="CA34" s="4794">
        <f t="shared" si="71"/>
        <v>0</v>
      </c>
      <c r="CB34" s="4794">
        <f t="shared" si="72"/>
        <v>0</v>
      </c>
      <c r="CC34" s="4794">
        <f t="shared" si="73"/>
        <v>0</v>
      </c>
      <c r="CD34" s="4794">
        <f t="shared" si="74"/>
        <v>0</v>
      </c>
    </row>
    <row r="35" spans="1:82" s="675" customFormat="1">
      <c r="A35" s="3034"/>
      <c r="B35" s="2742">
        <v>2040201</v>
      </c>
      <c r="C35" s="3035">
        <v>0.02</v>
      </c>
      <c r="D35" s="3046" t="s">
        <v>738</v>
      </c>
      <c r="E35" s="4738">
        <f>SUMIF('11.3. ДА Базова година'!$B$12:$B$39,$B35,'11.3. ДА Базова година'!F$12:F$39)+SUMIF('11.3. ДА Базова година'!$B$92:$B$110,$B35,'11.3. ДА Базова година'!F$92:F$110)</f>
        <v>0</v>
      </c>
      <c r="F35" s="418"/>
      <c r="G35" s="416"/>
      <c r="H35" s="416"/>
      <c r="I35" s="416"/>
      <c r="J35" s="416"/>
      <c r="K35" s="276"/>
      <c r="L35" s="4738">
        <f>SUMIF('11.3. ДА Базова година'!$B$12:$B$39,$B35,'11.3. ДА Базова година'!J$12:J$39)+SUMIF('11.3. ДА Базова година'!$B$92:$B$110,$B35,'11.3. ДА Базова година'!J$92:J$110)</f>
        <v>0</v>
      </c>
      <c r="M35" s="418"/>
      <c r="N35" s="416"/>
      <c r="O35" s="416"/>
      <c r="P35" s="416"/>
      <c r="Q35" s="416"/>
      <c r="R35" s="276"/>
      <c r="S35" s="4738">
        <f>SUMIF('11.3. ДА Базова година'!$B$12:$B$39,$B35,'11.3. ДА Базова година'!N$12:N$39)+SUMIF('11.3. ДА Базова година'!$B$92:$B$110,$B35,'11.3. ДА Базова година'!N$92:N$110)</f>
        <v>0</v>
      </c>
      <c r="T35" s="418"/>
      <c r="U35" s="416"/>
      <c r="V35" s="416"/>
      <c r="W35" s="416"/>
      <c r="X35" s="416"/>
      <c r="Y35" s="417"/>
      <c r="Z35" s="4738">
        <f>SUMIF('11.3. ДА Базова година'!$B$12:$B$39,$B35,'11.3. ДА Базова година'!R$12:R$39)+SUMIF('11.3. ДА Базова година'!$B$92:$B$110,$B35,'11.3. ДА Базова година'!R$92:R$110)</f>
        <v>0</v>
      </c>
      <c r="AA35" s="418"/>
      <c r="AB35" s="416"/>
      <c r="AC35" s="416"/>
      <c r="AD35" s="416"/>
      <c r="AE35" s="416"/>
      <c r="AF35" s="417"/>
      <c r="AG35" s="4738">
        <f>SUMIF('11.3. ДА Базова година'!$B$12:$B$39,$B35,'11.3. ДА Базова година'!V$12:V$39)+SUMIF('11.3. ДА Базова година'!$B$92:$B$110,$B35,'11.3. ДА Базова година'!V$92:V$110)</f>
        <v>0</v>
      </c>
      <c r="AH35" s="418"/>
      <c r="AI35" s="416"/>
      <c r="AJ35" s="416"/>
      <c r="AK35" s="416"/>
      <c r="AL35" s="416"/>
      <c r="AM35" s="276"/>
      <c r="AN35" s="4368"/>
      <c r="AO35" s="3175"/>
      <c r="AP35" s="3176"/>
      <c r="AQ35" s="3176"/>
      <c r="AR35" s="3176"/>
      <c r="AS35" s="3176"/>
      <c r="AT35" s="3177"/>
      <c r="AU35" s="4775"/>
      <c r="AV35" s="4794">
        <f t="shared" si="40"/>
        <v>0</v>
      </c>
      <c r="AW35" s="4794">
        <f t="shared" si="41"/>
        <v>0</v>
      </c>
      <c r="AX35" s="4794">
        <f t="shared" si="42"/>
        <v>0</v>
      </c>
      <c r="AY35" s="4794">
        <f t="shared" si="43"/>
        <v>0</v>
      </c>
      <c r="AZ35" s="4794">
        <f t="shared" si="44"/>
        <v>0</v>
      </c>
      <c r="BA35" s="4794">
        <f t="shared" si="45"/>
        <v>0</v>
      </c>
      <c r="BB35" s="4794">
        <f t="shared" si="46"/>
        <v>0</v>
      </c>
      <c r="BC35" s="4794">
        <f t="shared" si="47"/>
        <v>0</v>
      </c>
      <c r="BD35" s="4794">
        <f t="shared" si="48"/>
        <v>0</v>
      </c>
      <c r="BE35" s="4794">
        <f t="shared" si="49"/>
        <v>0</v>
      </c>
      <c r="BF35" s="4794">
        <f t="shared" si="50"/>
        <v>0</v>
      </c>
      <c r="BG35" s="4794">
        <f t="shared" si="51"/>
        <v>0</v>
      </c>
      <c r="BH35" s="4794">
        <f t="shared" si="52"/>
        <v>0</v>
      </c>
      <c r="BI35" s="4794">
        <f t="shared" si="53"/>
        <v>0</v>
      </c>
      <c r="BJ35" s="4794">
        <f t="shared" si="54"/>
        <v>0</v>
      </c>
      <c r="BK35" s="4794">
        <f t="shared" si="55"/>
        <v>0</v>
      </c>
      <c r="BL35" s="4794">
        <f t="shared" si="56"/>
        <v>0</v>
      </c>
      <c r="BM35" s="4794">
        <f t="shared" si="57"/>
        <v>0</v>
      </c>
      <c r="BN35" s="4794">
        <f t="shared" si="58"/>
        <v>0</v>
      </c>
      <c r="BO35" s="4794">
        <f t="shared" si="59"/>
        <v>0</v>
      </c>
      <c r="BP35" s="4794">
        <f t="shared" si="60"/>
        <v>0</v>
      </c>
      <c r="BQ35" s="4794">
        <f t="shared" si="61"/>
        <v>0</v>
      </c>
      <c r="BR35" s="4794">
        <f t="shared" si="62"/>
        <v>0</v>
      </c>
      <c r="BS35" s="4794">
        <f t="shared" si="63"/>
        <v>0</v>
      </c>
      <c r="BT35" s="4794">
        <f t="shared" si="64"/>
        <v>0</v>
      </c>
      <c r="BU35" s="4794">
        <f t="shared" si="65"/>
        <v>0</v>
      </c>
      <c r="BV35" s="4794">
        <f t="shared" si="66"/>
        <v>0</v>
      </c>
      <c r="BW35" s="4794">
        <f t="shared" si="67"/>
        <v>0</v>
      </c>
      <c r="BX35" s="4794">
        <f t="shared" si="68"/>
        <v>0</v>
      </c>
      <c r="BY35" s="4794">
        <f t="shared" si="69"/>
        <v>0</v>
      </c>
      <c r="BZ35" s="4794">
        <f t="shared" si="70"/>
        <v>0</v>
      </c>
      <c r="CA35" s="4794">
        <f t="shared" si="71"/>
        <v>0</v>
      </c>
      <c r="CB35" s="4794">
        <f t="shared" si="72"/>
        <v>0</v>
      </c>
      <c r="CC35" s="4794">
        <f t="shared" si="73"/>
        <v>0</v>
      </c>
      <c r="CD35" s="4794">
        <f t="shared" si="74"/>
        <v>0</v>
      </c>
    </row>
    <row r="36" spans="1:82" s="675" customFormat="1">
      <c r="A36" s="3034"/>
      <c r="B36" s="2742">
        <v>2040202</v>
      </c>
      <c r="C36" s="3035">
        <v>0.02</v>
      </c>
      <c r="D36" s="3046" t="s">
        <v>739</v>
      </c>
      <c r="E36" s="4738">
        <f>SUMIF('11.3. ДА Базова година'!$B$12:$B$39,$B36,'11.3. ДА Базова година'!F$12:F$39)+SUMIF('11.3. ДА Базова година'!$B$92:$B$110,$B36,'11.3. ДА Базова година'!F$92:F$110)</f>
        <v>0</v>
      </c>
      <c r="F36" s="418"/>
      <c r="G36" s="416"/>
      <c r="H36" s="416"/>
      <c r="I36" s="416"/>
      <c r="J36" s="416"/>
      <c r="K36" s="276"/>
      <c r="L36" s="4738">
        <f>SUMIF('11.3. ДА Базова година'!$B$12:$B$39,$B36,'11.3. ДА Базова година'!J$12:J$39)+SUMIF('11.3. ДА Базова година'!$B$92:$B$110,$B36,'11.3. ДА Базова година'!J$92:J$110)</f>
        <v>0</v>
      </c>
      <c r="M36" s="418"/>
      <c r="N36" s="416"/>
      <c r="O36" s="416"/>
      <c r="P36" s="416"/>
      <c r="Q36" s="416"/>
      <c r="R36" s="276"/>
      <c r="S36" s="4738">
        <f>SUMIF('11.3. ДА Базова година'!$B$12:$B$39,$B36,'11.3. ДА Базова година'!N$12:N$39)+SUMIF('11.3. ДА Базова година'!$B$92:$B$110,$B36,'11.3. ДА Базова година'!N$92:N$110)</f>
        <v>0</v>
      </c>
      <c r="T36" s="418"/>
      <c r="U36" s="416"/>
      <c r="V36" s="416"/>
      <c r="W36" s="416"/>
      <c r="X36" s="416"/>
      <c r="Y36" s="417"/>
      <c r="Z36" s="4738">
        <f>SUMIF('11.3. ДА Базова година'!$B$12:$B$39,$B36,'11.3. ДА Базова година'!R$12:R$39)+SUMIF('11.3. ДА Базова година'!$B$92:$B$110,$B36,'11.3. ДА Базова година'!R$92:R$110)</f>
        <v>0</v>
      </c>
      <c r="AA36" s="418"/>
      <c r="AB36" s="416"/>
      <c r="AC36" s="416"/>
      <c r="AD36" s="416"/>
      <c r="AE36" s="416"/>
      <c r="AF36" s="417"/>
      <c r="AG36" s="4738">
        <f>SUMIF('11.3. ДА Базова година'!$B$12:$B$39,$B36,'11.3. ДА Базова година'!V$12:V$39)+SUMIF('11.3. ДА Базова година'!$B$92:$B$110,$B36,'11.3. ДА Базова година'!V$92:V$110)</f>
        <v>0</v>
      </c>
      <c r="AH36" s="418"/>
      <c r="AI36" s="416"/>
      <c r="AJ36" s="416"/>
      <c r="AK36" s="416"/>
      <c r="AL36" s="416"/>
      <c r="AM36" s="276"/>
      <c r="AN36" s="4368"/>
      <c r="AO36" s="3175"/>
      <c r="AP36" s="3176"/>
      <c r="AQ36" s="3176"/>
      <c r="AR36" s="3176"/>
      <c r="AS36" s="3176"/>
      <c r="AT36" s="3177"/>
      <c r="AU36" s="4775"/>
      <c r="AV36" s="4794">
        <f t="shared" si="40"/>
        <v>0</v>
      </c>
      <c r="AW36" s="4794">
        <f t="shared" si="41"/>
        <v>0</v>
      </c>
      <c r="AX36" s="4794">
        <f t="shared" si="42"/>
        <v>0</v>
      </c>
      <c r="AY36" s="4794">
        <f t="shared" si="43"/>
        <v>0</v>
      </c>
      <c r="AZ36" s="4794">
        <f t="shared" si="44"/>
        <v>0</v>
      </c>
      <c r="BA36" s="4794">
        <f t="shared" si="45"/>
        <v>0</v>
      </c>
      <c r="BB36" s="4794">
        <f t="shared" si="46"/>
        <v>0</v>
      </c>
      <c r="BC36" s="4794">
        <f t="shared" si="47"/>
        <v>0</v>
      </c>
      <c r="BD36" s="4794">
        <f t="shared" si="48"/>
        <v>0</v>
      </c>
      <c r="BE36" s="4794">
        <f t="shared" si="49"/>
        <v>0</v>
      </c>
      <c r="BF36" s="4794">
        <f t="shared" si="50"/>
        <v>0</v>
      </c>
      <c r="BG36" s="4794">
        <f t="shared" si="51"/>
        <v>0</v>
      </c>
      <c r="BH36" s="4794">
        <f t="shared" si="52"/>
        <v>0</v>
      </c>
      <c r="BI36" s="4794">
        <f t="shared" si="53"/>
        <v>0</v>
      </c>
      <c r="BJ36" s="4794">
        <f t="shared" si="54"/>
        <v>0</v>
      </c>
      <c r="BK36" s="4794">
        <f t="shared" si="55"/>
        <v>0</v>
      </c>
      <c r="BL36" s="4794">
        <f t="shared" si="56"/>
        <v>0</v>
      </c>
      <c r="BM36" s="4794">
        <f t="shared" si="57"/>
        <v>0</v>
      </c>
      <c r="BN36" s="4794">
        <f t="shared" si="58"/>
        <v>0</v>
      </c>
      <c r="BO36" s="4794">
        <f t="shared" si="59"/>
        <v>0</v>
      </c>
      <c r="BP36" s="4794">
        <f t="shared" si="60"/>
        <v>0</v>
      </c>
      <c r="BQ36" s="4794">
        <f t="shared" si="61"/>
        <v>0</v>
      </c>
      <c r="BR36" s="4794">
        <f t="shared" si="62"/>
        <v>0</v>
      </c>
      <c r="BS36" s="4794">
        <f t="shared" si="63"/>
        <v>0</v>
      </c>
      <c r="BT36" s="4794">
        <f t="shared" si="64"/>
        <v>0</v>
      </c>
      <c r="BU36" s="4794">
        <f t="shared" si="65"/>
        <v>0</v>
      </c>
      <c r="BV36" s="4794">
        <f t="shared" si="66"/>
        <v>0</v>
      </c>
      <c r="BW36" s="4794">
        <f t="shared" si="67"/>
        <v>0</v>
      </c>
      <c r="BX36" s="4794">
        <f t="shared" si="68"/>
        <v>0</v>
      </c>
      <c r="BY36" s="4794">
        <f t="shared" si="69"/>
        <v>0</v>
      </c>
      <c r="BZ36" s="4794">
        <f t="shared" si="70"/>
        <v>0</v>
      </c>
      <c r="CA36" s="4794">
        <f t="shared" si="71"/>
        <v>0</v>
      </c>
      <c r="CB36" s="4794">
        <f t="shared" si="72"/>
        <v>0</v>
      </c>
      <c r="CC36" s="4794">
        <f t="shared" si="73"/>
        <v>0</v>
      </c>
      <c r="CD36" s="4794">
        <f t="shared" si="74"/>
        <v>0</v>
      </c>
    </row>
    <row r="37" spans="1:82" s="675" customFormat="1">
      <c r="A37" s="3034"/>
      <c r="B37" s="2742">
        <v>2040203</v>
      </c>
      <c r="C37" s="3035">
        <v>0.02</v>
      </c>
      <c r="D37" s="3046" t="s">
        <v>418</v>
      </c>
      <c r="E37" s="4738">
        <f>SUMIF('11.3. ДА Базова година'!$B$12:$B$39,$B37,'11.3. ДА Базова година'!F$12:F$39)+SUMIF('11.3. ДА Базова година'!$B$92:$B$110,$B37,'11.3. ДА Базова година'!F$92:F$110)</f>
        <v>0</v>
      </c>
      <c r="F37" s="418"/>
      <c r="G37" s="416"/>
      <c r="H37" s="416"/>
      <c r="I37" s="416"/>
      <c r="J37" s="416"/>
      <c r="K37" s="276"/>
      <c r="L37" s="4738">
        <f>SUMIF('11.3. ДА Базова година'!$B$12:$B$39,$B37,'11.3. ДА Базова година'!J$12:J$39)+SUMIF('11.3. ДА Базова година'!$B$92:$B$110,$B37,'11.3. ДА Базова година'!J$92:J$110)</f>
        <v>0</v>
      </c>
      <c r="M37" s="418"/>
      <c r="N37" s="416"/>
      <c r="O37" s="416"/>
      <c r="P37" s="416"/>
      <c r="Q37" s="416"/>
      <c r="R37" s="276"/>
      <c r="S37" s="4738">
        <f>SUMIF('11.3. ДА Базова година'!$B$12:$B$39,$B37,'11.3. ДА Базова година'!N$12:N$39)+SUMIF('11.3. ДА Базова година'!$B$92:$B$110,$B37,'11.3. ДА Базова година'!N$92:N$110)</f>
        <v>0</v>
      </c>
      <c r="T37" s="418"/>
      <c r="U37" s="416"/>
      <c r="V37" s="416"/>
      <c r="W37" s="416"/>
      <c r="X37" s="416"/>
      <c r="Y37" s="417"/>
      <c r="Z37" s="4738">
        <f>SUMIF('11.3. ДА Базова година'!$B$12:$B$39,$B37,'11.3. ДА Базова година'!R$12:R$39)+SUMIF('11.3. ДА Базова година'!$B$92:$B$110,$B37,'11.3. ДА Базова година'!R$92:R$110)</f>
        <v>0</v>
      </c>
      <c r="AA37" s="418"/>
      <c r="AB37" s="416"/>
      <c r="AC37" s="416"/>
      <c r="AD37" s="416"/>
      <c r="AE37" s="416"/>
      <c r="AF37" s="417"/>
      <c r="AG37" s="4738">
        <f>SUMIF('11.3. ДА Базова година'!$B$12:$B$39,$B37,'11.3. ДА Базова година'!V$12:V$39)+SUMIF('11.3. ДА Базова година'!$B$92:$B$110,$B37,'11.3. ДА Базова година'!V$92:V$110)</f>
        <v>0</v>
      </c>
      <c r="AH37" s="418"/>
      <c r="AI37" s="416"/>
      <c r="AJ37" s="416"/>
      <c r="AK37" s="416"/>
      <c r="AL37" s="416"/>
      <c r="AM37" s="276"/>
      <c r="AN37" s="4368"/>
      <c r="AO37" s="3175"/>
      <c r="AP37" s="3176"/>
      <c r="AQ37" s="3176"/>
      <c r="AR37" s="3176"/>
      <c r="AS37" s="3176"/>
      <c r="AT37" s="3177"/>
      <c r="AU37" s="4775"/>
      <c r="AV37" s="4794">
        <f t="shared" si="40"/>
        <v>0</v>
      </c>
      <c r="AW37" s="4794">
        <f t="shared" si="41"/>
        <v>0</v>
      </c>
      <c r="AX37" s="4794">
        <f t="shared" si="42"/>
        <v>0</v>
      </c>
      <c r="AY37" s="4794">
        <f t="shared" si="43"/>
        <v>0</v>
      </c>
      <c r="AZ37" s="4794">
        <f t="shared" si="44"/>
        <v>0</v>
      </c>
      <c r="BA37" s="4794">
        <f t="shared" si="45"/>
        <v>0</v>
      </c>
      <c r="BB37" s="4794">
        <f t="shared" si="46"/>
        <v>0</v>
      </c>
      <c r="BC37" s="4794">
        <f t="shared" si="47"/>
        <v>0</v>
      </c>
      <c r="BD37" s="4794">
        <f t="shared" si="48"/>
        <v>0</v>
      </c>
      <c r="BE37" s="4794">
        <f t="shared" si="49"/>
        <v>0</v>
      </c>
      <c r="BF37" s="4794">
        <f t="shared" si="50"/>
        <v>0</v>
      </c>
      <c r="BG37" s="4794">
        <f t="shared" si="51"/>
        <v>0</v>
      </c>
      <c r="BH37" s="4794">
        <f t="shared" si="52"/>
        <v>0</v>
      </c>
      <c r="BI37" s="4794">
        <f t="shared" si="53"/>
        <v>0</v>
      </c>
      <c r="BJ37" s="4794">
        <f t="shared" si="54"/>
        <v>0</v>
      </c>
      <c r="BK37" s="4794">
        <f t="shared" si="55"/>
        <v>0</v>
      </c>
      <c r="BL37" s="4794">
        <f t="shared" si="56"/>
        <v>0</v>
      </c>
      <c r="BM37" s="4794">
        <f t="shared" si="57"/>
        <v>0</v>
      </c>
      <c r="BN37" s="4794">
        <f t="shared" si="58"/>
        <v>0</v>
      </c>
      <c r="BO37" s="4794">
        <f t="shared" si="59"/>
        <v>0</v>
      </c>
      <c r="BP37" s="4794">
        <f t="shared" si="60"/>
        <v>0</v>
      </c>
      <c r="BQ37" s="4794">
        <f t="shared" si="61"/>
        <v>0</v>
      </c>
      <c r="BR37" s="4794">
        <f t="shared" si="62"/>
        <v>0</v>
      </c>
      <c r="BS37" s="4794">
        <f t="shared" si="63"/>
        <v>0</v>
      </c>
      <c r="BT37" s="4794">
        <f t="shared" si="64"/>
        <v>0</v>
      </c>
      <c r="BU37" s="4794">
        <f t="shared" si="65"/>
        <v>0</v>
      </c>
      <c r="BV37" s="4794">
        <f t="shared" si="66"/>
        <v>0</v>
      </c>
      <c r="BW37" s="4794">
        <f t="shared" si="67"/>
        <v>0</v>
      </c>
      <c r="BX37" s="4794">
        <f t="shared" si="68"/>
        <v>0</v>
      </c>
      <c r="BY37" s="4794">
        <f t="shared" si="69"/>
        <v>0</v>
      </c>
      <c r="BZ37" s="4794">
        <f t="shared" si="70"/>
        <v>0</v>
      </c>
      <c r="CA37" s="4794">
        <f t="shared" si="71"/>
        <v>0</v>
      </c>
      <c r="CB37" s="4794">
        <f t="shared" si="72"/>
        <v>0</v>
      </c>
      <c r="CC37" s="4794">
        <f t="shared" si="73"/>
        <v>0</v>
      </c>
      <c r="CD37" s="4794">
        <f t="shared" si="74"/>
        <v>0</v>
      </c>
    </row>
    <row r="38" spans="1:82" s="675" customFormat="1">
      <c r="A38" s="3034"/>
      <c r="B38" s="2742">
        <v>2040204</v>
      </c>
      <c r="C38" s="3035">
        <v>0.02</v>
      </c>
      <c r="D38" s="3050" t="s">
        <v>419</v>
      </c>
      <c r="E38" s="4738">
        <f>SUMIF('11.3. ДА Базова година'!$B$12:$B$39,$B38,'11.3. ДА Базова година'!F$12:F$39)+SUMIF('11.3. ДА Базова година'!$B$92:$B$110,$B38,'11.3. ДА Базова година'!F$92:F$110)</f>
        <v>0</v>
      </c>
      <c r="F38" s="418"/>
      <c r="G38" s="416"/>
      <c r="H38" s="416"/>
      <c r="I38" s="416"/>
      <c r="J38" s="416"/>
      <c r="K38" s="276"/>
      <c r="L38" s="4738">
        <f>SUMIF('11.3. ДА Базова година'!$B$12:$B$39,$B38,'11.3. ДА Базова година'!J$12:J$39)+SUMIF('11.3. ДА Базова година'!$B$92:$B$110,$B38,'11.3. ДА Базова година'!J$92:J$110)</f>
        <v>0</v>
      </c>
      <c r="M38" s="418"/>
      <c r="N38" s="416"/>
      <c r="O38" s="416"/>
      <c r="P38" s="416"/>
      <c r="Q38" s="416"/>
      <c r="R38" s="276"/>
      <c r="S38" s="4738">
        <f>SUMIF('11.3. ДА Базова година'!$B$12:$B$39,$B38,'11.3. ДА Базова година'!N$12:N$39)+SUMIF('11.3. ДА Базова година'!$B$92:$B$110,$B38,'11.3. ДА Базова година'!N$92:N$110)</f>
        <v>0</v>
      </c>
      <c r="T38" s="418"/>
      <c r="U38" s="416"/>
      <c r="V38" s="416"/>
      <c r="W38" s="416"/>
      <c r="X38" s="416"/>
      <c r="Y38" s="417"/>
      <c r="Z38" s="4738">
        <f>SUMIF('11.3. ДА Базова година'!$B$12:$B$39,$B38,'11.3. ДА Базова година'!R$12:R$39)+SUMIF('11.3. ДА Базова година'!$B$92:$B$110,$B38,'11.3. ДА Базова година'!R$92:R$110)</f>
        <v>0</v>
      </c>
      <c r="AA38" s="418"/>
      <c r="AB38" s="416"/>
      <c r="AC38" s="416"/>
      <c r="AD38" s="416"/>
      <c r="AE38" s="416"/>
      <c r="AF38" s="417"/>
      <c r="AG38" s="4738">
        <f>SUMIF('11.3. ДА Базова година'!$B$12:$B$39,$B38,'11.3. ДА Базова година'!V$12:V$39)+SUMIF('11.3. ДА Базова година'!$B$92:$B$110,$B38,'11.3. ДА Базова година'!V$92:V$110)</f>
        <v>0</v>
      </c>
      <c r="AH38" s="418"/>
      <c r="AI38" s="416"/>
      <c r="AJ38" s="416"/>
      <c r="AK38" s="416"/>
      <c r="AL38" s="416"/>
      <c r="AM38" s="276"/>
      <c r="AN38" s="4368"/>
      <c r="AO38" s="3175"/>
      <c r="AP38" s="3176"/>
      <c r="AQ38" s="3176"/>
      <c r="AR38" s="3176"/>
      <c r="AS38" s="3176"/>
      <c r="AT38" s="3177"/>
      <c r="AU38" s="4775"/>
      <c r="AV38" s="4794">
        <f t="shared" si="40"/>
        <v>0</v>
      </c>
      <c r="AW38" s="4794">
        <f t="shared" si="41"/>
        <v>0</v>
      </c>
      <c r="AX38" s="4794">
        <f t="shared" si="42"/>
        <v>0</v>
      </c>
      <c r="AY38" s="4794">
        <f t="shared" si="43"/>
        <v>0</v>
      </c>
      <c r="AZ38" s="4794">
        <f t="shared" si="44"/>
        <v>0</v>
      </c>
      <c r="BA38" s="4794">
        <f t="shared" si="45"/>
        <v>0</v>
      </c>
      <c r="BB38" s="4794">
        <f t="shared" si="46"/>
        <v>0</v>
      </c>
      <c r="BC38" s="4794">
        <f t="shared" si="47"/>
        <v>0</v>
      </c>
      <c r="BD38" s="4794">
        <f t="shared" si="48"/>
        <v>0</v>
      </c>
      <c r="BE38" s="4794">
        <f t="shared" si="49"/>
        <v>0</v>
      </c>
      <c r="BF38" s="4794">
        <f t="shared" si="50"/>
        <v>0</v>
      </c>
      <c r="BG38" s="4794">
        <f t="shared" si="51"/>
        <v>0</v>
      </c>
      <c r="BH38" s="4794">
        <f t="shared" si="52"/>
        <v>0</v>
      </c>
      <c r="BI38" s="4794">
        <f t="shared" si="53"/>
        <v>0</v>
      </c>
      <c r="BJ38" s="4794">
        <f t="shared" si="54"/>
        <v>0</v>
      </c>
      <c r="BK38" s="4794">
        <f t="shared" si="55"/>
        <v>0</v>
      </c>
      <c r="BL38" s="4794">
        <f t="shared" si="56"/>
        <v>0</v>
      </c>
      <c r="BM38" s="4794">
        <f t="shared" si="57"/>
        <v>0</v>
      </c>
      <c r="BN38" s="4794">
        <f t="shared" si="58"/>
        <v>0</v>
      </c>
      <c r="BO38" s="4794">
        <f t="shared" si="59"/>
        <v>0</v>
      </c>
      <c r="BP38" s="4794">
        <f t="shared" si="60"/>
        <v>0</v>
      </c>
      <c r="BQ38" s="4794">
        <f t="shared" si="61"/>
        <v>0</v>
      </c>
      <c r="BR38" s="4794">
        <f t="shared" si="62"/>
        <v>0</v>
      </c>
      <c r="BS38" s="4794">
        <f t="shared" si="63"/>
        <v>0</v>
      </c>
      <c r="BT38" s="4794">
        <f t="shared" si="64"/>
        <v>0</v>
      </c>
      <c r="BU38" s="4794">
        <f t="shared" si="65"/>
        <v>0</v>
      </c>
      <c r="BV38" s="4794">
        <f t="shared" si="66"/>
        <v>0</v>
      </c>
      <c r="BW38" s="4794">
        <f t="shared" si="67"/>
        <v>0</v>
      </c>
      <c r="BX38" s="4794">
        <f t="shared" si="68"/>
        <v>0</v>
      </c>
      <c r="BY38" s="4794">
        <f t="shared" si="69"/>
        <v>0</v>
      </c>
      <c r="BZ38" s="4794">
        <f t="shared" si="70"/>
        <v>0</v>
      </c>
      <c r="CA38" s="4794">
        <f t="shared" si="71"/>
        <v>0</v>
      </c>
      <c r="CB38" s="4794">
        <f t="shared" si="72"/>
        <v>0</v>
      </c>
      <c r="CC38" s="4794">
        <f t="shared" si="73"/>
        <v>0</v>
      </c>
      <c r="CD38" s="4794">
        <f t="shared" si="74"/>
        <v>0</v>
      </c>
    </row>
    <row r="39" spans="1:82" s="675" customFormat="1">
      <c r="A39" s="3034"/>
      <c r="B39" s="2742">
        <v>2040205</v>
      </c>
      <c r="C39" s="3035">
        <v>0.02</v>
      </c>
      <c r="D39" s="3046" t="s">
        <v>420</v>
      </c>
      <c r="E39" s="4738">
        <f>SUMIF('11.3. ДА Базова година'!$B$12:$B$39,$B39,'11.3. ДА Базова година'!F$12:F$39)+SUMIF('11.3. ДА Базова година'!$B$92:$B$110,$B39,'11.3. ДА Базова година'!F$92:F$110)</f>
        <v>3917</v>
      </c>
      <c r="F39" s="418"/>
      <c r="G39" s="416"/>
      <c r="H39" s="416"/>
      <c r="I39" s="416"/>
      <c r="J39" s="416"/>
      <c r="K39" s="276"/>
      <c r="L39" s="4738">
        <f>SUMIF('11.3. ДА Базова година'!$B$12:$B$39,$B39,'11.3. ДА Базова година'!J$12:J$39)+SUMIF('11.3. ДА Базова година'!$B$92:$B$110,$B39,'11.3. ДА Базова година'!J$92:J$110)</f>
        <v>0</v>
      </c>
      <c r="M39" s="418"/>
      <c r="N39" s="416"/>
      <c r="O39" s="416"/>
      <c r="P39" s="416"/>
      <c r="Q39" s="416"/>
      <c r="R39" s="276"/>
      <c r="S39" s="4738">
        <f>SUMIF('11.3. ДА Базова година'!$B$12:$B$39,$B39,'11.3. ДА Базова година'!N$12:N$39)+SUMIF('11.3. ДА Базова година'!$B$92:$B$110,$B39,'11.3. ДА Базова година'!N$92:N$110)</f>
        <v>0</v>
      </c>
      <c r="T39" s="418"/>
      <c r="U39" s="416"/>
      <c r="V39" s="416"/>
      <c r="W39" s="416"/>
      <c r="X39" s="416"/>
      <c r="Y39" s="417"/>
      <c r="Z39" s="4738">
        <f>SUMIF('11.3. ДА Базова година'!$B$12:$B$39,$B39,'11.3. ДА Базова година'!R$12:R$39)+SUMIF('11.3. ДА Базова година'!$B$92:$B$110,$B39,'11.3. ДА Базова година'!R$92:R$110)</f>
        <v>0</v>
      </c>
      <c r="AA39" s="418"/>
      <c r="AB39" s="416"/>
      <c r="AC39" s="416"/>
      <c r="AD39" s="416"/>
      <c r="AE39" s="416"/>
      <c r="AF39" s="417"/>
      <c r="AG39" s="4738">
        <f>SUMIF('11.3. ДА Базова година'!$B$12:$B$39,$B39,'11.3. ДА Базова година'!V$12:V$39)+SUMIF('11.3. ДА Базова година'!$B$92:$B$110,$B39,'11.3. ДА Базова година'!V$92:V$110)</f>
        <v>0</v>
      </c>
      <c r="AH39" s="418"/>
      <c r="AI39" s="416"/>
      <c r="AJ39" s="416"/>
      <c r="AK39" s="416"/>
      <c r="AL39" s="416"/>
      <c r="AM39" s="276"/>
      <c r="AN39" s="4368"/>
      <c r="AO39" s="3175"/>
      <c r="AP39" s="3176"/>
      <c r="AQ39" s="3176"/>
      <c r="AR39" s="3176"/>
      <c r="AS39" s="3176"/>
      <c r="AT39" s="3177"/>
      <c r="AU39" s="4775"/>
      <c r="AV39" s="4794">
        <f t="shared" si="40"/>
        <v>2002.7302986455879</v>
      </c>
      <c r="AW39" s="4794">
        <f t="shared" si="41"/>
        <v>0</v>
      </c>
      <c r="AX39" s="4794">
        <f t="shared" si="42"/>
        <v>0</v>
      </c>
      <c r="AY39" s="4794">
        <f t="shared" si="43"/>
        <v>0</v>
      </c>
      <c r="AZ39" s="4794">
        <f t="shared" si="44"/>
        <v>0</v>
      </c>
      <c r="BA39" s="4794">
        <f t="shared" si="45"/>
        <v>0</v>
      </c>
      <c r="BB39" s="4794">
        <f t="shared" si="46"/>
        <v>0</v>
      </c>
      <c r="BC39" s="4794">
        <f t="shared" si="47"/>
        <v>0</v>
      </c>
      <c r="BD39" s="4794">
        <f t="shared" si="48"/>
        <v>0</v>
      </c>
      <c r="BE39" s="4794">
        <f t="shared" si="49"/>
        <v>0</v>
      </c>
      <c r="BF39" s="4794">
        <f t="shared" si="50"/>
        <v>0</v>
      </c>
      <c r="BG39" s="4794">
        <f t="shared" si="51"/>
        <v>0</v>
      </c>
      <c r="BH39" s="4794">
        <f t="shared" si="52"/>
        <v>0</v>
      </c>
      <c r="BI39" s="4794">
        <f t="shared" si="53"/>
        <v>0</v>
      </c>
      <c r="BJ39" s="4794">
        <f t="shared" si="54"/>
        <v>0</v>
      </c>
      <c r="BK39" s="4794">
        <f t="shared" si="55"/>
        <v>0</v>
      </c>
      <c r="BL39" s="4794">
        <f t="shared" si="56"/>
        <v>0</v>
      </c>
      <c r="BM39" s="4794">
        <f t="shared" si="57"/>
        <v>0</v>
      </c>
      <c r="BN39" s="4794">
        <f t="shared" si="58"/>
        <v>0</v>
      </c>
      <c r="BO39" s="4794">
        <f t="shared" si="59"/>
        <v>0</v>
      </c>
      <c r="BP39" s="4794">
        <f t="shared" si="60"/>
        <v>0</v>
      </c>
      <c r="BQ39" s="4794">
        <f t="shared" si="61"/>
        <v>0</v>
      </c>
      <c r="BR39" s="4794">
        <f t="shared" si="62"/>
        <v>0</v>
      </c>
      <c r="BS39" s="4794">
        <f t="shared" si="63"/>
        <v>0</v>
      </c>
      <c r="BT39" s="4794">
        <f t="shared" si="64"/>
        <v>0</v>
      </c>
      <c r="BU39" s="4794">
        <f t="shared" si="65"/>
        <v>0</v>
      </c>
      <c r="BV39" s="4794">
        <f t="shared" si="66"/>
        <v>0</v>
      </c>
      <c r="BW39" s="4794">
        <f t="shared" si="67"/>
        <v>0</v>
      </c>
      <c r="BX39" s="4794">
        <f t="shared" si="68"/>
        <v>0</v>
      </c>
      <c r="BY39" s="4794">
        <f t="shared" si="69"/>
        <v>0</v>
      </c>
      <c r="BZ39" s="4794">
        <f t="shared" si="70"/>
        <v>0</v>
      </c>
      <c r="CA39" s="4794">
        <f t="shared" si="71"/>
        <v>0</v>
      </c>
      <c r="CB39" s="4794">
        <f t="shared" si="72"/>
        <v>0</v>
      </c>
      <c r="CC39" s="4794">
        <f t="shared" si="73"/>
        <v>0</v>
      </c>
      <c r="CD39" s="4794">
        <f t="shared" si="74"/>
        <v>0</v>
      </c>
    </row>
    <row r="40" spans="1:82" s="675" customFormat="1">
      <c r="A40" s="3034"/>
      <c r="B40" s="2742">
        <v>2040206</v>
      </c>
      <c r="C40" s="3035">
        <v>0.02</v>
      </c>
      <c r="D40" s="3046" t="s">
        <v>421</v>
      </c>
      <c r="E40" s="4738">
        <f>SUMIF('11.3. ДА Базова година'!$B$12:$B$39,$B40,'11.3. ДА Базова година'!F$12:F$39)+SUMIF('11.3. ДА Базова година'!$B$92:$B$110,$B40,'11.3. ДА Базова година'!F$92:F$110)</f>
        <v>0</v>
      </c>
      <c r="F40" s="418"/>
      <c r="G40" s="416"/>
      <c r="H40" s="416"/>
      <c r="I40" s="416"/>
      <c r="J40" s="416"/>
      <c r="K40" s="276"/>
      <c r="L40" s="4738">
        <f>SUMIF('11.3. ДА Базова година'!$B$12:$B$39,$B40,'11.3. ДА Базова година'!J$12:J$39)+SUMIF('11.3. ДА Базова година'!$B$92:$B$110,$B40,'11.3. ДА Базова година'!J$92:J$110)</f>
        <v>94</v>
      </c>
      <c r="M40" s="418"/>
      <c r="N40" s="416"/>
      <c r="O40" s="416"/>
      <c r="P40" s="416"/>
      <c r="Q40" s="416"/>
      <c r="R40" s="276"/>
      <c r="S40" s="4738">
        <f>SUMIF('11.3. ДА Базова година'!$B$12:$B$39,$B40,'11.3. ДА Базова година'!N$12:N$39)+SUMIF('11.3. ДА Базова година'!$B$92:$B$110,$B40,'11.3. ДА Базова година'!N$92:N$110)</f>
        <v>0</v>
      </c>
      <c r="T40" s="418"/>
      <c r="U40" s="416"/>
      <c r="V40" s="416"/>
      <c r="W40" s="416"/>
      <c r="X40" s="416"/>
      <c r="Y40" s="417"/>
      <c r="Z40" s="4738">
        <f>SUMIF('11.3. ДА Базова година'!$B$12:$B$39,$B40,'11.3. ДА Базова година'!R$12:R$39)+SUMIF('11.3. ДА Базова година'!$B$92:$B$110,$B40,'11.3. ДА Базова година'!R$92:R$110)</f>
        <v>0</v>
      </c>
      <c r="AA40" s="418"/>
      <c r="AB40" s="416"/>
      <c r="AC40" s="416"/>
      <c r="AD40" s="416"/>
      <c r="AE40" s="416"/>
      <c r="AF40" s="417"/>
      <c r="AG40" s="4738">
        <f>SUMIF('11.3. ДА Базова година'!$B$12:$B$39,$B40,'11.3. ДА Базова година'!V$12:V$39)+SUMIF('11.3. ДА Базова година'!$B$92:$B$110,$B40,'11.3. ДА Базова година'!V$92:V$110)</f>
        <v>0</v>
      </c>
      <c r="AH40" s="418"/>
      <c r="AI40" s="416"/>
      <c r="AJ40" s="416"/>
      <c r="AK40" s="416"/>
      <c r="AL40" s="416"/>
      <c r="AM40" s="276"/>
      <c r="AN40" s="4368"/>
      <c r="AO40" s="3175"/>
      <c r="AP40" s="3176"/>
      <c r="AQ40" s="3176"/>
      <c r="AR40" s="3176"/>
      <c r="AS40" s="3176"/>
      <c r="AT40" s="3177"/>
      <c r="AU40" s="4775"/>
      <c r="AV40" s="4794">
        <f t="shared" si="40"/>
        <v>0</v>
      </c>
      <c r="AW40" s="4794">
        <f t="shared" si="41"/>
        <v>0</v>
      </c>
      <c r="AX40" s="4794">
        <f t="shared" si="42"/>
        <v>0</v>
      </c>
      <c r="AY40" s="4794">
        <f t="shared" si="43"/>
        <v>0</v>
      </c>
      <c r="AZ40" s="4794">
        <f t="shared" si="44"/>
        <v>0</v>
      </c>
      <c r="BA40" s="4794">
        <f t="shared" si="45"/>
        <v>0</v>
      </c>
      <c r="BB40" s="4794">
        <f t="shared" si="46"/>
        <v>0</v>
      </c>
      <c r="BC40" s="4794">
        <f t="shared" si="47"/>
        <v>48.061436832444535</v>
      </c>
      <c r="BD40" s="4794">
        <f t="shared" si="48"/>
        <v>0</v>
      </c>
      <c r="BE40" s="4794">
        <f t="shared" si="49"/>
        <v>0</v>
      </c>
      <c r="BF40" s="4794">
        <f t="shared" si="50"/>
        <v>0</v>
      </c>
      <c r="BG40" s="4794">
        <f t="shared" si="51"/>
        <v>0</v>
      </c>
      <c r="BH40" s="4794">
        <f t="shared" si="52"/>
        <v>0</v>
      </c>
      <c r="BI40" s="4794">
        <f t="shared" si="53"/>
        <v>0</v>
      </c>
      <c r="BJ40" s="4794">
        <f t="shared" si="54"/>
        <v>0</v>
      </c>
      <c r="BK40" s="4794">
        <f t="shared" si="55"/>
        <v>0</v>
      </c>
      <c r="BL40" s="4794">
        <f t="shared" si="56"/>
        <v>0</v>
      </c>
      <c r="BM40" s="4794">
        <f t="shared" si="57"/>
        <v>0</v>
      </c>
      <c r="BN40" s="4794">
        <f t="shared" si="58"/>
        <v>0</v>
      </c>
      <c r="BO40" s="4794">
        <f t="shared" si="59"/>
        <v>0</v>
      </c>
      <c r="BP40" s="4794">
        <f t="shared" si="60"/>
        <v>0</v>
      </c>
      <c r="BQ40" s="4794">
        <f t="shared" si="61"/>
        <v>0</v>
      </c>
      <c r="BR40" s="4794">
        <f t="shared" si="62"/>
        <v>0</v>
      </c>
      <c r="BS40" s="4794">
        <f t="shared" si="63"/>
        <v>0</v>
      </c>
      <c r="BT40" s="4794">
        <f t="shared" si="64"/>
        <v>0</v>
      </c>
      <c r="BU40" s="4794">
        <f t="shared" si="65"/>
        <v>0</v>
      </c>
      <c r="BV40" s="4794">
        <f t="shared" si="66"/>
        <v>0</v>
      </c>
      <c r="BW40" s="4794">
        <f t="shared" si="67"/>
        <v>0</v>
      </c>
      <c r="BX40" s="4794">
        <f t="shared" si="68"/>
        <v>0</v>
      </c>
      <c r="BY40" s="4794">
        <f t="shared" si="69"/>
        <v>0</v>
      </c>
      <c r="BZ40" s="4794">
        <f t="shared" si="70"/>
        <v>0</v>
      </c>
      <c r="CA40" s="4794">
        <f t="shared" si="71"/>
        <v>0</v>
      </c>
      <c r="CB40" s="4794">
        <f t="shared" si="72"/>
        <v>0</v>
      </c>
      <c r="CC40" s="4794">
        <f t="shared" si="73"/>
        <v>0</v>
      </c>
      <c r="CD40" s="4794">
        <f t="shared" si="74"/>
        <v>0</v>
      </c>
    </row>
    <row r="41" spans="1:82" s="675" customFormat="1" ht="25.5">
      <c r="A41" s="3034"/>
      <c r="B41" s="2742">
        <v>2040207</v>
      </c>
      <c r="C41" s="3035">
        <v>0.04</v>
      </c>
      <c r="D41" s="3046" t="s">
        <v>422</v>
      </c>
      <c r="E41" s="4738">
        <f>SUMIF('11.3. ДА Базова година'!$B$12:$B$39,$B41,'11.3. ДА Базова година'!F$12:F$39)+SUMIF('11.3. ДА Базова година'!$B$92:$B$110,$B41,'11.3. ДА Базова година'!F$92:F$110)</f>
        <v>261</v>
      </c>
      <c r="F41" s="418"/>
      <c r="G41" s="416"/>
      <c r="H41" s="416"/>
      <c r="I41" s="416"/>
      <c r="J41" s="416"/>
      <c r="K41" s="276"/>
      <c r="L41" s="4738">
        <f>SUMIF('11.3. ДА Базова година'!$B$12:$B$39,$B41,'11.3. ДА Базова година'!J$12:J$39)+SUMIF('11.3. ДА Базова година'!$B$92:$B$110,$B41,'11.3. ДА Базова година'!J$92:J$110)</f>
        <v>0</v>
      </c>
      <c r="M41" s="418"/>
      <c r="N41" s="416"/>
      <c r="O41" s="416"/>
      <c r="P41" s="416"/>
      <c r="Q41" s="416"/>
      <c r="R41" s="276"/>
      <c r="S41" s="4738">
        <f>SUMIF('11.3. ДА Базова година'!$B$12:$B$39,$B41,'11.3. ДА Базова година'!N$12:N$39)+SUMIF('11.3. ДА Базова година'!$B$92:$B$110,$B41,'11.3. ДА Базова година'!N$92:N$110)</f>
        <v>93</v>
      </c>
      <c r="T41" s="418"/>
      <c r="U41" s="416"/>
      <c r="V41" s="416"/>
      <c r="W41" s="416"/>
      <c r="X41" s="416"/>
      <c r="Y41" s="417"/>
      <c r="Z41" s="4738">
        <f>SUMIF('11.3. ДА Базова година'!$B$12:$B$39,$B41,'11.3. ДА Базова година'!R$12:R$39)+SUMIF('11.3. ДА Базова година'!$B$92:$B$110,$B41,'11.3. ДА Базова година'!R$92:R$110)</f>
        <v>0</v>
      </c>
      <c r="AA41" s="418"/>
      <c r="AB41" s="416"/>
      <c r="AC41" s="416"/>
      <c r="AD41" s="416"/>
      <c r="AE41" s="416"/>
      <c r="AF41" s="417"/>
      <c r="AG41" s="4738">
        <f>SUMIF('11.3. ДА Базова година'!$B$12:$B$39,$B41,'11.3. ДА Базова година'!V$12:V$39)+SUMIF('11.3. ДА Базова година'!$B$92:$B$110,$B41,'11.3. ДА Базова година'!V$92:V$110)</f>
        <v>0</v>
      </c>
      <c r="AH41" s="418"/>
      <c r="AI41" s="416"/>
      <c r="AJ41" s="416"/>
      <c r="AK41" s="416"/>
      <c r="AL41" s="416"/>
      <c r="AM41" s="276"/>
      <c r="AN41" s="4368"/>
      <c r="AO41" s="3175"/>
      <c r="AP41" s="3176"/>
      <c r="AQ41" s="3176"/>
      <c r="AR41" s="3176"/>
      <c r="AS41" s="3176"/>
      <c r="AT41" s="3177"/>
      <c r="AU41" s="4775"/>
      <c r="AV41" s="4794">
        <f t="shared" si="40"/>
        <v>133.44718099221302</v>
      </c>
      <c r="AW41" s="4794">
        <f t="shared" si="41"/>
        <v>0</v>
      </c>
      <c r="AX41" s="4794">
        <f t="shared" si="42"/>
        <v>0</v>
      </c>
      <c r="AY41" s="4794">
        <f t="shared" si="43"/>
        <v>0</v>
      </c>
      <c r="AZ41" s="4794">
        <f t="shared" si="44"/>
        <v>0</v>
      </c>
      <c r="BA41" s="4794">
        <f t="shared" si="45"/>
        <v>0</v>
      </c>
      <c r="BB41" s="4794">
        <f t="shared" si="46"/>
        <v>0</v>
      </c>
      <c r="BC41" s="4794">
        <f t="shared" si="47"/>
        <v>0</v>
      </c>
      <c r="BD41" s="4794">
        <f t="shared" si="48"/>
        <v>0</v>
      </c>
      <c r="BE41" s="4794">
        <f t="shared" si="49"/>
        <v>0</v>
      </c>
      <c r="BF41" s="4794">
        <f t="shared" si="50"/>
        <v>0</v>
      </c>
      <c r="BG41" s="4794">
        <f t="shared" si="51"/>
        <v>0</v>
      </c>
      <c r="BH41" s="4794">
        <f t="shared" si="52"/>
        <v>0</v>
      </c>
      <c r="BI41" s="4794">
        <f t="shared" si="53"/>
        <v>0</v>
      </c>
      <c r="BJ41" s="4794">
        <f t="shared" si="54"/>
        <v>47.550144951248321</v>
      </c>
      <c r="BK41" s="4794">
        <f t="shared" si="55"/>
        <v>0</v>
      </c>
      <c r="BL41" s="4794">
        <f t="shared" si="56"/>
        <v>0</v>
      </c>
      <c r="BM41" s="4794">
        <f t="shared" si="57"/>
        <v>0</v>
      </c>
      <c r="BN41" s="4794">
        <f t="shared" si="58"/>
        <v>0</v>
      </c>
      <c r="BO41" s="4794">
        <f t="shared" si="59"/>
        <v>0</v>
      </c>
      <c r="BP41" s="4794">
        <f t="shared" si="60"/>
        <v>0</v>
      </c>
      <c r="BQ41" s="4794">
        <f t="shared" si="61"/>
        <v>0</v>
      </c>
      <c r="BR41" s="4794">
        <f t="shared" si="62"/>
        <v>0</v>
      </c>
      <c r="BS41" s="4794">
        <f t="shared" si="63"/>
        <v>0</v>
      </c>
      <c r="BT41" s="4794">
        <f t="shared" si="64"/>
        <v>0</v>
      </c>
      <c r="BU41" s="4794">
        <f t="shared" si="65"/>
        <v>0</v>
      </c>
      <c r="BV41" s="4794">
        <f t="shared" si="66"/>
        <v>0</v>
      </c>
      <c r="BW41" s="4794">
        <f t="shared" si="67"/>
        <v>0</v>
      </c>
      <c r="BX41" s="4794">
        <f t="shared" si="68"/>
        <v>0</v>
      </c>
      <c r="BY41" s="4794">
        <f t="shared" si="69"/>
        <v>0</v>
      </c>
      <c r="BZ41" s="4794">
        <f t="shared" si="70"/>
        <v>0</v>
      </c>
      <c r="CA41" s="4794">
        <f t="shared" si="71"/>
        <v>0</v>
      </c>
      <c r="CB41" s="4794">
        <f t="shared" si="72"/>
        <v>0</v>
      </c>
      <c r="CC41" s="4794">
        <f t="shared" si="73"/>
        <v>0</v>
      </c>
      <c r="CD41" s="4794">
        <f t="shared" si="74"/>
        <v>0</v>
      </c>
    </row>
    <row r="42" spans="1:82" s="675" customFormat="1">
      <c r="A42" s="3034"/>
      <c r="B42" s="2742">
        <v>2040208</v>
      </c>
      <c r="C42" s="3035">
        <v>0.04</v>
      </c>
      <c r="D42" s="3046" t="s">
        <v>423</v>
      </c>
      <c r="E42" s="4738">
        <f>SUMIF('11.3. ДА Базова година'!$B$12:$B$39,$B42,'11.3. ДА Базова година'!F$12:F$39)+SUMIF('11.3. ДА Базова година'!$B$92:$B$110,$B42,'11.3. ДА Базова година'!F$92:F$110)</f>
        <v>0</v>
      </c>
      <c r="F42" s="418"/>
      <c r="G42" s="416"/>
      <c r="H42" s="416"/>
      <c r="I42" s="416"/>
      <c r="J42" s="416"/>
      <c r="K42" s="276"/>
      <c r="L42" s="4738">
        <f>SUMIF('11.3. ДА Базова година'!$B$12:$B$39,$B42,'11.3. ДА Базова година'!J$12:J$39)+SUMIF('11.3. ДА Базова година'!$B$92:$B$110,$B42,'11.3. ДА Базова година'!J$92:J$110)</f>
        <v>0</v>
      </c>
      <c r="M42" s="418"/>
      <c r="N42" s="416"/>
      <c r="O42" s="416"/>
      <c r="P42" s="416"/>
      <c r="Q42" s="416"/>
      <c r="R42" s="276"/>
      <c r="S42" s="4738">
        <f>SUMIF('11.3. ДА Базова година'!$B$12:$B$39,$B42,'11.3. ДА Базова година'!N$12:N$39)+SUMIF('11.3. ДА Базова година'!$B$92:$B$110,$B42,'11.3. ДА Базова година'!N$92:N$110)</f>
        <v>0</v>
      </c>
      <c r="T42" s="418"/>
      <c r="U42" s="416"/>
      <c r="V42" s="416"/>
      <c r="W42" s="416"/>
      <c r="X42" s="416"/>
      <c r="Y42" s="417"/>
      <c r="Z42" s="4738">
        <f>SUMIF('11.3. ДА Базова година'!$B$12:$B$39,$B42,'11.3. ДА Базова година'!R$12:R$39)+SUMIF('11.3. ДА Базова година'!$B$92:$B$110,$B42,'11.3. ДА Базова година'!R$92:R$110)</f>
        <v>0</v>
      </c>
      <c r="AA42" s="418"/>
      <c r="AB42" s="416"/>
      <c r="AC42" s="416"/>
      <c r="AD42" s="416"/>
      <c r="AE42" s="416"/>
      <c r="AF42" s="417"/>
      <c r="AG42" s="4738">
        <f>SUMIF('11.3. ДА Базова година'!$B$12:$B$39,$B42,'11.3. ДА Базова година'!V$12:V$39)+SUMIF('11.3. ДА Базова година'!$B$92:$B$110,$B42,'11.3. ДА Базова година'!V$92:V$110)</f>
        <v>0</v>
      </c>
      <c r="AH42" s="418"/>
      <c r="AI42" s="416"/>
      <c r="AJ42" s="416"/>
      <c r="AK42" s="416"/>
      <c r="AL42" s="416"/>
      <c r="AM42" s="276"/>
      <c r="AN42" s="4368"/>
      <c r="AO42" s="3175"/>
      <c r="AP42" s="3176"/>
      <c r="AQ42" s="3176"/>
      <c r="AR42" s="3176"/>
      <c r="AS42" s="3176"/>
      <c r="AT42" s="3177"/>
      <c r="AU42" s="4775"/>
      <c r="AV42" s="4794">
        <f t="shared" si="40"/>
        <v>0</v>
      </c>
      <c r="AW42" s="4794">
        <f t="shared" si="41"/>
        <v>0</v>
      </c>
      <c r="AX42" s="4794">
        <f t="shared" si="42"/>
        <v>0</v>
      </c>
      <c r="AY42" s="4794">
        <f t="shared" si="43"/>
        <v>0</v>
      </c>
      <c r="AZ42" s="4794">
        <f t="shared" si="44"/>
        <v>0</v>
      </c>
      <c r="BA42" s="4794">
        <f t="shared" si="45"/>
        <v>0</v>
      </c>
      <c r="BB42" s="4794">
        <f t="shared" si="46"/>
        <v>0</v>
      </c>
      <c r="BC42" s="4794">
        <f t="shared" si="47"/>
        <v>0</v>
      </c>
      <c r="BD42" s="4794">
        <f t="shared" si="48"/>
        <v>0</v>
      </c>
      <c r="BE42" s="4794">
        <f t="shared" si="49"/>
        <v>0</v>
      </c>
      <c r="BF42" s="4794">
        <f t="shared" si="50"/>
        <v>0</v>
      </c>
      <c r="BG42" s="4794">
        <f t="shared" si="51"/>
        <v>0</v>
      </c>
      <c r="BH42" s="4794">
        <f t="shared" si="52"/>
        <v>0</v>
      </c>
      <c r="BI42" s="4794">
        <f t="shared" si="53"/>
        <v>0</v>
      </c>
      <c r="BJ42" s="4794">
        <f t="shared" si="54"/>
        <v>0</v>
      </c>
      <c r="BK42" s="4794">
        <f t="shared" si="55"/>
        <v>0</v>
      </c>
      <c r="BL42" s="4794">
        <f t="shared" si="56"/>
        <v>0</v>
      </c>
      <c r="BM42" s="4794">
        <f t="shared" si="57"/>
        <v>0</v>
      </c>
      <c r="BN42" s="4794">
        <f t="shared" si="58"/>
        <v>0</v>
      </c>
      <c r="BO42" s="4794">
        <f t="shared" si="59"/>
        <v>0</v>
      </c>
      <c r="BP42" s="4794">
        <f t="shared" si="60"/>
        <v>0</v>
      </c>
      <c r="BQ42" s="4794">
        <f t="shared" si="61"/>
        <v>0</v>
      </c>
      <c r="BR42" s="4794">
        <f t="shared" si="62"/>
        <v>0</v>
      </c>
      <c r="BS42" s="4794">
        <f t="shared" si="63"/>
        <v>0</v>
      </c>
      <c r="BT42" s="4794">
        <f t="shared" si="64"/>
        <v>0</v>
      </c>
      <c r="BU42" s="4794">
        <f t="shared" si="65"/>
        <v>0</v>
      </c>
      <c r="BV42" s="4794">
        <f t="shared" si="66"/>
        <v>0</v>
      </c>
      <c r="BW42" s="4794">
        <f t="shared" si="67"/>
        <v>0</v>
      </c>
      <c r="BX42" s="4794">
        <f t="shared" si="68"/>
        <v>0</v>
      </c>
      <c r="BY42" s="4794">
        <f t="shared" si="69"/>
        <v>0</v>
      </c>
      <c r="BZ42" s="4794">
        <f t="shared" si="70"/>
        <v>0</v>
      </c>
      <c r="CA42" s="4794">
        <f t="shared" si="71"/>
        <v>0</v>
      </c>
      <c r="CB42" s="4794">
        <f t="shared" si="72"/>
        <v>0</v>
      </c>
      <c r="CC42" s="4794">
        <f t="shared" si="73"/>
        <v>0</v>
      </c>
      <c r="CD42" s="4794">
        <f t="shared" si="74"/>
        <v>0</v>
      </c>
    </row>
    <row r="43" spans="1:82" s="675" customFormat="1">
      <c r="A43" s="3034"/>
      <c r="B43" s="2742">
        <v>20403</v>
      </c>
      <c r="C43" s="3035">
        <v>0.04</v>
      </c>
      <c r="D43" s="3051" t="s">
        <v>1050</v>
      </c>
      <c r="E43" s="4738">
        <f>SUMIF('11.3. ДА Базова година'!$B$12:$B$39,$B43,'11.3. ДА Базова година'!F$12:F$39)+SUMIF('11.3. ДА Базова година'!$B$92:$B$110,$B43,'11.3. ДА Базова година'!F$92:F$110)</f>
        <v>0</v>
      </c>
      <c r="F43" s="418"/>
      <c r="G43" s="416"/>
      <c r="H43" s="416"/>
      <c r="I43" s="416"/>
      <c r="J43" s="416"/>
      <c r="K43" s="276"/>
      <c r="L43" s="4738">
        <f>SUMIF('11.3. ДА Базова година'!$B$12:$B$39,$B43,'11.3. ДА Базова година'!J$12:J$39)+SUMIF('11.3. ДА Базова година'!$B$92:$B$110,$B43,'11.3. ДА Базова година'!J$92:J$110)</f>
        <v>0</v>
      </c>
      <c r="M43" s="418"/>
      <c r="N43" s="416"/>
      <c r="O43" s="416"/>
      <c r="P43" s="416"/>
      <c r="Q43" s="416"/>
      <c r="R43" s="276"/>
      <c r="S43" s="4738">
        <f>SUMIF('11.3. ДА Базова година'!$B$12:$B$39,$B43,'11.3. ДА Базова година'!N$12:N$39)+SUMIF('11.3. ДА Базова година'!$B$92:$B$110,$B43,'11.3. ДА Базова година'!N$92:N$110)</f>
        <v>0</v>
      </c>
      <c r="T43" s="418"/>
      <c r="U43" s="416"/>
      <c r="V43" s="416"/>
      <c r="W43" s="416"/>
      <c r="X43" s="416"/>
      <c r="Y43" s="417"/>
      <c r="Z43" s="4738">
        <f>SUMIF('11.3. ДА Базова година'!$B$12:$B$39,$B43,'11.3. ДА Базова година'!R$12:R$39)+SUMIF('11.3. ДА Базова година'!$B$92:$B$110,$B43,'11.3. ДА Базова година'!R$92:R$110)</f>
        <v>0</v>
      </c>
      <c r="AA43" s="418"/>
      <c r="AB43" s="416"/>
      <c r="AC43" s="416"/>
      <c r="AD43" s="416"/>
      <c r="AE43" s="416"/>
      <c r="AF43" s="417"/>
      <c r="AG43" s="4738">
        <f>SUMIF('11.3. ДА Базова година'!$B$12:$B$39,$B43,'11.3. ДА Базова година'!V$12:V$39)+SUMIF('11.3. ДА Базова година'!$B$92:$B$110,$B43,'11.3. ДА Базова година'!V$92:V$110)</f>
        <v>0</v>
      </c>
      <c r="AH43" s="418"/>
      <c r="AI43" s="416"/>
      <c r="AJ43" s="416"/>
      <c r="AK43" s="416"/>
      <c r="AL43" s="416"/>
      <c r="AM43" s="276"/>
      <c r="AN43" s="4368"/>
      <c r="AO43" s="3175"/>
      <c r="AP43" s="3176"/>
      <c r="AQ43" s="3176"/>
      <c r="AR43" s="3176"/>
      <c r="AS43" s="3176"/>
      <c r="AT43" s="3177"/>
      <c r="AU43" s="4775"/>
      <c r="AV43" s="4794">
        <f t="shared" si="40"/>
        <v>0</v>
      </c>
      <c r="AW43" s="4794">
        <f t="shared" si="41"/>
        <v>0</v>
      </c>
      <c r="AX43" s="4794">
        <f t="shared" si="42"/>
        <v>0</v>
      </c>
      <c r="AY43" s="4794">
        <f t="shared" si="43"/>
        <v>0</v>
      </c>
      <c r="AZ43" s="4794">
        <f t="shared" si="44"/>
        <v>0</v>
      </c>
      <c r="BA43" s="4794">
        <f t="shared" si="45"/>
        <v>0</v>
      </c>
      <c r="BB43" s="4794">
        <f t="shared" si="46"/>
        <v>0</v>
      </c>
      <c r="BC43" s="4794">
        <f t="shared" si="47"/>
        <v>0</v>
      </c>
      <c r="BD43" s="4794">
        <f t="shared" si="48"/>
        <v>0</v>
      </c>
      <c r="BE43" s="4794">
        <f t="shared" si="49"/>
        <v>0</v>
      </c>
      <c r="BF43" s="4794">
        <f t="shared" si="50"/>
        <v>0</v>
      </c>
      <c r="BG43" s="4794">
        <f t="shared" si="51"/>
        <v>0</v>
      </c>
      <c r="BH43" s="4794">
        <f t="shared" si="52"/>
        <v>0</v>
      </c>
      <c r="BI43" s="4794">
        <f t="shared" si="53"/>
        <v>0</v>
      </c>
      <c r="BJ43" s="4794">
        <f t="shared" si="54"/>
        <v>0</v>
      </c>
      <c r="BK43" s="4794">
        <f t="shared" si="55"/>
        <v>0</v>
      </c>
      <c r="BL43" s="4794">
        <f t="shared" si="56"/>
        <v>0</v>
      </c>
      <c r="BM43" s="4794">
        <f t="shared" si="57"/>
        <v>0</v>
      </c>
      <c r="BN43" s="4794">
        <f t="shared" si="58"/>
        <v>0</v>
      </c>
      <c r="BO43" s="4794">
        <f t="shared" si="59"/>
        <v>0</v>
      </c>
      <c r="BP43" s="4794">
        <f t="shared" si="60"/>
        <v>0</v>
      </c>
      <c r="BQ43" s="4794">
        <f t="shared" si="61"/>
        <v>0</v>
      </c>
      <c r="BR43" s="4794">
        <f t="shared" si="62"/>
        <v>0</v>
      </c>
      <c r="BS43" s="4794">
        <f t="shared" si="63"/>
        <v>0</v>
      </c>
      <c r="BT43" s="4794">
        <f t="shared" si="64"/>
        <v>0</v>
      </c>
      <c r="BU43" s="4794">
        <f t="shared" si="65"/>
        <v>0</v>
      </c>
      <c r="BV43" s="4794">
        <f t="shared" si="66"/>
        <v>0</v>
      </c>
      <c r="BW43" s="4794">
        <f t="shared" si="67"/>
        <v>0</v>
      </c>
      <c r="BX43" s="4794">
        <f t="shared" si="68"/>
        <v>0</v>
      </c>
      <c r="BY43" s="4794">
        <f t="shared" si="69"/>
        <v>0</v>
      </c>
      <c r="BZ43" s="4794">
        <f t="shared" si="70"/>
        <v>0</v>
      </c>
      <c r="CA43" s="4794">
        <f t="shared" si="71"/>
        <v>0</v>
      </c>
      <c r="CB43" s="4794">
        <f t="shared" si="72"/>
        <v>0</v>
      </c>
      <c r="CC43" s="4794">
        <f t="shared" si="73"/>
        <v>0</v>
      </c>
      <c r="CD43" s="4794">
        <f t="shared" si="74"/>
        <v>0</v>
      </c>
    </row>
    <row r="44" spans="1:82" s="675" customFormat="1" ht="25.5">
      <c r="A44" s="3034"/>
      <c r="B44" s="2742" t="s">
        <v>1051</v>
      </c>
      <c r="C44" s="3035">
        <v>0.04</v>
      </c>
      <c r="D44" s="3051" t="s">
        <v>1052</v>
      </c>
      <c r="E44" s="4738">
        <f>SUMIF('11.3. ДА Базова година'!$B$12:$B$39,$B44,'11.3. ДА Базова година'!F$12:F$39)+SUMIF('11.3. ДА Базова година'!$B$92:$B$110,$B44,'11.3. ДА Базова година'!F$92:F$110)</f>
        <v>0</v>
      </c>
      <c r="F44" s="418"/>
      <c r="G44" s="416"/>
      <c r="H44" s="416"/>
      <c r="I44" s="416"/>
      <c r="J44" s="416"/>
      <c r="K44" s="276"/>
      <c r="L44" s="4738">
        <f>SUMIF('11.3. ДА Базова година'!$B$12:$B$39,$B44,'11.3. ДА Базова година'!J$12:J$39)+SUMIF('11.3. ДА Базова година'!$B$92:$B$110,$B44,'11.3. ДА Базова година'!J$92:J$110)</f>
        <v>0</v>
      </c>
      <c r="M44" s="418"/>
      <c r="N44" s="416"/>
      <c r="O44" s="416"/>
      <c r="P44" s="416"/>
      <c r="Q44" s="416"/>
      <c r="R44" s="276"/>
      <c r="S44" s="4738">
        <f>SUMIF('11.3. ДА Базова година'!$B$12:$B$39,$B44,'11.3. ДА Базова година'!N$12:N$39)+SUMIF('11.3. ДА Базова година'!$B$92:$B$110,$B44,'11.3. ДА Базова година'!N$92:N$110)</f>
        <v>0</v>
      </c>
      <c r="T44" s="418"/>
      <c r="U44" s="416"/>
      <c r="V44" s="416"/>
      <c r="W44" s="416"/>
      <c r="X44" s="416"/>
      <c r="Y44" s="417"/>
      <c r="Z44" s="4738">
        <f>SUMIF('11.3. ДА Базова година'!$B$12:$B$39,$B44,'11.3. ДА Базова година'!R$12:R$39)+SUMIF('11.3. ДА Базова година'!$B$92:$B$110,$B44,'11.3. ДА Базова година'!R$92:R$110)</f>
        <v>0</v>
      </c>
      <c r="AA44" s="418"/>
      <c r="AB44" s="416"/>
      <c r="AC44" s="416"/>
      <c r="AD44" s="416"/>
      <c r="AE44" s="416"/>
      <c r="AF44" s="417"/>
      <c r="AG44" s="4738">
        <f>SUMIF('11.3. ДА Базова година'!$B$12:$B$39,$B44,'11.3. ДА Базова година'!V$12:V$39)+SUMIF('11.3. ДА Базова година'!$B$92:$B$110,$B44,'11.3. ДА Базова година'!V$92:V$110)</f>
        <v>0</v>
      </c>
      <c r="AH44" s="418"/>
      <c r="AI44" s="416"/>
      <c r="AJ44" s="416"/>
      <c r="AK44" s="416"/>
      <c r="AL44" s="416"/>
      <c r="AM44" s="276"/>
      <c r="AN44" s="4368"/>
      <c r="AO44" s="3175"/>
      <c r="AP44" s="3176"/>
      <c r="AQ44" s="3176"/>
      <c r="AR44" s="3176"/>
      <c r="AS44" s="3176"/>
      <c r="AT44" s="3177"/>
      <c r="AU44" s="4775"/>
      <c r="AV44" s="4794">
        <f t="shared" si="40"/>
        <v>0</v>
      </c>
      <c r="AW44" s="4794">
        <f t="shared" si="41"/>
        <v>0</v>
      </c>
      <c r="AX44" s="4794">
        <f t="shared" si="42"/>
        <v>0</v>
      </c>
      <c r="AY44" s="4794">
        <f t="shared" si="43"/>
        <v>0</v>
      </c>
      <c r="AZ44" s="4794">
        <f t="shared" si="44"/>
        <v>0</v>
      </c>
      <c r="BA44" s="4794">
        <f t="shared" si="45"/>
        <v>0</v>
      </c>
      <c r="BB44" s="4794">
        <f t="shared" si="46"/>
        <v>0</v>
      </c>
      <c r="BC44" s="4794">
        <f t="shared" si="47"/>
        <v>0</v>
      </c>
      <c r="BD44" s="4794">
        <f t="shared" si="48"/>
        <v>0</v>
      </c>
      <c r="BE44" s="4794">
        <f t="shared" si="49"/>
        <v>0</v>
      </c>
      <c r="BF44" s="4794">
        <f t="shared" si="50"/>
        <v>0</v>
      </c>
      <c r="BG44" s="4794">
        <f t="shared" si="51"/>
        <v>0</v>
      </c>
      <c r="BH44" s="4794">
        <f t="shared" si="52"/>
        <v>0</v>
      </c>
      <c r="BI44" s="4794">
        <f t="shared" si="53"/>
        <v>0</v>
      </c>
      <c r="BJ44" s="4794">
        <f t="shared" si="54"/>
        <v>0</v>
      </c>
      <c r="BK44" s="4794">
        <f t="shared" si="55"/>
        <v>0</v>
      </c>
      <c r="BL44" s="4794">
        <f t="shared" si="56"/>
        <v>0</v>
      </c>
      <c r="BM44" s="4794">
        <f t="shared" si="57"/>
        <v>0</v>
      </c>
      <c r="BN44" s="4794">
        <f t="shared" si="58"/>
        <v>0</v>
      </c>
      <c r="BO44" s="4794">
        <f t="shared" si="59"/>
        <v>0</v>
      </c>
      <c r="BP44" s="4794">
        <f t="shared" si="60"/>
        <v>0</v>
      </c>
      <c r="BQ44" s="4794">
        <f t="shared" si="61"/>
        <v>0</v>
      </c>
      <c r="BR44" s="4794">
        <f t="shared" si="62"/>
        <v>0</v>
      </c>
      <c r="BS44" s="4794">
        <f t="shared" si="63"/>
        <v>0</v>
      </c>
      <c r="BT44" s="4794">
        <f t="shared" si="64"/>
        <v>0</v>
      </c>
      <c r="BU44" s="4794">
        <f t="shared" si="65"/>
        <v>0</v>
      </c>
      <c r="BV44" s="4794">
        <f t="shared" si="66"/>
        <v>0</v>
      </c>
      <c r="BW44" s="4794">
        <f t="shared" si="67"/>
        <v>0</v>
      </c>
      <c r="BX44" s="4794">
        <f t="shared" si="68"/>
        <v>0</v>
      </c>
      <c r="BY44" s="4794">
        <f t="shared" si="69"/>
        <v>0</v>
      </c>
      <c r="BZ44" s="4794">
        <f t="shared" si="70"/>
        <v>0</v>
      </c>
      <c r="CA44" s="4794">
        <f t="shared" si="71"/>
        <v>0</v>
      </c>
      <c r="CB44" s="4794">
        <f t="shared" si="72"/>
        <v>0</v>
      </c>
      <c r="CC44" s="4794">
        <f t="shared" si="73"/>
        <v>0</v>
      </c>
      <c r="CD44" s="4794">
        <f t="shared" si="74"/>
        <v>0</v>
      </c>
    </row>
    <row r="45" spans="1:82" s="675" customFormat="1">
      <c r="A45" s="3025">
        <v>5</v>
      </c>
      <c r="B45" s="3026">
        <v>205</v>
      </c>
      <c r="C45" s="3026"/>
      <c r="D45" s="3037" t="s">
        <v>212</v>
      </c>
      <c r="E45" s="3052">
        <f>SUM(E46:E49)</f>
        <v>1939</v>
      </c>
      <c r="F45" s="3053">
        <f>SUM(F46:F49)</f>
        <v>0</v>
      </c>
      <c r="G45" s="3054">
        <f>SUM(G46:G49)</f>
        <v>0</v>
      </c>
      <c r="H45" s="3054">
        <f t="shared" ref="H45:K45" si="93">SUM(H46:H49)</f>
        <v>0</v>
      </c>
      <c r="I45" s="3054">
        <f t="shared" si="93"/>
        <v>0</v>
      </c>
      <c r="J45" s="3054">
        <f t="shared" si="93"/>
        <v>0</v>
      </c>
      <c r="K45" s="3055">
        <f t="shared" si="93"/>
        <v>0</v>
      </c>
      <c r="L45" s="3052">
        <f>SUM(L46:L49)</f>
        <v>0</v>
      </c>
      <c r="M45" s="3030">
        <f>SUM(M46:M49)</f>
        <v>0</v>
      </c>
      <c r="N45" s="3031">
        <f>SUM(N46:N49)</f>
        <v>0</v>
      </c>
      <c r="O45" s="3031">
        <f t="shared" ref="O45:R45" si="94">SUM(O46:O49)</f>
        <v>0</v>
      </c>
      <c r="P45" s="3031">
        <f t="shared" si="94"/>
        <v>0</v>
      </c>
      <c r="Q45" s="3031">
        <f t="shared" si="94"/>
        <v>0</v>
      </c>
      <c r="R45" s="3032">
        <f t="shared" si="94"/>
        <v>0</v>
      </c>
      <c r="S45" s="3052">
        <f>SUM(S46:S49)</f>
        <v>0</v>
      </c>
      <c r="T45" s="3053">
        <f>SUM(T46:T49)</f>
        <v>0</v>
      </c>
      <c r="U45" s="3054">
        <f>SUM(U46:U49)</f>
        <v>0</v>
      </c>
      <c r="V45" s="3054">
        <f t="shared" ref="V45:Y45" si="95">SUM(V46:V49)</f>
        <v>0</v>
      </c>
      <c r="W45" s="3054">
        <f t="shared" si="95"/>
        <v>0</v>
      </c>
      <c r="X45" s="3054">
        <f t="shared" si="95"/>
        <v>0</v>
      </c>
      <c r="Y45" s="3056">
        <f t="shared" si="95"/>
        <v>0</v>
      </c>
      <c r="Z45" s="3052">
        <f>SUM(Z46:Z49)</f>
        <v>0</v>
      </c>
      <c r="AA45" s="3053">
        <f>SUM(AA46:AA49)</f>
        <v>0</v>
      </c>
      <c r="AB45" s="3054">
        <f>SUM(AB46:AB49)</f>
        <v>0</v>
      </c>
      <c r="AC45" s="3054">
        <f t="shared" ref="AC45:AF45" si="96">SUM(AC46:AC49)</f>
        <v>0</v>
      </c>
      <c r="AD45" s="3054">
        <f t="shared" si="96"/>
        <v>0</v>
      </c>
      <c r="AE45" s="3054">
        <f t="shared" si="96"/>
        <v>0</v>
      </c>
      <c r="AF45" s="3056">
        <f t="shared" si="96"/>
        <v>0</v>
      </c>
      <c r="AG45" s="3052">
        <f>SUM(AG46:AG49)</f>
        <v>0</v>
      </c>
      <c r="AH45" s="3053">
        <f>SUM(AH46:AH49)</f>
        <v>0</v>
      </c>
      <c r="AI45" s="3054">
        <f>SUM(AI46:AI49)</f>
        <v>0</v>
      </c>
      <c r="AJ45" s="3054">
        <f t="shared" ref="AJ45:AM45" si="97">SUM(AJ46:AJ49)</f>
        <v>0</v>
      </c>
      <c r="AK45" s="3054">
        <f t="shared" si="97"/>
        <v>0</v>
      </c>
      <c r="AL45" s="3054">
        <f t="shared" si="97"/>
        <v>0</v>
      </c>
      <c r="AM45" s="3055">
        <f t="shared" si="97"/>
        <v>0</v>
      </c>
      <c r="AN45" s="4371">
        <f>SUM(AN46:AN49)</f>
        <v>0</v>
      </c>
      <c r="AO45" s="3175"/>
      <c r="AP45" s="3176"/>
      <c r="AQ45" s="3176"/>
      <c r="AR45" s="3176"/>
      <c r="AS45" s="3176"/>
      <c r="AT45" s="3177"/>
      <c r="AU45" s="4775"/>
      <c r="AV45" s="4794">
        <f t="shared" si="40"/>
        <v>991.39495763946763</v>
      </c>
      <c r="AW45" s="4794">
        <f t="shared" si="41"/>
        <v>0</v>
      </c>
      <c r="AX45" s="4794">
        <f t="shared" si="42"/>
        <v>0</v>
      </c>
      <c r="AY45" s="4794">
        <f t="shared" si="43"/>
        <v>0</v>
      </c>
      <c r="AZ45" s="4794">
        <f t="shared" si="44"/>
        <v>0</v>
      </c>
      <c r="BA45" s="4794">
        <f t="shared" si="45"/>
        <v>0</v>
      </c>
      <c r="BB45" s="4794">
        <f t="shared" si="46"/>
        <v>0</v>
      </c>
      <c r="BC45" s="4794">
        <f t="shared" si="47"/>
        <v>0</v>
      </c>
      <c r="BD45" s="4794">
        <f t="shared" si="48"/>
        <v>0</v>
      </c>
      <c r="BE45" s="4794">
        <f t="shared" si="49"/>
        <v>0</v>
      </c>
      <c r="BF45" s="4794">
        <f t="shared" si="50"/>
        <v>0</v>
      </c>
      <c r="BG45" s="4794">
        <f t="shared" si="51"/>
        <v>0</v>
      </c>
      <c r="BH45" s="4794">
        <f t="shared" si="52"/>
        <v>0</v>
      </c>
      <c r="BI45" s="4794">
        <f t="shared" si="53"/>
        <v>0</v>
      </c>
      <c r="BJ45" s="4794">
        <f t="shared" si="54"/>
        <v>0</v>
      </c>
      <c r="BK45" s="4794">
        <f t="shared" si="55"/>
        <v>0</v>
      </c>
      <c r="BL45" s="4794">
        <f t="shared" si="56"/>
        <v>0</v>
      </c>
      <c r="BM45" s="4794">
        <f t="shared" si="57"/>
        <v>0</v>
      </c>
      <c r="BN45" s="4794">
        <f t="shared" si="58"/>
        <v>0</v>
      </c>
      <c r="BO45" s="4794">
        <f t="shared" si="59"/>
        <v>0</v>
      </c>
      <c r="BP45" s="4794">
        <f t="shared" si="60"/>
        <v>0</v>
      </c>
      <c r="BQ45" s="4794">
        <f t="shared" si="61"/>
        <v>0</v>
      </c>
      <c r="BR45" s="4794">
        <f t="shared" si="62"/>
        <v>0</v>
      </c>
      <c r="BS45" s="4794">
        <f t="shared" si="63"/>
        <v>0</v>
      </c>
      <c r="BT45" s="4794">
        <f t="shared" si="64"/>
        <v>0</v>
      </c>
      <c r="BU45" s="4794">
        <f t="shared" si="65"/>
        <v>0</v>
      </c>
      <c r="BV45" s="4794">
        <f t="shared" si="66"/>
        <v>0</v>
      </c>
      <c r="BW45" s="4794">
        <f t="shared" si="67"/>
        <v>0</v>
      </c>
      <c r="BX45" s="4794">
        <f t="shared" si="68"/>
        <v>0</v>
      </c>
      <c r="BY45" s="4794">
        <f t="shared" si="69"/>
        <v>0</v>
      </c>
      <c r="BZ45" s="4794">
        <f t="shared" si="70"/>
        <v>0</v>
      </c>
      <c r="CA45" s="4794">
        <f t="shared" si="71"/>
        <v>0</v>
      </c>
      <c r="CB45" s="4794">
        <f t="shared" si="72"/>
        <v>0</v>
      </c>
      <c r="CC45" s="4794">
        <f t="shared" si="73"/>
        <v>0</v>
      </c>
      <c r="CD45" s="4794">
        <f t="shared" si="74"/>
        <v>0</v>
      </c>
    </row>
    <row r="46" spans="1:82" s="675" customFormat="1">
      <c r="A46" s="3057"/>
      <c r="B46" s="3058">
        <v>20501</v>
      </c>
      <c r="C46" s="3059">
        <v>0.08</v>
      </c>
      <c r="D46" s="3060" t="s">
        <v>563</v>
      </c>
      <c r="E46" s="4738">
        <f>SUMIF('11.3. ДА Базова година'!$B$12:$B$39,$B46,'11.3. ДА Базова година'!F$12:F$39)+SUMIF('11.3. ДА Базова година'!$B$92:$B$110,$B46,'11.3. ДА Базова година'!F$92:F$110)</f>
        <v>1031</v>
      </c>
      <c r="F46" s="418"/>
      <c r="G46" s="416"/>
      <c r="H46" s="416"/>
      <c r="I46" s="416"/>
      <c r="J46" s="416"/>
      <c r="K46" s="276"/>
      <c r="L46" s="4738">
        <f>SUMIF('11.3. ДА Базова година'!$B$12:$B$39,$B46,'11.3. ДА Базова година'!J$12:J$39)+SUMIF('11.3. ДА Базова година'!$B$92:$B$110,$B46,'11.3. ДА Базова година'!J$92:J$110)</f>
        <v>0</v>
      </c>
      <c r="M46" s="418"/>
      <c r="N46" s="416"/>
      <c r="O46" s="416"/>
      <c r="P46" s="416"/>
      <c r="Q46" s="416"/>
      <c r="R46" s="276"/>
      <c r="S46" s="4738">
        <f>SUMIF('11.3. ДА Базова година'!$B$12:$B$39,$B46,'11.3. ДА Базова година'!N$12:N$39)+SUMIF('11.3. ДА Базова година'!$B$92:$B$110,$B46,'11.3. ДА Базова година'!N$92:N$110)</f>
        <v>0</v>
      </c>
      <c r="T46" s="418"/>
      <c r="U46" s="416"/>
      <c r="V46" s="416"/>
      <c r="W46" s="416"/>
      <c r="X46" s="416"/>
      <c r="Y46" s="417"/>
      <c r="Z46" s="4738">
        <f>SUMIF('11.3. ДА Базова година'!$B$12:$B$39,$B46,'11.3. ДА Базова година'!R$12:R$39)+SUMIF('11.3. ДА Базова година'!$B$92:$B$110,$B46,'11.3. ДА Базова година'!R$92:R$110)</f>
        <v>0</v>
      </c>
      <c r="AA46" s="418"/>
      <c r="AB46" s="416"/>
      <c r="AC46" s="416"/>
      <c r="AD46" s="416"/>
      <c r="AE46" s="416"/>
      <c r="AF46" s="417"/>
      <c r="AG46" s="4738">
        <f>SUMIF('11.3. ДА Базова година'!$B$12:$B$39,$B46,'11.3. ДА Базова година'!V$12:V$39)+SUMIF('11.3. ДА Базова година'!$B$92:$B$110,$B46,'11.3. ДА Базова година'!V$92:V$110)</f>
        <v>0</v>
      </c>
      <c r="AH46" s="418"/>
      <c r="AI46" s="416"/>
      <c r="AJ46" s="416"/>
      <c r="AK46" s="416"/>
      <c r="AL46" s="416"/>
      <c r="AM46" s="276"/>
      <c r="AN46" s="4368"/>
      <c r="AO46" s="3175"/>
      <c r="AP46" s="3176"/>
      <c r="AQ46" s="3176"/>
      <c r="AR46" s="3176"/>
      <c r="AS46" s="3176"/>
      <c r="AT46" s="3177"/>
      <c r="AU46" s="4775"/>
      <c r="AV46" s="4794">
        <f t="shared" si="40"/>
        <v>527.14192951330131</v>
      </c>
      <c r="AW46" s="4794">
        <f t="shared" si="41"/>
        <v>0</v>
      </c>
      <c r="AX46" s="4794">
        <f t="shared" si="42"/>
        <v>0</v>
      </c>
      <c r="AY46" s="4794">
        <f t="shared" si="43"/>
        <v>0</v>
      </c>
      <c r="AZ46" s="4794">
        <f t="shared" si="44"/>
        <v>0</v>
      </c>
      <c r="BA46" s="4794">
        <f t="shared" si="45"/>
        <v>0</v>
      </c>
      <c r="BB46" s="4794">
        <f t="shared" si="46"/>
        <v>0</v>
      </c>
      <c r="BC46" s="4794">
        <f t="shared" si="47"/>
        <v>0</v>
      </c>
      <c r="BD46" s="4794">
        <f t="shared" si="48"/>
        <v>0</v>
      </c>
      <c r="BE46" s="4794">
        <f t="shared" si="49"/>
        <v>0</v>
      </c>
      <c r="BF46" s="4794">
        <f t="shared" si="50"/>
        <v>0</v>
      </c>
      <c r="BG46" s="4794">
        <f t="shared" si="51"/>
        <v>0</v>
      </c>
      <c r="BH46" s="4794">
        <f t="shared" si="52"/>
        <v>0</v>
      </c>
      <c r="BI46" s="4794">
        <f t="shared" si="53"/>
        <v>0</v>
      </c>
      <c r="BJ46" s="4794">
        <f t="shared" si="54"/>
        <v>0</v>
      </c>
      <c r="BK46" s="4794">
        <f t="shared" si="55"/>
        <v>0</v>
      </c>
      <c r="BL46" s="4794">
        <f t="shared" si="56"/>
        <v>0</v>
      </c>
      <c r="BM46" s="4794">
        <f t="shared" si="57"/>
        <v>0</v>
      </c>
      <c r="BN46" s="4794">
        <f t="shared" si="58"/>
        <v>0</v>
      </c>
      <c r="BO46" s="4794">
        <f t="shared" si="59"/>
        <v>0</v>
      </c>
      <c r="BP46" s="4794">
        <f t="shared" si="60"/>
        <v>0</v>
      </c>
      <c r="BQ46" s="4794">
        <f t="shared" si="61"/>
        <v>0</v>
      </c>
      <c r="BR46" s="4794">
        <f t="shared" si="62"/>
        <v>0</v>
      </c>
      <c r="BS46" s="4794">
        <f t="shared" si="63"/>
        <v>0</v>
      </c>
      <c r="BT46" s="4794">
        <f t="shared" si="64"/>
        <v>0</v>
      </c>
      <c r="BU46" s="4794">
        <f t="shared" si="65"/>
        <v>0</v>
      </c>
      <c r="BV46" s="4794">
        <f t="shared" si="66"/>
        <v>0</v>
      </c>
      <c r="BW46" s="4794">
        <f t="shared" si="67"/>
        <v>0</v>
      </c>
      <c r="BX46" s="4794">
        <f t="shared" si="68"/>
        <v>0</v>
      </c>
      <c r="BY46" s="4794">
        <f t="shared" si="69"/>
        <v>0</v>
      </c>
      <c r="BZ46" s="4794">
        <f t="shared" si="70"/>
        <v>0</v>
      </c>
      <c r="CA46" s="4794">
        <f t="shared" si="71"/>
        <v>0</v>
      </c>
      <c r="CB46" s="4794">
        <f t="shared" si="72"/>
        <v>0</v>
      </c>
      <c r="CC46" s="4794">
        <f t="shared" si="73"/>
        <v>0</v>
      </c>
      <c r="CD46" s="4794">
        <f t="shared" si="74"/>
        <v>0</v>
      </c>
    </row>
    <row r="47" spans="1:82" s="675" customFormat="1">
      <c r="A47" s="3057"/>
      <c r="B47" s="3058">
        <v>20502</v>
      </c>
      <c r="C47" s="3059">
        <v>0.1</v>
      </c>
      <c r="D47" s="3060" t="s">
        <v>411</v>
      </c>
      <c r="E47" s="4738">
        <f>SUMIF('11.3. ДА Базова година'!$B$12:$B$39,$B47,'11.3. ДА Базова година'!F$12:F$39)+SUMIF('11.3. ДА Базова година'!$B$92:$B$110,$B47,'11.3. ДА Базова година'!F$92:F$110)</f>
        <v>908</v>
      </c>
      <c r="F47" s="418"/>
      <c r="G47" s="416"/>
      <c r="H47" s="416"/>
      <c r="I47" s="416"/>
      <c r="J47" s="416"/>
      <c r="K47" s="276"/>
      <c r="L47" s="4738">
        <f>SUMIF('11.3. ДА Базова година'!$B$12:$B$39,$B47,'11.3. ДА Базова година'!J$12:J$39)+SUMIF('11.3. ДА Базова година'!$B$92:$B$110,$B47,'11.3. ДА Базова година'!J$92:J$110)</f>
        <v>0</v>
      </c>
      <c r="M47" s="418"/>
      <c r="N47" s="416"/>
      <c r="O47" s="416"/>
      <c r="P47" s="416"/>
      <c r="Q47" s="416"/>
      <c r="R47" s="276"/>
      <c r="S47" s="4738">
        <f>SUMIF('11.3. ДА Базова година'!$B$12:$B$39,$B47,'11.3. ДА Базова година'!N$12:N$39)+SUMIF('11.3. ДА Базова година'!$B$92:$B$110,$B47,'11.3. ДА Базова година'!N$92:N$110)</f>
        <v>0</v>
      </c>
      <c r="T47" s="418"/>
      <c r="U47" s="416"/>
      <c r="V47" s="416"/>
      <c r="W47" s="416"/>
      <c r="X47" s="416"/>
      <c r="Y47" s="417"/>
      <c r="Z47" s="4738">
        <f>SUMIF('11.3. ДА Базова година'!$B$12:$B$39,$B47,'11.3. ДА Базова година'!R$12:R$39)+SUMIF('11.3. ДА Базова година'!$B$92:$B$110,$B47,'11.3. ДА Базова година'!R$92:R$110)</f>
        <v>0</v>
      </c>
      <c r="AA47" s="418"/>
      <c r="AB47" s="416"/>
      <c r="AC47" s="416"/>
      <c r="AD47" s="416"/>
      <c r="AE47" s="416"/>
      <c r="AF47" s="417"/>
      <c r="AG47" s="4738">
        <f>SUMIF('11.3. ДА Базова година'!$B$12:$B$39,$B47,'11.3. ДА Базова година'!V$12:V$39)+SUMIF('11.3. ДА Базова година'!$B$92:$B$110,$B47,'11.3. ДА Базова година'!V$92:V$110)</f>
        <v>0</v>
      </c>
      <c r="AH47" s="418"/>
      <c r="AI47" s="416"/>
      <c r="AJ47" s="416"/>
      <c r="AK47" s="416"/>
      <c r="AL47" s="416"/>
      <c r="AM47" s="276"/>
      <c r="AN47" s="4368"/>
      <c r="AO47" s="3175"/>
      <c r="AP47" s="3176"/>
      <c r="AQ47" s="3176"/>
      <c r="AR47" s="3176"/>
      <c r="AS47" s="3176"/>
      <c r="AT47" s="3177"/>
      <c r="AU47" s="4775"/>
      <c r="AV47" s="4794">
        <f t="shared" si="40"/>
        <v>464.25302812616638</v>
      </c>
      <c r="AW47" s="4794">
        <f t="shared" si="41"/>
        <v>0</v>
      </c>
      <c r="AX47" s="4794">
        <f t="shared" si="42"/>
        <v>0</v>
      </c>
      <c r="AY47" s="4794">
        <f t="shared" si="43"/>
        <v>0</v>
      </c>
      <c r="AZ47" s="4794">
        <f t="shared" si="44"/>
        <v>0</v>
      </c>
      <c r="BA47" s="4794">
        <f t="shared" si="45"/>
        <v>0</v>
      </c>
      <c r="BB47" s="4794">
        <f t="shared" si="46"/>
        <v>0</v>
      </c>
      <c r="BC47" s="4794">
        <f t="shared" si="47"/>
        <v>0</v>
      </c>
      <c r="BD47" s="4794">
        <f t="shared" si="48"/>
        <v>0</v>
      </c>
      <c r="BE47" s="4794">
        <f t="shared" si="49"/>
        <v>0</v>
      </c>
      <c r="BF47" s="4794">
        <f t="shared" si="50"/>
        <v>0</v>
      </c>
      <c r="BG47" s="4794">
        <f t="shared" si="51"/>
        <v>0</v>
      </c>
      <c r="BH47" s="4794">
        <f t="shared" si="52"/>
        <v>0</v>
      </c>
      <c r="BI47" s="4794">
        <f t="shared" si="53"/>
        <v>0</v>
      </c>
      <c r="BJ47" s="4794">
        <f t="shared" si="54"/>
        <v>0</v>
      </c>
      <c r="BK47" s="4794">
        <f t="shared" si="55"/>
        <v>0</v>
      </c>
      <c r="BL47" s="4794">
        <f t="shared" si="56"/>
        <v>0</v>
      </c>
      <c r="BM47" s="4794">
        <f t="shared" si="57"/>
        <v>0</v>
      </c>
      <c r="BN47" s="4794">
        <f t="shared" si="58"/>
        <v>0</v>
      </c>
      <c r="BO47" s="4794">
        <f t="shared" si="59"/>
        <v>0</v>
      </c>
      <c r="BP47" s="4794">
        <f t="shared" si="60"/>
        <v>0</v>
      </c>
      <c r="BQ47" s="4794">
        <f t="shared" si="61"/>
        <v>0</v>
      </c>
      <c r="BR47" s="4794">
        <f t="shared" si="62"/>
        <v>0</v>
      </c>
      <c r="BS47" s="4794">
        <f t="shared" si="63"/>
        <v>0</v>
      </c>
      <c r="BT47" s="4794">
        <f t="shared" si="64"/>
        <v>0</v>
      </c>
      <c r="BU47" s="4794">
        <f t="shared" si="65"/>
        <v>0</v>
      </c>
      <c r="BV47" s="4794">
        <f t="shared" si="66"/>
        <v>0</v>
      </c>
      <c r="BW47" s="4794">
        <f t="shared" si="67"/>
        <v>0</v>
      </c>
      <c r="BX47" s="4794">
        <f t="shared" si="68"/>
        <v>0</v>
      </c>
      <c r="BY47" s="4794">
        <f t="shared" si="69"/>
        <v>0</v>
      </c>
      <c r="BZ47" s="4794">
        <f t="shared" si="70"/>
        <v>0</v>
      </c>
      <c r="CA47" s="4794">
        <f t="shared" si="71"/>
        <v>0</v>
      </c>
      <c r="CB47" s="4794">
        <f t="shared" si="72"/>
        <v>0</v>
      </c>
      <c r="CC47" s="4794">
        <f t="shared" si="73"/>
        <v>0</v>
      </c>
      <c r="CD47" s="4794">
        <f t="shared" si="74"/>
        <v>0</v>
      </c>
    </row>
    <row r="48" spans="1:82" s="675" customFormat="1">
      <c r="A48" s="3057"/>
      <c r="B48" s="3058">
        <v>20503</v>
      </c>
      <c r="C48" s="3059">
        <v>0.1</v>
      </c>
      <c r="D48" s="3038" t="s">
        <v>412</v>
      </c>
      <c r="E48" s="4738">
        <f>SUMIF('11.3. ДА Базова година'!$B$12:$B$39,$B48,'11.3. ДА Базова година'!F$12:F$39)+SUMIF('11.3. ДА Базова година'!$B$92:$B$110,$B48,'11.3. ДА Базова година'!F$92:F$110)</f>
        <v>0</v>
      </c>
      <c r="F48" s="418"/>
      <c r="G48" s="416"/>
      <c r="H48" s="416"/>
      <c r="I48" s="416"/>
      <c r="J48" s="416"/>
      <c r="K48" s="276"/>
      <c r="L48" s="4738">
        <f>SUMIF('11.3. ДА Базова година'!$B$12:$B$39,$B48,'11.3. ДА Базова година'!J$12:J$39)+SUMIF('11.3. ДА Базова година'!$B$92:$B$110,$B48,'11.3. ДА Базова година'!J$92:J$110)</f>
        <v>0</v>
      </c>
      <c r="M48" s="418"/>
      <c r="N48" s="416"/>
      <c r="O48" s="416"/>
      <c r="P48" s="416"/>
      <c r="Q48" s="416"/>
      <c r="R48" s="276"/>
      <c r="S48" s="4738">
        <f>SUMIF('11.3. ДА Базова година'!$B$12:$B$39,$B48,'11.3. ДА Базова година'!N$12:N$39)+SUMIF('11.3. ДА Базова година'!$B$92:$B$110,$B48,'11.3. ДА Базова година'!N$92:N$110)</f>
        <v>0</v>
      </c>
      <c r="T48" s="418"/>
      <c r="U48" s="416"/>
      <c r="V48" s="416"/>
      <c r="W48" s="416"/>
      <c r="X48" s="416"/>
      <c r="Y48" s="417"/>
      <c r="Z48" s="4738">
        <f>SUMIF('11.3. ДА Базова година'!$B$12:$B$39,$B48,'11.3. ДА Базова година'!R$12:R$39)+SUMIF('11.3. ДА Базова година'!$B$92:$B$110,$B48,'11.3. ДА Базова година'!R$92:R$110)</f>
        <v>0</v>
      </c>
      <c r="AA48" s="418"/>
      <c r="AB48" s="416"/>
      <c r="AC48" s="416"/>
      <c r="AD48" s="416"/>
      <c r="AE48" s="416"/>
      <c r="AF48" s="417"/>
      <c r="AG48" s="4738">
        <f>SUMIF('11.3. ДА Базова година'!$B$12:$B$39,$B48,'11.3. ДА Базова година'!V$12:V$39)+SUMIF('11.3. ДА Базова година'!$B$92:$B$110,$B48,'11.3. ДА Базова година'!V$92:V$110)</f>
        <v>0</v>
      </c>
      <c r="AH48" s="418"/>
      <c r="AI48" s="416"/>
      <c r="AJ48" s="416"/>
      <c r="AK48" s="416"/>
      <c r="AL48" s="416"/>
      <c r="AM48" s="276"/>
      <c r="AN48" s="4368"/>
      <c r="AO48" s="3175"/>
      <c r="AP48" s="3176"/>
      <c r="AQ48" s="3176"/>
      <c r="AR48" s="3176"/>
      <c r="AS48" s="3176"/>
      <c r="AT48" s="3177"/>
      <c r="AU48" s="4775"/>
      <c r="AV48" s="4794">
        <f t="shared" si="40"/>
        <v>0</v>
      </c>
      <c r="AW48" s="4794">
        <f t="shared" si="41"/>
        <v>0</v>
      </c>
      <c r="AX48" s="4794">
        <f t="shared" si="42"/>
        <v>0</v>
      </c>
      <c r="AY48" s="4794">
        <f t="shared" si="43"/>
        <v>0</v>
      </c>
      <c r="AZ48" s="4794">
        <f t="shared" si="44"/>
        <v>0</v>
      </c>
      <c r="BA48" s="4794">
        <f t="shared" si="45"/>
        <v>0</v>
      </c>
      <c r="BB48" s="4794">
        <f t="shared" si="46"/>
        <v>0</v>
      </c>
      <c r="BC48" s="4794">
        <f t="shared" si="47"/>
        <v>0</v>
      </c>
      <c r="BD48" s="4794">
        <f t="shared" si="48"/>
        <v>0</v>
      </c>
      <c r="BE48" s="4794">
        <f t="shared" si="49"/>
        <v>0</v>
      </c>
      <c r="BF48" s="4794">
        <f t="shared" si="50"/>
        <v>0</v>
      </c>
      <c r="BG48" s="4794">
        <f t="shared" si="51"/>
        <v>0</v>
      </c>
      <c r="BH48" s="4794">
        <f t="shared" si="52"/>
        <v>0</v>
      </c>
      <c r="BI48" s="4794">
        <f t="shared" si="53"/>
        <v>0</v>
      </c>
      <c r="BJ48" s="4794">
        <f t="shared" si="54"/>
        <v>0</v>
      </c>
      <c r="BK48" s="4794">
        <f t="shared" si="55"/>
        <v>0</v>
      </c>
      <c r="BL48" s="4794">
        <f t="shared" si="56"/>
        <v>0</v>
      </c>
      <c r="BM48" s="4794">
        <f t="shared" si="57"/>
        <v>0</v>
      </c>
      <c r="BN48" s="4794">
        <f t="shared" si="58"/>
        <v>0</v>
      </c>
      <c r="BO48" s="4794">
        <f t="shared" si="59"/>
        <v>0</v>
      </c>
      <c r="BP48" s="4794">
        <f t="shared" si="60"/>
        <v>0</v>
      </c>
      <c r="BQ48" s="4794">
        <f t="shared" si="61"/>
        <v>0</v>
      </c>
      <c r="BR48" s="4794">
        <f t="shared" si="62"/>
        <v>0</v>
      </c>
      <c r="BS48" s="4794">
        <f t="shared" si="63"/>
        <v>0</v>
      </c>
      <c r="BT48" s="4794">
        <f t="shared" si="64"/>
        <v>0</v>
      </c>
      <c r="BU48" s="4794">
        <f t="shared" si="65"/>
        <v>0</v>
      </c>
      <c r="BV48" s="4794">
        <f t="shared" si="66"/>
        <v>0</v>
      </c>
      <c r="BW48" s="4794">
        <f t="shared" si="67"/>
        <v>0</v>
      </c>
      <c r="BX48" s="4794">
        <f t="shared" si="68"/>
        <v>0</v>
      </c>
      <c r="BY48" s="4794">
        <f t="shared" si="69"/>
        <v>0</v>
      </c>
      <c r="BZ48" s="4794">
        <f t="shared" si="70"/>
        <v>0</v>
      </c>
      <c r="CA48" s="4794">
        <f t="shared" si="71"/>
        <v>0</v>
      </c>
      <c r="CB48" s="4794">
        <f t="shared" si="72"/>
        <v>0</v>
      </c>
      <c r="CC48" s="4794">
        <f t="shared" si="73"/>
        <v>0</v>
      </c>
      <c r="CD48" s="4794">
        <f t="shared" si="74"/>
        <v>0</v>
      </c>
    </row>
    <row r="49" spans="1:82" s="675" customFormat="1">
      <c r="A49" s="3057"/>
      <c r="B49" s="3058">
        <v>20504</v>
      </c>
      <c r="C49" s="3059">
        <v>0.1</v>
      </c>
      <c r="D49" s="3038" t="s">
        <v>557</v>
      </c>
      <c r="E49" s="4738">
        <f>SUMIF('11.3. ДА Базова година'!$B$12:$B$39,$B49,'11.3. ДА Базова година'!F$12:F$39)+SUMIF('11.3. ДА Базова година'!$B$92:$B$110,$B49,'11.3. ДА Базова година'!F$92:F$110)</f>
        <v>0</v>
      </c>
      <c r="F49" s="418"/>
      <c r="G49" s="416"/>
      <c r="H49" s="416"/>
      <c r="I49" s="416"/>
      <c r="J49" s="416"/>
      <c r="K49" s="276"/>
      <c r="L49" s="4738">
        <f>SUMIF('11.3. ДА Базова година'!$B$12:$B$39,$B49,'11.3. ДА Базова година'!J$12:J$39)+SUMIF('11.3. ДА Базова година'!$B$92:$B$110,$B49,'11.3. ДА Базова година'!J$92:J$110)</f>
        <v>0</v>
      </c>
      <c r="M49" s="418"/>
      <c r="N49" s="416"/>
      <c r="O49" s="416"/>
      <c r="P49" s="416"/>
      <c r="Q49" s="416"/>
      <c r="R49" s="276"/>
      <c r="S49" s="4738">
        <f>SUMIF('11.3. ДА Базова година'!$B$12:$B$39,$B49,'11.3. ДА Базова година'!N$12:N$39)+SUMIF('11.3. ДА Базова година'!$B$92:$B$110,$B49,'11.3. ДА Базова година'!N$92:N$110)</f>
        <v>0</v>
      </c>
      <c r="T49" s="418"/>
      <c r="U49" s="416"/>
      <c r="V49" s="416"/>
      <c r="W49" s="416"/>
      <c r="X49" s="416"/>
      <c r="Y49" s="417"/>
      <c r="Z49" s="4738">
        <f>SUMIF('11.3. ДА Базова година'!$B$12:$B$39,$B49,'11.3. ДА Базова година'!R$12:R$39)+SUMIF('11.3. ДА Базова година'!$B$92:$B$110,$B49,'11.3. ДА Базова година'!R$92:R$110)</f>
        <v>0</v>
      </c>
      <c r="AA49" s="418"/>
      <c r="AB49" s="416"/>
      <c r="AC49" s="416"/>
      <c r="AD49" s="416"/>
      <c r="AE49" s="416"/>
      <c r="AF49" s="417"/>
      <c r="AG49" s="4738">
        <f>SUMIF('11.3. ДА Базова година'!$B$12:$B$39,$B49,'11.3. ДА Базова година'!V$12:V$39)+SUMIF('11.3. ДА Базова година'!$B$92:$B$110,$B49,'11.3. ДА Базова година'!V$92:V$110)</f>
        <v>0</v>
      </c>
      <c r="AH49" s="418"/>
      <c r="AI49" s="416"/>
      <c r="AJ49" s="416"/>
      <c r="AK49" s="416"/>
      <c r="AL49" s="416"/>
      <c r="AM49" s="276"/>
      <c r="AN49" s="4368"/>
      <c r="AO49" s="3175"/>
      <c r="AP49" s="3176"/>
      <c r="AQ49" s="3176"/>
      <c r="AR49" s="3176"/>
      <c r="AS49" s="3176"/>
      <c r="AT49" s="3177"/>
      <c r="AU49" s="4775"/>
      <c r="AV49" s="4794">
        <f t="shared" si="40"/>
        <v>0</v>
      </c>
      <c r="AW49" s="4794">
        <f t="shared" si="41"/>
        <v>0</v>
      </c>
      <c r="AX49" s="4794">
        <f t="shared" si="42"/>
        <v>0</v>
      </c>
      <c r="AY49" s="4794">
        <f t="shared" si="43"/>
        <v>0</v>
      </c>
      <c r="AZ49" s="4794">
        <f t="shared" si="44"/>
        <v>0</v>
      </c>
      <c r="BA49" s="4794">
        <f t="shared" si="45"/>
        <v>0</v>
      </c>
      <c r="BB49" s="4794">
        <f t="shared" si="46"/>
        <v>0</v>
      </c>
      <c r="BC49" s="4794">
        <f t="shared" si="47"/>
        <v>0</v>
      </c>
      <c r="BD49" s="4794">
        <f t="shared" si="48"/>
        <v>0</v>
      </c>
      <c r="BE49" s="4794">
        <f t="shared" si="49"/>
        <v>0</v>
      </c>
      <c r="BF49" s="4794">
        <f t="shared" si="50"/>
        <v>0</v>
      </c>
      <c r="BG49" s="4794">
        <f t="shared" si="51"/>
        <v>0</v>
      </c>
      <c r="BH49" s="4794">
        <f t="shared" si="52"/>
        <v>0</v>
      </c>
      <c r="BI49" s="4794">
        <f t="shared" si="53"/>
        <v>0</v>
      </c>
      <c r="BJ49" s="4794">
        <f t="shared" si="54"/>
        <v>0</v>
      </c>
      <c r="BK49" s="4794">
        <f t="shared" si="55"/>
        <v>0</v>
      </c>
      <c r="BL49" s="4794">
        <f t="shared" si="56"/>
        <v>0</v>
      </c>
      <c r="BM49" s="4794">
        <f t="shared" si="57"/>
        <v>0</v>
      </c>
      <c r="BN49" s="4794">
        <f t="shared" si="58"/>
        <v>0</v>
      </c>
      <c r="BO49" s="4794">
        <f t="shared" si="59"/>
        <v>0</v>
      </c>
      <c r="BP49" s="4794">
        <f t="shared" si="60"/>
        <v>0</v>
      </c>
      <c r="BQ49" s="4794">
        <f t="shared" si="61"/>
        <v>0</v>
      </c>
      <c r="BR49" s="4794">
        <f t="shared" si="62"/>
        <v>0</v>
      </c>
      <c r="BS49" s="4794">
        <f t="shared" si="63"/>
        <v>0</v>
      </c>
      <c r="BT49" s="4794">
        <f t="shared" si="64"/>
        <v>0</v>
      </c>
      <c r="BU49" s="4794">
        <f t="shared" si="65"/>
        <v>0</v>
      </c>
      <c r="BV49" s="4794">
        <f t="shared" si="66"/>
        <v>0</v>
      </c>
      <c r="BW49" s="4794">
        <f t="shared" si="67"/>
        <v>0</v>
      </c>
      <c r="BX49" s="4794">
        <f t="shared" si="68"/>
        <v>0</v>
      </c>
      <c r="BY49" s="4794">
        <f t="shared" si="69"/>
        <v>0</v>
      </c>
      <c r="BZ49" s="4794">
        <f t="shared" si="70"/>
        <v>0</v>
      </c>
      <c r="CA49" s="4794">
        <f t="shared" si="71"/>
        <v>0</v>
      </c>
      <c r="CB49" s="4794">
        <f t="shared" si="72"/>
        <v>0</v>
      </c>
      <c r="CC49" s="4794">
        <f t="shared" si="73"/>
        <v>0</v>
      </c>
      <c r="CD49" s="4794">
        <f t="shared" si="74"/>
        <v>0</v>
      </c>
    </row>
    <row r="50" spans="1:82" s="675" customFormat="1">
      <c r="A50" s="3061">
        <v>6</v>
      </c>
      <c r="B50" s="3062">
        <v>206</v>
      </c>
      <c r="C50" s="3063">
        <v>0.1</v>
      </c>
      <c r="D50" s="3049" t="s">
        <v>394</v>
      </c>
      <c r="E50" s="3052">
        <f>SUM(E51:E53)</f>
        <v>60</v>
      </c>
      <c r="F50" s="3053">
        <f>SUM(F51:F53)</f>
        <v>0</v>
      </c>
      <c r="G50" s="3054">
        <f t="shared" ref="G50:AN50" si="98">SUM(G51:G53)</f>
        <v>0</v>
      </c>
      <c r="H50" s="3054">
        <f t="shared" si="98"/>
        <v>0</v>
      </c>
      <c r="I50" s="3054">
        <f>SUM(I51:I53)</f>
        <v>0</v>
      </c>
      <c r="J50" s="3054">
        <f t="shared" si="98"/>
        <v>0</v>
      </c>
      <c r="K50" s="3055">
        <f t="shared" si="98"/>
        <v>0</v>
      </c>
      <c r="L50" s="3052">
        <f t="shared" si="98"/>
        <v>15</v>
      </c>
      <c r="M50" s="3030">
        <f t="shared" si="98"/>
        <v>0</v>
      </c>
      <c r="N50" s="3031">
        <f t="shared" si="98"/>
        <v>0</v>
      </c>
      <c r="O50" s="3031">
        <f t="shared" si="98"/>
        <v>0</v>
      </c>
      <c r="P50" s="3031">
        <f t="shared" si="98"/>
        <v>0</v>
      </c>
      <c r="Q50" s="3031">
        <f t="shared" si="98"/>
        <v>0</v>
      </c>
      <c r="R50" s="3032">
        <f t="shared" si="98"/>
        <v>0</v>
      </c>
      <c r="S50" s="3052">
        <f t="shared" si="98"/>
        <v>10</v>
      </c>
      <c r="T50" s="3030">
        <f t="shared" si="98"/>
        <v>0</v>
      </c>
      <c r="U50" s="3031">
        <f t="shared" si="98"/>
        <v>0</v>
      </c>
      <c r="V50" s="3031">
        <f t="shared" si="98"/>
        <v>0</v>
      </c>
      <c r="W50" s="3031">
        <f t="shared" si="98"/>
        <v>0</v>
      </c>
      <c r="X50" s="3031">
        <f t="shared" si="98"/>
        <v>0</v>
      </c>
      <c r="Y50" s="3033">
        <f t="shared" si="98"/>
        <v>0</v>
      </c>
      <c r="Z50" s="3052">
        <f t="shared" si="98"/>
        <v>0</v>
      </c>
      <c r="AA50" s="3030">
        <f t="shared" si="98"/>
        <v>0</v>
      </c>
      <c r="AB50" s="3031">
        <f t="shared" si="98"/>
        <v>0</v>
      </c>
      <c r="AC50" s="3031">
        <f t="shared" si="98"/>
        <v>0</v>
      </c>
      <c r="AD50" s="3031">
        <f t="shared" si="98"/>
        <v>0</v>
      </c>
      <c r="AE50" s="3031">
        <f t="shared" si="98"/>
        <v>0</v>
      </c>
      <c r="AF50" s="3033">
        <f t="shared" si="98"/>
        <v>0</v>
      </c>
      <c r="AG50" s="3052">
        <f>SUM(AG51:AG53)</f>
        <v>0</v>
      </c>
      <c r="AH50" s="3053">
        <f>SUM(AH51:AH53)</f>
        <v>0</v>
      </c>
      <c r="AI50" s="3054">
        <f t="shared" ref="AI50:AM50" si="99">SUM(AI51:AI53)</f>
        <v>0</v>
      </c>
      <c r="AJ50" s="3054">
        <f t="shared" si="99"/>
        <v>0</v>
      </c>
      <c r="AK50" s="3054">
        <f>SUM(AK51:AK53)</f>
        <v>0</v>
      </c>
      <c r="AL50" s="3054">
        <f t="shared" si="99"/>
        <v>0</v>
      </c>
      <c r="AM50" s="3055">
        <f t="shared" si="99"/>
        <v>0</v>
      </c>
      <c r="AN50" s="4371">
        <f t="shared" si="98"/>
        <v>0</v>
      </c>
      <c r="AO50" s="3175"/>
      <c r="AP50" s="3176"/>
      <c r="AQ50" s="3176"/>
      <c r="AR50" s="3176"/>
      <c r="AS50" s="3176"/>
      <c r="AT50" s="3177"/>
      <c r="AU50" s="4775"/>
      <c r="AV50" s="4794">
        <f t="shared" si="40"/>
        <v>30.677512871773111</v>
      </c>
      <c r="AW50" s="4794">
        <f t="shared" si="41"/>
        <v>0</v>
      </c>
      <c r="AX50" s="4794">
        <f t="shared" si="42"/>
        <v>0</v>
      </c>
      <c r="AY50" s="4794">
        <f t="shared" si="43"/>
        <v>0</v>
      </c>
      <c r="AZ50" s="4794">
        <f t="shared" si="44"/>
        <v>0</v>
      </c>
      <c r="BA50" s="4794">
        <f t="shared" si="45"/>
        <v>0</v>
      </c>
      <c r="BB50" s="4794">
        <f t="shared" si="46"/>
        <v>0</v>
      </c>
      <c r="BC50" s="4794">
        <f t="shared" si="47"/>
        <v>7.6693782179432777</v>
      </c>
      <c r="BD50" s="4794">
        <f t="shared" si="48"/>
        <v>0</v>
      </c>
      <c r="BE50" s="4794">
        <f t="shared" si="49"/>
        <v>0</v>
      </c>
      <c r="BF50" s="4794">
        <f t="shared" si="50"/>
        <v>0</v>
      </c>
      <c r="BG50" s="4794">
        <f t="shared" si="51"/>
        <v>0</v>
      </c>
      <c r="BH50" s="4794">
        <f t="shared" si="52"/>
        <v>0</v>
      </c>
      <c r="BI50" s="4794">
        <f t="shared" si="53"/>
        <v>0</v>
      </c>
      <c r="BJ50" s="4794">
        <f t="shared" si="54"/>
        <v>5.1129188119621851</v>
      </c>
      <c r="BK50" s="4794">
        <f t="shared" si="55"/>
        <v>0</v>
      </c>
      <c r="BL50" s="4794">
        <f t="shared" si="56"/>
        <v>0</v>
      </c>
      <c r="BM50" s="4794">
        <f t="shared" si="57"/>
        <v>0</v>
      </c>
      <c r="BN50" s="4794">
        <f t="shared" si="58"/>
        <v>0</v>
      </c>
      <c r="BO50" s="4794">
        <f t="shared" si="59"/>
        <v>0</v>
      </c>
      <c r="BP50" s="4794">
        <f t="shared" si="60"/>
        <v>0</v>
      </c>
      <c r="BQ50" s="4794">
        <f t="shared" si="61"/>
        <v>0</v>
      </c>
      <c r="BR50" s="4794">
        <f t="shared" si="62"/>
        <v>0</v>
      </c>
      <c r="BS50" s="4794">
        <f t="shared" si="63"/>
        <v>0</v>
      </c>
      <c r="BT50" s="4794">
        <f t="shared" si="64"/>
        <v>0</v>
      </c>
      <c r="BU50" s="4794">
        <f t="shared" si="65"/>
        <v>0</v>
      </c>
      <c r="BV50" s="4794">
        <f t="shared" si="66"/>
        <v>0</v>
      </c>
      <c r="BW50" s="4794">
        <f t="shared" si="67"/>
        <v>0</v>
      </c>
      <c r="BX50" s="4794">
        <f t="shared" si="68"/>
        <v>0</v>
      </c>
      <c r="BY50" s="4794">
        <f t="shared" si="69"/>
        <v>0</v>
      </c>
      <c r="BZ50" s="4794">
        <f t="shared" si="70"/>
        <v>0</v>
      </c>
      <c r="CA50" s="4794">
        <f t="shared" si="71"/>
        <v>0</v>
      </c>
      <c r="CB50" s="4794">
        <f t="shared" si="72"/>
        <v>0</v>
      </c>
      <c r="CC50" s="4794">
        <f t="shared" si="73"/>
        <v>0</v>
      </c>
      <c r="CD50" s="4794">
        <f t="shared" si="74"/>
        <v>0</v>
      </c>
    </row>
    <row r="51" spans="1:82" s="675" customFormat="1">
      <c r="A51" s="3061"/>
      <c r="B51" s="3058">
        <v>20601</v>
      </c>
      <c r="C51" s="3059">
        <v>0.1</v>
      </c>
      <c r="D51" s="3038" t="s">
        <v>564</v>
      </c>
      <c r="E51" s="4738">
        <f>SUMIF('11.3. ДА Базова година'!$B$12:$B$39,$B51,'11.3. ДА Базова година'!F$12:F$39)+SUMIF('11.3. ДА Базова година'!$B$92:$B$110,$B51,'11.3. ДА Базова година'!F$92:F$110)</f>
        <v>52</v>
      </c>
      <c r="F51" s="418"/>
      <c r="G51" s="416"/>
      <c r="H51" s="416"/>
      <c r="I51" s="416"/>
      <c r="J51" s="416"/>
      <c r="K51" s="276"/>
      <c r="L51" s="4738">
        <f>SUMIF('11.3. ДА Базова година'!$B$12:$B$39,$B51,'11.3. ДА Базова година'!J$12:J$39)+SUMIF('11.3. ДА Базова година'!$B$92:$B$110,$B51,'11.3. ДА Базова година'!J$92:J$110)</f>
        <v>13</v>
      </c>
      <c r="M51" s="418"/>
      <c r="N51" s="416"/>
      <c r="O51" s="416"/>
      <c r="P51" s="416"/>
      <c r="Q51" s="416"/>
      <c r="R51" s="276"/>
      <c r="S51" s="4738">
        <f>SUMIF('11.3. ДА Базова година'!$B$12:$B$39,$B51,'11.3. ДА Базова година'!N$12:N$39)+SUMIF('11.3. ДА Базова година'!$B$92:$B$110,$B51,'11.3. ДА Базова година'!N$92:N$110)</f>
        <v>9</v>
      </c>
      <c r="T51" s="418"/>
      <c r="U51" s="416"/>
      <c r="V51" s="416"/>
      <c r="W51" s="416"/>
      <c r="X51" s="416"/>
      <c r="Y51" s="417"/>
      <c r="Z51" s="4738">
        <f>SUMIF('11.3. ДА Базова година'!$B$12:$B$39,$B51,'11.3. ДА Базова година'!R$12:R$39)+SUMIF('11.3. ДА Базова година'!$B$92:$B$110,$B51,'11.3. ДА Базова година'!R$92:R$110)</f>
        <v>0</v>
      </c>
      <c r="AA51" s="418"/>
      <c r="AB51" s="416"/>
      <c r="AC51" s="416"/>
      <c r="AD51" s="416"/>
      <c r="AE51" s="416"/>
      <c r="AF51" s="417"/>
      <c r="AG51" s="4738">
        <f>SUMIF('11.3. ДА Базова година'!$B$12:$B$39,$B51,'11.3. ДА Базова година'!V$12:V$39)+SUMIF('11.3. ДА Базова година'!$B$92:$B$110,$B51,'11.3. ДА Базова година'!V$92:V$110)</f>
        <v>0</v>
      </c>
      <c r="AH51" s="418"/>
      <c r="AI51" s="416"/>
      <c r="AJ51" s="416"/>
      <c r="AK51" s="416"/>
      <c r="AL51" s="416"/>
      <c r="AM51" s="276"/>
      <c r="AN51" s="4368"/>
      <c r="AO51" s="3175"/>
      <c r="AP51" s="3176"/>
      <c r="AQ51" s="3176"/>
      <c r="AR51" s="3176"/>
      <c r="AS51" s="3176"/>
      <c r="AT51" s="3177"/>
      <c r="AU51" s="4775"/>
      <c r="AV51" s="4794">
        <f t="shared" si="40"/>
        <v>26.587177822203362</v>
      </c>
      <c r="AW51" s="4794">
        <f t="shared" si="41"/>
        <v>0</v>
      </c>
      <c r="AX51" s="4794">
        <f t="shared" si="42"/>
        <v>0</v>
      </c>
      <c r="AY51" s="4794">
        <f t="shared" si="43"/>
        <v>0</v>
      </c>
      <c r="AZ51" s="4794">
        <f t="shared" si="44"/>
        <v>0</v>
      </c>
      <c r="BA51" s="4794">
        <f t="shared" si="45"/>
        <v>0</v>
      </c>
      <c r="BB51" s="4794">
        <f t="shared" si="46"/>
        <v>0</v>
      </c>
      <c r="BC51" s="4794">
        <f t="shared" si="47"/>
        <v>6.6467944555508405</v>
      </c>
      <c r="BD51" s="4794">
        <f t="shared" si="48"/>
        <v>0</v>
      </c>
      <c r="BE51" s="4794">
        <f t="shared" si="49"/>
        <v>0</v>
      </c>
      <c r="BF51" s="4794">
        <f t="shared" si="50"/>
        <v>0</v>
      </c>
      <c r="BG51" s="4794">
        <f t="shared" si="51"/>
        <v>0</v>
      </c>
      <c r="BH51" s="4794">
        <f t="shared" si="52"/>
        <v>0</v>
      </c>
      <c r="BI51" s="4794">
        <f t="shared" si="53"/>
        <v>0</v>
      </c>
      <c r="BJ51" s="4794">
        <f t="shared" si="54"/>
        <v>4.6016269307659661</v>
      </c>
      <c r="BK51" s="4794">
        <f t="shared" si="55"/>
        <v>0</v>
      </c>
      <c r="BL51" s="4794">
        <f t="shared" si="56"/>
        <v>0</v>
      </c>
      <c r="BM51" s="4794">
        <f t="shared" si="57"/>
        <v>0</v>
      </c>
      <c r="BN51" s="4794">
        <f t="shared" si="58"/>
        <v>0</v>
      </c>
      <c r="BO51" s="4794">
        <f t="shared" si="59"/>
        <v>0</v>
      </c>
      <c r="BP51" s="4794">
        <f t="shared" si="60"/>
        <v>0</v>
      </c>
      <c r="BQ51" s="4794">
        <f t="shared" si="61"/>
        <v>0</v>
      </c>
      <c r="BR51" s="4794">
        <f t="shared" si="62"/>
        <v>0</v>
      </c>
      <c r="BS51" s="4794">
        <f t="shared" si="63"/>
        <v>0</v>
      </c>
      <c r="BT51" s="4794">
        <f t="shared" si="64"/>
        <v>0</v>
      </c>
      <c r="BU51" s="4794">
        <f t="shared" si="65"/>
        <v>0</v>
      </c>
      <c r="BV51" s="4794">
        <f t="shared" si="66"/>
        <v>0</v>
      </c>
      <c r="BW51" s="4794">
        <f t="shared" si="67"/>
        <v>0</v>
      </c>
      <c r="BX51" s="4794">
        <f t="shared" si="68"/>
        <v>0</v>
      </c>
      <c r="BY51" s="4794">
        <f t="shared" si="69"/>
        <v>0</v>
      </c>
      <c r="BZ51" s="4794">
        <f t="shared" si="70"/>
        <v>0</v>
      </c>
      <c r="CA51" s="4794">
        <f t="shared" si="71"/>
        <v>0</v>
      </c>
      <c r="CB51" s="4794">
        <f t="shared" si="72"/>
        <v>0</v>
      </c>
      <c r="CC51" s="4794">
        <f t="shared" si="73"/>
        <v>0</v>
      </c>
      <c r="CD51" s="4794">
        <f t="shared" si="74"/>
        <v>0</v>
      </c>
    </row>
    <row r="52" spans="1:82" s="675" customFormat="1">
      <c r="A52" s="3061"/>
      <c r="B52" s="3058">
        <v>20602</v>
      </c>
      <c r="C52" s="3059">
        <v>0.1</v>
      </c>
      <c r="D52" s="3038" t="s">
        <v>435</v>
      </c>
      <c r="E52" s="4738">
        <f>SUMIF('11.3. ДА Базова година'!$B$12:$B$39,$B52,'11.3. ДА Базова година'!F$12:F$39)+SUMIF('11.3. ДА Базова година'!$B$92:$B$110,$B52,'11.3. ДА Базова година'!F$92:F$110)</f>
        <v>7</v>
      </c>
      <c r="F52" s="418"/>
      <c r="G52" s="416"/>
      <c r="H52" s="416"/>
      <c r="I52" s="416"/>
      <c r="J52" s="416"/>
      <c r="K52" s="276"/>
      <c r="L52" s="4738">
        <f>SUMIF('11.3. ДА Базова година'!$B$12:$B$39,$B52,'11.3. ДА Базова година'!J$12:J$39)+SUMIF('11.3. ДА Базова година'!$B$92:$B$110,$B52,'11.3. ДА Базова година'!J$92:J$110)</f>
        <v>2</v>
      </c>
      <c r="M52" s="418"/>
      <c r="N52" s="416"/>
      <c r="O52" s="416"/>
      <c r="P52" s="416"/>
      <c r="Q52" s="416"/>
      <c r="R52" s="276"/>
      <c r="S52" s="4738">
        <f>SUMIF('11.3. ДА Базова година'!$B$12:$B$39,$B52,'11.3. ДА Базова година'!N$12:N$39)+SUMIF('11.3. ДА Базова година'!$B$92:$B$110,$B52,'11.3. ДА Базова година'!N$92:N$110)</f>
        <v>1</v>
      </c>
      <c r="T52" s="418"/>
      <c r="U52" s="416"/>
      <c r="V52" s="416"/>
      <c r="W52" s="416"/>
      <c r="X52" s="416"/>
      <c r="Y52" s="417"/>
      <c r="Z52" s="4738">
        <f>SUMIF('11.3. ДА Базова година'!$B$12:$B$39,$B52,'11.3. ДА Базова година'!R$12:R$39)+SUMIF('11.3. ДА Базова година'!$B$92:$B$110,$B52,'11.3. ДА Базова година'!R$92:R$110)</f>
        <v>0</v>
      </c>
      <c r="AA52" s="418"/>
      <c r="AB52" s="416"/>
      <c r="AC52" s="416"/>
      <c r="AD52" s="416"/>
      <c r="AE52" s="416"/>
      <c r="AF52" s="417"/>
      <c r="AG52" s="4738">
        <f>SUMIF('11.3. ДА Базова година'!$B$12:$B$39,$B52,'11.3. ДА Базова година'!V$12:V$39)+SUMIF('11.3. ДА Базова година'!$B$92:$B$110,$B52,'11.3. ДА Базова година'!V$92:V$110)</f>
        <v>0</v>
      </c>
      <c r="AH52" s="418"/>
      <c r="AI52" s="416"/>
      <c r="AJ52" s="416"/>
      <c r="AK52" s="416"/>
      <c r="AL52" s="416"/>
      <c r="AM52" s="276"/>
      <c r="AN52" s="4368"/>
      <c r="AO52" s="3175"/>
      <c r="AP52" s="3176"/>
      <c r="AQ52" s="3176"/>
      <c r="AR52" s="3176"/>
      <c r="AS52" s="3176"/>
      <c r="AT52" s="3177"/>
      <c r="AU52" s="4775"/>
      <c r="AV52" s="4794">
        <f t="shared" si="40"/>
        <v>3.5790431683735293</v>
      </c>
      <c r="AW52" s="4794">
        <f t="shared" si="41"/>
        <v>0</v>
      </c>
      <c r="AX52" s="4794">
        <f t="shared" si="42"/>
        <v>0</v>
      </c>
      <c r="AY52" s="4794">
        <f t="shared" si="43"/>
        <v>0</v>
      </c>
      <c r="AZ52" s="4794">
        <f t="shared" si="44"/>
        <v>0</v>
      </c>
      <c r="BA52" s="4794">
        <f t="shared" si="45"/>
        <v>0</v>
      </c>
      <c r="BB52" s="4794">
        <f t="shared" si="46"/>
        <v>0</v>
      </c>
      <c r="BC52" s="4794">
        <f t="shared" si="47"/>
        <v>1.022583762392437</v>
      </c>
      <c r="BD52" s="4794">
        <f t="shared" si="48"/>
        <v>0</v>
      </c>
      <c r="BE52" s="4794">
        <f t="shared" si="49"/>
        <v>0</v>
      </c>
      <c r="BF52" s="4794">
        <f t="shared" si="50"/>
        <v>0</v>
      </c>
      <c r="BG52" s="4794">
        <f t="shared" si="51"/>
        <v>0</v>
      </c>
      <c r="BH52" s="4794">
        <f t="shared" si="52"/>
        <v>0</v>
      </c>
      <c r="BI52" s="4794">
        <f t="shared" si="53"/>
        <v>0</v>
      </c>
      <c r="BJ52" s="4794">
        <f t="shared" si="54"/>
        <v>0.51129188119621849</v>
      </c>
      <c r="BK52" s="4794">
        <f t="shared" si="55"/>
        <v>0</v>
      </c>
      <c r="BL52" s="4794">
        <f t="shared" si="56"/>
        <v>0</v>
      </c>
      <c r="BM52" s="4794">
        <f t="shared" si="57"/>
        <v>0</v>
      </c>
      <c r="BN52" s="4794">
        <f t="shared" si="58"/>
        <v>0</v>
      </c>
      <c r="BO52" s="4794">
        <f t="shared" si="59"/>
        <v>0</v>
      </c>
      <c r="BP52" s="4794">
        <f t="shared" si="60"/>
        <v>0</v>
      </c>
      <c r="BQ52" s="4794">
        <f t="shared" si="61"/>
        <v>0</v>
      </c>
      <c r="BR52" s="4794">
        <f t="shared" si="62"/>
        <v>0</v>
      </c>
      <c r="BS52" s="4794">
        <f t="shared" si="63"/>
        <v>0</v>
      </c>
      <c r="BT52" s="4794">
        <f t="shared" si="64"/>
        <v>0</v>
      </c>
      <c r="BU52" s="4794">
        <f t="shared" si="65"/>
        <v>0</v>
      </c>
      <c r="BV52" s="4794">
        <f t="shared" si="66"/>
        <v>0</v>
      </c>
      <c r="BW52" s="4794">
        <f t="shared" si="67"/>
        <v>0</v>
      </c>
      <c r="BX52" s="4794">
        <f t="shared" si="68"/>
        <v>0</v>
      </c>
      <c r="BY52" s="4794">
        <f t="shared" si="69"/>
        <v>0</v>
      </c>
      <c r="BZ52" s="4794">
        <f t="shared" si="70"/>
        <v>0</v>
      </c>
      <c r="CA52" s="4794">
        <f t="shared" si="71"/>
        <v>0</v>
      </c>
      <c r="CB52" s="4794">
        <f t="shared" si="72"/>
        <v>0</v>
      </c>
      <c r="CC52" s="4794">
        <f t="shared" si="73"/>
        <v>0</v>
      </c>
      <c r="CD52" s="4794">
        <f t="shared" si="74"/>
        <v>0</v>
      </c>
    </row>
    <row r="53" spans="1:82" s="675" customFormat="1">
      <c r="A53" s="3061"/>
      <c r="B53" s="3058">
        <v>20603</v>
      </c>
      <c r="C53" s="3059">
        <v>0.5</v>
      </c>
      <c r="D53" s="3038" t="s">
        <v>1015</v>
      </c>
      <c r="E53" s="4738">
        <f>SUMIF('11.3. ДА Базова година'!$B$12:$B$39,$B53,'11.3. ДА Базова година'!F$12:F$39)+SUMIF('11.3. ДА Базова година'!$B$92:$B$110,$B53,'11.3. ДА Базова година'!F$92:F$110)</f>
        <v>1</v>
      </c>
      <c r="F53" s="418"/>
      <c r="G53" s="416"/>
      <c r="H53" s="416"/>
      <c r="I53" s="416"/>
      <c r="J53" s="416"/>
      <c r="K53" s="276"/>
      <c r="L53" s="4738">
        <f>SUMIF('11.3. ДА Базова година'!$B$12:$B$39,$B53,'11.3. ДА Базова година'!J$12:J$39)+SUMIF('11.3. ДА Базова година'!$B$92:$B$110,$B53,'11.3. ДА Базова година'!J$92:J$110)</f>
        <v>0</v>
      </c>
      <c r="M53" s="418"/>
      <c r="N53" s="416"/>
      <c r="O53" s="416"/>
      <c r="P53" s="416"/>
      <c r="Q53" s="416"/>
      <c r="R53" s="276"/>
      <c r="S53" s="4738">
        <f>SUMIF('11.3. ДА Базова година'!$B$12:$B$39,$B53,'11.3. ДА Базова година'!N$12:N$39)+SUMIF('11.3. ДА Базова година'!$B$92:$B$110,$B53,'11.3. ДА Базова година'!N$92:N$110)</f>
        <v>0</v>
      </c>
      <c r="T53" s="418"/>
      <c r="U53" s="416"/>
      <c r="V53" s="416"/>
      <c r="W53" s="416"/>
      <c r="X53" s="416"/>
      <c r="Y53" s="417"/>
      <c r="Z53" s="4738">
        <f>SUMIF('11.3. ДА Базова година'!$B$12:$B$39,$B53,'11.3. ДА Базова година'!R$12:R$39)+SUMIF('11.3. ДА Базова година'!$B$92:$B$110,$B53,'11.3. ДА Базова година'!R$92:R$110)</f>
        <v>0</v>
      </c>
      <c r="AA53" s="418"/>
      <c r="AB53" s="416"/>
      <c r="AC53" s="416"/>
      <c r="AD53" s="416"/>
      <c r="AE53" s="416"/>
      <c r="AF53" s="417"/>
      <c r="AG53" s="4738">
        <f>SUMIF('11.3. ДА Базова година'!$B$12:$B$39,$B53,'11.3. ДА Базова година'!V$12:V$39)+SUMIF('11.3. ДА Базова година'!$B$92:$B$110,$B53,'11.3. ДА Базова година'!V$92:V$110)</f>
        <v>0</v>
      </c>
      <c r="AH53" s="418"/>
      <c r="AI53" s="416"/>
      <c r="AJ53" s="416"/>
      <c r="AK53" s="416"/>
      <c r="AL53" s="416"/>
      <c r="AM53" s="276"/>
      <c r="AN53" s="4368"/>
      <c r="AO53" s="3175"/>
      <c r="AP53" s="3176"/>
      <c r="AQ53" s="3176"/>
      <c r="AR53" s="3176"/>
      <c r="AS53" s="3176"/>
      <c r="AT53" s="3177"/>
      <c r="AU53" s="4775"/>
      <c r="AV53" s="4794">
        <f t="shared" si="40"/>
        <v>0.51129188119621849</v>
      </c>
      <c r="AW53" s="4794">
        <f t="shared" si="41"/>
        <v>0</v>
      </c>
      <c r="AX53" s="4794">
        <f t="shared" si="42"/>
        <v>0</v>
      </c>
      <c r="AY53" s="4794">
        <f t="shared" si="43"/>
        <v>0</v>
      </c>
      <c r="AZ53" s="4794">
        <f t="shared" si="44"/>
        <v>0</v>
      </c>
      <c r="BA53" s="4794">
        <f t="shared" si="45"/>
        <v>0</v>
      </c>
      <c r="BB53" s="4794">
        <f t="shared" si="46"/>
        <v>0</v>
      </c>
      <c r="BC53" s="4794">
        <f t="shared" si="47"/>
        <v>0</v>
      </c>
      <c r="BD53" s="4794">
        <f t="shared" si="48"/>
        <v>0</v>
      </c>
      <c r="BE53" s="4794">
        <f t="shared" si="49"/>
        <v>0</v>
      </c>
      <c r="BF53" s="4794">
        <f t="shared" si="50"/>
        <v>0</v>
      </c>
      <c r="BG53" s="4794">
        <f t="shared" si="51"/>
        <v>0</v>
      </c>
      <c r="BH53" s="4794">
        <f t="shared" si="52"/>
        <v>0</v>
      </c>
      <c r="BI53" s="4794">
        <f t="shared" si="53"/>
        <v>0</v>
      </c>
      <c r="BJ53" s="4794">
        <f t="shared" si="54"/>
        <v>0</v>
      </c>
      <c r="BK53" s="4794">
        <f t="shared" si="55"/>
        <v>0</v>
      </c>
      <c r="BL53" s="4794">
        <f t="shared" si="56"/>
        <v>0</v>
      </c>
      <c r="BM53" s="4794">
        <f t="shared" si="57"/>
        <v>0</v>
      </c>
      <c r="BN53" s="4794">
        <f t="shared" si="58"/>
        <v>0</v>
      </c>
      <c r="BO53" s="4794">
        <f t="shared" si="59"/>
        <v>0</v>
      </c>
      <c r="BP53" s="4794">
        <f t="shared" si="60"/>
        <v>0</v>
      </c>
      <c r="BQ53" s="4794">
        <f t="shared" si="61"/>
        <v>0</v>
      </c>
      <c r="BR53" s="4794">
        <f t="shared" si="62"/>
        <v>0</v>
      </c>
      <c r="BS53" s="4794">
        <f t="shared" si="63"/>
        <v>0</v>
      </c>
      <c r="BT53" s="4794">
        <f t="shared" si="64"/>
        <v>0</v>
      </c>
      <c r="BU53" s="4794">
        <f t="shared" si="65"/>
        <v>0</v>
      </c>
      <c r="BV53" s="4794">
        <f t="shared" si="66"/>
        <v>0</v>
      </c>
      <c r="BW53" s="4794">
        <f t="shared" si="67"/>
        <v>0</v>
      </c>
      <c r="BX53" s="4794">
        <f t="shared" si="68"/>
        <v>0</v>
      </c>
      <c r="BY53" s="4794">
        <f t="shared" si="69"/>
        <v>0</v>
      </c>
      <c r="BZ53" s="4794">
        <f t="shared" si="70"/>
        <v>0</v>
      </c>
      <c r="CA53" s="4794">
        <f t="shared" si="71"/>
        <v>0</v>
      </c>
      <c r="CB53" s="4794">
        <f t="shared" si="72"/>
        <v>0</v>
      </c>
      <c r="CC53" s="4794">
        <f t="shared" si="73"/>
        <v>0</v>
      </c>
      <c r="CD53" s="4794">
        <f t="shared" si="74"/>
        <v>0</v>
      </c>
    </row>
    <row r="54" spans="1:82" s="44" customFormat="1">
      <c r="A54" s="3061">
        <v>7</v>
      </c>
      <c r="B54" s="3062">
        <v>208</v>
      </c>
      <c r="C54" s="3063">
        <v>0.2</v>
      </c>
      <c r="D54" s="3049" t="s">
        <v>413</v>
      </c>
      <c r="E54" s="4738">
        <f>SUMIF('11.3. ДА Базова година'!$B$12:$B$39,$B54,'11.3. ДА Базова година'!F$12:F$39)+SUMIF('11.3. ДА Базова година'!$B$92:$B$110,$B54,'11.3. ДА Базова година'!F$92:F$110)</f>
        <v>16</v>
      </c>
      <c r="F54" s="418"/>
      <c r="G54" s="416"/>
      <c r="H54" s="416"/>
      <c r="I54" s="416"/>
      <c r="J54" s="416"/>
      <c r="K54" s="276"/>
      <c r="L54" s="4738">
        <f>SUMIF('11.3. ДА Базова година'!$B$12:$B$39,$B54,'11.3. ДА Базова година'!J$12:J$39)+SUMIF('11.3. ДА Базова година'!$B$92:$B$110,$B54,'11.3. ДА Базова година'!J$92:J$110)</f>
        <v>2</v>
      </c>
      <c r="M54" s="418"/>
      <c r="N54" s="416"/>
      <c r="O54" s="416"/>
      <c r="P54" s="416"/>
      <c r="Q54" s="416"/>
      <c r="R54" s="276"/>
      <c r="S54" s="4738">
        <f>SUMIF('11.3. ДА Базова година'!$B$12:$B$39,$B54,'11.3. ДА Базова година'!N$12:N$39)+SUMIF('11.3. ДА Базова година'!$B$92:$B$110,$B54,'11.3. ДА Базова година'!N$92:N$110)</f>
        <v>2</v>
      </c>
      <c r="T54" s="418"/>
      <c r="U54" s="416"/>
      <c r="V54" s="416"/>
      <c r="W54" s="416"/>
      <c r="X54" s="416"/>
      <c r="Y54" s="417"/>
      <c r="Z54" s="4738">
        <f>SUMIF('11.3. ДА Базова година'!$B$12:$B$39,$B54,'11.3. ДА Базова година'!R$12:R$39)+SUMIF('11.3. ДА Базова година'!$B$92:$B$110,$B54,'11.3. ДА Базова година'!R$92:R$110)</f>
        <v>0</v>
      </c>
      <c r="AA54" s="418"/>
      <c r="AB54" s="416"/>
      <c r="AC54" s="416"/>
      <c r="AD54" s="416"/>
      <c r="AE54" s="416"/>
      <c r="AF54" s="417"/>
      <c r="AG54" s="4738">
        <f>SUMIF('11.3. ДА Базова година'!$B$12:$B$39,$B54,'11.3. ДА Базова година'!V$12:V$39)+SUMIF('11.3. ДА Базова година'!$B$92:$B$110,$B54,'11.3. ДА Базова година'!V$92:V$110)</f>
        <v>0</v>
      </c>
      <c r="AH54" s="418"/>
      <c r="AI54" s="416"/>
      <c r="AJ54" s="416"/>
      <c r="AK54" s="416"/>
      <c r="AL54" s="416"/>
      <c r="AM54" s="276"/>
      <c r="AN54" s="4368"/>
      <c r="AO54" s="3175"/>
      <c r="AP54" s="3176"/>
      <c r="AQ54" s="3176"/>
      <c r="AR54" s="3176"/>
      <c r="AS54" s="3176"/>
      <c r="AT54" s="3177"/>
      <c r="AU54" s="4775"/>
      <c r="AV54" s="4794">
        <f t="shared" si="40"/>
        <v>8.1806700991394958</v>
      </c>
      <c r="AW54" s="4794">
        <f t="shared" si="41"/>
        <v>0</v>
      </c>
      <c r="AX54" s="4794">
        <f t="shared" si="42"/>
        <v>0</v>
      </c>
      <c r="AY54" s="4794">
        <f t="shared" si="43"/>
        <v>0</v>
      </c>
      <c r="AZ54" s="4794">
        <f t="shared" si="44"/>
        <v>0</v>
      </c>
      <c r="BA54" s="4794">
        <f t="shared" si="45"/>
        <v>0</v>
      </c>
      <c r="BB54" s="4794">
        <f t="shared" si="46"/>
        <v>0</v>
      </c>
      <c r="BC54" s="4794">
        <f t="shared" si="47"/>
        <v>1.022583762392437</v>
      </c>
      <c r="BD54" s="4794">
        <f t="shared" si="48"/>
        <v>0</v>
      </c>
      <c r="BE54" s="4794">
        <f t="shared" si="49"/>
        <v>0</v>
      </c>
      <c r="BF54" s="4794">
        <f t="shared" si="50"/>
        <v>0</v>
      </c>
      <c r="BG54" s="4794">
        <f t="shared" si="51"/>
        <v>0</v>
      </c>
      <c r="BH54" s="4794">
        <f t="shared" si="52"/>
        <v>0</v>
      </c>
      <c r="BI54" s="4794">
        <f t="shared" si="53"/>
        <v>0</v>
      </c>
      <c r="BJ54" s="4794">
        <f t="shared" si="54"/>
        <v>1.022583762392437</v>
      </c>
      <c r="BK54" s="4794">
        <f t="shared" si="55"/>
        <v>0</v>
      </c>
      <c r="BL54" s="4794">
        <f t="shared" si="56"/>
        <v>0</v>
      </c>
      <c r="BM54" s="4794">
        <f t="shared" si="57"/>
        <v>0</v>
      </c>
      <c r="BN54" s="4794">
        <f t="shared" si="58"/>
        <v>0</v>
      </c>
      <c r="BO54" s="4794">
        <f t="shared" si="59"/>
        <v>0</v>
      </c>
      <c r="BP54" s="4794">
        <f t="shared" si="60"/>
        <v>0</v>
      </c>
      <c r="BQ54" s="4794">
        <f t="shared" si="61"/>
        <v>0</v>
      </c>
      <c r="BR54" s="4794">
        <f t="shared" si="62"/>
        <v>0</v>
      </c>
      <c r="BS54" s="4794">
        <f t="shared" si="63"/>
        <v>0</v>
      </c>
      <c r="BT54" s="4794">
        <f t="shared" si="64"/>
        <v>0</v>
      </c>
      <c r="BU54" s="4794">
        <f t="shared" si="65"/>
        <v>0</v>
      </c>
      <c r="BV54" s="4794">
        <f t="shared" si="66"/>
        <v>0</v>
      </c>
      <c r="BW54" s="4794">
        <f t="shared" si="67"/>
        <v>0</v>
      </c>
      <c r="BX54" s="4794">
        <f t="shared" si="68"/>
        <v>0</v>
      </c>
      <c r="BY54" s="4794">
        <f t="shared" si="69"/>
        <v>0</v>
      </c>
      <c r="BZ54" s="4794">
        <f t="shared" si="70"/>
        <v>0</v>
      </c>
      <c r="CA54" s="4794">
        <f t="shared" si="71"/>
        <v>0</v>
      </c>
      <c r="CB54" s="4794">
        <f t="shared" si="72"/>
        <v>0</v>
      </c>
      <c r="CC54" s="4794">
        <f t="shared" si="73"/>
        <v>0</v>
      </c>
      <c r="CD54" s="4794">
        <f t="shared" si="74"/>
        <v>0</v>
      </c>
    </row>
    <row r="55" spans="1:82" s="44" customFormat="1">
      <c r="A55" s="3061">
        <v>8</v>
      </c>
      <c r="B55" s="3062">
        <v>209</v>
      </c>
      <c r="C55" s="3063">
        <v>0.1</v>
      </c>
      <c r="D55" s="3049" t="s">
        <v>213</v>
      </c>
      <c r="E55" s="4738">
        <f>SUMIF('11.3. ДА Базова година'!$B$12:$B$39,$B55,'11.3. ДА Базова година'!F$12:F$39)+SUMIF('11.3. ДА Базова година'!$B$92:$B$110,$B55,'11.3. ДА Базова година'!F$92:F$110)</f>
        <v>0</v>
      </c>
      <c r="F55" s="418"/>
      <c r="G55" s="416"/>
      <c r="H55" s="416"/>
      <c r="I55" s="416"/>
      <c r="J55" s="416"/>
      <c r="K55" s="276"/>
      <c r="L55" s="4738">
        <f>SUMIF('11.3. ДА Базова година'!$B$12:$B$39,$B55,'11.3. ДА Базова година'!J$12:J$39)+SUMIF('11.3. ДА Базова година'!$B$92:$B$110,$B55,'11.3. ДА Базова година'!J$92:J$110)</f>
        <v>0</v>
      </c>
      <c r="M55" s="418"/>
      <c r="N55" s="416"/>
      <c r="O55" s="416"/>
      <c r="P55" s="416"/>
      <c r="Q55" s="416"/>
      <c r="R55" s="276"/>
      <c r="S55" s="4738">
        <f>SUMIF('11.3. ДА Базова година'!$B$12:$B$39,$B55,'11.3. ДА Базова година'!N$12:N$39)+SUMIF('11.3. ДА Базова година'!$B$92:$B$110,$B55,'11.3. ДА Базова година'!N$92:N$110)</f>
        <v>0</v>
      </c>
      <c r="T55" s="418"/>
      <c r="U55" s="416"/>
      <c r="V55" s="416"/>
      <c r="W55" s="416"/>
      <c r="X55" s="416"/>
      <c r="Y55" s="417"/>
      <c r="Z55" s="4738">
        <f>SUMIF('11.3. ДА Базова година'!$B$12:$B$39,$B55,'11.3. ДА Базова година'!R$12:R$39)+SUMIF('11.3. ДА Базова година'!$B$92:$B$110,$B55,'11.3. ДА Базова година'!R$92:R$110)</f>
        <v>0</v>
      </c>
      <c r="AA55" s="418"/>
      <c r="AB55" s="416"/>
      <c r="AC55" s="416"/>
      <c r="AD55" s="416"/>
      <c r="AE55" s="416"/>
      <c r="AF55" s="417"/>
      <c r="AG55" s="4738">
        <f>SUMIF('11.3. ДА Базова година'!$B$12:$B$39,$B55,'11.3. ДА Базова година'!V$12:V$39)+SUMIF('11.3. ДА Базова година'!$B$92:$B$110,$B55,'11.3. ДА Базова година'!V$92:V$110)</f>
        <v>0</v>
      </c>
      <c r="AH55" s="418"/>
      <c r="AI55" s="416"/>
      <c r="AJ55" s="416"/>
      <c r="AK55" s="416"/>
      <c r="AL55" s="416"/>
      <c r="AM55" s="276"/>
      <c r="AN55" s="4368"/>
      <c r="AO55" s="3175"/>
      <c r="AP55" s="3176"/>
      <c r="AQ55" s="3176"/>
      <c r="AR55" s="3176"/>
      <c r="AS55" s="3176"/>
      <c r="AT55" s="3177"/>
      <c r="AU55" s="4775"/>
      <c r="AV55" s="4794">
        <f t="shared" si="40"/>
        <v>0</v>
      </c>
      <c r="AW55" s="4794">
        <f t="shared" si="41"/>
        <v>0</v>
      </c>
      <c r="AX55" s="4794">
        <f t="shared" si="42"/>
        <v>0</v>
      </c>
      <c r="AY55" s="4794">
        <f t="shared" si="43"/>
        <v>0</v>
      </c>
      <c r="AZ55" s="4794">
        <f t="shared" si="44"/>
        <v>0</v>
      </c>
      <c r="BA55" s="4794">
        <f t="shared" si="45"/>
        <v>0</v>
      </c>
      <c r="BB55" s="4794">
        <f t="shared" si="46"/>
        <v>0</v>
      </c>
      <c r="BC55" s="4794">
        <f t="shared" si="47"/>
        <v>0</v>
      </c>
      <c r="BD55" s="4794">
        <f t="shared" si="48"/>
        <v>0</v>
      </c>
      <c r="BE55" s="4794">
        <f t="shared" si="49"/>
        <v>0</v>
      </c>
      <c r="BF55" s="4794">
        <f t="shared" si="50"/>
        <v>0</v>
      </c>
      <c r="BG55" s="4794">
        <f t="shared" si="51"/>
        <v>0</v>
      </c>
      <c r="BH55" s="4794">
        <f t="shared" si="52"/>
        <v>0</v>
      </c>
      <c r="BI55" s="4794">
        <f t="shared" si="53"/>
        <v>0</v>
      </c>
      <c r="BJ55" s="4794">
        <f t="shared" si="54"/>
        <v>0</v>
      </c>
      <c r="BK55" s="4794">
        <f t="shared" si="55"/>
        <v>0</v>
      </c>
      <c r="BL55" s="4794">
        <f t="shared" si="56"/>
        <v>0</v>
      </c>
      <c r="BM55" s="4794">
        <f t="shared" si="57"/>
        <v>0</v>
      </c>
      <c r="BN55" s="4794">
        <f t="shared" si="58"/>
        <v>0</v>
      </c>
      <c r="BO55" s="4794">
        <f t="shared" si="59"/>
        <v>0</v>
      </c>
      <c r="BP55" s="4794">
        <f t="shared" si="60"/>
        <v>0</v>
      </c>
      <c r="BQ55" s="4794">
        <f t="shared" si="61"/>
        <v>0</v>
      </c>
      <c r="BR55" s="4794">
        <f t="shared" si="62"/>
        <v>0</v>
      </c>
      <c r="BS55" s="4794">
        <f t="shared" si="63"/>
        <v>0</v>
      </c>
      <c r="BT55" s="4794">
        <f t="shared" si="64"/>
        <v>0</v>
      </c>
      <c r="BU55" s="4794">
        <f t="shared" si="65"/>
        <v>0</v>
      </c>
      <c r="BV55" s="4794">
        <f t="shared" si="66"/>
        <v>0</v>
      </c>
      <c r="BW55" s="4794">
        <f t="shared" si="67"/>
        <v>0</v>
      </c>
      <c r="BX55" s="4794">
        <f t="shared" si="68"/>
        <v>0</v>
      </c>
      <c r="BY55" s="4794">
        <f t="shared" si="69"/>
        <v>0</v>
      </c>
      <c r="BZ55" s="4794">
        <f t="shared" si="70"/>
        <v>0</v>
      </c>
      <c r="CA55" s="4794">
        <f t="shared" si="71"/>
        <v>0</v>
      </c>
      <c r="CB55" s="4794">
        <f t="shared" si="72"/>
        <v>0</v>
      </c>
      <c r="CC55" s="4794">
        <f t="shared" si="73"/>
        <v>0</v>
      </c>
      <c r="CD55" s="4794">
        <f t="shared" si="74"/>
        <v>0</v>
      </c>
    </row>
    <row r="56" spans="1:82" s="44" customFormat="1">
      <c r="A56" s="3061">
        <v>9</v>
      </c>
      <c r="B56" s="3062">
        <v>212</v>
      </c>
      <c r="C56" s="3063">
        <v>0.2</v>
      </c>
      <c r="D56" s="3064" t="s">
        <v>214</v>
      </c>
      <c r="E56" s="4738">
        <f>SUMIF('11.3. ДА Базова година'!$B$12:$B$39,$B56,'11.3. ДА Базова година'!F$12:F$39)+SUMIF('11.3. ДА Базова година'!$B$92:$B$110,$B56,'11.3. ДА Базова година'!F$92:F$110)</f>
        <v>57</v>
      </c>
      <c r="F56" s="418"/>
      <c r="G56" s="416"/>
      <c r="H56" s="416"/>
      <c r="I56" s="416"/>
      <c r="J56" s="416"/>
      <c r="K56" s="276"/>
      <c r="L56" s="4738">
        <f>SUMIF('11.3. ДА Базова година'!$B$12:$B$39,$B56,'11.3. ДА Базова година'!J$12:J$39)+SUMIF('11.3. ДА Базова година'!$B$92:$B$110,$B56,'11.3. ДА Базова година'!J$92:J$110)</f>
        <v>22</v>
      </c>
      <c r="M56" s="418"/>
      <c r="N56" s="416"/>
      <c r="O56" s="416"/>
      <c r="P56" s="416"/>
      <c r="Q56" s="416"/>
      <c r="R56" s="276"/>
      <c r="S56" s="4738">
        <f>SUMIF('11.3. ДА Базова година'!$B$12:$B$39,$B56,'11.3. ДА Базова година'!N$12:N$39)+SUMIF('11.3. ДА Базова година'!$B$92:$B$110,$B56,'11.3. ДА Базова година'!N$92:N$110)</f>
        <v>8</v>
      </c>
      <c r="T56" s="418"/>
      <c r="U56" s="416"/>
      <c r="V56" s="416"/>
      <c r="W56" s="416"/>
      <c r="X56" s="416"/>
      <c r="Y56" s="417"/>
      <c r="Z56" s="4738">
        <f>SUMIF('11.3. ДА Базова година'!$B$12:$B$39,$B56,'11.3. ДА Базова година'!R$12:R$39)+SUMIF('11.3. ДА Базова година'!$B$92:$B$110,$B56,'11.3. ДА Базова година'!R$92:R$110)</f>
        <v>0</v>
      </c>
      <c r="AA56" s="418"/>
      <c r="AB56" s="416"/>
      <c r="AC56" s="416"/>
      <c r="AD56" s="416"/>
      <c r="AE56" s="416"/>
      <c r="AF56" s="417"/>
      <c r="AG56" s="4738">
        <f>SUMIF('11.3. ДА Базова година'!$B$12:$B$39,$B56,'11.3. ДА Базова година'!V$12:V$39)+SUMIF('11.3. ДА Базова година'!$B$92:$B$110,$B56,'11.3. ДА Базова година'!V$92:V$110)</f>
        <v>0</v>
      </c>
      <c r="AH56" s="418"/>
      <c r="AI56" s="416"/>
      <c r="AJ56" s="416"/>
      <c r="AK56" s="416"/>
      <c r="AL56" s="416"/>
      <c r="AM56" s="276"/>
      <c r="AN56" s="4368"/>
      <c r="AO56" s="3175"/>
      <c r="AP56" s="3176"/>
      <c r="AQ56" s="3176"/>
      <c r="AR56" s="3176"/>
      <c r="AS56" s="3176"/>
      <c r="AT56" s="3177"/>
      <c r="AU56" s="4775"/>
      <c r="AV56" s="4794">
        <f t="shared" si="40"/>
        <v>29.143637228184453</v>
      </c>
      <c r="AW56" s="4794">
        <f t="shared" si="41"/>
        <v>0</v>
      </c>
      <c r="AX56" s="4794">
        <f t="shared" si="42"/>
        <v>0</v>
      </c>
      <c r="AY56" s="4794">
        <f t="shared" si="43"/>
        <v>0</v>
      </c>
      <c r="AZ56" s="4794">
        <f t="shared" si="44"/>
        <v>0</v>
      </c>
      <c r="BA56" s="4794">
        <f t="shared" si="45"/>
        <v>0</v>
      </c>
      <c r="BB56" s="4794">
        <f t="shared" si="46"/>
        <v>0</v>
      </c>
      <c r="BC56" s="4794">
        <f t="shared" si="47"/>
        <v>11.248421386316807</v>
      </c>
      <c r="BD56" s="4794">
        <f t="shared" si="48"/>
        <v>0</v>
      </c>
      <c r="BE56" s="4794">
        <f t="shared" si="49"/>
        <v>0</v>
      </c>
      <c r="BF56" s="4794">
        <f t="shared" si="50"/>
        <v>0</v>
      </c>
      <c r="BG56" s="4794">
        <f t="shared" si="51"/>
        <v>0</v>
      </c>
      <c r="BH56" s="4794">
        <f t="shared" si="52"/>
        <v>0</v>
      </c>
      <c r="BI56" s="4794">
        <f t="shared" si="53"/>
        <v>0</v>
      </c>
      <c r="BJ56" s="4794">
        <f t="shared" si="54"/>
        <v>4.0903350495697479</v>
      </c>
      <c r="BK56" s="4794">
        <f t="shared" si="55"/>
        <v>0</v>
      </c>
      <c r="BL56" s="4794">
        <f t="shared" si="56"/>
        <v>0</v>
      </c>
      <c r="BM56" s="4794">
        <f t="shared" si="57"/>
        <v>0</v>
      </c>
      <c r="BN56" s="4794">
        <f t="shared" si="58"/>
        <v>0</v>
      </c>
      <c r="BO56" s="4794">
        <f t="shared" si="59"/>
        <v>0</v>
      </c>
      <c r="BP56" s="4794">
        <f t="shared" si="60"/>
        <v>0</v>
      </c>
      <c r="BQ56" s="4794">
        <f t="shared" si="61"/>
        <v>0</v>
      </c>
      <c r="BR56" s="4794">
        <f t="shared" si="62"/>
        <v>0</v>
      </c>
      <c r="BS56" s="4794">
        <f t="shared" si="63"/>
        <v>0</v>
      </c>
      <c r="BT56" s="4794">
        <f t="shared" si="64"/>
        <v>0</v>
      </c>
      <c r="BU56" s="4794">
        <f t="shared" si="65"/>
        <v>0</v>
      </c>
      <c r="BV56" s="4794">
        <f t="shared" si="66"/>
        <v>0</v>
      </c>
      <c r="BW56" s="4794">
        <f t="shared" si="67"/>
        <v>0</v>
      </c>
      <c r="BX56" s="4794">
        <f t="shared" si="68"/>
        <v>0</v>
      </c>
      <c r="BY56" s="4794">
        <f t="shared" si="69"/>
        <v>0</v>
      </c>
      <c r="BZ56" s="4794">
        <f t="shared" si="70"/>
        <v>0</v>
      </c>
      <c r="CA56" s="4794">
        <f t="shared" si="71"/>
        <v>0</v>
      </c>
      <c r="CB56" s="4794">
        <f t="shared" si="72"/>
        <v>0</v>
      </c>
      <c r="CC56" s="4794">
        <f t="shared" si="73"/>
        <v>0</v>
      </c>
      <c r="CD56" s="4794">
        <f t="shared" si="74"/>
        <v>0</v>
      </c>
    </row>
    <row r="57" spans="1:82" s="44" customFormat="1">
      <c r="A57" s="3061">
        <v>10</v>
      </c>
      <c r="B57" s="3062">
        <v>213</v>
      </c>
      <c r="C57" s="3063">
        <v>0.2</v>
      </c>
      <c r="D57" s="3037" t="s">
        <v>215</v>
      </c>
      <c r="E57" s="4738">
        <f>SUMIF('11.3. ДА Базова година'!$B$12:$B$39,$B57,'11.3. ДА Базова година'!F$12:F$39)+SUMIF('11.3. ДА Базова година'!$B$92:$B$110,$B57,'11.3. ДА Базова година'!F$92:F$110)</f>
        <v>0</v>
      </c>
      <c r="F57" s="418"/>
      <c r="G57" s="416"/>
      <c r="H57" s="416"/>
      <c r="I57" s="416"/>
      <c r="J57" s="416"/>
      <c r="K57" s="276"/>
      <c r="L57" s="4738">
        <f>SUMIF('11.3. ДА Базова година'!$B$12:$B$39,$B57,'11.3. ДА Базова година'!J$12:J$39)+SUMIF('11.3. ДА Базова година'!$B$92:$B$110,$B57,'11.3. ДА Базова година'!J$92:J$110)</f>
        <v>0</v>
      </c>
      <c r="M57" s="418"/>
      <c r="N57" s="416"/>
      <c r="O57" s="416"/>
      <c r="P57" s="416"/>
      <c r="Q57" s="416"/>
      <c r="R57" s="276"/>
      <c r="S57" s="4738">
        <f>SUMIF('11.3. ДА Базова година'!$B$12:$B$39,$B57,'11.3. ДА Базова година'!N$12:N$39)+SUMIF('11.3. ДА Базова година'!$B$92:$B$110,$B57,'11.3. ДА Базова година'!N$92:N$110)</f>
        <v>0</v>
      </c>
      <c r="T57" s="418"/>
      <c r="U57" s="416"/>
      <c r="V57" s="416"/>
      <c r="W57" s="416"/>
      <c r="X57" s="416"/>
      <c r="Y57" s="417"/>
      <c r="Z57" s="4738">
        <f>SUMIF('11.3. ДА Базова година'!$B$12:$B$39,$B57,'11.3. ДА Базова година'!R$12:R$39)+SUMIF('11.3. ДА Базова година'!$B$92:$B$110,$B57,'11.3. ДА Базова година'!R$92:R$110)</f>
        <v>0</v>
      </c>
      <c r="AA57" s="418"/>
      <c r="AB57" s="416"/>
      <c r="AC57" s="416"/>
      <c r="AD57" s="416"/>
      <c r="AE57" s="416"/>
      <c r="AF57" s="417"/>
      <c r="AG57" s="4738">
        <f>SUMIF('11.3. ДА Базова година'!$B$12:$B$39,$B57,'11.3. ДА Базова година'!V$12:V$39)+SUMIF('11.3. ДА Базова година'!$B$92:$B$110,$B57,'11.3. ДА Базова година'!V$92:V$110)</f>
        <v>0</v>
      </c>
      <c r="AH57" s="418"/>
      <c r="AI57" s="416"/>
      <c r="AJ57" s="416"/>
      <c r="AK57" s="416"/>
      <c r="AL57" s="416"/>
      <c r="AM57" s="276"/>
      <c r="AN57" s="4368"/>
      <c r="AO57" s="3175"/>
      <c r="AP57" s="3176"/>
      <c r="AQ57" s="3176"/>
      <c r="AR57" s="3176"/>
      <c r="AS57" s="3176"/>
      <c r="AT57" s="3177"/>
      <c r="AU57" s="4775"/>
      <c r="AV57" s="4794">
        <f t="shared" si="40"/>
        <v>0</v>
      </c>
      <c r="AW57" s="4794">
        <f t="shared" si="41"/>
        <v>0</v>
      </c>
      <c r="AX57" s="4794">
        <f t="shared" si="42"/>
        <v>0</v>
      </c>
      <c r="AY57" s="4794">
        <f t="shared" si="43"/>
        <v>0</v>
      </c>
      <c r="AZ57" s="4794">
        <f t="shared" si="44"/>
        <v>0</v>
      </c>
      <c r="BA57" s="4794">
        <f t="shared" si="45"/>
        <v>0</v>
      </c>
      <c r="BB57" s="4794">
        <f t="shared" si="46"/>
        <v>0</v>
      </c>
      <c r="BC57" s="4794">
        <f t="shared" si="47"/>
        <v>0</v>
      </c>
      <c r="BD57" s="4794">
        <f t="shared" si="48"/>
        <v>0</v>
      </c>
      <c r="BE57" s="4794">
        <f t="shared" si="49"/>
        <v>0</v>
      </c>
      <c r="BF57" s="4794">
        <f t="shared" si="50"/>
        <v>0</v>
      </c>
      <c r="BG57" s="4794">
        <f t="shared" si="51"/>
        <v>0</v>
      </c>
      <c r="BH57" s="4794">
        <f t="shared" si="52"/>
        <v>0</v>
      </c>
      <c r="BI57" s="4794">
        <f t="shared" si="53"/>
        <v>0</v>
      </c>
      <c r="BJ57" s="4794">
        <f t="shared" si="54"/>
        <v>0</v>
      </c>
      <c r="BK57" s="4794">
        <f t="shared" si="55"/>
        <v>0</v>
      </c>
      <c r="BL57" s="4794">
        <f t="shared" si="56"/>
        <v>0</v>
      </c>
      <c r="BM57" s="4794">
        <f t="shared" si="57"/>
        <v>0</v>
      </c>
      <c r="BN57" s="4794">
        <f t="shared" si="58"/>
        <v>0</v>
      </c>
      <c r="BO57" s="4794">
        <f t="shared" si="59"/>
        <v>0</v>
      </c>
      <c r="BP57" s="4794">
        <f t="shared" si="60"/>
        <v>0</v>
      </c>
      <c r="BQ57" s="4794">
        <f t="shared" si="61"/>
        <v>0</v>
      </c>
      <c r="BR57" s="4794">
        <f t="shared" si="62"/>
        <v>0</v>
      </c>
      <c r="BS57" s="4794">
        <f t="shared" si="63"/>
        <v>0</v>
      </c>
      <c r="BT57" s="4794">
        <f t="shared" si="64"/>
        <v>0</v>
      </c>
      <c r="BU57" s="4794">
        <f t="shared" si="65"/>
        <v>0</v>
      </c>
      <c r="BV57" s="4794">
        <f t="shared" si="66"/>
        <v>0</v>
      </c>
      <c r="BW57" s="4794">
        <f t="shared" si="67"/>
        <v>0</v>
      </c>
      <c r="BX57" s="4794">
        <f t="shared" si="68"/>
        <v>0</v>
      </c>
      <c r="BY57" s="4794">
        <f t="shared" si="69"/>
        <v>0</v>
      </c>
      <c r="BZ57" s="4794">
        <f t="shared" si="70"/>
        <v>0</v>
      </c>
      <c r="CA57" s="4794">
        <f t="shared" si="71"/>
        <v>0</v>
      </c>
      <c r="CB57" s="4794">
        <f t="shared" si="72"/>
        <v>0</v>
      </c>
      <c r="CC57" s="4794">
        <f t="shared" si="73"/>
        <v>0</v>
      </c>
      <c r="CD57" s="4794">
        <f t="shared" si="74"/>
        <v>0</v>
      </c>
    </row>
    <row r="58" spans="1:82" s="44" customFormat="1" ht="25.5">
      <c r="A58" s="3061">
        <v>11</v>
      </c>
      <c r="B58" s="3062">
        <v>215</v>
      </c>
      <c r="C58" s="3063">
        <v>0.2</v>
      </c>
      <c r="D58" s="3037" t="s">
        <v>679</v>
      </c>
      <c r="E58" s="4738">
        <f>SUMIF('11.3. ДА Базова година'!$B$12:$B$39,$B58,'11.3. ДА Базова година'!F$12:F$39)+SUMIF('11.3. ДА Базова година'!$B$92:$B$110,$B58,'11.3. ДА Базова година'!F$92:F$110)</f>
        <v>0</v>
      </c>
      <c r="F58" s="418"/>
      <c r="G58" s="416"/>
      <c r="H58" s="416"/>
      <c r="I58" s="416"/>
      <c r="J58" s="416"/>
      <c r="K58" s="276"/>
      <c r="L58" s="4738">
        <f>SUMIF('11.3. ДА Базова година'!$B$12:$B$39,$B58,'11.3. ДА Базова година'!J$12:J$39)+SUMIF('11.3. ДА Базова година'!$B$92:$B$110,$B58,'11.3. ДА Базова година'!J$92:J$110)</f>
        <v>0</v>
      </c>
      <c r="M58" s="418"/>
      <c r="N58" s="416"/>
      <c r="O58" s="416"/>
      <c r="P58" s="416"/>
      <c r="Q58" s="416"/>
      <c r="R58" s="276"/>
      <c r="S58" s="4738">
        <f>SUMIF('11.3. ДА Базова година'!$B$12:$B$39,$B58,'11.3. ДА Базова година'!N$12:N$39)+SUMIF('11.3. ДА Базова година'!$B$92:$B$110,$B58,'11.3. ДА Базова година'!N$92:N$110)</f>
        <v>0</v>
      </c>
      <c r="T58" s="418"/>
      <c r="U58" s="416"/>
      <c r="V58" s="416"/>
      <c r="W58" s="416"/>
      <c r="X58" s="416"/>
      <c r="Y58" s="417"/>
      <c r="Z58" s="4738">
        <f>SUMIF('11.3. ДА Базова година'!$B$12:$B$39,$B58,'11.3. ДА Базова година'!R$12:R$39)+SUMIF('11.3. ДА Базова година'!$B$92:$B$110,$B58,'11.3. ДА Базова година'!R$92:R$110)</f>
        <v>0</v>
      </c>
      <c r="AA58" s="418"/>
      <c r="AB58" s="416"/>
      <c r="AC58" s="416"/>
      <c r="AD58" s="416"/>
      <c r="AE58" s="416"/>
      <c r="AF58" s="417"/>
      <c r="AG58" s="4738">
        <f>SUMIF('11.3. ДА Базова година'!$B$12:$B$39,$B58,'11.3. ДА Базова година'!V$12:V$39)+SUMIF('11.3. ДА Базова година'!$B$92:$B$110,$B58,'11.3. ДА Базова година'!V$92:V$110)</f>
        <v>0</v>
      </c>
      <c r="AH58" s="418"/>
      <c r="AI58" s="416"/>
      <c r="AJ58" s="416"/>
      <c r="AK58" s="416"/>
      <c r="AL58" s="416"/>
      <c r="AM58" s="276"/>
      <c r="AN58" s="4368"/>
      <c r="AO58" s="3175"/>
      <c r="AP58" s="3176"/>
      <c r="AQ58" s="3176"/>
      <c r="AR58" s="3176"/>
      <c r="AS58" s="3176"/>
      <c r="AT58" s="3177"/>
      <c r="AU58" s="4775"/>
      <c r="AV58" s="4794">
        <f t="shared" si="40"/>
        <v>0</v>
      </c>
      <c r="AW58" s="4794">
        <f t="shared" si="41"/>
        <v>0</v>
      </c>
      <c r="AX58" s="4794">
        <f t="shared" si="42"/>
        <v>0</v>
      </c>
      <c r="AY58" s="4794">
        <f t="shared" si="43"/>
        <v>0</v>
      </c>
      <c r="AZ58" s="4794">
        <f t="shared" si="44"/>
        <v>0</v>
      </c>
      <c r="BA58" s="4794">
        <f t="shared" si="45"/>
        <v>0</v>
      </c>
      <c r="BB58" s="4794">
        <f t="shared" si="46"/>
        <v>0</v>
      </c>
      <c r="BC58" s="4794">
        <f t="shared" si="47"/>
        <v>0</v>
      </c>
      <c r="BD58" s="4794">
        <f t="shared" si="48"/>
        <v>0</v>
      </c>
      <c r="BE58" s="4794">
        <f t="shared" si="49"/>
        <v>0</v>
      </c>
      <c r="BF58" s="4794">
        <f t="shared" si="50"/>
        <v>0</v>
      </c>
      <c r="BG58" s="4794">
        <f t="shared" si="51"/>
        <v>0</v>
      </c>
      <c r="BH58" s="4794">
        <f t="shared" si="52"/>
        <v>0</v>
      </c>
      <c r="BI58" s="4794">
        <f t="shared" si="53"/>
        <v>0</v>
      </c>
      <c r="BJ58" s="4794">
        <f t="shared" si="54"/>
        <v>0</v>
      </c>
      <c r="BK58" s="4794">
        <f t="shared" si="55"/>
        <v>0</v>
      </c>
      <c r="BL58" s="4794">
        <f t="shared" si="56"/>
        <v>0</v>
      </c>
      <c r="BM58" s="4794">
        <f t="shared" si="57"/>
        <v>0</v>
      </c>
      <c r="BN58" s="4794">
        <f t="shared" si="58"/>
        <v>0</v>
      </c>
      <c r="BO58" s="4794">
        <f t="shared" si="59"/>
        <v>0</v>
      </c>
      <c r="BP58" s="4794">
        <f t="shared" si="60"/>
        <v>0</v>
      </c>
      <c r="BQ58" s="4794">
        <f t="shared" si="61"/>
        <v>0</v>
      </c>
      <c r="BR58" s="4794">
        <f t="shared" si="62"/>
        <v>0</v>
      </c>
      <c r="BS58" s="4794">
        <f t="shared" si="63"/>
        <v>0</v>
      </c>
      <c r="BT58" s="4794">
        <f t="shared" si="64"/>
        <v>0</v>
      </c>
      <c r="BU58" s="4794">
        <f t="shared" si="65"/>
        <v>0</v>
      </c>
      <c r="BV58" s="4794">
        <f t="shared" si="66"/>
        <v>0</v>
      </c>
      <c r="BW58" s="4794">
        <f t="shared" si="67"/>
        <v>0</v>
      </c>
      <c r="BX58" s="4794">
        <f t="shared" si="68"/>
        <v>0</v>
      </c>
      <c r="BY58" s="4794">
        <f t="shared" si="69"/>
        <v>0</v>
      </c>
      <c r="BZ58" s="4794">
        <f t="shared" si="70"/>
        <v>0</v>
      </c>
      <c r="CA58" s="4794">
        <f t="shared" si="71"/>
        <v>0</v>
      </c>
      <c r="CB58" s="4794">
        <f t="shared" si="72"/>
        <v>0</v>
      </c>
      <c r="CC58" s="4794">
        <f t="shared" si="73"/>
        <v>0</v>
      </c>
      <c r="CD58" s="4794">
        <f t="shared" si="74"/>
        <v>0</v>
      </c>
    </row>
    <row r="59" spans="1:82" s="44" customFormat="1" ht="13.5" thickBot="1">
      <c r="A59" s="3061">
        <v>12</v>
      </c>
      <c r="B59" s="3065">
        <v>219</v>
      </c>
      <c r="C59" s="3066">
        <v>0.1</v>
      </c>
      <c r="D59" s="3067" t="s">
        <v>216</v>
      </c>
      <c r="E59" s="4739">
        <f>SUMIF('11.3. ДА Базова година'!$B$12:$B$39,$B59,'11.3. ДА Базова година'!F$12:F$39)+SUMIF('11.3. ДА Базова година'!$B$92:$B$110,$B59,'11.3. ДА Базова година'!F$92:F$110)</f>
        <v>0</v>
      </c>
      <c r="F59" s="418"/>
      <c r="G59" s="416"/>
      <c r="H59" s="416"/>
      <c r="I59" s="416"/>
      <c r="J59" s="416"/>
      <c r="K59" s="276"/>
      <c r="L59" s="4739">
        <f>SUMIF('11.3. ДА Базова година'!$B$12:$B$39,$B59,'11.3. ДА Базова година'!J$12:J$39)+SUMIF('11.3. ДА Базова година'!$B$92:$B$110,$B59,'11.3. ДА Базова година'!J$92:J$110)</f>
        <v>0</v>
      </c>
      <c r="M59" s="418"/>
      <c r="N59" s="416"/>
      <c r="O59" s="416"/>
      <c r="P59" s="416"/>
      <c r="Q59" s="416"/>
      <c r="R59" s="276"/>
      <c r="S59" s="4739">
        <f>SUMIF('11.3. ДА Базова година'!$B$12:$B$39,$B59,'11.3. ДА Базова година'!N$12:N$39)+SUMIF('11.3. ДА Базова година'!$B$92:$B$110,$B59,'11.3. ДА Базова година'!N$92:N$110)</f>
        <v>0</v>
      </c>
      <c r="T59" s="418"/>
      <c r="U59" s="416"/>
      <c r="V59" s="416"/>
      <c r="W59" s="416"/>
      <c r="X59" s="416"/>
      <c r="Y59" s="417"/>
      <c r="Z59" s="4739">
        <f>SUMIF('11.3. ДА Базова година'!$B$12:$B$39,$B59,'11.3. ДА Базова година'!R$12:R$39)+SUMIF('11.3. ДА Базова година'!$B$92:$B$110,$B59,'11.3. ДА Базова година'!R$92:R$110)</f>
        <v>0</v>
      </c>
      <c r="AA59" s="418"/>
      <c r="AB59" s="416"/>
      <c r="AC59" s="416"/>
      <c r="AD59" s="416"/>
      <c r="AE59" s="416"/>
      <c r="AF59" s="417"/>
      <c r="AG59" s="4739">
        <f>SUMIF('11.3. ДА Базова година'!$B$12:$B$39,$B59,'11.3. ДА Базова година'!V$12:V$39)+SUMIF('11.3. ДА Базова година'!$B$92:$B$110,$B59,'11.3. ДА Базова година'!V$92:V$110)</f>
        <v>0</v>
      </c>
      <c r="AH59" s="418"/>
      <c r="AI59" s="416"/>
      <c r="AJ59" s="416"/>
      <c r="AK59" s="416"/>
      <c r="AL59" s="416"/>
      <c r="AM59" s="276"/>
      <c r="AN59" s="4372"/>
      <c r="AO59" s="3178"/>
      <c r="AP59" s="3179"/>
      <c r="AQ59" s="3179"/>
      <c r="AR59" s="3179"/>
      <c r="AS59" s="3179"/>
      <c r="AT59" s="3180"/>
      <c r="AU59" s="4775"/>
      <c r="AV59" s="4794">
        <f t="shared" si="40"/>
        <v>0</v>
      </c>
      <c r="AW59" s="4794">
        <f t="shared" si="41"/>
        <v>0</v>
      </c>
      <c r="AX59" s="4794">
        <f t="shared" si="42"/>
        <v>0</v>
      </c>
      <c r="AY59" s="4794">
        <f t="shared" si="43"/>
        <v>0</v>
      </c>
      <c r="AZ59" s="4794">
        <f t="shared" si="44"/>
        <v>0</v>
      </c>
      <c r="BA59" s="4794">
        <f t="shared" si="45"/>
        <v>0</v>
      </c>
      <c r="BB59" s="4794">
        <f t="shared" si="46"/>
        <v>0</v>
      </c>
      <c r="BC59" s="4794">
        <f t="shared" si="47"/>
        <v>0</v>
      </c>
      <c r="BD59" s="4794">
        <f t="shared" si="48"/>
        <v>0</v>
      </c>
      <c r="BE59" s="4794">
        <f t="shared" si="49"/>
        <v>0</v>
      </c>
      <c r="BF59" s="4794">
        <f t="shared" si="50"/>
        <v>0</v>
      </c>
      <c r="BG59" s="4794">
        <f t="shared" si="51"/>
        <v>0</v>
      </c>
      <c r="BH59" s="4794">
        <f t="shared" si="52"/>
        <v>0</v>
      </c>
      <c r="BI59" s="4794">
        <f t="shared" si="53"/>
        <v>0</v>
      </c>
      <c r="BJ59" s="4794">
        <f t="shared" si="54"/>
        <v>0</v>
      </c>
      <c r="BK59" s="4794">
        <f t="shared" si="55"/>
        <v>0</v>
      </c>
      <c r="BL59" s="4794">
        <f t="shared" si="56"/>
        <v>0</v>
      </c>
      <c r="BM59" s="4794">
        <f t="shared" si="57"/>
        <v>0</v>
      </c>
      <c r="BN59" s="4794">
        <f t="shared" si="58"/>
        <v>0</v>
      </c>
      <c r="BO59" s="4794">
        <f t="shared" si="59"/>
        <v>0</v>
      </c>
      <c r="BP59" s="4794">
        <f t="shared" si="60"/>
        <v>0</v>
      </c>
      <c r="BQ59" s="4794">
        <f t="shared" si="61"/>
        <v>0</v>
      </c>
      <c r="BR59" s="4794">
        <f t="shared" si="62"/>
        <v>0</v>
      </c>
      <c r="BS59" s="4794">
        <f t="shared" si="63"/>
        <v>0</v>
      </c>
      <c r="BT59" s="4794">
        <f t="shared" si="64"/>
        <v>0</v>
      </c>
      <c r="BU59" s="4794">
        <f t="shared" si="65"/>
        <v>0</v>
      </c>
      <c r="BV59" s="4794">
        <f t="shared" si="66"/>
        <v>0</v>
      </c>
      <c r="BW59" s="4794">
        <f t="shared" si="67"/>
        <v>0</v>
      </c>
      <c r="BX59" s="4794">
        <f t="shared" si="68"/>
        <v>0</v>
      </c>
      <c r="BY59" s="4794">
        <f t="shared" si="69"/>
        <v>0</v>
      </c>
      <c r="BZ59" s="4794">
        <f t="shared" si="70"/>
        <v>0</v>
      </c>
      <c r="CA59" s="4794">
        <f t="shared" si="71"/>
        <v>0</v>
      </c>
      <c r="CB59" s="4794">
        <f t="shared" si="72"/>
        <v>0</v>
      </c>
      <c r="CC59" s="4794">
        <f t="shared" si="73"/>
        <v>0</v>
      </c>
      <c r="CD59" s="4794">
        <f t="shared" si="74"/>
        <v>0</v>
      </c>
    </row>
    <row r="60" spans="1:82" s="674" customFormat="1" ht="15" thickBot="1">
      <c r="A60" s="3068" t="s">
        <v>206</v>
      </c>
      <c r="B60" s="3069"/>
      <c r="C60" s="3069"/>
      <c r="D60" s="3070" t="s">
        <v>218</v>
      </c>
      <c r="E60" s="3071">
        <f t="shared" ref="E60:AT60" si="100">E61+E64+E67+E79+E94+E99+SUM(E103:E108)</f>
        <v>223.88000000000002</v>
      </c>
      <c r="F60" s="3071">
        <f t="shared" si="100"/>
        <v>447.76000000000005</v>
      </c>
      <c r="G60" s="3008">
        <f t="shared" si="100"/>
        <v>447.76000000000005</v>
      </c>
      <c r="H60" s="3008">
        <f t="shared" si="100"/>
        <v>447.76000000000005</v>
      </c>
      <c r="I60" s="3008">
        <f t="shared" si="100"/>
        <v>447.76000000000005</v>
      </c>
      <c r="J60" s="3008">
        <f t="shared" si="100"/>
        <v>447.76000000000005</v>
      </c>
      <c r="K60" s="3009">
        <f t="shared" si="100"/>
        <v>447.76000000000005</v>
      </c>
      <c r="L60" s="3071">
        <f t="shared" ref="L60" si="101">L61+L64+L67+L79+L94+L99+SUM(L103:L108)</f>
        <v>22.990000000000002</v>
      </c>
      <c r="M60" s="3072">
        <f t="shared" si="100"/>
        <v>45.980000000000004</v>
      </c>
      <c r="N60" s="3008">
        <f t="shared" si="100"/>
        <v>45.980000000000004</v>
      </c>
      <c r="O60" s="3008">
        <f t="shared" si="100"/>
        <v>45.980000000000004</v>
      </c>
      <c r="P60" s="3008">
        <f t="shared" si="100"/>
        <v>45.980000000000004</v>
      </c>
      <c r="Q60" s="3008">
        <f t="shared" si="100"/>
        <v>45.980000000000004</v>
      </c>
      <c r="R60" s="3011">
        <f t="shared" si="100"/>
        <v>45.980000000000004</v>
      </c>
      <c r="S60" s="3010">
        <f t="shared" ref="S60" si="102">S61+S64+S67+S79+S94+S99+SUM(S103:S108)</f>
        <v>4.0600000000000005</v>
      </c>
      <c r="T60" s="3007">
        <f t="shared" si="100"/>
        <v>8.120000000000001</v>
      </c>
      <c r="U60" s="3008">
        <f t="shared" si="100"/>
        <v>8.120000000000001</v>
      </c>
      <c r="V60" s="3008">
        <f t="shared" si="100"/>
        <v>8.120000000000001</v>
      </c>
      <c r="W60" s="3008">
        <f t="shared" si="100"/>
        <v>8.120000000000001</v>
      </c>
      <c r="X60" s="3008">
        <f t="shared" si="100"/>
        <v>8.120000000000001</v>
      </c>
      <c r="Y60" s="3011">
        <f t="shared" si="100"/>
        <v>8.120000000000001</v>
      </c>
      <c r="Z60" s="3010">
        <f t="shared" si="100"/>
        <v>0</v>
      </c>
      <c r="AA60" s="3007">
        <f t="shared" ref="AA60:AF60" si="103">AA61+AA64+AA67+AA79+AA94+AA99+SUM(AA103:AA108)</f>
        <v>0</v>
      </c>
      <c r="AB60" s="3008">
        <f t="shared" si="103"/>
        <v>0</v>
      </c>
      <c r="AC60" s="3008">
        <f t="shared" si="103"/>
        <v>0</v>
      </c>
      <c r="AD60" s="3008">
        <f t="shared" si="103"/>
        <v>0</v>
      </c>
      <c r="AE60" s="3008">
        <f t="shared" si="103"/>
        <v>0</v>
      </c>
      <c r="AF60" s="3011">
        <f t="shared" si="103"/>
        <v>0</v>
      </c>
      <c r="AG60" s="3010">
        <f t="shared" ref="AG60" si="104">AG61+AG64+AG67+AG79+AG94+AG99+SUM(AG103:AG108)</f>
        <v>0</v>
      </c>
      <c r="AH60" s="3007">
        <f t="shared" ref="AH60:AM60" si="105">AH61+AH64+AH67+AH79+AH94+AH99+SUM(AH103:AH108)</f>
        <v>0</v>
      </c>
      <c r="AI60" s="3008">
        <f t="shared" si="105"/>
        <v>0</v>
      </c>
      <c r="AJ60" s="3008">
        <f t="shared" si="105"/>
        <v>0</v>
      </c>
      <c r="AK60" s="3008">
        <f t="shared" si="105"/>
        <v>0</v>
      </c>
      <c r="AL60" s="3008">
        <f t="shared" si="105"/>
        <v>0</v>
      </c>
      <c r="AM60" s="3011">
        <f t="shared" si="105"/>
        <v>0</v>
      </c>
      <c r="AN60" s="4366">
        <f t="shared" si="100"/>
        <v>0</v>
      </c>
      <c r="AO60" s="3007">
        <f t="shared" si="100"/>
        <v>0</v>
      </c>
      <c r="AP60" s="3008">
        <f t="shared" si="100"/>
        <v>0</v>
      </c>
      <c r="AQ60" s="3008">
        <f t="shared" si="100"/>
        <v>0</v>
      </c>
      <c r="AR60" s="3008">
        <f t="shared" si="100"/>
        <v>0</v>
      </c>
      <c r="AS60" s="3008">
        <f t="shared" si="100"/>
        <v>0</v>
      </c>
      <c r="AT60" s="3011">
        <f t="shared" si="100"/>
        <v>0</v>
      </c>
      <c r="AU60" s="4775"/>
      <c r="AV60" s="4794">
        <f t="shared" si="40"/>
        <v>114.46802636220941</v>
      </c>
      <c r="AW60" s="4794">
        <f t="shared" si="41"/>
        <v>228.93605272441883</v>
      </c>
      <c r="AX60" s="4794">
        <f t="shared" si="42"/>
        <v>228.93605272441883</v>
      </c>
      <c r="AY60" s="4794">
        <f t="shared" si="43"/>
        <v>228.93605272441883</v>
      </c>
      <c r="AZ60" s="4794">
        <f t="shared" si="44"/>
        <v>228.93605272441883</v>
      </c>
      <c r="BA60" s="4794">
        <f t="shared" si="45"/>
        <v>228.93605272441883</v>
      </c>
      <c r="BB60" s="4794">
        <f t="shared" si="46"/>
        <v>228.93605272441883</v>
      </c>
      <c r="BC60" s="4794">
        <f t="shared" si="47"/>
        <v>11.754600348701064</v>
      </c>
      <c r="BD60" s="4794">
        <f t="shared" si="48"/>
        <v>23.509200697402129</v>
      </c>
      <c r="BE60" s="4794">
        <f t="shared" si="49"/>
        <v>23.509200697402129</v>
      </c>
      <c r="BF60" s="4794">
        <f t="shared" si="50"/>
        <v>23.509200697402129</v>
      </c>
      <c r="BG60" s="4794">
        <f t="shared" si="51"/>
        <v>23.509200697402129</v>
      </c>
      <c r="BH60" s="4794">
        <f t="shared" si="52"/>
        <v>23.509200697402129</v>
      </c>
      <c r="BI60" s="4794">
        <f t="shared" si="53"/>
        <v>23.509200697402129</v>
      </c>
      <c r="BJ60" s="4794">
        <f t="shared" si="54"/>
        <v>2.0758450376566473</v>
      </c>
      <c r="BK60" s="4794">
        <f t="shared" si="55"/>
        <v>4.1516900753132946</v>
      </c>
      <c r="BL60" s="4794">
        <f t="shared" si="56"/>
        <v>4.1516900753132946</v>
      </c>
      <c r="BM60" s="4794">
        <f t="shared" si="57"/>
        <v>4.1516900753132946</v>
      </c>
      <c r="BN60" s="4794">
        <f t="shared" si="58"/>
        <v>4.1516900753132946</v>
      </c>
      <c r="BO60" s="4794">
        <f t="shared" si="59"/>
        <v>4.1516900753132946</v>
      </c>
      <c r="BP60" s="4794">
        <f t="shared" si="60"/>
        <v>4.1516900753132946</v>
      </c>
      <c r="BQ60" s="4794">
        <f t="shared" si="61"/>
        <v>0</v>
      </c>
      <c r="BR60" s="4794">
        <f t="shared" si="62"/>
        <v>0</v>
      </c>
      <c r="BS60" s="4794">
        <f t="shared" si="63"/>
        <v>0</v>
      </c>
      <c r="BT60" s="4794">
        <f t="shared" si="64"/>
        <v>0</v>
      </c>
      <c r="BU60" s="4794">
        <f t="shared" si="65"/>
        <v>0</v>
      </c>
      <c r="BV60" s="4794">
        <f t="shared" si="66"/>
        <v>0</v>
      </c>
      <c r="BW60" s="4794">
        <f t="shared" si="67"/>
        <v>0</v>
      </c>
      <c r="BX60" s="4794">
        <f t="shared" si="68"/>
        <v>0</v>
      </c>
      <c r="BY60" s="4794">
        <f t="shared" si="69"/>
        <v>0</v>
      </c>
      <c r="BZ60" s="4794">
        <f t="shared" si="70"/>
        <v>0</v>
      </c>
      <c r="CA60" s="4794">
        <f t="shared" si="71"/>
        <v>0</v>
      </c>
      <c r="CB60" s="4794">
        <f t="shared" si="72"/>
        <v>0</v>
      </c>
      <c r="CC60" s="4794">
        <f t="shared" si="73"/>
        <v>0</v>
      </c>
      <c r="CD60" s="4794">
        <f t="shared" si="74"/>
        <v>0</v>
      </c>
    </row>
    <row r="61" spans="1:82" s="44" customFormat="1">
      <c r="A61" s="3012">
        <v>1</v>
      </c>
      <c r="B61" s="3012">
        <v>201</v>
      </c>
      <c r="C61" s="3013">
        <v>0</v>
      </c>
      <c r="D61" s="3073" t="s">
        <v>217</v>
      </c>
      <c r="E61" s="4473">
        <f>SUM(E62:E63)</f>
        <v>0</v>
      </c>
      <c r="F61" s="3074">
        <f>SUM(F62:F63)</f>
        <v>0</v>
      </c>
      <c r="G61" s="3075">
        <f t="shared" ref="G61:J61" si="106">SUM(G62:G63)</f>
        <v>0</v>
      </c>
      <c r="H61" s="3075">
        <f t="shared" si="106"/>
        <v>0</v>
      </c>
      <c r="I61" s="3075">
        <f t="shared" si="106"/>
        <v>0</v>
      </c>
      <c r="J61" s="3075">
        <f t="shared" si="106"/>
        <v>0</v>
      </c>
      <c r="K61" s="3076">
        <f>SUM(K62:K63)</f>
        <v>0</v>
      </c>
      <c r="L61" s="4473">
        <f>SUM(L62:L63)</f>
        <v>0</v>
      </c>
      <c r="M61" s="3077">
        <f>SUM(M62:M63)</f>
        <v>0</v>
      </c>
      <c r="N61" s="3075">
        <f t="shared" ref="N61:Q61" si="107">SUM(N62:N63)</f>
        <v>0</v>
      </c>
      <c r="O61" s="3075">
        <f t="shared" si="107"/>
        <v>0</v>
      </c>
      <c r="P61" s="3075">
        <f t="shared" si="107"/>
        <v>0</v>
      </c>
      <c r="Q61" s="3075">
        <f t="shared" si="107"/>
        <v>0</v>
      </c>
      <c r="R61" s="3078">
        <f>SUM(R62:R63)</f>
        <v>0</v>
      </c>
      <c r="S61" s="4481">
        <f>SUM(S62:S63)</f>
        <v>0</v>
      </c>
      <c r="T61" s="4476">
        <f>SUM(T62:T63)</f>
        <v>0</v>
      </c>
      <c r="U61" s="3075">
        <f t="shared" ref="U61:X61" si="108">SUM(U62:U63)</f>
        <v>0</v>
      </c>
      <c r="V61" s="3075">
        <f t="shared" si="108"/>
        <v>0</v>
      </c>
      <c r="W61" s="3075">
        <f t="shared" si="108"/>
        <v>0</v>
      </c>
      <c r="X61" s="3075">
        <f t="shared" si="108"/>
        <v>0</v>
      </c>
      <c r="Y61" s="3078">
        <f>SUM(Y62:Y63)</f>
        <v>0</v>
      </c>
      <c r="Z61" s="4481">
        <f>SUM(Z62:Z63)</f>
        <v>0</v>
      </c>
      <c r="AA61" s="4476">
        <f>SUM(AA62:AA63)</f>
        <v>0</v>
      </c>
      <c r="AB61" s="3075">
        <f t="shared" ref="AB61:AE61" si="109">SUM(AB62:AB63)</f>
        <v>0</v>
      </c>
      <c r="AC61" s="3075">
        <f t="shared" si="109"/>
        <v>0</v>
      </c>
      <c r="AD61" s="3075">
        <f t="shared" si="109"/>
        <v>0</v>
      </c>
      <c r="AE61" s="3075">
        <f t="shared" si="109"/>
        <v>0</v>
      </c>
      <c r="AF61" s="3078">
        <f>SUM(AF62:AF63)</f>
        <v>0</v>
      </c>
      <c r="AG61" s="4481">
        <f>SUM(AG62:AG63)</f>
        <v>0</v>
      </c>
      <c r="AH61" s="4476">
        <f>SUM(AH62:AH63)</f>
        <v>0</v>
      </c>
      <c r="AI61" s="3075">
        <f t="shared" ref="AI61:AL61" si="110">SUM(AI62:AI63)</f>
        <v>0</v>
      </c>
      <c r="AJ61" s="3075">
        <f t="shared" si="110"/>
        <v>0</v>
      </c>
      <c r="AK61" s="3075">
        <f t="shared" si="110"/>
        <v>0</v>
      </c>
      <c r="AL61" s="3075">
        <f t="shared" si="110"/>
        <v>0</v>
      </c>
      <c r="AM61" s="3078">
        <f>SUM(AM62:AM63)</f>
        <v>0</v>
      </c>
      <c r="AN61" s="4367">
        <f>SUM(AN62:AN63)</f>
        <v>0</v>
      </c>
      <c r="AO61" s="3172"/>
      <c r="AP61" s="3173"/>
      <c r="AQ61" s="3173"/>
      <c r="AR61" s="3173"/>
      <c r="AS61" s="3173"/>
      <c r="AT61" s="3174"/>
      <c r="AU61" s="4775"/>
      <c r="AV61" s="4794">
        <f t="shared" si="40"/>
        <v>0</v>
      </c>
      <c r="AW61" s="4794">
        <f t="shared" si="41"/>
        <v>0</v>
      </c>
      <c r="AX61" s="4794">
        <f t="shared" si="42"/>
        <v>0</v>
      </c>
      <c r="AY61" s="4794">
        <f t="shared" si="43"/>
        <v>0</v>
      </c>
      <c r="AZ61" s="4794">
        <f t="shared" si="44"/>
        <v>0</v>
      </c>
      <c r="BA61" s="4794">
        <f t="shared" si="45"/>
        <v>0</v>
      </c>
      <c r="BB61" s="4794">
        <f t="shared" si="46"/>
        <v>0</v>
      </c>
      <c r="BC61" s="4794">
        <f t="shared" si="47"/>
        <v>0</v>
      </c>
      <c r="BD61" s="4794">
        <f t="shared" si="48"/>
        <v>0</v>
      </c>
      <c r="BE61" s="4794">
        <f t="shared" si="49"/>
        <v>0</v>
      </c>
      <c r="BF61" s="4794">
        <f t="shared" si="50"/>
        <v>0</v>
      </c>
      <c r="BG61" s="4794">
        <f t="shared" si="51"/>
        <v>0</v>
      </c>
      <c r="BH61" s="4794">
        <f t="shared" si="52"/>
        <v>0</v>
      </c>
      <c r="BI61" s="4794">
        <f t="shared" si="53"/>
        <v>0</v>
      </c>
      <c r="BJ61" s="4794">
        <f t="shared" si="54"/>
        <v>0</v>
      </c>
      <c r="BK61" s="4794">
        <f t="shared" si="55"/>
        <v>0</v>
      </c>
      <c r="BL61" s="4794">
        <f t="shared" si="56"/>
        <v>0</v>
      </c>
      <c r="BM61" s="4794">
        <f t="shared" si="57"/>
        <v>0</v>
      </c>
      <c r="BN61" s="4794">
        <f t="shared" si="58"/>
        <v>0</v>
      </c>
      <c r="BO61" s="4794">
        <f t="shared" si="59"/>
        <v>0</v>
      </c>
      <c r="BP61" s="4794">
        <f t="shared" si="60"/>
        <v>0</v>
      </c>
      <c r="BQ61" s="4794">
        <f t="shared" si="61"/>
        <v>0</v>
      </c>
      <c r="BR61" s="4794">
        <f t="shared" si="62"/>
        <v>0</v>
      </c>
      <c r="BS61" s="4794">
        <f t="shared" si="63"/>
        <v>0</v>
      </c>
      <c r="BT61" s="4794">
        <f t="shared" si="64"/>
        <v>0</v>
      </c>
      <c r="BU61" s="4794">
        <f t="shared" si="65"/>
        <v>0</v>
      </c>
      <c r="BV61" s="4794">
        <f t="shared" si="66"/>
        <v>0</v>
      </c>
      <c r="BW61" s="4794">
        <f t="shared" si="67"/>
        <v>0</v>
      </c>
      <c r="BX61" s="4794">
        <f t="shared" si="68"/>
        <v>0</v>
      </c>
      <c r="BY61" s="4794">
        <f t="shared" si="69"/>
        <v>0</v>
      </c>
      <c r="BZ61" s="4794">
        <f t="shared" si="70"/>
        <v>0</v>
      </c>
      <c r="CA61" s="4794">
        <f t="shared" si="71"/>
        <v>0</v>
      </c>
      <c r="CB61" s="4794">
        <f t="shared" si="72"/>
        <v>0</v>
      </c>
      <c r="CC61" s="4794">
        <f t="shared" si="73"/>
        <v>0</v>
      </c>
      <c r="CD61" s="4794">
        <f t="shared" si="74"/>
        <v>0</v>
      </c>
    </row>
    <row r="62" spans="1:82" s="691" customFormat="1">
      <c r="A62" s="3020"/>
      <c r="B62" s="3020">
        <v>20101</v>
      </c>
      <c r="C62" s="3079">
        <v>0</v>
      </c>
      <c r="D62" s="3080" t="s">
        <v>556</v>
      </c>
      <c r="E62" s="4738">
        <f>+E13*$C62/2</f>
        <v>0</v>
      </c>
      <c r="F62" s="3081">
        <f>($E13*$C62)-(F13*$C62)</f>
        <v>0</v>
      </c>
      <c r="G62" s="3082">
        <f t="shared" ref="G62:K63" si="111">F62-(G13*$C62)</f>
        <v>0</v>
      </c>
      <c r="H62" s="3083">
        <f t="shared" si="111"/>
        <v>0</v>
      </c>
      <c r="I62" s="3083">
        <f t="shared" si="111"/>
        <v>0</v>
      </c>
      <c r="J62" s="3083">
        <f t="shared" si="111"/>
        <v>0</v>
      </c>
      <c r="K62" s="3084">
        <f t="shared" si="111"/>
        <v>0</v>
      </c>
      <c r="L62" s="4738">
        <f>+L13*$C62/2</f>
        <v>0</v>
      </c>
      <c r="M62" s="3085">
        <f>($L13*$C62)-(M13*$C62)</f>
        <v>0</v>
      </c>
      <c r="N62" s="3082">
        <f t="shared" ref="N62:R63" si="112">M62-(N13*$C62)</f>
        <v>0</v>
      </c>
      <c r="O62" s="3083">
        <f t="shared" si="112"/>
        <v>0</v>
      </c>
      <c r="P62" s="3083">
        <f t="shared" si="112"/>
        <v>0</v>
      </c>
      <c r="Q62" s="3083">
        <f t="shared" si="112"/>
        <v>0</v>
      </c>
      <c r="R62" s="3086">
        <f t="shared" si="112"/>
        <v>0</v>
      </c>
      <c r="S62" s="4738">
        <f>+S13*$C62/2</f>
        <v>0</v>
      </c>
      <c r="T62" s="4477">
        <f>($S13*$C62)-(T13*$C62)</f>
        <v>0</v>
      </c>
      <c r="U62" s="3082">
        <f t="shared" ref="U62:Y63" si="113">T62-(U13*$C62)</f>
        <v>0</v>
      </c>
      <c r="V62" s="3083">
        <f t="shared" si="113"/>
        <v>0</v>
      </c>
      <c r="W62" s="3083">
        <f t="shared" si="113"/>
        <v>0</v>
      </c>
      <c r="X62" s="3083">
        <f t="shared" si="113"/>
        <v>0</v>
      </c>
      <c r="Y62" s="3086">
        <f t="shared" si="113"/>
        <v>0</v>
      </c>
      <c r="Z62" s="4738">
        <f>+Z13*$C62/2</f>
        <v>0</v>
      </c>
      <c r="AA62" s="4477">
        <f>($Z13*$C62)-(AA13*$C62)</f>
        <v>0</v>
      </c>
      <c r="AB62" s="3082">
        <f t="shared" ref="AB62:AF63" si="114">AA62-(AB13*$C62)</f>
        <v>0</v>
      </c>
      <c r="AC62" s="3083">
        <f t="shared" si="114"/>
        <v>0</v>
      </c>
      <c r="AD62" s="3083">
        <f t="shared" si="114"/>
        <v>0</v>
      </c>
      <c r="AE62" s="3083">
        <f t="shared" si="114"/>
        <v>0</v>
      </c>
      <c r="AF62" s="3086">
        <f t="shared" si="114"/>
        <v>0</v>
      </c>
      <c r="AG62" s="4738">
        <f>+AG13*$C62/2</f>
        <v>0</v>
      </c>
      <c r="AH62" s="4477">
        <f>($AG13*$C62)-(AH13*$C62)</f>
        <v>0</v>
      </c>
      <c r="AI62" s="3082">
        <f t="shared" ref="AI62:AM63" si="115">AH62-(AI13*$C62)</f>
        <v>0</v>
      </c>
      <c r="AJ62" s="3083">
        <f t="shared" si="115"/>
        <v>0</v>
      </c>
      <c r="AK62" s="3083">
        <f t="shared" si="115"/>
        <v>0</v>
      </c>
      <c r="AL62" s="3083">
        <f t="shared" si="115"/>
        <v>0</v>
      </c>
      <c r="AM62" s="3086">
        <f t="shared" si="115"/>
        <v>0</v>
      </c>
      <c r="AN62" s="4368"/>
      <c r="AO62" s="3175"/>
      <c r="AP62" s="3176"/>
      <c r="AQ62" s="3176"/>
      <c r="AR62" s="3176"/>
      <c r="AS62" s="3176"/>
      <c r="AT62" s="3177"/>
      <c r="AU62" s="4775"/>
      <c r="AV62" s="4794">
        <f t="shared" si="40"/>
        <v>0</v>
      </c>
      <c r="AW62" s="4794">
        <f t="shared" si="41"/>
        <v>0</v>
      </c>
      <c r="AX62" s="4794">
        <f t="shared" si="42"/>
        <v>0</v>
      </c>
      <c r="AY62" s="4794">
        <f t="shared" si="43"/>
        <v>0</v>
      </c>
      <c r="AZ62" s="4794">
        <f t="shared" si="44"/>
        <v>0</v>
      </c>
      <c r="BA62" s="4794">
        <f t="shared" si="45"/>
        <v>0</v>
      </c>
      <c r="BB62" s="4794">
        <f t="shared" si="46"/>
        <v>0</v>
      </c>
      <c r="BC62" s="4794">
        <f t="shared" si="47"/>
        <v>0</v>
      </c>
      <c r="BD62" s="4794">
        <f t="shared" si="48"/>
        <v>0</v>
      </c>
      <c r="BE62" s="4794">
        <f t="shared" si="49"/>
        <v>0</v>
      </c>
      <c r="BF62" s="4794">
        <f t="shared" si="50"/>
        <v>0</v>
      </c>
      <c r="BG62" s="4794">
        <f t="shared" si="51"/>
        <v>0</v>
      </c>
      <c r="BH62" s="4794">
        <f t="shared" si="52"/>
        <v>0</v>
      </c>
      <c r="BI62" s="4794">
        <f t="shared" si="53"/>
        <v>0</v>
      </c>
      <c r="BJ62" s="4794">
        <f t="shared" si="54"/>
        <v>0</v>
      </c>
      <c r="BK62" s="4794">
        <f t="shared" si="55"/>
        <v>0</v>
      </c>
      <c r="BL62" s="4794">
        <f t="shared" si="56"/>
        <v>0</v>
      </c>
      <c r="BM62" s="4794">
        <f t="shared" si="57"/>
        <v>0</v>
      </c>
      <c r="BN62" s="4794">
        <f t="shared" si="58"/>
        <v>0</v>
      </c>
      <c r="BO62" s="4794">
        <f t="shared" si="59"/>
        <v>0</v>
      </c>
      <c r="BP62" s="4794">
        <f t="shared" si="60"/>
        <v>0</v>
      </c>
      <c r="BQ62" s="4794">
        <f t="shared" si="61"/>
        <v>0</v>
      </c>
      <c r="BR62" s="4794">
        <f t="shared" si="62"/>
        <v>0</v>
      </c>
      <c r="BS62" s="4794">
        <f t="shared" si="63"/>
        <v>0</v>
      </c>
      <c r="BT62" s="4794">
        <f t="shared" si="64"/>
        <v>0</v>
      </c>
      <c r="BU62" s="4794">
        <f t="shared" si="65"/>
        <v>0</v>
      </c>
      <c r="BV62" s="4794">
        <f t="shared" si="66"/>
        <v>0</v>
      </c>
      <c r="BW62" s="4794">
        <f t="shared" si="67"/>
        <v>0</v>
      </c>
      <c r="BX62" s="4794">
        <f t="shared" si="68"/>
        <v>0</v>
      </c>
      <c r="BY62" s="4794">
        <f t="shared" si="69"/>
        <v>0</v>
      </c>
      <c r="BZ62" s="4794">
        <f t="shared" si="70"/>
        <v>0</v>
      </c>
      <c r="CA62" s="4794">
        <f t="shared" si="71"/>
        <v>0</v>
      </c>
      <c r="CB62" s="4794">
        <f t="shared" si="72"/>
        <v>0</v>
      </c>
      <c r="CC62" s="4794">
        <f t="shared" si="73"/>
        <v>0</v>
      </c>
      <c r="CD62" s="4794">
        <f t="shared" si="74"/>
        <v>0</v>
      </c>
    </row>
    <row r="63" spans="1:82" s="691" customFormat="1">
      <c r="A63" s="3020"/>
      <c r="B63" s="3020">
        <v>20102</v>
      </c>
      <c r="C63" s="3079">
        <v>0</v>
      </c>
      <c r="D63" s="3087" t="s">
        <v>558</v>
      </c>
      <c r="E63" s="4738">
        <f>+E14*$C63/2</f>
        <v>0</v>
      </c>
      <c r="F63" s="3085">
        <f>($E14*$C63)-(F14*$C63)</f>
        <v>0</v>
      </c>
      <c r="G63" s="3083">
        <f t="shared" si="111"/>
        <v>0</v>
      </c>
      <c r="H63" s="3083">
        <f t="shared" si="111"/>
        <v>0</v>
      </c>
      <c r="I63" s="3083">
        <f t="shared" si="111"/>
        <v>0</v>
      </c>
      <c r="J63" s="3083">
        <f t="shared" si="111"/>
        <v>0</v>
      </c>
      <c r="K63" s="3084">
        <f t="shared" si="111"/>
        <v>0</v>
      </c>
      <c r="L63" s="4738">
        <f>+L14*$C63/2</f>
        <v>0</v>
      </c>
      <c r="M63" s="3085">
        <f>($L14*$C63)-(M14*$C63)</f>
        <v>0</v>
      </c>
      <c r="N63" s="3083">
        <f t="shared" si="112"/>
        <v>0</v>
      </c>
      <c r="O63" s="3083">
        <f t="shared" si="112"/>
        <v>0</v>
      </c>
      <c r="P63" s="3083">
        <f t="shared" si="112"/>
        <v>0</v>
      </c>
      <c r="Q63" s="3083">
        <f t="shared" si="112"/>
        <v>0</v>
      </c>
      <c r="R63" s="3086">
        <f t="shared" si="112"/>
        <v>0</v>
      </c>
      <c r="S63" s="4738">
        <f>+S14*$C63/2</f>
        <v>0</v>
      </c>
      <c r="T63" s="4477">
        <f>($S14*$C63)-(T14*$C63)</f>
        <v>0</v>
      </c>
      <c r="U63" s="3083">
        <f t="shared" si="113"/>
        <v>0</v>
      </c>
      <c r="V63" s="3083">
        <f t="shared" si="113"/>
        <v>0</v>
      </c>
      <c r="W63" s="3083">
        <f t="shared" si="113"/>
        <v>0</v>
      </c>
      <c r="X63" s="3083">
        <f t="shared" si="113"/>
        <v>0</v>
      </c>
      <c r="Y63" s="3086">
        <f t="shared" si="113"/>
        <v>0</v>
      </c>
      <c r="Z63" s="4738">
        <f>+Z14*$C63/2</f>
        <v>0</v>
      </c>
      <c r="AA63" s="4477">
        <f>($Z14*$C63)-(AA14*$C63)</f>
        <v>0</v>
      </c>
      <c r="AB63" s="3083">
        <f t="shared" si="114"/>
        <v>0</v>
      </c>
      <c r="AC63" s="3083">
        <f t="shared" si="114"/>
        <v>0</v>
      </c>
      <c r="AD63" s="3083">
        <f t="shared" si="114"/>
        <v>0</v>
      </c>
      <c r="AE63" s="3083">
        <f t="shared" si="114"/>
        <v>0</v>
      </c>
      <c r="AF63" s="3086">
        <f t="shared" si="114"/>
        <v>0</v>
      </c>
      <c r="AG63" s="4738">
        <f>+AG14*$C63/2</f>
        <v>0</v>
      </c>
      <c r="AH63" s="4477">
        <f>($AG14*$C63)-(AH14*$C63)</f>
        <v>0</v>
      </c>
      <c r="AI63" s="3083">
        <f t="shared" si="115"/>
        <v>0</v>
      </c>
      <c r="AJ63" s="3083">
        <f t="shared" si="115"/>
        <v>0</v>
      </c>
      <c r="AK63" s="3083">
        <f t="shared" si="115"/>
        <v>0</v>
      </c>
      <c r="AL63" s="3083">
        <f t="shared" si="115"/>
        <v>0</v>
      </c>
      <c r="AM63" s="3086">
        <f t="shared" si="115"/>
        <v>0</v>
      </c>
      <c r="AN63" s="4368"/>
      <c r="AO63" s="3175"/>
      <c r="AP63" s="3176"/>
      <c r="AQ63" s="3176"/>
      <c r="AR63" s="3176"/>
      <c r="AS63" s="3176"/>
      <c r="AT63" s="3177"/>
      <c r="AU63" s="4775"/>
      <c r="AV63" s="4794">
        <f t="shared" si="40"/>
        <v>0</v>
      </c>
      <c r="AW63" s="4794">
        <f t="shared" si="41"/>
        <v>0</v>
      </c>
      <c r="AX63" s="4794">
        <f t="shared" si="42"/>
        <v>0</v>
      </c>
      <c r="AY63" s="4794">
        <f t="shared" si="43"/>
        <v>0</v>
      </c>
      <c r="AZ63" s="4794">
        <f t="shared" si="44"/>
        <v>0</v>
      </c>
      <c r="BA63" s="4794">
        <f t="shared" si="45"/>
        <v>0</v>
      </c>
      <c r="BB63" s="4794">
        <f t="shared" si="46"/>
        <v>0</v>
      </c>
      <c r="BC63" s="4794">
        <f t="shared" si="47"/>
        <v>0</v>
      </c>
      <c r="BD63" s="4794">
        <f t="shared" si="48"/>
        <v>0</v>
      </c>
      <c r="BE63" s="4794">
        <f t="shared" si="49"/>
        <v>0</v>
      </c>
      <c r="BF63" s="4794">
        <f t="shared" si="50"/>
        <v>0</v>
      </c>
      <c r="BG63" s="4794">
        <f t="shared" si="51"/>
        <v>0</v>
      </c>
      <c r="BH63" s="4794">
        <f t="shared" si="52"/>
        <v>0</v>
      </c>
      <c r="BI63" s="4794">
        <f t="shared" si="53"/>
        <v>0</v>
      </c>
      <c r="BJ63" s="4794">
        <f t="shared" si="54"/>
        <v>0</v>
      </c>
      <c r="BK63" s="4794">
        <f t="shared" si="55"/>
        <v>0</v>
      </c>
      <c r="BL63" s="4794">
        <f t="shared" si="56"/>
        <v>0</v>
      </c>
      <c r="BM63" s="4794">
        <f t="shared" si="57"/>
        <v>0</v>
      </c>
      <c r="BN63" s="4794">
        <f t="shared" si="58"/>
        <v>0</v>
      </c>
      <c r="BO63" s="4794">
        <f t="shared" si="59"/>
        <v>0</v>
      </c>
      <c r="BP63" s="4794">
        <f t="shared" si="60"/>
        <v>0</v>
      </c>
      <c r="BQ63" s="4794">
        <f t="shared" si="61"/>
        <v>0</v>
      </c>
      <c r="BR63" s="4794">
        <f t="shared" si="62"/>
        <v>0</v>
      </c>
      <c r="BS63" s="4794">
        <f t="shared" si="63"/>
        <v>0</v>
      </c>
      <c r="BT63" s="4794">
        <f t="shared" si="64"/>
        <v>0</v>
      </c>
      <c r="BU63" s="4794">
        <f t="shared" si="65"/>
        <v>0</v>
      </c>
      <c r="BV63" s="4794">
        <f t="shared" si="66"/>
        <v>0</v>
      </c>
      <c r="BW63" s="4794">
        <f t="shared" si="67"/>
        <v>0</v>
      </c>
      <c r="BX63" s="4794">
        <f t="shared" si="68"/>
        <v>0</v>
      </c>
      <c r="BY63" s="4794">
        <f t="shared" si="69"/>
        <v>0</v>
      </c>
      <c r="BZ63" s="4794">
        <f t="shared" si="70"/>
        <v>0</v>
      </c>
      <c r="CA63" s="4794">
        <f t="shared" si="71"/>
        <v>0</v>
      </c>
      <c r="CB63" s="4794">
        <f t="shared" si="72"/>
        <v>0</v>
      </c>
      <c r="CC63" s="4794">
        <f t="shared" si="73"/>
        <v>0</v>
      </c>
      <c r="CD63" s="4794">
        <f t="shared" si="74"/>
        <v>0</v>
      </c>
    </row>
    <row r="64" spans="1:82" s="44" customFormat="1">
      <c r="A64" s="3025">
        <v>2</v>
      </c>
      <c r="B64" s="3025">
        <v>202</v>
      </c>
      <c r="C64" s="3088">
        <v>0.03</v>
      </c>
      <c r="D64" s="3089" t="s">
        <v>404</v>
      </c>
      <c r="E64" s="4474">
        <f>SUM(E65:E66)</f>
        <v>0</v>
      </c>
      <c r="F64" s="3090">
        <f>SUM(F65:F66)</f>
        <v>0</v>
      </c>
      <c r="G64" s="3031">
        <f t="shared" ref="G64:AN64" si="116">SUM(G65:G66)</f>
        <v>0</v>
      </c>
      <c r="H64" s="3031">
        <f t="shared" si="116"/>
        <v>0</v>
      </c>
      <c r="I64" s="3031">
        <f t="shared" si="116"/>
        <v>0</v>
      </c>
      <c r="J64" s="3031">
        <f t="shared" si="116"/>
        <v>0</v>
      </c>
      <c r="K64" s="3032">
        <f t="shared" si="116"/>
        <v>0</v>
      </c>
      <c r="L64" s="4474">
        <f>SUM(L65:L66)</f>
        <v>0</v>
      </c>
      <c r="M64" s="3091">
        <f t="shared" si="116"/>
        <v>0</v>
      </c>
      <c r="N64" s="3031">
        <f t="shared" si="116"/>
        <v>0</v>
      </c>
      <c r="O64" s="3031">
        <f t="shared" si="116"/>
        <v>0</v>
      </c>
      <c r="P64" s="3031">
        <f t="shared" si="116"/>
        <v>0</v>
      </c>
      <c r="Q64" s="3031">
        <f t="shared" si="116"/>
        <v>0</v>
      </c>
      <c r="R64" s="3033">
        <f t="shared" si="116"/>
        <v>0</v>
      </c>
      <c r="S64" s="4479">
        <f>SUM(S65:S66)</f>
        <v>0</v>
      </c>
      <c r="T64" s="3030">
        <f t="shared" si="116"/>
        <v>0</v>
      </c>
      <c r="U64" s="3031">
        <f t="shared" si="116"/>
        <v>0</v>
      </c>
      <c r="V64" s="3031">
        <f t="shared" si="116"/>
        <v>0</v>
      </c>
      <c r="W64" s="3031">
        <f t="shared" si="116"/>
        <v>0</v>
      </c>
      <c r="X64" s="3031">
        <f t="shared" si="116"/>
        <v>0</v>
      </c>
      <c r="Y64" s="3033">
        <f t="shared" si="116"/>
        <v>0</v>
      </c>
      <c r="Z64" s="4479">
        <f>SUM(Z65:Z66)</f>
        <v>0</v>
      </c>
      <c r="AA64" s="3030">
        <f t="shared" si="116"/>
        <v>0</v>
      </c>
      <c r="AB64" s="3031">
        <f t="shared" si="116"/>
        <v>0</v>
      </c>
      <c r="AC64" s="3031">
        <f t="shared" si="116"/>
        <v>0</v>
      </c>
      <c r="AD64" s="3031">
        <f t="shared" si="116"/>
        <v>0</v>
      </c>
      <c r="AE64" s="3031">
        <f t="shared" si="116"/>
        <v>0</v>
      </c>
      <c r="AF64" s="3033">
        <f t="shared" si="116"/>
        <v>0</v>
      </c>
      <c r="AG64" s="4479">
        <f>SUM(AG65:AG66)</f>
        <v>0</v>
      </c>
      <c r="AH64" s="3030">
        <f t="shared" si="116"/>
        <v>0</v>
      </c>
      <c r="AI64" s="3031">
        <f t="shared" si="116"/>
        <v>0</v>
      </c>
      <c r="AJ64" s="3031">
        <f t="shared" si="116"/>
        <v>0</v>
      </c>
      <c r="AK64" s="3031">
        <f t="shared" si="116"/>
        <v>0</v>
      </c>
      <c r="AL64" s="3031">
        <f t="shared" si="116"/>
        <v>0</v>
      </c>
      <c r="AM64" s="3033">
        <f t="shared" si="116"/>
        <v>0</v>
      </c>
      <c r="AN64" s="4369">
        <f t="shared" si="116"/>
        <v>0</v>
      </c>
      <c r="AO64" s="3175"/>
      <c r="AP64" s="3176"/>
      <c r="AQ64" s="3176"/>
      <c r="AR64" s="3176"/>
      <c r="AS64" s="3176"/>
      <c r="AT64" s="3177"/>
      <c r="AU64" s="4775"/>
      <c r="AV64" s="4794">
        <f t="shared" si="40"/>
        <v>0</v>
      </c>
      <c r="AW64" s="4794">
        <f t="shared" si="41"/>
        <v>0</v>
      </c>
      <c r="AX64" s="4794">
        <f t="shared" si="42"/>
        <v>0</v>
      </c>
      <c r="AY64" s="4794">
        <f t="shared" si="43"/>
        <v>0</v>
      </c>
      <c r="AZ64" s="4794">
        <f t="shared" si="44"/>
        <v>0</v>
      </c>
      <c r="BA64" s="4794">
        <f t="shared" si="45"/>
        <v>0</v>
      </c>
      <c r="BB64" s="4794">
        <f t="shared" si="46"/>
        <v>0</v>
      </c>
      <c r="BC64" s="4794">
        <f t="shared" si="47"/>
        <v>0</v>
      </c>
      <c r="BD64" s="4794">
        <f t="shared" si="48"/>
        <v>0</v>
      </c>
      <c r="BE64" s="4794">
        <f t="shared" si="49"/>
        <v>0</v>
      </c>
      <c r="BF64" s="4794">
        <f t="shared" si="50"/>
        <v>0</v>
      </c>
      <c r="BG64" s="4794">
        <f t="shared" si="51"/>
        <v>0</v>
      </c>
      <c r="BH64" s="4794">
        <f t="shared" si="52"/>
        <v>0</v>
      </c>
      <c r="BI64" s="4794">
        <f t="shared" si="53"/>
        <v>0</v>
      </c>
      <c r="BJ64" s="4794">
        <f t="shared" si="54"/>
        <v>0</v>
      </c>
      <c r="BK64" s="4794">
        <f t="shared" si="55"/>
        <v>0</v>
      </c>
      <c r="BL64" s="4794">
        <f t="shared" si="56"/>
        <v>0</v>
      </c>
      <c r="BM64" s="4794">
        <f t="shared" si="57"/>
        <v>0</v>
      </c>
      <c r="BN64" s="4794">
        <f t="shared" si="58"/>
        <v>0</v>
      </c>
      <c r="BO64" s="4794">
        <f t="shared" si="59"/>
        <v>0</v>
      </c>
      <c r="BP64" s="4794">
        <f t="shared" si="60"/>
        <v>0</v>
      </c>
      <c r="BQ64" s="4794">
        <f t="shared" si="61"/>
        <v>0</v>
      </c>
      <c r="BR64" s="4794">
        <f t="shared" si="62"/>
        <v>0</v>
      </c>
      <c r="BS64" s="4794">
        <f t="shared" si="63"/>
        <v>0</v>
      </c>
      <c r="BT64" s="4794">
        <f t="shared" si="64"/>
        <v>0</v>
      </c>
      <c r="BU64" s="4794">
        <f t="shared" si="65"/>
        <v>0</v>
      </c>
      <c r="BV64" s="4794">
        <f t="shared" si="66"/>
        <v>0</v>
      </c>
      <c r="BW64" s="4794">
        <f t="shared" si="67"/>
        <v>0</v>
      </c>
      <c r="BX64" s="4794">
        <f t="shared" si="68"/>
        <v>0</v>
      </c>
      <c r="BY64" s="4794">
        <f t="shared" si="69"/>
        <v>0</v>
      </c>
      <c r="BZ64" s="4794">
        <f t="shared" si="70"/>
        <v>0</v>
      </c>
      <c r="CA64" s="4794">
        <f t="shared" si="71"/>
        <v>0</v>
      </c>
      <c r="CB64" s="4794">
        <f t="shared" si="72"/>
        <v>0</v>
      </c>
      <c r="CC64" s="4794">
        <f t="shared" si="73"/>
        <v>0</v>
      </c>
      <c r="CD64" s="4794">
        <f t="shared" si="74"/>
        <v>0</v>
      </c>
    </row>
    <row r="65" spans="1:82" s="675" customFormat="1">
      <c r="A65" s="3034"/>
      <c r="B65" s="3034">
        <v>20201</v>
      </c>
      <c r="C65" s="3092">
        <v>0.03</v>
      </c>
      <c r="D65" s="3093" t="s">
        <v>425</v>
      </c>
      <c r="E65" s="4738">
        <f t="shared" ref="E65:E66" si="117">+E16*$C65/2</f>
        <v>0</v>
      </c>
      <c r="F65" s="3085">
        <f>($E16*$C65)-(F16*$C65)</f>
        <v>0</v>
      </c>
      <c r="G65" s="3083">
        <f t="shared" ref="G65:K66" si="118">F65-(G16*$C65)</f>
        <v>0</v>
      </c>
      <c r="H65" s="3083">
        <f t="shared" si="118"/>
        <v>0</v>
      </c>
      <c r="I65" s="3083">
        <f t="shared" si="118"/>
        <v>0</v>
      </c>
      <c r="J65" s="3083">
        <f t="shared" si="118"/>
        <v>0</v>
      </c>
      <c r="K65" s="3084">
        <f t="shared" si="118"/>
        <v>0</v>
      </c>
      <c r="L65" s="4738">
        <f t="shared" ref="L65:L66" si="119">+L16*$C65/2</f>
        <v>0</v>
      </c>
      <c r="M65" s="3085">
        <f>($L16*$C65)-(M16*$C65)</f>
        <v>0</v>
      </c>
      <c r="N65" s="3083">
        <f t="shared" ref="N65:R66" si="120">M65-(N16*$C65)</f>
        <v>0</v>
      </c>
      <c r="O65" s="3083">
        <f t="shared" si="120"/>
        <v>0</v>
      </c>
      <c r="P65" s="3083">
        <f t="shared" si="120"/>
        <v>0</v>
      </c>
      <c r="Q65" s="3083">
        <f t="shared" si="120"/>
        <v>0</v>
      </c>
      <c r="R65" s="3086">
        <f t="shared" si="120"/>
        <v>0</v>
      </c>
      <c r="S65" s="4738">
        <f t="shared" ref="S65:S66" si="121">+S16*$C65/2</f>
        <v>0</v>
      </c>
      <c r="T65" s="4477">
        <f>($S16*$C65)-(T16*$C65)</f>
        <v>0</v>
      </c>
      <c r="U65" s="3083">
        <f t="shared" ref="U65:Y66" si="122">T65-(U16*$C65)</f>
        <v>0</v>
      </c>
      <c r="V65" s="3083">
        <f t="shared" si="122"/>
        <v>0</v>
      </c>
      <c r="W65" s="3083">
        <f t="shared" si="122"/>
        <v>0</v>
      </c>
      <c r="X65" s="3083">
        <f t="shared" si="122"/>
        <v>0</v>
      </c>
      <c r="Y65" s="3086">
        <f t="shared" si="122"/>
        <v>0</v>
      </c>
      <c r="Z65" s="4738">
        <f t="shared" ref="Z65:Z66" si="123">+Z16*$C65/2</f>
        <v>0</v>
      </c>
      <c r="AA65" s="4477">
        <f t="shared" ref="AA65:AA66" si="124">($Z16*$C65)-(AA16*$C65)</f>
        <v>0</v>
      </c>
      <c r="AB65" s="3083">
        <f t="shared" ref="AB65:AF66" si="125">AA65-(AB16*$C65)</f>
        <v>0</v>
      </c>
      <c r="AC65" s="3083">
        <f t="shared" si="125"/>
        <v>0</v>
      </c>
      <c r="AD65" s="3083">
        <f t="shared" si="125"/>
        <v>0</v>
      </c>
      <c r="AE65" s="3083">
        <f t="shared" si="125"/>
        <v>0</v>
      </c>
      <c r="AF65" s="3086">
        <f t="shared" si="125"/>
        <v>0</v>
      </c>
      <c r="AG65" s="4738">
        <f t="shared" ref="AG65:AG66" si="126">+AG16*$C65/2</f>
        <v>0</v>
      </c>
      <c r="AH65" s="4477">
        <f t="shared" ref="AH65:AH66" si="127">($AG16*$C65)-(AH16*$C65)</f>
        <v>0</v>
      </c>
      <c r="AI65" s="3083">
        <f t="shared" ref="AI65:AM66" si="128">AH65-(AI16*$C65)</f>
        <v>0</v>
      </c>
      <c r="AJ65" s="3083">
        <f t="shared" si="128"/>
        <v>0</v>
      </c>
      <c r="AK65" s="3083">
        <f t="shared" si="128"/>
        <v>0</v>
      </c>
      <c r="AL65" s="3083">
        <f t="shared" si="128"/>
        <v>0</v>
      </c>
      <c r="AM65" s="3086">
        <f t="shared" si="128"/>
        <v>0</v>
      </c>
      <c r="AN65" s="4368"/>
      <c r="AO65" s="3175"/>
      <c r="AP65" s="3176"/>
      <c r="AQ65" s="3176"/>
      <c r="AR65" s="3176"/>
      <c r="AS65" s="3176"/>
      <c r="AT65" s="3177"/>
      <c r="AU65" s="4775"/>
      <c r="AV65" s="4794">
        <f t="shared" si="40"/>
        <v>0</v>
      </c>
      <c r="AW65" s="4794">
        <f t="shared" si="41"/>
        <v>0</v>
      </c>
      <c r="AX65" s="4794">
        <f t="shared" si="42"/>
        <v>0</v>
      </c>
      <c r="AY65" s="4794">
        <f t="shared" si="43"/>
        <v>0</v>
      </c>
      <c r="AZ65" s="4794">
        <f t="shared" si="44"/>
        <v>0</v>
      </c>
      <c r="BA65" s="4794">
        <f t="shared" si="45"/>
        <v>0</v>
      </c>
      <c r="BB65" s="4794">
        <f t="shared" si="46"/>
        <v>0</v>
      </c>
      <c r="BC65" s="4794">
        <f t="shared" si="47"/>
        <v>0</v>
      </c>
      <c r="BD65" s="4794">
        <f t="shared" si="48"/>
        <v>0</v>
      </c>
      <c r="BE65" s="4794">
        <f t="shared" si="49"/>
        <v>0</v>
      </c>
      <c r="BF65" s="4794">
        <f t="shared" si="50"/>
        <v>0</v>
      </c>
      <c r="BG65" s="4794">
        <f t="shared" si="51"/>
        <v>0</v>
      </c>
      <c r="BH65" s="4794">
        <f t="shared" si="52"/>
        <v>0</v>
      </c>
      <c r="BI65" s="4794">
        <f t="shared" si="53"/>
        <v>0</v>
      </c>
      <c r="BJ65" s="4794">
        <f t="shared" si="54"/>
        <v>0</v>
      </c>
      <c r="BK65" s="4794">
        <f t="shared" si="55"/>
        <v>0</v>
      </c>
      <c r="BL65" s="4794">
        <f t="shared" si="56"/>
        <v>0</v>
      </c>
      <c r="BM65" s="4794">
        <f t="shared" si="57"/>
        <v>0</v>
      </c>
      <c r="BN65" s="4794">
        <f t="shared" si="58"/>
        <v>0</v>
      </c>
      <c r="BO65" s="4794">
        <f t="shared" si="59"/>
        <v>0</v>
      </c>
      <c r="BP65" s="4794">
        <f t="shared" si="60"/>
        <v>0</v>
      </c>
      <c r="BQ65" s="4794">
        <f t="shared" si="61"/>
        <v>0</v>
      </c>
      <c r="BR65" s="4794">
        <f t="shared" si="62"/>
        <v>0</v>
      </c>
      <c r="BS65" s="4794">
        <f t="shared" si="63"/>
        <v>0</v>
      </c>
      <c r="BT65" s="4794">
        <f t="shared" si="64"/>
        <v>0</v>
      </c>
      <c r="BU65" s="4794">
        <f t="shared" si="65"/>
        <v>0</v>
      </c>
      <c r="BV65" s="4794">
        <f t="shared" si="66"/>
        <v>0</v>
      </c>
      <c r="BW65" s="4794">
        <f t="shared" si="67"/>
        <v>0</v>
      </c>
      <c r="BX65" s="4794">
        <f t="shared" si="68"/>
        <v>0</v>
      </c>
      <c r="BY65" s="4794">
        <f t="shared" si="69"/>
        <v>0</v>
      </c>
      <c r="BZ65" s="4794">
        <f t="shared" si="70"/>
        <v>0</v>
      </c>
      <c r="CA65" s="4794">
        <f t="shared" si="71"/>
        <v>0</v>
      </c>
      <c r="CB65" s="4794">
        <f t="shared" si="72"/>
        <v>0</v>
      </c>
      <c r="CC65" s="4794">
        <f t="shared" si="73"/>
        <v>0</v>
      </c>
      <c r="CD65" s="4794">
        <f t="shared" si="74"/>
        <v>0</v>
      </c>
    </row>
    <row r="66" spans="1:82" s="675" customFormat="1">
      <c r="A66" s="3034"/>
      <c r="B66" s="3034">
        <v>20202</v>
      </c>
      <c r="C66" s="3092">
        <v>0.03</v>
      </c>
      <c r="D66" s="3093" t="s">
        <v>426</v>
      </c>
      <c r="E66" s="4738">
        <f t="shared" si="117"/>
        <v>0</v>
      </c>
      <c r="F66" s="3085">
        <f>($E17*$C66)-(F17*$C66)</f>
        <v>0</v>
      </c>
      <c r="G66" s="3083">
        <f t="shared" si="118"/>
        <v>0</v>
      </c>
      <c r="H66" s="3083">
        <f t="shared" si="118"/>
        <v>0</v>
      </c>
      <c r="I66" s="3083">
        <f t="shared" si="118"/>
        <v>0</v>
      </c>
      <c r="J66" s="3083">
        <f t="shared" si="118"/>
        <v>0</v>
      </c>
      <c r="K66" s="3084">
        <f t="shared" si="118"/>
        <v>0</v>
      </c>
      <c r="L66" s="4738">
        <f t="shared" si="119"/>
        <v>0</v>
      </c>
      <c r="M66" s="3085">
        <f>($L17*$C66)-(M17*$C66)</f>
        <v>0</v>
      </c>
      <c r="N66" s="3083">
        <f t="shared" si="120"/>
        <v>0</v>
      </c>
      <c r="O66" s="3083">
        <f t="shared" si="120"/>
        <v>0</v>
      </c>
      <c r="P66" s="3083">
        <f t="shared" si="120"/>
        <v>0</v>
      </c>
      <c r="Q66" s="3083">
        <f t="shared" si="120"/>
        <v>0</v>
      </c>
      <c r="R66" s="3086">
        <f t="shared" si="120"/>
        <v>0</v>
      </c>
      <c r="S66" s="4738">
        <f t="shared" si="121"/>
        <v>0</v>
      </c>
      <c r="T66" s="4477">
        <f>($S17*$C66)-(T17*$C66)</f>
        <v>0</v>
      </c>
      <c r="U66" s="3083">
        <f t="shared" si="122"/>
        <v>0</v>
      </c>
      <c r="V66" s="3083">
        <f t="shared" si="122"/>
        <v>0</v>
      </c>
      <c r="W66" s="3083">
        <f t="shared" si="122"/>
        <v>0</v>
      </c>
      <c r="X66" s="3083">
        <f t="shared" si="122"/>
        <v>0</v>
      </c>
      <c r="Y66" s="3086">
        <f t="shared" si="122"/>
        <v>0</v>
      </c>
      <c r="Z66" s="4738">
        <f t="shared" si="123"/>
        <v>0</v>
      </c>
      <c r="AA66" s="4477">
        <f t="shared" si="124"/>
        <v>0</v>
      </c>
      <c r="AB66" s="3083">
        <f t="shared" si="125"/>
        <v>0</v>
      </c>
      <c r="AC66" s="3083">
        <f t="shared" si="125"/>
        <v>0</v>
      </c>
      <c r="AD66" s="3083">
        <f t="shared" si="125"/>
        <v>0</v>
      </c>
      <c r="AE66" s="3083">
        <f t="shared" si="125"/>
        <v>0</v>
      </c>
      <c r="AF66" s="3086">
        <f t="shared" si="125"/>
        <v>0</v>
      </c>
      <c r="AG66" s="4738">
        <f t="shared" si="126"/>
        <v>0</v>
      </c>
      <c r="AH66" s="4477">
        <f t="shared" si="127"/>
        <v>0</v>
      </c>
      <c r="AI66" s="3083">
        <f t="shared" si="128"/>
        <v>0</v>
      </c>
      <c r="AJ66" s="3083">
        <f t="shared" si="128"/>
        <v>0</v>
      </c>
      <c r="AK66" s="3083">
        <f t="shared" si="128"/>
        <v>0</v>
      </c>
      <c r="AL66" s="3083">
        <f t="shared" si="128"/>
        <v>0</v>
      </c>
      <c r="AM66" s="3086">
        <f t="shared" si="128"/>
        <v>0</v>
      </c>
      <c r="AN66" s="4368"/>
      <c r="AO66" s="3175"/>
      <c r="AP66" s="3176"/>
      <c r="AQ66" s="3176"/>
      <c r="AR66" s="3176"/>
      <c r="AS66" s="3176"/>
      <c r="AT66" s="3177"/>
      <c r="AU66" s="4775"/>
      <c r="AV66" s="4794">
        <f t="shared" si="40"/>
        <v>0</v>
      </c>
      <c r="AW66" s="4794">
        <f t="shared" si="41"/>
        <v>0</v>
      </c>
      <c r="AX66" s="4794">
        <f t="shared" si="42"/>
        <v>0</v>
      </c>
      <c r="AY66" s="4794">
        <f t="shared" si="43"/>
        <v>0</v>
      </c>
      <c r="AZ66" s="4794">
        <f t="shared" si="44"/>
        <v>0</v>
      </c>
      <c r="BA66" s="4794">
        <f t="shared" si="45"/>
        <v>0</v>
      </c>
      <c r="BB66" s="4794">
        <f t="shared" si="46"/>
        <v>0</v>
      </c>
      <c r="BC66" s="4794">
        <f t="shared" si="47"/>
        <v>0</v>
      </c>
      <c r="BD66" s="4794">
        <f t="shared" si="48"/>
        <v>0</v>
      </c>
      <c r="BE66" s="4794">
        <f t="shared" si="49"/>
        <v>0</v>
      </c>
      <c r="BF66" s="4794">
        <f t="shared" si="50"/>
        <v>0</v>
      </c>
      <c r="BG66" s="4794">
        <f t="shared" si="51"/>
        <v>0</v>
      </c>
      <c r="BH66" s="4794">
        <f t="shared" si="52"/>
        <v>0</v>
      </c>
      <c r="BI66" s="4794">
        <f t="shared" si="53"/>
        <v>0</v>
      </c>
      <c r="BJ66" s="4794">
        <f t="shared" si="54"/>
        <v>0</v>
      </c>
      <c r="BK66" s="4794">
        <f t="shared" si="55"/>
        <v>0</v>
      </c>
      <c r="BL66" s="4794">
        <f t="shared" si="56"/>
        <v>0</v>
      </c>
      <c r="BM66" s="4794">
        <f t="shared" si="57"/>
        <v>0</v>
      </c>
      <c r="BN66" s="4794">
        <f t="shared" si="58"/>
        <v>0</v>
      </c>
      <c r="BO66" s="4794">
        <f t="shared" si="59"/>
        <v>0</v>
      </c>
      <c r="BP66" s="4794">
        <f t="shared" si="60"/>
        <v>0</v>
      </c>
      <c r="BQ66" s="4794">
        <f t="shared" si="61"/>
        <v>0</v>
      </c>
      <c r="BR66" s="4794">
        <f t="shared" si="62"/>
        <v>0</v>
      </c>
      <c r="BS66" s="4794">
        <f t="shared" si="63"/>
        <v>0</v>
      </c>
      <c r="BT66" s="4794">
        <f t="shared" si="64"/>
        <v>0</v>
      </c>
      <c r="BU66" s="4794">
        <f t="shared" si="65"/>
        <v>0</v>
      </c>
      <c r="BV66" s="4794">
        <f t="shared" si="66"/>
        <v>0</v>
      </c>
      <c r="BW66" s="4794">
        <f t="shared" si="67"/>
        <v>0</v>
      </c>
      <c r="BX66" s="4794">
        <f t="shared" si="68"/>
        <v>0</v>
      </c>
      <c r="BY66" s="4794">
        <f t="shared" si="69"/>
        <v>0</v>
      </c>
      <c r="BZ66" s="4794">
        <f t="shared" si="70"/>
        <v>0</v>
      </c>
      <c r="CA66" s="4794">
        <f t="shared" si="71"/>
        <v>0</v>
      </c>
      <c r="CB66" s="4794">
        <f t="shared" si="72"/>
        <v>0</v>
      </c>
      <c r="CC66" s="4794">
        <f t="shared" si="73"/>
        <v>0</v>
      </c>
      <c r="CD66" s="4794">
        <f t="shared" si="74"/>
        <v>0</v>
      </c>
    </row>
    <row r="67" spans="1:82" s="44" customFormat="1" ht="12.75" customHeight="1">
      <c r="A67" s="3025">
        <v>3</v>
      </c>
      <c r="B67" s="3025">
        <v>203</v>
      </c>
      <c r="C67" s="3088"/>
      <c r="D67" s="3094" t="s">
        <v>405</v>
      </c>
      <c r="E67" s="4474">
        <f t="shared" ref="E67" si="129">SUM(E68:E78)-E71-E74</f>
        <v>82.350000000000009</v>
      </c>
      <c r="F67" s="3090">
        <f t="shared" ref="F67:AN67" si="130">SUM(F68:F78)-F71-F74</f>
        <v>164.70000000000002</v>
      </c>
      <c r="G67" s="3031">
        <f t="shared" si="130"/>
        <v>164.70000000000002</v>
      </c>
      <c r="H67" s="3031">
        <f t="shared" si="130"/>
        <v>164.70000000000002</v>
      </c>
      <c r="I67" s="3031">
        <f t="shared" si="130"/>
        <v>164.70000000000002</v>
      </c>
      <c r="J67" s="3031">
        <f t="shared" si="130"/>
        <v>164.70000000000002</v>
      </c>
      <c r="K67" s="3032">
        <f t="shared" si="130"/>
        <v>164.70000000000002</v>
      </c>
      <c r="L67" s="4474">
        <f t="shared" ref="L67" si="131">SUM(L68:L78)-L71-L74</f>
        <v>18.900000000000002</v>
      </c>
      <c r="M67" s="3091">
        <f t="shared" si="130"/>
        <v>37.800000000000004</v>
      </c>
      <c r="N67" s="3031">
        <f t="shared" si="130"/>
        <v>37.800000000000004</v>
      </c>
      <c r="O67" s="3031">
        <f t="shared" si="130"/>
        <v>37.800000000000004</v>
      </c>
      <c r="P67" s="3031">
        <f t="shared" si="130"/>
        <v>37.800000000000004</v>
      </c>
      <c r="Q67" s="3031">
        <f t="shared" si="130"/>
        <v>37.800000000000004</v>
      </c>
      <c r="R67" s="3033">
        <f t="shared" si="130"/>
        <v>37.800000000000004</v>
      </c>
      <c r="S67" s="4479">
        <f t="shared" ref="S67" si="132">SUM(S68:S78)-S71-S74</f>
        <v>0.70000000000000007</v>
      </c>
      <c r="T67" s="3030">
        <f t="shared" si="130"/>
        <v>1.4000000000000001</v>
      </c>
      <c r="U67" s="3031">
        <f t="shared" si="130"/>
        <v>1.4000000000000001</v>
      </c>
      <c r="V67" s="3031">
        <f t="shared" si="130"/>
        <v>1.4000000000000001</v>
      </c>
      <c r="W67" s="3031">
        <f t="shared" si="130"/>
        <v>1.4000000000000001</v>
      </c>
      <c r="X67" s="3031">
        <f t="shared" si="130"/>
        <v>1.4000000000000001</v>
      </c>
      <c r="Y67" s="3033">
        <f t="shared" si="130"/>
        <v>1.4000000000000001</v>
      </c>
      <c r="Z67" s="4479">
        <f t="shared" ref="Z67" si="133">SUM(Z68:Z78)-Z71-Z74</f>
        <v>0</v>
      </c>
      <c r="AA67" s="3030">
        <f t="shared" ref="AA67:AM67" si="134">SUM(AA68:AA78)-AA71-AA74</f>
        <v>0</v>
      </c>
      <c r="AB67" s="3031">
        <f t="shared" si="134"/>
        <v>0</v>
      </c>
      <c r="AC67" s="3031">
        <f t="shared" si="134"/>
        <v>0</v>
      </c>
      <c r="AD67" s="3031">
        <f t="shared" si="134"/>
        <v>0</v>
      </c>
      <c r="AE67" s="3031">
        <f t="shared" si="134"/>
        <v>0</v>
      </c>
      <c r="AF67" s="3033">
        <f t="shared" si="134"/>
        <v>0</v>
      </c>
      <c r="AG67" s="4479">
        <f t="shared" ref="AG67" si="135">SUM(AG68:AG78)-AG71-AG74</f>
        <v>0</v>
      </c>
      <c r="AH67" s="3030">
        <f t="shared" si="134"/>
        <v>0</v>
      </c>
      <c r="AI67" s="3031">
        <f t="shared" si="134"/>
        <v>0</v>
      </c>
      <c r="AJ67" s="3031">
        <f t="shared" si="134"/>
        <v>0</v>
      </c>
      <c r="AK67" s="3031">
        <f t="shared" si="134"/>
        <v>0</v>
      </c>
      <c r="AL67" s="3031">
        <f t="shared" si="134"/>
        <v>0</v>
      </c>
      <c r="AM67" s="3033">
        <f t="shared" si="134"/>
        <v>0</v>
      </c>
      <c r="AN67" s="4369">
        <f t="shared" si="130"/>
        <v>0</v>
      </c>
      <c r="AO67" s="3175"/>
      <c r="AP67" s="3176"/>
      <c r="AQ67" s="3176"/>
      <c r="AR67" s="3176"/>
      <c r="AS67" s="3176"/>
      <c r="AT67" s="3177"/>
      <c r="AU67" s="4775"/>
      <c r="AV67" s="4794">
        <f t="shared" si="40"/>
        <v>42.104886416508599</v>
      </c>
      <c r="AW67" s="4794">
        <f t="shared" si="41"/>
        <v>84.209772833017198</v>
      </c>
      <c r="AX67" s="4794">
        <f t="shared" si="42"/>
        <v>84.209772833017198</v>
      </c>
      <c r="AY67" s="4794">
        <f t="shared" si="43"/>
        <v>84.209772833017198</v>
      </c>
      <c r="AZ67" s="4794">
        <f t="shared" si="44"/>
        <v>84.209772833017198</v>
      </c>
      <c r="BA67" s="4794">
        <f t="shared" si="45"/>
        <v>84.209772833017198</v>
      </c>
      <c r="BB67" s="4794">
        <f t="shared" si="46"/>
        <v>84.209772833017198</v>
      </c>
      <c r="BC67" s="4794">
        <f t="shared" si="47"/>
        <v>9.6634165546085313</v>
      </c>
      <c r="BD67" s="4794">
        <f t="shared" si="48"/>
        <v>19.326833109217063</v>
      </c>
      <c r="BE67" s="4794">
        <f t="shared" si="49"/>
        <v>19.326833109217063</v>
      </c>
      <c r="BF67" s="4794">
        <f t="shared" si="50"/>
        <v>19.326833109217063</v>
      </c>
      <c r="BG67" s="4794">
        <f t="shared" si="51"/>
        <v>19.326833109217063</v>
      </c>
      <c r="BH67" s="4794">
        <f t="shared" si="52"/>
        <v>19.326833109217063</v>
      </c>
      <c r="BI67" s="4794">
        <f t="shared" si="53"/>
        <v>19.326833109217063</v>
      </c>
      <c r="BJ67" s="4794">
        <f t="shared" si="54"/>
        <v>0.35790431683735296</v>
      </c>
      <c r="BK67" s="4794">
        <f t="shared" si="55"/>
        <v>0.71580863367470593</v>
      </c>
      <c r="BL67" s="4794">
        <f t="shared" si="56"/>
        <v>0.71580863367470593</v>
      </c>
      <c r="BM67" s="4794">
        <f t="shared" si="57"/>
        <v>0.71580863367470593</v>
      </c>
      <c r="BN67" s="4794">
        <f t="shared" si="58"/>
        <v>0.71580863367470593</v>
      </c>
      <c r="BO67" s="4794">
        <f t="shared" si="59"/>
        <v>0.71580863367470593</v>
      </c>
      <c r="BP67" s="4794">
        <f t="shared" si="60"/>
        <v>0.71580863367470593</v>
      </c>
      <c r="BQ67" s="4794">
        <f t="shared" si="61"/>
        <v>0</v>
      </c>
      <c r="BR67" s="4794">
        <f t="shared" si="62"/>
        <v>0</v>
      </c>
      <c r="BS67" s="4794">
        <f t="shared" si="63"/>
        <v>0</v>
      </c>
      <c r="BT67" s="4794">
        <f t="shared" si="64"/>
        <v>0</v>
      </c>
      <c r="BU67" s="4794">
        <f t="shared" si="65"/>
        <v>0</v>
      </c>
      <c r="BV67" s="4794">
        <f t="shared" si="66"/>
        <v>0</v>
      </c>
      <c r="BW67" s="4794">
        <f t="shared" si="67"/>
        <v>0</v>
      </c>
      <c r="BX67" s="4794">
        <f t="shared" si="68"/>
        <v>0</v>
      </c>
      <c r="BY67" s="4794">
        <f t="shared" si="69"/>
        <v>0</v>
      </c>
      <c r="BZ67" s="4794">
        <f t="shared" si="70"/>
        <v>0</v>
      </c>
      <c r="CA67" s="4794">
        <f t="shared" si="71"/>
        <v>0</v>
      </c>
      <c r="CB67" s="4794">
        <f t="shared" si="72"/>
        <v>0</v>
      </c>
      <c r="CC67" s="4794">
        <f t="shared" si="73"/>
        <v>0</v>
      </c>
      <c r="CD67" s="4794">
        <f t="shared" si="74"/>
        <v>0</v>
      </c>
    </row>
    <row r="68" spans="1:82" s="675" customFormat="1">
      <c r="A68" s="3034"/>
      <c r="B68" s="3034">
        <v>20301</v>
      </c>
      <c r="C68" s="3092">
        <v>0.1</v>
      </c>
      <c r="D68" s="3095" t="s">
        <v>427</v>
      </c>
      <c r="E68" s="4738">
        <f t="shared" ref="E68:E70" si="136">+E19*$C68/2</f>
        <v>5.5500000000000007</v>
      </c>
      <c r="F68" s="3085">
        <f>($E19*$C68)-(F19*$C68)</f>
        <v>11.100000000000001</v>
      </c>
      <c r="G68" s="3083">
        <f t="shared" ref="G68:K70" si="137">F68-(G19*$C68)</f>
        <v>11.100000000000001</v>
      </c>
      <c r="H68" s="3083">
        <f t="shared" si="137"/>
        <v>11.100000000000001</v>
      </c>
      <c r="I68" s="3083">
        <f t="shared" si="137"/>
        <v>11.100000000000001</v>
      </c>
      <c r="J68" s="3083">
        <f t="shared" si="137"/>
        <v>11.100000000000001</v>
      </c>
      <c r="K68" s="3084">
        <f t="shared" si="137"/>
        <v>11.100000000000001</v>
      </c>
      <c r="L68" s="4738">
        <f t="shared" ref="L68:L70" si="138">+L19*$C68/2</f>
        <v>1</v>
      </c>
      <c r="M68" s="3085">
        <f>($L19*$C68)-(M19*$C68)</f>
        <v>2</v>
      </c>
      <c r="N68" s="3083">
        <f t="shared" ref="N68:R70" si="139">M68-(N19*$C68)</f>
        <v>2</v>
      </c>
      <c r="O68" s="3083">
        <f t="shared" si="139"/>
        <v>2</v>
      </c>
      <c r="P68" s="3083">
        <f t="shared" si="139"/>
        <v>2</v>
      </c>
      <c r="Q68" s="3083">
        <f t="shared" si="139"/>
        <v>2</v>
      </c>
      <c r="R68" s="3086">
        <f t="shared" si="139"/>
        <v>2</v>
      </c>
      <c r="S68" s="4738">
        <f t="shared" ref="S68:S70" si="140">+S19*$C68/2</f>
        <v>0.45</v>
      </c>
      <c r="T68" s="4477">
        <f>($S19*$C68)-(T19*$C68)</f>
        <v>0.9</v>
      </c>
      <c r="U68" s="3083">
        <f t="shared" ref="U68:Y70" si="141">T68-(U19*$C68)</f>
        <v>0.9</v>
      </c>
      <c r="V68" s="3083">
        <f t="shared" si="141"/>
        <v>0.9</v>
      </c>
      <c r="W68" s="3083">
        <f t="shared" si="141"/>
        <v>0.9</v>
      </c>
      <c r="X68" s="3083">
        <f t="shared" si="141"/>
        <v>0.9</v>
      </c>
      <c r="Y68" s="3086">
        <f t="shared" si="141"/>
        <v>0.9</v>
      </c>
      <c r="Z68" s="4738">
        <f t="shared" ref="Z68:Z70" si="142">+Z19*$C68/2</f>
        <v>0</v>
      </c>
      <c r="AA68" s="4477">
        <f t="shared" ref="AA68:AA70" si="143">($Z19*$C68)-(AA19*$C68)</f>
        <v>0</v>
      </c>
      <c r="AB68" s="3083">
        <f t="shared" ref="AB68:AF70" si="144">AA68-(AB19*$C68)</f>
        <v>0</v>
      </c>
      <c r="AC68" s="3083">
        <f t="shared" si="144"/>
        <v>0</v>
      </c>
      <c r="AD68" s="3083">
        <f t="shared" si="144"/>
        <v>0</v>
      </c>
      <c r="AE68" s="3083">
        <f t="shared" si="144"/>
        <v>0</v>
      </c>
      <c r="AF68" s="3086">
        <f t="shared" si="144"/>
        <v>0</v>
      </c>
      <c r="AG68" s="4738">
        <f t="shared" ref="AG68:AG70" si="145">+AG19*$C68/2</f>
        <v>0</v>
      </c>
      <c r="AH68" s="4477">
        <f t="shared" ref="AH68:AH70" si="146">($AG19*$C68)-(AH19*$C68)</f>
        <v>0</v>
      </c>
      <c r="AI68" s="3083">
        <f t="shared" ref="AI68:AM70" si="147">AH68-(AI19*$C68)</f>
        <v>0</v>
      </c>
      <c r="AJ68" s="3083">
        <f t="shared" si="147"/>
        <v>0</v>
      </c>
      <c r="AK68" s="3083">
        <f t="shared" si="147"/>
        <v>0</v>
      </c>
      <c r="AL68" s="3083">
        <f t="shared" si="147"/>
        <v>0</v>
      </c>
      <c r="AM68" s="3086">
        <f t="shared" si="147"/>
        <v>0</v>
      </c>
      <c r="AN68" s="4368"/>
      <c r="AO68" s="3175"/>
      <c r="AP68" s="3176"/>
      <c r="AQ68" s="3176"/>
      <c r="AR68" s="3176"/>
      <c r="AS68" s="3176"/>
      <c r="AT68" s="3177"/>
      <c r="AU68" s="4775"/>
      <c r="AV68" s="4794">
        <f t="shared" si="40"/>
        <v>2.8376699406390129</v>
      </c>
      <c r="AW68" s="4794">
        <f t="shared" si="41"/>
        <v>5.6753398812780258</v>
      </c>
      <c r="AX68" s="4794">
        <f t="shared" si="42"/>
        <v>5.6753398812780258</v>
      </c>
      <c r="AY68" s="4794">
        <f t="shared" si="43"/>
        <v>5.6753398812780258</v>
      </c>
      <c r="AZ68" s="4794">
        <f t="shared" si="44"/>
        <v>5.6753398812780258</v>
      </c>
      <c r="BA68" s="4794">
        <f t="shared" si="45"/>
        <v>5.6753398812780258</v>
      </c>
      <c r="BB68" s="4794">
        <f t="shared" si="46"/>
        <v>5.6753398812780258</v>
      </c>
      <c r="BC68" s="4794">
        <f t="shared" si="47"/>
        <v>0.51129188119621849</v>
      </c>
      <c r="BD68" s="4794">
        <f t="shared" si="48"/>
        <v>1.022583762392437</v>
      </c>
      <c r="BE68" s="4794">
        <f t="shared" si="49"/>
        <v>1.022583762392437</v>
      </c>
      <c r="BF68" s="4794">
        <f t="shared" si="50"/>
        <v>1.022583762392437</v>
      </c>
      <c r="BG68" s="4794">
        <f t="shared" si="51"/>
        <v>1.022583762392437</v>
      </c>
      <c r="BH68" s="4794">
        <f t="shared" si="52"/>
        <v>1.022583762392437</v>
      </c>
      <c r="BI68" s="4794">
        <f t="shared" si="53"/>
        <v>1.022583762392437</v>
      </c>
      <c r="BJ68" s="4794">
        <f t="shared" si="54"/>
        <v>0.23008134653829834</v>
      </c>
      <c r="BK68" s="4794">
        <f t="shared" si="55"/>
        <v>0.46016269307659668</v>
      </c>
      <c r="BL68" s="4794">
        <f t="shared" si="56"/>
        <v>0.46016269307659668</v>
      </c>
      <c r="BM68" s="4794">
        <f t="shared" si="57"/>
        <v>0.46016269307659668</v>
      </c>
      <c r="BN68" s="4794">
        <f t="shared" si="58"/>
        <v>0.46016269307659668</v>
      </c>
      <c r="BO68" s="4794">
        <f t="shared" si="59"/>
        <v>0.46016269307659668</v>
      </c>
      <c r="BP68" s="4794">
        <f t="shared" si="60"/>
        <v>0.46016269307659668</v>
      </c>
      <c r="BQ68" s="4794">
        <f t="shared" si="61"/>
        <v>0</v>
      </c>
      <c r="BR68" s="4794">
        <f t="shared" si="62"/>
        <v>0</v>
      </c>
      <c r="BS68" s="4794">
        <f t="shared" si="63"/>
        <v>0</v>
      </c>
      <c r="BT68" s="4794">
        <f t="shared" si="64"/>
        <v>0</v>
      </c>
      <c r="BU68" s="4794">
        <f t="shared" si="65"/>
        <v>0</v>
      </c>
      <c r="BV68" s="4794">
        <f t="shared" si="66"/>
        <v>0</v>
      </c>
      <c r="BW68" s="4794">
        <f t="shared" si="67"/>
        <v>0</v>
      </c>
      <c r="BX68" s="4794">
        <f t="shared" si="68"/>
        <v>0</v>
      </c>
      <c r="BY68" s="4794">
        <f t="shared" si="69"/>
        <v>0</v>
      </c>
      <c r="BZ68" s="4794">
        <f t="shared" si="70"/>
        <v>0</v>
      </c>
      <c r="CA68" s="4794">
        <f t="shared" si="71"/>
        <v>0</v>
      </c>
      <c r="CB68" s="4794">
        <f t="shared" si="72"/>
        <v>0</v>
      </c>
      <c r="CC68" s="4794">
        <f t="shared" si="73"/>
        <v>0</v>
      </c>
      <c r="CD68" s="4794">
        <f t="shared" si="74"/>
        <v>0</v>
      </c>
    </row>
    <row r="69" spans="1:82" s="675" customFormat="1">
      <c r="A69" s="3034"/>
      <c r="B69" s="3034">
        <v>20302</v>
      </c>
      <c r="C69" s="3092">
        <v>0.1</v>
      </c>
      <c r="D69" s="3095" t="s">
        <v>428</v>
      </c>
      <c r="E69" s="4738">
        <f t="shared" si="136"/>
        <v>1.05</v>
      </c>
      <c r="F69" s="3085">
        <f>($E20*$C69)-(F20*$C69)</f>
        <v>2.1</v>
      </c>
      <c r="G69" s="3083">
        <f t="shared" si="137"/>
        <v>2.1</v>
      </c>
      <c r="H69" s="3083">
        <f t="shared" si="137"/>
        <v>2.1</v>
      </c>
      <c r="I69" s="3083">
        <f t="shared" si="137"/>
        <v>2.1</v>
      </c>
      <c r="J69" s="3083">
        <f t="shared" si="137"/>
        <v>2.1</v>
      </c>
      <c r="K69" s="3084">
        <f t="shared" si="137"/>
        <v>2.1</v>
      </c>
      <c r="L69" s="4738">
        <f t="shared" si="138"/>
        <v>0</v>
      </c>
      <c r="M69" s="3085">
        <f>($L20*$C69)-(M20*$C69)</f>
        <v>0</v>
      </c>
      <c r="N69" s="3083">
        <f t="shared" si="139"/>
        <v>0</v>
      </c>
      <c r="O69" s="3083">
        <f t="shared" si="139"/>
        <v>0</v>
      </c>
      <c r="P69" s="3083">
        <f t="shared" si="139"/>
        <v>0</v>
      </c>
      <c r="Q69" s="3083">
        <f t="shared" si="139"/>
        <v>0</v>
      </c>
      <c r="R69" s="3086">
        <f t="shared" si="139"/>
        <v>0</v>
      </c>
      <c r="S69" s="4738">
        <f t="shared" si="140"/>
        <v>0</v>
      </c>
      <c r="T69" s="4477">
        <f>($S20*$C69)-(T20*$C69)</f>
        <v>0</v>
      </c>
      <c r="U69" s="3083">
        <f t="shared" si="141"/>
        <v>0</v>
      </c>
      <c r="V69" s="3083">
        <f t="shared" si="141"/>
        <v>0</v>
      </c>
      <c r="W69" s="3083">
        <f t="shared" si="141"/>
        <v>0</v>
      </c>
      <c r="X69" s="3083">
        <f t="shared" si="141"/>
        <v>0</v>
      </c>
      <c r="Y69" s="3086">
        <f t="shared" si="141"/>
        <v>0</v>
      </c>
      <c r="Z69" s="4738">
        <f t="shared" si="142"/>
        <v>0</v>
      </c>
      <c r="AA69" s="4477">
        <f t="shared" si="143"/>
        <v>0</v>
      </c>
      <c r="AB69" s="3083">
        <f t="shared" si="144"/>
        <v>0</v>
      </c>
      <c r="AC69" s="3083">
        <f t="shared" si="144"/>
        <v>0</v>
      </c>
      <c r="AD69" s="3083">
        <f t="shared" si="144"/>
        <v>0</v>
      </c>
      <c r="AE69" s="3083">
        <f t="shared" si="144"/>
        <v>0</v>
      </c>
      <c r="AF69" s="3086">
        <f t="shared" si="144"/>
        <v>0</v>
      </c>
      <c r="AG69" s="4738">
        <f t="shared" si="145"/>
        <v>0</v>
      </c>
      <c r="AH69" s="4477">
        <f t="shared" si="146"/>
        <v>0</v>
      </c>
      <c r="AI69" s="3083">
        <f t="shared" si="147"/>
        <v>0</v>
      </c>
      <c r="AJ69" s="3083">
        <f t="shared" si="147"/>
        <v>0</v>
      </c>
      <c r="AK69" s="3083">
        <f t="shared" si="147"/>
        <v>0</v>
      </c>
      <c r="AL69" s="3083">
        <f t="shared" si="147"/>
        <v>0</v>
      </c>
      <c r="AM69" s="3086">
        <f t="shared" si="147"/>
        <v>0</v>
      </c>
      <c r="AN69" s="4368"/>
      <c r="AO69" s="3175"/>
      <c r="AP69" s="3176"/>
      <c r="AQ69" s="3176"/>
      <c r="AR69" s="3176"/>
      <c r="AS69" s="3176"/>
      <c r="AT69" s="3177"/>
      <c r="AU69" s="4775"/>
      <c r="AV69" s="4794">
        <f t="shared" si="40"/>
        <v>0.53685647525602942</v>
      </c>
      <c r="AW69" s="4794">
        <f t="shared" si="41"/>
        <v>1.0737129505120588</v>
      </c>
      <c r="AX69" s="4794">
        <f t="shared" si="42"/>
        <v>1.0737129505120588</v>
      </c>
      <c r="AY69" s="4794">
        <f t="shared" si="43"/>
        <v>1.0737129505120588</v>
      </c>
      <c r="AZ69" s="4794">
        <f t="shared" si="44"/>
        <v>1.0737129505120588</v>
      </c>
      <c r="BA69" s="4794">
        <f t="shared" si="45"/>
        <v>1.0737129505120588</v>
      </c>
      <c r="BB69" s="4794">
        <f t="shared" si="46"/>
        <v>1.0737129505120588</v>
      </c>
      <c r="BC69" s="4794">
        <f t="shared" si="47"/>
        <v>0</v>
      </c>
      <c r="BD69" s="4794">
        <f t="shared" si="48"/>
        <v>0</v>
      </c>
      <c r="BE69" s="4794">
        <f t="shared" si="49"/>
        <v>0</v>
      </c>
      <c r="BF69" s="4794">
        <f t="shared" si="50"/>
        <v>0</v>
      </c>
      <c r="BG69" s="4794">
        <f t="shared" si="51"/>
        <v>0</v>
      </c>
      <c r="BH69" s="4794">
        <f t="shared" si="52"/>
        <v>0</v>
      </c>
      <c r="BI69" s="4794">
        <f t="shared" si="53"/>
        <v>0</v>
      </c>
      <c r="BJ69" s="4794">
        <f t="shared" si="54"/>
        <v>0</v>
      </c>
      <c r="BK69" s="4794">
        <f t="shared" si="55"/>
        <v>0</v>
      </c>
      <c r="BL69" s="4794">
        <f t="shared" si="56"/>
        <v>0</v>
      </c>
      <c r="BM69" s="4794">
        <f t="shared" si="57"/>
        <v>0</v>
      </c>
      <c r="BN69" s="4794">
        <f t="shared" si="58"/>
        <v>0</v>
      </c>
      <c r="BO69" s="4794">
        <f t="shared" si="59"/>
        <v>0</v>
      </c>
      <c r="BP69" s="4794">
        <f t="shared" si="60"/>
        <v>0</v>
      </c>
      <c r="BQ69" s="4794">
        <f t="shared" si="61"/>
        <v>0</v>
      </c>
      <c r="BR69" s="4794">
        <f t="shared" si="62"/>
        <v>0</v>
      </c>
      <c r="BS69" s="4794">
        <f t="shared" si="63"/>
        <v>0</v>
      </c>
      <c r="BT69" s="4794">
        <f t="shared" si="64"/>
        <v>0</v>
      </c>
      <c r="BU69" s="4794">
        <f t="shared" si="65"/>
        <v>0</v>
      </c>
      <c r="BV69" s="4794">
        <f t="shared" si="66"/>
        <v>0</v>
      </c>
      <c r="BW69" s="4794">
        <f t="shared" si="67"/>
        <v>0</v>
      </c>
      <c r="BX69" s="4794">
        <f t="shared" si="68"/>
        <v>0</v>
      </c>
      <c r="BY69" s="4794">
        <f t="shared" si="69"/>
        <v>0</v>
      </c>
      <c r="BZ69" s="4794">
        <f t="shared" si="70"/>
        <v>0</v>
      </c>
      <c r="CA69" s="4794">
        <f t="shared" si="71"/>
        <v>0</v>
      </c>
      <c r="CB69" s="4794">
        <f t="shared" si="72"/>
        <v>0</v>
      </c>
      <c r="CC69" s="4794">
        <f t="shared" si="73"/>
        <v>0</v>
      </c>
      <c r="CD69" s="4794">
        <f t="shared" si="74"/>
        <v>0</v>
      </c>
    </row>
    <row r="70" spans="1:82" s="675" customFormat="1">
      <c r="A70" s="3034"/>
      <c r="B70" s="3034">
        <v>20303</v>
      </c>
      <c r="C70" s="3092">
        <v>0.1</v>
      </c>
      <c r="D70" s="3095" t="s">
        <v>406</v>
      </c>
      <c r="E70" s="4738">
        <f t="shared" si="136"/>
        <v>48.6</v>
      </c>
      <c r="F70" s="3085">
        <f>($E21*$C70)-(F21*$C70)</f>
        <v>97.2</v>
      </c>
      <c r="G70" s="3083">
        <f t="shared" si="137"/>
        <v>97.2</v>
      </c>
      <c r="H70" s="3083">
        <f t="shared" si="137"/>
        <v>97.2</v>
      </c>
      <c r="I70" s="3083">
        <f t="shared" si="137"/>
        <v>97.2</v>
      </c>
      <c r="J70" s="3083">
        <f t="shared" si="137"/>
        <v>97.2</v>
      </c>
      <c r="K70" s="3084">
        <f t="shared" si="137"/>
        <v>97.2</v>
      </c>
      <c r="L70" s="4738">
        <f t="shared" si="138"/>
        <v>17.900000000000002</v>
      </c>
      <c r="M70" s="3085">
        <f>($L21*$C70)-(M21*$C70)</f>
        <v>35.800000000000004</v>
      </c>
      <c r="N70" s="3083">
        <f t="shared" si="139"/>
        <v>35.800000000000004</v>
      </c>
      <c r="O70" s="3083">
        <f t="shared" si="139"/>
        <v>35.800000000000004</v>
      </c>
      <c r="P70" s="3083">
        <f t="shared" si="139"/>
        <v>35.800000000000004</v>
      </c>
      <c r="Q70" s="3083">
        <f t="shared" si="139"/>
        <v>35.800000000000004</v>
      </c>
      <c r="R70" s="3086">
        <f t="shared" si="139"/>
        <v>35.800000000000004</v>
      </c>
      <c r="S70" s="4738">
        <f t="shared" si="140"/>
        <v>0.15000000000000002</v>
      </c>
      <c r="T70" s="4477">
        <f>($S21*$C70)-(T21*$C70)</f>
        <v>0.30000000000000004</v>
      </c>
      <c r="U70" s="3083">
        <f t="shared" si="141"/>
        <v>0.30000000000000004</v>
      </c>
      <c r="V70" s="3083">
        <f t="shared" si="141"/>
        <v>0.30000000000000004</v>
      </c>
      <c r="W70" s="3083">
        <f t="shared" si="141"/>
        <v>0.30000000000000004</v>
      </c>
      <c r="X70" s="3083">
        <f t="shared" si="141"/>
        <v>0.30000000000000004</v>
      </c>
      <c r="Y70" s="3086">
        <f t="shared" si="141"/>
        <v>0.30000000000000004</v>
      </c>
      <c r="Z70" s="4738">
        <f t="shared" si="142"/>
        <v>0</v>
      </c>
      <c r="AA70" s="4477">
        <f t="shared" si="143"/>
        <v>0</v>
      </c>
      <c r="AB70" s="3083">
        <f t="shared" si="144"/>
        <v>0</v>
      </c>
      <c r="AC70" s="3083">
        <f t="shared" si="144"/>
        <v>0</v>
      </c>
      <c r="AD70" s="3083">
        <f t="shared" si="144"/>
        <v>0</v>
      </c>
      <c r="AE70" s="3083">
        <f t="shared" si="144"/>
        <v>0</v>
      </c>
      <c r="AF70" s="3086">
        <f t="shared" si="144"/>
        <v>0</v>
      </c>
      <c r="AG70" s="4738">
        <f t="shared" si="145"/>
        <v>0</v>
      </c>
      <c r="AH70" s="4477">
        <f t="shared" si="146"/>
        <v>0</v>
      </c>
      <c r="AI70" s="3083">
        <f t="shared" si="147"/>
        <v>0</v>
      </c>
      <c r="AJ70" s="3083">
        <f t="shared" si="147"/>
        <v>0</v>
      </c>
      <c r="AK70" s="3083">
        <f t="shared" si="147"/>
        <v>0</v>
      </c>
      <c r="AL70" s="3083">
        <f t="shared" si="147"/>
        <v>0</v>
      </c>
      <c r="AM70" s="3086">
        <f t="shared" si="147"/>
        <v>0</v>
      </c>
      <c r="AN70" s="4368"/>
      <c r="AO70" s="3175"/>
      <c r="AP70" s="3176"/>
      <c r="AQ70" s="3176"/>
      <c r="AR70" s="3176"/>
      <c r="AS70" s="3176"/>
      <c r="AT70" s="3177"/>
      <c r="AU70" s="4775"/>
      <c r="AV70" s="4794">
        <f t="shared" si="40"/>
        <v>24.848785426136221</v>
      </c>
      <c r="AW70" s="4794">
        <f t="shared" si="41"/>
        <v>49.697570852272442</v>
      </c>
      <c r="AX70" s="4794">
        <f t="shared" si="42"/>
        <v>49.697570852272442</v>
      </c>
      <c r="AY70" s="4794">
        <f t="shared" si="43"/>
        <v>49.697570852272442</v>
      </c>
      <c r="AZ70" s="4794">
        <f t="shared" si="44"/>
        <v>49.697570852272442</v>
      </c>
      <c r="BA70" s="4794">
        <f t="shared" si="45"/>
        <v>49.697570852272442</v>
      </c>
      <c r="BB70" s="4794">
        <f t="shared" si="46"/>
        <v>49.697570852272442</v>
      </c>
      <c r="BC70" s="4794">
        <f t="shared" si="47"/>
        <v>9.1521246734123114</v>
      </c>
      <c r="BD70" s="4794">
        <f t="shared" si="48"/>
        <v>18.304249346824623</v>
      </c>
      <c r="BE70" s="4794">
        <f t="shared" si="49"/>
        <v>18.304249346824623</v>
      </c>
      <c r="BF70" s="4794">
        <f t="shared" si="50"/>
        <v>18.304249346824623</v>
      </c>
      <c r="BG70" s="4794">
        <f t="shared" si="51"/>
        <v>18.304249346824623</v>
      </c>
      <c r="BH70" s="4794">
        <f t="shared" si="52"/>
        <v>18.304249346824623</v>
      </c>
      <c r="BI70" s="4794">
        <f t="shared" si="53"/>
        <v>18.304249346824623</v>
      </c>
      <c r="BJ70" s="4794">
        <f t="shared" si="54"/>
        <v>7.669378217943279E-2</v>
      </c>
      <c r="BK70" s="4794">
        <f t="shared" si="55"/>
        <v>0.15338756435886558</v>
      </c>
      <c r="BL70" s="4794">
        <f t="shared" si="56"/>
        <v>0.15338756435886558</v>
      </c>
      <c r="BM70" s="4794">
        <f t="shared" si="57"/>
        <v>0.15338756435886558</v>
      </c>
      <c r="BN70" s="4794">
        <f t="shared" si="58"/>
        <v>0.15338756435886558</v>
      </c>
      <c r="BO70" s="4794">
        <f t="shared" si="59"/>
        <v>0.15338756435886558</v>
      </c>
      <c r="BP70" s="4794">
        <f t="shared" si="60"/>
        <v>0.15338756435886558</v>
      </c>
      <c r="BQ70" s="4794">
        <f t="shared" si="61"/>
        <v>0</v>
      </c>
      <c r="BR70" s="4794">
        <f t="shared" si="62"/>
        <v>0</v>
      </c>
      <c r="BS70" s="4794">
        <f t="shared" si="63"/>
        <v>0</v>
      </c>
      <c r="BT70" s="4794">
        <f t="shared" si="64"/>
        <v>0</v>
      </c>
      <c r="BU70" s="4794">
        <f t="shared" si="65"/>
        <v>0</v>
      </c>
      <c r="BV70" s="4794">
        <f t="shared" si="66"/>
        <v>0</v>
      </c>
      <c r="BW70" s="4794">
        <f t="shared" si="67"/>
        <v>0</v>
      </c>
      <c r="BX70" s="4794">
        <f t="shared" si="68"/>
        <v>0</v>
      </c>
      <c r="BY70" s="4794">
        <f t="shared" si="69"/>
        <v>0</v>
      </c>
      <c r="BZ70" s="4794">
        <f t="shared" si="70"/>
        <v>0</v>
      </c>
      <c r="CA70" s="4794">
        <f t="shared" si="71"/>
        <v>0</v>
      </c>
      <c r="CB70" s="4794">
        <f t="shared" si="72"/>
        <v>0</v>
      </c>
      <c r="CC70" s="4794">
        <f t="shared" si="73"/>
        <v>0</v>
      </c>
      <c r="CD70" s="4794">
        <f t="shared" si="74"/>
        <v>0</v>
      </c>
    </row>
    <row r="71" spans="1:82" s="675" customFormat="1">
      <c r="A71" s="3034"/>
      <c r="B71" s="3034">
        <v>20304</v>
      </c>
      <c r="C71" s="3096">
        <v>0.1</v>
      </c>
      <c r="D71" s="3095" t="s">
        <v>407</v>
      </c>
      <c r="E71" s="4475">
        <f t="shared" ref="E71" si="148">SUM(E72:E73)</f>
        <v>0</v>
      </c>
      <c r="F71" s="3097">
        <f t="shared" ref="F71:AN71" si="149">SUM(F72:F73)</f>
        <v>0</v>
      </c>
      <c r="G71" s="3041">
        <f t="shared" si="149"/>
        <v>0</v>
      </c>
      <c r="H71" s="3041">
        <f t="shared" si="149"/>
        <v>0</v>
      </c>
      <c r="I71" s="3041">
        <f t="shared" si="149"/>
        <v>0</v>
      </c>
      <c r="J71" s="3041">
        <f t="shared" si="149"/>
        <v>0</v>
      </c>
      <c r="K71" s="3042">
        <f t="shared" si="149"/>
        <v>0</v>
      </c>
      <c r="L71" s="4475">
        <f t="shared" ref="L71" si="150">SUM(L72:L73)</f>
        <v>0</v>
      </c>
      <c r="M71" s="3098">
        <f t="shared" si="149"/>
        <v>0</v>
      </c>
      <c r="N71" s="3041">
        <f t="shared" si="149"/>
        <v>0</v>
      </c>
      <c r="O71" s="3041">
        <f t="shared" si="149"/>
        <v>0</v>
      </c>
      <c r="P71" s="3041">
        <f t="shared" si="149"/>
        <v>0</v>
      </c>
      <c r="Q71" s="3041">
        <f t="shared" si="149"/>
        <v>0</v>
      </c>
      <c r="R71" s="3043">
        <f t="shared" si="149"/>
        <v>0</v>
      </c>
      <c r="S71" s="4480">
        <f t="shared" ref="S71" si="151">SUM(S72:S73)</f>
        <v>0</v>
      </c>
      <c r="T71" s="3040">
        <f t="shared" si="149"/>
        <v>0</v>
      </c>
      <c r="U71" s="3041">
        <f t="shared" si="149"/>
        <v>0</v>
      </c>
      <c r="V71" s="3041">
        <f t="shared" si="149"/>
        <v>0</v>
      </c>
      <c r="W71" s="3041">
        <f t="shared" si="149"/>
        <v>0</v>
      </c>
      <c r="X71" s="3041">
        <f t="shared" si="149"/>
        <v>0</v>
      </c>
      <c r="Y71" s="3043">
        <f t="shared" si="149"/>
        <v>0</v>
      </c>
      <c r="Z71" s="4480">
        <f t="shared" ref="Z71" si="152">SUM(Z72:Z73)</f>
        <v>0</v>
      </c>
      <c r="AA71" s="3040">
        <f t="shared" si="149"/>
        <v>0</v>
      </c>
      <c r="AB71" s="3041">
        <f t="shared" si="149"/>
        <v>0</v>
      </c>
      <c r="AC71" s="3041">
        <f t="shared" si="149"/>
        <v>0</v>
      </c>
      <c r="AD71" s="3041">
        <f t="shared" si="149"/>
        <v>0</v>
      </c>
      <c r="AE71" s="3041">
        <f t="shared" si="149"/>
        <v>0</v>
      </c>
      <c r="AF71" s="3043">
        <f t="shared" si="149"/>
        <v>0</v>
      </c>
      <c r="AG71" s="4480">
        <f t="shared" ref="AG71" si="153">SUM(AG72:AG73)</f>
        <v>0</v>
      </c>
      <c r="AH71" s="3040">
        <f t="shared" si="149"/>
        <v>0</v>
      </c>
      <c r="AI71" s="3041">
        <f t="shared" si="149"/>
        <v>0</v>
      </c>
      <c r="AJ71" s="3041">
        <f t="shared" si="149"/>
        <v>0</v>
      </c>
      <c r="AK71" s="3041">
        <f t="shared" si="149"/>
        <v>0</v>
      </c>
      <c r="AL71" s="3041">
        <f t="shared" si="149"/>
        <v>0</v>
      </c>
      <c r="AM71" s="3043">
        <f t="shared" si="149"/>
        <v>0</v>
      </c>
      <c r="AN71" s="4370">
        <f t="shared" si="149"/>
        <v>0</v>
      </c>
      <c r="AO71" s="3175"/>
      <c r="AP71" s="3176"/>
      <c r="AQ71" s="3176"/>
      <c r="AR71" s="3176"/>
      <c r="AS71" s="3176"/>
      <c r="AT71" s="3177"/>
      <c r="AU71" s="4775"/>
      <c r="AV71" s="4794">
        <f t="shared" si="40"/>
        <v>0</v>
      </c>
      <c r="AW71" s="4794">
        <f t="shared" si="41"/>
        <v>0</v>
      </c>
      <c r="AX71" s="4794">
        <f t="shared" si="42"/>
        <v>0</v>
      </c>
      <c r="AY71" s="4794">
        <f t="shared" si="43"/>
        <v>0</v>
      </c>
      <c r="AZ71" s="4794">
        <f t="shared" si="44"/>
        <v>0</v>
      </c>
      <c r="BA71" s="4794">
        <f t="shared" si="45"/>
        <v>0</v>
      </c>
      <c r="BB71" s="4794">
        <f t="shared" si="46"/>
        <v>0</v>
      </c>
      <c r="BC71" s="4794">
        <f t="shared" si="47"/>
        <v>0</v>
      </c>
      <c r="BD71" s="4794">
        <f t="shared" si="48"/>
        <v>0</v>
      </c>
      <c r="BE71" s="4794">
        <f t="shared" si="49"/>
        <v>0</v>
      </c>
      <c r="BF71" s="4794">
        <f t="shared" si="50"/>
        <v>0</v>
      </c>
      <c r="BG71" s="4794">
        <f t="shared" si="51"/>
        <v>0</v>
      </c>
      <c r="BH71" s="4794">
        <f t="shared" si="52"/>
        <v>0</v>
      </c>
      <c r="BI71" s="4794">
        <f t="shared" si="53"/>
        <v>0</v>
      </c>
      <c r="BJ71" s="4794">
        <f t="shared" si="54"/>
        <v>0</v>
      </c>
      <c r="BK71" s="4794">
        <f t="shared" si="55"/>
        <v>0</v>
      </c>
      <c r="BL71" s="4794">
        <f t="shared" si="56"/>
        <v>0</v>
      </c>
      <c r="BM71" s="4794">
        <f t="shared" si="57"/>
        <v>0</v>
      </c>
      <c r="BN71" s="4794">
        <f t="shared" si="58"/>
        <v>0</v>
      </c>
      <c r="BO71" s="4794">
        <f t="shared" si="59"/>
        <v>0</v>
      </c>
      <c r="BP71" s="4794">
        <f t="shared" si="60"/>
        <v>0</v>
      </c>
      <c r="BQ71" s="4794">
        <f t="shared" si="61"/>
        <v>0</v>
      </c>
      <c r="BR71" s="4794">
        <f t="shared" si="62"/>
        <v>0</v>
      </c>
      <c r="BS71" s="4794">
        <f t="shared" si="63"/>
        <v>0</v>
      </c>
      <c r="BT71" s="4794">
        <f t="shared" si="64"/>
        <v>0</v>
      </c>
      <c r="BU71" s="4794">
        <f t="shared" si="65"/>
        <v>0</v>
      </c>
      <c r="BV71" s="4794">
        <f t="shared" si="66"/>
        <v>0</v>
      </c>
      <c r="BW71" s="4794">
        <f t="shared" si="67"/>
        <v>0</v>
      </c>
      <c r="BX71" s="4794">
        <f t="shared" si="68"/>
        <v>0</v>
      </c>
      <c r="BY71" s="4794">
        <f t="shared" si="69"/>
        <v>0</v>
      </c>
      <c r="BZ71" s="4794">
        <f t="shared" si="70"/>
        <v>0</v>
      </c>
      <c r="CA71" s="4794">
        <f t="shared" si="71"/>
        <v>0</v>
      </c>
      <c r="CB71" s="4794">
        <f t="shared" si="72"/>
        <v>0</v>
      </c>
      <c r="CC71" s="4794">
        <f t="shared" si="73"/>
        <v>0</v>
      </c>
      <c r="CD71" s="4794">
        <f t="shared" si="74"/>
        <v>0</v>
      </c>
    </row>
    <row r="72" spans="1:82" s="675" customFormat="1">
      <c r="A72" s="3034"/>
      <c r="B72" s="3099">
        <v>2030401</v>
      </c>
      <c r="C72" s="3100">
        <v>0.1</v>
      </c>
      <c r="D72" s="3101" t="s">
        <v>991</v>
      </c>
      <c r="E72" s="4738">
        <f t="shared" ref="E72:E73" si="154">+E23*$C72/2</f>
        <v>0</v>
      </c>
      <c r="F72" s="3085">
        <f>($E23*$C72)-(F23*$C72)</f>
        <v>0</v>
      </c>
      <c r="G72" s="3083">
        <f t="shared" ref="G72:K73" si="155">F72-(G23*$C72)</f>
        <v>0</v>
      </c>
      <c r="H72" s="3083">
        <f t="shared" si="155"/>
        <v>0</v>
      </c>
      <c r="I72" s="3083">
        <f t="shared" si="155"/>
        <v>0</v>
      </c>
      <c r="J72" s="3083">
        <f t="shared" si="155"/>
        <v>0</v>
      </c>
      <c r="K72" s="3084">
        <f t="shared" si="155"/>
        <v>0</v>
      </c>
      <c r="L72" s="4738">
        <f t="shared" ref="L72:L73" si="156">+L23*$C72/2</f>
        <v>0</v>
      </c>
      <c r="M72" s="3085">
        <f>($L23*$C72)-(M23*$C72)</f>
        <v>0</v>
      </c>
      <c r="N72" s="3083">
        <f t="shared" ref="N72:R73" si="157">M72-(N23*$C72)</f>
        <v>0</v>
      </c>
      <c r="O72" s="3083">
        <f t="shared" si="157"/>
        <v>0</v>
      </c>
      <c r="P72" s="3083">
        <f t="shared" si="157"/>
        <v>0</v>
      </c>
      <c r="Q72" s="3083">
        <f t="shared" si="157"/>
        <v>0</v>
      </c>
      <c r="R72" s="3086">
        <f t="shared" si="157"/>
        <v>0</v>
      </c>
      <c r="S72" s="4738">
        <f t="shared" ref="S72:S73" si="158">+S23*$C72/2</f>
        <v>0</v>
      </c>
      <c r="T72" s="4477">
        <f>($S23*$C72)-(T23*$C72)</f>
        <v>0</v>
      </c>
      <c r="U72" s="3083">
        <f t="shared" ref="U72:Y73" si="159">T72-(U23*$C72)</f>
        <v>0</v>
      </c>
      <c r="V72" s="3083">
        <f t="shared" si="159"/>
        <v>0</v>
      </c>
      <c r="W72" s="3083">
        <f t="shared" si="159"/>
        <v>0</v>
      </c>
      <c r="X72" s="3083">
        <f t="shared" si="159"/>
        <v>0</v>
      </c>
      <c r="Y72" s="3086">
        <f t="shared" si="159"/>
        <v>0</v>
      </c>
      <c r="Z72" s="4738">
        <f t="shared" ref="Z72:Z73" si="160">+Z23*$C72/2</f>
        <v>0</v>
      </c>
      <c r="AA72" s="4477">
        <f t="shared" ref="AA72:AA73" si="161">($Z23*$C72)-(AA23*$C72)</f>
        <v>0</v>
      </c>
      <c r="AB72" s="3083">
        <f t="shared" ref="AB72:AF73" si="162">AA72-(AB23*$C72)</f>
        <v>0</v>
      </c>
      <c r="AC72" s="3083">
        <f t="shared" si="162"/>
        <v>0</v>
      </c>
      <c r="AD72" s="3083">
        <f t="shared" si="162"/>
        <v>0</v>
      </c>
      <c r="AE72" s="3083">
        <f t="shared" si="162"/>
        <v>0</v>
      </c>
      <c r="AF72" s="3086">
        <f t="shared" si="162"/>
        <v>0</v>
      </c>
      <c r="AG72" s="4738">
        <f t="shared" ref="AG72:AG73" si="163">+AG23*$C72/2</f>
        <v>0</v>
      </c>
      <c r="AH72" s="4477">
        <f t="shared" ref="AH72:AH73" si="164">($AG23*$C72)-(AH23*$C72)</f>
        <v>0</v>
      </c>
      <c r="AI72" s="3083">
        <f t="shared" ref="AI72:AM73" si="165">AH72-(AI23*$C72)</f>
        <v>0</v>
      </c>
      <c r="AJ72" s="3083">
        <f t="shared" si="165"/>
        <v>0</v>
      </c>
      <c r="AK72" s="3083">
        <f t="shared" si="165"/>
        <v>0</v>
      </c>
      <c r="AL72" s="3083">
        <f t="shared" si="165"/>
        <v>0</v>
      </c>
      <c r="AM72" s="3086">
        <f t="shared" si="165"/>
        <v>0</v>
      </c>
      <c r="AN72" s="4368"/>
      <c r="AO72" s="3175"/>
      <c r="AP72" s="3176"/>
      <c r="AQ72" s="3176"/>
      <c r="AR72" s="3176"/>
      <c r="AS72" s="3176"/>
      <c r="AT72" s="3177"/>
      <c r="AU72" s="4775"/>
      <c r="AV72" s="4794">
        <f t="shared" si="40"/>
        <v>0</v>
      </c>
      <c r="AW72" s="4794">
        <f t="shared" si="41"/>
        <v>0</v>
      </c>
      <c r="AX72" s="4794">
        <f t="shared" si="42"/>
        <v>0</v>
      </c>
      <c r="AY72" s="4794">
        <f t="shared" si="43"/>
        <v>0</v>
      </c>
      <c r="AZ72" s="4794">
        <f t="shared" si="44"/>
        <v>0</v>
      </c>
      <c r="BA72" s="4794">
        <f t="shared" si="45"/>
        <v>0</v>
      </c>
      <c r="BB72" s="4794">
        <f t="shared" si="46"/>
        <v>0</v>
      </c>
      <c r="BC72" s="4794">
        <f t="shared" si="47"/>
        <v>0</v>
      </c>
      <c r="BD72" s="4794">
        <f t="shared" si="48"/>
        <v>0</v>
      </c>
      <c r="BE72" s="4794">
        <f t="shared" si="49"/>
        <v>0</v>
      </c>
      <c r="BF72" s="4794">
        <f t="shared" si="50"/>
        <v>0</v>
      </c>
      <c r="BG72" s="4794">
        <f t="shared" si="51"/>
        <v>0</v>
      </c>
      <c r="BH72" s="4794">
        <f t="shared" si="52"/>
        <v>0</v>
      </c>
      <c r="BI72" s="4794">
        <f t="shared" si="53"/>
        <v>0</v>
      </c>
      <c r="BJ72" s="4794">
        <f t="shared" si="54"/>
        <v>0</v>
      </c>
      <c r="BK72" s="4794">
        <f t="shared" si="55"/>
        <v>0</v>
      </c>
      <c r="BL72" s="4794">
        <f t="shared" si="56"/>
        <v>0</v>
      </c>
      <c r="BM72" s="4794">
        <f t="shared" si="57"/>
        <v>0</v>
      </c>
      <c r="BN72" s="4794">
        <f t="shared" si="58"/>
        <v>0</v>
      </c>
      <c r="BO72" s="4794">
        <f t="shared" si="59"/>
        <v>0</v>
      </c>
      <c r="BP72" s="4794">
        <f t="shared" si="60"/>
        <v>0</v>
      </c>
      <c r="BQ72" s="4794">
        <f t="shared" si="61"/>
        <v>0</v>
      </c>
      <c r="BR72" s="4794">
        <f t="shared" si="62"/>
        <v>0</v>
      </c>
      <c r="BS72" s="4794">
        <f t="shared" si="63"/>
        <v>0</v>
      </c>
      <c r="BT72" s="4794">
        <f t="shared" si="64"/>
        <v>0</v>
      </c>
      <c r="BU72" s="4794">
        <f t="shared" si="65"/>
        <v>0</v>
      </c>
      <c r="BV72" s="4794">
        <f t="shared" si="66"/>
        <v>0</v>
      </c>
      <c r="BW72" s="4794">
        <f t="shared" si="67"/>
        <v>0</v>
      </c>
      <c r="BX72" s="4794">
        <f t="shared" si="68"/>
        <v>0</v>
      </c>
      <c r="BY72" s="4794">
        <f t="shared" si="69"/>
        <v>0</v>
      </c>
      <c r="BZ72" s="4794">
        <f t="shared" si="70"/>
        <v>0</v>
      </c>
      <c r="CA72" s="4794">
        <f t="shared" si="71"/>
        <v>0</v>
      </c>
      <c r="CB72" s="4794">
        <f t="shared" si="72"/>
        <v>0</v>
      </c>
      <c r="CC72" s="4794">
        <f t="shared" si="73"/>
        <v>0</v>
      </c>
      <c r="CD72" s="4794">
        <f t="shared" si="74"/>
        <v>0</v>
      </c>
    </row>
    <row r="73" spans="1:82" s="675" customFormat="1">
      <c r="A73" s="3034"/>
      <c r="B73" s="3099">
        <v>2030402</v>
      </c>
      <c r="C73" s="3100">
        <v>0.1</v>
      </c>
      <c r="D73" s="3101" t="s">
        <v>429</v>
      </c>
      <c r="E73" s="4738">
        <f t="shared" si="154"/>
        <v>0</v>
      </c>
      <c r="F73" s="3085">
        <f>($E24*$C73)-(F24*$C73)</f>
        <v>0</v>
      </c>
      <c r="G73" s="3083">
        <f t="shared" si="155"/>
        <v>0</v>
      </c>
      <c r="H73" s="3083">
        <f t="shared" si="155"/>
        <v>0</v>
      </c>
      <c r="I73" s="3083">
        <f t="shared" si="155"/>
        <v>0</v>
      </c>
      <c r="J73" s="3083">
        <f t="shared" si="155"/>
        <v>0</v>
      </c>
      <c r="K73" s="3084">
        <f t="shared" si="155"/>
        <v>0</v>
      </c>
      <c r="L73" s="4738">
        <f t="shared" si="156"/>
        <v>0</v>
      </c>
      <c r="M73" s="3085">
        <f>($L24*$C73)-(M24*$C73)</f>
        <v>0</v>
      </c>
      <c r="N73" s="3083">
        <f t="shared" si="157"/>
        <v>0</v>
      </c>
      <c r="O73" s="3083">
        <f t="shared" si="157"/>
        <v>0</v>
      </c>
      <c r="P73" s="3083">
        <f t="shared" si="157"/>
        <v>0</v>
      </c>
      <c r="Q73" s="3083">
        <f t="shared" si="157"/>
        <v>0</v>
      </c>
      <c r="R73" s="3086">
        <f t="shared" si="157"/>
        <v>0</v>
      </c>
      <c r="S73" s="4738">
        <f t="shared" si="158"/>
        <v>0</v>
      </c>
      <c r="T73" s="4477">
        <f>($S24*$C73)-(T24*$C73)</f>
        <v>0</v>
      </c>
      <c r="U73" s="3083">
        <f t="shared" si="159"/>
        <v>0</v>
      </c>
      <c r="V73" s="3083">
        <f t="shared" si="159"/>
        <v>0</v>
      </c>
      <c r="W73" s="3083">
        <f t="shared" si="159"/>
        <v>0</v>
      </c>
      <c r="X73" s="3083">
        <f t="shared" si="159"/>
        <v>0</v>
      </c>
      <c r="Y73" s="3086">
        <f t="shared" si="159"/>
        <v>0</v>
      </c>
      <c r="Z73" s="4738">
        <f t="shared" si="160"/>
        <v>0</v>
      </c>
      <c r="AA73" s="4477">
        <f t="shared" si="161"/>
        <v>0</v>
      </c>
      <c r="AB73" s="3083">
        <f t="shared" si="162"/>
        <v>0</v>
      </c>
      <c r="AC73" s="3083">
        <f t="shared" si="162"/>
        <v>0</v>
      </c>
      <c r="AD73" s="3083">
        <f t="shared" si="162"/>
        <v>0</v>
      </c>
      <c r="AE73" s="3083">
        <f t="shared" si="162"/>
        <v>0</v>
      </c>
      <c r="AF73" s="3086">
        <f t="shared" si="162"/>
        <v>0</v>
      </c>
      <c r="AG73" s="4738">
        <f t="shared" si="163"/>
        <v>0</v>
      </c>
      <c r="AH73" s="4477">
        <f t="shared" si="164"/>
        <v>0</v>
      </c>
      <c r="AI73" s="3083">
        <f t="shared" si="165"/>
        <v>0</v>
      </c>
      <c r="AJ73" s="3083">
        <f t="shared" si="165"/>
        <v>0</v>
      </c>
      <c r="AK73" s="3083">
        <f t="shared" si="165"/>
        <v>0</v>
      </c>
      <c r="AL73" s="3083">
        <f t="shared" si="165"/>
        <v>0</v>
      </c>
      <c r="AM73" s="3086">
        <f t="shared" si="165"/>
        <v>0</v>
      </c>
      <c r="AN73" s="4368"/>
      <c r="AO73" s="3175"/>
      <c r="AP73" s="3176"/>
      <c r="AQ73" s="3176"/>
      <c r="AR73" s="3176"/>
      <c r="AS73" s="3176"/>
      <c r="AT73" s="3177"/>
      <c r="AU73" s="4775"/>
      <c r="AV73" s="4794">
        <f t="shared" si="40"/>
        <v>0</v>
      </c>
      <c r="AW73" s="4794">
        <f t="shared" si="41"/>
        <v>0</v>
      </c>
      <c r="AX73" s="4794">
        <f t="shared" si="42"/>
        <v>0</v>
      </c>
      <c r="AY73" s="4794">
        <f t="shared" si="43"/>
        <v>0</v>
      </c>
      <c r="AZ73" s="4794">
        <f t="shared" si="44"/>
        <v>0</v>
      </c>
      <c r="BA73" s="4794">
        <f t="shared" si="45"/>
        <v>0</v>
      </c>
      <c r="BB73" s="4794">
        <f t="shared" si="46"/>
        <v>0</v>
      </c>
      <c r="BC73" s="4794">
        <f t="shared" si="47"/>
        <v>0</v>
      </c>
      <c r="BD73" s="4794">
        <f t="shared" si="48"/>
        <v>0</v>
      </c>
      <c r="BE73" s="4794">
        <f t="shared" si="49"/>
        <v>0</v>
      </c>
      <c r="BF73" s="4794">
        <f t="shared" si="50"/>
        <v>0</v>
      </c>
      <c r="BG73" s="4794">
        <f t="shared" si="51"/>
        <v>0</v>
      </c>
      <c r="BH73" s="4794">
        <f t="shared" si="52"/>
        <v>0</v>
      </c>
      <c r="BI73" s="4794">
        <f t="shared" si="53"/>
        <v>0</v>
      </c>
      <c r="BJ73" s="4794">
        <f t="shared" si="54"/>
        <v>0</v>
      </c>
      <c r="BK73" s="4794">
        <f t="shared" si="55"/>
        <v>0</v>
      </c>
      <c r="BL73" s="4794">
        <f t="shared" si="56"/>
        <v>0</v>
      </c>
      <c r="BM73" s="4794">
        <f t="shared" si="57"/>
        <v>0</v>
      </c>
      <c r="BN73" s="4794">
        <f t="shared" si="58"/>
        <v>0</v>
      </c>
      <c r="BO73" s="4794">
        <f t="shared" si="59"/>
        <v>0</v>
      </c>
      <c r="BP73" s="4794">
        <f t="shared" si="60"/>
        <v>0</v>
      </c>
      <c r="BQ73" s="4794">
        <f t="shared" si="61"/>
        <v>0</v>
      </c>
      <c r="BR73" s="4794">
        <f t="shared" si="62"/>
        <v>0</v>
      </c>
      <c r="BS73" s="4794">
        <f t="shared" si="63"/>
        <v>0</v>
      </c>
      <c r="BT73" s="4794">
        <f t="shared" si="64"/>
        <v>0</v>
      </c>
      <c r="BU73" s="4794">
        <f t="shared" si="65"/>
        <v>0</v>
      </c>
      <c r="BV73" s="4794">
        <f t="shared" si="66"/>
        <v>0</v>
      </c>
      <c r="BW73" s="4794">
        <f t="shared" si="67"/>
        <v>0</v>
      </c>
      <c r="BX73" s="4794">
        <f t="shared" si="68"/>
        <v>0</v>
      </c>
      <c r="BY73" s="4794">
        <f t="shared" si="69"/>
        <v>0</v>
      </c>
      <c r="BZ73" s="4794">
        <f t="shared" si="70"/>
        <v>0</v>
      </c>
      <c r="CA73" s="4794">
        <f t="shared" si="71"/>
        <v>0</v>
      </c>
      <c r="CB73" s="4794">
        <f t="shared" si="72"/>
        <v>0</v>
      </c>
      <c r="CC73" s="4794">
        <f t="shared" si="73"/>
        <v>0</v>
      </c>
      <c r="CD73" s="4794">
        <f t="shared" si="74"/>
        <v>0</v>
      </c>
    </row>
    <row r="74" spans="1:82" s="675" customFormat="1">
      <c r="A74" s="3034"/>
      <c r="B74" s="3034">
        <v>20305</v>
      </c>
      <c r="C74" s="3096"/>
      <c r="D74" s="3095" t="s">
        <v>430</v>
      </c>
      <c r="E74" s="4475">
        <f>SUM(E75:E77)</f>
        <v>21.75</v>
      </c>
      <c r="F74" s="3097">
        <f t="shared" ref="F74:AN74" si="166">SUM(F75:F77)</f>
        <v>43.5</v>
      </c>
      <c r="G74" s="3041">
        <f t="shared" si="166"/>
        <v>43.5</v>
      </c>
      <c r="H74" s="3041">
        <f t="shared" si="166"/>
        <v>43.5</v>
      </c>
      <c r="I74" s="3041">
        <f t="shared" si="166"/>
        <v>43.5</v>
      </c>
      <c r="J74" s="3041">
        <f t="shared" si="166"/>
        <v>43.5</v>
      </c>
      <c r="K74" s="3042">
        <f t="shared" si="166"/>
        <v>43.5</v>
      </c>
      <c r="L74" s="4475">
        <f>SUM(L75:L77)</f>
        <v>0</v>
      </c>
      <c r="M74" s="3098">
        <f t="shared" si="166"/>
        <v>0</v>
      </c>
      <c r="N74" s="3041">
        <f t="shared" si="166"/>
        <v>0</v>
      </c>
      <c r="O74" s="3041">
        <f t="shared" si="166"/>
        <v>0</v>
      </c>
      <c r="P74" s="3041">
        <f t="shared" si="166"/>
        <v>0</v>
      </c>
      <c r="Q74" s="3041">
        <f t="shared" si="166"/>
        <v>0</v>
      </c>
      <c r="R74" s="3043">
        <f t="shared" si="166"/>
        <v>0</v>
      </c>
      <c r="S74" s="4480">
        <f>SUM(S75:S77)</f>
        <v>0</v>
      </c>
      <c r="T74" s="3040">
        <f t="shared" si="166"/>
        <v>0</v>
      </c>
      <c r="U74" s="3041">
        <f t="shared" si="166"/>
        <v>0</v>
      </c>
      <c r="V74" s="3041">
        <f t="shared" si="166"/>
        <v>0</v>
      </c>
      <c r="W74" s="3041">
        <f t="shared" si="166"/>
        <v>0</v>
      </c>
      <c r="X74" s="3041">
        <f t="shared" si="166"/>
        <v>0</v>
      </c>
      <c r="Y74" s="3043">
        <f t="shared" si="166"/>
        <v>0</v>
      </c>
      <c r="Z74" s="4480">
        <f>SUM(Z75:Z77)</f>
        <v>0</v>
      </c>
      <c r="AA74" s="3040">
        <f t="shared" si="166"/>
        <v>0</v>
      </c>
      <c r="AB74" s="3041">
        <f t="shared" si="166"/>
        <v>0</v>
      </c>
      <c r="AC74" s="3041">
        <f t="shared" si="166"/>
        <v>0</v>
      </c>
      <c r="AD74" s="3041">
        <f t="shared" si="166"/>
        <v>0</v>
      </c>
      <c r="AE74" s="3041">
        <f t="shared" si="166"/>
        <v>0</v>
      </c>
      <c r="AF74" s="3043">
        <f t="shared" si="166"/>
        <v>0</v>
      </c>
      <c r="AG74" s="4480">
        <f>SUM(AG75:AG77)</f>
        <v>0</v>
      </c>
      <c r="AH74" s="3040">
        <f t="shared" si="166"/>
        <v>0</v>
      </c>
      <c r="AI74" s="3041">
        <f t="shared" si="166"/>
        <v>0</v>
      </c>
      <c r="AJ74" s="3041">
        <f t="shared" si="166"/>
        <v>0</v>
      </c>
      <c r="AK74" s="3041">
        <f t="shared" si="166"/>
        <v>0</v>
      </c>
      <c r="AL74" s="3041">
        <f t="shared" si="166"/>
        <v>0</v>
      </c>
      <c r="AM74" s="3043">
        <f t="shared" si="166"/>
        <v>0</v>
      </c>
      <c r="AN74" s="4370">
        <f t="shared" si="166"/>
        <v>0</v>
      </c>
      <c r="AO74" s="3175"/>
      <c r="AP74" s="3176"/>
      <c r="AQ74" s="3176"/>
      <c r="AR74" s="3176"/>
      <c r="AS74" s="3176"/>
      <c r="AT74" s="3177"/>
      <c r="AU74" s="4775"/>
      <c r="AV74" s="4794">
        <f t="shared" si="40"/>
        <v>11.120598416017753</v>
      </c>
      <c r="AW74" s="4794">
        <f t="shared" si="41"/>
        <v>22.241196832035506</v>
      </c>
      <c r="AX74" s="4794">
        <f t="shared" si="42"/>
        <v>22.241196832035506</v>
      </c>
      <c r="AY74" s="4794">
        <f t="shared" si="43"/>
        <v>22.241196832035506</v>
      </c>
      <c r="AZ74" s="4794">
        <f t="shared" si="44"/>
        <v>22.241196832035506</v>
      </c>
      <c r="BA74" s="4794">
        <f t="shared" si="45"/>
        <v>22.241196832035506</v>
      </c>
      <c r="BB74" s="4794">
        <f t="shared" si="46"/>
        <v>22.241196832035506</v>
      </c>
      <c r="BC74" s="4794">
        <f t="shared" si="47"/>
        <v>0</v>
      </c>
      <c r="BD74" s="4794">
        <f t="shared" si="48"/>
        <v>0</v>
      </c>
      <c r="BE74" s="4794">
        <f t="shared" si="49"/>
        <v>0</v>
      </c>
      <c r="BF74" s="4794">
        <f t="shared" si="50"/>
        <v>0</v>
      </c>
      <c r="BG74" s="4794">
        <f t="shared" si="51"/>
        <v>0</v>
      </c>
      <c r="BH74" s="4794">
        <f t="shared" si="52"/>
        <v>0</v>
      </c>
      <c r="BI74" s="4794">
        <f t="shared" si="53"/>
        <v>0</v>
      </c>
      <c r="BJ74" s="4794">
        <f t="shared" si="54"/>
        <v>0</v>
      </c>
      <c r="BK74" s="4794">
        <f t="shared" si="55"/>
        <v>0</v>
      </c>
      <c r="BL74" s="4794">
        <f t="shared" si="56"/>
        <v>0</v>
      </c>
      <c r="BM74" s="4794">
        <f t="shared" si="57"/>
        <v>0</v>
      </c>
      <c r="BN74" s="4794">
        <f t="shared" si="58"/>
        <v>0</v>
      </c>
      <c r="BO74" s="4794">
        <f t="shared" si="59"/>
        <v>0</v>
      </c>
      <c r="BP74" s="4794">
        <f t="shared" si="60"/>
        <v>0</v>
      </c>
      <c r="BQ74" s="4794">
        <f t="shared" si="61"/>
        <v>0</v>
      </c>
      <c r="BR74" s="4794">
        <f t="shared" si="62"/>
        <v>0</v>
      </c>
      <c r="BS74" s="4794">
        <f t="shared" si="63"/>
        <v>0</v>
      </c>
      <c r="BT74" s="4794">
        <f t="shared" si="64"/>
        <v>0</v>
      </c>
      <c r="BU74" s="4794">
        <f t="shared" si="65"/>
        <v>0</v>
      </c>
      <c r="BV74" s="4794">
        <f t="shared" si="66"/>
        <v>0</v>
      </c>
      <c r="BW74" s="4794">
        <f t="shared" si="67"/>
        <v>0</v>
      </c>
      <c r="BX74" s="4794">
        <f t="shared" si="68"/>
        <v>0</v>
      </c>
      <c r="BY74" s="4794">
        <f t="shared" si="69"/>
        <v>0</v>
      </c>
      <c r="BZ74" s="4794">
        <f t="shared" si="70"/>
        <v>0</v>
      </c>
      <c r="CA74" s="4794">
        <f t="shared" si="71"/>
        <v>0</v>
      </c>
      <c r="CB74" s="4794">
        <f t="shared" si="72"/>
        <v>0</v>
      </c>
      <c r="CC74" s="4794">
        <f t="shared" si="73"/>
        <v>0</v>
      </c>
      <c r="CD74" s="4794">
        <f t="shared" si="74"/>
        <v>0</v>
      </c>
    </row>
    <row r="75" spans="1:82" s="675" customFormat="1">
      <c r="A75" s="3034"/>
      <c r="B75" s="3034">
        <v>2030501</v>
      </c>
      <c r="C75" s="3102">
        <v>0.1</v>
      </c>
      <c r="D75" s="3101" t="s">
        <v>1001</v>
      </c>
      <c r="E75" s="4738">
        <f t="shared" ref="E75:E78" si="167">+E26*$C75/2</f>
        <v>15.75</v>
      </c>
      <c r="F75" s="3085">
        <f>($E26*$C75)-(F26*$C75)</f>
        <v>31.5</v>
      </c>
      <c r="G75" s="3083">
        <f t="shared" ref="G75:K78" si="168">F75-(G26*$C75)</f>
        <v>31.5</v>
      </c>
      <c r="H75" s="3083">
        <f t="shared" si="168"/>
        <v>31.5</v>
      </c>
      <c r="I75" s="3083">
        <f t="shared" si="168"/>
        <v>31.5</v>
      </c>
      <c r="J75" s="3083">
        <f t="shared" si="168"/>
        <v>31.5</v>
      </c>
      <c r="K75" s="3084">
        <f t="shared" si="168"/>
        <v>31.5</v>
      </c>
      <c r="L75" s="4738">
        <f t="shared" ref="L75:L78" si="169">+L26*$C75/2</f>
        <v>0</v>
      </c>
      <c r="M75" s="3085">
        <f>($L26*$C75)-(M26*$C75)</f>
        <v>0</v>
      </c>
      <c r="N75" s="3083">
        <f t="shared" ref="N75:R78" si="170">M75-(N26*$C75)</f>
        <v>0</v>
      </c>
      <c r="O75" s="3083">
        <f t="shared" si="170"/>
        <v>0</v>
      </c>
      <c r="P75" s="3083">
        <f t="shared" si="170"/>
        <v>0</v>
      </c>
      <c r="Q75" s="3083">
        <f t="shared" si="170"/>
        <v>0</v>
      </c>
      <c r="R75" s="3086">
        <f t="shared" si="170"/>
        <v>0</v>
      </c>
      <c r="S75" s="4738">
        <f t="shared" ref="S75:S78" si="171">+S26*$C75/2</f>
        <v>0</v>
      </c>
      <c r="T75" s="4477">
        <f>($S26*$C75)-(T26*$C75)</f>
        <v>0</v>
      </c>
      <c r="U75" s="3083">
        <f t="shared" ref="U75:Y78" si="172">T75-(U26*$C75)</f>
        <v>0</v>
      </c>
      <c r="V75" s="3083">
        <f t="shared" si="172"/>
        <v>0</v>
      </c>
      <c r="W75" s="3083">
        <f t="shared" si="172"/>
        <v>0</v>
      </c>
      <c r="X75" s="3083">
        <f t="shared" si="172"/>
        <v>0</v>
      </c>
      <c r="Y75" s="3086">
        <f t="shared" si="172"/>
        <v>0</v>
      </c>
      <c r="Z75" s="4738">
        <f t="shared" ref="Z75:Z78" si="173">+Z26*$C75/2</f>
        <v>0</v>
      </c>
      <c r="AA75" s="4477">
        <f t="shared" ref="AA75:AA78" si="174">($Z26*$C75)-(AA26*$C75)</f>
        <v>0</v>
      </c>
      <c r="AB75" s="3083">
        <f t="shared" ref="AB75:AF78" si="175">AA75-(AB26*$C75)</f>
        <v>0</v>
      </c>
      <c r="AC75" s="3083">
        <f t="shared" si="175"/>
        <v>0</v>
      </c>
      <c r="AD75" s="3083">
        <f t="shared" si="175"/>
        <v>0</v>
      </c>
      <c r="AE75" s="3083">
        <f t="shared" si="175"/>
        <v>0</v>
      </c>
      <c r="AF75" s="3086">
        <f t="shared" si="175"/>
        <v>0</v>
      </c>
      <c r="AG75" s="4738">
        <f t="shared" ref="AG75:AG78" si="176">+AG26*$C75/2</f>
        <v>0</v>
      </c>
      <c r="AH75" s="4477">
        <f t="shared" ref="AH75:AH78" si="177">($AG26*$C75)-(AH26*$C75)</f>
        <v>0</v>
      </c>
      <c r="AI75" s="3083">
        <f t="shared" ref="AI75:AM78" si="178">AH75-(AI26*$C75)</f>
        <v>0</v>
      </c>
      <c r="AJ75" s="3083">
        <f t="shared" si="178"/>
        <v>0</v>
      </c>
      <c r="AK75" s="3083">
        <f t="shared" si="178"/>
        <v>0</v>
      </c>
      <c r="AL75" s="3083">
        <f t="shared" si="178"/>
        <v>0</v>
      </c>
      <c r="AM75" s="3086">
        <f t="shared" si="178"/>
        <v>0</v>
      </c>
      <c r="AN75" s="4368"/>
      <c r="AO75" s="3175"/>
      <c r="AP75" s="3176"/>
      <c r="AQ75" s="3176"/>
      <c r="AR75" s="3176"/>
      <c r="AS75" s="3176"/>
      <c r="AT75" s="3177"/>
      <c r="AU75" s="4775"/>
      <c r="AV75" s="4794">
        <f t="shared" si="40"/>
        <v>8.0528471288404422</v>
      </c>
      <c r="AW75" s="4794">
        <f t="shared" si="41"/>
        <v>16.105694257680884</v>
      </c>
      <c r="AX75" s="4794">
        <f t="shared" si="42"/>
        <v>16.105694257680884</v>
      </c>
      <c r="AY75" s="4794">
        <f t="shared" si="43"/>
        <v>16.105694257680884</v>
      </c>
      <c r="AZ75" s="4794">
        <f t="shared" si="44"/>
        <v>16.105694257680884</v>
      </c>
      <c r="BA75" s="4794">
        <f t="shared" si="45"/>
        <v>16.105694257680884</v>
      </c>
      <c r="BB75" s="4794">
        <f t="shared" si="46"/>
        <v>16.105694257680884</v>
      </c>
      <c r="BC75" s="4794">
        <f t="shared" si="47"/>
        <v>0</v>
      </c>
      <c r="BD75" s="4794">
        <f t="shared" si="48"/>
        <v>0</v>
      </c>
      <c r="BE75" s="4794">
        <f t="shared" si="49"/>
        <v>0</v>
      </c>
      <c r="BF75" s="4794">
        <f t="shared" si="50"/>
        <v>0</v>
      </c>
      <c r="BG75" s="4794">
        <f t="shared" si="51"/>
        <v>0</v>
      </c>
      <c r="BH75" s="4794">
        <f t="shared" si="52"/>
        <v>0</v>
      </c>
      <c r="BI75" s="4794">
        <f t="shared" si="53"/>
        <v>0</v>
      </c>
      <c r="BJ75" s="4794">
        <f t="shared" si="54"/>
        <v>0</v>
      </c>
      <c r="BK75" s="4794">
        <f t="shared" si="55"/>
        <v>0</v>
      </c>
      <c r="BL75" s="4794">
        <f t="shared" si="56"/>
        <v>0</v>
      </c>
      <c r="BM75" s="4794">
        <f t="shared" si="57"/>
        <v>0</v>
      </c>
      <c r="BN75" s="4794">
        <f t="shared" si="58"/>
        <v>0</v>
      </c>
      <c r="BO75" s="4794">
        <f t="shared" si="59"/>
        <v>0</v>
      </c>
      <c r="BP75" s="4794">
        <f t="shared" si="60"/>
        <v>0</v>
      </c>
      <c r="BQ75" s="4794">
        <f t="shared" si="61"/>
        <v>0</v>
      </c>
      <c r="BR75" s="4794">
        <f t="shared" si="62"/>
        <v>0</v>
      </c>
      <c r="BS75" s="4794">
        <f t="shared" si="63"/>
        <v>0</v>
      </c>
      <c r="BT75" s="4794">
        <f t="shared" si="64"/>
        <v>0</v>
      </c>
      <c r="BU75" s="4794">
        <f t="shared" si="65"/>
        <v>0</v>
      </c>
      <c r="BV75" s="4794">
        <f t="shared" si="66"/>
        <v>0</v>
      </c>
      <c r="BW75" s="4794">
        <f t="shared" si="67"/>
        <v>0</v>
      </c>
      <c r="BX75" s="4794">
        <f t="shared" si="68"/>
        <v>0</v>
      </c>
      <c r="BY75" s="4794">
        <f t="shared" si="69"/>
        <v>0</v>
      </c>
      <c r="BZ75" s="4794">
        <f t="shared" si="70"/>
        <v>0</v>
      </c>
      <c r="CA75" s="4794">
        <f t="shared" si="71"/>
        <v>0</v>
      </c>
      <c r="CB75" s="4794">
        <f t="shared" si="72"/>
        <v>0</v>
      </c>
      <c r="CC75" s="4794">
        <f t="shared" si="73"/>
        <v>0</v>
      </c>
      <c r="CD75" s="4794">
        <f t="shared" si="74"/>
        <v>0</v>
      </c>
    </row>
    <row r="76" spans="1:82" s="675" customFormat="1" ht="25.5">
      <c r="A76" s="3034"/>
      <c r="B76" s="2742">
        <v>2030502</v>
      </c>
      <c r="C76" s="3048">
        <v>0.1</v>
      </c>
      <c r="D76" s="3103" t="s">
        <v>695</v>
      </c>
      <c r="E76" s="4738">
        <f t="shared" si="167"/>
        <v>6</v>
      </c>
      <c r="F76" s="3085">
        <f>($E27*$C76)-(F27*$C76)</f>
        <v>12</v>
      </c>
      <c r="G76" s="3083">
        <f t="shared" si="168"/>
        <v>12</v>
      </c>
      <c r="H76" s="3083">
        <f t="shared" si="168"/>
        <v>12</v>
      </c>
      <c r="I76" s="3083">
        <f t="shared" si="168"/>
        <v>12</v>
      </c>
      <c r="J76" s="3083">
        <f t="shared" si="168"/>
        <v>12</v>
      </c>
      <c r="K76" s="3084">
        <f t="shared" si="168"/>
        <v>12</v>
      </c>
      <c r="L76" s="4738">
        <f t="shared" si="169"/>
        <v>0</v>
      </c>
      <c r="M76" s="3085">
        <f>($L27*$C76)-(M27*$C76)</f>
        <v>0</v>
      </c>
      <c r="N76" s="3083">
        <f t="shared" si="170"/>
        <v>0</v>
      </c>
      <c r="O76" s="3083">
        <f t="shared" si="170"/>
        <v>0</v>
      </c>
      <c r="P76" s="3083">
        <f t="shared" si="170"/>
        <v>0</v>
      </c>
      <c r="Q76" s="3083">
        <f t="shared" si="170"/>
        <v>0</v>
      </c>
      <c r="R76" s="3086">
        <f t="shared" si="170"/>
        <v>0</v>
      </c>
      <c r="S76" s="4738">
        <f t="shared" si="171"/>
        <v>0</v>
      </c>
      <c r="T76" s="4477">
        <f>($S27*$C76)-(T27*$C76)</f>
        <v>0</v>
      </c>
      <c r="U76" s="3083">
        <f t="shared" si="172"/>
        <v>0</v>
      </c>
      <c r="V76" s="3083">
        <f t="shared" si="172"/>
        <v>0</v>
      </c>
      <c r="W76" s="3083">
        <f t="shared" si="172"/>
        <v>0</v>
      </c>
      <c r="X76" s="3083">
        <f t="shared" si="172"/>
        <v>0</v>
      </c>
      <c r="Y76" s="3086">
        <f t="shared" si="172"/>
        <v>0</v>
      </c>
      <c r="Z76" s="4738">
        <f t="shared" si="173"/>
        <v>0</v>
      </c>
      <c r="AA76" s="4477">
        <f t="shared" si="174"/>
        <v>0</v>
      </c>
      <c r="AB76" s="3083">
        <f t="shared" si="175"/>
        <v>0</v>
      </c>
      <c r="AC76" s="3083">
        <f t="shared" si="175"/>
        <v>0</v>
      </c>
      <c r="AD76" s="3083">
        <f t="shared" si="175"/>
        <v>0</v>
      </c>
      <c r="AE76" s="3083">
        <f t="shared" si="175"/>
        <v>0</v>
      </c>
      <c r="AF76" s="3086">
        <f t="shared" si="175"/>
        <v>0</v>
      </c>
      <c r="AG76" s="4738">
        <f t="shared" si="176"/>
        <v>0</v>
      </c>
      <c r="AH76" s="4477">
        <f t="shared" si="177"/>
        <v>0</v>
      </c>
      <c r="AI76" s="3083">
        <f t="shared" si="178"/>
        <v>0</v>
      </c>
      <c r="AJ76" s="3083">
        <f t="shared" si="178"/>
        <v>0</v>
      </c>
      <c r="AK76" s="3083">
        <f t="shared" si="178"/>
        <v>0</v>
      </c>
      <c r="AL76" s="3083">
        <f t="shared" si="178"/>
        <v>0</v>
      </c>
      <c r="AM76" s="3086">
        <f t="shared" si="178"/>
        <v>0</v>
      </c>
      <c r="AN76" s="4368"/>
      <c r="AO76" s="3175"/>
      <c r="AP76" s="3176"/>
      <c r="AQ76" s="3176"/>
      <c r="AR76" s="3176"/>
      <c r="AS76" s="3176"/>
      <c r="AT76" s="3177"/>
      <c r="AU76" s="4775"/>
      <c r="AV76" s="4794">
        <f t="shared" ref="AV76:AV108" si="179">IFERROR(E76/$D$1,0)</f>
        <v>3.0677512871773112</v>
      </c>
      <c r="AW76" s="4794">
        <f t="shared" ref="AW76:AW108" si="180">IFERROR(F76/$D$1,0)</f>
        <v>6.1355025743546223</v>
      </c>
      <c r="AX76" s="4794">
        <f t="shared" ref="AX76:AX108" si="181">IFERROR(G76/$D$1,0)</f>
        <v>6.1355025743546223</v>
      </c>
      <c r="AY76" s="4794">
        <f t="shared" ref="AY76:AY108" si="182">IFERROR(H76/$D$1,0)</f>
        <v>6.1355025743546223</v>
      </c>
      <c r="AZ76" s="4794">
        <f t="shared" ref="AZ76:AZ108" si="183">IFERROR(I76/$D$1,0)</f>
        <v>6.1355025743546223</v>
      </c>
      <c r="BA76" s="4794">
        <f t="shared" ref="BA76:BA108" si="184">IFERROR(J76/$D$1,0)</f>
        <v>6.1355025743546223</v>
      </c>
      <c r="BB76" s="4794">
        <f t="shared" ref="BB76:BB108" si="185">IFERROR(K76/$D$1,0)</f>
        <v>6.1355025743546223</v>
      </c>
      <c r="BC76" s="4794">
        <f t="shared" ref="BC76:BC108" si="186">IFERROR(L76/$D$1,0)</f>
        <v>0</v>
      </c>
      <c r="BD76" s="4794">
        <f t="shared" ref="BD76:BD108" si="187">IFERROR(M76/$D$1,0)</f>
        <v>0</v>
      </c>
      <c r="BE76" s="4794">
        <f t="shared" ref="BE76:BE108" si="188">IFERROR(N76/$D$1,0)</f>
        <v>0</v>
      </c>
      <c r="BF76" s="4794">
        <f t="shared" ref="BF76:BF108" si="189">IFERROR(O76/$D$1,0)</f>
        <v>0</v>
      </c>
      <c r="BG76" s="4794">
        <f t="shared" ref="BG76:BG108" si="190">IFERROR(P76/$D$1,0)</f>
        <v>0</v>
      </c>
      <c r="BH76" s="4794">
        <f t="shared" ref="BH76:BH108" si="191">IFERROR(Q76/$D$1,0)</f>
        <v>0</v>
      </c>
      <c r="BI76" s="4794">
        <f t="shared" ref="BI76:BI108" si="192">IFERROR(R76/$D$1,0)</f>
        <v>0</v>
      </c>
      <c r="BJ76" s="4794">
        <f t="shared" ref="BJ76:BJ108" si="193">IFERROR(S76/$D$1,0)</f>
        <v>0</v>
      </c>
      <c r="BK76" s="4794">
        <f t="shared" ref="BK76:BK108" si="194">IFERROR(T76/$D$1,0)</f>
        <v>0</v>
      </c>
      <c r="BL76" s="4794">
        <f t="shared" ref="BL76:BL108" si="195">IFERROR(U76/$D$1,0)</f>
        <v>0</v>
      </c>
      <c r="BM76" s="4794">
        <f t="shared" ref="BM76:BM108" si="196">IFERROR(V76/$D$1,0)</f>
        <v>0</v>
      </c>
      <c r="BN76" s="4794">
        <f t="shared" ref="BN76:BN108" si="197">IFERROR(W76/$D$1,0)</f>
        <v>0</v>
      </c>
      <c r="BO76" s="4794">
        <f t="shared" ref="BO76:BO108" si="198">IFERROR(X76/$D$1,0)</f>
        <v>0</v>
      </c>
      <c r="BP76" s="4794">
        <f t="shared" ref="BP76:BP108" si="199">IFERROR(Y76/$D$1,0)</f>
        <v>0</v>
      </c>
      <c r="BQ76" s="4794">
        <f t="shared" ref="BQ76:BQ108" si="200">IFERROR(Z76/$D$1,0)</f>
        <v>0</v>
      </c>
      <c r="BR76" s="4794">
        <f t="shared" ref="BR76:BR108" si="201">IFERROR(AA76/$D$1,0)</f>
        <v>0</v>
      </c>
      <c r="BS76" s="4794">
        <f t="shared" ref="BS76:BS108" si="202">IFERROR(AB76/$D$1,0)</f>
        <v>0</v>
      </c>
      <c r="BT76" s="4794">
        <f t="shared" ref="BT76:BT108" si="203">IFERROR(AC76/$D$1,0)</f>
        <v>0</v>
      </c>
      <c r="BU76" s="4794">
        <f t="shared" ref="BU76:BU108" si="204">IFERROR(AD76/$D$1,0)</f>
        <v>0</v>
      </c>
      <c r="BV76" s="4794">
        <f t="shared" ref="BV76:BV108" si="205">IFERROR(AE76/$D$1,0)</f>
        <v>0</v>
      </c>
      <c r="BW76" s="4794">
        <f t="shared" ref="BW76:BW108" si="206">IFERROR(AF76/$D$1,0)</f>
        <v>0</v>
      </c>
      <c r="BX76" s="4794">
        <f t="shared" ref="BX76:BX108" si="207">IFERROR(AG76/$D$1,0)</f>
        <v>0</v>
      </c>
      <c r="BY76" s="4794">
        <f t="shared" ref="BY76:BY108" si="208">IFERROR(AH76/$D$1,0)</f>
        <v>0</v>
      </c>
      <c r="BZ76" s="4794">
        <f t="shared" ref="BZ76:BZ108" si="209">IFERROR(AI76/$D$1,0)</f>
        <v>0</v>
      </c>
      <c r="CA76" s="4794">
        <f t="shared" ref="CA76:CA108" si="210">IFERROR(AJ76/$D$1,0)</f>
        <v>0</v>
      </c>
      <c r="CB76" s="4794">
        <f t="shared" ref="CB76:CB108" si="211">IFERROR(AK76/$D$1,0)</f>
        <v>0</v>
      </c>
      <c r="CC76" s="4794">
        <f t="shared" ref="CC76:CC108" si="212">IFERROR(AL76/$D$1,0)</f>
        <v>0</v>
      </c>
      <c r="CD76" s="4794">
        <f t="shared" ref="CD76:CD108" si="213">IFERROR(AM76/$D$1,0)</f>
        <v>0</v>
      </c>
    </row>
    <row r="77" spans="1:82" s="675" customFormat="1">
      <c r="A77" s="3034"/>
      <c r="B77" s="2742">
        <v>2030503</v>
      </c>
      <c r="C77" s="3048">
        <v>0.1</v>
      </c>
      <c r="D77" s="3103" t="s">
        <v>713</v>
      </c>
      <c r="E77" s="4738">
        <f t="shared" si="167"/>
        <v>0</v>
      </c>
      <c r="F77" s="3085">
        <f>($E28*$C77)-(F28*$C77)</f>
        <v>0</v>
      </c>
      <c r="G77" s="3083">
        <f t="shared" si="168"/>
        <v>0</v>
      </c>
      <c r="H77" s="3083">
        <f t="shared" si="168"/>
        <v>0</v>
      </c>
      <c r="I77" s="3083">
        <f t="shared" si="168"/>
        <v>0</v>
      </c>
      <c r="J77" s="3083">
        <f t="shared" si="168"/>
        <v>0</v>
      </c>
      <c r="K77" s="3084">
        <f t="shared" si="168"/>
        <v>0</v>
      </c>
      <c r="L77" s="4738">
        <f t="shared" si="169"/>
        <v>0</v>
      </c>
      <c r="M77" s="3085">
        <f>($L28*$C77)-(M28*$C77)</f>
        <v>0</v>
      </c>
      <c r="N77" s="3083">
        <f t="shared" si="170"/>
        <v>0</v>
      </c>
      <c r="O77" s="3083">
        <f t="shared" si="170"/>
        <v>0</v>
      </c>
      <c r="P77" s="3083">
        <f t="shared" si="170"/>
        <v>0</v>
      </c>
      <c r="Q77" s="3083">
        <f t="shared" si="170"/>
        <v>0</v>
      </c>
      <c r="R77" s="3086">
        <f t="shared" si="170"/>
        <v>0</v>
      </c>
      <c r="S77" s="4738">
        <f t="shared" si="171"/>
        <v>0</v>
      </c>
      <c r="T77" s="4477">
        <f>($S28*$C77)-(T28*$C77)</f>
        <v>0</v>
      </c>
      <c r="U77" s="3083">
        <f t="shared" si="172"/>
        <v>0</v>
      </c>
      <c r="V77" s="3083">
        <f t="shared" si="172"/>
        <v>0</v>
      </c>
      <c r="W77" s="3083">
        <f t="shared" si="172"/>
        <v>0</v>
      </c>
      <c r="X77" s="3083">
        <f t="shared" si="172"/>
        <v>0</v>
      </c>
      <c r="Y77" s="3086">
        <f t="shared" si="172"/>
        <v>0</v>
      </c>
      <c r="Z77" s="4738">
        <f t="shared" si="173"/>
        <v>0</v>
      </c>
      <c r="AA77" s="4477">
        <f t="shared" si="174"/>
        <v>0</v>
      </c>
      <c r="AB77" s="3083">
        <f t="shared" si="175"/>
        <v>0</v>
      </c>
      <c r="AC77" s="3083">
        <f t="shared" si="175"/>
        <v>0</v>
      </c>
      <c r="AD77" s="3083">
        <f t="shared" si="175"/>
        <v>0</v>
      </c>
      <c r="AE77" s="3083">
        <f t="shared" si="175"/>
        <v>0</v>
      </c>
      <c r="AF77" s="3086">
        <f t="shared" si="175"/>
        <v>0</v>
      </c>
      <c r="AG77" s="4738">
        <f t="shared" si="176"/>
        <v>0</v>
      </c>
      <c r="AH77" s="4477">
        <f t="shared" si="177"/>
        <v>0</v>
      </c>
      <c r="AI77" s="3083">
        <f t="shared" si="178"/>
        <v>0</v>
      </c>
      <c r="AJ77" s="3083">
        <f t="shared" si="178"/>
        <v>0</v>
      </c>
      <c r="AK77" s="3083">
        <f t="shared" si="178"/>
        <v>0</v>
      </c>
      <c r="AL77" s="3083">
        <f t="shared" si="178"/>
        <v>0</v>
      </c>
      <c r="AM77" s="3086">
        <f t="shared" si="178"/>
        <v>0</v>
      </c>
      <c r="AN77" s="4368"/>
      <c r="AO77" s="3175"/>
      <c r="AP77" s="3176"/>
      <c r="AQ77" s="3176"/>
      <c r="AR77" s="3176"/>
      <c r="AS77" s="3176"/>
      <c r="AT77" s="3177"/>
      <c r="AU77" s="4775"/>
      <c r="AV77" s="4794">
        <f t="shared" si="179"/>
        <v>0</v>
      </c>
      <c r="AW77" s="4794">
        <f t="shared" si="180"/>
        <v>0</v>
      </c>
      <c r="AX77" s="4794">
        <f t="shared" si="181"/>
        <v>0</v>
      </c>
      <c r="AY77" s="4794">
        <f t="shared" si="182"/>
        <v>0</v>
      </c>
      <c r="AZ77" s="4794">
        <f t="shared" si="183"/>
        <v>0</v>
      </c>
      <c r="BA77" s="4794">
        <f t="shared" si="184"/>
        <v>0</v>
      </c>
      <c r="BB77" s="4794">
        <f t="shared" si="185"/>
        <v>0</v>
      </c>
      <c r="BC77" s="4794">
        <f t="shared" si="186"/>
        <v>0</v>
      </c>
      <c r="BD77" s="4794">
        <f t="shared" si="187"/>
        <v>0</v>
      </c>
      <c r="BE77" s="4794">
        <f t="shared" si="188"/>
        <v>0</v>
      </c>
      <c r="BF77" s="4794">
        <f t="shared" si="189"/>
        <v>0</v>
      </c>
      <c r="BG77" s="4794">
        <f t="shared" si="190"/>
        <v>0</v>
      </c>
      <c r="BH77" s="4794">
        <f t="shared" si="191"/>
        <v>0</v>
      </c>
      <c r="BI77" s="4794">
        <f t="shared" si="192"/>
        <v>0</v>
      </c>
      <c r="BJ77" s="4794">
        <f t="shared" si="193"/>
        <v>0</v>
      </c>
      <c r="BK77" s="4794">
        <f t="shared" si="194"/>
        <v>0</v>
      </c>
      <c r="BL77" s="4794">
        <f t="shared" si="195"/>
        <v>0</v>
      </c>
      <c r="BM77" s="4794">
        <f t="shared" si="196"/>
        <v>0</v>
      </c>
      <c r="BN77" s="4794">
        <f t="shared" si="197"/>
        <v>0</v>
      </c>
      <c r="BO77" s="4794">
        <f t="shared" si="198"/>
        <v>0</v>
      </c>
      <c r="BP77" s="4794">
        <f t="shared" si="199"/>
        <v>0</v>
      </c>
      <c r="BQ77" s="4794">
        <f t="shared" si="200"/>
        <v>0</v>
      </c>
      <c r="BR77" s="4794">
        <f t="shared" si="201"/>
        <v>0</v>
      </c>
      <c r="BS77" s="4794">
        <f t="shared" si="202"/>
        <v>0</v>
      </c>
      <c r="BT77" s="4794">
        <f t="shared" si="203"/>
        <v>0</v>
      </c>
      <c r="BU77" s="4794">
        <f t="shared" si="204"/>
        <v>0</v>
      </c>
      <c r="BV77" s="4794">
        <f t="shared" si="205"/>
        <v>0</v>
      </c>
      <c r="BW77" s="4794">
        <f t="shared" si="206"/>
        <v>0</v>
      </c>
      <c r="BX77" s="4794">
        <f t="shared" si="207"/>
        <v>0</v>
      </c>
      <c r="BY77" s="4794">
        <f t="shared" si="208"/>
        <v>0</v>
      </c>
      <c r="BZ77" s="4794">
        <f t="shared" si="209"/>
        <v>0</v>
      </c>
      <c r="CA77" s="4794">
        <f t="shared" si="210"/>
        <v>0</v>
      </c>
      <c r="CB77" s="4794">
        <f t="shared" si="211"/>
        <v>0</v>
      </c>
      <c r="CC77" s="4794">
        <f t="shared" si="212"/>
        <v>0</v>
      </c>
      <c r="CD77" s="4794">
        <f t="shared" si="213"/>
        <v>0</v>
      </c>
    </row>
    <row r="78" spans="1:82" s="675" customFormat="1">
      <c r="A78" s="3034"/>
      <c r="B78" s="2742">
        <v>20306</v>
      </c>
      <c r="C78" s="3035">
        <v>0.1</v>
      </c>
      <c r="D78" s="3051" t="s">
        <v>409</v>
      </c>
      <c r="E78" s="4738">
        <f t="shared" si="167"/>
        <v>5.4</v>
      </c>
      <c r="F78" s="3085">
        <f>($E29*$C78)-(F29*$C78)</f>
        <v>10.8</v>
      </c>
      <c r="G78" s="3083">
        <f t="shared" si="168"/>
        <v>10.8</v>
      </c>
      <c r="H78" s="3083">
        <f t="shared" si="168"/>
        <v>10.8</v>
      </c>
      <c r="I78" s="3083">
        <f t="shared" si="168"/>
        <v>10.8</v>
      </c>
      <c r="J78" s="3083">
        <f t="shared" si="168"/>
        <v>10.8</v>
      </c>
      <c r="K78" s="3084">
        <f t="shared" si="168"/>
        <v>10.8</v>
      </c>
      <c r="L78" s="4738">
        <f t="shared" si="169"/>
        <v>0</v>
      </c>
      <c r="M78" s="3085">
        <f>($L29*$C78)-(M29*$C78)</f>
        <v>0</v>
      </c>
      <c r="N78" s="3083">
        <f t="shared" si="170"/>
        <v>0</v>
      </c>
      <c r="O78" s="3083">
        <f t="shared" si="170"/>
        <v>0</v>
      </c>
      <c r="P78" s="3083">
        <f t="shared" si="170"/>
        <v>0</v>
      </c>
      <c r="Q78" s="3083">
        <f t="shared" si="170"/>
        <v>0</v>
      </c>
      <c r="R78" s="3086">
        <f t="shared" si="170"/>
        <v>0</v>
      </c>
      <c r="S78" s="4738">
        <f t="shared" si="171"/>
        <v>0.1</v>
      </c>
      <c r="T78" s="4477">
        <f>($S29*$C78)-(T29*$C78)</f>
        <v>0.2</v>
      </c>
      <c r="U78" s="3083">
        <f t="shared" si="172"/>
        <v>0.2</v>
      </c>
      <c r="V78" s="3083">
        <f t="shared" si="172"/>
        <v>0.2</v>
      </c>
      <c r="W78" s="3083">
        <f t="shared" si="172"/>
        <v>0.2</v>
      </c>
      <c r="X78" s="3083">
        <f t="shared" si="172"/>
        <v>0.2</v>
      </c>
      <c r="Y78" s="3086">
        <f t="shared" si="172"/>
        <v>0.2</v>
      </c>
      <c r="Z78" s="4738">
        <f t="shared" si="173"/>
        <v>0</v>
      </c>
      <c r="AA78" s="4477">
        <f t="shared" si="174"/>
        <v>0</v>
      </c>
      <c r="AB78" s="3083">
        <f t="shared" si="175"/>
        <v>0</v>
      </c>
      <c r="AC78" s="3083">
        <f t="shared" si="175"/>
        <v>0</v>
      </c>
      <c r="AD78" s="3083">
        <f t="shared" si="175"/>
        <v>0</v>
      </c>
      <c r="AE78" s="3083">
        <f t="shared" si="175"/>
        <v>0</v>
      </c>
      <c r="AF78" s="3086">
        <f t="shared" si="175"/>
        <v>0</v>
      </c>
      <c r="AG78" s="4738">
        <f t="shared" si="176"/>
        <v>0</v>
      </c>
      <c r="AH78" s="4477">
        <f t="shared" si="177"/>
        <v>0</v>
      </c>
      <c r="AI78" s="3083">
        <f t="shared" si="178"/>
        <v>0</v>
      </c>
      <c r="AJ78" s="3083">
        <f t="shared" si="178"/>
        <v>0</v>
      </c>
      <c r="AK78" s="3083">
        <f t="shared" si="178"/>
        <v>0</v>
      </c>
      <c r="AL78" s="3083">
        <f t="shared" si="178"/>
        <v>0</v>
      </c>
      <c r="AM78" s="3086">
        <f t="shared" si="178"/>
        <v>0</v>
      </c>
      <c r="AN78" s="4368"/>
      <c r="AO78" s="3175"/>
      <c r="AP78" s="3176"/>
      <c r="AQ78" s="3176"/>
      <c r="AR78" s="3176"/>
      <c r="AS78" s="3176"/>
      <c r="AT78" s="3177"/>
      <c r="AU78" s="4775"/>
      <c r="AV78" s="4794">
        <f t="shared" si="179"/>
        <v>2.76097615845958</v>
      </c>
      <c r="AW78" s="4794">
        <f t="shared" si="180"/>
        <v>5.52195231691916</v>
      </c>
      <c r="AX78" s="4794">
        <f t="shared" si="181"/>
        <v>5.52195231691916</v>
      </c>
      <c r="AY78" s="4794">
        <f t="shared" si="182"/>
        <v>5.52195231691916</v>
      </c>
      <c r="AZ78" s="4794">
        <f t="shared" si="183"/>
        <v>5.52195231691916</v>
      </c>
      <c r="BA78" s="4794">
        <f t="shared" si="184"/>
        <v>5.52195231691916</v>
      </c>
      <c r="BB78" s="4794">
        <f t="shared" si="185"/>
        <v>5.52195231691916</v>
      </c>
      <c r="BC78" s="4794">
        <f t="shared" si="186"/>
        <v>0</v>
      </c>
      <c r="BD78" s="4794">
        <f t="shared" si="187"/>
        <v>0</v>
      </c>
      <c r="BE78" s="4794">
        <f t="shared" si="188"/>
        <v>0</v>
      </c>
      <c r="BF78" s="4794">
        <f t="shared" si="189"/>
        <v>0</v>
      </c>
      <c r="BG78" s="4794">
        <f t="shared" si="190"/>
        <v>0</v>
      </c>
      <c r="BH78" s="4794">
        <f t="shared" si="191"/>
        <v>0</v>
      </c>
      <c r="BI78" s="4794">
        <f t="shared" si="192"/>
        <v>0</v>
      </c>
      <c r="BJ78" s="4794">
        <f t="shared" si="193"/>
        <v>5.1129188119621853E-2</v>
      </c>
      <c r="BK78" s="4794">
        <f t="shared" si="194"/>
        <v>0.10225837623924371</v>
      </c>
      <c r="BL78" s="4794">
        <f t="shared" si="195"/>
        <v>0.10225837623924371</v>
      </c>
      <c r="BM78" s="4794">
        <f t="shared" si="196"/>
        <v>0.10225837623924371</v>
      </c>
      <c r="BN78" s="4794">
        <f t="shared" si="197"/>
        <v>0.10225837623924371</v>
      </c>
      <c r="BO78" s="4794">
        <f t="shared" si="198"/>
        <v>0.10225837623924371</v>
      </c>
      <c r="BP78" s="4794">
        <f t="shared" si="199"/>
        <v>0.10225837623924371</v>
      </c>
      <c r="BQ78" s="4794">
        <f t="shared" si="200"/>
        <v>0</v>
      </c>
      <c r="BR78" s="4794">
        <f t="shared" si="201"/>
        <v>0</v>
      </c>
      <c r="BS78" s="4794">
        <f t="shared" si="202"/>
        <v>0</v>
      </c>
      <c r="BT78" s="4794">
        <f t="shared" si="203"/>
        <v>0</v>
      </c>
      <c r="BU78" s="4794">
        <f t="shared" si="204"/>
        <v>0</v>
      </c>
      <c r="BV78" s="4794">
        <f t="shared" si="205"/>
        <v>0</v>
      </c>
      <c r="BW78" s="4794">
        <f t="shared" si="206"/>
        <v>0</v>
      </c>
      <c r="BX78" s="4794">
        <f t="shared" si="207"/>
        <v>0</v>
      </c>
      <c r="BY78" s="4794">
        <f t="shared" si="208"/>
        <v>0</v>
      </c>
      <c r="BZ78" s="4794">
        <f t="shared" si="209"/>
        <v>0</v>
      </c>
      <c r="CA78" s="4794">
        <f t="shared" si="210"/>
        <v>0</v>
      </c>
      <c r="CB78" s="4794">
        <f t="shared" si="211"/>
        <v>0</v>
      </c>
      <c r="CC78" s="4794">
        <f t="shared" si="212"/>
        <v>0</v>
      </c>
      <c r="CD78" s="4794">
        <f t="shared" si="213"/>
        <v>0</v>
      </c>
    </row>
    <row r="79" spans="1:82" s="675" customFormat="1" ht="14.25" customHeight="1">
      <c r="A79" s="3025">
        <v>4</v>
      </c>
      <c r="B79" s="3026">
        <v>204</v>
      </c>
      <c r="C79" s="3027"/>
      <c r="D79" s="3104" t="s">
        <v>211</v>
      </c>
      <c r="E79" s="4474">
        <f>E80+E83+E92+E93</f>
        <v>44.39</v>
      </c>
      <c r="F79" s="3090">
        <f t="shared" ref="F79:AN79" si="214">F80+F83+F92+F93</f>
        <v>88.78</v>
      </c>
      <c r="G79" s="3031">
        <f t="shared" si="214"/>
        <v>88.78</v>
      </c>
      <c r="H79" s="3031">
        <f t="shared" si="214"/>
        <v>88.78</v>
      </c>
      <c r="I79" s="3031">
        <f t="shared" si="214"/>
        <v>88.78</v>
      </c>
      <c r="J79" s="3031">
        <f t="shared" si="214"/>
        <v>88.78</v>
      </c>
      <c r="K79" s="3032">
        <f t="shared" si="214"/>
        <v>88.78</v>
      </c>
      <c r="L79" s="4474">
        <f>L80+L83+L92+L93</f>
        <v>0.94000000000000006</v>
      </c>
      <c r="M79" s="3091">
        <f t="shared" si="214"/>
        <v>1.8800000000000001</v>
      </c>
      <c r="N79" s="3031">
        <f t="shared" si="214"/>
        <v>1.8800000000000001</v>
      </c>
      <c r="O79" s="3031">
        <f t="shared" si="214"/>
        <v>1.8800000000000001</v>
      </c>
      <c r="P79" s="3031">
        <f t="shared" si="214"/>
        <v>1.8800000000000001</v>
      </c>
      <c r="Q79" s="3031">
        <f t="shared" si="214"/>
        <v>1.8800000000000001</v>
      </c>
      <c r="R79" s="3033">
        <f t="shared" si="214"/>
        <v>1.8800000000000001</v>
      </c>
      <c r="S79" s="4479">
        <f>S80+S83+S92+S93</f>
        <v>1.86</v>
      </c>
      <c r="T79" s="3030">
        <f t="shared" si="214"/>
        <v>3.72</v>
      </c>
      <c r="U79" s="3031">
        <f t="shared" si="214"/>
        <v>3.72</v>
      </c>
      <c r="V79" s="3031">
        <f t="shared" si="214"/>
        <v>3.72</v>
      </c>
      <c r="W79" s="3031">
        <f t="shared" si="214"/>
        <v>3.72</v>
      </c>
      <c r="X79" s="3031">
        <f t="shared" si="214"/>
        <v>3.72</v>
      </c>
      <c r="Y79" s="3033">
        <f t="shared" si="214"/>
        <v>3.72</v>
      </c>
      <c r="Z79" s="4479">
        <f>Z80+Z83+Z92+Z93</f>
        <v>0</v>
      </c>
      <c r="AA79" s="3030">
        <f t="shared" si="214"/>
        <v>0</v>
      </c>
      <c r="AB79" s="3031">
        <f t="shared" si="214"/>
        <v>0</v>
      </c>
      <c r="AC79" s="3031">
        <f t="shared" si="214"/>
        <v>0</v>
      </c>
      <c r="AD79" s="3031">
        <f t="shared" si="214"/>
        <v>0</v>
      </c>
      <c r="AE79" s="3031">
        <f t="shared" si="214"/>
        <v>0</v>
      </c>
      <c r="AF79" s="3033">
        <f t="shared" si="214"/>
        <v>0</v>
      </c>
      <c r="AG79" s="4479">
        <f>AG80+AG83+AG92+AG93</f>
        <v>0</v>
      </c>
      <c r="AH79" s="3030">
        <f t="shared" si="214"/>
        <v>0</v>
      </c>
      <c r="AI79" s="3031">
        <f t="shared" si="214"/>
        <v>0</v>
      </c>
      <c r="AJ79" s="3031">
        <f t="shared" si="214"/>
        <v>0</v>
      </c>
      <c r="AK79" s="3031">
        <f t="shared" si="214"/>
        <v>0</v>
      </c>
      <c r="AL79" s="3031">
        <f t="shared" si="214"/>
        <v>0</v>
      </c>
      <c r="AM79" s="3033">
        <f t="shared" si="214"/>
        <v>0</v>
      </c>
      <c r="AN79" s="4369">
        <f t="shared" si="214"/>
        <v>0</v>
      </c>
      <c r="AO79" s="3175"/>
      <c r="AP79" s="3176"/>
      <c r="AQ79" s="3176"/>
      <c r="AR79" s="3176"/>
      <c r="AS79" s="3176"/>
      <c r="AT79" s="3177"/>
      <c r="AU79" s="4775"/>
      <c r="AV79" s="4794">
        <f t="shared" si="179"/>
        <v>22.696246606300139</v>
      </c>
      <c r="AW79" s="4794">
        <f t="shared" si="180"/>
        <v>45.392493212600279</v>
      </c>
      <c r="AX79" s="4794">
        <f t="shared" si="181"/>
        <v>45.392493212600279</v>
      </c>
      <c r="AY79" s="4794">
        <f t="shared" si="182"/>
        <v>45.392493212600279</v>
      </c>
      <c r="AZ79" s="4794">
        <f t="shared" si="183"/>
        <v>45.392493212600279</v>
      </c>
      <c r="BA79" s="4794">
        <f t="shared" si="184"/>
        <v>45.392493212600279</v>
      </c>
      <c r="BB79" s="4794">
        <f t="shared" si="185"/>
        <v>45.392493212600279</v>
      </c>
      <c r="BC79" s="4794">
        <f t="shared" si="186"/>
        <v>0.48061436832444543</v>
      </c>
      <c r="BD79" s="4794">
        <f t="shared" si="187"/>
        <v>0.96122873664889086</v>
      </c>
      <c r="BE79" s="4794">
        <f t="shared" si="188"/>
        <v>0.96122873664889086</v>
      </c>
      <c r="BF79" s="4794">
        <f t="shared" si="189"/>
        <v>0.96122873664889086</v>
      </c>
      <c r="BG79" s="4794">
        <f t="shared" si="190"/>
        <v>0.96122873664889086</v>
      </c>
      <c r="BH79" s="4794">
        <f t="shared" si="191"/>
        <v>0.96122873664889086</v>
      </c>
      <c r="BI79" s="4794">
        <f t="shared" si="192"/>
        <v>0.96122873664889086</v>
      </c>
      <c r="BJ79" s="4794">
        <f t="shared" si="193"/>
        <v>0.95100289902496649</v>
      </c>
      <c r="BK79" s="4794">
        <f t="shared" si="194"/>
        <v>1.902005798049933</v>
      </c>
      <c r="BL79" s="4794">
        <f t="shared" si="195"/>
        <v>1.902005798049933</v>
      </c>
      <c r="BM79" s="4794">
        <f t="shared" si="196"/>
        <v>1.902005798049933</v>
      </c>
      <c r="BN79" s="4794">
        <f t="shared" si="197"/>
        <v>1.902005798049933</v>
      </c>
      <c r="BO79" s="4794">
        <f t="shared" si="198"/>
        <v>1.902005798049933</v>
      </c>
      <c r="BP79" s="4794">
        <f t="shared" si="199"/>
        <v>1.902005798049933</v>
      </c>
      <c r="BQ79" s="4794">
        <f t="shared" si="200"/>
        <v>0</v>
      </c>
      <c r="BR79" s="4794">
        <f t="shared" si="201"/>
        <v>0</v>
      </c>
      <c r="BS79" s="4794">
        <f t="shared" si="202"/>
        <v>0</v>
      </c>
      <c r="BT79" s="4794">
        <f t="shared" si="203"/>
        <v>0</v>
      </c>
      <c r="BU79" s="4794">
        <f t="shared" si="204"/>
        <v>0</v>
      </c>
      <c r="BV79" s="4794">
        <f t="shared" si="205"/>
        <v>0</v>
      </c>
      <c r="BW79" s="4794">
        <f t="shared" si="206"/>
        <v>0</v>
      </c>
      <c r="BX79" s="4794">
        <f t="shared" si="207"/>
        <v>0</v>
      </c>
      <c r="BY79" s="4794">
        <f t="shared" si="208"/>
        <v>0</v>
      </c>
      <c r="BZ79" s="4794">
        <f t="shared" si="209"/>
        <v>0</v>
      </c>
      <c r="CA79" s="4794">
        <f t="shared" si="210"/>
        <v>0</v>
      </c>
      <c r="CB79" s="4794">
        <f t="shared" si="211"/>
        <v>0</v>
      </c>
      <c r="CC79" s="4794">
        <f t="shared" si="212"/>
        <v>0</v>
      </c>
      <c r="CD79" s="4794">
        <f t="shared" si="213"/>
        <v>0</v>
      </c>
    </row>
    <row r="80" spans="1:82" s="675" customFormat="1">
      <c r="A80" s="3034"/>
      <c r="B80" s="2742">
        <v>20401</v>
      </c>
      <c r="C80" s="3047"/>
      <c r="D80" s="3105" t="s">
        <v>417</v>
      </c>
      <c r="E80" s="4475">
        <f t="shared" ref="E80:E82" si="215">+E31*$C80/2</f>
        <v>0</v>
      </c>
      <c r="F80" s="3097">
        <f t="shared" ref="F80:AN80" si="216">SUM(F81:F82)</f>
        <v>0</v>
      </c>
      <c r="G80" s="3041">
        <f t="shared" si="216"/>
        <v>0</v>
      </c>
      <c r="H80" s="3041">
        <f t="shared" si="216"/>
        <v>0</v>
      </c>
      <c r="I80" s="3041">
        <f t="shared" si="216"/>
        <v>0</v>
      </c>
      <c r="J80" s="3041">
        <f t="shared" si="216"/>
        <v>0</v>
      </c>
      <c r="K80" s="3042">
        <f t="shared" si="216"/>
        <v>0</v>
      </c>
      <c r="L80" s="4475">
        <f t="shared" ref="L80:L82" si="217">+L31*$C80/2</f>
        <v>0</v>
      </c>
      <c r="M80" s="3098">
        <f t="shared" si="216"/>
        <v>0</v>
      </c>
      <c r="N80" s="3041">
        <f t="shared" si="216"/>
        <v>0</v>
      </c>
      <c r="O80" s="3041">
        <f t="shared" si="216"/>
        <v>0</v>
      </c>
      <c r="P80" s="3041">
        <f t="shared" si="216"/>
        <v>0</v>
      </c>
      <c r="Q80" s="3041">
        <f t="shared" si="216"/>
        <v>0</v>
      </c>
      <c r="R80" s="3043">
        <f t="shared" si="216"/>
        <v>0</v>
      </c>
      <c r="S80" s="4480">
        <f t="shared" ref="S80:S82" si="218">+S31*$C80/2</f>
        <v>0</v>
      </c>
      <c r="T80" s="3040">
        <f t="shared" si="216"/>
        <v>0</v>
      </c>
      <c r="U80" s="3041">
        <f t="shared" si="216"/>
        <v>0</v>
      </c>
      <c r="V80" s="3041">
        <f t="shared" si="216"/>
        <v>0</v>
      </c>
      <c r="W80" s="3041">
        <f t="shared" si="216"/>
        <v>0</v>
      </c>
      <c r="X80" s="3041">
        <f t="shared" si="216"/>
        <v>0</v>
      </c>
      <c r="Y80" s="3043">
        <f t="shared" si="216"/>
        <v>0</v>
      </c>
      <c r="Z80" s="4480">
        <f t="shared" ref="Z80:Z82" si="219">+Z31*$C80/2</f>
        <v>0</v>
      </c>
      <c r="AA80" s="3040">
        <f t="shared" si="216"/>
        <v>0</v>
      </c>
      <c r="AB80" s="3041">
        <f t="shared" si="216"/>
        <v>0</v>
      </c>
      <c r="AC80" s="3041">
        <f t="shared" si="216"/>
        <v>0</v>
      </c>
      <c r="AD80" s="3041">
        <f t="shared" si="216"/>
        <v>0</v>
      </c>
      <c r="AE80" s="3041">
        <f t="shared" si="216"/>
        <v>0</v>
      </c>
      <c r="AF80" s="3043">
        <f t="shared" si="216"/>
        <v>0</v>
      </c>
      <c r="AG80" s="4480">
        <f t="shared" ref="AG80:AG82" si="220">+AG31*$C80/2</f>
        <v>0</v>
      </c>
      <c r="AH80" s="3040">
        <f t="shared" si="216"/>
        <v>0</v>
      </c>
      <c r="AI80" s="3041">
        <f t="shared" si="216"/>
        <v>0</v>
      </c>
      <c r="AJ80" s="3041">
        <f t="shared" si="216"/>
        <v>0</v>
      </c>
      <c r="AK80" s="3041">
        <f t="shared" si="216"/>
        <v>0</v>
      </c>
      <c r="AL80" s="3041">
        <f t="shared" si="216"/>
        <v>0</v>
      </c>
      <c r="AM80" s="3043">
        <f t="shared" si="216"/>
        <v>0</v>
      </c>
      <c r="AN80" s="4370">
        <f t="shared" si="216"/>
        <v>0</v>
      </c>
      <c r="AO80" s="3175"/>
      <c r="AP80" s="3176"/>
      <c r="AQ80" s="3176"/>
      <c r="AR80" s="3176"/>
      <c r="AS80" s="3176"/>
      <c r="AT80" s="3177"/>
      <c r="AU80" s="4775"/>
      <c r="AV80" s="4794">
        <f t="shared" si="179"/>
        <v>0</v>
      </c>
      <c r="AW80" s="4794">
        <f t="shared" si="180"/>
        <v>0</v>
      </c>
      <c r="AX80" s="4794">
        <f t="shared" si="181"/>
        <v>0</v>
      </c>
      <c r="AY80" s="4794">
        <f t="shared" si="182"/>
        <v>0</v>
      </c>
      <c r="AZ80" s="4794">
        <f t="shared" si="183"/>
        <v>0</v>
      </c>
      <c r="BA80" s="4794">
        <f t="shared" si="184"/>
        <v>0</v>
      </c>
      <c r="BB80" s="4794">
        <f t="shared" si="185"/>
        <v>0</v>
      </c>
      <c r="BC80" s="4794">
        <f t="shared" si="186"/>
        <v>0</v>
      </c>
      <c r="BD80" s="4794">
        <f t="shared" si="187"/>
        <v>0</v>
      </c>
      <c r="BE80" s="4794">
        <f t="shared" si="188"/>
        <v>0</v>
      </c>
      <c r="BF80" s="4794">
        <f t="shared" si="189"/>
        <v>0</v>
      </c>
      <c r="BG80" s="4794">
        <f t="shared" si="190"/>
        <v>0</v>
      </c>
      <c r="BH80" s="4794">
        <f t="shared" si="191"/>
        <v>0</v>
      </c>
      <c r="BI80" s="4794">
        <f t="shared" si="192"/>
        <v>0</v>
      </c>
      <c r="BJ80" s="4794">
        <f t="shared" si="193"/>
        <v>0</v>
      </c>
      <c r="BK80" s="4794">
        <f t="shared" si="194"/>
        <v>0</v>
      </c>
      <c r="BL80" s="4794">
        <f t="shared" si="195"/>
        <v>0</v>
      </c>
      <c r="BM80" s="4794">
        <f t="shared" si="196"/>
        <v>0</v>
      </c>
      <c r="BN80" s="4794">
        <f t="shared" si="197"/>
        <v>0</v>
      </c>
      <c r="BO80" s="4794">
        <f t="shared" si="198"/>
        <v>0</v>
      </c>
      <c r="BP80" s="4794">
        <f t="shared" si="199"/>
        <v>0</v>
      </c>
      <c r="BQ80" s="4794">
        <f t="shared" si="200"/>
        <v>0</v>
      </c>
      <c r="BR80" s="4794">
        <f t="shared" si="201"/>
        <v>0</v>
      </c>
      <c r="BS80" s="4794">
        <f t="shared" si="202"/>
        <v>0</v>
      </c>
      <c r="BT80" s="4794">
        <f t="shared" si="203"/>
        <v>0</v>
      </c>
      <c r="BU80" s="4794">
        <f t="shared" si="204"/>
        <v>0</v>
      </c>
      <c r="BV80" s="4794">
        <f t="shared" si="205"/>
        <v>0</v>
      </c>
      <c r="BW80" s="4794">
        <f t="shared" si="206"/>
        <v>0</v>
      </c>
      <c r="BX80" s="4794">
        <f t="shared" si="207"/>
        <v>0</v>
      </c>
      <c r="BY80" s="4794">
        <f t="shared" si="208"/>
        <v>0</v>
      </c>
      <c r="BZ80" s="4794">
        <f t="shared" si="209"/>
        <v>0</v>
      </c>
      <c r="CA80" s="4794">
        <f t="shared" si="210"/>
        <v>0</v>
      </c>
      <c r="CB80" s="4794">
        <f t="shared" si="211"/>
        <v>0</v>
      </c>
      <c r="CC80" s="4794">
        <f t="shared" si="212"/>
        <v>0</v>
      </c>
      <c r="CD80" s="4794">
        <f t="shared" si="213"/>
        <v>0</v>
      </c>
    </row>
    <row r="81" spans="1:82" s="675" customFormat="1">
      <c r="A81" s="3034"/>
      <c r="B81" s="3044">
        <v>2040101</v>
      </c>
      <c r="C81" s="3045">
        <v>0.1</v>
      </c>
      <c r="D81" s="3106" t="s">
        <v>431</v>
      </c>
      <c r="E81" s="4738">
        <f t="shared" si="215"/>
        <v>0</v>
      </c>
      <c r="F81" s="3085">
        <f>($E32*$C81)-(F32*$C81)</f>
        <v>0</v>
      </c>
      <c r="G81" s="3083">
        <f t="shared" ref="G81:K82" si="221">F81-(G32*$C81)</f>
        <v>0</v>
      </c>
      <c r="H81" s="3083">
        <f t="shared" si="221"/>
        <v>0</v>
      </c>
      <c r="I81" s="3083">
        <f t="shared" si="221"/>
        <v>0</v>
      </c>
      <c r="J81" s="3083">
        <f t="shared" si="221"/>
        <v>0</v>
      </c>
      <c r="K81" s="3084">
        <f t="shared" si="221"/>
        <v>0</v>
      </c>
      <c r="L81" s="4738">
        <f t="shared" si="217"/>
        <v>0</v>
      </c>
      <c r="M81" s="3085">
        <f>($L32*$C81)-(M32*$C81)</f>
        <v>0</v>
      </c>
      <c r="N81" s="3083">
        <f t="shared" ref="N81:R82" si="222">M81-(N32*$C81)</f>
        <v>0</v>
      </c>
      <c r="O81" s="3083">
        <f t="shared" si="222"/>
        <v>0</v>
      </c>
      <c r="P81" s="3083">
        <f t="shared" si="222"/>
        <v>0</v>
      </c>
      <c r="Q81" s="3083">
        <f t="shared" si="222"/>
        <v>0</v>
      </c>
      <c r="R81" s="3086">
        <f t="shared" si="222"/>
        <v>0</v>
      </c>
      <c r="S81" s="4738">
        <f t="shared" si="218"/>
        <v>0</v>
      </c>
      <c r="T81" s="4477">
        <f>($S32*$C81)-(T32*$C81)</f>
        <v>0</v>
      </c>
      <c r="U81" s="3083">
        <f t="shared" ref="U81:Y82" si="223">T81-(U32*$C81)</f>
        <v>0</v>
      </c>
      <c r="V81" s="3083">
        <f t="shared" si="223"/>
        <v>0</v>
      </c>
      <c r="W81" s="3083">
        <f t="shared" si="223"/>
        <v>0</v>
      </c>
      <c r="X81" s="3083">
        <f t="shared" si="223"/>
        <v>0</v>
      </c>
      <c r="Y81" s="3086">
        <f t="shared" si="223"/>
        <v>0</v>
      </c>
      <c r="Z81" s="4738">
        <f t="shared" si="219"/>
        <v>0</v>
      </c>
      <c r="AA81" s="4477">
        <f t="shared" ref="AA81:AA82" si="224">($Z32*$C81)-(AA32*$C81)</f>
        <v>0</v>
      </c>
      <c r="AB81" s="3083">
        <f t="shared" ref="AB81:AF82" si="225">AA81-(AB32*$C81)</f>
        <v>0</v>
      </c>
      <c r="AC81" s="3083">
        <f t="shared" si="225"/>
        <v>0</v>
      </c>
      <c r="AD81" s="3083">
        <f t="shared" si="225"/>
        <v>0</v>
      </c>
      <c r="AE81" s="3083">
        <f t="shared" si="225"/>
        <v>0</v>
      </c>
      <c r="AF81" s="3086">
        <f t="shared" si="225"/>
        <v>0</v>
      </c>
      <c r="AG81" s="4738">
        <f t="shared" si="220"/>
        <v>0</v>
      </c>
      <c r="AH81" s="4477">
        <f t="shared" ref="AH81:AH82" si="226">($AG32*$C81)-(AH32*$C81)</f>
        <v>0</v>
      </c>
      <c r="AI81" s="3083">
        <f t="shared" ref="AI81:AM82" si="227">AH81-(AI32*$C81)</f>
        <v>0</v>
      </c>
      <c r="AJ81" s="3083">
        <f t="shared" si="227"/>
        <v>0</v>
      </c>
      <c r="AK81" s="3083">
        <f t="shared" si="227"/>
        <v>0</v>
      </c>
      <c r="AL81" s="3083">
        <f t="shared" si="227"/>
        <v>0</v>
      </c>
      <c r="AM81" s="3086">
        <f t="shared" si="227"/>
        <v>0</v>
      </c>
      <c r="AN81" s="4368"/>
      <c r="AO81" s="3175"/>
      <c r="AP81" s="3176"/>
      <c r="AQ81" s="3176"/>
      <c r="AR81" s="3176"/>
      <c r="AS81" s="3176"/>
      <c r="AT81" s="3177"/>
      <c r="AU81" s="4775"/>
      <c r="AV81" s="4794">
        <f t="shared" si="179"/>
        <v>0</v>
      </c>
      <c r="AW81" s="4794">
        <f t="shared" si="180"/>
        <v>0</v>
      </c>
      <c r="AX81" s="4794">
        <f t="shared" si="181"/>
        <v>0</v>
      </c>
      <c r="AY81" s="4794">
        <f t="shared" si="182"/>
        <v>0</v>
      </c>
      <c r="AZ81" s="4794">
        <f t="shared" si="183"/>
        <v>0</v>
      </c>
      <c r="BA81" s="4794">
        <f t="shared" si="184"/>
        <v>0</v>
      </c>
      <c r="BB81" s="4794">
        <f t="shared" si="185"/>
        <v>0</v>
      </c>
      <c r="BC81" s="4794">
        <f t="shared" si="186"/>
        <v>0</v>
      </c>
      <c r="BD81" s="4794">
        <f t="shared" si="187"/>
        <v>0</v>
      </c>
      <c r="BE81" s="4794">
        <f t="shared" si="188"/>
        <v>0</v>
      </c>
      <c r="BF81" s="4794">
        <f t="shared" si="189"/>
        <v>0</v>
      </c>
      <c r="BG81" s="4794">
        <f t="shared" si="190"/>
        <v>0</v>
      </c>
      <c r="BH81" s="4794">
        <f t="shared" si="191"/>
        <v>0</v>
      </c>
      <c r="BI81" s="4794">
        <f t="shared" si="192"/>
        <v>0</v>
      </c>
      <c r="BJ81" s="4794">
        <f t="shared" si="193"/>
        <v>0</v>
      </c>
      <c r="BK81" s="4794">
        <f t="shared" si="194"/>
        <v>0</v>
      </c>
      <c r="BL81" s="4794">
        <f t="shared" si="195"/>
        <v>0</v>
      </c>
      <c r="BM81" s="4794">
        <f t="shared" si="196"/>
        <v>0</v>
      </c>
      <c r="BN81" s="4794">
        <f t="shared" si="197"/>
        <v>0</v>
      </c>
      <c r="BO81" s="4794">
        <f t="shared" si="198"/>
        <v>0</v>
      </c>
      <c r="BP81" s="4794">
        <f t="shared" si="199"/>
        <v>0</v>
      </c>
      <c r="BQ81" s="4794">
        <f t="shared" si="200"/>
        <v>0</v>
      </c>
      <c r="BR81" s="4794">
        <f t="shared" si="201"/>
        <v>0</v>
      </c>
      <c r="BS81" s="4794">
        <f t="shared" si="202"/>
        <v>0</v>
      </c>
      <c r="BT81" s="4794">
        <f t="shared" si="203"/>
        <v>0</v>
      </c>
      <c r="BU81" s="4794">
        <f t="shared" si="204"/>
        <v>0</v>
      </c>
      <c r="BV81" s="4794">
        <f t="shared" si="205"/>
        <v>0</v>
      </c>
      <c r="BW81" s="4794">
        <f t="shared" si="206"/>
        <v>0</v>
      </c>
      <c r="BX81" s="4794">
        <f t="shared" si="207"/>
        <v>0</v>
      </c>
      <c r="BY81" s="4794">
        <f t="shared" si="208"/>
        <v>0</v>
      </c>
      <c r="BZ81" s="4794">
        <f t="shared" si="209"/>
        <v>0</v>
      </c>
      <c r="CA81" s="4794">
        <f t="shared" si="210"/>
        <v>0</v>
      </c>
      <c r="CB81" s="4794">
        <f t="shared" si="211"/>
        <v>0</v>
      </c>
      <c r="CC81" s="4794">
        <f t="shared" si="212"/>
        <v>0</v>
      </c>
      <c r="CD81" s="4794">
        <f t="shared" si="213"/>
        <v>0</v>
      </c>
    </row>
    <row r="82" spans="1:82" s="675" customFormat="1">
      <c r="A82" s="3034"/>
      <c r="B82" s="3044">
        <v>2040102</v>
      </c>
      <c r="C82" s="3045">
        <v>0.04</v>
      </c>
      <c r="D82" s="3106" t="s">
        <v>432</v>
      </c>
      <c r="E82" s="4738">
        <f t="shared" si="215"/>
        <v>0</v>
      </c>
      <c r="F82" s="3085">
        <f>($E33*$C82)-(F33*$C82)</f>
        <v>0</v>
      </c>
      <c r="G82" s="3083">
        <f t="shared" si="221"/>
        <v>0</v>
      </c>
      <c r="H82" s="3083">
        <f t="shared" si="221"/>
        <v>0</v>
      </c>
      <c r="I82" s="3083">
        <f t="shared" si="221"/>
        <v>0</v>
      </c>
      <c r="J82" s="3083">
        <f t="shared" si="221"/>
        <v>0</v>
      </c>
      <c r="K82" s="3084">
        <f t="shared" si="221"/>
        <v>0</v>
      </c>
      <c r="L82" s="4738">
        <f t="shared" si="217"/>
        <v>0</v>
      </c>
      <c r="M82" s="3085">
        <f>($L33*$C82)-(M33*$C82)</f>
        <v>0</v>
      </c>
      <c r="N82" s="3083">
        <f t="shared" si="222"/>
        <v>0</v>
      </c>
      <c r="O82" s="3083">
        <f t="shared" si="222"/>
        <v>0</v>
      </c>
      <c r="P82" s="3083">
        <f t="shared" si="222"/>
        <v>0</v>
      </c>
      <c r="Q82" s="3083">
        <f t="shared" si="222"/>
        <v>0</v>
      </c>
      <c r="R82" s="3086">
        <f t="shared" si="222"/>
        <v>0</v>
      </c>
      <c r="S82" s="4738">
        <f t="shared" si="218"/>
        <v>0</v>
      </c>
      <c r="T82" s="4477">
        <f>($S33*$C82)-(T33*$C82)</f>
        <v>0</v>
      </c>
      <c r="U82" s="3083">
        <f t="shared" si="223"/>
        <v>0</v>
      </c>
      <c r="V82" s="3083">
        <f t="shared" si="223"/>
        <v>0</v>
      </c>
      <c r="W82" s="3083">
        <f t="shared" si="223"/>
        <v>0</v>
      </c>
      <c r="X82" s="3083">
        <f t="shared" si="223"/>
        <v>0</v>
      </c>
      <c r="Y82" s="3086">
        <f t="shared" si="223"/>
        <v>0</v>
      </c>
      <c r="Z82" s="4738">
        <f t="shared" si="219"/>
        <v>0</v>
      </c>
      <c r="AA82" s="4477">
        <f t="shared" si="224"/>
        <v>0</v>
      </c>
      <c r="AB82" s="3083">
        <f t="shared" si="225"/>
        <v>0</v>
      </c>
      <c r="AC82" s="3083">
        <f t="shared" si="225"/>
        <v>0</v>
      </c>
      <c r="AD82" s="3083">
        <f t="shared" si="225"/>
        <v>0</v>
      </c>
      <c r="AE82" s="3083">
        <f t="shared" si="225"/>
        <v>0</v>
      </c>
      <c r="AF82" s="3086">
        <f t="shared" si="225"/>
        <v>0</v>
      </c>
      <c r="AG82" s="4738">
        <f t="shared" si="220"/>
        <v>0</v>
      </c>
      <c r="AH82" s="4477">
        <f t="shared" si="226"/>
        <v>0</v>
      </c>
      <c r="AI82" s="3083">
        <f t="shared" si="227"/>
        <v>0</v>
      </c>
      <c r="AJ82" s="3083">
        <f t="shared" si="227"/>
        <v>0</v>
      </c>
      <c r="AK82" s="3083">
        <f t="shared" si="227"/>
        <v>0</v>
      </c>
      <c r="AL82" s="3083">
        <f t="shared" si="227"/>
        <v>0</v>
      </c>
      <c r="AM82" s="3086">
        <f t="shared" si="227"/>
        <v>0</v>
      </c>
      <c r="AN82" s="4368"/>
      <c r="AO82" s="3175"/>
      <c r="AP82" s="3176"/>
      <c r="AQ82" s="3176"/>
      <c r="AR82" s="3176"/>
      <c r="AS82" s="3176"/>
      <c r="AT82" s="3177"/>
      <c r="AU82" s="4775"/>
      <c r="AV82" s="4794">
        <f t="shared" si="179"/>
        <v>0</v>
      </c>
      <c r="AW82" s="4794">
        <f t="shared" si="180"/>
        <v>0</v>
      </c>
      <c r="AX82" s="4794">
        <f t="shared" si="181"/>
        <v>0</v>
      </c>
      <c r="AY82" s="4794">
        <f t="shared" si="182"/>
        <v>0</v>
      </c>
      <c r="AZ82" s="4794">
        <f t="shared" si="183"/>
        <v>0</v>
      </c>
      <c r="BA82" s="4794">
        <f t="shared" si="184"/>
        <v>0</v>
      </c>
      <c r="BB82" s="4794">
        <f t="shared" si="185"/>
        <v>0</v>
      </c>
      <c r="BC82" s="4794">
        <f t="shared" si="186"/>
        <v>0</v>
      </c>
      <c r="BD82" s="4794">
        <f t="shared" si="187"/>
        <v>0</v>
      </c>
      <c r="BE82" s="4794">
        <f t="shared" si="188"/>
        <v>0</v>
      </c>
      <c r="BF82" s="4794">
        <f t="shared" si="189"/>
        <v>0</v>
      </c>
      <c r="BG82" s="4794">
        <f t="shared" si="190"/>
        <v>0</v>
      </c>
      <c r="BH82" s="4794">
        <f t="shared" si="191"/>
        <v>0</v>
      </c>
      <c r="BI82" s="4794">
        <f t="shared" si="192"/>
        <v>0</v>
      </c>
      <c r="BJ82" s="4794">
        <f t="shared" si="193"/>
        <v>0</v>
      </c>
      <c r="BK82" s="4794">
        <f t="shared" si="194"/>
        <v>0</v>
      </c>
      <c r="BL82" s="4794">
        <f t="shared" si="195"/>
        <v>0</v>
      </c>
      <c r="BM82" s="4794">
        <f t="shared" si="196"/>
        <v>0</v>
      </c>
      <c r="BN82" s="4794">
        <f t="shared" si="197"/>
        <v>0</v>
      </c>
      <c r="BO82" s="4794">
        <f t="shared" si="198"/>
        <v>0</v>
      </c>
      <c r="BP82" s="4794">
        <f t="shared" si="199"/>
        <v>0</v>
      </c>
      <c r="BQ82" s="4794">
        <f t="shared" si="200"/>
        <v>0</v>
      </c>
      <c r="BR82" s="4794">
        <f t="shared" si="201"/>
        <v>0</v>
      </c>
      <c r="BS82" s="4794">
        <f t="shared" si="202"/>
        <v>0</v>
      </c>
      <c r="BT82" s="4794">
        <f t="shared" si="203"/>
        <v>0</v>
      </c>
      <c r="BU82" s="4794">
        <f t="shared" si="204"/>
        <v>0</v>
      </c>
      <c r="BV82" s="4794">
        <f t="shared" si="205"/>
        <v>0</v>
      </c>
      <c r="BW82" s="4794">
        <f t="shared" si="206"/>
        <v>0</v>
      </c>
      <c r="BX82" s="4794">
        <f t="shared" si="207"/>
        <v>0</v>
      </c>
      <c r="BY82" s="4794">
        <f t="shared" si="208"/>
        <v>0</v>
      </c>
      <c r="BZ82" s="4794">
        <f t="shared" si="209"/>
        <v>0</v>
      </c>
      <c r="CA82" s="4794">
        <f t="shared" si="210"/>
        <v>0</v>
      </c>
      <c r="CB82" s="4794">
        <f t="shared" si="211"/>
        <v>0</v>
      </c>
      <c r="CC82" s="4794">
        <f t="shared" si="212"/>
        <v>0</v>
      </c>
      <c r="CD82" s="4794">
        <f t="shared" si="213"/>
        <v>0</v>
      </c>
    </row>
    <row r="83" spans="1:82" s="675" customFormat="1">
      <c r="A83" s="3034"/>
      <c r="B83" s="2742">
        <v>20402</v>
      </c>
      <c r="C83" s="3047"/>
      <c r="D83" s="3105" t="s">
        <v>433</v>
      </c>
      <c r="E83" s="4475">
        <f>SUM(E84:E91)</f>
        <v>44.39</v>
      </c>
      <c r="F83" s="3097">
        <f t="shared" ref="F83:K83" si="228">SUM(F84:F91)</f>
        <v>88.78</v>
      </c>
      <c r="G83" s="3041">
        <f t="shared" si="228"/>
        <v>88.78</v>
      </c>
      <c r="H83" s="3041">
        <f t="shared" si="228"/>
        <v>88.78</v>
      </c>
      <c r="I83" s="3041">
        <f t="shared" si="228"/>
        <v>88.78</v>
      </c>
      <c r="J83" s="3041">
        <f t="shared" si="228"/>
        <v>88.78</v>
      </c>
      <c r="K83" s="3042">
        <f t="shared" si="228"/>
        <v>88.78</v>
      </c>
      <c r="L83" s="4475">
        <f>SUM(L84:L91)</f>
        <v>0.94000000000000006</v>
      </c>
      <c r="M83" s="3098">
        <f t="shared" ref="M83:R83" si="229">SUM(M84:M91)</f>
        <v>1.8800000000000001</v>
      </c>
      <c r="N83" s="3041">
        <f t="shared" si="229"/>
        <v>1.8800000000000001</v>
      </c>
      <c r="O83" s="3041">
        <f t="shared" si="229"/>
        <v>1.8800000000000001</v>
      </c>
      <c r="P83" s="3041">
        <f t="shared" si="229"/>
        <v>1.8800000000000001</v>
      </c>
      <c r="Q83" s="3041">
        <f t="shared" si="229"/>
        <v>1.8800000000000001</v>
      </c>
      <c r="R83" s="3043">
        <f t="shared" si="229"/>
        <v>1.8800000000000001</v>
      </c>
      <c r="S83" s="4480">
        <f>SUM(S84:S91)</f>
        <v>1.86</v>
      </c>
      <c r="T83" s="3040">
        <f t="shared" ref="T83:Y83" si="230">SUM(T84:T91)</f>
        <v>3.72</v>
      </c>
      <c r="U83" s="3041">
        <f t="shared" si="230"/>
        <v>3.72</v>
      </c>
      <c r="V83" s="3041">
        <f t="shared" si="230"/>
        <v>3.72</v>
      </c>
      <c r="W83" s="3041">
        <f t="shared" si="230"/>
        <v>3.72</v>
      </c>
      <c r="X83" s="3041">
        <f t="shared" si="230"/>
        <v>3.72</v>
      </c>
      <c r="Y83" s="3043">
        <f t="shared" si="230"/>
        <v>3.72</v>
      </c>
      <c r="Z83" s="4480">
        <f>SUM(Z84:Z91)</f>
        <v>0</v>
      </c>
      <c r="AA83" s="3040">
        <f t="shared" ref="AA83:AF83" si="231">SUM(AA84:AA91)</f>
        <v>0</v>
      </c>
      <c r="AB83" s="3041">
        <f t="shared" si="231"/>
        <v>0</v>
      </c>
      <c r="AC83" s="3041">
        <f t="shared" si="231"/>
        <v>0</v>
      </c>
      <c r="AD83" s="3041">
        <f t="shared" si="231"/>
        <v>0</v>
      </c>
      <c r="AE83" s="3041">
        <f t="shared" si="231"/>
        <v>0</v>
      </c>
      <c r="AF83" s="3043">
        <f t="shared" si="231"/>
        <v>0</v>
      </c>
      <c r="AG83" s="4480">
        <f>SUM(AG84:AG91)</f>
        <v>0</v>
      </c>
      <c r="AH83" s="3040">
        <f t="shared" ref="AH83:AM83" si="232">SUM(AH84:AH91)</f>
        <v>0</v>
      </c>
      <c r="AI83" s="3041">
        <f t="shared" si="232"/>
        <v>0</v>
      </c>
      <c r="AJ83" s="3041">
        <f t="shared" si="232"/>
        <v>0</v>
      </c>
      <c r="AK83" s="3041">
        <f t="shared" si="232"/>
        <v>0</v>
      </c>
      <c r="AL83" s="3041">
        <f t="shared" si="232"/>
        <v>0</v>
      </c>
      <c r="AM83" s="3043">
        <f t="shared" si="232"/>
        <v>0</v>
      </c>
      <c r="AN83" s="4370">
        <f>SUM(AN84:AN91)</f>
        <v>0</v>
      </c>
      <c r="AO83" s="3175"/>
      <c r="AP83" s="3176"/>
      <c r="AQ83" s="3176"/>
      <c r="AR83" s="3176"/>
      <c r="AS83" s="3176"/>
      <c r="AT83" s="3177"/>
      <c r="AU83" s="4775"/>
      <c r="AV83" s="4794">
        <f t="shared" si="179"/>
        <v>22.696246606300139</v>
      </c>
      <c r="AW83" s="4794">
        <f t="shared" si="180"/>
        <v>45.392493212600279</v>
      </c>
      <c r="AX83" s="4794">
        <f t="shared" si="181"/>
        <v>45.392493212600279</v>
      </c>
      <c r="AY83" s="4794">
        <f t="shared" si="182"/>
        <v>45.392493212600279</v>
      </c>
      <c r="AZ83" s="4794">
        <f t="shared" si="183"/>
        <v>45.392493212600279</v>
      </c>
      <c r="BA83" s="4794">
        <f t="shared" si="184"/>
        <v>45.392493212600279</v>
      </c>
      <c r="BB83" s="4794">
        <f t="shared" si="185"/>
        <v>45.392493212600279</v>
      </c>
      <c r="BC83" s="4794">
        <f t="shared" si="186"/>
        <v>0.48061436832444543</v>
      </c>
      <c r="BD83" s="4794">
        <f t="shared" si="187"/>
        <v>0.96122873664889086</v>
      </c>
      <c r="BE83" s="4794">
        <f t="shared" si="188"/>
        <v>0.96122873664889086</v>
      </c>
      <c r="BF83" s="4794">
        <f t="shared" si="189"/>
        <v>0.96122873664889086</v>
      </c>
      <c r="BG83" s="4794">
        <f t="shared" si="190"/>
        <v>0.96122873664889086</v>
      </c>
      <c r="BH83" s="4794">
        <f t="shared" si="191"/>
        <v>0.96122873664889086</v>
      </c>
      <c r="BI83" s="4794">
        <f t="shared" si="192"/>
        <v>0.96122873664889086</v>
      </c>
      <c r="BJ83" s="4794">
        <f t="shared" si="193"/>
        <v>0.95100289902496649</v>
      </c>
      <c r="BK83" s="4794">
        <f t="shared" si="194"/>
        <v>1.902005798049933</v>
      </c>
      <c r="BL83" s="4794">
        <f t="shared" si="195"/>
        <v>1.902005798049933</v>
      </c>
      <c r="BM83" s="4794">
        <f t="shared" si="196"/>
        <v>1.902005798049933</v>
      </c>
      <c r="BN83" s="4794">
        <f t="shared" si="197"/>
        <v>1.902005798049933</v>
      </c>
      <c r="BO83" s="4794">
        <f t="shared" si="198"/>
        <v>1.902005798049933</v>
      </c>
      <c r="BP83" s="4794">
        <f t="shared" si="199"/>
        <v>1.902005798049933</v>
      </c>
      <c r="BQ83" s="4794">
        <f t="shared" si="200"/>
        <v>0</v>
      </c>
      <c r="BR83" s="4794">
        <f t="shared" si="201"/>
        <v>0</v>
      </c>
      <c r="BS83" s="4794">
        <f t="shared" si="202"/>
        <v>0</v>
      </c>
      <c r="BT83" s="4794">
        <f t="shared" si="203"/>
        <v>0</v>
      </c>
      <c r="BU83" s="4794">
        <f t="shared" si="204"/>
        <v>0</v>
      </c>
      <c r="BV83" s="4794">
        <f t="shared" si="205"/>
        <v>0</v>
      </c>
      <c r="BW83" s="4794">
        <f t="shared" si="206"/>
        <v>0</v>
      </c>
      <c r="BX83" s="4794">
        <f t="shared" si="207"/>
        <v>0</v>
      </c>
      <c r="BY83" s="4794">
        <f t="shared" si="208"/>
        <v>0</v>
      </c>
      <c r="BZ83" s="4794">
        <f t="shared" si="209"/>
        <v>0</v>
      </c>
      <c r="CA83" s="4794">
        <f t="shared" si="210"/>
        <v>0</v>
      </c>
      <c r="CB83" s="4794">
        <f t="shared" si="211"/>
        <v>0</v>
      </c>
      <c r="CC83" s="4794">
        <f t="shared" si="212"/>
        <v>0</v>
      </c>
      <c r="CD83" s="4794">
        <f t="shared" si="213"/>
        <v>0</v>
      </c>
    </row>
    <row r="84" spans="1:82" s="675" customFormat="1">
      <c r="A84" s="3034"/>
      <c r="B84" s="2742">
        <v>2040201</v>
      </c>
      <c r="C84" s="3035">
        <v>0.02</v>
      </c>
      <c r="D84" s="3103" t="s">
        <v>738</v>
      </c>
      <c r="E84" s="4738">
        <f t="shared" ref="E84:E93" si="233">+E35*$C84/2</f>
        <v>0</v>
      </c>
      <c r="F84" s="3085">
        <f t="shared" ref="F84:F93" si="234">($E35*$C84)-(F35*$C84)</f>
        <v>0</v>
      </c>
      <c r="G84" s="3083">
        <f t="shared" ref="G84:K93" si="235">F84-(G35*$C84)</f>
        <v>0</v>
      </c>
      <c r="H84" s="3083">
        <f t="shared" si="235"/>
        <v>0</v>
      </c>
      <c r="I84" s="3083">
        <f t="shared" si="235"/>
        <v>0</v>
      </c>
      <c r="J84" s="3083">
        <f t="shared" si="235"/>
        <v>0</v>
      </c>
      <c r="K84" s="3084">
        <f t="shared" si="235"/>
        <v>0</v>
      </c>
      <c r="L84" s="4738">
        <f t="shared" ref="L84:L93" si="236">+L35*$C84/2</f>
        <v>0</v>
      </c>
      <c r="M84" s="3085">
        <f t="shared" ref="M84:M93" si="237">($L35*$C84)-(M35*$C84)</f>
        <v>0</v>
      </c>
      <c r="N84" s="3083">
        <f t="shared" ref="N84:R93" si="238">M84-(N35*$C84)</f>
        <v>0</v>
      </c>
      <c r="O84" s="3083">
        <f t="shared" si="238"/>
        <v>0</v>
      </c>
      <c r="P84" s="3083">
        <f t="shared" si="238"/>
        <v>0</v>
      </c>
      <c r="Q84" s="3083">
        <f t="shared" si="238"/>
        <v>0</v>
      </c>
      <c r="R84" s="3086">
        <f t="shared" si="238"/>
        <v>0</v>
      </c>
      <c r="S84" s="4738">
        <f t="shared" ref="S84:S93" si="239">+S35*$C84/2</f>
        <v>0</v>
      </c>
      <c r="T84" s="4477">
        <f t="shared" ref="T84:T93" si="240">($S35*$C84)-(T35*$C84)</f>
        <v>0</v>
      </c>
      <c r="U84" s="3083">
        <f t="shared" ref="U84:Y93" si="241">T84-(U35*$C84)</f>
        <v>0</v>
      </c>
      <c r="V84" s="3083">
        <f t="shared" si="241"/>
        <v>0</v>
      </c>
      <c r="W84" s="3083">
        <f t="shared" si="241"/>
        <v>0</v>
      </c>
      <c r="X84" s="3083">
        <f t="shared" si="241"/>
        <v>0</v>
      </c>
      <c r="Y84" s="3086">
        <f t="shared" si="241"/>
        <v>0</v>
      </c>
      <c r="Z84" s="4738">
        <f t="shared" ref="Z84:Z93" si="242">+Z35*$C84/2</f>
        <v>0</v>
      </c>
      <c r="AA84" s="4477">
        <f t="shared" ref="AA84:AA108" si="243">($Z35*$C84)-(AA35*$C84)</f>
        <v>0</v>
      </c>
      <c r="AB84" s="3083">
        <f t="shared" ref="AB84:AF93" si="244">AA84-(AB35*$C84)</f>
        <v>0</v>
      </c>
      <c r="AC84" s="3083">
        <f t="shared" si="244"/>
        <v>0</v>
      </c>
      <c r="AD84" s="3083">
        <f t="shared" si="244"/>
        <v>0</v>
      </c>
      <c r="AE84" s="3083">
        <f t="shared" si="244"/>
        <v>0</v>
      </c>
      <c r="AF84" s="3086">
        <f t="shared" si="244"/>
        <v>0</v>
      </c>
      <c r="AG84" s="4738">
        <f t="shared" ref="AG84:AG93" si="245">+AG35*$C84/2</f>
        <v>0</v>
      </c>
      <c r="AH84" s="4477">
        <f t="shared" ref="AH84:AH93" si="246">($AG35*$C84)-(AH35*$C84)</f>
        <v>0</v>
      </c>
      <c r="AI84" s="3083">
        <f t="shared" ref="AI84:AM93" si="247">AH84-(AI35*$C84)</f>
        <v>0</v>
      </c>
      <c r="AJ84" s="3083">
        <f t="shared" si="247"/>
        <v>0</v>
      </c>
      <c r="AK84" s="3083">
        <f t="shared" si="247"/>
        <v>0</v>
      </c>
      <c r="AL84" s="3083">
        <f t="shared" si="247"/>
        <v>0</v>
      </c>
      <c r="AM84" s="3086">
        <f t="shared" si="247"/>
        <v>0</v>
      </c>
      <c r="AN84" s="4368"/>
      <c r="AO84" s="3175"/>
      <c r="AP84" s="3176"/>
      <c r="AQ84" s="3176"/>
      <c r="AR84" s="3176"/>
      <c r="AS84" s="3176"/>
      <c r="AT84" s="3177"/>
      <c r="AU84" s="4775"/>
      <c r="AV84" s="4794">
        <f t="shared" si="179"/>
        <v>0</v>
      </c>
      <c r="AW84" s="4794">
        <f t="shared" si="180"/>
        <v>0</v>
      </c>
      <c r="AX84" s="4794">
        <f t="shared" si="181"/>
        <v>0</v>
      </c>
      <c r="AY84" s="4794">
        <f t="shared" si="182"/>
        <v>0</v>
      </c>
      <c r="AZ84" s="4794">
        <f t="shared" si="183"/>
        <v>0</v>
      </c>
      <c r="BA84" s="4794">
        <f t="shared" si="184"/>
        <v>0</v>
      </c>
      <c r="BB84" s="4794">
        <f t="shared" si="185"/>
        <v>0</v>
      </c>
      <c r="BC84" s="4794">
        <f t="shared" si="186"/>
        <v>0</v>
      </c>
      <c r="BD84" s="4794">
        <f t="shared" si="187"/>
        <v>0</v>
      </c>
      <c r="BE84" s="4794">
        <f t="shared" si="188"/>
        <v>0</v>
      </c>
      <c r="BF84" s="4794">
        <f t="shared" si="189"/>
        <v>0</v>
      </c>
      <c r="BG84" s="4794">
        <f t="shared" si="190"/>
        <v>0</v>
      </c>
      <c r="BH84" s="4794">
        <f t="shared" si="191"/>
        <v>0</v>
      </c>
      <c r="BI84" s="4794">
        <f t="shared" si="192"/>
        <v>0</v>
      </c>
      <c r="BJ84" s="4794">
        <f t="shared" si="193"/>
        <v>0</v>
      </c>
      <c r="BK84" s="4794">
        <f t="shared" si="194"/>
        <v>0</v>
      </c>
      <c r="BL84" s="4794">
        <f t="shared" si="195"/>
        <v>0</v>
      </c>
      <c r="BM84" s="4794">
        <f t="shared" si="196"/>
        <v>0</v>
      </c>
      <c r="BN84" s="4794">
        <f t="shared" si="197"/>
        <v>0</v>
      </c>
      <c r="BO84" s="4794">
        <f t="shared" si="198"/>
        <v>0</v>
      </c>
      <c r="BP84" s="4794">
        <f t="shared" si="199"/>
        <v>0</v>
      </c>
      <c r="BQ84" s="4794">
        <f t="shared" si="200"/>
        <v>0</v>
      </c>
      <c r="BR84" s="4794">
        <f t="shared" si="201"/>
        <v>0</v>
      </c>
      <c r="BS84" s="4794">
        <f t="shared" si="202"/>
        <v>0</v>
      </c>
      <c r="BT84" s="4794">
        <f t="shared" si="203"/>
        <v>0</v>
      </c>
      <c r="BU84" s="4794">
        <f t="shared" si="204"/>
        <v>0</v>
      </c>
      <c r="BV84" s="4794">
        <f t="shared" si="205"/>
        <v>0</v>
      </c>
      <c r="BW84" s="4794">
        <f t="shared" si="206"/>
        <v>0</v>
      </c>
      <c r="BX84" s="4794">
        <f t="shared" si="207"/>
        <v>0</v>
      </c>
      <c r="BY84" s="4794">
        <f t="shared" si="208"/>
        <v>0</v>
      </c>
      <c r="BZ84" s="4794">
        <f t="shared" si="209"/>
        <v>0</v>
      </c>
      <c r="CA84" s="4794">
        <f t="shared" si="210"/>
        <v>0</v>
      </c>
      <c r="CB84" s="4794">
        <f t="shared" si="211"/>
        <v>0</v>
      </c>
      <c r="CC84" s="4794">
        <f t="shared" si="212"/>
        <v>0</v>
      </c>
      <c r="CD84" s="4794">
        <f t="shared" si="213"/>
        <v>0</v>
      </c>
    </row>
    <row r="85" spans="1:82" s="675" customFormat="1">
      <c r="A85" s="3034"/>
      <c r="B85" s="2742">
        <v>2040202</v>
      </c>
      <c r="C85" s="3035">
        <v>0.02</v>
      </c>
      <c r="D85" s="3103" t="s">
        <v>739</v>
      </c>
      <c r="E85" s="4738">
        <f t="shared" si="233"/>
        <v>0</v>
      </c>
      <c r="F85" s="3085">
        <f t="shared" si="234"/>
        <v>0</v>
      </c>
      <c r="G85" s="3083">
        <f t="shared" si="235"/>
        <v>0</v>
      </c>
      <c r="H85" s="3083">
        <f t="shared" si="235"/>
        <v>0</v>
      </c>
      <c r="I85" s="3083">
        <f t="shared" si="235"/>
        <v>0</v>
      </c>
      <c r="J85" s="3083">
        <f t="shared" si="235"/>
        <v>0</v>
      </c>
      <c r="K85" s="3084">
        <f t="shared" si="235"/>
        <v>0</v>
      </c>
      <c r="L85" s="4738">
        <f t="shared" si="236"/>
        <v>0</v>
      </c>
      <c r="M85" s="3085">
        <f t="shared" si="237"/>
        <v>0</v>
      </c>
      <c r="N85" s="3083">
        <f t="shared" si="238"/>
        <v>0</v>
      </c>
      <c r="O85" s="3083">
        <f t="shared" si="238"/>
        <v>0</v>
      </c>
      <c r="P85" s="3083">
        <f t="shared" si="238"/>
        <v>0</v>
      </c>
      <c r="Q85" s="3083">
        <f t="shared" si="238"/>
        <v>0</v>
      </c>
      <c r="R85" s="3086">
        <f t="shared" si="238"/>
        <v>0</v>
      </c>
      <c r="S85" s="4738">
        <f t="shared" si="239"/>
        <v>0</v>
      </c>
      <c r="T85" s="4477">
        <f t="shared" si="240"/>
        <v>0</v>
      </c>
      <c r="U85" s="3083">
        <f t="shared" si="241"/>
        <v>0</v>
      </c>
      <c r="V85" s="3083">
        <f t="shared" si="241"/>
        <v>0</v>
      </c>
      <c r="W85" s="3083">
        <f t="shared" si="241"/>
        <v>0</v>
      </c>
      <c r="X85" s="3083">
        <f t="shared" si="241"/>
        <v>0</v>
      </c>
      <c r="Y85" s="3086">
        <f t="shared" si="241"/>
        <v>0</v>
      </c>
      <c r="Z85" s="4738">
        <f t="shared" si="242"/>
        <v>0</v>
      </c>
      <c r="AA85" s="4477">
        <f t="shared" si="243"/>
        <v>0</v>
      </c>
      <c r="AB85" s="3083">
        <f t="shared" si="244"/>
        <v>0</v>
      </c>
      <c r="AC85" s="3083">
        <f t="shared" si="244"/>
        <v>0</v>
      </c>
      <c r="AD85" s="3083">
        <f t="shared" si="244"/>
        <v>0</v>
      </c>
      <c r="AE85" s="3083">
        <f t="shared" si="244"/>
        <v>0</v>
      </c>
      <c r="AF85" s="3086">
        <f t="shared" si="244"/>
        <v>0</v>
      </c>
      <c r="AG85" s="4738">
        <f t="shared" si="245"/>
        <v>0</v>
      </c>
      <c r="AH85" s="4477">
        <f t="shared" si="246"/>
        <v>0</v>
      </c>
      <c r="AI85" s="3083">
        <f t="shared" si="247"/>
        <v>0</v>
      </c>
      <c r="AJ85" s="3083">
        <f t="shared" si="247"/>
        <v>0</v>
      </c>
      <c r="AK85" s="3083">
        <f t="shared" si="247"/>
        <v>0</v>
      </c>
      <c r="AL85" s="3083">
        <f t="shared" si="247"/>
        <v>0</v>
      </c>
      <c r="AM85" s="3086">
        <f t="shared" si="247"/>
        <v>0</v>
      </c>
      <c r="AN85" s="4368"/>
      <c r="AO85" s="3175"/>
      <c r="AP85" s="3176"/>
      <c r="AQ85" s="3176"/>
      <c r="AR85" s="3176"/>
      <c r="AS85" s="3176"/>
      <c r="AT85" s="3177"/>
      <c r="AU85" s="4775"/>
      <c r="AV85" s="4794">
        <f t="shared" si="179"/>
        <v>0</v>
      </c>
      <c r="AW85" s="4794">
        <f t="shared" si="180"/>
        <v>0</v>
      </c>
      <c r="AX85" s="4794">
        <f t="shared" si="181"/>
        <v>0</v>
      </c>
      <c r="AY85" s="4794">
        <f t="shared" si="182"/>
        <v>0</v>
      </c>
      <c r="AZ85" s="4794">
        <f t="shared" si="183"/>
        <v>0</v>
      </c>
      <c r="BA85" s="4794">
        <f t="shared" si="184"/>
        <v>0</v>
      </c>
      <c r="BB85" s="4794">
        <f t="shared" si="185"/>
        <v>0</v>
      </c>
      <c r="BC85" s="4794">
        <f t="shared" si="186"/>
        <v>0</v>
      </c>
      <c r="BD85" s="4794">
        <f t="shared" si="187"/>
        <v>0</v>
      </c>
      <c r="BE85" s="4794">
        <f t="shared" si="188"/>
        <v>0</v>
      </c>
      <c r="BF85" s="4794">
        <f t="shared" si="189"/>
        <v>0</v>
      </c>
      <c r="BG85" s="4794">
        <f t="shared" si="190"/>
        <v>0</v>
      </c>
      <c r="BH85" s="4794">
        <f t="shared" si="191"/>
        <v>0</v>
      </c>
      <c r="BI85" s="4794">
        <f t="shared" si="192"/>
        <v>0</v>
      </c>
      <c r="BJ85" s="4794">
        <f t="shared" si="193"/>
        <v>0</v>
      </c>
      <c r="BK85" s="4794">
        <f t="shared" si="194"/>
        <v>0</v>
      </c>
      <c r="BL85" s="4794">
        <f t="shared" si="195"/>
        <v>0</v>
      </c>
      <c r="BM85" s="4794">
        <f t="shared" si="196"/>
        <v>0</v>
      </c>
      <c r="BN85" s="4794">
        <f t="shared" si="197"/>
        <v>0</v>
      </c>
      <c r="BO85" s="4794">
        <f t="shared" si="198"/>
        <v>0</v>
      </c>
      <c r="BP85" s="4794">
        <f t="shared" si="199"/>
        <v>0</v>
      </c>
      <c r="BQ85" s="4794">
        <f t="shared" si="200"/>
        <v>0</v>
      </c>
      <c r="BR85" s="4794">
        <f t="shared" si="201"/>
        <v>0</v>
      </c>
      <c r="BS85" s="4794">
        <f t="shared" si="202"/>
        <v>0</v>
      </c>
      <c r="BT85" s="4794">
        <f t="shared" si="203"/>
        <v>0</v>
      </c>
      <c r="BU85" s="4794">
        <f t="shared" si="204"/>
        <v>0</v>
      </c>
      <c r="BV85" s="4794">
        <f t="shared" si="205"/>
        <v>0</v>
      </c>
      <c r="BW85" s="4794">
        <f t="shared" si="206"/>
        <v>0</v>
      </c>
      <c r="BX85" s="4794">
        <f t="shared" si="207"/>
        <v>0</v>
      </c>
      <c r="BY85" s="4794">
        <f t="shared" si="208"/>
        <v>0</v>
      </c>
      <c r="BZ85" s="4794">
        <f t="shared" si="209"/>
        <v>0</v>
      </c>
      <c r="CA85" s="4794">
        <f t="shared" si="210"/>
        <v>0</v>
      </c>
      <c r="CB85" s="4794">
        <f t="shared" si="211"/>
        <v>0</v>
      </c>
      <c r="CC85" s="4794">
        <f t="shared" si="212"/>
        <v>0</v>
      </c>
      <c r="CD85" s="4794">
        <f t="shared" si="213"/>
        <v>0</v>
      </c>
    </row>
    <row r="86" spans="1:82" s="675" customFormat="1">
      <c r="A86" s="3034"/>
      <c r="B86" s="2742">
        <v>2040203</v>
      </c>
      <c r="C86" s="3035">
        <v>0.02</v>
      </c>
      <c r="D86" s="3103" t="s">
        <v>418</v>
      </c>
      <c r="E86" s="4738">
        <f t="shared" si="233"/>
        <v>0</v>
      </c>
      <c r="F86" s="3085">
        <f t="shared" si="234"/>
        <v>0</v>
      </c>
      <c r="G86" s="3083">
        <f t="shared" si="235"/>
        <v>0</v>
      </c>
      <c r="H86" s="3083">
        <f t="shared" si="235"/>
        <v>0</v>
      </c>
      <c r="I86" s="3083">
        <f t="shared" si="235"/>
        <v>0</v>
      </c>
      <c r="J86" s="3083">
        <f t="shared" si="235"/>
        <v>0</v>
      </c>
      <c r="K86" s="3084">
        <f t="shared" si="235"/>
        <v>0</v>
      </c>
      <c r="L86" s="4738">
        <f t="shared" si="236"/>
        <v>0</v>
      </c>
      <c r="M86" s="3085">
        <f t="shared" si="237"/>
        <v>0</v>
      </c>
      <c r="N86" s="3083">
        <f t="shared" si="238"/>
        <v>0</v>
      </c>
      <c r="O86" s="3083">
        <f t="shared" si="238"/>
        <v>0</v>
      </c>
      <c r="P86" s="3083">
        <f t="shared" si="238"/>
        <v>0</v>
      </c>
      <c r="Q86" s="3083">
        <f t="shared" si="238"/>
        <v>0</v>
      </c>
      <c r="R86" s="3086">
        <f t="shared" si="238"/>
        <v>0</v>
      </c>
      <c r="S86" s="4738">
        <f t="shared" si="239"/>
        <v>0</v>
      </c>
      <c r="T86" s="4477">
        <f t="shared" si="240"/>
        <v>0</v>
      </c>
      <c r="U86" s="3083">
        <f t="shared" si="241"/>
        <v>0</v>
      </c>
      <c r="V86" s="3083">
        <f t="shared" si="241"/>
        <v>0</v>
      </c>
      <c r="W86" s="3083">
        <f t="shared" si="241"/>
        <v>0</v>
      </c>
      <c r="X86" s="3083">
        <f t="shared" si="241"/>
        <v>0</v>
      </c>
      <c r="Y86" s="3086">
        <f t="shared" si="241"/>
        <v>0</v>
      </c>
      <c r="Z86" s="4738">
        <f t="shared" si="242"/>
        <v>0</v>
      </c>
      <c r="AA86" s="4477">
        <f t="shared" si="243"/>
        <v>0</v>
      </c>
      <c r="AB86" s="3083">
        <f t="shared" si="244"/>
        <v>0</v>
      </c>
      <c r="AC86" s="3083">
        <f t="shared" si="244"/>
        <v>0</v>
      </c>
      <c r="AD86" s="3083">
        <f t="shared" si="244"/>
        <v>0</v>
      </c>
      <c r="AE86" s="3083">
        <f t="shared" si="244"/>
        <v>0</v>
      </c>
      <c r="AF86" s="3086">
        <f t="shared" si="244"/>
        <v>0</v>
      </c>
      <c r="AG86" s="4738">
        <f t="shared" si="245"/>
        <v>0</v>
      </c>
      <c r="AH86" s="4477">
        <f t="shared" si="246"/>
        <v>0</v>
      </c>
      <c r="AI86" s="3083">
        <f t="shared" si="247"/>
        <v>0</v>
      </c>
      <c r="AJ86" s="3083">
        <f t="shared" si="247"/>
        <v>0</v>
      </c>
      <c r="AK86" s="3083">
        <f t="shared" si="247"/>
        <v>0</v>
      </c>
      <c r="AL86" s="3083">
        <f t="shared" si="247"/>
        <v>0</v>
      </c>
      <c r="AM86" s="3086">
        <f t="shared" si="247"/>
        <v>0</v>
      </c>
      <c r="AN86" s="4368"/>
      <c r="AO86" s="3175"/>
      <c r="AP86" s="3176"/>
      <c r="AQ86" s="3176"/>
      <c r="AR86" s="3176"/>
      <c r="AS86" s="3176"/>
      <c r="AT86" s="3177"/>
      <c r="AU86" s="4775"/>
      <c r="AV86" s="4794">
        <f t="shared" si="179"/>
        <v>0</v>
      </c>
      <c r="AW86" s="4794">
        <f t="shared" si="180"/>
        <v>0</v>
      </c>
      <c r="AX86" s="4794">
        <f t="shared" si="181"/>
        <v>0</v>
      </c>
      <c r="AY86" s="4794">
        <f t="shared" si="182"/>
        <v>0</v>
      </c>
      <c r="AZ86" s="4794">
        <f t="shared" si="183"/>
        <v>0</v>
      </c>
      <c r="BA86" s="4794">
        <f t="shared" si="184"/>
        <v>0</v>
      </c>
      <c r="BB86" s="4794">
        <f t="shared" si="185"/>
        <v>0</v>
      </c>
      <c r="BC86" s="4794">
        <f t="shared" si="186"/>
        <v>0</v>
      </c>
      <c r="BD86" s="4794">
        <f t="shared" si="187"/>
        <v>0</v>
      </c>
      <c r="BE86" s="4794">
        <f t="shared" si="188"/>
        <v>0</v>
      </c>
      <c r="BF86" s="4794">
        <f t="shared" si="189"/>
        <v>0</v>
      </c>
      <c r="BG86" s="4794">
        <f t="shared" si="190"/>
        <v>0</v>
      </c>
      <c r="BH86" s="4794">
        <f t="shared" si="191"/>
        <v>0</v>
      </c>
      <c r="BI86" s="4794">
        <f t="shared" si="192"/>
        <v>0</v>
      </c>
      <c r="BJ86" s="4794">
        <f t="shared" si="193"/>
        <v>0</v>
      </c>
      <c r="BK86" s="4794">
        <f t="shared" si="194"/>
        <v>0</v>
      </c>
      <c r="BL86" s="4794">
        <f t="shared" si="195"/>
        <v>0</v>
      </c>
      <c r="BM86" s="4794">
        <f t="shared" si="196"/>
        <v>0</v>
      </c>
      <c r="BN86" s="4794">
        <f t="shared" si="197"/>
        <v>0</v>
      </c>
      <c r="BO86" s="4794">
        <f t="shared" si="198"/>
        <v>0</v>
      </c>
      <c r="BP86" s="4794">
        <f t="shared" si="199"/>
        <v>0</v>
      </c>
      <c r="BQ86" s="4794">
        <f t="shared" si="200"/>
        <v>0</v>
      </c>
      <c r="BR86" s="4794">
        <f t="shared" si="201"/>
        <v>0</v>
      </c>
      <c r="BS86" s="4794">
        <f t="shared" si="202"/>
        <v>0</v>
      </c>
      <c r="BT86" s="4794">
        <f t="shared" si="203"/>
        <v>0</v>
      </c>
      <c r="BU86" s="4794">
        <f t="shared" si="204"/>
        <v>0</v>
      </c>
      <c r="BV86" s="4794">
        <f t="shared" si="205"/>
        <v>0</v>
      </c>
      <c r="BW86" s="4794">
        <f t="shared" si="206"/>
        <v>0</v>
      </c>
      <c r="BX86" s="4794">
        <f t="shared" si="207"/>
        <v>0</v>
      </c>
      <c r="BY86" s="4794">
        <f t="shared" si="208"/>
        <v>0</v>
      </c>
      <c r="BZ86" s="4794">
        <f t="shared" si="209"/>
        <v>0</v>
      </c>
      <c r="CA86" s="4794">
        <f t="shared" si="210"/>
        <v>0</v>
      </c>
      <c r="CB86" s="4794">
        <f t="shared" si="211"/>
        <v>0</v>
      </c>
      <c r="CC86" s="4794">
        <f t="shared" si="212"/>
        <v>0</v>
      </c>
      <c r="CD86" s="4794">
        <f t="shared" si="213"/>
        <v>0</v>
      </c>
    </row>
    <row r="87" spans="1:82" s="675" customFormat="1">
      <c r="A87" s="3034"/>
      <c r="B87" s="2742">
        <v>2040204</v>
      </c>
      <c r="C87" s="3035">
        <v>0.02</v>
      </c>
      <c r="D87" s="3106" t="s">
        <v>419</v>
      </c>
      <c r="E87" s="4738">
        <f t="shared" si="233"/>
        <v>0</v>
      </c>
      <c r="F87" s="3085">
        <f t="shared" si="234"/>
        <v>0</v>
      </c>
      <c r="G87" s="3083">
        <f t="shared" si="235"/>
        <v>0</v>
      </c>
      <c r="H87" s="3083">
        <f t="shared" si="235"/>
        <v>0</v>
      </c>
      <c r="I87" s="3083">
        <f t="shared" si="235"/>
        <v>0</v>
      </c>
      <c r="J87" s="3083">
        <f t="shared" si="235"/>
        <v>0</v>
      </c>
      <c r="K87" s="3084">
        <f t="shared" si="235"/>
        <v>0</v>
      </c>
      <c r="L87" s="4738">
        <f t="shared" si="236"/>
        <v>0</v>
      </c>
      <c r="M87" s="3085">
        <f t="shared" si="237"/>
        <v>0</v>
      </c>
      <c r="N87" s="3083">
        <f t="shared" si="238"/>
        <v>0</v>
      </c>
      <c r="O87" s="3083">
        <f t="shared" si="238"/>
        <v>0</v>
      </c>
      <c r="P87" s="3083">
        <f t="shared" si="238"/>
        <v>0</v>
      </c>
      <c r="Q87" s="3083">
        <f t="shared" si="238"/>
        <v>0</v>
      </c>
      <c r="R87" s="3086">
        <f t="shared" si="238"/>
        <v>0</v>
      </c>
      <c r="S87" s="4738">
        <f t="shared" si="239"/>
        <v>0</v>
      </c>
      <c r="T87" s="4477">
        <f t="shared" si="240"/>
        <v>0</v>
      </c>
      <c r="U87" s="3083">
        <f t="shared" si="241"/>
        <v>0</v>
      </c>
      <c r="V87" s="3083">
        <f t="shared" si="241"/>
        <v>0</v>
      </c>
      <c r="W87" s="3083">
        <f t="shared" si="241"/>
        <v>0</v>
      </c>
      <c r="X87" s="3083">
        <f t="shared" si="241"/>
        <v>0</v>
      </c>
      <c r="Y87" s="3086">
        <f t="shared" si="241"/>
        <v>0</v>
      </c>
      <c r="Z87" s="4738">
        <f t="shared" si="242"/>
        <v>0</v>
      </c>
      <c r="AA87" s="4477">
        <f t="shared" si="243"/>
        <v>0</v>
      </c>
      <c r="AB87" s="3083">
        <f t="shared" si="244"/>
        <v>0</v>
      </c>
      <c r="AC87" s="3083">
        <f t="shared" si="244"/>
        <v>0</v>
      </c>
      <c r="AD87" s="3083">
        <f t="shared" si="244"/>
        <v>0</v>
      </c>
      <c r="AE87" s="3083">
        <f t="shared" si="244"/>
        <v>0</v>
      </c>
      <c r="AF87" s="3086">
        <f t="shared" si="244"/>
        <v>0</v>
      </c>
      <c r="AG87" s="4738">
        <f t="shared" si="245"/>
        <v>0</v>
      </c>
      <c r="AH87" s="4477">
        <f t="shared" si="246"/>
        <v>0</v>
      </c>
      <c r="AI87" s="3083">
        <f t="shared" si="247"/>
        <v>0</v>
      </c>
      <c r="AJ87" s="3083">
        <f t="shared" si="247"/>
        <v>0</v>
      </c>
      <c r="AK87" s="3083">
        <f t="shared" si="247"/>
        <v>0</v>
      </c>
      <c r="AL87" s="3083">
        <f t="shared" si="247"/>
        <v>0</v>
      </c>
      <c r="AM87" s="3086">
        <f t="shared" si="247"/>
        <v>0</v>
      </c>
      <c r="AN87" s="4368"/>
      <c r="AO87" s="3175"/>
      <c r="AP87" s="3176"/>
      <c r="AQ87" s="3176"/>
      <c r="AR87" s="3176"/>
      <c r="AS87" s="3176"/>
      <c r="AT87" s="3177"/>
      <c r="AU87" s="4775"/>
      <c r="AV87" s="4794">
        <f t="shared" si="179"/>
        <v>0</v>
      </c>
      <c r="AW87" s="4794">
        <f t="shared" si="180"/>
        <v>0</v>
      </c>
      <c r="AX87" s="4794">
        <f t="shared" si="181"/>
        <v>0</v>
      </c>
      <c r="AY87" s="4794">
        <f t="shared" si="182"/>
        <v>0</v>
      </c>
      <c r="AZ87" s="4794">
        <f t="shared" si="183"/>
        <v>0</v>
      </c>
      <c r="BA87" s="4794">
        <f t="shared" si="184"/>
        <v>0</v>
      </c>
      <c r="BB87" s="4794">
        <f t="shared" si="185"/>
        <v>0</v>
      </c>
      <c r="BC87" s="4794">
        <f t="shared" si="186"/>
        <v>0</v>
      </c>
      <c r="BD87" s="4794">
        <f t="shared" si="187"/>
        <v>0</v>
      </c>
      <c r="BE87" s="4794">
        <f t="shared" si="188"/>
        <v>0</v>
      </c>
      <c r="BF87" s="4794">
        <f t="shared" si="189"/>
        <v>0</v>
      </c>
      <c r="BG87" s="4794">
        <f t="shared" si="190"/>
        <v>0</v>
      </c>
      <c r="BH87" s="4794">
        <f t="shared" si="191"/>
        <v>0</v>
      </c>
      <c r="BI87" s="4794">
        <f t="shared" si="192"/>
        <v>0</v>
      </c>
      <c r="BJ87" s="4794">
        <f t="shared" si="193"/>
        <v>0</v>
      </c>
      <c r="BK87" s="4794">
        <f t="shared" si="194"/>
        <v>0</v>
      </c>
      <c r="BL87" s="4794">
        <f t="shared" si="195"/>
        <v>0</v>
      </c>
      <c r="BM87" s="4794">
        <f t="shared" si="196"/>
        <v>0</v>
      </c>
      <c r="BN87" s="4794">
        <f t="shared" si="197"/>
        <v>0</v>
      </c>
      <c r="BO87" s="4794">
        <f t="shared" si="198"/>
        <v>0</v>
      </c>
      <c r="BP87" s="4794">
        <f t="shared" si="199"/>
        <v>0</v>
      </c>
      <c r="BQ87" s="4794">
        <f t="shared" si="200"/>
        <v>0</v>
      </c>
      <c r="BR87" s="4794">
        <f t="shared" si="201"/>
        <v>0</v>
      </c>
      <c r="BS87" s="4794">
        <f t="shared" si="202"/>
        <v>0</v>
      </c>
      <c r="BT87" s="4794">
        <f t="shared" si="203"/>
        <v>0</v>
      </c>
      <c r="BU87" s="4794">
        <f t="shared" si="204"/>
        <v>0</v>
      </c>
      <c r="BV87" s="4794">
        <f t="shared" si="205"/>
        <v>0</v>
      </c>
      <c r="BW87" s="4794">
        <f t="shared" si="206"/>
        <v>0</v>
      </c>
      <c r="BX87" s="4794">
        <f t="shared" si="207"/>
        <v>0</v>
      </c>
      <c r="BY87" s="4794">
        <f t="shared" si="208"/>
        <v>0</v>
      </c>
      <c r="BZ87" s="4794">
        <f t="shared" si="209"/>
        <v>0</v>
      </c>
      <c r="CA87" s="4794">
        <f t="shared" si="210"/>
        <v>0</v>
      </c>
      <c r="CB87" s="4794">
        <f t="shared" si="211"/>
        <v>0</v>
      </c>
      <c r="CC87" s="4794">
        <f t="shared" si="212"/>
        <v>0</v>
      </c>
      <c r="CD87" s="4794">
        <f t="shared" si="213"/>
        <v>0</v>
      </c>
    </row>
    <row r="88" spans="1:82" s="675" customFormat="1">
      <c r="A88" s="3034"/>
      <c r="B88" s="2742">
        <v>2040205</v>
      </c>
      <c r="C88" s="3035">
        <v>0.02</v>
      </c>
      <c r="D88" s="3103" t="s">
        <v>420</v>
      </c>
      <c r="E88" s="4738">
        <f t="shared" si="233"/>
        <v>39.17</v>
      </c>
      <c r="F88" s="3085">
        <f t="shared" si="234"/>
        <v>78.34</v>
      </c>
      <c r="G88" s="3083">
        <f t="shared" si="235"/>
        <v>78.34</v>
      </c>
      <c r="H88" s="3083">
        <f t="shared" si="235"/>
        <v>78.34</v>
      </c>
      <c r="I88" s="3083">
        <f t="shared" si="235"/>
        <v>78.34</v>
      </c>
      <c r="J88" s="3083">
        <f t="shared" si="235"/>
        <v>78.34</v>
      </c>
      <c r="K88" s="3084">
        <f t="shared" si="235"/>
        <v>78.34</v>
      </c>
      <c r="L88" s="4738">
        <f t="shared" si="236"/>
        <v>0</v>
      </c>
      <c r="M88" s="3085">
        <f t="shared" si="237"/>
        <v>0</v>
      </c>
      <c r="N88" s="3083">
        <f t="shared" si="238"/>
        <v>0</v>
      </c>
      <c r="O88" s="3083">
        <f t="shared" si="238"/>
        <v>0</v>
      </c>
      <c r="P88" s="3083">
        <f t="shared" si="238"/>
        <v>0</v>
      </c>
      <c r="Q88" s="3083">
        <f t="shared" si="238"/>
        <v>0</v>
      </c>
      <c r="R88" s="3086">
        <f t="shared" si="238"/>
        <v>0</v>
      </c>
      <c r="S88" s="4738">
        <f t="shared" si="239"/>
        <v>0</v>
      </c>
      <c r="T88" s="4477">
        <f t="shared" si="240"/>
        <v>0</v>
      </c>
      <c r="U88" s="3083">
        <f t="shared" si="241"/>
        <v>0</v>
      </c>
      <c r="V88" s="3083">
        <f t="shared" si="241"/>
        <v>0</v>
      </c>
      <c r="W88" s="3083">
        <f t="shared" si="241"/>
        <v>0</v>
      </c>
      <c r="X88" s="3083">
        <f t="shared" si="241"/>
        <v>0</v>
      </c>
      <c r="Y88" s="3086">
        <f t="shared" si="241"/>
        <v>0</v>
      </c>
      <c r="Z88" s="4738">
        <f t="shared" si="242"/>
        <v>0</v>
      </c>
      <c r="AA88" s="4477">
        <f t="shared" si="243"/>
        <v>0</v>
      </c>
      <c r="AB88" s="3083">
        <f t="shared" si="244"/>
        <v>0</v>
      </c>
      <c r="AC88" s="3083">
        <f t="shared" si="244"/>
        <v>0</v>
      </c>
      <c r="AD88" s="3083">
        <f t="shared" si="244"/>
        <v>0</v>
      </c>
      <c r="AE88" s="3083">
        <f t="shared" si="244"/>
        <v>0</v>
      </c>
      <c r="AF88" s="3086">
        <f t="shared" si="244"/>
        <v>0</v>
      </c>
      <c r="AG88" s="4738">
        <f t="shared" si="245"/>
        <v>0</v>
      </c>
      <c r="AH88" s="4477">
        <f t="shared" si="246"/>
        <v>0</v>
      </c>
      <c r="AI88" s="3083">
        <f t="shared" si="247"/>
        <v>0</v>
      </c>
      <c r="AJ88" s="3083">
        <f t="shared" si="247"/>
        <v>0</v>
      </c>
      <c r="AK88" s="3083">
        <f t="shared" si="247"/>
        <v>0</v>
      </c>
      <c r="AL88" s="3083">
        <f t="shared" si="247"/>
        <v>0</v>
      </c>
      <c r="AM88" s="3086">
        <f t="shared" si="247"/>
        <v>0</v>
      </c>
      <c r="AN88" s="4368"/>
      <c r="AO88" s="3175"/>
      <c r="AP88" s="3176"/>
      <c r="AQ88" s="3176"/>
      <c r="AR88" s="3176"/>
      <c r="AS88" s="3176"/>
      <c r="AT88" s="3177"/>
      <c r="AU88" s="4775"/>
      <c r="AV88" s="4794">
        <f t="shared" si="179"/>
        <v>20.027302986455879</v>
      </c>
      <c r="AW88" s="4794">
        <f t="shared" si="180"/>
        <v>40.054605972911759</v>
      </c>
      <c r="AX88" s="4794">
        <f t="shared" si="181"/>
        <v>40.054605972911759</v>
      </c>
      <c r="AY88" s="4794">
        <f t="shared" si="182"/>
        <v>40.054605972911759</v>
      </c>
      <c r="AZ88" s="4794">
        <f t="shared" si="183"/>
        <v>40.054605972911759</v>
      </c>
      <c r="BA88" s="4794">
        <f t="shared" si="184"/>
        <v>40.054605972911759</v>
      </c>
      <c r="BB88" s="4794">
        <f t="shared" si="185"/>
        <v>40.054605972911759</v>
      </c>
      <c r="BC88" s="4794">
        <f t="shared" si="186"/>
        <v>0</v>
      </c>
      <c r="BD88" s="4794">
        <f t="shared" si="187"/>
        <v>0</v>
      </c>
      <c r="BE88" s="4794">
        <f t="shared" si="188"/>
        <v>0</v>
      </c>
      <c r="BF88" s="4794">
        <f t="shared" si="189"/>
        <v>0</v>
      </c>
      <c r="BG88" s="4794">
        <f t="shared" si="190"/>
        <v>0</v>
      </c>
      <c r="BH88" s="4794">
        <f t="shared" si="191"/>
        <v>0</v>
      </c>
      <c r="BI88" s="4794">
        <f t="shared" si="192"/>
        <v>0</v>
      </c>
      <c r="BJ88" s="4794">
        <f t="shared" si="193"/>
        <v>0</v>
      </c>
      <c r="BK88" s="4794">
        <f t="shared" si="194"/>
        <v>0</v>
      </c>
      <c r="BL88" s="4794">
        <f t="shared" si="195"/>
        <v>0</v>
      </c>
      <c r="BM88" s="4794">
        <f t="shared" si="196"/>
        <v>0</v>
      </c>
      <c r="BN88" s="4794">
        <f t="shared" si="197"/>
        <v>0</v>
      </c>
      <c r="BO88" s="4794">
        <f t="shared" si="198"/>
        <v>0</v>
      </c>
      <c r="BP88" s="4794">
        <f t="shared" si="199"/>
        <v>0</v>
      </c>
      <c r="BQ88" s="4794">
        <f t="shared" si="200"/>
        <v>0</v>
      </c>
      <c r="BR88" s="4794">
        <f t="shared" si="201"/>
        <v>0</v>
      </c>
      <c r="BS88" s="4794">
        <f t="shared" si="202"/>
        <v>0</v>
      </c>
      <c r="BT88" s="4794">
        <f t="shared" si="203"/>
        <v>0</v>
      </c>
      <c r="BU88" s="4794">
        <f t="shared" si="204"/>
        <v>0</v>
      </c>
      <c r="BV88" s="4794">
        <f t="shared" si="205"/>
        <v>0</v>
      </c>
      <c r="BW88" s="4794">
        <f t="shared" si="206"/>
        <v>0</v>
      </c>
      <c r="BX88" s="4794">
        <f t="shared" si="207"/>
        <v>0</v>
      </c>
      <c r="BY88" s="4794">
        <f t="shared" si="208"/>
        <v>0</v>
      </c>
      <c r="BZ88" s="4794">
        <f t="shared" si="209"/>
        <v>0</v>
      </c>
      <c r="CA88" s="4794">
        <f t="shared" si="210"/>
        <v>0</v>
      </c>
      <c r="CB88" s="4794">
        <f t="shared" si="211"/>
        <v>0</v>
      </c>
      <c r="CC88" s="4794">
        <f t="shared" si="212"/>
        <v>0</v>
      </c>
      <c r="CD88" s="4794">
        <f t="shared" si="213"/>
        <v>0</v>
      </c>
    </row>
    <row r="89" spans="1:82" s="675" customFormat="1">
      <c r="A89" s="3034"/>
      <c r="B89" s="2742">
        <v>2040206</v>
      </c>
      <c r="C89" s="3035">
        <v>0.02</v>
      </c>
      <c r="D89" s="3103" t="s">
        <v>421</v>
      </c>
      <c r="E89" s="4738">
        <f t="shared" si="233"/>
        <v>0</v>
      </c>
      <c r="F89" s="3085">
        <f t="shared" si="234"/>
        <v>0</v>
      </c>
      <c r="G89" s="3083">
        <f t="shared" si="235"/>
        <v>0</v>
      </c>
      <c r="H89" s="3083">
        <f t="shared" si="235"/>
        <v>0</v>
      </c>
      <c r="I89" s="3083">
        <f t="shared" si="235"/>
        <v>0</v>
      </c>
      <c r="J89" s="3083">
        <f t="shared" si="235"/>
        <v>0</v>
      </c>
      <c r="K89" s="3084">
        <f t="shared" si="235"/>
        <v>0</v>
      </c>
      <c r="L89" s="4738">
        <f t="shared" si="236"/>
        <v>0.94000000000000006</v>
      </c>
      <c r="M89" s="3085">
        <f t="shared" si="237"/>
        <v>1.8800000000000001</v>
      </c>
      <c r="N89" s="3083">
        <f t="shared" si="238"/>
        <v>1.8800000000000001</v>
      </c>
      <c r="O89" s="3083">
        <f t="shared" si="238"/>
        <v>1.8800000000000001</v>
      </c>
      <c r="P89" s="3083">
        <f t="shared" si="238"/>
        <v>1.8800000000000001</v>
      </c>
      <c r="Q89" s="3083">
        <f t="shared" si="238"/>
        <v>1.8800000000000001</v>
      </c>
      <c r="R89" s="3086">
        <f t="shared" si="238"/>
        <v>1.8800000000000001</v>
      </c>
      <c r="S89" s="4738">
        <f t="shared" si="239"/>
        <v>0</v>
      </c>
      <c r="T89" s="4477">
        <f t="shared" si="240"/>
        <v>0</v>
      </c>
      <c r="U89" s="3083">
        <f t="shared" si="241"/>
        <v>0</v>
      </c>
      <c r="V89" s="3083">
        <f t="shared" si="241"/>
        <v>0</v>
      </c>
      <c r="W89" s="3083">
        <f t="shared" si="241"/>
        <v>0</v>
      </c>
      <c r="X89" s="3083">
        <f t="shared" si="241"/>
        <v>0</v>
      </c>
      <c r="Y89" s="3086">
        <f t="shared" si="241"/>
        <v>0</v>
      </c>
      <c r="Z89" s="4738">
        <f t="shared" si="242"/>
        <v>0</v>
      </c>
      <c r="AA89" s="4477">
        <f t="shared" si="243"/>
        <v>0</v>
      </c>
      <c r="AB89" s="3083">
        <f t="shared" si="244"/>
        <v>0</v>
      </c>
      <c r="AC89" s="3083">
        <f t="shared" si="244"/>
        <v>0</v>
      </c>
      <c r="AD89" s="3083">
        <f t="shared" si="244"/>
        <v>0</v>
      </c>
      <c r="AE89" s="3083">
        <f t="shared" si="244"/>
        <v>0</v>
      </c>
      <c r="AF89" s="3086">
        <f t="shared" si="244"/>
        <v>0</v>
      </c>
      <c r="AG89" s="4738">
        <f t="shared" si="245"/>
        <v>0</v>
      </c>
      <c r="AH89" s="4477">
        <f t="shared" si="246"/>
        <v>0</v>
      </c>
      <c r="AI89" s="3083">
        <f t="shared" si="247"/>
        <v>0</v>
      </c>
      <c r="AJ89" s="3083">
        <f t="shared" si="247"/>
        <v>0</v>
      </c>
      <c r="AK89" s="3083">
        <f t="shared" si="247"/>
        <v>0</v>
      </c>
      <c r="AL89" s="3083">
        <f t="shared" si="247"/>
        <v>0</v>
      </c>
      <c r="AM89" s="3086">
        <f t="shared" si="247"/>
        <v>0</v>
      </c>
      <c r="AN89" s="4368"/>
      <c r="AO89" s="3175"/>
      <c r="AP89" s="3176"/>
      <c r="AQ89" s="3176"/>
      <c r="AR89" s="3176"/>
      <c r="AS89" s="3176"/>
      <c r="AT89" s="3177"/>
      <c r="AU89" s="4775"/>
      <c r="AV89" s="4794">
        <f t="shared" si="179"/>
        <v>0</v>
      </c>
      <c r="AW89" s="4794">
        <f t="shared" si="180"/>
        <v>0</v>
      </c>
      <c r="AX89" s="4794">
        <f t="shared" si="181"/>
        <v>0</v>
      </c>
      <c r="AY89" s="4794">
        <f t="shared" si="182"/>
        <v>0</v>
      </c>
      <c r="AZ89" s="4794">
        <f t="shared" si="183"/>
        <v>0</v>
      </c>
      <c r="BA89" s="4794">
        <f t="shared" si="184"/>
        <v>0</v>
      </c>
      <c r="BB89" s="4794">
        <f t="shared" si="185"/>
        <v>0</v>
      </c>
      <c r="BC89" s="4794">
        <f t="shared" si="186"/>
        <v>0.48061436832444543</v>
      </c>
      <c r="BD89" s="4794">
        <f t="shared" si="187"/>
        <v>0.96122873664889086</v>
      </c>
      <c r="BE89" s="4794">
        <f t="shared" si="188"/>
        <v>0.96122873664889086</v>
      </c>
      <c r="BF89" s="4794">
        <f t="shared" si="189"/>
        <v>0.96122873664889086</v>
      </c>
      <c r="BG89" s="4794">
        <f t="shared" si="190"/>
        <v>0.96122873664889086</v>
      </c>
      <c r="BH89" s="4794">
        <f t="shared" si="191"/>
        <v>0.96122873664889086</v>
      </c>
      <c r="BI89" s="4794">
        <f t="shared" si="192"/>
        <v>0.96122873664889086</v>
      </c>
      <c r="BJ89" s="4794">
        <f t="shared" si="193"/>
        <v>0</v>
      </c>
      <c r="BK89" s="4794">
        <f t="shared" si="194"/>
        <v>0</v>
      </c>
      <c r="BL89" s="4794">
        <f t="shared" si="195"/>
        <v>0</v>
      </c>
      <c r="BM89" s="4794">
        <f t="shared" si="196"/>
        <v>0</v>
      </c>
      <c r="BN89" s="4794">
        <f t="shared" si="197"/>
        <v>0</v>
      </c>
      <c r="BO89" s="4794">
        <f t="shared" si="198"/>
        <v>0</v>
      </c>
      <c r="BP89" s="4794">
        <f t="shared" si="199"/>
        <v>0</v>
      </c>
      <c r="BQ89" s="4794">
        <f t="shared" si="200"/>
        <v>0</v>
      </c>
      <c r="BR89" s="4794">
        <f t="shared" si="201"/>
        <v>0</v>
      </c>
      <c r="BS89" s="4794">
        <f t="shared" si="202"/>
        <v>0</v>
      </c>
      <c r="BT89" s="4794">
        <f t="shared" si="203"/>
        <v>0</v>
      </c>
      <c r="BU89" s="4794">
        <f t="shared" si="204"/>
        <v>0</v>
      </c>
      <c r="BV89" s="4794">
        <f t="shared" si="205"/>
        <v>0</v>
      </c>
      <c r="BW89" s="4794">
        <f t="shared" si="206"/>
        <v>0</v>
      </c>
      <c r="BX89" s="4794">
        <f t="shared" si="207"/>
        <v>0</v>
      </c>
      <c r="BY89" s="4794">
        <f t="shared" si="208"/>
        <v>0</v>
      </c>
      <c r="BZ89" s="4794">
        <f t="shared" si="209"/>
        <v>0</v>
      </c>
      <c r="CA89" s="4794">
        <f t="shared" si="210"/>
        <v>0</v>
      </c>
      <c r="CB89" s="4794">
        <f t="shared" si="211"/>
        <v>0</v>
      </c>
      <c r="CC89" s="4794">
        <f t="shared" si="212"/>
        <v>0</v>
      </c>
      <c r="CD89" s="4794">
        <f t="shared" si="213"/>
        <v>0</v>
      </c>
    </row>
    <row r="90" spans="1:82" s="675" customFormat="1" ht="25.5">
      <c r="A90" s="3034"/>
      <c r="B90" s="2742">
        <v>2040207</v>
      </c>
      <c r="C90" s="3035">
        <v>0.04</v>
      </c>
      <c r="D90" s="3103" t="s">
        <v>422</v>
      </c>
      <c r="E90" s="4738">
        <f t="shared" si="233"/>
        <v>5.22</v>
      </c>
      <c r="F90" s="3085">
        <f t="shared" si="234"/>
        <v>10.44</v>
      </c>
      <c r="G90" s="3083">
        <f t="shared" si="235"/>
        <v>10.44</v>
      </c>
      <c r="H90" s="3083">
        <f t="shared" si="235"/>
        <v>10.44</v>
      </c>
      <c r="I90" s="3083">
        <f t="shared" si="235"/>
        <v>10.44</v>
      </c>
      <c r="J90" s="3083">
        <f t="shared" si="235"/>
        <v>10.44</v>
      </c>
      <c r="K90" s="3084">
        <f t="shared" si="235"/>
        <v>10.44</v>
      </c>
      <c r="L90" s="4738">
        <f t="shared" si="236"/>
        <v>0</v>
      </c>
      <c r="M90" s="3085">
        <f t="shared" si="237"/>
        <v>0</v>
      </c>
      <c r="N90" s="3083">
        <f t="shared" si="238"/>
        <v>0</v>
      </c>
      <c r="O90" s="3083">
        <f t="shared" si="238"/>
        <v>0</v>
      </c>
      <c r="P90" s="3083">
        <f t="shared" si="238"/>
        <v>0</v>
      </c>
      <c r="Q90" s="3083">
        <f t="shared" si="238"/>
        <v>0</v>
      </c>
      <c r="R90" s="3086">
        <f t="shared" si="238"/>
        <v>0</v>
      </c>
      <c r="S90" s="4738">
        <f t="shared" si="239"/>
        <v>1.86</v>
      </c>
      <c r="T90" s="4477">
        <f t="shared" si="240"/>
        <v>3.72</v>
      </c>
      <c r="U90" s="3083">
        <f t="shared" si="241"/>
        <v>3.72</v>
      </c>
      <c r="V90" s="3083">
        <f t="shared" si="241"/>
        <v>3.72</v>
      </c>
      <c r="W90" s="3083">
        <f t="shared" si="241"/>
        <v>3.72</v>
      </c>
      <c r="X90" s="3083">
        <f t="shared" si="241"/>
        <v>3.72</v>
      </c>
      <c r="Y90" s="3086">
        <f t="shared" si="241"/>
        <v>3.72</v>
      </c>
      <c r="Z90" s="4738">
        <f t="shared" si="242"/>
        <v>0</v>
      </c>
      <c r="AA90" s="4477">
        <f t="shared" si="243"/>
        <v>0</v>
      </c>
      <c r="AB90" s="3083">
        <f t="shared" si="244"/>
        <v>0</v>
      </c>
      <c r="AC90" s="3083">
        <f t="shared" si="244"/>
        <v>0</v>
      </c>
      <c r="AD90" s="3083">
        <f t="shared" si="244"/>
        <v>0</v>
      </c>
      <c r="AE90" s="3083">
        <f t="shared" si="244"/>
        <v>0</v>
      </c>
      <c r="AF90" s="3086">
        <f t="shared" si="244"/>
        <v>0</v>
      </c>
      <c r="AG90" s="4738">
        <f t="shared" si="245"/>
        <v>0</v>
      </c>
      <c r="AH90" s="4477">
        <f t="shared" si="246"/>
        <v>0</v>
      </c>
      <c r="AI90" s="3083">
        <f t="shared" si="247"/>
        <v>0</v>
      </c>
      <c r="AJ90" s="3083">
        <f t="shared" si="247"/>
        <v>0</v>
      </c>
      <c r="AK90" s="3083">
        <f t="shared" si="247"/>
        <v>0</v>
      </c>
      <c r="AL90" s="3083">
        <f t="shared" si="247"/>
        <v>0</v>
      </c>
      <c r="AM90" s="3086">
        <f t="shared" si="247"/>
        <v>0</v>
      </c>
      <c r="AN90" s="4368"/>
      <c r="AO90" s="3175"/>
      <c r="AP90" s="3176"/>
      <c r="AQ90" s="3176"/>
      <c r="AR90" s="3176"/>
      <c r="AS90" s="3176"/>
      <c r="AT90" s="3177"/>
      <c r="AU90" s="4775"/>
      <c r="AV90" s="4794">
        <f t="shared" si="179"/>
        <v>2.6689436198442604</v>
      </c>
      <c r="AW90" s="4794">
        <f t="shared" si="180"/>
        <v>5.3378872396885209</v>
      </c>
      <c r="AX90" s="4794">
        <f t="shared" si="181"/>
        <v>5.3378872396885209</v>
      </c>
      <c r="AY90" s="4794">
        <f t="shared" si="182"/>
        <v>5.3378872396885209</v>
      </c>
      <c r="AZ90" s="4794">
        <f t="shared" si="183"/>
        <v>5.3378872396885209</v>
      </c>
      <c r="BA90" s="4794">
        <f t="shared" si="184"/>
        <v>5.3378872396885209</v>
      </c>
      <c r="BB90" s="4794">
        <f t="shared" si="185"/>
        <v>5.3378872396885209</v>
      </c>
      <c r="BC90" s="4794">
        <f t="shared" si="186"/>
        <v>0</v>
      </c>
      <c r="BD90" s="4794">
        <f t="shared" si="187"/>
        <v>0</v>
      </c>
      <c r="BE90" s="4794">
        <f t="shared" si="188"/>
        <v>0</v>
      </c>
      <c r="BF90" s="4794">
        <f t="shared" si="189"/>
        <v>0</v>
      </c>
      <c r="BG90" s="4794">
        <f t="shared" si="190"/>
        <v>0</v>
      </c>
      <c r="BH90" s="4794">
        <f t="shared" si="191"/>
        <v>0</v>
      </c>
      <c r="BI90" s="4794">
        <f t="shared" si="192"/>
        <v>0</v>
      </c>
      <c r="BJ90" s="4794">
        <f t="shared" si="193"/>
        <v>0.95100289902496649</v>
      </c>
      <c r="BK90" s="4794">
        <f t="shared" si="194"/>
        <v>1.902005798049933</v>
      </c>
      <c r="BL90" s="4794">
        <f t="shared" si="195"/>
        <v>1.902005798049933</v>
      </c>
      <c r="BM90" s="4794">
        <f t="shared" si="196"/>
        <v>1.902005798049933</v>
      </c>
      <c r="BN90" s="4794">
        <f t="shared" si="197"/>
        <v>1.902005798049933</v>
      </c>
      <c r="BO90" s="4794">
        <f t="shared" si="198"/>
        <v>1.902005798049933</v>
      </c>
      <c r="BP90" s="4794">
        <f t="shared" si="199"/>
        <v>1.902005798049933</v>
      </c>
      <c r="BQ90" s="4794">
        <f t="shared" si="200"/>
        <v>0</v>
      </c>
      <c r="BR90" s="4794">
        <f t="shared" si="201"/>
        <v>0</v>
      </c>
      <c r="BS90" s="4794">
        <f t="shared" si="202"/>
        <v>0</v>
      </c>
      <c r="BT90" s="4794">
        <f t="shared" si="203"/>
        <v>0</v>
      </c>
      <c r="BU90" s="4794">
        <f t="shared" si="204"/>
        <v>0</v>
      </c>
      <c r="BV90" s="4794">
        <f t="shared" si="205"/>
        <v>0</v>
      </c>
      <c r="BW90" s="4794">
        <f t="shared" si="206"/>
        <v>0</v>
      </c>
      <c r="BX90" s="4794">
        <f t="shared" si="207"/>
        <v>0</v>
      </c>
      <c r="BY90" s="4794">
        <f t="shared" si="208"/>
        <v>0</v>
      </c>
      <c r="BZ90" s="4794">
        <f t="shared" si="209"/>
        <v>0</v>
      </c>
      <c r="CA90" s="4794">
        <f t="shared" si="210"/>
        <v>0</v>
      </c>
      <c r="CB90" s="4794">
        <f t="shared" si="211"/>
        <v>0</v>
      </c>
      <c r="CC90" s="4794">
        <f t="shared" si="212"/>
        <v>0</v>
      </c>
      <c r="CD90" s="4794">
        <f t="shared" si="213"/>
        <v>0</v>
      </c>
    </row>
    <row r="91" spans="1:82" s="675" customFormat="1">
      <c r="A91" s="3034"/>
      <c r="B91" s="2742">
        <v>2040208</v>
      </c>
      <c r="C91" s="3035">
        <v>0.04</v>
      </c>
      <c r="D91" s="3103" t="s">
        <v>423</v>
      </c>
      <c r="E91" s="4738">
        <f t="shared" si="233"/>
        <v>0</v>
      </c>
      <c r="F91" s="3085">
        <f t="shared" si="234"/>
        <v>0</v>
      </c>
      <c r="G91" s="3083">
        <f t="shared" si="235"/>
        <v>0</v>
      </c>
      <c r="H91" s="3083">
        <f t="shared" si="235"/>
        <v>0</v>
      </c>
      <c r="I91" s="3083">
        <f t="shared" si="235"/>
        <v>0</v>
      </c>
      <c r="J91" s="3083">
        <f t="shared" si="235"/>
        <v>0</v>
      </c>
      <c r="K91" s="3084">
        <f t="shared" si="235"/>
        <v>0</v>
      </c>
      <c r="L91" s="4738">
        <f t="shared" si="236"/>
        <v>0</v>
      </c>
      <c r="M91" s="3085">
        <f t="shared" si="237"/>
        <v>0</v>
      </c>
      <c r="N91" s="3083">
        <f t="shared" si="238"/>
        <v>0</v>
      </c>
      <c r="O91" s="3083">
        <f t="shared" si="238"/>
        <v>0</v>
      </c>
      <c r="P91" s="3083">
        <f t="shared" si="238"/>
        <v>0</v>
      </c>
      <c r="Q91" s="3083">
        <f t="shared" si="238"/>
        <v>0</v>
      </c>
      <c r="R91" s="3086">
        <f t="shared" si="238"/>
        <v>0</v>
      </c>
      <c r="S91" s="4738">
        <f t="shared" si="239"/>
        <v>0</v>
      </c>
      <c r="T91" s="4477">
        <f t="shared" si="240"/>
        <v>0</v>
      </c>
      <c r="U91" s="3083">
        <f t="shared" si="241"/>
        <v>0</v>
      </c>
      <c r="V91" s="3083">
        <f t="shared" si="241"/>
        <v>0</v>
      </c>
      <c r="W91" s="3083">
        <f t="shared" si="241"/>
        <v>0</v>
      </c>
      <c r="X91" s="3083">
        <f t="shared" si="241"/>
        <v>0</v>
      </c>
      <c r="Y91" s="3086">
        <f t="shared" si="241"/>
        <v>0</v>
      </c>
      <c r="Z91" s="4738">
        <f t="shared" si="242"/>
        <v>0</v>
      </c>
      <c r="AA91" s="4477">
        <f t="shared" si="243"/>
        <v>0</v>
      </c>
      <c r="AB91" s="3083">
        <f t="shared" si="244"/>
        <v>0</v>
      </c>
      <c r="AC91" s="3083">
        <f t="shared" si="244"/>
        <v>0</v>
      </c>
      <c r="AD91" s="3083">
        <f t="shared" si="244"/>
        <v>0</v>
      </c>
      <c r="AE91" s="3083">
        <f t="shared" si="244"/>
        <v>0</v>
      </c>
      <c r="AF91" s="3086">
        <f t="shared" si="244"/>
        <v>0</v>
      </c>
      <c r="AG91" s="4738">
        <f t="shared" si="245"/>
        <v>0</v>
      </c>
      <c r="AH91" s="4477">
        <f t="shared" si="246"/>
        <v>0</v>
      </c>
      <c r="AI91" s="3083">
        <f t="shared" si="247"/>
        <v>0</v>
      </c>
      <c r="AJ91" s="3083">
        <f t="shared" si="247"/>
        <v>0</v>
      </c>
      <c r="AK91" s="3083">
        <f t="shared" si="247"/>
        <v>0</v>
      </c>
      <c r="AL91" s="3083">
        <f t="shared" si="247"/>
        <v>0</v>
      </c>
      <c r="AM91" s="3086">
        <f t="shared" si="247"/>
        <v>0</v>
      </c>
      <c r="AN91" s="4368"/>
      <c r="AO91" s="3175"/>
      <c r="AP91" s="3176"/>
      <c r="AQ91" s="3176"/>
      <c r="AR91" s="3176"/>
      <c r="AS91" s="3176"/>
      <c r="AT91" s="3177"/>
      <c r="AU91" s="4775"/>
      <c r="AV91" s="4794">
        <f t="shared" si="179"/>
        <v>0</v>
      </c>
      <c r="AW91" s="4794">
        <f t="shared" si="180"/>
        <v>0</v>
      </c>
      <c r="AX91" s="4794">
        <f t="shared" si="181"/>
        <v>0</v>
      </c>
      <c r="AY91" s="4794">
        <f t="shared" si="182"/>
        <v>0</v>
      </c>
      <c r="AZ91" s="4794">
        <f t="shared" si="183"/>
        <v>0</v>
      </c>
      <c r="BA91" s="4794">
        <f t="shared" si="184"/>
        <v>0</v>
      </c>
      <c r="BB91" s="4794">
        <f t="shared" si="185"/>
        <v>0</v>
      </c>
      <c r="BC91" s="4794">
        <f t="shared" si="186"/>
        <v>0</v>
      </c>
      <c r="BD91" s="4794">
        <f t="shared" si="187"/>
        <v>0</v>
      </c>
      <c r="BE91" s="4794">
        <f t="shared" si="188"/>
        <v>0</v>
      </c>
      <c r="BF91" s="4794">
        <f t="shared" si="189"/>
        <v>0</v>
      </c>
      <c r="BG91" s="4794">
        <f t="shared" si="190"/>
        <v>0</v>
      </c>
      <c r="BH91" s="4794">
        <f t="shared" si="191"/>
        <v>0</v>
      </c>
      <c r="BI91" s="4794">
        <f t="shared" si="192"/>
        <v>0</v>
      </c>
      <c r="BJ91" s="4794">
        <f t="shared" si="193"/>
        <v>0</v>
      </c>
      <c r="BK91" s="4794">
        <f t="shared" si="194"/>
        <v>0</v>
      </c>
      <c r="BL91" s="4794">
        <f t="shared" si="195"/>
        <v>0</v>
      </c>
      <c r="BM91" s="4794">
        <f t="shared" si="196"/>
        <v>0</v>
      </c>
      <c r="BN91" s="4794">
        <f t="shared" si="197"/>
        <v>0</v>
      </c>
      <c r="BO91" s="4794">
        <f t="shared" si="198"/>
        <v>0</v>
      </c>
      <c r="BP91" s="4794">
        <f t="shared" si="199"/>
        <v>0</v>
      </c>
      <c r="BQ91" s="4794">
        <f t="shared" si="200"/>
        <v>0</v>
      </c>
      <c r="BR91" s="4794">
        <f t="shared" si="201"/>
        <v>0</v>
      </c>
      <c r="BS91" s="4794">
        <f t="shared" si="202"/>
        <v>0</v>
      </c>
      <c r="BT91" s="4794">
        <f t="shared" si="203"/>
        <v>0</v>
      </c>
      <c r="BU91" s="4794">
        <f t="shared" si="204"/>
        <v>0</v>
      </c>
      <c r="BV91" s="4794">
        <f t="shared" si="205"/>
        <v>0</v>
      </c>
      <c r="BW91" s="4794">
        <f t="shared" si="206"/>
        <v>0</v>
      </c>
      <c r="BX91" s="4794">
        <f t="shared" si="207"/>
        <v>0</v>
      </c>
      <c r="BY91" s="4794">
        <f t="shared" si="208"/>
        <v>0</v>
      </c>
      <c r="BZ91" s="4794">
        <f t="shared" si="209"/>
        <v>0</v>
      </c>
      <c r="CA91" s="4794">
        <f t="shared" si="210"/>
        <v>0</v>
      </c>
      <c r="CB91" s="4794">
        <f t="shared" si="211"/>
        <v>0</v>
      </c>
      <c r="CC91" s="4794">
        <f t="shared" si="212"/>
        <v>0</v>
      </c>
      <c r="CD91" s="4794">
        <f t="shared" si="213"/>
        <v>0</v>
      </c>
    </row>
    <row r="92" spans="1:82" s="675" customFormat="1">
      <c r="A92" s="3034"/>
      <c r="B92" s="2742">
        <v>20403</v>
      </c>
      <c r="C92" s="3035">
        <v>0.04</v>
      </c>
      <c r="D92" s="3051" t="s">
        <v>1050</v>
      </c>
      <c r="E92" s="4738">
        <f t="shared" si="233"/>
        <v>0</v>
      </c>
      <c r="F92" s="3085">
        <f t="shared" si="234"/>
        <v>0</v>
      </c>
      <c r="G92" s="3083">
        <f t="shared" si="235"/>
        <v>0</v>
      </c>
      <c r="H92" s="3083">
        <f t="shared" si="235"/>
        <v>0</v>
      </c>
      <c r="I92" s="3083">
        <f t="shared" si="235"/>
        <v>0</v>
      </c>
      <c r="J92" s="3083">
        <f t="shared" si="235"/>
        <v>0</v>
      </c>
      <c r="K92" s="3084">
        <f t="shared" si="235"/>
        <v>0</v>
      </c>
      <c r="L92" s="4738">
        <f t="shared" si="236"/>
        <v>0</v>
      </c>
      <c r="M92" s="3085">
        <f t="shared" si="237"/>
        <v>0</v>
      </c>
      <c r="N92" s="3083">
        <f t="shared" si="238"/>
        <v>0</v>
      </c>
      <c r="O92" s="3083">
        <f t="shared" si="238"/>
        <v>0</v>
      </c>
      <c r="P92" s="3083">
        <f t="shared" si="238"/>
        <v>0</v>
      </c>
      <c r="Q92" s="3083">
        <f t="shared" si="238"/>
        <v>0</v>
      </c>
      <c r="R92" s="3086">
        <f t="shared" si="238"/>
        <v>0</v>
      </c>
      <c r="S92" s="4738">
        <f t="shared" si="239"/>
        <v>0</v>
      </c>
      <c r="T92" s="4477">
        <f t="shared" si="240"/>
        <v>0</v>
      </c>
      <c r="U92" s="3083">
        <f t="shared" si="241"/>
        <v>0</v>
      </c>
      <c r="V92" s="3083">
        <f t="shared" si="241"/>
        <v>0</v>
      </c>
      <c r="W92" s="3083">
        <f t="shared" si="241"/>
        <v>0</v>
      </c>
      <c r="X92" s="3083">
        <f t="shared" si="241"/>
        <v>0</v>
      </c>
      <c r="Y92" s="3086">
        <f t="shared" si="241"/>
        <v>0</v>
      </c>
      <c r="Z92" s="4738">
        <f t="shared" si="242"/>
        <v>0</v>
      </c>
      <c r="AA92" s="4477">
        <f t="shared" si="243"/>
        <v>0</v>
      </c>
      <c r="AB92" s="3083">
        <f t="shared" si="244"/>
        <v>0</v>
      </c>
      <c r="AC92" s="3083">
        <f t="shared" si="244"/>
        <v>0</v>
      </c>
      <c r="AD92" s="3083">
        <f t="shared" si="244"/>
        <v>0</v>
      </c>
      <c r="AE92" s="3083">
        <f t="shared" si="244"/>
        <v>0</v>
      </c>
      <c r="AF92" s="3086">
        <f t="shared" si="244"/>
        <v>0</v>
      </c>
      <c r="AG92" s="4738">
        <f t="shared" si="245"/>
        <v>0</v>
      </c>
      <c r="AH92" s="4477">
        <f t="shared" si="246"/>
        <v>0</v>
      </c>
      <c r="AI92" s="3083">
        <f t="shared" si="247"/>
        <v>0</v>
      </c>
      <c r="AJ92" s="3083">
        <f t="shared" si="247"/>
        <v>0</v>
      </c>
      <c r="AK92" s="3083">
        <f t="shared" si="247"/>
        <v>0</v>
      </c>
      <c r="AL92" s="3083">
        <f t="shared" si="247"/>
        <v>0</v>
      </c>
      <c r="AM92" s="3086">
        <f t="shared" si="247"/>
        <v>0</v>
      </c>
      <c r="AN92" s="4368"/>
      <c r="AO92" s="3175"/>
      <c r="AP92" s="3176"/>
      <c r="AQ92" s="3176"/>
      <c r="AR92" s="3176"/>
      <c r="AS92" s="3176"/>
      <c r="AT92" s="3177"/>
      <c r="AU92" s="4775"/>
      <c r="AV92" s="4794">
        <f t="shared" si="179"/>
        <v>0</v>
      </c>
      <c r="AW92" s="4794">
        <f t="shared" si="180"/>
        <v>0</v>
      </c>
      <c r="AX92" s="4794">
        <f t="shared" si="181"/>
        <v>0</v>
      </c>
      <c r="AY92" s="4794">
        <f t="shared" si="182"/>
        <v>0</v>
      </c>
      <c r="AZ92" s="4794">
        <f t="shared" si="183"/>
        <v>0</v>
      </c>
      <c r="BA92" s="4794">
        <f t="shared" si="184"/>
        <v>0</v>
      </c>
      <c r="BB92" s="4794">
        <f t="shared" si="185"/>
        <v>0</v>
      </c>
      <c r="BC92" s="4794">
        <f t="shared" si="186"/>
        <v>0</v>
      </c>
      <c r="BD92" s="4794">
        <f t="shared" si="187"/>
        <v>0</v>
      </c>
      <c r="BE92" s="4794">
        <f t="shared" si="188"/>
        <v>0</v>
      </c>
      <c r="BF92" s="4794">
        <f t="shared" si="189"/>
        <v>0</v>
      </c>
      <c r="BG92" s="4794">
        <f t="shared" si="190"/>
        <v>0</v>
      </c>
      <c r="BH92" s="4794">
        <f t="shared" si="191"/>
        <v>0</v>
      </c>
      <c r="BI92" s="4794">
        <f t="shared" si="192"/>
        <v>0</v>
      </c>
      <c r="BJ92" s="4794">
        <f t="shared" si="193"/>
        <v>0</v>
      </c>
      <c r="BK92" s="4794">
        <f t="shared" si="194"/>
        <v>0</v>
      </c>
      <c r="BL92" s="4794">
        <f t="shared" si="195"/>
        <v>0</v>
      </c>
      <c r="BM92" s="4794">
        <f t="shared" si="196"/>
        <v>0</v>
      </c>
      <c r="BN92" s="4794">
        <f t="shared" si="197"/>
        <v>0</v>
      </c>
      <c r="BO92" s="4794">
        <f t="shared" si="198"/>
        <v>0</v>
      </c>
      <c r="BP92" s="4794">
        <f t="shared" si="199"/>
        <v>0</v>
      </c>
      <c r="BQ92" s="4794">
        <f t="shared" si="200"/>
        <v>0</v>
      </c>
      <c r="BR92" s="4794">
        <f t="shared" si="201"/>
        <v>0</v>
      </c>
      <c r="BS92" s="4794">
        <f t="shared" si="202"/>
        <v>0</v>
      </c>
      <c r="BT92" s="4794">
        <f t="shared" si="203"/>
        <v>0</v>
      </c>
      <c r="BU92" s="4794">
        <f t="shared" si="204"/>
        <v>0</v>
      </c>
      <c r="BV92" s="4794">
        <f t="shared" si="205"/>
        <v>0</v>
      </c>
      <c r="BW92" s="4794">
        <f t="shared" si="206"/>
        <v>0</v>
      </c>
      <c r="BX92" s="4794">
        <f t="shared" si="207"/>
        <v>0</v>
      </c>
      <c r="BY92" s="4794">
        <f t="shared" si="208"/>
        <v>0</v>
      </c>
      <c r="BZ92" s="4794">
        <f t="shared" si="209"/>
        <v>0</v>
      </c>
      <c r="CA92" s="4794">
        <f t="shared" si="210"/>
        <v>0</v>
      </c>
      <c r="CB92" s="4794">
        <f t="shared" si="211"/>
        <v>0</v>
      </c>
      <c r="CC92" s="4794">
        <f t="shared" si="212"/>
        <v>0</v>
      </c>
      <c r="CD92" s="4794">
        <f t="shared" si="213"/>
        <v>0</v>
      </c>
    </row>
    <row r="93" spans="1:82" s="675" customFormat="1" ht="25.5">
      <c r="A93" s="3034"/>
      <c r="B93" s="2742" t="s">
        <v>1051</v>
      </c>
      <c r="C93" s="3035">
        <v>0.04</v>
      </c>
      <c r="D93" s="3051" t="s">
        <v>1052</v>
      </c>
      <c r="E93" s="4738">
        <f t="shared" si="233"/>
        <v>0</v>
      </c>
      <c r="F93" s="3085">
        <f t="shared" si="234"/>
        <v>0</v>
      </c>
      <c r="G93" s="3083">
        <f t="shared" si="235"/>
        <v>0</v>
      </c>
      <c r="H93" s="3083">
        <f t="shared" si="235"/>
        <v>0</v>
      </c>
      <c r="I93" s="3083">
        <f t="shared" si="235"/>
        <v>0</v>
      </c>
      <c r="J93" s="3083">
        <f t="shared" si="235"/>
        <v>0</v>
      </c>
      <c r="K93" s="3084">
        <f t="shared" si="235"/>
        <v>0</v>
      </c>
      <c r="L93" s="4738">
        <f t="shared" si="236"/>
        <v>0</v>
      </c>
      <c r="M93" s="3085">
        <f t="shared" si="237"/>
        <v>0</v>
      </c>
      <c r="N93" s="3083">
        <f t="shared" si="238"/>
        <v>0</v>
      </c>
      <c r="O93" s="3083">
        <f t="shared" si="238"/>
        <v>0</v>
      </c>
      <c r="P93" s="3083">
        <f t="shared" si="238"/>
        <v>0</v>
      </c>
      <c r="Q93" s="3083">
        <f t="shared" si="238"/>
        <v>0</v>
      </c>
      <c r="R93" s="3086">
        <f t="shared" si="238"/>
        <v>0</v>
      </c>
      <c r="S93" s="4738">
        <f t="shared" si="239"/>
        <v>0</v>
      </c>
      <c r="T93" s="4477">
        <f t="shared" si="240"/>
        <v>0</v>
      </c>
      <c r="U93" s="3083">
        <f t="shared" si="241"/>
        <v>0</v>
      </c>
      <c r="V93" s="3083">
        <f t="shared" si="241"/>
        <v>0</v>
      </c>
      <c r="W93" s="3083">
        <f t="shared" si="241"/>
        <v>0</v>
      </c>
      <c r="X93" s="3083">
        <f t="shared" si="241"/>
        <v>0</v>
      </c>
      <c r="Y93" s="3086">
        <f t="shared" si="241"/>
        <v>0</v>
      </c>
      <c r="Z93" s="4738">
        <f t="shared" si="242"/>
        <v>0</v>
      </c>
      <c r="AA93" s="4477">
        <f t="shared" si="243"/>
        <v>0</v>
      </c>
      <c r="AB93" s="3083">
        <f t="shared" si="244"/>
        <v>0</v>
      </c>
      <c r="AC93" s="3083">
        <f t="shared" si="244"/>
        <v>0</v>
      </c>
      <c r="AD93" s="3083">
        <f t="shared" si="244"/>
        <v>0</v>
      </c>
      <c r="AE93" s="3083">
        <f t="shared" si="244"/>
        <v>0</v>
      </c>
      <c r="AF93" s="3086">
        <f t="shared" si="244"/>
        <v>0</v>
      </c>
      <c r="AG93" s="4738">
        <f t="shared" si="245"/>
        <v>0</v>
      </c>
      <c r="AH93" s="4477">
        <f t="shared" si="246"/>
        <v>0</v>
      </c>
      <c r="AI93" s="3083">
        <f t="shared" si="247"/>
        <v>0</v>
      </c>
      <c r="AJ93" s="3083">
        <f t="shared" si="247"/>
        <v>0</v>
      </c>
      <c r="AK93" s="3083">
        <f t="shared" si="247"/>
        <v>0</v>
      </c>
      <c r="AL93" s="3083">
        <f t="shared" si="247"/>
        <v>0</v>
      </c>
      <c r="AM93" s="3086">
        <f t="shared" si="247"/>
        <v>0</v>
      </c>
      <c r="AN93" s="4368"/>
      <c r="AO93" s="3175"/>
      <c r="AP93" s="3176"/>
      <c r="AQ93" s="3176"/>
      <c r="AR93" s="3176"/>
      <c r="AS93" s="3176"/>
      <c r="AT93" s="3177"/>
      <c r="AU93" s="4775"/>
      <c r="AV93" s="4794">
        <f t="shared" si="179"/>
        <v>0</v>
      </c>
      <c r="AW93" s="4794">
        <f t="shared" si="180"/>
        <v>0</v>
      </c>
      <c r="AX93" s="4794">
        <f t="shared" si="181"/>
        <v>0</v>
      </c>
      <c r="AY93" s="4794">
        <f t="shared" si="182"/>
        <v>0</v>
      </c>
      <c r="AZ93" s="4794">
        <f t="shared" si="183"/>
        <v>0</v>
      </c>
      <c r="BA93" s="4794">
        <f t="shared" si="184"/>
        <v>0</v>
      </c>
      <c r="BB93" s="4794">
        <f t="shared" si="185"/>
        <v>0</v>
      </c>
      <c r="BC93" s="4794">
        <f t="shared" si="186"/>
        <v>0</v>
      </c>
      <c r="BD93" s="4794">
        <f t="shared" si="187"/>
        <v>0</v>
      </c>
      <c r="BE93" s="4794">
        <f t="shared" si="188"/>
        <v>0</v>
      </c>
      <c r="BF93" s="4794">
        <f t="shared" si="189"/>
        <v>0</v>
      </c>
      <c r="BG93" s="4794">
        <f t="shared" si="190"/>
        <v>0</v>
      </c>
      <c r="BH93" s="4794">
        <f t="shared" si="191"/>
        <v>0</v>
      </c>
      <c r="BI93" s="4794">
        <f t="shared" si="192"/>
        <v>0</v>
      </c>
      <c r="BJ93" s="4794">
        <f t="shared" si="193"/>
        <v>0</v>
      </c>
      <c r="BK93" s="4794">
        <f t="shared" si="194"/>
        <v>0</v>
      </c>
      <c r="BL93" s="4794">
        <f t="shared" si="195"/>
        <v>0</v>
      </c>
      <c r="BM93" s="4794">
        <f t="shared" si="196"/>
        <v>0</v>
      </c>
      <c r="BN93" s="4794">
        <f t="shared" si="197"/>
        <v>0</v>
      </c>
      <c r="BO93" s="4794">
        <f t="shared" si="198"/>
        <v>0</v>
      </c>
      <c r="BP93" s="4794">
        <f t="shared" si="199"/>
        <v>0</v>
      </c>
      <c r="BQ93" s="4794">
        <f t="shared" si="200"/>
        <v>0</v>
      </c>
      <c r="BR93" s="4794">
        <f t="shared" si="201"/>
        <v>0</v>
      </c>
      <c r="BS93" s="4794">
        <f t="shared" si="202"/>
        <v>0</v>
      </c>
      <c r="BT93" s="4794">
        <f t="shared" si="203"/>
        <v>0</v>
      </c>
      <c r="BU93" s="4794">
        <f t="shared" si="204"/>
        <v>0</v>
      </c>
      <c r="BV93" s="4794">
        <f t="shared" si="205"/>
        <v>0</v>
      </c>
      <c r="BW93" s="4794">
        <f t="shared" si="206"/>
        <v>0</v>
      </c>
      <c r="BX93" s="4794">
        <f t="shared" si="207"/>
        <v>0</v>
      </c>
      <c r="BY93" s="4794">
        <f t="shared" si="208"/>
        <v>0</v>
      </c>
      <c r="BZ93" s="4794">
        <f t="shared" si="209"/>
        <v>0</v>
      </c>
      <c r="CA93" s="4794">
        <f t="shared" si="210"/>
        <v>0</v>
      </c>
      <c r="CB93" s="4794">
        <f t="shared" si="211"/>
        <v>0</v>
      </c>
      <c r="CC93" s="4794">
        <f t="shared" si="212"/>
        <v>0</v>
      </c>
      <c r="CD93" s="4794">
        <f t="shared" si="213"/>
        <v>0</v>
      </c>
    </row>
    <row r="94" spans="1:82" s="675" customFormat="1">
      <c r="A94" s="3025">
        <v>5</v>
      </c>
      <c r="B94" s="3026">
        <v>205</v>
      </c>
      <c r="C94" s="3026"/>
      <c r="D94" s="3107" t="s">
        <v>212</v>
      </c>
      <c r="E94" s="4474">
        <f>SUM(E95:E98)</f>
        <v>86.640000000000015</v>
      </c>
      <c r="F94" s="3108">
        <f>SUM(F95:F98)</f>
        <v>173.28000000000003</v>
      </c>
      <c r="G94" s="3109">
        <f>SUM(G95:G98)</f>
        <v>173.28000000000003</v>
      </c>
      <c r="H94" s="3109">
        <f t="shared" ref="H94:K94" si="248">SUM(H95:H98)</f>
        <v>173.28000000000003</v>
      </c>
      <c r="I94" s="3109">
        <f t="shared" si="248"/>
        <v>173.28000000000003</v>
      </c>
      <c r="J94" s="3109">
        <f t="shared" si="248"/>
        <v>173.28000000000003</v>
      </c>
      <c r="K94" s="3110">
        <f t="shared" si="248"/>
        <v>173.28000000000003</v>
      </c>
      <c r="L94" s="4474">
        <f>SUM(L95:L98)</f>
        <v>0</v>
      </c>
      <c r="M94" s="3111">
        <f>SUM(M95:M98)</f>
        <v>0</v>
      </c>
      <c r="N94" s="3109">
        <f>SUM(N95:N98)</f>
        <v>0</v>
      </c>
      <c r="O94" s="3109">
        <f t="shared" ref="O94:R94" si="249">SUM(O95:O98)</f>
        <v>0</v>
      </c>
      <c r="P94" s="3109">
        <f t="shared" si="249"/>
        <v>0</v>
      </c>
      <c r="Q94" s="3109">
        <f t="shared" si="249"/>
        <v>0</v>
      </c>
      <c r="R94" s="3112">
        <f t="shared" si="249"/>
        <v>0</v>
      </c>
      <c r="S94" s="4479">
        <f>SUM(S95:S98)</f>
        <v>0</v>
      </c>
      <c r="T94" s="3113">
        <f>SUM(T95:T98)</f>
        <v>0</v>
      </c>
      <c r="U94" s="3109">
        <f>SUM(U95:U98)</f>
        <v>0</v>
      </c>
      <c r="V94" s="3109">
        <f t="shared" ref="V94:Y94" si="250">SUM(V95:V98)</f>
        <v>0</v>
      </c>
      <c r="W94" s="3109">
        <f t="shared" si="250"/>
        <v>0</v>
      </c>
      <c r="X94" s="3109">
        <f t="shared" si="250"/>
        <v>0</v>
      </c>
      <c r="Y94" s="3112">
        <f t="shared" si="250"/>
        <v>0</v>
      </c>
      <c r="Z94" s="4479">
        <f>SUM(Z95:Z98)</f>
        <v>0</v>
      </c>
      <c r="AA94" s="3113">
        <f>SUM(AA95:AA98)</f>
        <v>0</v>
      </c>
      <c r="AB94" s="3109">
        <f>SUM(AB95:AB98)</f>
        <v>0</v>
      </c>
      <c r="AC94" s="3109">
        <f t="shared" ref="AC94:AF94" si="251">SUM(AC95:AC98)</f>
        <v>0</v>
      </c>
      <c r="AD94" s="3109">
        <f t="shared" si="251"/>
        <v>0</v>
      </c>
      <c r="AE94" s="3109">
        <f t="shared" si="251"/>
        <v>0</v>
      </c>
      <c r="AF94" s="3112">
        <f t="shared" si="251"/>
        <v>0</v>
      </c>
      <c r="AG94" s="4479">
        <f>SUM(AG95:AG98)</f>
        <v>0</v>
      </c>
      <c r="AH94" s="3113">
        <f>SUM(AH95:AH98)</f>
        <v>0</v>
      </c>
      <c r="AI94" s="3109">
        <f>SUM(AI95:AI98)</f>
        <v>0</v>
      </c>
      <c r="AJ94" s="3109">
        <f t="shared" ref="AJ94:AM94" si="252">SUM(AJ95:AJ98)</f>
        <v>0</v>
      </c>
      <c r="AK94" s="3109">
        <f t="shared" si="252"/>
        <v>0</v>
      </c>
      <c r="AL94" s="3109">
        <f t="shared" si="252"/>
        <v>0</v>
      </c>
      <c r="AM94" s="3112">
        <f t="shared" si="252"/>
        <v>0</v>
      </c>
      <c r="AN94" s="4373">
        <f>SUM(AN95:AN98)</f>
        <v>0</v>
      </c>
      <c r="AO94" s="3175"/>
      <c r="AP94" s="3176"/>
      <c r="AQ94" s="3176"/>
      <c r="AR94" s="3176"/>
      <c r="AS94" s="3176"/>
      <c r="AT94" s="3177"/>
      <c r="AU94" s="4775"/>
      <c r="AV94" s="4794">
        <f t="shared" si="179"/>
        <v>44.298328586840377</v>
      </c>
      <c r="AW94" s="4794">
        <f t="shared" si="180"/>
        <v>88.596657173680754</v>
      </c>
      <c r="AX94" s="4794">
        <f t="shared" si="181"/>
        <v>88.596657173680754</v>
      </c>
      <c r="AY94" s="4794">
        <f t="shared" si="182"/>
        <v>88.596657173680754</v>
      </c>
      <c r="AZ94" s="4794">
        <f t="shared" si="183"/>
        <v>88.596657173680754</v>
      </c>
      <c r="BA94" s="4794">
        <f t="shared" si="184"/>
        <v>88.596657173680754</v>
      </c>
      <c r="BB94" s="4794">
        <f t="shared" si="185"/>
        <v>88.596657173680754</v>
      </c>
      <c r="BC94" s="4794">
        <f t="shared" si="186"/>
        <v>0</v>
      </c>
      <c r="BD94" s="4794">
        <f t="shared" si="187"/>
        <v>0</v>
      </c>
      <c r="BE94" s="4794">
        <f t="shared" si="188"/>
        <v>0</v>
      </c>
      <c r="BF94" s="4794">
        <f t="shared" si="189"/>
        <v>0</v>
      </c>
      <c r="BG94" s="4794">
        <f t="shared" si="190"/>
        <v>0</v>
      </c>
      <c r="BH94" s="4794">
        <f t="shared" si="191"/>
        <v>0</v>
      </c>
      <c r="BI94" s="4794">
        <f t="shared" si="192"/>
        <v>0</v>
      </c>
      <c r="BJ94" s="4794">
        <f t="shared" si="193"/>
        <v>0</v>
      </c>
      <c r="BK94" s="4794">
        <f t="shared" si="194"/>
        <v>0</v>
      </c>
      <c r="BL94" s="4794">
        <f t="shared" si="195"/>
        <v>0</v>
      </c>
      <c r="BM94" s="4794">
        <f t="shared" si="196"/>
        <v>0</v>
      </c>
      <c r="BN94" s="4794">
        <f t="shared" si="197"/>
        <v>0</v>
      </c>
      <c r="BO94" s="4794">
        <f t="shared" si="198"/>
        <v>0</v>
      </c>
      <c r="BP94" s="4794">
        <f t="shared" si="199"/>
        <v>0</v>
      </c>
      <c r="BQ94" s="4794">
        <f t="shared" si="200"/>
        <v>0</v>
      </c>
      <c r="BR94" s="4794">
        <f t="shared" si="201"/>
        <v>0</v>
      </c>
      <c r="BS94" s="4794">
        <f t="shared" si="202"/>
        <v>0</v>
      </c>
      <c r="BT94" s="4794">
        <f t="shared" si="203"/>
        <v>0</v>
      </c>
      <c r="BU94" s="4794">
        <f t="shared" si="204"/>
        <v>0</v>
      </c>
      <c r="BV94" s="4794">
        <f t="shared" si="205"/>
        <v>0</v>
      </c>
      <c r="BW94" s="4794">
        <f t="shared" si="206"/>
        <v>0</v>
      </c>
      <c r="BX94" s="4794">
        <f t="shared" si="207"/>
        <v>0</v>
      </c>
      <c r="BY94" s="4794">
        <f t="shared" si="208"/>
        <v>0</v>
      </c>
      <c r="BZ94" s="4794">
        <f t="shared" si="209"/>
        <v>0</v>
      </c>
      <c r="CA94" s="4794">
        <f t="shared" si="210"/>
        <v>0</v>
      </c>
      <c r="CB94" s="4794">
        <f t="shared" si="211"/>
        <v>0</v>
      </c>
      <c r="CC94" s="4794">
        <f t="shared" si="212"/>
        <v>0</v>
      </c>
      <c r="CD94" s="4794">
        <f t="shared" si="213"/>
        <v>0</v>
      </c>
    </row>
    <row r="95" spans="1:82" s="675" customFormat="1">
      <c r="A95" s="3057"/>
      <c r="B95" s="3058">
        <v>20501</v>
      </c>
      <c r="C95" s="3059">
        <v>0.08</v>
      </c>
      <c r="D95" s="3114" t="s">
        <v>563</v>
      </c>
      <c r="E95" s="4738">
        <f t="shared" ref="E95:E98" si="253">+E46*$C95/2</f>
        <v>41.24</v>
      </c>
      <c r="F95" s="3085">
        <f>($E46*$C95)-(F46*$C95)</f>
        <v>82.48</v>
      </c>
      <c r="G95" s="3083">
        <f t="shared" ref="G95:K98" si="254">F95-(G46*$C95)</f>
        <v>82.48</v>
      </c>
      <c r="H95" s="3083">
        <f t="shared" si="254"/>
        <v>82.48</v>
      </c>
      <c r="I95" s="3083">
        <f t="shared" si="254"/>
        <v>82.48</v>
      </c>
      <c r="J95" s="3083">
        <f t="shared" si="254"/>
        <v>82.48</v>
      </c>
      <c r="K95" s="3084">
        <f t="shared" si="254"/>
        <v>82.48</v>
      </c>
      <c r="L95" s="4738">
        <f t="shared" ref="L95:L98" si="255">+L46*$C95/2</f>
        <v>0</v>
      </c>
      <c r="M95" s="3085">
        <f>($L46*$C95)-(M46*$C95)</f>
        <v>0</v>
      </c>
      <c r="N95" s="3083">
        <f t="shared" ref="N95:R98" si="256">M95-(N46*$C95)</f>
        <v>0</v>
      </c>
      <c r="O95" s="3083">
        <f t="shared" si="256"/>
        <v>0</v>
      </c>
      <c r="P95" s="3083">
        <f t="shared" si="256"/>
        <v>0</v>
      </c>
      <c r="Q95" s="3083">
        <f t="shared" si="256"/>
        <v>0</v>
      </c>
      <c r="R95" s="3086">
        <f t="shared" si="256"/>
        <v>0</v>
      </c>
      <c r="S95" s="4738">
        <f t="shared" ref="S95:S98" si="257">+S46*$C95/2</f>
        <v>0</v>
      </c>
      <c r="T95" s="4477">
        <f>($S46*$C95)-(T46*$C95)</f>
        <v>0</v>
      </c>
      <c r="U95" s="3083">
        <f t="shared" ref="U95:Y98" si="258">T95-(U46*$C95)</f>
        <v>0</v>
      </c>
      <c r="V95" s="3083">
        <f t="shared" si="258"/>
        <v>0</v>
      </c>
      <c r="W95" s="3083">
        <f t="shared" si="258"/>
        <v>0</v>
      </c>
      <c r="X95" s="3083">
        <f t="shared" si="258"/>
        <v>0</v>
      </c>
      <c r="Y95" s="3086">
        <f t="shared" si="258"/>
        <v>0</v>
      </c>
      <c r="Z95" s="4738">
        <f t="shared" ref="Z95:Z98" si="259">+Z46*$C95/2</f>
        <v>0</v>
      </c>
      <c r="AA95" s="4477">
        <f t="shared" si="243"/>
        <v>0</v>
      </c>
      <c r="AB95" s="3083">
        <f t="shared" ref="AB95:AF98" si="260">AA95-(AB46*$C95)</f>
        <v>0</v>
      </c>
      <c r="AC95" s="3083">
        <f t="shared" si="260"/>
        <v>0</v>
      </c>
      <c r="AD95" s="3083">
        <f t="shared" si="260"/>
        <v>0</v>
      </c>
      <c r="AE95" s="3083">
        <f t="shared" si="260"/>
        <v>0</v>
      </c>
      <c r="AF95" s="3086">
        <f t="shared" si="260"/>
        <v>0</v>
      </c>
      <c r="AG95" s="4738">
        <f t="shared" ref="AG95:AG98" si="261">+AG46*$C95/2</f>
        <v>0</v>
      </c>
      <c r="AH95" s="4477">
        <f t="shared" ref="AH95:AH98" si="262">($AG46*$C95)-(AH46*$C95)</f>
        <v>0</v>
      </c>
      <c r="AI95" s="3083">
        <f t="shared" ref="AI95:AM98" si="263">AH95-(AI46*$C95)</f>
        <v>0</v>
      </c>
      <c r="AJ95" s="3083">
        <f t="shared" si="263"/>
        <v>0</v>
      </c>
      <c r="AK95" s="3083">
        <f t="shared" si="263"/>
        <v>0</v>
      </c>
      <c r="AL95" s="3083">
        <f t="shared" si="263"/>
        <v>0</v>
      </c>
      <c r="AM95" s="3086">
        <f t="shared" si="263"/>
        <v>0</v>
      </c>
      <c r="AN95" s="4368"/>
      <c r="AO95" s="3175"/>
      <c r="AP95" s="3176"/>
      <c r="AQ95" s="3176"/>
      <c r="AR95" s="3176"/>
      <c r="AS95" s="3176"/>
      <c r="AT95" s="3177"/>
      <c r="AU95" s="4775"/>
      <c r="AV95" s="4794">
        <f t="shared" si="179"/>
        <v>21.085677180532052</v>
      </c>
      <c r="AW95" s="4794">
        <f t="shared" si="180"/>
        <v>42.171354361064104</v>
      </c>
      <c r="AX95" s="4794">
        <f t="shared" si="181"/>
        <v>42.171354361064104</v>
      </c>
      <c r="AY95" s="4794">
        <f t="shared" si="182"/>
        <v>42.171354361064104</v>
      </c>
      <c r="AZ95" s="4794">
        <f t="shared" si="183"/>
        <v>42.171354361064104</v>
      </c>
      <c r="BA95" s="4794">
        <f t="shared" si="184"/>
        <v>42.171354361064104</v>
      </c>
      <c r="BB95" s="4794">
        <f t="shared" si="185"/>
        <v>42.171354361064104</v>
      </c>
      <c r="BC95" s="4794">
        <f t="shared" si="186"/>
        <v>0</v>
      </c>
      <c r="BD95" s="4794">
        <f t="shared" si="187"/>
        <v>0</v>
      </c>
      <c r="BE95" s="4794">
        <f t="shared" si="188"/>
        <v>0</v>
      </c>
      <c r="BF95" s="4794">
        <f t="shared" si="189"/>
        <v>0</v>
      </c>
      <c r="BG95" s="4794">
        <f t="shared" si="190"/>
        <v>0</v>
      </c>
      <c r="BH95" s="4794">
        <f t="shared" si="191"/>
        <v>0</v>
      </c>
      <c r="BI95" s="4794">
        <f t="shared" si="192"/>
        <v>0</v>
      </c>
      <c r="BJ95" s="4794">
        <f t="shared" si="193"/>
        <v>0</v>
      </c>
      <c r="BK95" s="4794">
        <f t="shared" si="194"/>
        <v>0</v>
      </c>
      <c r="BL95" s="4794">
        <f t="shared" si="195"/>
        <v>0</v>
      </c>
      <c r="BM95" s="4794">
        <f t="shared" si="196"/>
        <v>0</v>
      </c>
      <c r="BN95" s="4794">
        <f t="shared" si="197"/>
        <v>0</v>
      </c>
      <c r="BO95" s="4794">
        <f t="shared" si="198"/>
        <v>0</v>
      </c>
      <c r="BP95" s="4794">
        <f t="shared" si="199"/>
        <v>0</v>
      </c>
      <c r="BQ95" s="4794">
        <f t="shared" si="200"/>
        <v>0</v>
      </c>
      <c r="BR95" s="4794">
        <f t="shared" si="201"/>
        <v>0</v>
      </c>
      <c r="BS95" s="4794">
        <f t="shared" si="202"/>
        <v>0</v>
      </c>
      <c r="BT95" s="4794">
        <f t="shared" si="203"/>
        <v>0</v>
      </c>
      <c r="BU95" s="4794">
        <f t="shared" si="204"/>
        <v>0</v>
      </c>
      <c r="BV95" s="4794">
        <f t="shared" si="205"/>
        <v>0</v>
      </c>
      <c r="BW95" s="4794">
        <f t="shared" si="206"/>
        <v>0</v>
      </c>
      <c r="BX95" s="4794">
        <f t="shared" si="207"/>
        <v>0</v>
      </c>
      <c r="BY95" s="4794">
        <f t="shared" si="208"/>
        <v>0</v>
      </c>
      <c r="BZ95" s="4794">
        <f t="shared" si="209"/>
        <v>0</v>
      </c>
      <c r="CA95" s="4794">
        <f t="shared" si="210"/>
        <v>0</v>
      </c>
      <c r="CB95" s="4794">
        <f t="shared" si="211"/>
        <v>0</v>
      </c>
      <c r="CC95" s="4794">
        <f t="shared" si="212"/>
        <v>0</v>
      </c>
      <c r="CD95" s="4794">
        <f t="shared" si="213"/>
        <v>0</v>
      </c>
    </row>
    <row r="96" spans="1:82" s="675" customFormat="1">
      <c r="A96" s="3057"/>
      <c r="B96" s="3058">
        <v>20502</v>
      </c>
      <c r="C96" s="3059">
        <v>0.1</v>
      </c>
      <c r="D96" s="3114" t="s">
        <v>411</v>
      </c>
      <c r="E96" s="4738">
        <f t="shared" si="253"/>
        <v>45.400000000000006</v>
      </c>
      <c r="F96" s="3085">
        <f>($E47*$C96)-(F47*$C96)</f>
        <v>90.800000000000011</v>
      </c>
      <c r="G96" s="3083">
        <f t="shared" si="254"/>
        <v>90.800000000000011</v>
      </c>
      <c r="H96" s="3083">
        <f t="shared" si="254"/>
        <v>90.800000000000011</v>
      </c>
      <c r="I96" s="3083">
        <f t="shared" si="254"/>
        <v>90.800000000000011</v>
      </c>
      <c r="J96" s="3083">
        <f t="shared" si="254"/>
        <v>90.800000000000011</v>
      </c>
      <c r="K96" s="3084">
        <f t="shared" si="254"/>
        <v>90.800000000000011</v>
      </c>
      <c r="L96" s="4738">
        <f t="shared" si="255"/>
        <v>0</v>
      </c>
      <c r="M96" s="3085">
        <f>($L47*$C96)-(M47*$C96)</f>
        <v>0</v>
      </c>
      <c r="N96" s="3083">
        <f t="shared" si="256"/>
        <v>0</v>
      </c>
      <c r="O96" s="3083">
        <f t="shared" si="256"/>
        <v>0</v>
      </c>
      <c r="P96" s="3083">
        <f t="shared" si="256"/>
        <v>0</v>
      </c>
      <c r="Q96" s="3083">
        <f t="shared" si="256"/>
        <v>0</v>
      </c>
      <c r="R96" s="3086">
        <f t="shared" si="256"/>
        <v>0</v>
      </c>
      <c r="S96" s="4738">
        <f t="shared" si="257"/>
        <v>0</v>
      </c>
      <c r="T96" s="4477">
        <f>($S47*$C96)-(T47*$C96)</f>
        <v>0</v>
      </c>
      <c r="U96" s="3083">
        <f t="shared" si="258"/>
        <v>0</v>
      </c>
      <c r="V96" s="3083">
        <f t="shared" si="258"/>
        <v>0</v>
      </c>
      <c r="W96" s="3083">
        <f t="shared" si="258"/>
        <v>0</v>
      </c>
      <c r="X96" s="3083">
        <f t="shared" si="258"/>
        <v>0</v>
      </c>
      <c r="Y96" s="3086">
        <f t="shared" si="258"/>
        <v>0</v>
      </c>
      <c r="Z96" s="4738">
        <f t="shared" si="259"/>
        <v>0</v>
      </c>
      <c r="AA96" s="4477">
        <f t="shared" si="243"/>
        <v>0</v>
      </c>
      <c r="AB96" s="3083">
        <f t="shared" si="260"/>
        <v>0</v>
      </c>
      <c r="AC96" s="3083">
        <f t="shared" si="260"/>
        <v>0</v>
      </c>
      <c r="AD96" s="3083">
        <f t="shared" si="260"/>
        <v>0</v>
      </c>
      <c r="AE96" s="3083">
        <f t="shared" si="260"/>
        <v>0</v>
      </c>
      <c r="AF96" s="3086">
        <f t="shared" si="260"/>
        <v>0</v>
      </c>
      <c r="AG96" s="4738">
        <f t="shared" si="261"/>
        <v>0</v>
      </c>
      <c r="AH96" s="4477">
        <f t="shared" si="262"/>
        <v>0</v>
      </c>
      <c r="AI96" s="3083">
        <f t="shared" si="263"/>
        <v>0</v>
      </c>
      <c r="AJ96" s="3083">
        <f t="shared" si="263"/>
        <v>0</v>
      </c>
      <c r="AK96" s="3083">
        <f t="shared" si="263"/>
        <v>0</v>
      </c>
      <c r="AL96" s="3083">
        <f t="shared" si="263"/>
        <v>0</v>
      </c>
      <c r="AM96" s="3086">
        <f t="shared" si="263"/>
        <v>0</v>
      </c>
      <c r="AN96" s="4368"/>
      <c r="AO96" s="3175"/>
      <c r="AP96" s="3176"/>
      <c r="AQ96" s="3176"/>
      <c r="AR96" s="3176"/>
      <c r="AS96" s="3176"/>
      <c r="AT96" s="3177"/>
      <c r="AU96" s="4775"/>
      <c r="AV96" s="4794">
        <f t="shared" si="179"/>
        <v>23.212651406308321</v>
      </c>
      <c r="AW96" s="4794">
        <f t="shared" si="180"/>
        <v>46.425302812616643</v>
      </c>
      <c r="AX96" s="4794">
        <f t="shared" si="181"/>
        <v>46.425302812616643</v>
      </c>
      <c r="AY96" s="4794">
        <f t="shared" si="182"/>
        <v>46.425302812616643</v>
      </c>
      <c r="AZ96" s="4794">
        <f t="shared" si="183"/>
        <v>46.425302812616643</v>
      </c>
      <c r="BA96" s="4794">
        <f t="shared" si="184"/>
        <v>46.425302812616643</v>
      </c>
      <c r="BB96" s="4794">
        <f t="shared" si="185"/>
        <v>46.425302812616643</v>
      </c>
      <c r="BC96" s="4794">
        <f t="shared" si="186"/>
        <v>0</v>
      </c>
      <c r="BD96" s="4794">
        <f t="shared" si="187"/>
        <v>0</v>
      </c>
      <c r="BE96" s="4794">
        <f t="shared" si="188"/>
        <v>0</v>
      </c>
      <c r="BF96" s="4794">
        <f t="shared" si="189"/>
        <v>0</v>
      </c>
      <c r="BG96" s="4794">
        <f t="shared" si="190"/>
        <v>0</v>
      </c>
      <c r="BH96" s="4794">
        <f t="shared" si="191"/>
        <v>0</v>
      </c>
      <c r="BI96" s="4794">
        <f t="shared" si="192"/>
        <v>0</v>
      </c>
      <c r="BJ96" s="4794">
        <f t="shared" si="193"/>
        <v>0</v>
      </c>
      <c r="BK96" s="4794">
        <f t="shared" si="194"/>
        <v>0</v>
      </c>
      <c r="BL96" s="4794">
        <f t="shared" si="195"/>
        <v>0</v>
      </c>
      <c r="BM96" s="4794">
        <f t="shared" si="196"/>
        <v>0</v>
      </c>
      <c r="BN96" s="4794">
        <f t="shared" si="197"/>
        <v>0</v>
      </c>
      <c r="BO96" s="4794">
        <f t="shared" si="198"/>
        <v>0</v>
      </c>
      <c r="BP96" s="4794">
        <f t="shared" si="199"/>
        <v>0</v>
      </c>
      <c r="BQ96" s="4794">
        <f t="shared" si="200"/>
        <v>0</v>
      </c>
      <c r="BR96" s="4794">
        <f t="shared" si="201"/>
        <v>0</v>
      </c>
      <c r="BS96" s="4794">
        <f t="shared" si="202"/>
        <v>0</v>
      </c>
      <c r="BT96" s="4794">
        <f t="shared" si="203"/>
        <v>0</v>
      </c>
      <c r="BU96" s="4794">
        <f t="shared" si="204"/>
        <v>0</v>
      </c>
      <c r="BV96" s="4794">
        <f t="shared" si="205"/>
        <v>0</v>
      </c>
      <c r="BW96" s="4794">
        <f t="shared" si="206"/>
        <v>0</v>
      </c>
      <c r="BX96" s="4794">
        <f t="shared" si="207"/>
        <v>0</v>
      </c>
      <c r="BY96" s="4794">
        <f t="shared" si="208"/>
        <v>0</v>
      </c>
      <c r="BZ96" s="4794">
        <f t="shared" si="209"/>
        <v>0</v>
      </c>
      <c r="CA96" s="4794">
        <f t="shared" si="210"/>
        <v>0</v>
      </c>
      <c r="CB96" s="4794">
        <f t="shared" si="211"/>
        <v>0</v>
      </c>
      <c r="CC96" s="4794">
        <f t="shared" si="212"/>
        <v>0</v>
      </c>
      <c r="CD96" s="4794">
        <f t="shared" si="213"/>
        <v>0</v>
      </c>
    </row>
    <row r="97" spans="1:82" s="675" customFormat="1">
      <c r="A97" s="3057"/>
      <c r="B97" s="3058">
        <v>20503</v>
      </c>
      <c r="C97" s="3059">
        <v>0.1</v>
      </c>
      <c r="D97" s="3051" t="s">
        <v>412</v>
      </c>
      <c r="E97" s="4738">
        <f t="shared" si="253"/>
        <v>0</v>
      </c>
      <c r="F97" s="3085">
        <f>($E48*$C97)-(F48*$C97)</f>
        <v>0</v>
      </c>
      <c r="G97" s="3083">
        <f t="shared" si="254"/>
        <v>0</v>
      </c>
      <c r="H97" s="3083">
        <f t="shared" si="254"/>
        <v>0</v>
      </c>
      <c r="I97" s="3083">
        <f t="shared" si="254"/>
        <v>0</v>
      </c>
      <c r="J97" s="3083">
        <f t="shared" si="254"/>
        <v>0</v>
      </c>
      <c r="K97" s="3084">
        <f t="shared" si="254"/>
        <v>0</v>
      </c>
      <c r="L97" s="4738">
        <f t="shared" si="255"/>
        <v>0</v>
      </c>
      <c r="M97" s="3085">
        <f>($L48*$C97)-(M48*$C97)</f>
        <v>0</v>
      </c>
      <c r="N97" s="3083">
        <f t="shared" si="256"/>
        <v>0</v>
      </c>
      <c r="O97" s="3083">
        <f t="shared" si="256"/>
        <v>0</v>
      </c>
      <c r="P97" s="3083">
        <f t="shared" si="256"/>
        <v>0</v>
      </c>
      <c r="Q97" s="3083">
        <f t="shared" si="256"/>
        <v>0</v>
      </c>
      <c r="R97" s="3086">
        <f t="shared" si="256"/>
        <v>0</v>
      </c>
      <c r="S97" s="4738">
        <f t="shared" si="257"/>
        <v>0</v>
      </c>
      <c r="T97" s="4477">
        <f>($S48*$C97)-(T48*$C97)</f>
        <v>0</v>
      </c>
      <c r="U97" s="3083">
        <f t="shared" si="258"/>
        <v>0</v>
      </c>
      <c r="V97" s="3083">
        <f t="shared" si="258"/>
        <v>0</v>
      </c>
      <c r="W97" s="3083">
        <f t="shared" si="258"/>
        <v>0</v>
      </c>
      <c r="X97" s="3083">
        <f t="shared" si="258"/>
        <v>0</v>
      </c>
      <c r="Y97" s="3086">
        <f t="shared" si="258"/>
        <v>0</v>
      </c>
      <c r="Z97" s="4738">
        <f t="shared" si="259"/>
        <v>0</v>
      </c>
      <c r="AA97" s="4477">
        <f t="shared" si="243"/>
        <v>0</v>
      </c>
      <c r="AB97" s="3083">
        <f t="shared" si="260"/>
        <v>0</v>
      </c>
      <c r="AC97" s="3083">
        <f t="shared" si="260"/>
        <v>0</v>
      </c>
      <c r="AD97" s="3083">
        <f t="shared" si="260"/>
        <v>0</v>
      </c>
      <c r="AE97" s="3083">
        <f t="shared" si="260"/>
        <v>0</v>
      </c>
      <c r="AF97" s="3086">
        <f t="shared" si="260"/>
        <v>0</v>
      </c>
      <c r="AG97" s="4738">
        <f t="shared" si="261"/>
        <v>0</v>
      </c>
      <c r="AH97" s="4477">
        <f t="shared" si="262"/>
        <v>0</v>
      </c>
      <c r="AI97" s="3083">
        <f t="shared" si="263"/>
        <v>0</v>
      </c>
      <c r="AJ97" s="3083">
        <f t="shared" si="263"/>
        <v>0</v>
      </c>
      <c r="AK97" s="3083">
        <f t="shared" si="263"/>
        <v>0</v>
      </c>
      <c r="AL97" s="3083">
        <f t="shared" si="263"/>
        <v>0</v>
      </c>
      <c r="AM97" s="3086">
        <f t="shared" si="263"/>
        <v>0</v>
      </c>
      <c r="AN97" s="4368"/>
      <c r="AO97" s="3175"/>
      <c r="AP97" s="3176"/>
      <c r="AQ97" s="3176"/>
      <c r="AR97" s="3176"/>
      <c r="AS97" s="3176"/>
      <c r="AT97" s="3177"/>
      <c r="AU97" s="4775"/>
      <c r="AV97" s="4794">
        <f t="shared" si="179"/>
        <v>0</v>
      </c>
      <c r="AW97" s="4794">
        <f t="shared" si="180"/>
        <v>0</v>
      </c>
      <c r="AX97" s="4794">
        <f t="shared" si="181"/>
        <v>0</v>
      </c>
      <c r="AY97" s="4794">
        <f t="shared" si="182"/>
        <v>0</v>
      </c>
      <c r="AZ97" s="4794">
        <f t="shared" si="183"/>
        <v>0</v>
      </c>
      <c r="BA97" s="4794">
        <f t="shared" si="184"/>
        <v>0</v>
      </c>
      <c r="BB97" s="4794">
        <f t="shared" si="185"/>
        <v>0</v>
      </c>
      <c r="BC97" s="4794">
        <f t="shared" si="186"/>
        <v>0</v>
      </c>
      <c r="BD97" s="4794">
        <f t="shared" si="187"/>
        <v>0</v>
      </c>
      <c r="BE97" s="4794">
        <f t="shared" si="188"/>
        <v>0</v>
      </c>
      <c r="BF97" s="4794">
        <f t="shared" si="189"/>
        <v>0</v>
      </c>
      <c r="BG97" s="4794">
        <f t="shared" si="190"/>
        <v>0</v>
      </c>
      <c r="BH97" s="4794">
        <f t="shared" si="191"/>
        <v>0</v>
      </c>
      <c r="BI97" s="4794">
        <f t="shared" si="192"/>
        <v>0</v>
      </c>
      <c r="BJ97" s="4794">
        <f t="shared" si="193"/>
        <v>0</v>
      </c>
      <c r="BK97" s="4794">
        <f t="shared" si="194"/>
        <v>0</v>
      </c>
      <c r="BL97" s="4794">
        <f t="shared" si="195"/>
        <v>0</v>
      </c>
      <c r="BM97" s="4794">
        <f t="shared" si="196"/>
        <v>0</v>
      </c>
      <c r="BN97" s="4794">
        <f t="shared" si="197"/>
        <v>0</v>
      </c>
      <c r="BO97" s="4794">
        <f t="shared" si="198"/>
        <v>0</v>
      </c>
      <c r="BP97" s="4794">
        <f t="shared" si="199"/>
        <v>0</v>
      </c>
      <c r="BQ97" s="4794">
        <f t="shared" si="200"/>
        <v>0</v>
      </c>
      <c r="BR97" s="4794">
        <f t="shared" si="201"/>
        <v>0</v>
      </c>
      <c r="BS97" s="4794">
        <f t="shared" si="202"/>
        <v>0</v>
      </c>
      <c r="BT97" s="4794">
        <f t="shared" si="203"/>
        <v>0</v>
      </c>
      <c r="BU97" s="4794">
        <f t="shared" si="204"/>
        <v>0</v>
      </c>
      <c r="BV97" s="4794">
        <f t="shared" si="205"/>
        <v>0</v>
      </c>
      <c r="BW97" s="4794">
        <f t="shared" si="206"/>
        <v>0</v>
      </c>
      <c r="BX97" s="4794">
        <f t="shared" si="207"/>
        <v>0</v>
      </c>
      <c r="BY97" s="4794">
        <f t="shared" si="208"/>
        <v>0</v>
      </c>
      <c r="BZ97" s="4794">
        <f t="shared" si="209"/>
        <v>0</v>
      </c>
      <c r="CA97" s="4794">
        <f t="shared" si="210"/>
        <v>0</v>
      </c>
      <c r="CB97" s="4794">
        <f t="shared" si="211"/>
        <v>0</v>
      </c>
      <c r="CC97" s="4794">
        <f t="shared" si="212"/>
        <v>0</v>
      </c>
      <c r="CD97" s="4794">
        <f t="shared" si="213"/>
        <v>0</v>
      </c>
    </row>
    <row r="98" spans="1:82" s="675" customFormat="1">
      <c r="A98" s="3057"/>
      <c r="B98" s="3058">
        <v>20504</v>
      </c>
      <c r="C98" s="3059">
        <v>0.1</v>
      </c>
      <c r="D98" s="3051" t="s">
        <v>557</v>
      </c>
      <c r="E98" s="4738">
        <f t="shared" si="253"/>
        <v>0</v>
      </c>
      <c r="F98" s="3085">
        <f>($E49*$C98)-(F49*$C98)</f>
        <v>0</v>
      </c>
      <c r="G98" s="3083">
        <f t="shared" si="254"/>
        <v>0</v>
      </c>
      <c r="H98" s="3083">
        <f t="shared" si="254"/>
        <v>0</v>
      </c>
      <c r="I98" s="3083">
        <f t="shared" si="254"/>
        <v>0</v>
      </c>
      <c r="J98" s="3083">
        <f t="shared" si="254"/>
        <v>0</v>
      </c>
      <c r="K98" s="3084">
        <f t="shared" si="254"/>
        <v>0</v>
      </c>
      <c r="L98" s="4738">
        <f t="shared" si="255"/>
        <v>0</v>
      </c>
      <c r="M98" s="3085">
        <f>($L49*$C98)-(M49*$C98)</f>
        <v>0</v>
      </c>
      <c r="N98" s="3083">
        <f t="shared" si="256"/>
        <v>0</v>
      </c>
      <c r="O98" s="3083">
        <f t="shared" si="256"/>
        <v>0</v>
      </c>
      <c r="P98" s="3083">
        <f t="shared" si="256"/>
        <v>0</v>
      </c>
      <c r="Q98" s="3083">
        <f t="shared" si="256"/>
        <v>0</v>
      </c>
      <c r="R98" s="3086">
        <f t="shared" si="256"/>
        <v>0</v>
      </c>
      <c r="S98" s="4738">
        <f t="shared" si="257"/>
        <v>0</v>
      </c>
      <c r="T98" s="4477">
        <f>($S49*$C98)-(T49*$C98)</f>
        <v>0</v>
      </c>
      <c r="U98" s="3083">
        <f t="shared" si="258"/>
        <v>0</v>
      </c>
      <c r="V98" s="3083">
        <f t="shared" si="258"/>
        <v>0</v>
      </c>
      <c r="W98" s="3083">
        <f t="shared" si="258"/>
        <v>0</v>
      </c>
      <c r="X98" s="3083">
        <f t="shared" si="258"/>
        <v>0</v>
      </c>
      <c r="Y98" s="3086">
        <f t="shared" si="258"/>
        <v>0</v>
      </c>
      <c r="Z98" s="4738">
        <f t="shared" si="259"/>
        <v>0</v>
      </c>
      <c r="AA98" s="4477">
        <f t="shared" si="243"/>
        <v>0</v>
      </c>
      <c r="AB98" s="3083">
        <f t="shared" si="260"/>
        <v>0</v>
      </c>
      <c r="AC98" s="3083">
        <f t="shared" si="260"/>
        <v>0</v>
      </c>
      <c r="AD98" s="3083">
        <f t="shared" si="260"/>
        <v>0</v>
      </c>
      <c r="AE98" s="3083">
        <f t="shared" si="260"/>
        <v>0</v>
      </c>
      <c r="AF98" s="3086">
        <f t="shared" si="260"/>
        <v>0</v>
      </c>
      <c r="AG98" s="4738">
        <f t="shared" si="261"/>
        <v>0</v>
      </c>
      <c r="AH98" s="4477">
        <f t="shared" si="262"/>
        <v>0</v>
      </c>
      <c r="AI98" s="3083">
        <f t="shared" si="263"/>
        <v>0</v>
      </c>
      <c r="AJ98" s="3083">
        <f t="shared" si="263"/>
        <v>0</v>
      </c>
      <c r="AK98" s="3083">
        <f t="shared" si="263"/>
        <v>0</v>
      </c>
      <c r="AL98" s="3083">
        <f t="shared" si="263"/>
        <v>0</v>
      </c>
      <c r="AM98" s="3086">
        <f t="shared" si="263"/>
        <v>0</v>
      </c>
      <c r="AN98" s="4368"/>
      <c r="AO98" s="3175"/>
      <c r="AP98" s="3176"/>
      <c r="AQ98" s="3176"/>
      <c r="AR98" s="3176"/>
      <c r="AS98" s="3176"/>
      <c r="AT98" s="3177"/>
      <c r="AU98" s="4775"/>
      <c r="AV98" s="4794">
        <f t="shared" si="179"/>
        <v>0</v>
      </c>
      <c r="AW98" s="4794">
        <f t="shared" si="180"/>
        <v>0</v>
      </c>
      <c r="AX98" s="4794">
        <f t="shared" si="181"/>
        <v>0</v>
      </c>
      <c r="AY98" s="4794">
        <f t="shared" si="182"/>
        <v>0</v>
      </c>
      <c r="AZ98" s="4794">
        <f t="shared" si="183"/>
        <v>0</v>
      </c>
      <c r="BA98" s="4794">
        <f t="shared" si="184"/>
        <v>0</v>
      </c>
      <c r="BB98" s="4794">
        <f t="shared" si="185"/>
        <v>0</v>
      </c>
      <c r="BC98" s="4794">
        <f t="shared" si="186"/>
        <v>0</v>
      </c>
      <c r="BD98" s="4794">
        <f t="shared" si="187"/>
        <v>0</v>
      </c>
      <c r="BE98" s="4794">
        <f t="shared" si="188"/>
        <v>0</v>
      </c>
      <c r="BF98" s="4794">
        <f t="shared" si="189"/>
        <v>0</v>
      </c>
      <c r="BG98" s="4794">
        <f t="shared" si="190"/>
        <v>0</v>
      </c>
      <c r="BH98" s="4794">
        <f t="shared" si="191"/>
        <v>0</v>
      </c>
      <c r="BI98" s="4794">
        <f t="shared" si="192"/>
        <v>0</v>
      </c>
      <c r="BJ98" s="4794">
        <f t="shared" si="193"/>
        <v>0</v>
      </c>
      <c r="BK98" s="4794">
        <f t="shared" si="194"/>
        <v>0</v>
      </c>
      <c r="BL98" s="4794">
        <f t="shared" si="195"/>
        <v>0</v>
      </c>
      <c r="BM98" s="4794">
        <f t="shared" si="196"/>
        <v>0</v>
      </c>
      <c r="BN98" s="4794">
        <f t="shared" si="197"/>
        <v>0</v>
      </c>
      <c r="BO98" s="4794">
        <f t="shared" si="198"/>
        <v>0</v>
      </c>
      <c r="BP98" s="4794">
        <f t="shared" si="199"/>
        <v>0</v>
      </c>
      <c r="BQ98" s="4794">
        <f t="shared" si="200"/>
        <v>0</v>
      </c>
      <c r="BR98" s="4794">
        <f t="shared" si="201"/>
        <v>0</v>
      </c>
      <c r="BS98" s="4794">
        <f t="shared" si="202"/>
        <v>0</v>
      </c>
      <c r="BT98" s="4794">
        <f t="shared" si="203"/>
        <v>0</v>
      </c>
      <c r="BU98" s="4794">
        <f t="shared" si="204"/>
        <v>0</v>
      </c>
      <c r="BV98" s="4794">
        <f t="shared" si="205"/>
        <v>0</v>
      </c>
      <c r="BW98" s="4794">
        <f t="shared" si="206"/>
        <v>0</v>
      </c>
      <c r="BX98" s="4794">
        <f t="shared" si="207"/>
        <v>0</v>
      </c>
      <c r="BY98" s="4794">
        <f t="shared" si="208"/>
        <v>0</v>
      </c>
      <c r="BZ98" s="4794">
        <f t="shared" si="209"/>
        <v>0</v>
      </c>
      <c r="CA98" s="4794">
        <f t="shared" si="210"/>
        <v>0</v>
      </c>
      <c r="CB98" s="4794">
        <f t="shared" si="211"/>
        <v>0</v>
      </c>
      <c r="CC98" s="4794">
        <f t="shared" si="212"/>
        <v>0</v>
      </c>
      <c r="CD98" s="4794">
        <f t="shared" si="213"/>
        <v>0</v>
      </c>
    </row>
    <row r="99" spans="1:82" s="44" customFormat="1">
      <c r="A99" s="3061">
        <v>6</v>
      </c>
      <c r="B99" s="3062">
        <v>206</v>
      </c>
      <c r="C99" s="3063">
        <v>0.1</v>
      </c>
      <c r="D99" s="3104" t="s">
        <v>394</v>
      </c>
      <c r="E99" s="4474">
        <f>SUM(E100:E102)</f>
        <v>3.2</v>
      </c>
      <c r="F99" s="3108">
        <f>SUM(F100:F102)</f>
        <v>6.4</v>
      </c>
      <c r="G99" s="3109">
        <f>SUM(G100:G102)</f>
        <v>6.4</v>
      </c>
      <c r="H99" s="3109">
        <f t="shared" ref="H99:AN99" si="264">SUM(H100:H102)</f>
        <v>6.4</v>
      </c>
      <c r="I99" s="3109">
        <f t="shared" si="264"/>
        <v>6.4</v>
      </c>
      <c r="J99" s="3109">
        <f t="shared" si="264"/>
        <v>6.4</v>
      </c>
      <c r="K99" s="3110">
        <f t="shared" si="264"/>
        <v>6.4</v>
      </c>
      <c r="L99" s="4474">
        <f>SUM(L100:L102)</f>
        <v>0.75</v>
      </c>
      <c r="M99" s="3111">
        <f t="shared" si="264"/>
        <v>1.5</v>
      </c>
      <c r="N99" s="3109">
        <f t="shared" si="264"/>
        <v>1.5</v>
      </c>
      <c r="O99" s="3109">
        <f t="shared" si="264"/>
        <v>1.5</v>
      </c>
      <c r="P99" s="3109">
        <f t="shared" si="264"/>
        <v>1.5</v>
      </c>
      <c r="Q99" s="3109">
        <f t="shared" si="264"/>
        <v>1.5</v>
      </c>
      <c r="R99" s="3112">
        <f t="shared" si="264"/>
        <v>1.5</v>
      </c>
      <c r="S99" s="4479">
        <f>SUM(S100:S102)</f>
        <v>0.5</v>
      </c>
      <c r="T99" s="3113">
        <f t="shared" si="264"/>
        <v>1</v>
      </c>
      <c r="U99" s="3109">
        <f t="shared" si="264"/>
        <v>1</v>
      </c>
      <c r="V99" s="3109">
        <f t="shared" si="264"/>
        <v>1</v>
      </c>
      <c r="W99" s="3109">
        <f t="shared" si="264"/>
        <v>1</v>
      </c>
      <c r="X99" s="3109">
        <f t="shared" si="264"/>
        <v>1</v>
      </c>
      <c r="Y99" s="3112">
        <f t="shared" si="264"/>
        <v>1</v>
      </c>
      <c r="Z99" s="4479">
        <f>SUM(Z100:Z102)</f>
        <v>0</v>
      </c>
      <c r="AA99" s="3113">
        <f t="shared" si="264"/>
        <v>0</v>
      </c>
      <c r="AB99" s="3109">
        <f t="shared" si="264"/>
        <v>0</v>
      </c>
      <c r="AC99" s="3109">
        <f t="shared" si="264"/>
        <v>0</v>
      </c>
      <c r="AD99" s="3109">
        <f t="shared" si="264"/>
        <v>0</v>
      </c>
      <c r="AE99" s="3109">
        <f t="shared" si="264"/>
        <v>0</v>
      </c>
      <c r="AF99" s="3112">
        <f t="shared" si="264"/>
        <v>0</v>
      </c>
      <c r="AG99" s="4479">
        <f>SUM(AG100:AG102)</f>
        <v>0</v>
      </c>
      <c r="AH99" s="3113">
        <f t="shared" si="264"/>
        <v>0</v>
      </c>
      <c r="AI99" s="3109">
        <f t="shared" si="264"/>
        <v>0</v>
      </c>
      <c r="AJ99" s="3109">
        <f t="shared" si="264"/>
        <v>0</v>
      </c>
      <c r="AK99" s="3109">
        <f t="shared" si="264"/>
        <v>0</v>
      </c>
      <c r="AL99" s="3109">
        <f t="shared" si="264"/>
        <v>0</v>
      </c>
      <c r="AM99" s="3112">
        <f t="shared" si="264"/>
        <v>0</v>
      </c>
      <c r="AN99" s="4373">
        <f t="shared" si="264"/>
        <v>0</v>
      </c>
      <c r="AO99" s="3175"/>
      <c r="AP99" s="3176"/>
      <c r="AQ99" s="3176"/>
      <c r="AR99" s="3176"/>
      <c r="AS99" s="3176"/>
      <c r="AT99" s="3177"/>
      <c r="AU99" s="4775"/>
      <c r="AV99" s="4794">
        <f t="shared" si="179"/>
        <v>1.6361340198278993</v>
      </c>
      <c r="AW99" s="4794">
        <f t="shared" si="180"/>
        <v>3.2722680396557986</v>
      </c>
      <c r="AX99" s="4794">
        <f t="shared" si="181"/>
        <v>3.2722680396557986</v>
      </c>
      <c r="AY99" s="4794">
        <f t="shared" si="182"/>
        <v>3.2722680396557986</v>
      </c>
      <c r="AZ99" s="4794">
        <f t="shared" si="183"/>
        <v>3.2722680396557986</v>
      </c>
      <c r="BA99" s="4794">
        <f t="shared" si="184"/>
        <v>3.2722680396557986</v>
      </c>
      <c r="BB99" s="4794">
        <f t="shared" si="185"/>
        <v>3.2722680396557986</v>
      </c>
      <c r="BC99" s="4794">
        <f t="shared" si="186"/>
        <v>0.38346891089716389</v>
      </c>
      <c r="BD99" s="4794">
        <f t="shared" si="187"/>
        <v>0.76693782179432779</v>
      </c>
      <c r="BE99" s="4794">
        <f t="shared" si="188"/>
        <v>0.76693782179432779</v>
      </c>
      <c r="BF99" s="4794">
        <f t="shared" si="189"/>
        <v>0.76693782179432779</v>
      </c>
      <c r="BG99" s="4794">
        <f t="shared" si="190"/>
        <v>0.76693782179432779</v>
      </c>
      <c r="BH99" s="4794">
        <f t="shared" si="191"/>
        <v>0.76693782179432779</v>
      </c>
      <c r="BI99" s="4794">
        <f t="shared" si="192"/>
        <v>0.76693782179432779</v>
      </c>
      <c r="BJ99" s="4794">
        <f t="shared" si="193"/>
        <v>0.25564594059810924</v>
      </c>
      <c r="BK99" s="4794">
        <f t="shared" si="194"/>
        <v>0.51129188119621849</v>
      </c>
      <c r="BL99" s="4794">
        <f t="shared" si="195"/>
        <v>0.51129188119621849</v>
      </c>
      <c r="BM99" s="4794">
        <f t="shared" si="196"/>
        <v>0.51129188119621849</v>
      </c>
      <c r="BN99" s="4794">
        <f t="shared" si="197"/>
        <v>0.51129188119621849</v>
      </c>
      <c r="BO99" s="4794">
        <f t="shared" si="198"/>
        <v>0.51129188119621849</v>
      </c>
      <c r="BP99" s="4794">
        <f t="shared" si="199"/>
        <v>0.51129188119621849</v>
      </c>
      <c r="BQ99" s="4794">
        <f t="shared" si="200"/>
        <v>0</v>
      </c>
      <c r="BR99" s="4794">
        <f t="shared" si="201"/>
        <v>0</v>
      </c>
      <c r="BS99" s="4794">
        <f t="shared" si="202"/>
        <v>0</v>
      </c>
      <c r="BT99" s="4794">
        <f t="shared" si="203"/>
        <v>0</v>
      </c>
      <c r="BU99" s="4794">
        <f t="shared" si="204"/>
        <v>0</v>
      </c>
      <c r="BV99" s="4794">
        <f t="shared" si="205"/>
        <v>0</v>
      </c>
      <c r="BW99" s="4794">
        <f t="shared" si="206"/>
        <v>0</v>
      </c>
      <c r="BX99" s="4794">
        <f t="shared" si="207"/>
        <v>0</v>
      </c>
      <c r="BY99" s="4794">
        <f t="shared" si="208"/>
        <v>0</v>
      </c>
      <c r="BZ99" s="4794">
        <f t="shared" si="209"/>
        <v>0</v>
      </c>
      <c r="CA99" s="4794">
        <f t="shared" si="210"/>
        <v>0</v>
      </c>
      <c r="CB99" s="4794">
        <f t="shared" si="211"/>
        <v>0</v>
      </c>
      <c r="CC99" s="4794">
        <f t="shared" si="212"/>
        <v>0</v>
      </c>
      <c r="CD99" s="4794">
        <f t="shared" si="213"/>
        <v>0</v>
      </c>
    </row>
    <row r="100" spans="1:82" s="675" customFormat="1">
      <c r="A100" s="3061"/>
      <c r="B100" s="3058">
        <v>20601</v>
      </c>
      <c r="C100" s="3059">
        <v>0.1</v>
      </c>
      <c r="D100" s="3051" t="s">
        <v>564</v>
      </c>
      <c r="E100" s="4738">
        <f t="shared" ref="E100:E108" si="265">+E51*$C100/2</f>
        <v>2.6</v>
      </c>
      <c r="F100" s="3085">
        <f t="shared" ref="F100:F108" si="266">($E51*$C100)-(F51*$C100)</f>
        <v>5.2</v>
      </c>
      <c r="G100" s="3083">
        <f t="shared" ref="G100:K108" si="267">F100-(G51*$C100)</f>
        <v>5.2</v>
      </c>
      <c r="H100" s="3083">
        <f t="shared" si="267"/>
        <v>5.2</v>
      </c>
      <c r="I100" s="3083">
        <f t="shared" si="267"/>
        <v>5.2</v>
      </c>
      <c r="J100" s="3083">
        <f t="shared" si="267"/>
        <v>5.2</v>
      </c>
      <c r="K100" s="3084">
        <f t="shared" si="267"/>
        <v>5.2</v>
      </c>
      <c r="L100" s="4738">
        <f t="shared" ref="L100:L108" si="268">+L51*$C100/2</f>
        <v>0.65</v>
      </c>
      <c r="M100" s="3115">
        <f t="shared" ref="M100:M108" si="269">($L51*$C100)-(M51*$C100)</f>
        <v>1.3</v>
      </c>
      <c r="N100" s="3083">
        <f t="shared" ref="N100:R108" si="270">M100-(N51*$C100)</f>
        <v>1.3</v>
      </c>
      <c r="O100" s="3083">
        <f t="shared" si="270"/>
        <v>1.3</v>
      </c>
      <c r="P100" s="3083">
        <f t="shared" si="270"/>
        <v>1.3</v>
      </c>
      <c r="Q100" s="3083">
        <f t="shared" si="270"/>
        <v>1.3</v>
      </c>
      <c r="R100" s="3086">
        <f t="shared" si="270"/>
        <v>1.3</v>
      </c>
      <c r="S100" s="4738">
        <f t="shared" ref="S100:S108" si="271">+S51*$C100/2</f>
        <v>0.45</v>
      </c>
      <c r="T100" s="4478">
        <f t="shared" ref="T100:T108" si="272">($S51*$C100)-(T51*$C100)</f>
        <v>0.9</v>
      </c>
      <c r="U100" s="3083">
        <f t="shared" ref="U100:Y108" si="273">T100-(U51*$C100)</f>
        <v>0.9</v>
      </c>
      <c r="V100" s="3083">
        <f t="shared" si="273"/>
        <v>0.9</v>
      </c>
      <c r="W100" s="3083">
        <f t="shared" si="273"/>
        <v>0.9</v>
      </c>
      <c r="X100" s="3083">
        <f t="shared" si="273"/>
        <v>0.9</v>
      </c>
      <c r="Y100" s="3086">
        <f t="shared" si="273"/>
        <v>0.9</v>
      </c>
      <c r="Z100" s="4738">
        <f t="shared" ref="Z100:Z108" si="274">+Z51*$C100/2</f>
        <v>0</v>
      </c>
      <c r="AA100" s="4478">
        <f t="shared" si="243"/>
        <v>0</v>
      </c>
      <c r="AB100" s="3083">
        <f t="shared" ref="AB100:AF108" si="275">AA100-(AB51*$C100)</f>
        <v>0</v>
      </c>
      <c r="AC100" s="3083">
        <f t="shared" si="275"/>
        <v>0</v>
      </c>
      <c r="AD100" s="3083">
        <f t="shared" si="275"/>
        <v>0</v>
      </c>
      <c r="AE100" s="3083">
        <f t="shared" si="275"/>
        <v>0</v>
      </c>
      <c r="AF100" s="3086">
        <f t="shared" si="275"/>
        <v>0</v>
      </c>
      <c r="AG100" s="4738">
        <f t="shared" ref="AG100:AG107" si="276">+AG51*$C100/2</f>
        <v>0</v>
      </c>
      <c r="AH100" s="4478">
        <f t="shared" ref="AH100:AH108" si="277">($AG51*$C100)-(AH51*$C100)</f>
        <v>0</v>
      </c>
      <c r="AI100" s="3083">
        <f t="shared" ref="AI100:AM108" si="278">AH100-(AI51*$C100)</f>
        <v>0</v>
      </c>
      <c r="AJ100" s="3083">
        <f t="shared" si="278"/>
        <v>0</v>
      </c>
      <c r="AK100" s="3083">
        <f t="shared" si="278"/>
        <v>0</v>
      </c>
      <c r="AL100" s="3083">
        <f t="shared" si="278"/>
        <v>0</v>
      </c>
      <c r="AM100" s="3086">
        <f t="shared" si="278"/>
        <v>0</v>
      </c>
      <c r="AN100" s="4368"/>
      <c r="AO100" s="3175"/>
      <c r="AP100" s="3176"/>
      <c r="AQ100" s="3176"/>
      <c r="AR100" s="3176"/>
      <c r="AS100" s="3176"/>
      <c r="AT100" s="3177"/>
      <c r="AU100" s="4775"/>
      <c r="AV100" s="4794">
        <f t="shared" si="179"/>
        <v>1.3293588911101681</v>
      </c>
      <c r="AW100" s="4794">
        <f t="shared" si="180"/>
        <v>2.6587177822203363</v>
      </c>
      <c r="AX100" s="4794">
        <f t="shared" si="181"/>
        <v>2.6587177822203363</v>
      </c>
      <c r="AY100" s="4794">
        <f t="shared" si="182"/>
        <v>2.6587177822203363</v>
      </c>
      <c r="AZ100" s="4794">
        <f t="shared" si="183"/>
        <v>2.6587177822203363</v>
      </c>
      <c r="BA100" s="4794">
        <f t="shared" si="184"/>
        <v>2.6587177822203363</v>
      </c>
      <c r="BB100" s="4794">
        <f t="shared" si="185"/>
        <v>2.6587177822203363</v>
      </c>
      <c r="BC100" s="4794">
        <f t="shared" si="186"/>
        <v>0.33233972277754203</v>
      </c>
      <c r="BD100" s="4794">
        <f t="shared" si="187"/>
        <v>0.66467944555508407</v>
      </c>
      <c r="BE100" s="4794">
        <f t="shared" si="188"/>
        <v>0.66467944555508407</v>
      </c>
      <c r="BF100" s="4794">
        <f t="shared" si="189"/>
        <v>0.66467944555508407</v>
      </c>
      <c r="BG100" s="4794">
        <f t="shared" si="190"/>
        <v>0.66467944555508407</v>
      </c>
      <c r="BH100" s="4794">
        <f t="shared" si="191"/>
        <v>0.66467944555508407</v>
      </c>
      <c r="BI100" s="4794">
        <f t="shared" si="192"/>
        <v>0.66467944555508407</v>
      </c>
      <c r="BJ100" s="4794">
        <f t="shared" si="193"/>
        <v>0.23008134653829834</v>
      </c>
      <c r="BK100" s="4794">
        <f t="shared" si="194"/>
        <v>0.46016269307659668</v>
      </c>
      <c r="BL100" s="4794">
        <f t="shared" si="195"/>
        <v>0.46016269307659668</v>
      </c>
      <c r="BM100" s="4794">
        <f t="shared" si="196"/>
        <v>0.46016269307659668</v>
      </c>
      <c r="BN100" s="4794">
        <f t="shared" si="197"/>
        <v>0.46016269307659668</v>
      </c>
      <c r="BO100" s="4794">
        <f t="shared" si="198"/>
        <v>0.46016269307659668</v>
      </c>
      <c r="BP100" s="4794">
        <f t="shared" si="199"/>
        <v>0.46016269307659668</v>
      </c>
      <c r="BQ100" s="4794">
        <f t="shared" si="200"/>
        <v>0</v>
      </c>
      <c r="BR100" s="4794">
        <f t="shared" si="201"/>
        <v>0</v>
      </c>
      <c r="BS100" s="4794">
        <f t="shared" si="202"/>
        <v>0</v>
      </c>
      <c r="BT100" s="4794">
        <f t="shared" si="203"/>
        <v>0</v>
      </c>
      <c r="BU100" s="4794">
        <f t="shared" si="204"/>
        <v>0</v>
      </c>
      <c r="BV100" s="4794">
        <f t="shared" si="205"/>
        <v>0</v>
      </c>
      <c r="BW100" s="4794">
        <f t="shared" si="206"/>
        <v>0</v>
      </c>
      <c r="BX100" s="4794">
        <f t="shared" si="207"/>
        <v>0</v>
      </c>
      <c r="BY100" s="4794">
        <f t="shared" si="208"/>
        <v>0</v>
      </c>
      <c r="BZ100" s="4794">
        <f t="shared" si="209"/>
        <v>0</v>
      </c>
      <c r="CA100" s="4794">
        <f t="shared" si="210"/>
        <v>0</v>
      </c>
      <c r="CB100" s="4794">
        <f t="shared" si="211"/>
        <v>0</v>
      </c>
      <c r="CC100" s="4794">
        <f t="shared" si="212"/>
        <v>0</v>
      </c>
      <c r="CD100" s="4794">
        <f t="shared" si="213"/>
        <v>0</v>
      </c>
    </row>
    <row r="101" spans="1:82" s="675" customFormat="1">
      <c r="A101" s="3061"/>
      <c r="B101" s="3058">
        <v>20602</v>
      </c>
      <c r="C101" s="3059">
        <v>0.1</v>
      </c>
      <c r="D101" s="3051" t="s">
        <v>435</v>
      </c>
      <c r="E101" s="4738">
        <f t="shared" si="265"/>
        <v>0.35000000000000003</v>
      </c>
      <c r="F101" s="3085">
        <f t="shared" si="266"/>
        <v>0.70000000000000007</v>
      </c>
      <c r="G101" s="3083">
        <f t="shared" si="267"/>
        <v>0.70000000000000007</v>
      </c>
      <c r="H101" s="3083">
        <f t="shared" si="267"/>
        <v>0.70000000000000007</v>
      </c>
      <c r="I101" s="3083">
        <f t="shared" si="267"/>
        <v>0.70000000000000007</v>
      </c>
      <c r="J101" s="3083">
        <f t="shared" si="267"/>
        <v>0.70000000000000007</v>
      </c>
      <c r="K101" s="3084">
        <f t="shared" si="267"/>
        <v>0.70000000000000007</v>
      </c>
      <c r="L101" s="4738">
        <f t="shared" si="268"/>
        <v>0.1</v>
      </c>
      <c r="M101" s="3115">
        <f t="shared" si="269"/>
        <v>0.2</v>
      </c>
      <c r="N101" s="3083">
        <f t="shared" si="270"/>
        <v>0.2</v>
      </c>
      <c r="O101" s="3083">
        <f t="shared" si="270"/>
        <v>0.2</v>
      </c>
      <c r="P101" s="3083">
        <f t="shared" si="270"/>
        <v>0.2</v>
      </c>
      <c r="Q101" s="3083">
        <f t="shared" si="270"/>
        <v>0.2</v>
      </c>
      <c r="R101" s="3086">
        <f t="shared" si="270"/>
        <v>0.2</v>
      </c>
      <c r="S101" s="4738">
        <f t="shared" si="271"/>
        <v>0.05</v>
      </c>
      <c r="T101" s="4478">
        <f t="shared" si="272"/>
        <v>0.1</v>
      </c>
      <c r="U101" s="3083">
        <f t="shared" si="273"/>
        <v>0.1</v>
      </c>
      <c r="V101" s="3083">
        <f t="shared" si="273"/>
        <v>0.1</v>
      </c>
      <c r="W101" s="3083">
        <f t="shared" si="273"/>
        <v>0.1</v>
      </c>
      <c r="X101" s="3083">
        <f t="shared" si="273"/>
        <v>0.1</v>
      </c>
      <c r="Y101" s="3086">
        <f t="shared" si="273"/>
        <v>0.1</v>
      </c>
      <c r="Z101" s="4738">
        <f t="shared" si="274"/>
        <v>0</v>
      </c>
      <c r="AA101" s="4478">
        <f t="shared" si="243"/>
        <v>0</v>
      </c>
      <c r="AB101" s="3083">
        <f t="shared" si="275"/>
        <v>0</v>
      </c>
      <c r="AC101" s="3083">
        <f t="shared" si="275"/>
        <v>0</v>
      </c>
      <c r="AD101" s="3083">
        <f t="shared" si="275"/>
        <v>0</v>
      </c>
      <c r="AE101" s="3083">
        <f t="shared" si="275"/>
        <v>0</v>
      </c>
      <c r="AF101" s="3086">
        <f t="shared" si="275"/>
        <v>0</v>
      </c>
      <c r="AG101" s="4738">
        <f t="shared" si="276"/>
        <v>0</v>
      </c>
      <c r="AH101" s="4478">
        <f t="shared" si="277"/>
        <v>0</v>
      </c>
      <c r="AI101" s="3083">
        <f t="shared" si="278"/>
        <v>0</v>
      </c>
      <c r="AJ101" s="3083">
        <f t="shared" si="278"/>
        <v>0</v>
      </c>
      <c r="AK101" s="3083">
        <f t="shared" si="278"/>
        <v>0</v>
      </c>
      <c r="AL101" s="3083">
        <f t="shared" si="278"/>
        <v>0</v>
      </c>
      <c r="AM101" s="3086">
        <f t="shared" si="278"/>
        <v>0</v>
      </c>
      <c r="AN101" s="4368"/>
      <c r="AO101" s="3175"/>
      <c r="AP101" s="3176"/>
      <c r="AQ101" s="3176"/>
      <c r="AR101" s="3176"/>
      <c r="AS101" s="3176"/>
      <c r="AT101" s="3177"/>
      <c r="AU101" s="4775"/>
      <c r="AV101" s="4794">
        <f t="shared" si="179"/>
        <v>0.17895215841867648</v>
      </c>
      <c r="AW101" s="4794">
        <f t="shared" si="180"/>
        <v>0.35790431683735296</v>
      </c>
      <c r="AX101" s="4794">
        <f t="shared" si="181"/>
        <v>0.35790431683735296</v>
      </c>
      <c r="AY101" s="4794">
        <f t="shared" si="182"/>
        <v>0.35790431683735296</v>
      </c>
      <c r="AZ101" s="4794">
        <f t="shared" si="183"/>
        <v>0.35790431683735296</v>
      </c>
      <c r="BA101" s="4794">
        <f t="shared" si="184"/>
        <v>0.35790431683735296</v>
      </c>
      <c r="BB101" s="4794">
        <f t="shared" si="185"/>
        <v>0.35790431683735296</v>
      </c>
      <c r="BC101" s="4794">
        <f t="shared" si="186"/>
        <v>5.1129188119621853E-2</v>
      </c>
      <c r="BD101" s="4794">
        <f t="shared" si="187"/>
        <v>0.10225837623924371</v>
      </c>
      <c r="BE101" s="4794">
        <f t="shared" si="188"/>
        <v>0.10225837623924371</v>
      </c>
      <c r="BF101" s="4794">
        <f t="shared" si="189"/>
        <v>0.10225837623924371</v>
      </c>
      <c r="BG101" s="4794">
        <f t="shared" si="190"/>
        <v>0.10225837623924371</v>
      </c>
      <c r="BH101" s="4794">
        <f t="shared" si="191"/>
        <v>0.10225837623924371</v>
      </c>
      <c r="BI101" s="4794">
        <f t="shared" si="192"/>
        <v>0.10225837623924371</v>
      </c>
      <c r="BJ101" s="4794">
        <f t="shared" si="193"/>
        <v>2.5564594059810927E-2</v>
      </c>
      <c r="BK101" s="4794">
        <f t="shared" si="194"/>
        <v>5.1129188119621853E-2</v>
      </c>
      <c r="BL101" s="4794">
        <f t="shared" si="195"/>
        <v>5.1129188119621853E-2</v>
      </c>
      <c r="BM101" s="4794">
        <f t="shared" si="196"/>
        <v>5.1129188119621853E-2</v>
      </c>
      <c r="BN101" s="4794">
        <f t="shared" si="197"/>
        <v>5.1129188119621853E-2</v>
      </c>
      <c r="BO101" s="4794">
        <f t="shared" si="198"/>
        <v>5.1129188119621853E-2</v>
      </c>
      <c r="BP101" s="4794">
        <f t="shared" si="199"/>
        <v>5.1129188119621853E-2</v>
      </c>
      <c r="BQ101" s="4794">
        <f t="shared" si="200"/>
        <v>0</v>
      </c>
      <c r="BR101" s="4794">
        <f t="shared" si="201"/>
        <v>0</v>
      </c>
      <c r="BS101" s="4794">
        <f t="shared" si="202"/>
        <v>0</v>
      </c>
      <c r="BT101" s="4794">
        <f t="shared" si="203"/>
        <v>0</v>
      </c>
      <c r="BU101" s="4794">
        <f t="shared" si="204"/>
        <v>0</v>
      </c>
      <c r="BV101" s="4794">
        <f t="shared" si="205"/>
        <v>0</v>
      </c>
      <c r="BW101" s="4794">
        <f t="shared" si="206"/>
        <v>0</v>
      </c>
      <c r="BX101" s="4794">
        <f t="shared" si="207"/>
        <v>0</v>
      </c>
      <c r="BY101" s="4794">
        <f t="shared" si="208"/>
        <v>0</v>
      </c>
      <c r="BZ101" s="4794">
        <f t="shared" si="209"/>
        <v>0</v>
      </c>
      <c r="CA101" s="4794">
        <f t="shared" si="210"/>
        <v>0</v>
      </c>
      <c r="CB101" s="4794">
        <f t="shared" si="211"/>
        <v>0</v>
      </c>
      <c r="CC101" s="4794">
        <f t="shared" si="212"/>
        <v>0</v>
      </c>
      <c r="CD101" s="4794">
        <f t="shared" si="213"/>
        <v>0</v>
      </c>
    </row>
    <row r="102" spans="1:82" s="675" customFormat="1">
      <c r="A102" s="3061"/>
      <c r="B102" s="3058">
        <v>20603</v>
      </c>
      <c r="C102" s="3059">
        <v>0.5</v>
      </c>
      <c r="D102" s="3051" t="s">
        <v>1015</v>
      </c>
      <c r="E102" s="4738">
        <f t="shared" si="265"/>
        <v>0.25</v>
      </c>
      <c r="F102" s="3085">
        <f t="shared" si="266"/>
        <v>0.5</v>
      </c>
      <c r="G102" s="3083">
        <f t="shared" si="267"/>
        <v>0.5</v>
      </c>
      <c r="H102" s="3083">
        <f t="shared" si="267"/>
        <v>0.5</v>
      </c>
      <c r="I102" s="3083">
        <f t="shared" si="267"/>
        <v>0.5</v>
      </c>
      <c r="J102" s="3083">
        <f t="shared" si="267"/>
        <v>0.5</v>
      </c>
      <c r="K102" s="3084">
        <f t="shared" si="267"/>
        <v>0.5</v>
      </c>
      <c r="L102" s="4738">
        <f t="shared" si="268"/>
        <v>0</v>
      </c>
      <c r="M102" s="3115">
        <f t="shared" si="269"/>
        <v>0</v>
      </c>
      <c r="N102" s="3083">
        <f t="shared" si="270"/>
        <v>0</v>
      </c>
      <c r="O102" s="3083">
        <f t="shared" si="270"/>
        <v>0</v>
      </c>
      <c r="P102" s="3083">
        <f t="shared" si="270"/>
        <v>0</v>
      </c>
      <c r="Q102" s="3083">
        <f t="shared" si="270"/>
        <v>0</v>
      </c>
      <c r="R102" s="3086">
        <f t="shared" si="270"/>
        <v>0</v>
      </c>
      <c r="S102" s="4738">
        <f t="shared" si="271"/>
        <v>0</v>
      </c>
      <c r="T102" s="4478">
        <f t="shared" si="272"/>
        <v>0</v>
      </c>
      <c r="U102" s="3083">
        <f t="shared" si="273"/>
        <v>0</v>
      </c>
      <c r="V102" s="3083">
        <f t="shared" si="273"/>
        <v>0</v>
      </c>
      <c r="W102" s="3083">
        <f t="shared" si="273"/>
        <v>0</v>
      </c>
      <c r="X102" s="3083">
        <f t="shared" si="273"/>
        <v>0</v>
      </c>
      <c r="Y102" s="3086">
        <f t="shared" si="273"/>
        <v>0</v>
      </c>
      <c r="Z102" s="4738">
        <f t="shared" si="274"/>
        <v>0</v>
      </c>
      <c r="AA102" s="4478">
        <f t="shared" si="243"/>
        <v>0</v>
      </c>
      <c r="AB102" s="3083">
        <f t="shared" si="275"/>
        <v>0</v>
      </c>
      <c r="AC102" s="3083">
        <f t="shared" si="275"/>
        <v>0</v>
      </c>
      <c r="AD102" s="3083">
        <f t="shared" si="275"/>
        <v>0</v>
      </c>
      <c r="AE102" s="3083">
        <f t="shared" si="275"/>
        <v>0</v>
      </c>
      <c r="AF102" s="3086">
        <f t="shared" si="275"/>
        <v>0</v>
      </c>
      <c r="AG102" s="4738">
        <f t="shared" si="276"/>
        <v>0</v>
      </c>
      <c r="AH102" s="4478">
        <f t="shared" si="277"/>
        <v>0</v>
      </c>
      <c r="AI102" s="3083">
        <f t="shared" si="278"/>
        <v>0</v>
      </c>
      <c r="AJ102" s="3083">
        <f t="shared" si="278"/>
        <v>0</v>
      </c>
      <c r="AK102" s="3083">
        <f t="shared" si="278"/>
        <v>0</v>
      </c>
      <c r="AL102" s="3083">
        <f t="shared" si="278"/>
        <v>0</v>
      </c>
      <c r="AM102" s="3086">
        <f t="shared" si="278"/>
        <v>0</v>
      </c>
      <c r="AN102" s="4368"/>
      <c r="AO102" s="3175"/>
      <c r="AP102" s="3176"/>
      <c r="AQ102" s="3176"/>
      <c r="AR102" s="3176"/>
      <c r="AS102" s="3176"/>
      <c r="AT102" s="3177"/>
      <c r="AU102" s="4775"/>
      <c r="AV102" s="4794">
        <f t="shared" si="179"/>
        <v>0.12782297029905462</v>
      </c>
      <c r="AW102" s="4794">
        <f t="shared" si="180"/>
        <v>0.25564594059810924</v>
      </c>
      <c r="AX102" s="4794">
        <f t="shared" si="181"/>
        <v>0.25564594059810924</v>
      </c>
      <c r="AY102" s="4794">
        <f t="shared" si="182"/>
        <v>0.25564594059810924</v>
      </c>
      <c r="AZ102" s="4794">
        <f t="shared" si="183"/>
        <v>0.25564594059810924</v>
      </c>
      <c r="BA102" s="4794">
        <f t="shared" si="184"/>
        <v>0.25564594059810924</v>
      </c>
      <c r="BB102" s="4794">
        <f t="shared" si="185"/>
        <v>0.25564594059810924</v>
      </c>
      <c r="BC102" s="4794">
        <f t="shared" si="186"/>
        <v>0</v>
      </c>
      <c r="BD102" s="4794">
        <f t="shared" si="187"/>
        <v>0</v>
      </c>
      <c r="BE102" s="4794">
        <f t="shared" si="188"/>
        <v>0</v>
      </c>
      <c r="BF102" s="4794">
        <f t="shared" si="189"/>
        <v>0</v>
      </c>
      <c r="BG102" s="4794">
        <f t="shared" si="190"/>
        <v>0</v>
      </c>
      <c r="BH102" s="4794">
        <f t="shared" si="191"/>
        <v>0</v>
      </c>
      <c r="BI102" s="4794">
        <f t="shared" si="192"/>
        <v>0</v>
      </c>
      <c r="BJ102" s="4794">
        <f t="shared" si="193"/>
        <v>0</v>
      </c>
      <c r="BK102" s="4794">
        <f t="shared" si="194"/>
        <v>0</v>
      </c>
      <c r="BL102" s="4794">
        <f t="shared" si="195"/>
        <v>0</v>
      </c>
      <c r="BM102" s="4794">
        <f t="shared" si="196"/>
        <v>0</v>
      </c>
      <c r="BN102" s="4794">
        <f t="shared" si="197"/>
        <v>0</v>
      </c>
      <c r="BO102" s="4794">
        <f t="shared" si="198"/>
        <v>0</v>
      </c>
      <c r="BP102" s="4794">
        <f t="shared" si="199"/>
        <v>0</v>
      </c>
      <c r="BQ102" s="4794">
        <f t="shared" si="200"/>
        <v>0</v>
      </c>
      <c r="BR102" s="4794">
        <f t="shared" si="201"/>
        <v>0</v>
      </c>
      <c r="BS102" s="4794">
        <f t="shared" si="202"/>
        <v>0</v>
      </c>
      <c r="BT102" s="4794">
        <f t="shared" si="203"/>
        <v>0</v>
      </c>
      <c r="BU102" s="4794">
        <f t="shared" si="204"/>
        <v>0</v>
      </c>
      <c r="BV102" s="4794">
        <f t="shared" si="205"/>
        <v>0</v>
      </c>
      <c r="BW102" s="4794">
        <f t="shared" si="206"/>
        <v>0</v>
      </c>
      <c r="BX102" s="4794">
        <f t="shared" si="207"/>
        <v>0</v>
      </c>
      <c r="BY102" s="4794">
        <f t="shared" si="208"/>
        <v>0</v>
      </c>
      <c r="BZ102" s="4794">
        <f t="shared" si="209"/>
        <v>0</v>
      </c>
      <c r="CA102" s="4794">
        <f t="shared" si="210"/>
        <v>0</v>
      </c>
      <c r="CB102" s="4794">
        <f t="shared" si="211"/>
        <v>0</v>
      </c>
      <c r="CC102" s="4794">
        <f t="shared" si="212"/>
        <v>0</v>
      </c>
      <c r="CD102" s="4794">
        <f t="shared" si="213"/>
        <v>0</v>
      </c>
    </row>
    <row r="103" spans="1:82" s="44" customFormat="1">
      <c r="A103" s="3061">
        <v>7</v>
      </c>
      <c r="B103" s="3062">
        <v>208</v>
      </c>
      <c r="C103" s="3063">
        <v>0.2</v>
      </c>
      <c r="D103" s="3104" t="s">
        <v>413</v>
      </c>
      <c r="E103" s="4738">
        <f t="shared" si="265"/>
        <v>1.6</v>
      </c>
      <c r="F103" s="3116">
        <f t="shared" si="266"/>
        <v>3.2</v>
      </c>
      <c r="G103" s="3117">
        <f t="shared" si="267"/>
        <v>3.2</v>
      </c>
      <c r="H103" s="3117">
        <f t="shared" si="267"/>
        <v>3.2</v>
      </c>
      <c r="I103" s="3117">
        <f t="shared" si="267"/>
        <v>3.2</v>
      </c>
      <c r="J103" s="3117">
        <f t="shared" si="267"/>
        <v>3.2</v>
      </c>
      <c r="K103" s="3118">
        <f t="shared" si="267"/>
        <v>3.2</v>
      </c>
      <c r="L103" s="4738">
        <f t="shared" si="268"/>
        <v>0.2</v>
      </c>
      <c r="M103" s="3119">
        <f t="shared" si="269"/>
        <v>0.4</v>
      </c>
      <c r="N103" s="3117">
        <f t="shared" si="270"/>
        <v>0.4</v>
      </c>
      <c r="O103" s="3117">
        <f t="shared" si="270"/>
        <v>0.4</v>
      </c>
      <c r="P103" s="3117">
        <f t="shared" si="270"/>
        <v>0.4</v>
      </c>
      <c r="Q103" s="3117">
        <f t="shared" si="270"/>
        <v>0.4</v>
      </c>
      <c r="R103" s="3120">
        <f t="shared" si="270"/>
        <v>0.4</v>
      </c>
      <c r="S103" s="4738">
        <f t="shared" si="271"/>
        <v>0.2</v>
      </c>
      <c r="T103" s="3121">
        <f t="shared" si="272"/>
        <v>0.4</v>
      </c>
      <c r="U103" s="3117">
        <f t="shared" si="273"/>
        <v>0.4</v>
      </c>
      <c r="V103" s="3117">
        <f t="shared" si="273"/>
        <v>0.4</v>
      </c>
      <c r="W103" s="3117">
        <f t="shared" si="273"/>
        <v>0.4</v>
      </c>
      <c r="X103" s="3117">
        <f t="shared" si="273"/>
        <v>0.4</v>
      </c>
      <c r="Y103" s="3120">
        <f t="shared" si="273"/>
        <v>0.4</v>
      </c>
      <c r="Z103" s="4738">
        <f t="shared" si="274"/>
        <v>0</v>
      </c>
      <c r="AA103" s="3121">
        <f t="shared" si="243"/>
        <v>0</v>
      </c>
      <c r="AB103" s="3117">
        <f t="shared" si="275"/>
        <v>0</v>
      </c>
      <c r="AC103" s="3117">
        <f t="shared" si="275"/>
        <v>0</v>
      </c>
      <c r="AD103" s="3117">
        <f t="shared" si="275"/>
        <v>0</v>
      </c>
      <c r="AE103" s="3117">
        <f t="shared" si="275"/>
        <v>0</v>
      </c>
      <c r="AF103" s="3120">
        <f t="shared" si="275"/>
        <v>0</v>
      </c>
      <c r="AG103" s="4738">
        <f t="shared" si="276"/>
        <v>0</v>
      </c>
      <c r="AH103" s="3121">
        <f t="shared" si="277"/>
        <v>0</v>
      </c>
      <c r="AI103" s="3117">
        <f t="shared" si="278"/>
        <v>0</v>
      </c>
      <c r="AJ103" s="3117">
        <f t="shared" si="278"/>
        <v>0</v>
      </c>
      <c r="AK103" s="3117">
        <f t="shared" si="278"/>
        <v>0</v>
      </c>
      <c r="AL103" s="3117">
        <f t="shared" si="278"/>
        <v>0</v>
      </c>
      <c r="AM103" s="3120">
        <f t="shared" si="278"/>
        <v>0</v>
      </c>
      <c r="AN103" s="4368"/>
      <c r="AO103" s="3175"/>
      <c r="AP103" s="3176"/>
      <c r="AQ103" s="3176"/>
      <c r="AR103" s="3176"/>
      <c r="AS103" s="3176"/>
      <c r="AT103" s="3177"/>
      <c r="AU103" s="4775"/>
      <c r="AV103" s="4794">
        <f t="shared" si="179"/>
        <v>0.81806700991394965</v>
      </c>
      <c r="AW103" s="4794">
        <f t="shared" si="180"/>
        <v>1.6361340198278993</v>
      </c>
      <c r="AX103" s="4794">
        <f t="shared" si="181"/>
        <v>1.6361340198278993</v>
      </c>
      <c r="AY103" s="4794">
        <f t="shared" si="182"/>
        <v>1.6361340198278993</v>
      </c>
      <c r="AZ103" s="4794">
        <f t="shared" si="183"/>
        <v>1.6361340198278993</v>
      </c>
      <c r="BA103" s="4794">
        <f t="shared" si="184"/>
        <v>1.6361340198278993</v>
      </c>
      <c r="BB103" s="4794">
        <f t="shared" si="185"/>
        <v>1.6361340198278993</v>
      </c>
      <c r="BC103" s="4794">
        <f t="shared" si="186"/>
        <v>0.10225837623924371</v>
      </c>
      <c r="BD103" s="4794">
        <f t="shared" si="187"/>
        <v>0.20451675247848741</v>
      </c>
      <c r="BE103" s="4794">
        <f t="shared" si="188"/>
        <v>0.20451675247848741</v>
      </c>
      <c r="BF103" s="4794">
        <f t="shared" si="189"/>
        <v>0.20451675247848741</v>
      </c>
      <c r="BG103" s="4794">
        <f t="shared" si="190"/>
        <v>0.20451675247848741</v>
      </c>
      <c r="BH103" s="4794">
        <f t="shared" si="191"/>
        <v>0.20451675247848741</v>
      </c>
      <c r="BI103" s="4794">
        <f t="shared" si="192"/>
        <v>0.20451675247848741</v>
      </c>
      <c r="BJ103" s="4794">
        <f t="shared" si="193"/>
        <v>0.10225837623924371</v>
      </c>
      <c r="BK103" s="4794">
        <f t="shared" si="194"/>
        <v>0.20451675247848741</v>
      </c>
      <c r="BL103" s="4794">
        <f t="shared" si="195"/>
        <v>0.20451675247848741</v>
      </c>
      <c r="BM103" s="4794">
        <f t="shared" si="196"/>
        <v>0.20451675247848741</v>
      </c>
      <c r="BN103" s="4794">
        <f t="shared" si="197"/>
        <v>0.20451675247848741</v>
      </c>
      <c r="BO103" s="4794">
        <f t="shared" si="198"/>
        <v>0.20451675247848741</v>
      </c>
      <c r="BP103" s="4794">
        <f t="shared" si="199"/>
        <v>0.20451675247848741</v>
      </c>
      <c r="BQ103" s="4794">
        <f t="shared" si="200"/>
        <v>0</v>
      </c>
      <c r="BR103" s="4794">
        <f t="shared" si="201"/>
        <v>0</v>
      </c>
      <c r="BS103" s="4794">
        <f t="shared" si="202"/>
        <v>0</v>
      </c>
      <c r="BT103" s="4794">
        <f t="shared" si="203"/>
        <v>0</v>
      </c>
      <c r="BU103" s="4794">
        <f t="shared" si="204"/>
        <v>0</v>
      </c>
      <c r="BV103" s="4794">
        <f t="shared" si="205"/>
        <v>0</v>
      </c>
      <c r="BW103" s="4794">
        <f t="shared" si="206"/>
        <v>0</v>
      </c>
      <c r="BX103" s="4794">
        <f t="shared" si="207"/>
        <v>0</v>
      </c>
      <c r="BY103" s="4794">
        <f t="shared" si="208"/>
        <v>0</v>
      </c>
      <c r="BZ103" s="4794">
        <f t="shared" si="209"/>
        <v>0</v>
      </c>
      <c r="CA103" s="4794">
        <f t="shared" si="210"/>
        <v>0</v>
      </c>
      <c r="CB103" s="4794">
        <f t="shared" si="211"/>
        <v>0</v>
      </c>
      <c r="CC103" s="4794">
        <f t="shared" si="212"/>
        <v>0</v>
      </c>
      <c r="CD103" s="4794">
        <f t="shared" si="213"/>
        <v>0</v>
      </c>
    </row>
    <row r="104" spans="1:82" s="44" customFormat="1">
      <c r="A104" s="3061">
        <v>8</v>
      </c>
      <c r="B104" s="3062">
        <v>209</v>
      </c>
      <c r="C104" s="3063">
        <v>0.1</v>
      </c>
      <c r="D104" s="3104" t="s">
        <v>213</v>
      </c>
      <c r="E104" s="4738">
        <f t="shared" si="265"/>
        <v>0</v>
      </c>
      <c r="F104" s="3116">
        <f t="shared" si="266"/>
        <v>0</v>
      </c>
      <c r="G104" s="3117">
        <f t="shared" si="267"/>
        <v>0</v>
      </c>
      <c r="H104" s="3117">
        <f t="shared" si="267"/>
        <v>0</v>
      </c>
      <c r="I104" s="3117">
        <f t="shared" si="267"/>
        <v>0</v>
      </c>
      <c r="J104" s="3117">
        <f t="shared" si="267"/>
        <v>0</v>
      </c>
      <c r="K104" s="3118">
        <f t="shared" si="267"/>
        <v>0</v>
      </c>
      <c r="L104" s="4738">
        <f t="shared" si="268"/>
        <v>0</v>
      </c>
      <c r="M104" s="3119">
        <f t="shared" si="269"/>
        <v>0</v>
      </c>
      <c r="N104" s="3117">
        <f t="shared" si="270"/>
        <v>0</v>
      </c>
      <c r="O104" s="3117">
        <f t="shared" si="270"/>
        <v>0</v>
      </c>
      <c r="P104" s="3117">
        <f t="shared" si="270"/>
        <v>0</v>
      </c>
      <c r="Q104" s="3117">
        <f t="shared" si="270"/>
        <v>0</v>
      </c>
      <c r="R104" s="3120">
        <f t="shared" si="270"/>
        <v>0</v>
      </c>
      <c r="S104" s="4738">
        <f t="shared" si="271"/>
        <v>0</v>
      </c>
      <c r="T104" s="3121">
        <f t="shared" si="272"/>
        <v>0</v>
      </c>
      <c r="U104" s="3117">
        <f t="shared" si="273"/>
        <v>0</v>
      </c>
      <c r="V104" s="3117">
        <f t="shared" si="273"/>
        <v>0</v>
      </c>
      <c r="W104" s="3117">
        <f t="shared" si="273"/>
        <v>0</v>
      </c>
      <c r="X104" s="3117">
        <f t="shared" si="273"/>
        <v>0</v>
      </c>
      <c r="Y104" s="3120">
        <f t="shared" si="273"/>
        <v>0</v>
      </c>
      <c r="Z104" s="4738">
        <f t="shared" si="274"/>
        <v>0</v>
      </c>
      <c r="AA104" s="3121">
        <f t="shared" si="243"/>
        <v>0</v>
      </c>
      <c r="AB104" s="3117">
        <f t="shared" si="275"/>
        <v>0</v>
      </c>
      <c r="AC104" s="3117">
        <f t="shared" si="275"/>
        <v>0</v>
      </c>
      <c r="AD104" s="3117">
        <f t="shared" si="275"/>
        <v>0</v>
      </c>
      <c r="AE104" s="3117">
        <f t="shared" si="275"/>
        <v>0</v>
      </c>
      <c r="AF104" s="3120">
        <f t="shared" si="275"/>
        <v>0</v>
      </c>
      <c r="AG104" s="4738">
        <f t="shared" si="276"/>
        <v>0</v>
      </c>
      <c r="AH104" s="3121">
        <f t="shared" si="277"/>
        <v>0</v>
      </c>
      <c r="AI104" s="3117">
        <f t="shared" si="278"/>
        <v>0</v>
      </c>
      <c r="AJ104" s="3117">
        <f t="shared" si="278"/>
        <v>0</v>
      </c>
      <c r="AK104" s="3117">
        <f t="shared" si="278"/>
        <v>0</v>
      </c>
      <c r="AL104" s="3117">
        <f t="shared" si="278"/>
        <v>0</v>
      </c>
      <c r="AM104" s="3120">
        <f t="shared" si="278"/>
        <v>0</v>
      </c>
      <c r="AN104" s="4368"/>
      <c r="AO104" s="3175"/>
      <c r="AP104" s="3176"/>
      <c r="AQ104" s="3176"/>
      <c r="AR104" s="3176"/>
      <c r="AS104" s="3176"/>
      <c r="AT104" s="3177"/>
      <c r="AU104" s="4775"/>
      <c r="AV104" s="4794">
        <f t="shared" si="179"/>
        <v>0</v>
      </c>
      <c r="AW104" s="4794">
        <f t="shared" si="180"/>
        <v>0</v>
      </c>
      <c r="AX104" s="4794">
        <f t="shared" si="181"/>
        <v>0</v>
      </c>
      <c r="AY104" s="4794">
        <f t="shared" si="182"/>
        <v>0</v>
      </c>
      <c r="AZ104" s="4794">
        <f t="shared" si="183"/>
        <v>0</v>
      </c>
      <c r="BA104" s="4794">
        <f t="shared" si="184"/>
        <v>0</v>
      </c>
      <c r="BB104" s="4794">
        <f t="shared" si="185"/>
        <v>0</v>
      </c>
      <c r="BC104" s="4794">
        <f t="shared" si="186"/>
        <v>0</v>
      </c>
      <c r="BD104" s="4794">
        <f t="shared" si="187"/>
        <v>0</v>
      </c>
      <c r="BE104" s="4794">
        <f t="shared" si="188"/>
        <v>0</v>
      </c>
      <c r="BF104" s="4794">
        <f t="shared" si="189"/>
        <v>0</v>
      </c>
      <c r="BG104" s="4794">
        <f t="shared" si="190"/>
        <v>0</v>
      </c>
      <c r="BH104" s="4794">
        <f t="shared" si="191"/>
        <v>0</v>
      </c>
      <c r="BI104" s="4794">
        <f t="shared" si="192"/>
        <v>0</v>
      </c>
      <c r="BJ104" s="4794">
        <f t="shared" si="193"/>
        <v>0</v>
      </c>
      <c r="BK104" s="4794">
        <f t="shared" si="194"/>
        <v>0</v>
      </c>
      <c r="BL104" s="4794">
        <f t="shared" si="195"/>
        <v>0</v>
      </c>
      <c r="BM104" s="4794">
        <f t="shared" si="196"/>
        <v>0</v>
      </c>
      <c r="BN104" s="4794">
        <f t="shared" si="197"/>
        <v>0</v>
      </c>
      <c r="BO104" s="4794">
        <f t="shared" si="198"/>
        <v>0</v>
      </c>
      <c r="BP104" s="4794">
        <f t="shared" si="199"/>
        <v>0</v>
      </c>
      <c r="BQ104" s="4794">
        <f t="shared" si="200"/>
        <v>0</v>
      </c>
      <c r="BR104" s="4794">
        <f t="shared" si="201"/>
        <v>0</v>
      </c>
      <c r="BS104" s="4794">
        <f t="shared" si="202"/>
        <v>0</v>
      </c>
      <c r="BT104" s="4794">
        <f t="shared" si="203"/>
        <v>0</v>
      </c>
      <c r="BU104" s="4794">
        <f t="shared" si="204"/>
        <v>0</v>
      </c>
      <c r="BV104" s="4794">
        <f t="shared" si="205"/>
        <v>0</v>
      </c>
      <c r="BW104" s="4794">
        <f t="shared" si="206"/>
        <v>0</v>
      </c>
      <c r="BX104" s="4794">
        <f t="shared" si="207"/>
        <v>0</v>
      </c>
      <c r="BY104" s="4794">
        <f t="shared" si="208"/>
        <v>0</v>
      </c>
      <c r="BZ104" s="4794">
        <f t="shared" si="209"/>
        <v>0</v>
      </c>
      <c r="CA104" s="4794">
        <f t="shared" si="210"/>
        <v>0</v>
      </c>
      <c r="CB104" s="4794">
        <f t="shared" si="211"/>
        <v>0</v>
      </c>
      <c r="CC104" s="4794">
        <f t="shared" si="212"/>
        <v>0</v>
      </c>
      <c r="CD104" s="4794">
        <f t="shared" si="213"/>
        <v>0</v>
      </c>
    </row>
    <row r="105" spans="1:82" s="44" customFormat="1">
      <c r="A105" s="3061">
        <v>9</v>
      </c>
      <c r="B105" s="3062">
        <v>212</v>
      </c>
      <c r="C105" s="3063">
        <v>0.2</v>
      </c>
      <c r="D105" s="3122" t="s">
        <v>214</v>
      </c>
      <c r="E105" s="4738">
        <f t="shared" si="265"/>
        <v>5.7</v>
      </c>
      <c r="F105" s="3116">
        <f t="shared" si="266"/>
        <v>11.4</v>
      </c>
      <c r="G105" s="3117">
        <f t="shared" si="267"/>
        <v>11.4</v>
      </c>
      <c r="H105" s="3117">
        <f t="shared" si="267"/>
        <v>11.4</v>
      </c>
      <c r="I105" s="3117">
        <f t="shared" si="267"/>
        <v>11.4</v>
      </c>
      <c r="J105" s="3117">
        <f t="shared" si="267"/>
        <v>11.4</v>
      </c>
      <c r="K105" s="3118">
        <f t="shared" si="267"/>
        <v>11.4</v>
      </c>
      <c r="L105" s="4738">
        <f t="shared" si="268"/>
        <v>2.2000000000000002</v>
      </c>
      <c r="M105" s="3119">
        <f t="shared" si="269"/>
        <v>4.4000000000000004</v>
      </c>
      <c r="N105" s="3117">
        <f t="shared" si="270"/>
        <v>4.4000000000000004</v>
      </c>
      <c r="O105" s="3117">
        <f t="shared" si="270"/>
        <v>4.4000000000000004</v>
      </c>
      <c r="P105" s="3117">
        <f t="shared" si="270"/>
        <v>4.4000000000000004</v>
      </c>
      <c r="Q105" s="3117">
        <f t="shared" si="270"/>
        <v>4.4000000000000004</v>
      </c>
      <c r="R105" s="3120">
        <f t="shared" si="270"/>
        <v>4.4000000000000004</v>
      </c>
      <c r="S105" s="4738">
        <f t="shared" si="271"/>
        <v>0.8</v>
      </c>
      <c r="T105" s="3121">
        <f t="shared" si="272"/>
        <v>1.6</v>
      </c>
      <c r="U105" s="3117">
        <f t="shared" si="273"/>
        <v>1.6</v>
      </c>
      <c r="V105" s="3117">
        <f t="shared" si="273"/>
        <v>1.6</v>
      </c>
      <c r="W105" s="3117">
        <f t="shared" si="273"/>
        <v>1.6</v>
      </c>
      <c r="X105" s="3117">
        <f t="shared" si="273"/>
        <v>1.6</v>
      </c>
      <c r="Y105" s="3120">
        <f t="shared" si="273"/>
        <v>1.6</v>
      </c>
      <c r="Z105" s="4738">
        <f t="shared" si="274"/>
        <v>0</v>
      </c>
      <c r="AA105" s="3121">
        <f t="shared" si="243"/>
        <v>0</v>
      </c>
      <c r="AB105" s="3117">
        <f t="shared" si="275"/>
        <v>0</v>
      </c>
      <c r="AC105" s="3117">
        <f t="shared" si="275"/>
        <v>0</v>
      </c>
      <c r="AD105" s="3117">
        <f t="shared" si="275"/>
        <v>0</v>
      </c>
      <c r="AE105" s="3117">
        <f t="shared" si="275"/>
        <v>0</v>
      </c>
      <c r="AF105" s="3120">
        <f t="shared" si="275"/>
        <v>0</v>
      </c>
      <c r="AG105" s="4738">
        <f t="shared" si="276"/>
        <v>0</v>
      </c>
      <c r="AH105" s="3121">
        <f t="shared" si="277"/>
        <v>0</v>
      </c>
      <c r="AI105" s="3117">
        <f t="shared" si="278"/>
        <v>0</v>
      </c>
      <c r="AJ105" s="3117">
        <f t="shared" si="278"/>
        <v>0</v>
      </c>
      <c r="AK105" s="3117">
        <f t="shared" si="278"/>
        <v>0</v>
      </c>
      <c r="AL105" s="3117">
        <f t="shared" si="278"/>
        <v>0</v>
      </c>
      <c r="AM105" s="3120">
        <f t="shared" si="278"/>
        <v>0</v>
      </c>
      <c r="AN105" s="4368"/>
      <c r="AO105" s="3175"/>
      <c r="AP105" s="3176"/>
      <c r="AQ105" s="3176"/>
      <c r="AR105" s="3176"/>
      <c r="AS105" s="3176"/>
      <c r="AT105" s="3177"/>
      <c r="AU105" s="4775"/>
      <c r="AV105" s="4794">
        <f t="shared" si="179"/>
        <v>2.9143637228184454</v>
      </c>
      <c r="AW105" s="4794">
        <f t="shared" si="180"/>
        <v>5.8287274456368907</v>
      </c>
      <c r="AX105" s="4794">
        <f t="shared" si="181"/>
        <v>5.8287274456368907</v>
      </c>
      <c r="AY105" s="4794">
        <f t="shared" si="182"/>
        <v>5.8287274456368907</v>
      </c>
      <c r="AZ105" s="4794">
        <f t="shared" si="183"/>
        <v>5.8287274456368907</v>
      </c>
      <c r="BA105" s="4794">
        <f t="shared" si="184"/>
        <v>5.8287274456368907</v>
      </c>
      <c r="BB105" s="4794">
        <f t="shared" si="185"/>
        <v>5.8287274456368907</v>
      </c>
      <c r="BC105" s="4794">
        <f t="shared" si="186"/>
        <v>1.1248421386316807</v>
      </c>
      <c r="BD105" s="4794">
        <f t="shared" si="187"/>
        <v>2.2496842772633614</v>
      </c>
      <c r="BE105" s="4794">
        <f t="shared" si="188"/>
        <v>2.2496842772633614</v>
      </c>
      <c r="BF105" s="4794">
        <f t="shared" si="189"/>
        <v>2.2496842772633614</v>
      </c>
      <c r="BG105" s="4794">
        <f t="shared" si="190"/>
        <v>2.2496842772633614</v>
      </c>
      <c r="BH105" s="4794">
        <f t="shared" si="191"/>
        <v>2.2496842772633614</v>
      </c>
      <c r="BI105" s="4794">
        <f t="shared" si="192"/>
        <v>2.2496842772633614</v>
      </c>
      <c r="BJ105" s="4794">
        <f t="shared" si="193"/>
        <v>0.40903350495697482</v>
      </c>
      <c r="BK105" s="4794">
        <f t="shared" si="194"/>
        <v>0.81806700991394965</v>
      </c>
      <c r="BL105" s="4794">
        <f t="shared" si="195"/>
        <v>0.81806700991394965</v>
      </c>
      <c r="BM105" s="4794">
        <f t="shared" si="196"/>
        <v>0.81806700991394965</v>
      </c>
      <c r="BN105" s="4794">
        <f t="shared" si="197"/>
        <v>0.81806700991394965</v>
      </c>
      <c r="BO105" s="4794">
        <f t="shared" si="198"/>
        <v>0.81806700991394965</v>
      </c>
      <c r="BP105" s="4794">
        <f t="shared" si="199"/>
        <v>0.81806700991394965</v>
      </c>
      <c r="BQ105" s="4794">
        <f t="shared" si="200"/>
        <v>0</v>
      </c>
      <c r="BR105" s="4794">
        <f t="shared" si="201"/>
        <v>0</v>
      </c>
      <c r="BS105" s="4794">
        <f t="shared" si="202"/>
        <v>0</v>
      </c>
      <c r="BT105" s="4794">
        <f t="shared" si="203"/>
        <v>0</v>
      </c>
      <c r="BU105" s="4794">
        <f t="shared" si="204"/>
        <v>0</v>
      </c>
      <c r="BV105" s="4794">
        <f t="shared" si="205"/>
        <v>0</v>
      </c>
      <c r="BW105" s="4794">
        <f t="shared" si="206"/>
        <v>0</v>
      </c>
      <c r="BX105" s="4794">
        <f t="shared" si="207"/>
        <v>0</v>
      </c>
      <c r="BY105" s="4794">
        <f t="shared" si="208"/>
        <v>0</v>
      </c>
      <c r="BZ105" s="4794">
        <f t="shared" si="209"/>
        <v>0</v>
      </c>
      <c r="CA105" s="4794">
        <f t="shared" si="210"/>
        <v>0</v>
      </c>
      <c r="CB105" s="4794">
        <f t="shared" si="211"/>
        <v>0</v>
      </c>
      <c r="CC105" s="4794">
        <f t="shared" si="212"/>
        <v>0</v>
      </c>
      <c r="CD105" s="4794">
        <f t="shared" si="213"/>
        <v>0</v>
      </c>
    </row>
    <row r="106" spans="1:82" s="44" customFormat="1">
      <c r="A106" s="3061">
        <v>10</v>
      </c>
      <c r="B106" s="3062">
        <v>213</v>
      </c>
      <c r="C106" s="3063">
        <v>0.2</v>
      </c>
      <c r="D106" s="3107" t="s">
        <v>215</v>
      </c>
      <c r="E106" s="4738">
        <f t="shared" si="265"/>
        <v>0</v>
      </c>
      <c r="F106" s="3116">
        <f t="shared" si="266"/>
        <v>0</v>
      </c>
      <c r="G106" s="3117">
        <f t="shared" si="267"/>
        <v>0</v>
      </c>
      <c r="H106" s="3117">
        <f t="shared" si="267"/>
        <v>0</v>
      </c>
      <c r="I106" s="3117">
        <f t="shared" si="267"/>
        <v>0</v>
      </c>
      <c r="J106" s="3117">
        <f t="shared" si="267"/>
        <v>0</v>
      </c>
      <c r="K106" s="3118">
        <f t="shared" si="267"/>
        <v>0</v>
      </c>
      <c r="L106" s="4738">
        <f t="shared" si="268"/>
        <v>0</v>
      </c>
      <c r="M106" s="3119">
        <f t="shared" si="269"/>
        <v>0</v>
      </c>
      <c r="N106" s="3117">
        <f t="shared" si="270"/>
        <v>0</v>
      </c>
      <c r="O106" s="3117">
        <f t="shared" si="270"/>
        <v>0</v>
      </c>
      <c r="P106" s="3117">
        <f t="shared" si="270"/>
        <v>0</v>
      </c>
      <c r="Q106" s="3117">
        <f t="shared" si="270"/>
        <v>0</v>
      </c>
      <c r="R106" s="3120">
        <f t="shared" si="270"/>
        <v>0</v>
      </c>
      <c r="S106" s="4738">
        <f t="shared" si="271"/>
        <v>0</v>
      </c>
      <c r="T106" s="3121">
        <f t="shared" si="272"/>
        <v>0</v>
      </c>
      <c r="U106" s="3117">
        <f t="shared" si="273"/>
        <v>0</v>
      </c>
      <c r="V106" s="3117">
        <f t="shared" si="273"/>
        <v>0</v>
      </c>
      <c r="W106" s="3117">
        <f t="shared" si="273"/>
        <v>0</v>
      </c>
      <c r="X106" s="3117">
        <f t="shared" si="273"/>
        <v>0</v>
      </c>
      <c r="Y106" s="3120">
        <f t="shared" si="273"/>
        <v>0</v>
      </c>
      <c r="Z106" s="4738">
        <f t="shared" si="274"/>
        <v>0</v>
      </c>
      <c r="AA106" s="3121">
        <f t="shared" si="243"/>
        <v>0</v>
      </c>
      <c r="AB106" s="3117">
        <f t="shared" si="275"/>
        <v>0</v>
      </c>
      <c r="AC106" s="3117">
        <f t="shared" si="275"/>
        <v>0</v>
      </c>
      <c r="AD106" s="3117">
        <f t="shared" si="275"/>
        <v>0</v>
      </c>
      <c r="AE106" s="3117">
        <f t="shared" si="275"/>
        <v>0</v>
      </c>
      <c r="AF106" s="3120">
        <f t="shared" si="275"/>
        <v>0</v>
      </c>
      <c r="AG106" s="4738">
        <f t="shared" si="276"/>
        <v>0</v>
      </c>
      <c r="AH106" s="3121">
        <f t="shared" si="277"/>
        <v>0</v>
      </c>
      <c r="AI106" s="3117">
        <f t="shared" si="278"/>
        <v>0</v>
      </c>
      <c r="AJ106" s="3117">
        <f t="shared" si="278"/>
        <v>0</v>
      </c>
      <c r="AK106" s="3117">
        <f t="shared" si="278"/>
        <v>0</v>
      </c>
      <c r="AL106" s="3117">
        <f t="shared" si="278"/>
        <v>0</v>
      </c>
      <c r="AM106" s="3120">
        <f t="shared" si="278"/>
        <v>0</v>
      </c>
      <c r="AN106" s="4368"/>
      <c r="AO106" s="3175"/>
      <c r="AP106" s="3176"/>
      <c r="AQ106" s="3176"/>
      <c r="AR106" s="3176"/>
      <c r="AS106" s="3176"/>
      <c r="AT106" s="3177"/>
      <c r="AU106" s="4775"/>
      <c r="AV106" s="4794">
        <f t="shared" si="179"/>
        <v>0</v>
      </c>
      <c r="AW106" s="4794">
        <f t="shared" si="180"/>
        <v>0</v>
      </c>
      <c r="AX106" s="4794">
        <f t="shared" si="181"/>
        <v>0</v>
      </c>
      <c r="AY106" s="4794">
        <f t="shared" si="182"/>
        <v>0</v>
      </c>
      <c r="AZ106" s="4794">
        <f t="shared" si="183"/>
        <v>0</v>
      </c>
      <c r="BA106" s="4794">
        <f t="shared" si="184"/>
        <v>0</v>
      </c>
      <c r="BB106" s="4794">
        <f t="shared" si="185"/>
        <v>0</v>
      </c>
      <c r="BC106" s="4794">
        <f t="shared" si="186"/>
        <v>0</v>
      </c>
      <c r="BD106" s="4794">
        <f t="shared" si="187"/>
        <v>0</v>
      </c>
      <c r="BE106" s="4794">
        <f t="shared" si="188"/>
        <v>0</v>
      </c>
      <c r="BF106" s="4794">
        <f t="shared" si="189"/>
        <v>0</v>
      </c>
      <c r="BG106" s="4794">
        <f t="shared" si="190"/>
        <v>0</v>
      </c>
      <c r="BH106" s="4794">
        <f t="shared" si="191"/>
        <v>0</v>
      </c>
      <c r="BI106" s="4794">
        <f t="shared" si="192"/>
        <v>0</v>
      </c>
      <c r="BJ106" s="4794">
        <f t="shared" si="193"/>
        <v>0</v>
      </c>
      <c r="BK106" s="4794">
        <f t="shared" si="194"/>
        <v>0</v>
      </c>
      <c r="BL106" s="4794">
        <f t="shared" si="195"/>
        <v>0</v>
      </c>
      <c r="BM106" s="4794">
        <f t="shared" si="196"/>
        <v>0</v>
      </c>
      <c r="BN106" s="4794">
        <f t="shared" si="197"/>
        <v>0</v>
      </c>
      <c r="BO106" s="4794">
        <f t="shared" si="198"/>
        <v>0</v>
      </c>
      <c r="BP106" s="4794">
        <f t="shared" si="199"/>
        <v>0</v>
      </c>
      <c r="BQ106" s="4794">
        <f t="shared" si="200"/>
        <v>0</v>
      </c>
      <c r="BR106" s="4794">
        <f t="shared" si="201"/>
        <v>0</v>
      </c>
      <c r="BS106" s="4794">
        <f t="shared" si="202"/>
        <v>0</v>
      </c>
      <c r="BT106" s="4794">
        <f t="shared" si="203"/>
        <v>0</v>
      </c>
      <c r="BU106" s="4794">
        <f t="shared" si="204"/>
        <v>0</v>
      </c>
      <c r="BV106" s="4794">
        <f t="shared" si="205"/>
        <v>0</v>
      </c>
      <c r="BW106" s="4794">
        <f t="shared" si="206"/>
        <v>0</v>
      </c>
      <c r="BX106" s="4794">
        <f t="shared" si="207"/>
        <v>0</v>
      </c>
      <c r="BY106" s="4794">
        <f t="shared" si="208"/>
        <v>0</v>
      </c>
      <c r="BZ106" s="4794">
        <f t="shared" si="209"/>
        <v>0</v>
      </c>
      <c r="CA106" s="4794">
        <f t="shared" si="210"/>
        <v>0</v>
      </c>
      <c r="CB106" s="4794">
        <f t="shared" si="211"/>
        <v>0</v>
      </c>
      <c r="CC106" s="4794">
        <f t="shared" si="212"/>
        <v>0</v>
      </c>
      <c r="CD106" s="4794">
        <f t="shared" si="213"/>
        <v>0</v>
      </c>
    </row>
    <row r="107" spans="1:82" s="44" customFormat="1" ht="25.5">
      <c r="A107" s="3123">
        <v>11</v>
      </c>
      <c r="B107" s="3062">
        <v>215</v>
      </c>
      <c r="C107" s="3063">
        <v>0.2</v>
      </c>
      <c r="D107" s="3107" t="s">
        <v>679</v>
      </c>
      <c r="E107" s="4738">
        <f t="shared" si="265"/>
        <v>0</v>
      </c>
      <c r="F107" s="3116">
        <f t="shared" si="266"/>
        <v>0</v>
      </c>
      <c r="G107" s="3117">
        <f t="shared" si="267"/>
        <v>0</v>
      </c>
      <c r="H107" s="3117">
        <f t="shared" si="267"/>
        <v>0</v>
      </c>
      <c r="I107" s="3117">
        <f t="shared" si="267"/>
        <v>0</v>
      </c>
      <c r="J107" s="3117">
        <f t="shared" si="267"/>
        <v>0</v>
      </c>
      <c r="K107" s="3118">
        <f t="shared" si="267"/>
        <v>0</v>
      </c>
      <c r="L107" s="4738">
        <f t="shared" si="268"/>
        <v>0</v>
      </c>
      <c r="M107" s="3119">
        <f t="shared" si="269"/>
        <v>0</v>
      </c>
      <c r="N107" s="3117">
        <f t="shared" si="270"/>
        <v>0</v>
      </c>
      <c r="O107" s="3117">
        <f t="shared" si="270"/>
        <v>0</v>
      </c>
      <c r="P107" s="3117">
        <f t="shared" si="270"/>
        <v>0</v>
      </c>
      <c r="Q107" s="3117">
        <f t="shared" si="270"/>
        <v>0</v>
      </c>
      <c r="R107" s="3120">
        <f t="shared" si="270"/>
        <v>0</v>
      </c>
      <c r="S107" s="4738">
        <f t="shared" si="271"/>
        <v>0</v>
      </c>
      <c r="T107" s="3121">
        <f t="shared" si="272"/>
        <v>0</v>
      </c>
      <c r="U107" s="3117">
        <f t="shared" si="273"/>
        <v>0</v>
      </c>
      <c r="V107" s="3117">
        <f t="shared" si="273"/>
        <v>0</v>
      </c>
      <c r="W107" s="3117">
        <f t="shared" si="273"/>
        <v>0</v>
      </c>
      <c r="X107" s="3117">
        <f t="shared" si="273"/>
        <v>0</v>
      </c>
      <c r="Y107" s="3120">
        <f t="shared" si="273"/>
        <v>0</v>
      </c>
      <c r="Z107" s="4738">
        <f t="shared" si="274"/>
        <v>0</v>
      </c>
      <c r="AA107" s="3121">
        <f t="shared" si="243"/>
        <v>0</v>
      </c>
      <c r="AB107" s="3117">
        <f t="shared" si="275"/>
        <v>0</v>
      </c>
      <c r="AC107" s="3117">
        <f t="shared" si="275"/>
        <v>0</v>
      </c>
      <c r="AD107" s="3117">
        <f t="shared" si="275"/>
        <v>0</v>
      </c>
      <c r="AE107" s="3117">
        <f t="shared" si="275"/>
        <v>0</v>
      </c>
      <c r="AF107" s="3120">
        <f t="shared" si="275"/>
        <v>0</v>
      </c>
      <c r="AG107" s="4738">
        <f t="shared" si="276"/>
        <v>0</v>
      </c>
      <c r="AH107" s="3121">
        <f t="shared" si="277"/>
        <v>0</v>
      </c>
      <c r="AI107" s="3117">
        <f t="shared" si="278"/>
        <v>0</v>
      </c>
      <c r="AJ107" s="3117">
        <f t="shared" si="278"/>
        <v>0</v>
      </c>
      <c r="AK107" s="3117">
        <f t="shared" si="278"/>
        <v>0</v>
      </c>
      <c r="AL107" s="3117">
        <f t="shared" si="278"/>
        <v>0</v>
      </c>
      <c r="AM107" s="3120">
        <f t="shared" si="278"/>
        <v>0</v>
      </c>
      <c r="AN107" s="4368"/>
      <c r="AO107" s="3175"/>
      <c r="AP107" s="3176"/>
      <c r="AQ107" s="3176"/>
      <c r="AR107" s="3176"/>
      <c r="AS107" s="3176"/>
      <c r="AT107" s="3177"/>
      <c r="AU107" s="4775"/>
      <c r="AV107" s="4794">
        <f t="shared" si="179"/>
        <v>0</v>
      </c>
      <c r="AW107" s="4794">
        <f t="shared" si="180"/>
        <v>0</v>
      </c>
      <c r="AX107" s="4794">
        <f t="shared" si="181"/>
        <v>0</v>
      </c>
      <c r="AY107" s="4794">
        <f t="shared" si="182"/>
        <v>0</v>
      </c>
      <c r="AZ107" s="4794">
        <f t="shared" si="183"/>
        <v>0</v>
      </c>
      <c r="BA107" s="4794">
        <f t="shared" si="184"/>
        <v>0</v>
      </c>
      <c r="BB107" s="4794">
        <f t="shared" si="185"/>
        <v>0</v>
      </c>
      <c r="BC107" s="4794">
        <f t="shared" si="186"/>
        <v>0</v>
      </c>
      <c r="BD107" s="4794">
        <f t="shared" si="187"/>
        <v>0</v>
      </c>
      <c r="BE107" s="4794">
        <f t="shared" si="188"/>
        <v>0</v>
      </c>
      <c r="BF107" s="4794">
        <f t="shared" si="189"/>
        <v>0</v>
      </c>
      <c r="BG107" s="4794">
        <f t="shared" si="190"/>
        <v>0</v>
      </c>
      <c r="BH107" s="4794">
        <f t="shared" si="191"/>
        <v>0</v>
      </c>
      <c r="BI107" s="4794">
        <f t="shared" si="192"/>
        <v>0</v>
      </c>
      <c r="BJ107" s="4794">
        <f t="shared" si="193"/>
        <v>0</v>
      </c>
      <c r="BK107" s="4794">
        <f t="shared" si="194"/>
        <v>0</v>
      </c>
      <c r="BL107" s="4794">
        <f t="shared" si="195"/>
        <v>0</v>
      </c>
      <c r="BM107" s="4794">
        <f t="shared" si="196"/>
        <v>0</v>
      </c>
      <c r="BN107" s="4794">
        <f t="shared" si="197"/>
        <v>0</v>
      </c>
      <c r="BO107" s="4794">
        <f t="shared" si="198"/>
        <v>0</v>
      </c>
      <c r="BP107" s="4794">
        <f t="shared" si="199"/>
        <v>0</v>
      </c>
      <c r="BQ107" s="4794">
        <f t="shared" si="200"/>
        <v>0</v>
      </c>
      <c r="BR107" s="4794">
        <f t="shared" si="201"/>
        <v>0</v>
      </c>
      <c r="BS107" s="4794">
        <f t="shared" si="202"/>
        <v>0</v>
      </c>
      <c r="BT107" s="4794">
        <f t="shared" si="203"/>
        <v>0</v>
      </c>
      <c r="BU107" s="4794">
        <f t="shared" si="204"/>
        <v>0</v>
      </c>
      <c r="BV107" s="4794">
        <f t="shared" si="205"/>
        <v>0</v>
      </c>
      <c r="BW107" s="4794">
        <f t="shared" si="206"/>
        <v>0</v>
      </c>
      <c r="BX107" s="4794">
        <f t="shared" si="207"/>
        <v>0</v>
      </c>
      <c r="BY107" s="4794">
        <f t="shared" si="208"/>
        <v>0</v>
      </c>
      <c r="BZ107" s="4794">
        <f t="shared" si="209"/>
        <v>0</v>
      </c>
      <c r="CA107" s="4794">
        <f t="shared" si="210"/>
        <v>0</v>
      </c>
      <c r="CB107" s="4794">
        <f t="shared" si="211"/>
        <v>0</v>
      </c>
      <c r="CC107" s="4794">
        <f t="shared" si="212"/>
        <v>0</v>
      </c>
      <c r="CD107" s="4794">
        <f t="shared" si="213"/>
        <v>0</v>
      </c>
    </row>
    <row r="108" spans="1:82" s="44" customFormat="1" ht="13.5" thickBot="1">
      <c r="A108" s="3065">
        <v>12</v>
      </c>
      <c r="B108" s="3065">
        <v>219</v>
      </c>
      <c r="C108" s="3066">
        <v>0.1</v>
      </c>
      <c r="D108" s="3124" t="s">
        <v>216</v>
      </c>
      <c r="E108" s="4739">
        <f t="shared" si="265"/>
        <v>0</v>
      </c>
      <c r="F108" s="3125">
        <f t="shared" si="266"/>
        <v>0</v>
      </c>
      <c r="G108" s="3126">
        <f t="shared" si="267"/>
        <v>0</v>
      </c>
      <c r="H108" s="3126">
        <f t="shared" si="267"/>
        <v>0</v>
      </c>
      <c r="I108" s="3126">
        <f t="shared" si="267"/>
        <v>0</v>
      </c>
      <c r="J108" s="3126">
        <f t="shared" si="267"/>
        <v>0</v>
      </c>
      <c r="K108" s="3127">
        <f t="shared" si="267"/>
        <v>0</v>
      </c>
      <c r="L108" s="4739">
        <f t="shared" si="268"/>
        <v>0</v>
      </c>
      <c r="M108" s="3128">
        <f t="shared" si="269"/>
        <v>0</v>
      </c>
      <c r="N108" s="3126">
        <f t="shared" si="270"/>
        <v>0</v>
      </c>
      <c r="O108" s="3126">
        <f t="shared" si="270"/>
        <v>0</v>
      </c>
      <c r="P108" s="3126">
        <f t="shared" si="270"/>
        <v>0</v>
      </c>
      <c r="Q108" s="3126">
        <f t="shared" si="270"/>
        <v>0</v>
      </c>
      <c r="R108" s="3129">
        <f t="shared" si="270"/>
        <v>0</v>
      </c>
      <c r="S108" s="4739">
        <f t="shared" si="271"/>
        <v>0</v>
      </c>
      <c r="T108" s="3130">
        <f t="shared" si="272"/>
        <v>0</v>
      </c>
      <c r="U108" s="3126">
        <f t="shared" si="273"/>
        <v>0</v>
      </c>
      <c r="V108" s="3126">
        <f t="shared" si="273"/>
        <v>0</v>
      </c>
      <c r="W108" s="3126">
        <f t="shared" si="273"/>
        <v>0</v>
      </c>
      <c r="X108" s="3126">
        <f t="shared" si="273"/>
        <v>0</v>
      </c>
      <c r="Y108" s="3129">
        <f t="shared" si="273"/>
        <v>0</v>
      </c>
      <c r="Z108" s="4739">
        <f t="shared" si="274"/>
        <v>0</v>
      </c>
      <c r="AA108" s="3130">
        <f t="shared" si="243"/>
        <v>0</v>
      </c>
      <c r="AB108" s="3126">
        <f t="shared" si="275"/>
        <v>0</v>
      </c>
      <c r="AC108" s="3126">
        <f t="shared" si="275"/>
        <v>0</v>
      </c>
      <c r="AD108" s="3126">
        <f t="shared" si="275"/>
        <v>0</v>
      </c>
      <c r="AE108" s="3126">
        <f t="shared" si="275"/>
        <v>0</v>
      </c>
      <c r="AF108" s="3129">
        <f t="shared" si="275"/>
        <v>0</v>
      </c>
      <c r="AG108" s="4739">
        <f>+AG59*$C108/2</f>
        <v>0</v>
      </c>
      <c r="AH108" s="3130">
        <f t="shared" si="277"/>
        <v>0</v>
      </c>
      <c r="AI108" s="3126">
        <f t="shared" si="278"/>
        <v>0</v>
      </c>
      <c r="AJ108" s="3126">
        <f t="shared" si="278"/>
        <v>0</v>
      </c>
      <c r="AK108" s="3126">
        <f t="shared" si="278"/>
        <v>0</v>
      </c>
      <c r="AL108" s="3126">
        <f t="shared" si="278"/>
        <v>0</v>
      </c>
      <c r="AM108" s="3129">
        <f t="shared" si="278"/>
        <v>0</v>
      </c>
      <c r="AN108" s="4372"/>
      <c r="AO108" s="3178"/>
      <c r="AP108" s="3179"/>
      <c r="AQ108" s="3179"/>
      <c r="AR108" s="3179"/>
      <c r="AS108" s="3179"/>
      <c r="AT108" s="3180"/>
      <c r="AU108" s="4775"/>
      <c r="AV108" s="4794">
        <f t="shared" si="179"/>
        <v>0</v>
      </c>
      <c r="AW108" s="4794">
        <f t="shared" si="180"/>
        <v>0</v>
      </c>
      <c r="AX108" s="4794">
        <f t="shared" si="181"/>
        <v>0</v>
      </c>
      <c r="AY108" s="4794">
        <f t="shared" si="182"/>
        <v>0</v>
      </c>
      <c r="AZ108" s="4794">
        <f t="shared" si="183"/>
        <v>0</v>
      </c>
      <c r="BA108" s="4794">
        <f t="shared" si="184"/>
        <v>0</v>
      </c>
      <c r="BB108" s="4794">
        <f t="shared" si="185"/>
        <v>0</v>
      </c>
      <c r="BC108" s="4794">
        <f t="shared" si="186"/>
        <v>0</v>
      </c>
      <c r="BD108" s="4794">
        <f t="shared" si="187"/>
        <v>0</v>
      </c>
      <c r="BE108" s="4794">
        <f t="shared" si="188"/>
        <v>0</v>
      </c>
      <c r="BF108" s="4794">
        <f t="shared" si="189"/>
        <v>0</v>
      </c>
      <c r="BG108" s="4794">
        <f t="shared" si="190"/>
        <v>0</v>
      </c>
      <c r="BH108" s="4794">
        <f t="shared" si="191"/>
        <v>0</v>
      </c>
      <c r="BI108" s="4794">
        <f t="shared" si="192"/>
        <v>0</v>
      </c>
      <c r="BJ108" s="4794">
        <f t="shared" si="193"/>
        <v>0</v>
      </c>
      <c r="BK108" s="4794">
        <f t="shared" si="194"/>
        <v>0</v>
      </c>
      <c r="BL108" s="4794">
        <f t="shared" si="195"/>
        <v>0</v>
      </c>
      <c r="BM108" s="4794">
        <f t="shared" si="196"/>
        <v>0</v>
      </c>
      <c r="BN108" s="4794">
        <f t="shared" si="197"/>
        <v>0</v>
      </c>
      <c r="BO108" s="4794">
        <f t="shared" si="198"/>
        <v>0</v>
      </c>
      <c r="BP108" s="4794">
        <f t="shared" si="199"/>
        <v>0</v>
      </c>
      <c r="BQ108" s="4794">
        <f t="shared" si="200"/>
        <v>0</v>
      </c>
      <c r="BR108" s="4794">
        <f t="shared" si="201"/>
        <v>0</v>
      </c>
      <c r="BS108" s="4794">
        <f t="shared" si="202"/>
        <v>0</v>
      </c>
      <c r="BT108" s="4794">
        <f t="shared" si="203"/>
        <v>0</v>
      </c>
      <c r="BU108" s="4794">
        <f t="shared" si="204"/>
        <v>0</v>
      </c>
      <c r="BV108" s="4794">
        <f t="shared" si="205"/>
        <v>0</v>
      </c>
      <c r="BW108" s="4794">
        <f t="shared" si="206"/>
        <v>0</v>
      </c>
      <c r="BX108" s="4794">
        <f t="shared" si="207"/>
        <v>0</v>
      </c>
      <c r="BY108" s="4794">
        <f t="shared" si="208"/>
        <v>0</v>
      </c>
      <c r="BZ108" s="4794">
        <f t="shared" si="209"/>
        <v>0</v>
      </c>
      <c r="CA108" s="4794">
        <f t="shared" si="210"/>
        <v>0</v>
      </c>
      <c r="CB108" s="4794">
        <f t="shared" si="211"/>
        <v>0</v>
      </c>
      <c r="CC108" s="4794">
        <f t="shared" si="212"/>
        <v>0</v>
      </c>
      <c r="CD108" s="4794">
        <f t="shared" si="213"/>
        <v>0</v>
      </c>
    </row>
    <row r="109" spans="1:82" s="44" customFormat="1" ht="40.5" customHeight="1" thickBot="1">
      <c r="A109" s="3002" t="s">
        <v>424</v>
      </c>
      <c r="B109" s="3002"/>
      <c r="C109" s="3002"/>
      <c r="D109" s="3131" t="s">
        <v>645</v>
      </c>
      <c r="E109" s="3181"/>
      <c r="F109" s="3182"/>
      <c r="G109" s="3182"/>
      <c r="H109" s="3182"/>
      <c r="I109" s="3182"/>
      <c r="J109" s="3182"/>
      <c r="K109" s="3182"/>
      <c r="L109" s="3181"/>
      <c r="M109" s="3182"/>
      <c r="N109" s="3182"/>
      <c r="O109" s="3182"/>
      <c r="P109" s="3182"/>
      <c r="Q109" s="3182"/>
      <c r="R109" s="3183"/>
      <c r="S109" s="3181"/>
      <c r="T109" s="3182"/>
      <c r="U109" s="3182"/>
      <c r="V109" s="3182"/>
      <c r="W109" s="3182"/>
      <c r="X109" s="3182"/>
      <c r="Y109" s="3183"/>
      <c r="Z109" s="3181"/>
      <c r="AA109" s="3182"/>
      <c r="AB109" s="3182"/>
      <c r="AC109" s="3182"/>
      <c r="AD109" s="3182"/>
      <c r="AE109" s="3182"/>
      <c r="AF109" s="3183"/>
      <c r="AG109" s="3181"/>
      <c r="AH109" s="3182"/>
      <c r="AI109" s="3182"/>
      <c r="AJ109" s="3182"/>
      <c r="AK109" s="3182"/>
      <c r="AL109" s="3182"/>
      <c r="AM109" s="3183"/>
      <c r="AN109" s="3181"/>
      <c r="AO109" s="3182"/>
      <c r="AP109" s="3182"/>
      <c r="AQ109" s="3182"/>
      <c r="AR109" s="3182"/>
      <c r="AS109" s="3182"/>
      <c r="AT109" s="3183"/>
      <c r="AU109" s="4775"/>
    </row>
    <row r="110" spans="1:82" s="44" customFormat="1" ht="19.5" customHeight="1" thickBot="1">
      <c r="A110" s="3005" t="s">
        <v>463</v>
      </c>
      <c r="B110" s="3006"/>
      <c r="C110" s="3006"/>
      <c r="D110" s="3006" t="s">
        <v>1053</v>
      </c>
      <c r="E110" s="3010">
        <f>SUM(E111:E131)</f>
        <v>0</v>
      </c>
      <c r="F110" s="3007">
        <f>SUM(F111:F131)</f>
        <v>0</v>
      </c>
      <c r="G110" s="3008">
        <f t="shared" ref="G110:AT110" si="279">SUM(G111:G131)</f>
        <v>0</v>
      </c>
      <c r="H110" s="3008">
        <f t="shared" si="279"/>
        <v>0</v>
      </c>
      <c r="I110" s="3008">
        <f t="shared" si="279"/>
        <v>0</v>
      </c>
      <c r="J110" s="3008">
        <f t="shared" si="279"/>
        <v>0</v>
      </c>
      <c r="K110" s="3009">
        <f t="shared" si="279"/>
        <v>0</v>
      </c>
      <c r="L110" s="3010">
        <f t="shared" si="279"/>
        <v>0</v>
      </c>
      <c r="M110" s="3007">
        <f t="shared" si="279"/>
        <v>0</v>
      </c>
      <c r="N110" s="3008">
        <f t="shared" si="279"/>
        <v>0</v>
      </c>
      <c r="O110" s="3008">
        <f t="shared" si="279"/>
        <v>0</v>
      </c>
      <c r="P110" s="3008">
        <f t="shared" si="279"/>
        <v>0</v>
      </c>
      <c r="Q110" s="3008">
        <f t="shared" si="279"/>
        <v>0</v>
      </c>
      <c r="R110" s="3011">
        <f t="shared" si="279"/>
        <v>0</v>
      </c>
      <c r="S110" s="3010">
        <f t="shared" si="279"/>
        <v>0</v>
      </c>
      <c r="T110" s="3007">
        <f t="shared" si="279"/>
        <v>0</v>
      </c>
      <c r="U110" s="3008">
        <f t="shared" si="279"/>
        <v>0</v>
      </c>
      <c r="V110" s="3008">
        <f t="shared" si="279"/>
        <v>0</v>
      </c>
      <c r="W110" s="3008">
        <f t="shared" si="279"/>
        <v>0</v>
      </c>
      <c r="X110" s="3008">
        <f t="shared" si="279"/>
        <v>0</v>
      </c>
      <c r="Y110" s="3011">
        <f t="shared" si="279"/>
        <v>0</v>
      </c>
      <c r="Z110" s="3010">
        <f t="shared" si="279"/>
        <v>0</v>
      </c>
      <c r="AA110" s="3007">
        <f t="shared" si="279"/>
        <v>0</v>
      </c>
      <c r="AB110" s="3008">
        <f t="shared" si="279"/>
        <v>0</v>
      </c>
      <c r="AC110" s="3008">
        <f t="shared" si="279"/>
        <v>0</v>
      </c>
      <c r="AD110" s="3008">
        <f t="shared" si="279"/>
        <v>0</v>
      </c>
      <c r="AE110" s="3008">
        <f t="shared" si="279"/>
        <v>0</v>
      </c>
      <c r="AF110" s="3011">
        <f t="shared" si="279"/>
        <v>0</v>
      </c>
      <c r="AG110" s="3010">
        <f t="shared" si="279"/>
        <v>0</v>
      </c>
      <c r="AH110" s="3007">
        <f t="shared" si="279"/>
        <v>0</v>
      </c>
      <c r="AI110" s="3008">
        <f t="shared" si="279"/>
        <v>0</v>
      </c>
      <c r="AJ110" s="3008">
        <f t="shared" si="279"/>
        <v>0</v>
      </c>
      <c r="AK110" s="3008">
        <f t="shared" si="279"/>
        <v>0</v>
      </c>
      <c r="AL110" s="3008">
        <f t="shared" si="279"/>
        <v>0</v>
      </c>
      <c r="AM110" s="3011">
        <f t="shared" si="279"/>
        <v>0</v>
      </c>
      <c r="AN110" s="3010">
        <f t="shared" si="279"/>
        <v>0</v>
      </c>
      <c r="AO110" s="3007">
        <f t="shared" si="279"/>
        <v>0</v>
      </c>
      <c r="AP110" s="3008">
        <f t="shared" si="279"/>
        <v>0</v>
      </c>
      <c r="AQ110" s="3008">
        <f t="shared" si="279"/>
        <v>0</v>
      </c>
      <c r="AR110" s="3008">
        <f t="shared" si="279"/>
        <v>0</v>
      </c>
      <c r="AS110" s="3008">
        <f t="shared" si="279"/>
        <v>0</v>
      </c>
      <c r="AT110" s="3011">
        <f t="shared" si="279"/>
        <v>0</v>
      </c>
      <c r="AU110" s="4775"/>
      <c r="AV110" s="152"/>
      <c r="AW110" s="4794">
        <f>IFERROR(F110/$D$1,0)</f>
        <v>0</v>
      </c>
      <c r="AX110" s="4794">
        <f t="shared" ref="AX110:AX173" si="280">IFERROR(G110/$D$1,0)</f>
        <v>0</v>
      </c>
      <c r="AY110" s="4794">
        <f t="shared" ref="AY110:AY173" si="281">IFERROR(H110/$D$1,0)</f>
        <v>0</v>
      </c>
      <c r="AZ110" s="4794">
        <f t="shared" ref="AZ110:AZ173" si="282">IFERROR(I110/$D$1,0)</f>
        <v>0</v>
      </c>
      <c r="BA110" s="4794">
        <f t="shared" ref="BA110:BA173" si="283">IFERROR(J110/$D$1,0)</f>
        <v>0</v>
      </c>
      <c r="BB110" s="4794">
        <f t="shared" ref="BB110:BB173" si="284">IFERROR(K110/$D$1,0)</f>
        <v>0</v>
      </c>
      <c r="BC110" s="152"/>
      <c r="BD110" s="4794">
        <f t="shared" ref="BD110:BD173" si="285">IFERROR(M110/$D$1,0)</f>
        <v>0</v>
      </c>
      <c r="BE110" s="4794">
        <f t="shared" ref="BE110:BE173" si="286">IFERROR(N110/$D$1,0)</f>
        <v>0</v>
      </c>
      <c r="BF110" s="4794">
        <f t="shared" ref="BF110:BF173" si="287">IFERROR(O110/$D$1,0)</f>
        <v>0</v>
      </c>
      <c r="BG110" s="4794">
        <f t="shared" ref="BG110:BG173" si="288">IFERROR(P110/$D$1,0)</f>
        <v>0</v>
      </c>
      <c r="BH110" s="4794">
        <f t="shared" ref="BH110:BH173" si="289">IFERROR(Q110/$D$1,0)</f>
        <v>0</v>
      </c>
      <c r="BI110" s="4794">
        <f t="shared" ref="BI110:BI173" si="290">IFERROR(R110/$D$1,0)</f>
        <v>0</v>
      </c>
      <c r="BJ110" s="152"/>
      <c r="BK110" s="4794">
        <f t="shared" ref="BK110:BK173" si="291">IFERROR(T110/$D$1,0)</f>
        <v>0</v>
      </c>
      <c r="BL110" s="4794">
        <f t="shared" ref="BL110:BL173" si="292">IFERROR(U110/$D$1,0)</f>
        <v>0</v>
      </c>
      <c r="BM110" s="4794">
        <f t="shared" ref="BM110:BM173" si="293">IFERROR(V110/$D$1,0)</f>
        <v>0</v>
      </c>
      <c r="BN110" s="4794">
        <f t="shared" ref="BN110:BN173" si="294">IFERROR(W110/$D$1,0)</f>
        <v>0</v>
      </c>
      <c r="BO110" s="4794">
        <f t="shared" ref="BO110:BO173" si="295">IFERROR(X110/$D$1,0)</f>
        <v>0</v>
      </c>
      <c r="BP110" s="4794">
        <f t="shared" ref="BP110:BP173" si="296">IFERROR(Y110/$D$1,0)</f>
        <v>0</v>
      </c>
      <c r="BQ110" s="152"/>
      <c r="BR110" s="4794">
        <f t="shared" ref="BR110:BR173" si="297">IFERROR(AA110/$D$1,0)</f>
        <v>0</v>
      </c>
      <c r="BS110" s="4794">
        <f t="shared" ref="BS110:BS173" si="298">IFERROR(AB110/$D$1,0)</f>
        <v>0</v>
      </c>
      <c r="BT110" s="4794">
        <f t="shared" ref="BT110:BT173" si="299">IFERROR(AC110/$D$1,0)</f>
        <v>0</v>
      </c>
      <c r="BU110" s="4794">
        <f t="shared" ref="BU110:BU173" si="300">IFERROR(AD110/$D$1,0)</f>
        <v>0</v>
      </c>
      <c r="BV110" s="4794">
        <f t="shared" ref="BV110:BV173" si="301">IFERROR(AE110/$D$1,0)</f>
        <v>0</v>
      </c>
      <c r="BW110" s="4794">
        <f t="shared" ref="BW110:BW173" si="302">IFERROR(AF110/$D$1,0)</f>
        <v>0</v>
      </c>
      <c r="BX110" s="152"/>
      <c r="BY110" s="4794">
        <f t="shared" ref="BY110:BY173" si="303">IFERROR(AH110/$D$1,0)</f>
        <v>0</v>
      </c>
      <c r="BZ110" s="4794">
        <f t="shared" ref="BZ110:BZ173" si="304">IFERROR(AI110/$D$1,0)</f>
        <v>0</v>
      </c>
      <c r="CA110" s="4794">
        <f t="shared" ref="CA110:CA173" si="305">IFERROR(AJ110/$D$1,0)</f>
        <v>0</v>
      </c>
      <c r="CB110" s="4794">
        <f t="shared" ref="CB110:CB173" si="306">IFERROR(AK110/$D$1,0)</f>
        <v>0</v>
      </c>
      <c r="CC110" s="4794">
        <f t="shared" ref="CC110:CC173" si="307">IFERROR(AL110/$D$1,0)</f>
        <v>0</v>
      </c>
      <c r="CD110" s="4794">
        <f t="shared" ref="CD110:CD173" si="308">IFERROR(AM110/$D$1,0)</f>
        <v>0</v>
      </c>
    </row>
    <row r="111" spans="1:82" s="44" customFormat="1">
      <c r="A111" s="3132">
        <v>1</v>
      </c>
      <c r="B111" s="3133" t="s">
        <v>696</v>
      </c>
      <c r="C111" s="3134">
        <v>0</v>
      </c>
      <c r="D111" s="2714" t="s">
        <v>558</v>
      </c>
      <c r="E111" s="3184"/>
      <c r="F111" s="418"/>
      <c r="G111" s="416"/>
      <c r="H111" s="416"/>
      <c r="I111" s="416"/>
      <c r="J111" s="416"/>
      <c r="K111" s="276"/>
      <c r="L111" s="3184"/>
      <c r="M111" s="418"/>
      <c r="N111" s="416"/>
      <c r="O111" s="416"/>
      <c r="P111" s="416"/>
      <c r="Q111" s="416"/>
      <c r="R111" s="276"/>
      <c r="S111" s="3184"/>
      <c r="T111" s="418"/>
      <c r="U111" s="416"/>
      <c r="V111" s="416"/>
      <c r="W111" s="416"/>
      <c r="X111" s="416"/>
      <c r="Y111" s="417"/>
      <c r="Z111" s="3184"/>
      <c r="AA111" s="418"/>
      <c r="AB111" s="416"/>
      <c r="AC111" s="416"/>
      <c r="AD111" s="416"/>
      <c r="AE111" s="416"/>
      <c r="AF111" s="417"/>
      <c r="AG111" s="3184"/>
      <c r="AH111" s="418"/>
      <c r="AI111" s="416"/>
      <c r="AJ111" s="416"/>
      <c r="AK111" s="416"/>
      <c r="AL111" s="416"/>
      <c r="AM111" s="417"/>
      <c r="AN111" s="3185"/>
      <c r="AO111" s="3186"/>
      <c r="AP111" s="3187"/>
      <c r="AQ111" s="3187"/>
      <c r="AR111" s="3187"/>
      <c r="AS111" s="3187"/>
      <c r="AT111" s="3188"/>
      <c r="AU111" s="4775"/>
      <c r="AV111" s="152"/>
      <c r="AW111" s="4794">
        <f t="shared" ref="AW111:AW173" si="309">IFERROR(F111/$D$1,0)</f>
        <v>0</v>
      </c>
      <c r="AX111" s="4794">
        <f t="shared" si="280"/>
        <v>0</v>
      </c>
      <c r="AY111" s="4794">
        <f t="shared" si="281"/>
        <v>0</v>
      </c>
      <c r="AZ111" s="4794">
        <f t="shared" si="282"/>
        <v>0</v>
      </c>
      <c r="BA111" s="4794">
        <f t="shared" si="283"/>
        <v>0</v>
      </c>
      <c r="BB111" s="4794">
        <f t="shared" si="284"/>
        <v>0</v>
      </c>
      <c r="BC111" s="152"/>
      <c r="BD111" s="4794">
        <f t="shared" si="285"/>
        <v>0</v>
      </c>
      <c r="BE111" s="4794">
        <f t="shared" si="286"/>
        <v>0</v>
      </c>
      <c r="BF111" s="4794">
        <f t="shared" si="287"/>
        <v>0</v>
      </c>
      <c r="BG111" s="4794">
        <f t="shared" si="288"/>
        <v>0</v>
      </c>
      <c r="BH111" s="4794">
        <f t="shared" si="289"/>
        <v>0</v>
      </c>
      <c r="BI111" s="4794">
        <f t="shared" si="290"/>
        <v>0</v>
      </c>
      <c r="BJ111" s="152"/>
      <c r="BK111" s="4794">
        <f t="shared" si="291"/>
        <v>0</v>
      </c>
      <c r="BL111" s="4794">
        <f t="shared" si="292"/>
        <v>0</v>
      </c>
      <c r="BM111" s="4794">
        <f t="shared" si="293"/>
        <v>0</v>
      </c>
      <c r="BN111" s="4794">
        <f t="shared" si="294"/>
        <v>0</v>
      </c>
      <c r="BO111" s="4794">
        <f t="shared" si="295"/>
        <v>0</v>
      </c>
      <c r="BP111" s="4794">
        <f t="shared" si="296"/>
        <v>0</v>
      </c>
      <c r="BQ111" s="152"/>
      <c r="BR111" s="4794">
        <f t="shared" si="297"/>
        <v>0</v>
      </c>
      <c r="BS111" s="4794">
        <f t="shared" si="298"/>
        <v>0</v>
      </c>
      <c r="BT111" s="4794">
        <f t="shared" si="299"/>
        <v>0</v>
      </c>
      <c r="BU111" s="4794">
        <f t="shared" si="300"/>
        <v>0</v>
      </c>
      <c r="BV111" s="4794">
        <f t="shared" si="301"/>
        <v>0</v>
      </c>
      <c r="BW111" s="4794">
        <f t="shared" si="302"/>
        <v>0</v>
      </c>
      <c r="BX111" s="152"/>
      <c r="BY111" s="4794">
        <f t="shared" si="303"/>
        <v>0</v>
      </c>
      <c r="BZ111" s="4794">
        <f t="shared" si="304"/>
        <v>0</v>
      </c>
      <c r="CA111" s="4794">
        <f t="shared" si="305"/>
        <v>0</v>
      </c>
      <c r="CB111" s="4794">
        <f t="shared" si="306"/>
        <v>0</v>
      </c>
      <c r="CC111" s="4794">
        <f t="shared" si="307"/>
        <v>0</v>
      </c>
      <c r="CD111" s="4794">
        <f t="shared" si="308"/>
        <v>0</v>
      </c>
    </row>
    <row r="112" spans="1:82" s="44" customFormat="1">
      <c r="A112" s="3132">
        <v>2</v>
      </c>
      <c r="B112" s="3135" t="s">
        <v>697</v>
      </c>
      <c r="C112" s="3134">
        <v>0.03</v>
      </c>
      <c r="D112" s="3136" t="s">
        <v>426</v>
      </c>
      <c r="E112" s="3184"/>
      <c r="F112" s="418"/>
      <c r="G112" s="416"/>
      <c r="H112" s="416"/>
      <c r="I112" s="416"/>
      <c r="J112" s="416"/>
      <c r="K112" s="276"/>
      <c r="L112" s="3184"/>
      <c r="M112" s="418"/>
      <c r="N112" s="416"/>
      <c r="O112" s="416"/>
      <c r="P112" s="416"/>
      <c r="Q112" s="416"/>
      <c r="R112" s="276"/>
      <c r="S112" s="3184"/>
      <c r="T112" s="418"/>
      <c r="U112" s="416"/>
      <c r="V112" s="416"/>
      <c r="W112" s="416"/>
      <c r="X112" s="416"/>
      <c r="Y112" s="417"/>
      <c r="Z112" s="3184"/>
      <c r="AA112" s="418"/>
      <c r="AB112" s="416"/>
      <c r="AC112" s="416"/>
      <c r="AD112" s="416"/>
      <c r="AE112" s="416"/>
      <c r="AF112" s="417"/>
      <c r="AG112" s="3184"/>
      <c r="AH112" s="418"/>
      <c r="AI112" s="416"/>
      <c r="AJ112" s="416"/>
      <c r="AK112" s="416"/>
      <c r="AL112" s="416"/>
      <c r="AM112" s="417"/>
      <c r="AN112" s="3184"/>
      <c r="AO112" s="3189"/>
      <c r="AP112" s="3190"/>
      <c r="AQ112" s="3190"/>
      <c r="AR112" s="3190"/>
      <c r="AS112" s="3190"/>
      <c r="AT112" s="3191"/>
      <c r="AU112" s="4775"/>
      <c r="AV112" s="152"/>
      <c r="AW112" s="4794">
        <f t="shared" si="309"/>
        <v>0</v>
      </c>
      <c r="AX112" s="4794">
        <f t="shared" si="280"/>
        <v>0</v>
      </c>
      <c r="AY112" s="4794">
        <f t="shared" si="281"/>
        <v>0</v>
      </c>
      <c r="AZ112" s="4794">
        <f t="shared" si="282"/>
        <v>0</v>
      </c>
      <c r="BA112" s="4794">
        <f t="shared" si="283"/>
        <v>0</v>
      </c>
      <c r="BB112" s="4794">
        <f t="shared" si="284"/>
        <v>0</v>
      </c>
      <c r="BC112" s="152"/>
      <c r="BD112" s="4794">
        <f t="shared" si="285"/>
        <v>0</v>
      </c>
      <c r="BE112" s="4794">
        <f t="shared" si="286"/>
        <v>0</v>
      </c>
      <c r="BF112" s="4794">
        <f t="shared" si="287"/>
        <v>0</v>
      </c>
      <c r="BG112" s="4794">
        <f t="shared" si="288"/>
        <v>0</v>
      </c>
      <c r="BH112" s="4794">
        <f t="shared" si="289"/>
        <v>0</v>
      </c>
      <c r="BI112" s="4794">
        <f t="shared" si="290"/>
        <v>0</v>
      </c>
      <c r="BJ112" s="152"/>
      <c r="BK112" s="4794">
        <f t="shared" si="291"/>
        <v>0</v>
      </c>
      <c r="BL112" s="4794">
        <f t="shared" si="292"/>
        <v>0</v>
      </c>
      <c r="BM112" s="4794">
        <f t="shared" si="293"/>
        <v>0</v>
      </c>
      <c r="BN112" s="4794">
        <f t="shared" si="294"/>
        <v>0</v>
      </c>
      <c r="BO112" s="4794">
        <f t="shared" si="295"/>
        <v>0</v>
      </c>
      <c r="BP112" s="4794">
        <f t="shared" si="296"/>
        <v>0</v>
      </c>
      <c r="BQ112" s="152"/>
      <c r="BR112" s="4794">
        <f t="shared" si="297"/>
        <v>0</v>
      </c>
      <c r="BS112" s="4794">
        <f t="shared" si="298"/>
        <v>0</v>
      </c>
      <c r="BT112" s="4794">
        <f t="shared" si="299"/>
        <v>0</v>
      </c>
      <c r="BU112" s="4794">
        <f t="shared" si="300"/>
        <v>0</v>
      </c>
      <c r="BV112" s="4794">
        <f t="shared" si="301"/>
        <v>0</v>
      </c>
      <c r="BW112" s="4794">
        <f t="shared" si="302"/>
        <v>0</v>
      </c>
      <c r="BX112" s="152"/>
      <c r="BY112" s="4794">
        <f t="shared" si="303"/>
        <v>0</v>
      </c>
      <c r="BZ112" s="4794">
        <f t="shared" si="304"/>
        <v>0</v>
      </c>
      <c r="CA112" s="4794">
        <f t="shared" si="305"/>
        <v>0</v>
      </c>
      <c r="CB112" s="4794">
        <f t="shared" si="306"/>
        <v>0</v>
      </c>
      <c r="CC112" s="4794">
        <f t="shared" si="307"/>
        <v>0</v>
      </c>
      <c r="CD112" s="4794">
        <f t="shared" si="308"/>
        <v>0</v>
      </c>
    </row>
    <row r="113" spans="1:82" s="44" customFormat="1">
      <c r="A113" s="3132">
        <v>3</v>
      </c>
      <c r="B113" s="3135">
        <v>911301</v>
      </c>
      <c r="C113" s="3137">
        <v>0.1</v>
      </c>
      <c r="D113" s="3136" t="s">
        <v>427</v>
      </c>
      <c r="E113" s="3184"/>
      <c r="F113" s="418"/>
      <c r="G113" s="416"/>
      <c r="H113" s="416"/>
      <c r="I113" s="416"/>
      <c r="J113" s="416"/>
      <c r="K113" s="276"/>
      <c r="L113" s="3184"/>
      <c r="M113" s="418"/>
      <c r="N113" s="416"/>
      <c r="O113" s="416"/>
      <c r="P113" s="416"/>
      <c r="Q113" s="416"/>
      <c r="R113" s="276"/>
      <c r="S113" s="3184"/>
      <c r="T113" s="418"/>
      <c r="U113" s="416"/>
      <c r="V113" s="416"/>
      <c r="W113" s="416"/>
      <c r="X113" s="416"/>
      <c r="Y113" s="417"/>
      <c r="Z113" s="3184"/>
      <c r="AA113" s="418"/>
      <c r="AB113" s="416"/>
      <c r="AC113" s="416"/>
      <c r="AD113" s="416"/>
      <c r="AE113" s="416"/>
      <c r="AF113" s="417"/>
      <c r="AG113" s="3184"/>
      <c r="AH113" s="418"/>
      <c r="AI113" s="416"/>
      <c r="AJ113" s="416"/>
      <c r="AK113" s="416"/>
      <c r="AL113" s="416"/>
      <c r="AM113" s="417"/>
      <c r="AN113" s="3184"/>
      <c r="AO113" s="3189"/>
      <c r="AP113" s="3190"/>
      <c r="AQ113" s="3190"/>
      <c r="AR113" s="3190"/>
      <c r="AS113" s="3190"/>
      <c r="AT113" s="3191"/>
      <c r="AU113" s="4775"/>
      <c r="AV113" s="152"/>
      <c r="AW113" s="4794">
        <f t="shared" si="309"/>
        <v>0</v>
      </c>
      <c r="AX113" s="4794">
        <f t="shared" si="280"/>
        <v>0</v>
      </c>
      <c r="AY113" s="4794">
        <f t="shared" si="281"/>
        <v>0</v>
      </c>
      <c r="AZ113" s="4794">
        <f t="shared" si="282"/>
        <v>0</v>
      </c>
      <c r="BA113" s="4794">
        <f t="shared" si="283"/>
        <v>0</v>
      </c>
      <c r="BB113" s="4794">
        <f t="shared" si="284"/>
        <v>0</v>
      </c>
      <c r="BC113" s="152"/>
      <c r="BD113" s="4794">
        <f t="shared" si="285"/>
        <v>0</v>
      </c>
      <c r="BE113" s="4794">
        <f t="shared" si="286"/>
        <v>0</v>
      </c>
      <c r="BF113" s="4794">
        <f t="shared" si="287"/>
        <v>0</v>
      </c>
      <c r="BG113" s="4794">
        <f t="shared" si="288"/>
        <v>0</v>
      </c>
      <c r="BH113" s="4794">
        <f t="shared" si="289"/>
        <v>0</v>
      </c>
      <c r="BI113" s="4794">
        <f t="shared" si="290"/>
        <v>0</v>
      </c>
      <c r="BJ113" s="152"/>
      <c r="BK113" s="4794">
        <f t="shared" si="291"/>
        <v>0</v>
      </c>
      <c r="BL113" s="4794">
        <f t="shared" si="292"/>
        <v>0</v>
      </c>
      <c r="BM113" s="4794">
        <f t="shared" si="293"/>
        <v>0</v>
      </c>
      <c r="BN113" s="4794">
        <f t="shared" si="294"/>
        <v>0</v>
      </c>
      <c r="BO113" s="4794">
        <f t="shared" si="295"/>
        <v>0</v>
      </c>
      <c r="BP113" s="4794">
        <f t="shared" si="296"/>
        <v>0</v>
      </c>
      <c r="BQ113" s="152"/>
      <c r="BR113" s="4794">
        <f t="shared" si="297"/>
        <v>0</v>
      </c>
      <c r="BS113" s="4794">
        <f t="shared" si="298"/>
        <v>0</v>
      </c>
      <c r="BT113" s="4794">
        <f t="shared" si="299"/>
        <v>0</v>
      </c>
      <c r="BU113" s="4794">
        <f t="shared" si="300"/>
        <v>0</v>
      </c>
      <c r="BV113" s="4794">
        <f t="shared" si="301"/>
        <v>0</v>
      </c>
      <c r="BW113" s="4794">
        <f t="shared" si="302"/>
        <v>0</v>
      </c>
      <c r="BX113" s="152"/>
      <c r="BY113" s="4794">
        <f t="shared" si="303"/>
        <v>0</v>
      </c>
      <c r="BZ113" s="4794">
        <f t="shared" si="304"/>
        <v>0</v>
      </c>
      <c r="CA113" s="4794">
        <f t="shared" si="305"/>
        <v>0</v>
      </c>
      <c r="CB113" s="4794">
        <f t="shared" si="306"/>
        <v>0</v>
      </c>
      <c r="CC113" s="4794">
        <f t="shared" si="307"/>
        <v>0</v>
      </c>
      <c r="CD113" s="4794">
        <f t="shared" si="308"/>
        <v>0</v>
      </c>
    </row>
    <row r="114" spans="1:82" s="44" customFormat="1">
      <c r="A114" s="3132">
        <v>4</v>
      </c>
      <c r="B114" s="3135">
        <v>911302</v>
      </c>
      <c r="C114" s="3137">
        <v>0.1</v>
      </c>
      <c r="D114" s="3136" t="s">
        <v>428</v>
      </c>
      <c r="E114" s="3184"/>
      <c r="F114" s="418"/>
      <c r="G114" s="416"/>
      <c r="H114" s="416"/>
      <c r="I114" s="416"/>
      <c r="J114" s="416"/>
      <c r="K114" s="276"/>
      <c r="L114" s="3184"/>
      <c r="M114" s="418"/>
      <c r="N114" s="416"/>
      <c r="O114" s="416"/>
      <c r="P114" s="416"/>
      <c r="Q114" s="416"/>
      <c r="R114" s="276"/>
      <c r="S114" s="3184"/>
      <c r="T114" s="418"/>
      <c r="U114" s="416"/>
      <c r="V114" s="416"/>
      <c r="W114" s="416"/>
      <c r="X114" s="416"/>
      <c r="Y114" s="417"/>
      <c r="Z114" s="3184"/>
      <c r="AA114" s="418"/>
      <c r="AB114" s="416"/>
      <c r="AC114" s="416"/>
      <c r="AD114" s="416"/>
      <c r="AE114" s="416"/>
      <c r="AF114" s="417"/>
      <c r="AG114" s="3184"/>
      <c r="AH114" s="418"/>
      <c r="AI114" s="416"/>
      <c r="AJ114" s="416"/>
      <c r="AK114" s="416"/>
      <c r="AL114" s="416"/>
      <c r="AM114" s="417"/>
      <c r="AN114" s="3184"/>
      <c r="AO114" s="3189"/>
      <c r="AP114" s="3190"/>
      <c r="AQ114" s="3190"/>
      <c r="AR114" s="3190"/>
      <c r="AS114" s="3190"/>
      <c r="AT114" s="3191"/>
      <c r="AU114" s="4775"/>
      <c r="AV114" s="152"/>
      <c r="AW114" s="4794">
        <f t="shared" si="309"/>
        <v>0</v>
      </c>
      <c r="AX114" s="4794">
        <f t="shared" si="280"/>
        <v>0</v>
      </c>
      <c r="AY114" s="4794">
        <f t="shared" si="281"/>
        <v>0</v>
      </c>
      <c r="AZ114" s="4794">
        <f t="shared" si="282"/>
        <v>0</v>
      </c>
      <c r="BA114" s="4794">
        <f t="shared" si="283"/>
        <v>0</v>
      </c>
      <c r="BB114" s="4794">
        <f t="shared" si="284"/>
        <v>0</v>
      </c>
      <c r="BC114" s="152"/>
      <c r="BD114" s="4794">
        <f t="shared" si="285"/>
        <v>0</v>
      </c>
      <c r="BE114" s="4794">
        <f t="shared" si="286"/>
        <v>0</v>
      </c>
      <c r="BF114" s="4794">
        <f t="shared" si="287"/>
        <v>0</v>
      </c>
      <c r="BG114" s="4794">
        <f t="shared" si="288"/>
        <v>0</v>
      </c>
      <c r="BH114" s="4794">
        <f t="shared" si="289"/>
        <v>0</v>
      </c>
      <c r="BI114" s="4794">
        <f t="shared" si="290"/>
        <v>0</v>
      </c>
      <c r="BJ114" s="152"/>
      <c r="BK114" s="4794">
        <f t="shared" si="291"/>
        <v>0</v>
      </c>
      <c r="BL114" s="4794">
        <f t="shared" si="292"/>
        <v>0</v>
      </c>
      <c r="BM114" s="4794">
        <f t="shared" si="293"/>
        <v>0</v>
      </c>
      <c r="BN114" s="4794">
        <f t="shared" si="294"/>
        <v>0</v>
      </c>
      <c r="BO114" s="4794">
        <f t="shared" si="295"/>
        <v>0</v>
      </c>
      <c r="BP114" s="4794">
        <f t="shared" si="296"/>
        <v>0</v>
      </c>
      <c r="BQ114" s="152"/>
      <c r="BR114" s="4794">
        <f t="shared" si="297"/>
        <v>0</v>
      </c>
      <c r="BS114" s="4794">
        <f t="shared" si="298"/>
        <v>0</v>
      </c>
      <c r="BT114" s="4794">
        <f t="shared" si="299"/>
        <v>0</v>
      </c>
      <c r="BU114" s="4794">
        <f t="shared" si="300"/>
        <v>0</v>
      </c>
      <c r="BV114" s="4794">
        <f t="shared" si="301"/>
        <v>0</v>
      </c>
      <c r="BW114" s="4794">
        <f t="shared" si="302"/>
        <v>0</v>
      </c>
      <c r="BX114" s="152"/>
      <c r="BY114" s="4794">
        <f t="shared" si="303"/>
        <v>0</v>
      </c>
      <c r="BZ114" s="4794">
        <f t="shared" si="304"/>
        <v>0</v>
      </c>
      <c r="CA114" s="4794">
        <f t="shared" si="305"/>
        <v>0</v>
      </c>
      <c r="CB114" s="4794">
        <f t="shared" si="306"/>
        <v>0</v>
      </c>
      <c r="CC114" s="4794">
        <f t="shared" si="307"/>
        <v>0</v>
      </c>
      <c r="CD114" s="4794">
        <f t="shared" si="308"/>
        <v>0</v>
      </c>
    </row>
    <row r="115" spans="1:82" s="44" customFormat="1">
      <c r="A115" s="3132">
        <v>5</v>
      </c>
      <c r="B115" s="3135" t="s">
        <v>714</v>
      </c>
      <c r="C115" s="3137">
        <v>0.1</v>
      </c>
      <c r="D115" s="2720" t="s">
        <v>407</v>
      </c>
      <c r="E115" s="3184"/>
      <c r="F115" s="418"/>
      <c r="G115" s="416"/>
      <c r="H115" s="416"/>
      <c r="I115" s="416"/>
      <c r="J115" s="416"/>
      <c r="K115" s="276"/>
      <c r="L115" s="3184"/>
      <c r="M115" s="418"/>
      <c r="N115" s="416"/>
      <c r="O115" s="416"/>
      <c r="P115" s="416"/>
      <c r="Q115" s="416"/>
      <c r="R115" s="276"/>
      <c r="S115" s="3184"/>
      <c r="T115" s="418"/>
      <c r="U115" s="416"/>
      <c r="V115" s="416"/>
      <c r="W115" s="416"/>
      <c r="X115" s="416"/>
      <c r="Y115" s="417"/>
      <c r="Z115" s="3184"/>
      <c r="AA115" s="418"/>
      <c r="AB115" s="416"/>
      <c r="AC115" s="416"/>
      <c r="AD115" s="416"/>
      <c r="AE115" s="416"/>
      <c r="AF115" s="417"/>
      <c r="AG115" s="3184"/>
      <c r="AH115" s="418"/>
      <c r="AI115" s="416"/>
      <c r="AJ115" s="416"/>
      <c r="AK115" s="416"/>
      <c r="AL115" s="416"/>
      <c r="AM115" s="417"/>
      <c r="AN115" s="3184"/>
      <c r="AO115" s="3189"/>
      <c r="AP115" s="3190"/>
      <c r="AQ115" s="3190"/>
      <c r="AR115" s="3190"/>
      <c r="AS115" s="3190"/>
      <c r="AT115" s="3191"/>
      <c r="AU115" s="4775"/>
      <c r="AV115" s="152"/>
      <c r="AW115" s="4794">
        <f t="shared" si="309"/>
        <v>0</v>
      </c>
      <c r="AX115" s="4794">
        <f t="shared" si="280"/>
        <v>0</v>
      </c>
      <c r="AY115" s="4794">
        <f t="shared" si="281"/>
        <v>0</v>
      </c>
      <c r="AZ115" s="4794">
        <f t="shared" si="282"/>
        <v>0</v>
      </c>
      <c r="BA115" s="4794">
        <f t="shared" si="283"/>
        <v>0</v>
      </c>
      <c r="BB115" s="4794">
        <f t="shared" si="284"/>
        <v>0</v>
      </c>
      <c r="BC115" s="152"/>
      <c r="BD115" s="4794">
        <f t="shared" si="285"/>
        <v>0</v>
      </c>
      <c r="BE115" s="4794">
        <f t="shared" si="286"/>
        <v>0</v>
      </c>
      <c r="BF115" s="4794">
        <f t="shared" si="287"/>
        <v>0</v>
      </c>
      <c r="BG115" s="4794">
        <f t="shared" si="288"/>
        <v>0</v>
      </c>
      <c r="BH115" s="4794">
        <f t="shared" si="289"/>
        <v>0</v>
      </c>
      <c r="BI115" s="4794">
        <f t="shared" si="290"/>
        <v>0</v>
      </c>
      <c r="BJ115" s="152"/>
      <c r="BK115" s="4794">
        <f t="shared" si="291"/>
        <v>0</v>
      </c>
      <c r="BL115" s="4794">
        <f t="shared" si="292"/>
        <v>0</v>
      </c>
      <c r="BM115" s="4794">
        <f t="shared" si="293"/>
        <v>0</v>
      </c>
      <c r="BN115" s="4794">
        <f t="shared" si="294"/>
        <v>0</v>
      </c>
      <c r="BO115" s="4794">
        <f t="shared" si="295"/>
        <v>0</v>
      </c>
      <c r="BP115" s="4794">
        <f t="shared" si="296"/>
        <v>0</v>
      </c>
      <c r="BQ115" s="152"/>
      <c r="BR115" s="4794">
        <f t="shared" si="297"/>
        <v>0</v>
      </c>
      <c r="BS115" s="4794">
        <f t="shared" si="298"/>
        <v>0</v>
      </c>
      <c r="BT115" s="4794">
        <f t="shared" si="299"/>
        <v>0</v>
      </c>
      <c r="BU115" s="4794">
        <f t="shared" si="300"/>
        <v>0</v>
      </c>
      <c r="BV115" s="4794">
        <f t="shared" si="301"/>
        <v>0</v>
      </c>
      <c r="BW115" s="4794">
        <f t="shared" si="302"/>
        <v>0</v>
      </c>
      <c r="BX115" s="152"/>
      <c r="BY115" s="4794">
        <f t="shared" si="303"/>
        <v>0</v>
      </c>
      <c r="BZ115" s="4794">
        <f t="shared" si="304"/>
        <v>0</v>
      </c>
      <c r="CA115" s="4794">
        <f t="shared" si="305"/>
        <v>0</v>
      </c>
      <c r="CB115" s="4794">
        <f t="shared" si="306"/>
        <v>0</v>
      </c>
      <c r="CC115" s="4794">
        <f t="shared" si="307"/>
        <v>0</v>
      </c>
      <c r="CD115" s="4794">
        <f t="shared" si="308"/>
        <v>0</v>
      </c>
    </row>
    <row r="116" spans="1:82" s="44" customFormat="1">
      <c r="A116" s="3132">
        <v>6</v>
      </c>
      <c r="B116" s="3135" t="s">
        <v>715</v>
      </c>
      <c r="C116" s="3137">
        <v>0.1</v>
      </c>
      <c r="D116" s="2720" t="s">
        <v>408</v>
      </c>
      <c r="E116" s="3184"/>
      <c r="F116" s="418"/>
      <c r="G116" s="416"/>
      <c r="H116" s="416"/>
      <c r="I116" s="416"/>
      <c r="J116" s="416"/>
      <c r="K116" s="276"/>
      <c r="L116" s="3184"/>
      <c r="M116" s="418"/>
      <c r="N116" s="416"/>
      <c r="O116" s="416"/>
      <c r="P116" s="416"/>
      <c r="Q116" s="416"/>
      <c r="R116" s="276"/>
      <c r="S116" s="3184"/>
      <c r="T116" s="418"/>
      <c r="U116" s="416"/>
      <c r="V116" s="416"/>
      <c r="W116" s="416"/>
      <c r="X116" s="416"/>
      <c r="Y116" s="417"/>
      <c r="Z116" s="3184"/>
      <c r="AA116" s="418"/>
      <c r="AB116" s="416"/>
      <c r="AC116" s="416"/>
      <c r="AD116" s="416"/>
      <c r="AE116" s="416"/>
      <c r="AF116" s="417"/>
      <c r="AG116" s="3184"/>
      <c r="AH116" s="418"/>
      <c r="AI116" s="416"/>
      <c r="AJ116" s="416"/>
      <c r="AK116" s="416"/>
      <c r="AL116" s="416"/>
      <c r="AM116" s="417"/>
      <c r="AN116" s="3184"/>
      <c r="AO116" s="3189"/>
      <c r="AP116" s="3190"/>
      <c r="AQ116" s="3190"/>
      <c r="AR116" s="3190"/>
      <c r="AS116" s="3190"/>
      <c r="AT116" s="3191"/>
      <c r="AU116" s="4775"/>
      <c r="AV116" s="152"/>
      <c r="AW116" s="4794">
        <f t="shared" si="309"/>
        <v>0</v>
      </c>
      <c r="AX116" s="4794">
        <f t="shared" si="280"/>
        <v>0</v>
      </c>
      <c r="AY116" s="4794">
        <f t="shared" si="281"/>
        <v>0</v>
      </c>
      <c r="AZ116" s="4794">
        <f t="shared" si="282"/>
        <v>0</v>
      </c>
      <c r="BA116" s="4794">
        <f t="shared" si="283"/>
        <v>0</v>
      </c>
      <c r="BB116" s="4794">
        <f t="shared" si="284"/>
        <v>0</v>
      </c>
      <c r="BC116" s="152"/>
      <c r="BD116" s="4794">
        <f t="shared" si="285"/>
        <v>0</v>
      </c>
      <c r="BE116" s="4794">
        <f t="shared" si="286"/>
        <v>0</v>
      </c>
      <c r="BF116" s="4794">
        <f t="shared" si="287"/>
        <v>0</v>
      </c>
      <c r="BG116" s="4794">
        <f t="shared" si="288"/>
        <v>0</v>
      </c>
      <c r="BH116" s="4794">
        <f t="shared" si="289"/>
        <v>0</v>
      </c>
      <c r="BI116" s="4794">
        <f t="shared" si="290"/>
        <v>0</v>
      </c>
      <c r="BJ116" s="152"/>
      <c r="BK116" s="4794">
        <f t="shared" si="291"/>
        <v>0</v>
      </c>
      <c r="BL116" s="4794">
        <f t="shared" si="292"/>
        <v>0</v>
      </c>
      <c r="BM116" s="4794">
        <f t="shared" si="293"/>
        <v>0</v>
      </c>
      <c r="BN116" s="4794">
        <f t="shared" si="294"/>
        <v>0</v>
      </c>
      <c r="BO116" s="4794">
        <f t="shared" si="295"/>
        <v>0</v>
      </c>
      <c r="BP116" s="4794">
        <f t="shared" si="296"/>
        <v>0</v>
      </c>
      <c r="BQ116" s="152"/>
      <c r="BR116" s="4794">
        <f t="shared" si="297"/>
        <v>0</v>
      </c>
      <c r="BS116" s="4794">
        <f t="shared" si="298"/>
        <v>0</v>
      </c>
      <c r="BT116" s="4794">
        <f t="shared" si="299"/>
        <v>0</v>
      </c>
      <c r="BU116" s="4794">
        <f t="shared" si="300"/>
        <v>0</v>
      </c>
      <c r="BV116" s="4794">
        <f t="shared" si="301"/>
        <v>0</v>
      </c>
      <c r="BW116" s="4794">
        <f t="shared" si="302"/>
        <v>0</v>
      </c>
      <c r="BX116" s="152"/>
      <c r="BY116" s="4794">
        <f t="shared" si="303"/>
        <v>0</v>
      </c>
      <c r="BZ116" s="4794">
        <f t="shared" si="304"/>
        <v>0</v>
      </c>
      <c r="CA116" s="4794">
        <f t="shared" si="305"/>
        <v>0</v>
      </c>
      <c r="CB116" s="4794">
        <f t="shared" si="306"/>
        <v>0</v>
      </c>
      <c r="CC116" s="4794">
        <f t="shared" si="307"/>
        <v>0</v>
      </c>
      <c r="CD116" s="4794">
        <f t="shared" si="308"/>
        <v>0</v>
      </c>
    </row>
    <row r="117" spans="1:82" s="44" customFormat="1" ht="24">
      <c r="A117" s="3132">
        <v>7</v>
      </c>
      <c r="B117" s="3135" t="s">
        <v>706</v>
      </c>
      <c r="C117" s="3137">
        <v>0.1</v>
      </c>
      <c r="D117" s="2720" t="s">
        <v>695</v>
      </c>
      <c r="E117" s="3184"/>
      <c r="F117" s="418"/>
      <c r="G117" s="416"/>
      <c r="H117" s="416"/>
      <c r="I117" s="416"/>
      <c r="J117" s="416"/>
      <c r="K117" s="276"/>
      <c r="L117" s="3184"/>
      <c r="M117" s="418"/>
      <c r="N117" s="416"/>
      <c r="O117" s="416"/>
      <c r="P117" s="416"/>
      <c r="Q117" s="416"/>
      <c r="R117" s="276"/>
      <c r="S117" s="3184"/>
      <c r="T117" s="418"/>
      <c r="U117" s="416"/>
      <c r="V117" s="416"/>
      <c r="W117" s="416"/>
      <c r="X117" s="416"/>
      <c r="Y117" s="417"/>
      <c r="Z117" s="3184"/>
      <c r="AA117" s="418"/>
      <c r="AB117" s="416"/>
      <c r="AC117" s="416"/>
      <c r="AD117" s="416"/>
      <c r="AE117" s="416"/>
      <c r="AF117" s="417"/>
      <c r="AG117" s="3184"/>
      <c r="AH117" s="418"/>
      <c r="AI117" s="416"/>
      <c r="AJ117" s="416"/>
      <c r="AK117" s="416"/>
      <c r="AL117" s="416"/>
      <c r="AM117" s="417"/>
      <c r="AN117" s="3184"/>
      <c r="AO117" s="3189"/>
      <c r="AP117" s="3190"/>
      <c r="AQ117" s="3190"/>
      <c r="AR117" s="3190"/>
      <c r="AS117" s="3190"/>
      <c r="AT117" s="3191"/>
      <c r="AU117" s="4775"/>
      <c r="AV117" s="152"/>
      <c r="AW117" s="4794">
        <f t="shared" si="309"/>
        <v>0</v>
      </c>
      <c r="AX117" s="4794">
        <f t="shared" si="280"/>
        <v>0</v>
      </c>
      <c r="AY117" s="4794">
        <f t="shared" si="281"/>
        <v>0</v>
      </c>
      <c r="AZ117" s="4794">
        <f t="shared" si="282"/>
        <v>0</v>
      </c>
      <c r="BA117" s="4794">
        <f t="shared" si="283"/>
        <v>0</v>
      </c>
      <c r="BB117" s="4794">
        <f t="shared" si="284"/>
        <v>0</v>
      </c>
      <c r="BC117" s="152"/>
      <c r="BD117" s="4794">
        <f t="shared" si="285"/>
        <v>0</v>
      </c>
      <c r="BE117" s="4794">
        <f t="shared" si="286"/>
        <v>0</v>
      </c>
      <c r="BF117" s="4794">
        <f t="shared" si="287"/>
        <v>0</v>
      </c>
      <c r="BG117" s="4794">
        <f t="shared" si="288"/>
        <v>0</v>
      </c>
      <c r="BH117" s="4794">
        <f t="shared" si="289"/>
        <v>0</v>
      </c>
      <c r="BI117" s="4794">
        <f t="shared" si="290"/>
        <v>0</v>
      </c>
      <c r="BJ117" s="152"/>
      <c r="BK117" s="4794">
        <f t="shared" si="291"/>
        <v>0</v>
      </c>
      <c r="BL117" s="4794">
        <f t="shared" si="292"/>
        <v>0</v>
      </c>
      <c r="BM117" s="4794">
        <f t="shared" si="293"/>
        <v>0</v>
      </c>
      <c r="BN117" s="4794">
        <f t="shared" si="294"/>
        <v>0</v>
      </c>
      <c r="BO117" s="4794">
        <f t="shared" si="295"/>
        <v>0</v>
      </c>
      <c r="BP117" s="4794">
        <f t="shared" si="296"/>
        <v>0</v>
      </c>
      <c r="BQ117" s="152"/>
      <c r="BR117" s="4794">
        <f t="shared" si="297"/>
        <v>0</v>
      </c>
      <c r="BS117" s="4794">
        <f t="shared" si="298"/>
        <v>0</v>
      </c>
      <c r="BT117" s="4794">
        <f t="shared" si="299"/>
        <v>0</v>
      </c>
      <c r="BU117" s="4794">
        <f t="shared" si="300"/>
        <v>0</v>
      </c>
      <c r="BV117" s="4794">
        <f t="shared" si="301"/>
        <v>0</v>
      </c>
      <c r="BW117" s="4794">
        <f t="shared" si="302"/>
        <v>0</v>
      </c>
      <c r="BX117" s="152"/>
      <c r="BY117" s="4794">
        <f t="shared" si="303"/>
        <v>0</v>
      </c>
      <c r="BZ117" s="4794">
        <f t="shared" si="304"/>
        <v>0</v>
      </c>
      <c r="CA117" s="4794">
        <f t="shared" si="305"/>
        <v>0</v>
      </c>
      <c r="CB117" s="4794">
        <f t="shared" si="306"/>
        <v>0</v>
      </c>
      <c r="CC117" s="4794">
        <f t="shared" si="307"/>
        <v>0</v>
      </c>
      <c r="CD117" s="4794">
        <f t="shared" si="308"/>
        <v>0</v>
      </c>
    </row>
    <row r="118" spans="1:82" s="44" customFormat="1">
      <c r="A118" s="3132">
        <v>8</v>
      </c>
      <c r="B118" s="3135" t="s">
        <v>716</v>
      </c>
      <c r="C118" s="3137">
        <v>0.1</v>
      </c>
      <c r="D118" s="2720" t="s">
        <v>713</v>
      </c>
      <c r="E118" s="3184"/>
      <c r="F118" s="418"/>
      <c r="G118" s="416"/>
      <c r="H118" s="416"/>
      <c r="I118" s="416"/>
      <c r="J118" s="416"/>
      <c r="K118" s="276"/>
      <c r="L118" s="3184"/>
      <c r="M118" s="418"/>
      <c r="N118" s="416"/>
      <c r="O118" s="416"/>
      <c r="P118" s="416"/>
      <c r="Q118" s="416"/>
      <c r="R118" s="276"/>
      <c r="S118" s="3184"/>
      <c r="T118" s="418"/>
      <c r="U118" s="416"/>
      <c r="V118" s="416"/>
      <c r="W118" s="416"/>
      <c r="X118" s="416"/>
      <c r="Y118" s="417"/>
      <c r="Z118" s="3184"/>
      <c r="AA118" s="418"/>
      <c r="AB118" s="416"/>
      <c r="AC118" s="416"/>
      <c r="AD118" s="416"/>
      <c r="AE118" s="416"/>
      <c r="AF118" s="417"/>
      <c r="AG118" s="3184"/>
      <c r="AH118" s="418"/>
      <c r="AI118" s="416"/>
      <c r="AJ118" s="416"/>
      <c r="AK118" s="416"/>
      <c r="AL118" s="416"/>
      <c r="AM118" s="417"/>
      <c r="AN118" s="3184"/>
      <c r="AO118" s="3189"/>
      <c r="AP118" s="3190"/>
      <c r="AQ118" s="3190"/>
      <c r="AR118" s="3190"/>
      <c r="AS118" s="3190"/>
      <c r="AT118" s="3191"/>
      <c r="AU118" s="4775"/>
      <c r="AV118" s="152"/>
      <c r="AW118" s="4794">
        <f t="shared" si="309"/>
        <v>0</v>
      </c>
      <c r="AX118" s="4794">
        <f t="shared" si="280"/>
        <v>0</v>
      </c>
      <c r="AY118" s="4794">
        <f t="shared" si="281"/>
        <v>0</v>
      </c>
      <c r="AZ118" s="4794">
        <f t="shared" si="282"/>
        <v>0</v>
      </c>
      <c r="BA118" s="4794">
        <f t="shared" si="283"/>
        <v>0</v>
      </c>
      <c r="BB118" s="4794">
        <f t="shared" si="284"/>
        <v>0</v>
      </c>
      <c r="BC118" s="152"/>
      <c r="BD118" s="4794">
        <f t="shared" si="285"/>
        <v>0</v>
      </c>
      <c r="BE118" s="4794">
        <f t="shared" si="286"/>
        <v>0</v>
      </c>
      <c r="BF118" s="4794">
        <f t="shared" si="287"/>
        <v>0</v>
      </c>
      <c r="BG118" s="4794">
        <f t="shared" si="288"/>
        <v>0</v>
      </c>
      <c r="BH118" s="4794">
        <f t="shared" si="289"/>
        <v>0</v>
      </c>
      <c r="BI118" s="4794">
        <f t="shared" si="290"/>
        <v>0</v>
      </c>
      <c r="BJ118" s="152"/>
      <c r="BK118" s="4794">
        <f t="shared" si="291"/>
        <v>0</v>
      </c>
      <c r="BL118" s="4794">
        <f t="shared" si="292"/>
        <v>0</v>
      </c>
      <c r="BM118" s="4794">
        <f t="shared" si="293"/>
        <v>0</v>
      </c>
      <c r="BN118" s="4794">
        <f t="shared" si="294"/>
        <v>0</v>
      </c>
      <c r="BO118" s="4794">
        <f t="shared" si="295"/>
        <v>0</v>
      </c>
      <c r="BP118" s="4794">
        <f t="shared" si="296"/>
        <v>0</v>
      </c>
      <c r="BQ118" s="152"/>
      <c r="BR118" s="4794">
        <f t="shared" si="297"/>
        <v>0</v>
      </c>
      <c r="BS118" s="4794">
        <f t="shared" si="298"/>
        <v>0</v>
      </c>
      <c r="BT118" s="4794">
        <f t="shared" si="299"/>
        <v>0</v>
      </c>
      <c r="BU118" s="4794">
        <f t="shared" si="300"/>
        <v>0</v>
      </c>
      <c r="BV118" s="4794">
        <f t="shared" si="301"/>
        <v>0</v>
      </c>
      <c r="BW118" s="4794">
        <f t="shared" si="302"/>
        <v>0</v>
      </c>
      <c r="BX118" s="152"/>
      <c r="BY118" s="4794">
        <f t="shared" si="303"/>
        <v>0</v>
      </c>
      <c r="BZ118" s="4794">
        <f t="shared" si="304"/>
        <v>0</v>
      </c>
      <c r="CA118" s="4794">
        <f t="shared" si="305"/>
        <v>0</v>
      </c>
      <c r="CB118" s="4794">
        <f t="shared" si="306"/>
        <v>0</v>
      </c>
      <c r="CC118" s="4794">
        <f t="shared" si="307"/>
        <v>0</v>
      </c>
      <c r="CD118" s="4794">
        <f t="shared" si="308"/>
        <v>0</v>
      </c>
    </row>
    <row r="119" spans="1:82" s="44" customFormat="1">
      <c r="A119" s="3138">
        <v>9</v>
      </c>
      <c r="B119" s="3135">
        <v>911306</v>
      </c>
      <c r="C119" s="3137">
        <v>0.1</v>
      </c>
      <c r="D119" s="3136" t="s">
        <v>1032</v>
      </c>
      <c r="E119" s="3184"/>
      <c r="F119" s="418"/>
      <c r="G119" s="416"/>
      <c r="H119" s="416"/>
      <c r="I119" s="416"/>
      <c r="J119" s="416"/>
      <c r="K119" s="276"/>
      <c r="L119" s="3184"/>
      <c r="M119" s="418"/>
      <c r="N119" s="416"/>
      <c r="O119" s="416"/>
      <c r="P119" s="416"/>
      <c r="Q119" s="416"/>
      <c r="R119" s="276"/>
      <c r="S119" s="3184"/>
      <c r="T119" s="418"/>
      <c r="U119" s="416"/>
      <c r="V119" s="416"/>
      <c r="W119" s="416"/>
      <c r="X119" s="416"/>
      <c r="Y119" s="417"/>
      <c r="Z119" s="3184"/>
      <c r="AA119" s="418"/>
      <c r="AB119" s="416"/>
      <c r="AC119" s="416"/>
      <c r="AD119" s="416"/>
      <c r="AE119" s="416"/>
      <c r="AF119" s="417"/>
      <c r="AG119" s="3184"/>
      <c r="AH119" s="418"/>
      <c r="AI119" s="416"/>
      <c r="AJ119" s="416"/>
      <c r="AK119" s="416"/>
      <c r="AL119" s="416"/>
      <c r="AM119" s="417"/>
      <c r="AN119" s="3184"/>
      <c r="AO119" s="3189"/>
      <c r="AP119" s="3190"/>
      <c r="AQ119" s="3190"/>
      <c r="AR119" s="3190"/>
      <c r="AS119" s="3190"/>
      <c r="AT119" s="3191"/>
      <c r="AU119" s="4775"/>
      <c r="AV119" s="152"/>
      <c r="AW119" s="4794">
        <f t="shared" si="309"/>
        <v>0</v>
      </c>
      <c r="AX119" s="4794">
        <f t="shared" si="280"/>
        <v>0</v>
      </c>
      <c r="AY119" s="4794">
        <f t="shared" si="281"/>
        <v>0</v>
      </c>
      <c r="AZ119" s="4794">
        <f t="shared" si="282"/>
        <v>0</v>
      </c>
      <c r="BA119" s="4794">
        <f t="shared" si="283"/>
        <v>0</v>
      </c>
      <c r="BB119" s="4794">
        <f t="shared" si="284"/>
        <v>0</v>
      </c>
      <c r="BC119" s="152"/>
      <c r="BD119" s="4794">
        <f t="shared" si="285"/>
        <v>0</v>
      </c>
      <c r="BE119" s="4794">
        <f t="shared" si="286"/>
        <v>0</v>
      </c>
      <c r="BF119" s="4794">
        <f t="shared" si="287"/>
        <v>0</v>
      </c>
      <c r="BG119" s="4794">
        <f t="shared" si="288"/>
        <v>0</v>
      </c>
      <c r="BH119" s="4794">
        <f t="shared" si="289"/>
        <v>0</v>
      </c>
      <c r="BI119" s="4794">
        <f t="shared" si="290"/>
        <v>0</v>
      </c>
      <c r="BJ119" s="152"/>
      <c r="BK119" s="4794">
        <f t="shared" si="291"/>
        <v>0</v>
      </c>
      <c r="BL119" s="4794">
        <f t="shared" si="292"/>
        <v>0</v>
      </c>
      <c r="BM119" s="4794">
        <f t="shared" si="293"/>
        <v>0</v>
      </c>
      <c r="BN119" s="4794">
        <f t="shared" si="294"/>
        <v>0</v>
      </c>
      <c r="BO119" s="4794">
        <f t="shared" si="295"/>
        <v>0</v>
      </c>
      <c r="BP119" s="4794">
        <f t="shared" si="296"/>
        <v>0</v>
      </c>
      <c r="BQ119" s="152"/>
      <c r="BR119" s="4794">
        <f t="shared" si="297"/>
        <v>0</v>
      </c>
      <c r="BS119" s="4794">
        <f t="shared" si="298"/>
        <v>0</v>
      </c>
      <c r="BT119" s="4794">
        <f t="shared" si="299"/>
        <v>0</v>
      </c>
      <c r="BU119" s="4794">
        <f t="shared" si="300"/>
        <v>0</v>
      </c>
      <c r="BV119" s="4794">
        <f t="shared" si="301"/>
        <v>0</v>
      </c>
      <c r="BW119" s="4794">
        <f t="shared" si="302"/>
        <v>0</v>
      </c>
      <c r="BX119" s="152"/>
      <c r="BY119" s="4794">
        <f t="shared" si="303"/>
        <v>0</v>
      </c>
      <c r="BZ119" s="4794">
        <f t="shared" si="304"/>
        <v>0</v>
      </c>
      <c r="CA119" s="4794">
        <f t="shared" si="305"/>
        <v>0</v>
      </c>
      <c r="CB119" s="4794">
        <f t="shared" si="306"/>
        <v>0</v>
      </c>
      <c r="CC119" s="4794">
        <f t="shared" si="307"/>
        <v>0</v>
      </c>
      <c r="CD119" s="4794">
        <f t="shared" si="308"/>
        <v>0</v>
      </c>
    </row>
    <row r="120" spans="1:82" s="44" customFormat="1">
      <c r="A120" s="3138">
        <v>10</v>
      </c>
      <c r="B120" s="3135">
        <v>91140101</v>
      </c>
      <c r="C120" s="3139">
        <v>0.1</v>
      </c>
      <c r="D120" s="2714" t="s">
        <v>1016</v>
      </c>
      <c r="E120" s="3184"/>
      <c r="F120" s="418"/>
      <c r="G120" s="416"/>
      <c r="H120" s="416"/>
      <c r="I120" s="416"/>
      <c r="J120" s="416"/>
      <c r="K120" s="276"/>
      <c r="L120" s="3184"/>
      <c r="M120" s="418"/>
      <c r="N120" s="416"/>
      <c r="O120" s="416"/>
      <c r="P120" s="416"/>
      <c r="Q120" s="416"/>
      <c r="R120" s="276"/>
      <c r="S120" s="3184"/>
      <c r="T120" s="418"/>
      <c r="U120" s="416"/>
      <c r="V120" s="416"/>
      <c r="W120" s="416"/>
      <c r="X120" s="416"/>
      <c r="Y120" s="417"/>
      <c r="Z120" s="3184"/>
      <c r="AA120" s="418"/>
      <c r="AB120" s="416"/>
      <c r="AC120" s="416"/>
      <c r="AD120" s="416"/>
      <c r="AE120" s="416"/>
      <c r="AF120" s="417"/>
      <c r="AG120" s="3184"/>
      <c r="AH120" s="418"/>
      <c r="AI120" s="416"/>
      <c r="AJ120" s="416"/>
      <c r="AK120" s="416"/>
      <c r="AL120" s="416"/>
      <c r="AM120" s="417"/>
      <c r="AN120" s="3184"/>
      <c r="AO120" s="3189"/>
      <c r="AP120" s="3190"/>
      <c r="AQ120" s="3190"/>
      <c r="AR120" s="3190"/>
      <c r="AS120" s="3190"/>
      <c r="AT120" s="3191"/>
      <c r="AU120" s="4775"/>
      <c r="AV120" s="152"/>
      <c r="AW120" s="4794">
        <f t="shared" si="309"/>
        <v>0</v>
      </c>
      <c r="AX120" s="4794">
        <f t="shared" si="280"/>
        <v>0</v>
      </c>
      <c r="AY120" s="4794">
        <f t="shared" si="281"/>
        <v>0</v>
      </c>
      <c r="AZ120" s="4794">
        <f t="shared" si="282"/>
        <v>0</v>
      </c>
      <c r="BA120" s="4794">
        <f t="shared" si="283"/>
        <v>0</v>
      </c>
      <c r="BB120" s="4794">
        <f t="shared" si="284"/>
        <v>0</v>
      </c>
      <c r="BC120" s="152"/>
      <c r="BD120" s="4794">
        <f t="shared" si="285"/>
        <v>0</v>
      </c>
      <c r="BE120" s="4794">
        <f t="shared" si="286"/>
        <v>0</v>
      </c>
      <c r="BF120" s="4794">
        <f t="shared" si="287"/>
        <v>0</v>
      </c>
      <c r="BG120" s="4794">
        <f t="shared" si="288"/>
        <v>0</v>
      </c>
      <c r="BH120" s="4794">
        <f t="shared" si="289"/>
        <v>0</v>
      </c>
      <c r="BI120" s="4794">
        <f t="shared" si="290"/>
        <v>0</v>
      </c>
      <c r="BJ120" s="152"/>
      <c r="BK120" s="4794">
        <f t="shared" si="291"/>
        <v>0</v>
      </c>
      <c r="BL120" s="4794">
        <f t="shared" si="292"/>
        <v>0</v>
      </c>
      <c r="BM120" s="4794">
        <f t="shared" si="293"/>
        <v>0</v>
      </c>
      <c r="BN120" s="4794">
        <f t="shared" si="294"/>
        <v>0</v>
      </c>
      <c r="BO120" s="4794">
        <f t="shared" si="295"/>
        <v>0</v>
      </c>
      <c r="BP120" s="4794">
        <f t="shared" si="296"/>
        <v>0</v>
      </c>
      <c r="BQ120" s="152"/>
      <c r="BR120" s="4794">
        <f t="shared" si="297"/>
        <v>0</v>
      </c>
      <c r="BS120" s="4794">
        <f t="shared" si="298"/>
        <v>0</v>
      </c>
      <c r="BT120" s="4794">
        <f t="shared" si="299"/>
        <v>0</v>
      </c>
      <c r="BU120" s="4794">
        <f t="shared" si="300"/>
        <v>0</v>
      </c>
      <c r="BV120" s="4794">
        <f t="shared" si="301"/>
        <v>0</v>
      </c>
      <c r="BW120" s="4794">
        <f t="shared" si="302"/>
        <v>0</v>
      </c>
      <c r="BX120" s="152"/>
      <c r="BY120" s="4794">
        <f t="shared" si="303"/>
        <v>0</v>
      </c>
      <c r="BZ120" s="4794">
        <f t="shared" si="304"/>
        <v>0</v>
      </c>
      <c r="CA120" s="4794">
        <f t="shared" si="305"/>
        <v>0</v>
      </c>
      <c r="CB120" s="4794">
        <f t="shared" si="306"/>
        <v>0</v>
      </c>
      <c r="CC120" s="4794">
        <f t="shared" si="307"/>
        <v>0</v>
      </c>
      <c r="CD120" s="4794">
        <f t="shared" si="308"/>
        <v>0</v>
      </c>
    </row>
    <row r="121" spans="1:82" s="44" customFormat="1">
      <c r="A121" s="3138">
        <v>11</v>
      </c>
      <c r="B121" s="3135">
        <v>91140102</v>
      </c>
      <c r="C121" s="3139">
        <v>0.04</v>
      </c>
      <c r="D121" s="2714" t="s">
        <v>432</v>
      </c>
      <c r="E121" s="3184"/>
      <c r="F121" s="418"/>
      <c r="G121" s="416"/>
      <c r="H121" s="416"/>
      <c r="I121" s="416"/>
      <c r="J121" s="416"/>
      <c r="K121" s="276"/>
      <c r="L121" s="3184"/>
      <c r="M121" s="418"/>
      <c r="N121" s="416"/>
      <c r="O121" s="416"/>
      <c r="P121" s="416"/>
      <c r="Q121" s="416"/>
      <c r="R121" s="276"/>
      <c r="S121" s="3184"/>
      <c r="T121" s="418"/>
      <c r="U121" s="416"/>
      <c r="V121" s="416"/>
      <c r="W121" s="416"/>
      <c r="X121" s="416"/>
      <c r="Y121" s="417"/>
      <c r="Z121" s="3184"/>
      <c r="AA121" s="418"/>
      <c r="AB121" s="416"/>
      <c r="AC121" s="416"/>
      <c r="AD121" s="416"/>
      <c r="AE121" s="416"/>
      <c r="AF121" s="417"/>
      <c r="AG121" s="3184"/>
      <c r="AH121" s="418"/>
      <c r="AI121" s="416"/>
      <c r="AJ121" s="416"/>
      <c r="AK121" s="416"/>
      <c r="AL121" s="416"/>
      <c r="AM121" s="417"/>
      <c r="AN121" s="3184"/>
      <c r="AO121" s="3189"/>
      <c r="AP121" s="3190"/>
      <c r="AQ121" s="3190"/>
      <c r="AR121" s="3190"/>
      <c r="AS121" s="3190"/>
      <c r="AT121" s="3191"/>
      <c r="AU121" s="4775"/>
      <c r="AV121" s="152"/>
      <c r="AW121" s="4794">
        <f t="shared" si="309"/>
        <v>0</v>
      </c>
      <c r="AX121" s="4794">
        <f t="shared" si="280"/>
        <v>0</v>
      </c>
      <c r="AY121" s="4794">
        <f t="shared" si="281"/>
        <v>0</v>
      </c>
      <c r="AZ121" s="4794">
        <f t="shared" si="282"/>
        <v>0</v>
      </c>
      <c r="BA121" s="4794">
        <f t="shared" si="283"/>
        <v>0</v>
      </c>
      <c r="BB121" s="4794">
        <f t="shared" si="284"/>
        <v>0</v>
      </c>
      <c r="BC121" s="152"/>
      <c r="BD121" s="4794">
        <f t="shared" si="285"/>
        <v>0</v>
      </c>
      <c r="BE121" s="4794">
        <f t="shared" si="286"/>
        <v>0</v>
      </c>
      <c r="BF121" s="4794">
        <f t="shared" si="287"/>
        <v>0</v>
      </c>
      <c r="BG121" s="4794">
        <f t="shared" si="288"/>
        <v>0</v>
      </c>
      <c r="BH121" s="4794">
        <f t="shared" si="289"/>
        <v>0</v>
      </c>
      <c r="BI121" s="4794">
        <f t="shared" si="290"/>
        <v>0</v>
      </c>
      <c r="BJ121" s="152"/>
      <c r="BK121" s="4794">
        <f t="shared" si="291"/>
        <v>0</v>
      </c>
      <c r="BL121" s="4794">
        <f t="shared" si="292"/>
        <v>0</v>
      </c>
      <c r="BM121" s="4794">
        <f t="shared" si="293"/>
        <v>0</v>
      </c>
      <c r="BN121" s="4794">
        <f t="shared" si="294"/>
        <v>0</v>
      </c>
      <c r="BO121" s="4794">
        <f t="shared" si="295"/>
        <v>0</v>
      </c>
      <c r="BP121" s="4794">
        <f t="shared" si="296"/>
        <v>0</v>
      </c>
      <c r="BQ121" s="152"/>
      <c r="BR121" s="4794">
        <f t="shared" si="297"/>
        <v>0</v>
      </c>
      <c r="BS121" s="4794">
        <f t="shared" si="298"/>
        <v>0</v>
      </c>
      <c r="BT121" s="4794">
        <f t="shared" si="299"/>
        <v>0</v>
      </c>
      <c r="BU121" s="4794">
        <f t="shared" si="300"/>
        <v>0</v>
      </c>
      <c r="BV121" s="4794">
        <f t="shared" si="301"/>
        <v>0</v>
      </c>
      <c r="BW121" s="4794">
        <f t="shared" si="302"/>
        <v>0</v>
      </c>
      <c r="BX121" s="152"/>
      <c r="BY121" s="4794">
        <f t="shared" si="303"/>
        <v>0</v>
      </c>
      <c r="BZ121" s="4794">
        <f t="shared" si="304"/>
        <v>0</v>
      </c>
      <c r="CA121" s="4794">
        <f t="shared" si="305"/>
        <v>0</v>
      </c>
      <c r="CB121" s="4794">
        <f t="shared" si="306"/>
        <v>0</v>
      </c>
      <c r="CC121" s="4794">
        <f t="shared" si="307"/>
        <v>0</v>
      </c>
      <c r="CD121" s="4794">
        <f t="shared" si="308"/>
        <v>0</v>
      </c>
    </row>
    <row r="122" spans="1:82" s="44" customFormat="1">
      <c r="A122" s="3138">
        <v>12</v>
      </c>
      <c r="B122" s="3135" t="s">
        <v>698</v>
      </c>
      <c r="C122" s="3137">
        <v>0.02</v>
      </c>
      <c r="D122" s="2715" t="s">
        <v>738</v>
      </c>
      <c r="E122" s="3184"/>
      <c r="F122" s="418"/>
      <c r="G122" s="416"/>
      <c r="H122" s="416"/>
      <c r="I122" s="416"/>
      <c r="J122" s="416"/>
      <c r="K122" s="276"/>
      <c r="L122" s="3184"/>
      <c r="M122" s="418"/>
      <c r="N122" s="416"/>
      <c r="O122" s="416"/>
      <c r="P122" s="416"/>
      <c r="Q122" s="416"/>
      <c r="R122" s="276"/>
      <c r="S122" s="3184"/>
      <c r="T122" s="418"/>
      <c r="U122" s="416"/>
      <c r="V122" s="416"/>
      <c r="W122" s="416"/>
      <c r="X122" s="416"/>
      <c r="Y122" s="417"/>
      <c r="Z122" s="3184"/>
      <c r="AA122" s="418"/>
      <c r="AB122" s="416"/>
      <c r="AC122" s="416"/>
      <c r="AD122" s="416"/>
      <c r="AE122" s="416"/>
      <c r="AF122" s="417"/>
      <c r="AG122" s="3184"/>
      <c r="AH122" s="418"/>
      <c r="AI122" s="416"/>
      <c r="AJ122" s="416"/>
      <c r="AK122" s="416"/>
      <c r="AL122" s="416"/>
      <c r="AM122" s="417"/>
      <c r="AN122" s="3184"/>
      <c r="AO122" s="3189"/>
      <c r="AP122" s="3190"/>
      <c r="AQ122" s="3190"/>
      <c r="AR122" s="3190"/>
      <c r="AS122" s="3190"/>
      <c r="AT122" s="3191"/>
      <c r="AU122" s="4775"/>
      <c r="AV122" s="152"/>
      <c r="AW122" s="4794">
        <f t="shared" si="309"/>
        <v>0</v>
      </c>
      <c r="AX122" s="4794">
        <f t="shared" si="280"/>
        <v>0</v>
      </c>
      <c r="AY122" s="4794">
        <f t="shared" si="281"/>
        <v>0</v>
      </c>
      <c r="AZ122" s="4794">
        <f t="shared" si="282"/>
        <v>0</v>
      </c>
      <c r="BA122" s="4794">
        <f t="shared" si="283"/>
        <v>0</v>
      </c>
      <c r="BB122" s="4794">
        <f t="shared" si="284"/>
        <v>0</v>
      </c>
      <c r="BC122" s="152"/>
      <c r="BD122" s="4794">
        <f t="shared" si="285"/>
        <v>0</v>
      </c>
      <c r="BE122" s="4794">
        <f t="shared" si="286"/>
        <v>0</v>
      </c>
      <c r="BF122" s="4794">
        <f t="shared" si="287"/>
        <v>0</v>
      </c>
      <c r="BG122" s="4794">
        <f t="shared" si="288"/>
        <v>0</v>
      </c>
      <c r="BH122" s="4794">
        <f t="shared" si="289"/>
        <v>0</v>
      </c>
      <c r="BI122" s="4794">
        <f t="shared" si="290"/>
        <v>0</v>
      </c>
      <c r="BJ122" s="152"/>
      <c r="BK122" s="4794">
        <f t="shared" si="291"/>
        <v>0</v>
      </c>
      <c r="BL122" s="4794">
        <f t="shared" si="292"/>
        <v>0</v>
      </c>
      <c r="BM122" s="4794">
        <f t="shared" si="293"/>
        <v>0</v>
      </c>
      <c r="BN122" s="4794">
        <f t="shared" si="294"/>
        <v>0</v>
      </c>
      <c r="BO122" s="4794">
        <f t="shared" si="295"/>
        <v>0</v>
      </c>
      <c r="BP122" s="4794">
        <f t="shared" si="296"/>
        <v>0</v>
      </c>
      <c r="BQ122" s="152"/>
      <c r="BR122" s="4794">
        <f t="shared" si="297"/>
        <v>0</v>
      </c>
      <c r="BS122" s="4794">
        <f t="shared" si="298"/>
        <v>0</v>
      </c>
      <c r="BT122" s="4794">
        <f t="shared" si="299"/>
        <v>0</v>
      </c>
      <c r="BU122" s="4794">
        <f t="shared" si="300"/>
        <v>0</v>
      </c>
      <c r="BV122" s="4794">
        <f t="shared" si="301"/>
        <v>0</v>
      </c>
      <c r="BW122" s="4794">
        <f t="shared" si="302"/>
        <v>0</v>
      </c>
      <c r="BX122" s="152"/>
      <c r="BY122" s="4794">
        <f t="shared" si="303"/>
        <v>0</v>
      </c>
      <c r="BZ122" s="4794">
        <f t="shared" si="304"/>
        <v>0</v>
      </c>
      <c r="CA122" s="4794">
        <f t="shared" si="305"/>
        <v>0</v>
      </c>
      <c r="CB122" s="4794">
        <f t="shared" si="306"/>
        <v>0</v>
      </c>
      <c r="CC122" s="4794">
        <f t="shared" si="307"/>
        <v>0</v>
      </c>
      <c r="CD122" s="4794">
        <f t="shared" si="308"/>
        <v>0</v>
      </c>
    </row>
    <row r="123" spans="1:82" s="44" customFormat="1">
      <c r="A123" s="3138">
        <v>13</v>
      </c>
      <c r="B123" s="3135" t="s">
        <v>699</v>
      </c>
      <c r="C123" s="3137">
        <v>0.02</v>
      </c>
      <c r="D123" s="2715" t="s">
        <v>739</v>
      </c>
      <c r="E123" s="3184"/>
      <c r="F123" s="418"/>
      <c r="G123" s="416"/>
      <c r="H123" s="416"/>
      <c r="I123" s="416"/>
      <c r="J123" s="416"/>
      <c r="K123" s="276"/>
      <c r="L123" s="3184"/>
      <c r="M123" s="418"/>
      <c r="N123" s="416"/>
      <c r="O123" s="416"/>
      <c r="P123" s="416"/>
      <c r="Q123" s="416"/>
      <c r="R123" s="276"/>
      <c r="S123" s="3184"/>
      <c r="T123" s="418"/>
      <c r="U123" s="416"/>
      <c r="V123" s="416"/>
      <c r="W123" s="416"/>
      <c r="X123" s="416"/>
      <c r="Y123" s="417"/>
      <c r="Z123" s="3184"/>
      <c r="AA123" s="418"/>
      <c r="AB123" s="416"/>
      <c r="AC123" s="416"/>
      <c r="AD123" s="416"/>
      <c r="AE123" s="416"/>
      <c r="AF123" s="417"/>
      <c r="AG123" s="3184"/>
      <c r="AH123" s="418"/>
      <c r="AI123" s="416"/>
      <c r="AJ123" s="416"/>
      <c r="AK123" s="416"/>
      <c r="AL123" s="416"/>
      <c r="AM123" s="417"/>
      <c r="AN123" s="3184"/>
      <c r="AO123" s="3189"/>
      <c r="AP123" s="3190"/>
      <c r="AQ123" s="3190"/>
      <c r="AR123" s="3190"/>
      <c r="AS123" s="3190"/>
      <c r="AT123" s="3191"/>
      <c r="AU123" s="4775"/>
      <c r="AV123" s="152"/>
      <c r="AW123" s="4794">
        <f t="shared" si="309"/>
        <v>0</v>
      </c>
      <c r="AX123" s="4794">
        <f t="shared" si="280"/>
        <v>0</v>
      </c>
      <c r="AY123" s="4794">
        <f t="shared" si="281"/>
        <v>0</v>
      </c>
      <c r="AZ123" s="4794">
        <f t="shared" si="282"/>
        <v>0</v>
      </c>
      <c r="BA123" s="4794">
        <f t="shared" si="283"/>
        <v>0</v>
      </c>
      <c r="BB123" s="4794">
        <f t="shared" si="284"/>
        <v>0</v>
      </c>
      <c r="BC123" s="152"/>
      <c r="BD123" s="4794">
        <f t="shared" si="285"/>
        <v>0</v>
      </c>
      <c r="BE123" s="4794">
        <f t="shared" si="286"/>
        <v>0</v>
      </c>
      <c r="BF123" s="4794">
        <f t="shared" si="287"/>
        <v>0</v>
      </c>
      <c r="BG123" s="4794">
        <f t="shared" si="288"/>
        <v>0</v>
      </c>
      <c r="BH123" s="4794">
        <f t="shared" si="289"/>
        <v>0</v>
      </c>
      <c r="BI123" s="4794">
        <f t="shared" si="290"/>
        <v>0</v>
      </c>
      <c r="BJ123" s="152"/>
      <c r="BK123" s="4794">
        <f t="shared" si="291"/>
        <v>0</v>
      </c>
      <c r="BL123" s="4794">
        <f t="shared" si="292"/>
        <v>0</v>
      </c>
      <c r="BM123" s="4794">
        <f t="shared" si="293"/>
        <v>0</v>
      </c>
      <c r="BN123" s="4794">
        <f t="shared" si="294"/>
        <v>0</v>
      </c>
      <c r="BO123" s="4794">
        <f t="shared" si="295"/>
        <v>0</v>
      </c>
      <c r="BP123" s="4794">
        <f t="shared" si="296"/>
        <v>0</v>
      </c>
      <c r="BQ123" s="152"/>
      <c r="BR123" s="4794">
        <f t="shared" si="297"/>
        <v>0</v>
      </c>
      <c r="BS123" s="4794">
        <f t="shared" si="298"/>
        <v>0</v>
      </c>
      <c r="BT123" s="4794">
        <f t="shared" si="299"/>
        <v>0</v>
      </c>
      <c r="BU123" s="4794">
        <f t="shared" si="300"/>
        <v>0</v>
      </c>
      <c r="BV123" s="4794">
        <f t="shared" si="301"/>
        <v>0</v>
      </c>
      <c r="BW123" s="4794">
        <f t="shared" si="302"/>
        <v>0</v>
      </c>
      <c r="BX123" s="152"/>
      <c r="BY123" s="4794">
        <f t="shared" si="303"/>
        <v>0</v>
      </c>
      <c r="BZ123" s="4794">
        <f t="shared" si="304"/>
        <v>0</v>
      </c>
      <c r="CA123" s="4794">
        <f t="shared" si="305"/>
        <v>0</v>
      </c>
      <c r="CB123" s="4794">
        <f t="shared" si="306"/>
        <v>0</v>
      </c>
      <c r="CC123" s="4794">
        <f t="shared" si="307"/>
        <v>0</v>
      </c>
      <c r="CD123" s="4794">
        <f t="shared" si="308"/>
        <v>0</v>
      </c>
    </row>
    <row r="124" spans="1:82" s="44" customFormat="1">
      <c r="A124" s="3138">
        <v>14</v>
      </c>
      <c r="B124" s="3135" t="s">
        <v>700</v>
      </c>
      <c r="C124" s="3137">
        <v>0.02</v>
      </c>
      <c r="D124" s="2715" t="s">
        <v>418</v>
      </c>
      <c r="E124" s="3184"/>
      <c r="F124" s="418"/>
      <c r="G124" s="416"/>
      <c r="H124" s="416"/>
      <c r="I124" s="416"/>
      <c r="J124" s="416"/>
      <c r="K124" s="276"/>
      <c r="L124" s="3184"/>
      <c r="M124" s="418"/>
      <c r="N124" s="416"/>
      <c r="O124" s="416"/>
      <c r="P124" s="416"/>
      <c r="Q124" s="416"/>
      <c r="R124" s="276"/>
      <c r="S124" s="3184"/>
      <c r="T124" s="418"/>
      <c r="U124" s="416"/>
      <c r="V124" s="416"/>
      <c r="W124" s="416"/>
      <c r="X124" s="416"/>
      <c r="Y124" s="417"/>
      <c r="Z124" s="3184"/>
      <c r="AA124" s="418"/>
      <c r="AB124" s="416"/>
      <c r="AC124" s="416"/>
      <c r="AD124" s="416"/>
      <c r="AE124" s="416"/>
      <c r="AF124" s="417"/>
      <c r="AG124" s="3184"/>
      <c r="AH124" s="418"/>
      <c r="AI124" s="416"/>
      <c r="AJ124" s="416"/>
      <c r="AK124" s="416"/>
      <c r="AL124" s="416"/>
      <c r="AM124" s="417"/>
      <c r="AN124" s="3184"/>
      <c r="AO124" s="3189"/>
      <c r="AP124" s="3190"/>
      <c r="AQ124" s="3190"/>
      <c r="AR124" s="3190"/>
      <c r="AS124" s="3190"/>
      <c r="AT124" s="3191"/>
      <c r="AU124" s="4775"/>
      <c r="AV124" s="152"/>
      <c r="AW124" s="4794">
        <f t="shared" si="309"/>
        <v>0</v>
      </c>
      <c r="AX124" s="4794">
        <f t="shared" si="280"/>
        <v>0</v>
      </c>
      <c r="AY124" s="4794">
        <f t="shared" si="281"/>
        <v>0</v>
      </c>
      <c r="AZ124" s="4794">
        <f t="shared" si="282"/>
        <v>0</v>
      </c>
      <c r="BA124" s="4794">
        <f t="shared" si="283"/>
        <v>0</v>
      </c>
      <c r="BB124" s="4794">
        <f t="shared" si="284"/>
        <v>0</v>
      </c>
      <c r="BC124" s="152"/>
      <c r="BD124" s="4794">
        <f t="shared" si="285"/>
        <v>0</v>
      </c>
      <c r="BE124" s="4794">
        <f t="shared" si="286"/>
        <v>0</v>
      </c>
      <c r="BF124" s="4794">
        <f t="shared" si="287"/>
        <v>0</v>
      </c>
      <c r="BG124" s="4794">
        <f t="shared" si="288"/>
        <v>0</v>
      </c>
      <c r="BH124" s="4794">
        <f t="shared" si="289"/>
        <v>0</v>
      </c>
      <c r="BI124" s="4794">
        <f t="shared" si="290"/>
        <v>0</v>
      </c>
      <c r="BJ124" s="152"/>
      <c r="BK124" s="4794">
        <f t="shared" si="291"/>
        <v>0</v>
      </c>
      <c r="BL124" s="4794">
        <f t="shared" si="292"/>
        <v>0</v>
      </c>
      <c r="BM124" s="4794">
        <f t="shared" si="293"/>
        <v>0</v>
      </c>
      <c r="BN124" s="4794">
        <f t="shared" si="294"/>
        <v>0</v>
      </c>
      <c r="BO124" s="4794">
        <f t="shared" si="295"/>
        <v>0</v>
      </c>
      <c r="BP124" s="4794">
        <f t="shared" si="296"/>
        <v>0</v>
      </c>
      <c r="BQ124" s="152"/>
      <c r="BR124" s="4794">
        <f t="shared" si="297"/>
        <v>0</v>
      </c>
      <c r="BS124" s="4794">
        <f t="shared" si="298"/>
        <v>0</v>
      </c>
      <c r="BT124" s="4794">
        <f t="shared" si="299"/>
        <v>0</v>
      </c>
      <c r="BU124" s="4794">
        <f t="shared" si="300"/>
        <v>0</v>
      </c>
      <c r="BV124" s="4794">
        <f t="shared" si="301"/>
        <v>0</v>
      </c>
      <c r="BW124" s="4794">
        <f t="shared" si="302"/>
        <v>0</v>
      </c>
      <c r="BX124" s="152"/>
      <c r="BY124" s="4794">
        <f t="shared" si="303"/>
        <v>0</v>
      </c>
      <c r="BZ124" s="4794">
        <f t="shared" si="304"/>
        <v>0</v>
      </c>
      <c r="CA124" s="4794">
        <f t="shared" si="305"/>
        <v>0</v>
      </c>
      <c r="CB124" s="4794">
        <f t="shared" si="306"/>
        <v>0</v>
      </c>
      <c r="CC124" s="4794">
        <f t="shared" si="307"/>
        <v>0</v>
      </c>
      <c r="CD124" s="4794">
        <f t="shared" si="308"/>
        <v>0</v>
      </c>
    </row>
    <row r="125" spans="1:82" s="44" customFormat="1">
      <c r="A125" s="3138">
        <v>15</v>
      </c>
      <c r="B125" s="3135" t="s">
        <v>701</v>
      </c>
      <c r="C125" s="3137">
        <v>0.02</v>
      </c>
      <c r="D125" s="2714" t="s">
        <v>419</v>
      </c>
      <c r="E125" s="3184"/>
      <c r="F125" s="418"/>
      <c r="G125" s="416"/>
      <c r="H125" s="416"/>
      <c r="I125" s="416"/>
      <c r="J125" s="416"/>
      <c r="K125" s="276"/>
      <c r="L125" s="3184"/>
      <c r="M125" s="418"/>
      <c r="N125" s="416"/>
      <c r="O125" s="416"/>
      <c r="P125" s="416"/>
      <c r="Q125" s="416"/>
      <c r="R125" s="276"/>
      <c r="S125" s="3184"/>
      <c r="T125" s="418"/>
      <c r="U125" s="416"/>
      <c r="V125" s="416"/>
      <c r="W125" s="416"/>
      <c r="X125" s="416"/>
      <c r="Y125" s="417"/>
      <c r="Z125" s="3184"/>
      <c r="AA125" s="418"/>
      <c r="AB125" s="416"/>
      <c r="AC125" s="416"/>
      <c r="AD125" s="416"/>
      <c r="AE125" s="416"/>
      <c r="AF125" s="417"/>
      <c r="AG125" s="3184"/>
      <c r="AH125" s="418"/>
      <c r="AI125" s="416"/>
      <c r="AJ125" s="416"/>
      <c r="AK125" s="416"/>
      <c r="AL125" s="416"/>
      <c r="AM125" s="417"/>
      <c r="AN125" s="3184"/>
      <c r="AO125" s="3189"/>
      <c r="AP125" s="3190"/>
      <c r="AQ125" s="3190"/>
      <c r="AR125" s="3190"/>
      <c r="AS125" s="3190"/>
      <c r="AT125" s="3191"/>
      <c r="AU125" s="4775"/>
      <c r="AV125" s="152"/>
      <c r="AW125" s="4794">
        <f t="shared" si="309"/>
        <v>0</v>
      </c>
      <c r="AX125" s="4794">
        <f t="shared" si="280"/>
        <v>0</v>
      </c>
      <c r="AY125" s="4794">
        <f t="shared" si="281"/>
        <v>0</v>
      </c>
      <c r="AZ125" s="4794">
        <f t="shared" si="282"/>
        <v>0</v>
      </c>
      <c r="BA125" s="4794">
        <f t="shared" si="283"/>
        <v>0</v>
      </c>
      <c r="BB125" s="4794">
        <f t="shared" si="284"/>
        <v>0</v>
      </c>
      <c r="BC125" s="152"/>
      <c r="BD125" s="4794">
        <f t="shared" si="285"/>
        <v>0</v>
      </c>
      <c r="BE125" s="4794">
        <f t="shared" si="286"/>
        <v>0</v>
      </c>
      <c r="BF125" s="4794">
        <f t="shared" si="287"/>
        <v>0</v>
      </c>
      <c r="BG125" s="4794">
        <f t="shared" si="288"/>
        <v>0</v>
      </c>
      <c r="BH125" s="4794">
        <f t="shared" si="289"/>
        <v>0</v>
      </c>
      <c r="BI125" s="4794">
        <f t="shared" si="290"/>
        <v>0</v>
      </c>
      <c r="BJ125" s="152"/>
      <c r="BK125" s="4794">
        <f t="shared" si="291"/>
        <v>0</v>
      </c>
      <c r="BL125" s="4794">
        <f t="shared" si="292"/>
        <v>0</v>
      </c>
      <c r="BM125" s="4794">
        <f t="shared" si="293"/>
        <v>0</v>
      </c>
      <c r="BN125" s="4794">
        <f t="shared" si="294"/>
        <v>0</v>
      </c>
      <c r="BO125" s="4794">
        <f t="shared" si="295"/>
        <v>0</v>
      </c>
      <c r="BP125" s="4794">
        <f t="shared" si="296"/>
        <v>0</v>
      </c>
      <c r="BQ125" s="152"/>
      <c r="BR125" s="4794">
        <f t="shared" si="297"/>
        <v>0</v>
      </c>
      <c r="BS125" s="4794">
        <f t="shared" si="298"/>
        <v>0</v>
      </c>
      <c r="BT125" s="4794">
        <f t="shared" si="299"/>
        <v>0</v>
      </c>
      <c r="BU125" s="4794">
        <f t="shared" si="300"/>
        <v>0</v>
      </c>
      <c r="BV125" s="4794">
        <f t="shared" si="301"/>
        <v>0</v>
      </c>
      <c r="BW125" s="4794">
        <f t="shared" si="302"/>
        <v>0</v>
      </c>
      <c r="BX125" s="152"/>
      <c r="BY125" s="4794">
        <f t="shared" si="303"/>
        <v>0</v>
      </c>
      <c r="BZ125" s="4794">
        <f t="shared" si="304"/>
        <v>0</v>
      </c>
      <c r="CA125" s="4794">
        <f t="shared" si="305"/>
        <v>0</v>
      </c>
      <c r="CB125" s="4794">
        <f t="shared" si="306"/>
        <v>0</v>
      </c>
      <c r="CC125" s="4794">
        <f t="shared" si="307"/>
        <v>0</v>
      </c>
      <c r="CD125" s="4794">
        <f t="shared" si="308"/>
        <v>0</v>
      </c>
    </row>
    <row r="126" spans="1:82" s="44" customFormat="1">
      <c r="A126" s="3138">
        <v>16</v>
      </c>
      <c r="B126" s="3135" t="s">
        <v>702</v>
      </c>
      <c r="C126" s="3137">
        <v>0.02</v>
      </c>
      <c r="D126" s="2715" t="s">
        <v>420</v>
      </c>
      <c r="E126" s="3184"/>
      <c r="F126" s="418"/>
      <c r="G126" s="416"/>
      <c r="H126" s="416"/>
      <c r="I126" s="416"/>
      <c r="J126" s="416"/>
      <c r="K126" s="276"/>
      <c r="L126" s="3184"/>
      <c r="M126" s="418"/>
      <c r="N126" s="416"/>
      <c r="O126" s="416"/>
      <c r="P126" s="416"/>
      <c r="Q126" s="416"/>
      <c r="R126" s="276"/>
      <c r="S126" s="3184"/>
      <c r="T126" s="418"/>
      <c r="U126" s="416"/>
      <c r="V126" s="416"/>
      <c r="W126" s="416"/>
      <c r="X126" s="416"/>
      <c r="Y126" s="417"/>
      <c r="Z126" s="3184"/>
      <c r="AA126" s="418"/>
      <c r="AB126" s="416"/>
      <c r="AC126" s="416"/>
      <c r="AD126" s="416"/>
      <c r="AE126" s="416"/>
      <c r="AF126" s="417"/>
      <c r="AG126" s="3184"/>
      <c r="AH126" s="418"/>
      <c r="AI126" s="416"/>
      <c r="AJ126" s="416"/>
      <c r="AK126" s="416"/>
      <c r="AL126" s="416"/>
      <c r="AM126" s="417"/>
      <c r="AN126" s="3184"/>
      <c r="AO126" s="3189"/>
      <c r="AP126" s="3190"/>
      <c r="AQ126" s="3190"/>
      <c r="AR126" s="3190"/>
      <c r="AS126" s="3190"/>
      <c r="AT126" s="3191"/>
      <c r="AU126" s="4775"/>
      <c r="AV126" s="152"/>
      <c r="AW126" s="4794">
        <f t="shared" si="309"/>
        <v>0</v>
      </c>
      <c r="AX126" s="4794">
        <f t="shared" si="280"/>
        <v>0</v>
      </c>
      <c r="AY126" s="4794">
        <f t="shared" si="281"/>
        <v>0</v>
      </c>
      <c r="AZ126" s="4794">
        <f t="shared" si="282"/>
        <v>0</v>
      </c>
      <c r="BA126" s="4794">
        <f t="shared" si="283"/>
        <v>0</v>
      </c>
      <c r="BB126" s="4794">
        <f t="shared" si="284"/>
        <v>0</v>
      </c>
      <c r="BC126" s="152"/>
      <c r="BD126" s="4794">
        <f t="shared" si="285"/>
        <v>0</v>
      </c>
      <c r="BE126" s="4794">
        <f t="shared" si="286"/>
        <v>0</v>
      </c>
      <c r="BF126" s="4794">
        <f t="shared" si="287"/>
        <v>0</v>
      </c>
      <c r="BG126" s="4794">
        <f t="shared" si="288"/>
        <v>0</v>
      </c>
      <c r="BH126" s="4794">
        <f t="shared" si="289"/>
        <v>0</v>
      </c>
      <c r="BI126" s="4794">
        <f t="shared" si="290"/>
        <v>0</v>
      </c>
      <c r="BJ126" s="152"/>
      <c r="BK126" s="4794">
        <f t="shared" si="291"/>
        <v>0</v>
      </c>
      <c r="BL126" s="4794">
        <f t="shared" si="292"/>
        <v>0</v>
      </c>
      <c r="BM126" s="4794">
        <f t="shared" si="293"/>
        <v>0</v>
      </c>
      <c r="BN126" s="4794">
        <f t="shared" si="294"/>
        <v>0</v>
      </c>
      <c r="BO126" s="4794">
        <f t="shared" si="295"/>
        <v>0</v>
      </c>
      <c r="BP126" s="4794">
        <f t="shared" si="296"/>
        <v>0</v>
      </c>
      <c r="BQ126" s="152"/>
      <c r="BR126" s="4794">
        <f t="shared" si="297"/>
        <v>0</v>
      </c>
      <c r="BS126" s="4794">
        <f t="shared" si="298"/>
        <v>0</v>
      </c>
      <c r="BT126" s="4794">
        <f t="shared" si="299"/>
        <v>0</v>
      </c>
      <c r="BU126" s="4794">
        <f t="shared" si="300"/>
        <v>0</v>
      </c>
      <c r="BV126" s="4794">
        <f t="shared" si="301"/>
        <v>0</v>
      </c>
      <c r="BW126" s="4794">
        <f t="shared" si="302"/>
        <v>0</v>
      </c>
      <c r="BX126" s="152"/>
      <c r="BY126" s="4794">
        <f t="shared" si="303"/>
        <v>0</v>
      </c>
      <c r="BZ126" s="4794">
        <f t="shared" si="304"/>
        <v>0</v>
      </c>
      <c r="CA126" s="4794">
        <f t="shared" si="305"/>
        <v>0</v>
      </c>
      <c r="CB126" s="4794">
        <f t="shared" si="306"/>
        <v>0</v>
      </c>
      <c r="CC126" s="4794">
        <f t="shared" si="307"/>
        <v>0</v>
      </c>
      <c r="CD126" s="4794">
        <f t="shared" si="308"/>
        <v>0</v>
      </c>
    </row>
    <row r="127" spans="1:82" s="44" customFormat="1">
      <c r="A127" s="3138">
        <v>17</v>
      </c>
      <c r="B127" s="3135" t="s">
        <v>703</v>
      </c>
      <c r="C127" s="3137">
        <v>0.02</v>
      </c>
      <c r="D127" s="2720" t="s">
        <v>421</v>
      </c>
      <c r="E127" s="3184"/>
      <c r="F127" s="418"/>
      <c r="G127" s="416"/>
      <c r="H127" s="416"/>
      <c r="I127" s="416"/>
      <c r="J127" s="416"/>
      <c r="K127" s="276"/>
      <c r="L127" s="3184"/>
      <c r="M127" s="418"/>
      <c r="N127" s="416"/>
      <c r="O127" s="416"/>
      <c r="P127" s="416"/>
      <c r="Q127" s="416"/>
      <c r="R127" s="276"/>
      <c r="S127" s="3184"/>
      <c r="T127" s="418"/>
      <c r="U127" s="416"/>
      <c r="V127" s="416"/>
      <c r="W127" s="416"/>
      <c r="X127" s="416"/>
      <c r="Y127" s="417"/>
      <c r="Z127" s="3184"/>
      <c r="AA127" s="418"/>
      <c r="AB127" s="416"/>
      <c r="AC127" s="416"/>
      <c r="AD127" s="416"/>
      <c r="AE127" s="416"/>
      <c r="AF127" s="417"/>
      <c r="AG127" s="3184"/>
      <c r="AH127" s="418"/>
      <c r="AI127" s="416"/>
      <c r="AJ127" s="416"/>
      <c r="AK127" s="416"/>
      <c r="AL127" s="416"/>
      <c r="AM127" s="417"/>
      <c r="AN127" s="3184"/>
      <c r="AO127" s="3189"/>
      <c r="AP127" s="3190"/>
      <c r="AQ127" s="3190"/>
      <c r="AR127" s="3190"/>
      <c r="AS127" s="3190"/>
      <c r="AT127" s="3191"/>
      <c r="AU127" s="4775"/>
      <c r="AV127" s="152"/>
      <c r="AW127" s="4794">
        <f t="shared" si="309"/>
        <v>0</v>
      </c>
      <c r="AX127" s="4794">
        <f t="shared" si="280"/>
        <v>0</v>
      </c>
      <c r="AY127" s="4794">
        <f t="shared" si="281"/>
        <v>0</v>
      </c>
      <c r="AZ127" s="4794">
        <f t="shared" si="282"/>
        <v>0</v>
      </c>
      <c r="BA127" s="4794">
        <f t="shared" si="283"/>
        <v>0</v>
      </c>
      <c r="BB127" s="4794">
        <f t="shared" si="284"/>
        <v>0</v>
      </c>
      <c r="BC127" s="152"/>
      <c r="BD127" s="4794">
        <f t="shared" si="285"/>
        <v>0</v>
      </c>
      <c r="BE127" s="4794">
        <f t="shared" si="286"/>
        <v>0</v>
      </c>
      <c r="BF127" s="4794">
        <f t="shared" si="287"/>
        <v>0</v>
      </c>
      <c r="BG127" s="4794">
        <f t="shared" si="288"/>
        <v>0</v>
      </c>
      <c r="BH127" s="4794">
        <f t="shared" si="289"/>
        <v>0</v>
      </c>
      <c r="BI127" s="4794">
        <f t="shared" si="290"/>
        <v>0</v>
      </c>
      <c r="BJ127" s="152"/>
      <c r="BK127" s="4794">
        <f t="shared" si="291"/>
        <v>0</v>
      </c>
      <c r="BL127" s="4794">
        <f t="shared" si="292"/>
        <v>0</v>
      </c>
      <c r="BM127" s="4794">
        <f t="shared" si="293"/>
        <v>0</v>
      </c>
      <c r="BN127" s="4794">
        <f t="shared" si="294"/>
        <v>0</v>
      </c>
      <c r="BO127" s="4794">
        <f t="shared" si="295"/>
        <v>0</v>
      </c>
      <c r="BP127" s="4794">
        <f t="shared" si="296"/>
        <v>0</v>
      </c>
      <c r="BQ127" s="152"/>
      <c r="BR127" s="4794">
        <f t="shared" si="297"/>
        <v>0</v>
      </c>
      <c r="BS127" s="4794">
        <f t="shared" si="298"/>
        <v>0</v>
      </c>
      <c r="BT127" s="4794">
        <f t="shared" si="299"/>
        <v>0</v>
      </c>
      <c r="BU127" s="4794">
        <f t="shared" si="300"/>
        <v>0</v>
      </c>
      <c r="BV127" s="4794">
        <f t="shared" si="301"/>
        <v>0</v>
      </c>
      <c r="BW127" s="4794">
        <f t="shared" si="302"/>
        <v>0</v>
      </c>
      <c r="BX127" s="152"/>
      <c r="BY127" s="4794">
        <f t="shared" si="303"/>
        <v>0</v>
      </c>
      <c r="BZ127" s="4794">
        <f t="shared" si="304"/>
        <v>0</v>
      </c>
      <c r="CA127" s="4794">
        <f t="shared" si="305"/>
        <v>0</v>
      </c>
      <c r="CB127" s="4794">
        <f t="shared" si="306"/>
        <v>0</v>
      </c>
      <c r="CC127" s="4794">
        <f t="shared" si="307"/>
        <v>0</v>
      </c>
      <c r="CD127" s="4794">
        <f t="shared" si="308"/>
        <v>0</v>
      </c>
    </row>
    <row r="128" spans="1:82" s="44" customFormat="1" ht="24">
      <c r="A128" s="3138">
        <v>18</v>
      </c>
      <c r="B128" s="3135" t="s">
        <v>704</v>
      </c>
      <c r="C128" s="3137">
        <v>0.04</v>
      </c>
      <c r="D128" s="2720" t="s">
        <v>422</v>
      </c>
      <c r="E128" s="3184"/>
      <c r="F128" s="418"/>
      <c r="G128" s="416"/>
      <c r="H128" s="416"/>
      <c r="I128" s="416"/>
      <c r="J128" s="416"/>
      <c r="K128" s="276"/>
      <c r="L128" s="3184"/>
      <c r="M128" s="418"/>
      <c r="N128" s="416"/>
      <c r="O128" s="416"/>
      <c r="P128" s="416"/>
      <c r="Q128" s="416"/>
      <c r="R128" s="276"/>
      <c r="S128" s="3184"/>
      <c r="T128" s="418"/>
      <c r="U128" s="416"/>
      <c r="V128" s="416"/>
      <c r="W128" s="416"/>
      <c r="X128" s="416"/>
      <c r="Y128" s="417"/>
      <c r="Z128" s="3184"/>
      <c r="AA128" s="418"/>
      <c r="AB128" s="416"/>
      <c r="AC128" s="416"/>
      <c r="AD128" s="416"/>
      <c r="AE128" s="416"/>
      <c r="AF128" s="417"/>
      <c r="AG128" s="3184"/>
      <c r="AH128" s="418"/>
      <c r="AI128" s="416"/>
      <c r="AJ128" s="416"/>
      <c r="AK128" s="416"/>
      <c r="AL128" s="416"/>
      <c r="AM128" s="417"/>
      <c r="AN128" s="3184"/>
      <c r="AO128" s="3189"/>
      <c r="AP128" s="3190"/>
      <c r="AQ128" s="3190"/>
      <c r="AR128" s="3190"/>
      <c r="AS128" s="3190"/>
      <c r="AT128" s="3191"/>
      <c r="AU128" s="4775"/>
      <c r="AV128" s="152"/>
      <c r="AW128" s="4794">
        <f t="shared" si="309"/>
        <v>0</v>
      </c>
      <c r="AX128" s="4794">
        <f t="shared" si="280"/>
        <v>0</v>
      </c>
      <c r="AY128" s="4794">
        <f t="shared" si="281"/>
        <v>0</v>
      </c>
      <c r="AZ128" s="4794">
        <f t="shared" si="282"/>
        <v>0</v>
      </c>
      <c r="BA128" s="4794">
        <f t="shared" si="283"/>
        <v>0</v>
      </c>
      <c r="BB128" s="4794">
        <f t="shared" si="284"/>
        <v>0</v>
      </c>
      <c r="BC128" s="152"/>
      <c r="BD128" s="4794">
        <f t="shared" si="285"/>
        <v>0</v>
      </c>
      <c r="BE128" s="4794">
        <f t="shared" si="286"/>
        <v>0</v>
      </c>
      <c r="BF128" s="4794">
        <f t="shared" si="287"/>
        <v>0</v>
      </c>
      <c r="BG128" s="4794">
        <f t="shared" si="288"/>
        <v>0</v>
      </c>
      <c r="BH128" s="4794">
        <f t="shared" si="289"/>
        <v>0</v>
      </c>
      <c r="BI128" s="4794">
        <f t="shared" si="290"/>
        <v>0</v>
      </c>
      <c r="BJ128" s="152"/>
      <c r="BK128" s="4794">
        <f t="shared" si="291"/>
        <v>0</v>
      </c>
      <c r="BL128" s="4794">
        <f t="shared" si="292"/>
        <v>0</v>
      </c>
      <c r="BM128" s="4794">
        <f t="shared" si="293"/>
        <v>0</v>
      </c>
      <c r="BN128" s="4794">
        <f t="shared" si="294"/>
        <v>0</v>
      </c>
      <c r="BO128" s="4794">
        <f t="shared" si="295"/>
        <v>0</v>
      </c>
      <c r="BP128" s="4794">
        <f t="shared" si="296"/>
        <v>0</v>
      </c>
      <c r="BQ128" s="152"/>
      <c r="BR128" s="4794">
        <f t="shared" si="297"/>
        <v>0</v>
      </c>
      <c r="BS128" s="4794">
        <f t="shared" si="298"/>
        <v>0</v>
      </c>
      <c r="BT128" s="4794">
        <f t="shared" si="299"/>
        <v>0</v>
      </c>
      <c r="BU128" s="4794">
        <f t="shared" si="300"/>
        <v>0</v>
      </c>
      <c r="BV128" s="4794">
        <f t="shared" si="301"/>
        <v>0</v>
      </c>
      <c r="BW128" s="4794">
        <f t="shared" si="302"/>
        <v>0</v>
      </c>
      <c r="BX128" s="152"/>
      <c r="BY128" s="4794">
        <f t="shared" si="303"/>
        <v>0</v>
      </c>
      <c r="BZ128" s="4794">
        <f t="shared" si="304"/>
        <v>0</v>
      </c>
      <c r="CA128" s="4794">
        <f t="shared" si="305"/>
        <v>0</v>
      </c>
      <c r="CB128" s="4794">
        <f t="shared" si="306"/>
        <v>0</v>
      </c>
      <c r="CC128" s="4794">
        <f t="shared" si="307"/>
        <v>0</v>
      </c>
      <c r="CD128" s="4794">
        <f t="shared" si="308"/>
        <v>0</v>
      </c>
    </row>
    <row r="129" spans="1:82" s="44" customFormat="1">
      <c r="A129" s="3138">
        <v>19</v>
      </c>
      <c r="B129" s="3135" t="s">
        <v>705</v>
      </c>
      <c r="C129" s="3137">
        <v>0.04</v>
      </c>
      <c r="D129" s="2720" t="s">
        <v>423</v>
      </c>
      <c r="E129" s="3184"/>
      <c r="F129" s="418"/>
      <c r="G129" s="416"/>
      <c r="H129" s="416"/>
      <c r="I129" s="416"/>
      <c r="J129" s="416"/>
      <c r="K129" s="276"/>
      <c r="L129" s="3184"/>
      <c r="M129" s="418"/>
      <c r="N129" s="416"/>
      <c r="O129" s="416"/>
      <c r="P129" s="416"/>
      <c r="Q129" s="416"/>
      <c r="R129" s="276"/>
      <c r="S129" s="3184"/>
      <c r="T129" s="418"/>
      <c r="U129" s="416"/>
      <c r="V129" s="416"/>
      <c r="W129" s="416"/>
      <c r="X129" s="416"/>
      <c r="Y129" s="417"/>
      <c r="Z129" s="3184"/>
      <c r="AA129" s="418"/>
      <c r="AB129" s="416"/>
      <c r="AC129" s="416"/>
      <c r="AD129" s="416"/>
      <c r="AE129" s="416"/>
      <c r="AF129" s="417"/>
      <c r="AG129" s="3184"/>
      <c r="AH129" s="418"/>
      <c r="AI129" s="416"/>
      <c r="AJ129" s="416"/>
      <c r="AK129" s="416"/>
      <c r="AL129" s="416"/>
      <c r="AM129" s="417"/>
      <c r="AN129" s="3184"/>
      <c r="AO129" s="3189"/>
      <c r="AP129" s="3190"/>
      <c r="AQ129" s="3190"/>
      <c r="AR129" s="3190"/>
      <c r="AS129" s="3190"/>
      <c r="AT129" s="3191"/>
      <c r="AU129" s="4775"/>
      <c r="AV129" s="152"/>
      <c r="AW129" s="4794">
        <f t="shared" si="309"/>
        <v>0</v>
      </c>
      <c r="AX129" s="4794">
        <f t="shared" si="280"/>
        <v>0</v>
      </c>
      <c r="AY129" s="4794">
        <f t="shared" si="281"/>
        <v>0</v>
      </c>
      <c r="AZ129" s="4794">
        <f t="shared" si="282"/>
        <v>0</v>
      </c>
      <c r="BA129" s="4794">
        <f t="shared" si="283"/>
        <v>0</v>
      </c>
      <c r="BB129" s="4794">
        <f t="shared" si="284"/>
        <v>0</v>
      </c>
      <c r="BC129" s="152"/>
      <c r="BD129" s="4794">
        <f t="shared" si="285"/>
        <v>0</v>
      </c>
      <c r="BE129" s="4794">
        <f t="shared" si="286"/>
        <v>0</v>
      </c>
      <c r="BF129" s="4794">
        <f t="shared" si="287"/>
        <v>0</v>
      </c>
      <c r="BG129" s="4794">
        <f t="shared" si="288"/>
        <v>0</v>
      </c>
      <c r="BH129" s="4794">
        <f t="shared" si="289"/>
        <v>0</v>
      </c>
      <c r="BI129" s="4794">
        <f t="shared" si="290"/>
        <v>0</v>
      </c>
      <c r="BJ129" s="152"/>
      <c r="BK129" s="4794">
        <f t="shared" si="291"/>
        <v>0</v>
      </c>
      <c r="BL129" s="4794">
        <f t="shared" si="292"/>
        <v>0</v>
      </c>
      <c r="BM129" s="4794">
        <f t="shared" si="293"/>
        <v>0</v>
      </c>
      <c r="BN129" s="4794">
        <f t="shared" si="294"/>
        <v>0</v>
      </c>
      <c r="BO129" s="4794">
        <f t="shared" si="295"/>
        <v>0</v>
      </c>
      <c r="BP129" s="4794">
        <f t="shared" si="296"/>
        <v>0</v>
      </c>
      <c r="BQ129" s="152"/>
      <c r="BR129" s="4794">
        <f t="shared" si="297"/>
        <v>0</v>
      </c>
      <c r="BS129" s="4794">
        <f t="shared" si="298"/>
        <v>0</v>
      </c>
      <c r="BT129" s="4794">
        <f t="shared" si="299"/>
        <v>0</v>
      </c>
      <c r="BU129" s="4794">
        <f t="shared" si="300"/>
        <v>0</v>
      </c>
      <c r="BV129" s="4794">
        <f t="shared" si="301"/>
        <v>0</v>
      </c>
      <c r="BW129" s="4794">
        <f t="shared" si="302"/>
        <v>0</v>
      </c>
      <c r="BX129" s="152"/>
      <c r="BY129" s="4794">
        <f t="shared" si="303"/>
        <v>0</v>
      </c>
      <c r="BZ129" s="4794">
        <f t="shared" si="304"/>
        <v>0</v>
      </c>
      <c r="CA129" s="4794">
        <f t="shared" si="305"/>
        <v>0</v>
      </c>
      <c r="CB129" s="4794">
        <f t="shared" si="306"/>
        <v>0</v>
      </c>
      <c r="CC129" s="4794">
        <f t="shared" si="307"/>
        <v>0</v>
      </c>
      <c r="CD129" s="4794">
        <f t="shared" si="308"/>
        <v>0</v>
      </c>
    </row>
    <row r="130" spans="1:82" s="44" customFormat="1">
      <c r="A130" s="3138">
        <v>20</v>
      </c>
      <c r="B130" s="3135" t="s">
        <v>717</v>
      </c>
      <c r="C130" s="3137">
        <v>0.04</v>
      </c>
      <c r="D130" s="3136" t="s">
        <v>434</v>
      </c>
      <c r="E130" s="3184"/>
      <c r="F130" s="418"/>
      <c r="G130" s="416"/>
      <c r="H130" s="416"/>
      <c r="I130" s="416"/>
      <c r="J130" s="416"/>
      <c r="K130" s="276"/>
      <c r="L130" s="3184"/>
      <c r="M130" s="418"/>
      <c r="N130" s="416"/>
      <c r="O130" s="416"/>
      <c r="P130" s="416"/>
      <c r="Q130" s="416"/>
      <c r="R130" s="276"/>
      <c r="S130" s="3184"/>
      <c r="T130" s="418"/>
      <c r="U130" s="416"/>
      <c r="V130" s="416"/>
      <c r="W130" s="416"/>
      <c r="X130" s="416"/>
      <c r="Y130" s="417"/>
      <c r="Z130" s="3184"/>
      <c r="AA130" s="418"/>
      <c r="AB130" s="416"/>
      <c r="AC130" s="416"/>
      <c r="AD130" s="416"/>
      <c r="AE130" s="416"/>
      <c r="AF130" s="417"/>
      <c r="AG130" s="3184"/>
      <c r="AH130" s="418"/>
      <c r="AI130" s="416"/>
      <c r="AJ130" s="416"/>
      <c r="AK130" s="416"/>
      <c r="AL130" s="416"/>
      <c r="AM130" s="417"/>
      <c r="AN130" s="3184"/>
      <c r="AO130" s="3189"/>
      <c r="AP130" s="3190"/>
      <c r="AQ130" s="3190"/>
      <c r="AR130" s="3190"/>
      <c r="AS130" s="3190"/>
      <c r="AT130" s="3191"/>
      <c r="AU130" s="4775"/>
      <c r="AV130" s="152"/>
      <c r="AW130" s="4794">
        <f t="shared" si="309"/>
        <v>0</v>
      </c>
      <c r="AX130" s="4794">
        <f t="shared" si="280"/>
        <v>0</v>
      </c>
      <c r="AY130" s="4794">
        <f t="shared" si="281"/>
        <v>0</v>
      </c>
      <c r="AZ130" s="4794">
        <f t="shared" si="282"/>
        <v>0</v>
      </c>
      <c r="BA130" s="4794">
        <f t="shared" si="283"/>
        <v>0</v>
      </c>
      <c r="BB130" s="4794">
        <f t="shared" si="284"/>
        <v>0</v>
      </c>
      <c r="BC130" s="152"/>
      <c r="BD130" s="4794">
        <f t="shared" si="285"/>
        <v>0</v>
      </c>
      <c r="BE130" s="4794">
        <f t="shared" si="286"/>
        <v>0</v>
      </c>
      <c r="BF130" s="4794">
        <f t="shared" si="287"/>
        <v>0</v>
      </c>
      <c r="BG130" s="4794">
        <f t="shared" si="288"/>
        <v>0</v>
      </c>
      <c r="BH130" s="4794">
        <f t="shared" si="289"/>
        <v>0</v>
      </c>
      <c r="BI130" s="4794">
        <f t="shared" si="290"/>
        <v>0</v>
      </c>
      <c r="BJ130" s="152"/>
      <c r="BK130" s="4794">
        <f t="shared" si="291"/>
        <v>0</v>
      </c>
      <c r="BL130" s="4794">
        <f t="shared" si="292"/>
        <v>0</v>
      </c>
      <c r="BM130" s="4794">
        <f t="shared" si="293"/>
        <v>0</v>
      </c>
      <c r="BN130" s="4794">
        <f t="shared" si="294"/>
        <v>0</v>
      </c>
      <c r="BO130" s="4794">
        <f t="shared" si="295"/>
        <v>0</v>
      </c>
      <c r="BP130" s="4794">
        <f t="shared" si="296"/>
        <v>0</v>
      </c>
      <c r="BQ130" s="152"/>
      <c r="BR130" s="4794">
        <f t="shared" si="297"/>
        <v>0</v>
      </c>
      <c r="BS130" s="4794">
        <f t="shared" si="298"/>
        <v>0</v>
      </c>
      <c r="BT130" s="4794">
        <f t="shared" si="299"/>
        <v>0</v>
      </c>
      <c r="BU130" s="4794">
        <f t="shared" si="300"/>
        <v>0</v>
      </c>
      <c r="BV130" s="4794">
        <f t="shared" si="301"/>
        <v>0</v>
      </c>
      <c r="BW130" s="4794">
        <f t="shared" si="302"/>
        <v>0</v>
      </c>
      <c r="BX130" s="152"/>
      <c r="BY130" s="4794">
        <f t="shared" si="303"/>
        <v>0</v>
      </c>
      <c r="BZ130" s="4794">
        <f t="shared" si="304"/>
        <v>0</v>
      </c>
      <c r="CA130" s="4794">
        <f t="shared" si="305"/>
        <v>0</v>
      </c>
      <c r="CB130" s="4794">
        <f t="shared" si="306"/>
        <v>0</v>
      </c>
      <c r="CC130" s="4794">
        <f t="shared" si="307"/>
        <v>0</v>
      </c>
      <c r="CD130" s="4794">
        <f t="shared" si="308"/>
        <v>0</v>
      </c>
    </row>
    <row r="131" spans="1:82" s="44" customFormat="1" ht="24.75" thickBot="1">
      <c r="A131" s="3138">
        <v>21</v>
      </c>
      <c r="B131" s="3135" t="s">
        <v>707</v>
      </c>
      <c r="C131" s="3063">
        <v>0.2</v>
      </c>
      <c r="D131" s="2720" t="s">
        <v>679</v>
      </c>
      <c r="E131" s="3184"/>
      <c r="F131" s="418"/>
      <c r="G131" s="416"/>
      <c r="H131" s="416"/>
      <c r="I131" s="416"/>
      <c r="J131" s="416"/>
      <c r="K131" s="276"/>
      <c r="L131" s="3184"/>
      <c r="M131" s="418"/>
      <c r="N131" s="416"/>
      <c r="O131" s="416"/>
      <c r="P131" s="416"/>
      <c r="Q131" s="416"/>
      <c r="R131" s="276"/>
      <c r="S131" s="3184"/>
      <c r="T131" s="418"/>
      <c r="U131" s="416"/>
      <c r="V131" s="416"/>
      <c r="W131" s="416"/>
      <c r="X131" s="416"/>
      <c r="Y131" s="417"/>
      <c r="Z131" s="3184"/>
      <c r="AA131" s="418"/>
      <c r="AB131" s="416"/>
      <c r="AC131" s="416"/>
      <c r="AD131" s="416"/>
      <c r="AE131" s="416"/>
      <c r="AF131" s="417"/>
      <c r="AG131" s="3184"/>
      <c r="AH131" s="418"/>
      <c r="AI131" s="416"/>
      <c r="AJ131" s="416"/>
      <c r="AK131" s="416"/>
      <c r="AL131" s="416"/>
      <c r="AM131" s="417"/>
      <c r="AN131" s="3192"/>
      <c r="AO131" s="3193"/>
      <c r="AP131" s="3194"/>
      <c r="AQ131" s="3194"/>
      <c r="AR131" s="3194"/>
      <c r="AS131" s="3194"/>
      <c r="AT131" s="3195"/>
      <c r="AU131" s="4775"/>
      <c r="AV131" s="152"/>
      <c r="AW131" s="4794">
        <f t="shared" si="309"/>
        <v>0</v>
      </c>
      <c r="AX131" s="4794">
        <f t="shared" si="280"/>
        <v>0</v>
      </c>
      <c r="AY131" s="4794">
        <f t="shared" si="281"/>
        <v>0</v>
      </c>
      <c r="AZ131" s="4794">
        <f t="shared" si="282"/>
        <v>0</v>
      </c>
      <c r="BA131" s="4794">
        <f t="shared" si="283"/>
        <v>0</v>
      </c>
      <c r="BB131" s="4794">
        <f t="shared" si="284"/>
        <v>0</v>
      </c>
      <c r="BC131" s="152"/>
      <c r="BD131" s="4794">
        <f t="shared" si="285"/>
        <v>0</v>
      </c>
      <c r="BE131" s="4794">
        <f t="shared" si="286"/>
        <v>0</v>
      </c>
      <c r="BF131" s="4794">
        <f t="shared" si="287"/>
        <v>0</v>
      </c>
      <c r="BG131" s="4794">
        <f t="shared" si="288"/>
        <v>0</v>
      </c>
      <c r="BH131" s="4794">
        <f t="shared" si="289"/>
        <v>0</v>
      </c>
      <c r="BI131" s="4794">
        <f t="shared" si="290"/>
        <v>0</v>
      </c>
      <c r="BJ131" s="152"/>
      <c r="BK131" s="4794">
        <f t="shared" si="291"/>
        <v>0</v>
      </c>
      <c r="BL131" s="4794">
        <f t="shared" si="292"/>
        <v>0</v>
      </c>
      <c r="BM131" s="4794">
        <f t="shared" si="293"/>
        <v>0</v>
      </c>
      <c r="BN131" s="4794">
        <f t="shared" si="294"/>
        <v>0</v>
      </c>
      <c r="BO131" s="4794">
        <f t="shared" si="295"/>
        <v>0</v>
      </c>
      <c r="BP131" s="4794">
        <f t="shared" si="296"/>
        <v>0</v>
      </c>
      <c r="BQ131" s="152"/>
      <c r="BR131" s="4794">
        <f t="shared" si="297"/>
        <v>0</v>
      </c>
      <c r="BS131" s="4794">
        <f t="shared" si="298"/>
        <v>0</v>
      </c>
      <c r="BT131" s="4794">
        <f t="shared" si="299"/>
        <v>0</v>
      </c>
      <c r="BU131" s="4794">
        <f t="shared" si="300"/>
        <v>0</v>
      </c>
      <c r="BV131" s="4794">
        <f t="shared" si="301"/>
        <v>0</v>
      </c>
      <c r="BW131" s="4794">
        <f t="shared" si="302"/>
        <v>0</v>
      </c>
      <c r="BX131" s="152"/>
      <c r="BY131" s="4794">
        <f t="shared" si="303"/>
        <v>0</v>
      </c>
      <c r="BZ131" s="4794">
        <f t="shared" si="304"/>
        <v>0</v>
      </c>
      <c r="CA131" s="4794">
        <f t="shared" si="305"/>
        <v>0</v>
      </c>
      <c r="CB131" s="4794">
        <f t="shared" si="306"/>
        <v>0</v>
      </c>
      <c r="CC131" s="4794">
        <f t="shared" si="307"/>
        <v>0</v>
      </c>
      <c r="CD131" s="4794">
        <f t="shared" si="308"/>
        <v>0</v>
      </c>
    </row>
    <row r="132" spans="1:82" s="44" customFormat="1" ht="30" customHeight="1" thickBot="1">
      <c r="A132" s="3005" t="s">
        <v>465</v>
      </c>
      <c r="B132" s="3006"/>
      <c r="C132" s="3006"/>
      <c r="D132" s="3140" t="s">
        <v>1054</v>
      </c>
      <c r="E132" s="3010">
        <f>SUM(E133:E153)</f>
        <v>0</v>
      </c>
      <c r="F132" s="3007">
        <f>SUM(F133:F153)</f>
        <v>0</v>
      </c>
      <c r="G132" s="3008">
        <f t="shared" ref="G132:AT132" si="310">SUM(G133:G153)</f>
        <v>0</v>
      </c>
      <c r="H132" s="3008">
        <f t="shared" si="310"/>
        <v>0</v>
      </c>
      <c r="I132" s="3008">
        <f t="shared" si="310"/>
        <v>0</v>
      </c>
      <c r="J132" s="3008">
        <f t="shared" si="310"/>
        <v>0</v>
      </c>
      <c r="K132" s="3009">
        <f t="shared" si="310"/>
        <v>0</v>
      </c>
      <c r="L132" s="3010">
        <f t="shared" si="310"/>
        <v>0</v>
      </c>
      <c r="M132" s="3007">
        <f t="shared" si="310"/>
        <v>0</v>
      </c>
      <c r="N132" s="3008">
        <f t="shared" si="310"/>
        <v>0</v>
      </c>
      <c r="O132" s="3008">
        <f t="shared" si="310"/>
        <v>0</v>
      </c>
      <c r="P132" s="3008">
        <f t="shared" si="310"/>
        <v>0</v>
      </c>
      <c r="Q132" s="3008">
        <f t="shared" si="310"/>
        <v>0</v>
      </c>
      <c r="R132" s="3011">
        <f t="shared" si="310"/>
        <v>0</v>
      </c>
      <c r="S132" s="3010">
        <f t="shared" si="310"/>
        <v>0</v>
      </c>
      <c r="T132" s="3007">
        <f t="shared" si="310"/>
        <v>0</v>
      </c>
      <c r="U132" s="3008">
        <f t="shared" si="310"/>
        <v>0</v>
      </c>
      <c r="V132" s="3008">
        <f t="shared" si="310"/>
        <v>0</v>
      </c>
      <c r="W132" s="3008">
        <f t="shared" si="310"/>
        <v>0</v>
      </c>
      <c r="X132" s="3008">
        <f t="shared" si="310"/>
        <v>0</v>
      </c>
      <c r="Y132" s="3011">
        <f t="shared" si="310"/>
        <v>0</v>
      </c>
      <c r="Z132" s="3010">
        <f t="shared" si="310"/>
        <v>0</v>
      </c>
      <c r="AA132" s="3007">
        <f t="shared" si="310"/>
        <v>0</v>
      </c>
      <c r="AB132" s="3008">
        <f t="shared" si="310"/>
        <v>0</v>
      </c>
      <c r="AC132" s="3008">
        <f t="shared" si="310"/>
        <v>0</v>
      </c>
      <c r="AD132" s="3008">
        <f t="shared" si="310"/>
        <v>0</v>
      </c>
      <c r="AE132" s="3008">
        <f t="shared" si="310"/>
        <v>0</v>
      </c>
      <c r="AF132" s="3011">
        <f t="shared" si="310"/>
        <v>0</v>
      </c>
      <c r="AG132" s="3010">
        <f t="shared" si="310"/>
        <v>0</v>
      </c>
      <c r="AH132" s="3007">
        <f t="shared" si="310"/>
        <v>0</v>
      </c>
      <c r="AI132" s="3008">
        <f t="shared" si="310"/>
        <v>0</v>
      </c>
      <c r="AJ132" s="3008">
        <f t="shared" si="310"/>
        <v>0</v>
      </c>
      <c r="AK132" s="3008">
        <f t="shared" si="310"/>
        <v>0</v>
      </c>
      <c r="AL132" s="3008">
        <f t="shared" si="310"/>
        <v>0</v>
      </c>
      <c r="AM132" s="3011">
        <f t="shared" si="310"/>
        <v>0</v>
      </c>
      <c r="AN132" s="3010">
        <f t="shared" si="310"/>
        <v>0</v>
      </c>
      <c r="AO132" s="3007">
        <f t="shared" si="310"/>
        <v>0</v>
      </c>
      <c r="AP132" s="3008">
        <f t="shared" si="310"/>
        <v>0</v>
      </c>
      <c r="AQ132" s="3008">
        <f t="shared" si="310"/>
        <v>0</v>
      </c>
      <c r="AR132" s="3008">
        <f t="shared" si="310"/>
        <v>0</v>
      </c>
      <c r="AS132" s="3008">
        <f t="shared" si="310"/>
        <v>0</v>
      </c>
      <c r="AT132" s="3011">
        <f t="shared" si="310"/>
        <v>0</v>
      </c>
      <c r="AU132" s="4775"/>
      <c r="AV132" s="152"/>
      <c r="AW132" s="4794">
        <f t="shared" si="309"/>
        <v>0</v>
      </c>
      <c r="AX132" s="4794">
        <f t="shared" si="280"/>
        <v>0</v>
      </c>
      <c r="AY132" s="4794">
        <f t="shared" si="281"/>
        <v>0</v>
      </c>
      <c r="AZ132" s="4794">
        <f t="shared" si="282"/>
        <v>0</v>
      </c>
      <c r="BA132" s="4794">
        <f t="shared" si="283"/>
        <v>0</v>
      </c>
      <c r="BB132" s="4794">
        <f t="shared" si="284"/>
        <v>0</v>
      </c>
      <c r="BC132" s="152"/>
      <c r="BD132" s="4794">
        <f t="shared" si="285"/>
        <v>0</v>
      </c>
      <c r="BE132" s="4794">
        <f t="shared" si="286"/>
        <v>0</v>
      </c>
      <c r="BF132" s="4794">
        <f t="shared" si="287"/>
        <v>0</v>
      </c>
      <c r="BG132" s="4794">
        <f t="shared" si="288"/>
        <v>0</v>
      </c>
      <c r="BH132" s="4794">
        <f t="shared" si="289"/>
        <v>0</v>
      </c>
      <c r="BI132" s="4794">
        <f t="shared" si="290"/>
        <v>0</v>
      </c>
      <c r="BJ132" s="152"/>
      <c r="BK132" s="4794">
        <f t="shared" si="291"/>
        <v>0</v>
      </c>
      <c r="BL132" s="4794">
        <f t="shared" si="292"/>
        <v>0</v>
      </c>
      <c r="BM132" s="4794">
        <f t="shared" si="293"/>
        <v>0</v>
      </c>
      <c r="BN132" s="4794">
        <f t="shared" si="294"/>
        <v>0</v>
      </c>
      <c r="BO132" s="4794">
        <f t="shared" si="295"/>
        <v>0</v>
      </c>
      <c r="BP132" s="4794">
        <f t="shared" si="296"/>
        <v>0</v>
      </c>
      <c r="BQ132" s="152"/>
      <c r="BR132" s="4794">
        <f t="shared" si="297"/>
        <v>0</v>
      </c>
      <c r="BS132" s="4794">
        <f t="shared" si="298"/>
        <v>0</v>
      </c>
      <c r="BT132" s="4794">
        <f t="shared" si="299"/>
        <v>0</v>
      </c>
      <c r="BU132" s="4794">
        <f t="shared" si="300"/>
        <v>0</v>
      </c>
      <c r="BV132" s="4794">
        <f t="shared" si="301"/>
        <v>0</v>
      </c>
      <c r="BW132" s="4794">
        <f t="shared" si="302"/>
        <v>0</v>
      </c>
      <c r="BX132" s="152"/>
      <c r="BY132" s="4794">
        <f t="shared" si="303"/>
        <v>0</v>
      </c>
      <c r="BZ132" s="4794">
        <f t="shared" si="304"/>
        <v>0</v>
      </c>
      <c r="CA132" s="4794">
        <f t="shared" si="305"/>
        <v>0</v>
      </c>
      <c r="CB132" s="4794">
        <f t="shared" si="306"/>
        <v>0</v>
      </c>
      <c r="CC132" s="4794">
        <f t="shared" si="307"/>
        <v>0</v>
      </c>
      <c r="CD132" s="4794">
        <f t="shared" si="308"/>
        <v>0</v>
      </c>
    </row>
    <row r="133" spans="1:82" s="44" customFormat="1">
      <c r="A133" s="3132">
        <v>1</v>
      </c>
      <c r="B133" s="3133" t="s">
        <v>696</v>
      </c>
      <c r="C133" s="3134">
        <v>0</v>
      </c>
      <c r="D133" s="2714" t="s">
        <v>558</v>
      </c>
      <c r="E133" s="3184"/>
      <c r="F133" s="418"/>
      <c r="G133" s="416"/>
      <c r="H133" s="416"/>
      <c r="I133" s="416"/>
      <c r="J133" s="416"/>
      <c r="K133" s="276"/>
      <c r="L133" s="3184"/>
      <c r="M133" s="418"/>
      <c r="N133" s="416"/>
      <c r="O133" s="416"/>
      <c r="P133" s="416"/>
      <c r="Q133" s="416"/>
      <c r="R133" s="276"/>
      <c r="S133" s="3184"/>
      <c r="T133" s="418"/>
      <c r="U133" s="416"/>
      <c r="V133" s="416"/>
      <c r="W133" s="416"/>
      <c r="X133" s="416"/>
      <c r="Y133" s="417"/>
      <c r="Z133" s="3184"/>
      <c r="AA133" s="418"/>
      <c r="AB133" s="416"/>
      <c r="AC133" s="416"/>
      <c r="AD133" s="416"/>
      <c r="AE133" s="416"/>
      <c r="AF133" s="417"/>
      <c r="AG133" s="3184"/>
      <c r="AH133" s="418"/>
      <c r="AI133" s="416"/>
      <c r="AJ133" s="416"/>
      <c r="AK133" s="416"/>
      <c r="AL133" s="416"/>
      <c r="AM133" s="417"/>
      <c r="AN133" s="3185"/>
      <c r="AO133" s="3186"/>
      <c r="AP133" s="3187"/>
      <c r="AQ133" s="3187"/>
      <c r="AR133" s="3187"/>
      <c r="AS133" s="3187"/>
      <c r="AT133" s="3188"/>
      <c r="AU133" s="4775"/>
      <c r="AV133" s="152"/>
      <c r="AW133" s="4794">
        <f t="shared" si="309"/>
        <v>0</v>
      </c>
      <c r="AX133" s="4794">
        <f t="shared" si="280"/>
        <v>0</v>
      </c>
      <c r="AY133" s="4794">
        <f t="shared" si="281"/>
        <v>0</v>
      </c>
      <c r="AZ133" s="4794">
        <f t="shared" si="282"/>
        <v>0</v>
      </c>
      <c r="BA133" s="4794">
        <f t="shared" si="283"/>
        <v>0</v>
      </c>
      <c r="BB133" s="4794">
        <f t="shared" si="284"/>
        <v>0</v>
      </c>
      <c r="BC133" s="152"/>
      <c r="BD133" s="4794">
        <f t="shared" si="285"/>
        <v>0</v>
      </c>
      <c r="BE133" s="4794">
        <f t="shared" si="286"/>
        <v>0</v>
      </c>
      <c r="BF133" s="4794">
        <f t="shared" si="287"/>
        <v>0</v>
      </c>
      <c r="BG133" s="4794">
        <f t="shared" si="288"/>
        <v>0</v>
      </c>
      <c r="BH133" s="4794">
        <f t="shared" si="289"/>
        <v>0</v>
      </c>
      <c r="BI133" s="4794">
        <f t="shared" si="290"/>
        <v>0</v>
      </c>
      <c r="BJ133" s="152"/>
      <c r="BK133" s="4794">
        <f t="shared" si="291"/>
        <v>0</v>
      </c>
      <c r="BL133" s="4794">
        <f t="shared" si="292"/>
        <v>0</v>
      </c>
      <c r="BM133" s="4794">
        <f t="shared" si="293"/>
        <v>0</v>
      </c>
      <c r="BN133" s="4794">
        <f t="shared" si="294"/>
        <v>0</v>
      </c>
      <c r="BO133" s="4794">
        <f t="shared" si="295"/>
        <v>0</v>
      </c>
      <c r="BP133" s="4794">
        <f t="shared" si="296"/>
        <v>0</v>
      </c>
      <c r="BQ133" s="152"/>
      <c r="BR133" s="4794">
        <f t="shared" si="297"/>
        <v>0</v>
      </c>
      <c r="BS133" s="4794">
        <f t="shared" si="298"/>
        <v>0</v>
      </c>
      <c r="BT133" s="4794">
        <f t="shared" si="299"/>
        <v>0</v>
      </c>
      <c r="BU133" s="4794">
        <f t="shared" si="300"/>
        <v>0</v>
      </c>
      <c r="BV133" s="4794">
        <f t="shared" si="301"/>
        <v>0</v>
      </c>
      <c r="BW133" s="4794">
        <f t="shared" si="302"/>
        <v>0</v>
      </c>
      <c r="BX133" s="152"/>
      <c r="BY133" s="4794">
        <f t="shared" si="303"/>
        <v>0</v>
      </c>
      <c r="BZ133" s="4794">
        <f t="shared" si="304"/>
        <v>0</v>
      </c>
      <c r="CA133" s="4794">
        <f t="shared" si="305"/>
        <v>0</v>
      </c>
      <c r="CB133" s="4794">
        <f t="shared" si="306"/>
        <v>0</v>
      </c>
      <c r="CC133" s="4794">
        <f t="shared" si="307"/>
        <v>0</v>
      </c>
      <c r="CD133" s="4794">
        <f t="shared" si="308"/>
        <v>0</v>
      </c>
    </row>
    <row r="134" spans="1:82" s="44" customFormat="1">
      <c r="A134" s="3132">
        <v>2</v>
      </c>
      <c r="B134" s="3135" t="s">
        <v>697</v>
      </c>
      <c r="C134" s="3134">
        <v>0.03</v>
      </c>
      <c r="D134" s="3136" t="s">
        <v>426</v>
      </c>
      <c r="E134" s="3184"/>
      <c r="F134" s="418"/>
      <c r="G134" s="416"/>
      <c r="H134" s="416"/>
      <c r="I134" s="416"/>
      <c r="J134" s="416"/>
      <c r="K134" s="276"/>
      <c r="L134" s="3184"/>
      <c r="M134" s="418"/>
      <c r="N134" s="416"/>
      <c r="O134" s="416"/>
      <c r="P134" s="416"/>
      <c r="Q134" s="416"/>
      <c r="R134" s="276"/>
      <c r="S134" s="3184"/>
      <c r="T134" s="418"/>
      <c r="U134" s="416"/>
      <c r="V134" s="416"/>
      <c r="W134" s="416"/>
      <c r="X134" s="416"/>
      <c r="Y134" s="417"/>
      <c r="Z134" s="3184"/>
      <c r="AA134" s="418"/>
      <c r="AB134" s="416"/>
      <c r="AC134" s="416"/>
      <c r="AD134" s="416"/>
      <c r="AE134" s="416"/>
      <c r="AF134" s="417"/>
      <c r="AG134" s="3184"/>
      <c r="AH134" s="418"/>
      <c r="AI134" s="416"/>
      <c r="AJ134" s="416"/>
      <c r="AK134" s="416"/>
      <c r="AL134" s="416"/>
      <c r="AM134" s="417"/>
      <c r="AN134" s="3184"/>
      <c r="AO134" s="3189"/>
      <c r="AP134" s="3190"/>
      <c r="AQ134" s="3190"/>
      <c r="AR134" s="3190"/>
      <c r="AS134" s="3190"/>
      <c r="AT134" s="3191"/>
      <c r="AU134" s="4775"/>
      <c r="AV134" s="152"/>
      <c r="AW134" s="4794">
        <f t="shared" si="309"/>
        <v>0</v>
      </c>
      <c r="AX134" s="4794">
        <f t="shared" si="280"/>
        <v>0</v>
      </c>
      <c r="AY134" s="4794">
        <f t="shared" si="281"/>
        <v>0</v>
      </c>
      <c r="AZ134" s="4794">
        <f t="shared" si="282"/>
        <v>0</v>
      </c>
      <c r="BA134" s="4794">
        <f t="shared" si="283"/>
        <v>0</v>
      </c>
      <c r="BB134" s="4794">
        <f t="shared" si="284"/>
        <v>0</v>
      </c>
      <c r="BC134" s="152"/>
      <c r="BD134" s="4794">
        <f t="shared" si="285"/>
        <v>0</v>
      </c>
      <c r="BE134" s="4794">
        <f t="shared" si="286"/>
        <v>0</v>
      </c>
      <c r="BF134" s="4794">
        <f t="shared" si="287"/>
        <v>0</v>
      </c>
      <c r="BG134" s="4794">
        <f t="shared" si="288"/>
        <v>0</v>
      </c>
      <c r="BH134" s="4794">
        <f t="shared" si="289"/>
        <v>0</v>
      </c>
      <c r="BI134" s="4794">
        <f t="shared" si="290"/>
        <v>0</v>
      </c>
      <c r="BJ134" s="152"/>
      <c r="BK134" s="4794">
        <f t="shared" si="291"/>
        <v>0</v>
      </c>
      <c r="BL134" s="4794">
        <f t="shared" si="292"/>
        <v>0</v>
      </c>
      <c r="BM134" s="4794">
        <f t="shared" si="293"/>
        <v>0</v>
      </c>
      <c r="BN134" s="4794">
        <f t="shared" si="294"/>
        <v>0</v>
      </c>
      <c r="BO134" s="4794">
        <f t="shared" si="295"/>
        <v>0</v>
      </c>
      <c r="BP134" s="4794">
        <f t="shared" si="296"/>
        <v>0</v>
      </c>
      <c r="BQ134" s="152"/>
      <c r="BR134" s="4794">
        <f t="shared" si="297"/>
        <v>0</v>
      </c>
      <c r="BS134" s="4794">
        <f t="shared" si="298"/>
        <v>0</v>
      </c>
      <c r="BT134" s="4794">
        <f t="shared" si="299"/>
        <v>0</v>
      </c>
      <c r="BU134" s="4794">
        <f t="shared" si="300"/>
        <v>0</v>
      </c>
      <c r="BV134" s="4794">
        <f t="shared" si="301"/>
        <v>0</v>
      </c>
      <c r="BW134" s="4794">
        <f t="shared" si="302"/>
        <v>0</v>
      </c>
      <c r="BX134" s="152"/>
      <c r="BY134" s="4794">
        <f t="shared" si="303"/>
        <v>0</v>
      </c>
      <c r="BZ134" s="4794">
        <f t="shared" si="304"/>
        <v>0</v>
      </c>
      <c r="CA134" s="4794">
        <f t="shared" si="305"/>
        <v>0</v>
      </c>
      <c r="CB134" s="4794">
        <f t="shared" si="306"/>
        <v>0</v>
      </c>
      <c r="CC134" s="4794">
        <f t="shared" si="307"/>
        <v>0</v>
      </c>
      <c r="CD134" s="4794">
        <f t="shared" si="308"/>
        <v>0</v>
      </c>
    </row>
    <row r="135" spans="1:82" s="44" customFormat="1">
      <c r="A135" s="3132">
        <v>3</v>
      </c>
      <c r="B135" s="3135">
        <v>911301</v>
      </c>
      <c r="C135" s="3137">
        <v>0.1</v>
      </c>
      <c r="D135" s="3136" t="s">
        <v>427</v>
      </c>
      <c r="E135" s="3184"/>
      <c r="F135" s="418"/>
      <c r="G135" s="416"/>
      <c r="H135" s="416"/>
      <c r="I135" s="416"/>
      <c r="J135" s="416"/>
      <c r="K135" s="276"/>
      <c r="L135" s="3184"/>
      <c r="M135" s="418"/>
      <c r="N135" s="416"/>
      <c r="O135" s="416"/>
      <c r="P135" s="416"/>
      <c r="Q135" s="416"/>
      <c r="R135" s="276"/>
      <c r="S135" s="3184"/>
      <c r="T135" s="418"/>
      <c r="U135" s="416"/>
      <c r="V135" s="416"/>
      <c r="W135" s="416"/>
      <c r="X135" s="416"/>
      <c r="Y135" s="417"/>
      <c r="Z135" s="3184"/>
      <c r="AA135" s="418"/>
      <c r="AB135" s="416"/>
      <c r="AC135" s="416"/>
      <c r="AD135" s="416"/>
      <c r="AE135" s="416"/>
      <c r="AF135" s="417"/>
      <c r="AG135" s="3184"/>
      <c r="AH135" s="418"/>
      <c r="AI135" s="416"/>
      <c r="AJ135" s="416"/>
      <c r="AK135" s="416"/>
      <c r="AL135" s="416"/>
      <c r="AM135" s="417"/>
      <c r="AN135" s="3184"/>
      <c r="AO135" s="3189"/>
      <c r="AP135" s="3190"/>
      <c r="AQ135" s="3190"/>
      <c r="AR135" s="3190"/>
      <c r="AS135" s="3190"/>
      <c r="AT135" s="3191"/>
      <c r="AU135" s="4775"/>
      <c r="AV135" s="152"/>
      <c r="AW135" s="4794">
        <f t="shared" si="309"/>
        <v>0</v>
      </c>
      <c r="AX135" s="4794">
        <f t="shared" si="280"/>
        <v>0</v>
      </c>
      <c r="AY135" s="4794">
        <f t="shared" si="281"/>
        <v>0</v>
      </c>
      <c r="AZ135" s="4794">
        <f t="shared" si="282"/>
        <v>0</v>
      </c>
      <c r="BA135" s="4794">
        <f t="shared" si="283"/>
        <v>0</v>
      </c>
      <c r="BB135" s="4794">
        <f t="shared" si="284"/>
        <v>0</v>
      </c>
      <c r="BC135" s="152"/>
      <c r="BD135" s="4794">
        <f t="shared" si="285"/>
        <v>0</v>
      </c>
      <c r="BE135" s="4794">
        <f t="shared" si="286"/>
        <v>0</v>
      </c>
      <c r="BF135" s="4794">
        <f t="shared" si="287"/>
        <v>0</v>
      </c>
      <c r="BG135" s="4794">
        <f t="shared" si="288"/>
        <v>0</v>
      </c>
      <c r="BH135" s="4794">
        <f t="shared" si="289"/>
        <v>0</v>
      </c>
      <c r="BI135" s="4794">
        <f t="shared" si="290"/>
        <v>0</v>
      </c>
      <c r="BJ135" s="152"/>
      <c r="BK135" s="4794">
        <f t="shared" si="291"/>
        <v>0</v>
      </c>
      <c r="BL135" s="4794">
        <f t="shared" si="292"/>
        <v>0</v>
      </c>
      <c r="BM135" s="4794">
        <f t="shared" si="293"/>
        <v>0</v>
      </c>
      <c r="BN135" s="4794">
        <f t="shared" si="294"/>
        <v>0</v>
      </c>
      <c r="BO135" s="4794">
        <f t="shared" si="295"/>
        <v>0</v>
      </c>
      <c r="BP135" s="4794">
        <f t="shared" si="296"/>
        <v>0</v>
      </c>
      <c r="BQ135" s="152"/>
      <c r="BR135" s="4794">
        <f t="shared" si="297"/>
        <v>0</v>
      </c>
      <c r="BS135" s="4794">
        <f t="shared" si="298"/>
        <v>0</v>
      </c>
      <c r="BT135" s="4794">
        <f t="shared" si="299"/>
        <v>0</v>
      </c>
      <c r="BU135" s="4794">
        <f t="shared" si="300"/>
        <v>0</v>
      </c>
      <c r="BV135" s="4794">
        <f t="shared" si="301"/>
        <v>0</v>
      </c>
      <c r="BW135" s="4794">
        <f t="shared" si="302"/>
        <v>0</v>
      </c>
      <c r="BX135" s="152"/>
      <c r="BY135" s="4794">
        <f t="shared" si="303"/>
        <v>0</v>
      </c>
      <c r="BZ135" s="4794">
        <f t="shared" si="304"/>
        <v>0</v>
      </c>
      <c r="CA135" s="4794">
        <f t="shared" si="305"/>
        <v>0</v>
      </c>
      <c r="CB135" s="4794">
        <f t="shared" si="306"/>
        <v>0</v>
      </c>
      <c r="CC135" s="4794">
        <f t="shared" si="307"/>
        <v>0</v>
      </c>
      <c r="CD135" s="4794">
        <f t="shared" si="308"/>
        <v>0</v>
      </c>
    </row>
    <row r="136" spans="1:82" s="44" customFormat="1">
      <c r="A136" s="3132">
        <v>4</v>
      </c>
      <c r="B136" s="3135">
        <v>911302</v>
      </c>
      <c r="C136" s="3137">
        <v>0.1</v>
      </c>
      <c r="D136" s="3136" t="s">
        <v>428</v>
      </c>
      <c r="E136" s="3184"/>
      <c r="F136" s="418"/>
      <c r="G136" s="416"/>
      <c r="H136" s="416"/>
      <c r="I136" s="416"/>
      <c r="J136" s="416"/>
      <c r="K136" s="276"/>
      <c r="L136" s="3184"/>
      <c r="M136" s="418"/>
      <c r="N136" s="416"/>
      <c r="O136" s="416"/>
      <c r="P136" s="416"/>
      <c r="Q136" s="416"/>
      <c r="R136" s="276"/>
      <c r="S136" s="3184"/>
      <c r="T136" s="418"/>
      <c r="U136" s="416"/>
      <c r="V136" s="416"/>
      <c r="W136" s="416"/>
      <c r="X136" s="416"/>
      <c r="Y136" s="417"/>
      <c r="Z136" s="3184"/>
      <c r="AA136" s="418"/>
      <c r="AB136" s="416"/>
      <c r="AC136" s="416"/>
      <c r="AD136" s="416"/>
      <c r="AE136" s="416"/>
      <c r="AF136" s="417"/>
      <c r="AG136" s="3184"/>
      <c r="AH136" s="418"/>
      <c r="AI136" s="416"/>
      <c r="AJ136" s="416"/>
      <c r="AK136" s="416"/>
      <c r="AL136" s="416"/>
      <c r="AM136" s="417"/>
      <c r="AN136" s="3184"/>
      <c r="AO136" s="3189"/>
      <c r="AP136" s="3190"/>
      <c r="AQ136" s="3190"/>
      <c r="AR136" s="3190"/>
      <c r="AS136" s="3190"/>
      <c r="AT136" s="3191"/>
      <c r="AU136" s="4775"/>
      <c r="AV136" s="152"/>
      <c r="AW136" s="4794">
        <f t="shared" si="309"/>
        <v>0</v>
      </c>
      <c r="AX136" s="4794">
        <f t="shared" si="280"/>
        <v>0</v>
      </c>
      <c r="AY136" s="4794">
        <f t="shared" si="281"/>
        <v>0</v>
      </c>
      <c r="AZ136" s="4794">
        <f t="shared" si="282"/>
        <v>0</v>
      </c>
      <c r="BA136" s="4794">
        <f t="shared" si="283"/>
        <v>0</v>
      </c>
      <c r="BB136" s="4794">
        <f t="shared" si="284"/>
        <v>0</v>
      </c>
      <c r="BC136" s="152"/>
      <c r="BD136" s="4794">
        <f t="shared" si="285"/>
        <v>0</v>
      </c>
      <c r="BE136" s="4794">
        <f t="shared" si="286"/>
        <v>0</v>
      </c>
      <c r="BF136" s="4794">
        <f t="shared" si="287"/>
        <v>0</v>
      </c>
      <c r="BG136" s="4794">
        <f t="shared" si="288"/>
        <v>0</v>
      </c>
      <c r="BH136" s="4794">
        <f t="shared" si="289"/>
        <v>0</v>
      </c>
      <c r="BI136" s="4794">
        <f t="shared" si="290"/>
        <v>0</v>
      </c>
      <c r="BJ136" s="152"/>
      <c r="BK136" s="4794">
        <f t="shared" si="291"/>
        <v>0</v>
      </c>
      <c r="BL136" s="4794">
        <f t="shared" si="292"/>
        <v>0</v>
      </c>
      <c r="BM136" s="4794">
        <f t="shared" si="293"/>
        <v>0</v>
      </c>
      <c r="BN136" s="4794">
        <f t="shared" si="294"/>
        <v>0</v>
      </c>
      <c r="BO136" s="4794">
        <f t="shared" si="295"/>
        <v>0</v>
      </c>
      <c r="BP136" s="4794">
        <f t="shared" si="296"/>
        <v>0</v>
      </c>
      <c r="BQ136" s="152"/>
      <c r="BR136" s="4794">
        <f t="shared" si="297"/>
        <v>0</v>
      </c>
      <c r="BS136" s="4794">
        <f t="shared" si="298"/>
        <v>0</v>
      </c>
      <c r="BT136" s="4794">
        <f t="shared" si="299"/>
        <v>0</v>
      </c>
      <c r="BU136" s="4794">
        <f t="shared" si="300"/>
        <v>0</v>
      </c>
      <c r="BV136" s="4794">
        <f t="shared" si="301"/>
        <v>0</v>
      </c>
      <c r="BW136" s="4794">
        <f t="shared" si="302"/>
        <v>0</v>
      </c>
      <c r="BX136" s="152"/>
      <c r="BY136" s="4794">
        <f t="shared" si="303"/>
        <v>0</v>
      </c>
      <c r="BZ136" s="4794">
        <f t="shared" si="304"/>
        <v>0</v>
      </c>
      <c r="CA136" s="4794">
        <f t="shared" si="305"/>
        <v>0</v>
      </c>
      <c r="CB136" s="4794">
        <f t="shared" si="306"/>
        <v>0</v>
      </c>
      <c r="CC136" s="4794">
        <f t="shared" si="307"/>
        <v>0</v>
      </c>
      <c r="CD136" s="4794">
        <f t="shared" si="308"/>
        <v>0</v>
      </c>
    </row>
    <row r="137" spans="1:82" s="44" customFormat="1">
      <c r="A137" s="3132">
        <v>5</v>
      </c>
      <c r="B137" s="3135" t="s">
        <v>714</v>
      </c>
      <c r="C137" s="3137">
        <v>0.1</v>
      </c>
      <c r="D137" s="2720" t="s">
        <v>407</v>
      </c>
      <c r="E137" s="3184"/>
      <c r="F137" s="418"/>
      <c r="G137" s="416"/>
      <c r="H137" s="416"/>
      <c r="I137" s="416"/>
      <c r="J137" s="416"/>
      <c r="K137" s="276"/>
      <c r="L137" s="3184"/>
      <c r="M137" s="418"/>
      <c r="N137" s="416"/>
      <c r="O137" s="416"/>
      <c r="P137" s="416"/>
      <c r="Q137" s="416"/>
      <c r="R137" s="276"/>
      <c r="S137" s="3184"/>
      <c r="T137" s="418"/>
      <c r="U137" s="416"/>
      <c r="V137" s="416"/>
      <c r="W137" s="416"/>
      <c r="X137" s="416"/>
      <c r="Y137" s="417"/>
      <c r="Z137" s="3184"/>
      <c r="AA137" s="418"/>
      <c r="AB137" s="416"/>
      <c r="AC137" s="416"/>
      <c r="AD137" s="416"/>
      <c r="AE137" s="416"/>
      <c r="AF137" s="417"/>
      <c r="AG137" s="3184"/>
      <c r="AH137" s="418"/>
      <c r="AI137" s="416"/>
      <c r="AJ137" s="416"/>
      <c r="AK137" s="416"/>
      <c r="AL137" s="416"/>
      <c r="AM137" s="417"/>
      <c r="AN137" s="3184"/>
      <c r="AO137" s="3189"/>
      <c r="AP137" s="3190"/>
      <c r="AQ137" s="3190"/>
      <c r="AR137" s="3190"/>
      <c r="AS137" s="3190"/>
      <c r="AT137" s="3191"/>
      <c r="AU137" s="4775"/>
      <c r="AV137" s="152"/>
      <c r="AW137" s="4794">
        <f t="shared" si="309"/>
        <v>0</v>
      </c>
      <c r="AX137" s="4794">
        <f t="shared" si="280"/>
        <v>0</v>
      </c>
      <c r="AY137" s="4794">
        <f t="shared" si="281"/>
        <v>0</v>
      </c>
      <c r="AZ137" s="4794">
        <f t="shared" si="282"/>
        <v>0</v>
      </c>
      <c r="BA137" s="4794">
        <f t="shared" si="283"/>
        <v>0</v>
      </c>
      <c r="BB137" s="4794">
        <f t="shared" si="284"/>
        <v>0</v>
      </c>
      <c r="BC137" s="152"/>
      <c r="BD137" s="4794">
        <f t="shared" si="285"/>
        <v>0</v>
      </c>
      <c r="BE137" s="4794">
        <f t="shared" si="286"/>
        <v>0</v>
      </c>
      <c r="BF137" s="4794">
        <f t="shared" si="287"/>
        <v>0</v>
      </c>
      <c r="BG137" s="4794">
        <f t="shared" si="288"/>
        <v>0</v>
      </c>
      <c r="BH137" s="4794">
        <f t="shared" si="289"/>
        <v>0</v>
      </c>
      <c r="BI137" s="4794">
        <f t="shared" si="290"/>
        <v>0</v>
      </c>
      <c r="BJ137" s="152"/>
      <c r="BK137" s="4794">
        <f t="shared" si="291"/>
        <v>0</v>
      </c>
      <c r="BL137" s="4794">
        <f t="shared" si="292"/>
        <v>0</v>
      </c>
      <c r="BM137" s="4794">
        <f t="shared" si="293"/>
        <v>0</v>
      </c>
      <c r="BN137" s="4794">
        <f t="shared" si="294"/>
        <v>0</v>
      </c>
      <c r="BO137" s="4794">
        <f t="shared" si="295"/>
        <v>0</v>
      </c>
      <c r="BP137" s="4794">
        <f t="shared" si="296"/>
        <v>0</v>
      </c>
      <c r="BQ137" s="152"/>
      <c r="BR137" s="4794">
        <f t="shared" si="297"/>
        <v>0</v>
      </c>
      <c r="BS137" s="4794">
        <f t="shared" si="298"/>
        <v>0</v>
      </c>
      <c r="BT137" s="4794">
        <f t="shared" si="299"/>
        <v>0</v>
      </c>
      <c r="BU137" s="4794">
        <f t="shared" si="300"/>
        <v>0</v>
      </c>
      <c r="BV137" s="4794">
        <f t="shared" si="301"/>
        <v>0</v>
      </c>
      <c r="BW137" s="4794">
        <f t="shared" si="302"/>
        <v>0</v>
      </c>
      <c r="BX137" s="152"/>
      <c r="BY137" s="4794">
        <f t="shared" si="303"/>
        <v>0</v>
      </c>
      <c r="BZ137" s="4794">
        <f t="shared" si="304"/>
        <v>0</v>
      </c>
      <c r="CA137" s="4794">
        <f t="shared" si="305"/>
        <v>0</v>
      </c>
      <c r="CB137" s="4794">
        <f t="shared" si="306"/>
        <v>0</v>
      </c>
      <c r="CC137" s="4794">
        <f t="shared" si="307"/>
        <v>0</v>
      </c>
      <c r="CD137" s="4794">
        <f t="shared" si="308"/>
        <v>0</v>
      </c>
    </row>
    <row r="138" spans="1:82" s="44" customFormat="1">
      <c r="A138" s="3132">
        <v>6</v>
      </c>
      <c r="B138" s="3135" t="s">
        <v>715</v>
      </c>
      <c r="C138" s="3137">
        <v>0.1</v>
      </c>
      <c r="D138" s="2720" t="s">
        <v>408</v>
      </c>
      <c r="E138" s="3184"/>
      <c r="F138" s="418"/>
      <c r="G138" s="416"/>
      <c r="H138" s="416"/>
      <c r="I138" s="416"/>
      <c r="J138" s="416"/>
      <c r="K138" s="276"/>
      <c r="L138" s="3184"/>
      <c r="M138" s="418"/>
      <c r="N138" s="416"/>
      <c r="O138" s="416"/>
      <c r="P138" s="416"/>
      <c r="Q138" s="416"/>
      <c r="R138" s="276"/>
      <c r="S138" s="3184"/>
      <c r="T138" s="418"/>
      <c r="U138" s="416"/>
      <c r="V138" s="416"/>
      <c r="W138" s="416"/>
      <c r="X138" s="416"/>
      <c r="Y138" s="417"/>
      <c r="Z138" s="3184"/>
      <c r="AA138" s="418"/>
      <c r="AB138" s="416"/>
      <c r="AC138" s="416"/>
      <c r="AD138" s="416"/>
      <c r="AE138" s="416"/>
      <c r="AF138" s="417"/>
      <c r="AG138" s="3184"/>
      <c r="AH138" s="418"/>
      <c r="AI138" s="416"/>
      <c r="AJ138" s="416"/>
      <c r="AK138" s="416"/>
      <c r="AL138" s="416"/>
      <c r="AM138" s="417"/>
      <c r="AN138" s="3184"/>
      <c r="AO138" s="3189"/>
      <c r="AP138" s="3190"/>
      <c r="AQ138" s="3190"/>
      <c r="AR138" s="3190"/>
      <c r="AS138" s="3190"/>
      <c r="AT138" s="3191"/>
      <c r="AU138" s="4775"/>
      <c r="AV138" s="152"/>
      <c r="AW138" s="4794">
        <f t="shared" si="309"/>
        <v>0</v>
      </c>
      <c r="AX138" s="4794">
        <f t="shared" si="280"/>
        <v>0</v>
      </c>
      <c r="AY138" s="4794">
        <f t="shared" si="281"/>
        <v>0</v>
      </c>
      <c r="AZ138" s="4794">
        <f t="shared" si="282"/>
        <v>0</v>
      </c>
      <c r="BA138" s="4794">
        <f t="shared" si="283"/>
        <v>0</v>
      </c>
      <c r="BB138" s="4794">
        <f t="shared" si="284"/>
        <v>0</v>
      </c>
      <c r="BC138" s="152"/>
      <c r="BD138" s="4794">
        <f t="shared" si="285"/>
        <v>0</v>
      </c>
      <c r="BE138" s="4794">
        <f t="shared" si="286"/>
        <v>0</v>
      </c>
      <c r="BF138" s="4794">
        <f t="shared" si="287"/>
        <v>0</v>
      </c>
      <c r="BG138" s="4794">
        <f t="shared" si="288"/>
        <v>0</v>
      </c>
      <c r="BH138" s="4794">
        <f t="shared" si="289"/>
        <v>0</v>
      </c>
      <c r="BI138" s="4794">
        <f t="shared" si="290"/>
        <v>0</v>
      </c>
      <c r="BJ138" s="152"/>
      <c r="BK138" s="4794">
        <f t="shared" si="291"/>
        <v>0</v>
      </c>
      <c r="BL138" s="4794">
        <f t="shared" si="292"/>
        <v>0</v>
      </c>
      <c r="BM138" s="4794">
        <f t="shared" si="293"/>
        <v>0</v>
      </c>
      <c r="BN138" s="4794">
        <f t="shared" si="294"/>
        <v>0</v>
      </c>
      <c r="BO138" s="4794">
        <f t="shared" si="295"/>
        <v>0</v>
      </c>
      <c r="BP138" s="4794">
        <f t="shared" si="296"/>
        <v>0</v>
      </c>
      <c r="BQ138" s="152"/>
      <c r="BR138" s="4794">
        <f t="shared" si="297"/>
        <v>0</v>
      </c>
      <c r="BS138" s="4794">
        <f t="shared" si="298"/>
        <v>0</v>
      </c>
      <c r="BT138" s="4794">
        <f t="shared" si="299"/>
        <v>0</v>
      </c>
      <c r="BU138" s="4794">
        <f t="shared" si="300"/>
        <v>0</v>
      </c>
      <c r="BV138" s="4794">
        <f t="shared" si="301"/>
        <v>0</v>
      </c>
      <c r="BW138" s="4794">
        <f t="shared" si="302"/>
        <v>0</v>
      </c>
      <c r="BX138" s="152"/>
      <c r="BY138" s="4794">
        <f t="shared" si="303"/>
        <v>0</v>
      </c>
      <c r="BZ138" s="4794">
        <f t="shared" si="304"/>
        <v>0</v>
      </c>
      <c r="CA138" s="4794">
        <f t="shared" si="305"/>
        <v>0</v>
      </c>
      <c r="CB138" s="4794">
        <f t="shared" si="306"/>
        <v>0</v>
      </c>
      <c r="CC138" s="4794">
        <f t="shared" si="307"/>
        <v>0</v>
      </c>
      <c r="CD138" s="4794">
        <f t="shared" si="308"/>
        <v>0</v>
      </c>
    </row>
    <row r="139" spans="1:82" s="44" customFormat="1" ht="24">
      <c r="A139" s="3132">
        <v>7</v>
      </c>
      <c r="B139" s="3135" t="s">
        <v>706</v>
      </c>
      <c r="C139" s="3137">
        <v>0.1</v>
      </c>
      <c r="D139" s="2720" t="s">
        <v>695</v>
      </c>
      <c r="E139" s="3184"/>
      <c r="F139" s="418"/>
      <c r="G139" s="416"/>
      <c r="H139" s="416"/>
      <c r="I139" s="416"/>
      <c r="J139" s="416"/>
      <c r="K139" s="276"/>
      <c r="L139" s="3184"/>
      <c r="M139" s="418"/>
      <c r="N139" s="416"/>
      <c r="O139" s="416"/>
      <c r="P139" s="416"/>
      <c r="Q139" s="416"/>
      <c r="R139" s="276"/>
      <c r="S139" s="3184"/>
      <c r="T139" s="418"/>
      <c r="U139" s="416"/>
      <c r="V139" s="416"/>
      <c r="W139" s="416"/>
      <c r="X139" s="416"/>
      <c r="Y139" s="417"/>
      <c r="Z139" s="3184"/>
      <c r="AA139" s="418"/>
      <c r="AB139" s="416"/>
      <c r="AC139" s="416"/>
      <c r="AD139" s="416"/>
      <c r="AE139" s="416"/>
      <c r="AF139" s="417"/>
      <c r="AG139" s="3184"/>
      <c r="AH139" s="418"/>
      <c r="AI139" s="416"/>
      <c r="AJ139" s="416"/>
      <c r="AK139" s="416"/>
      <c r="AL139" s="416"/>
      <c r="AM139" s="417"/>
      <c r="AN139" s="3184"/>
      <c r="AO139" s="3189"/>
      <c r="AP139" s="3190"/>
      <c r="AQ139" s="3190"/>
      <c r="AR139" s="3190"/>
      <c r="AS139" s="3190"/>
      <c r="AT139" s="3191"/>
      <c r="AU139" s="4775"/>
      <c r="AV139" s="152"/>
      <c r="AW139" s="4794">
        <f t="shared" si="309"/>
        <v>0</v>
      </c>
      <c r="AX139" s="4794">
        <f t="shared" si="280"/>
        <v>0</v>
      </c>
      <c r="AY139" s="4794">
        <f t="shared" si="281"/>
        <v>0</v>
      </c>
      <c r="AZ139" s="4794">
        <f t="shared" si="282"/>
        <v>0</v>
      </c>
      <c r="BA139" s="4794">
        <f t="shared" si="283"/>
        <v>0</v>
      </c>
      <c r="BB139" s="4794">
        <f t="shared" si="284"/>
        <v>0</v>
      </c>
      <c r="BC139" s="152"/>
      <c r="BD139" s="4794">
        <f t="shared" si="285"/>
        <v>0</v>
      </c>
      <c r="BE139" s="4794">
        <f t="shared" si="286"/>
        <v>0</v>
      </c>
      <c r="BF139" s="4794">
        <f t="shared" si="287"/>
        <v>0</v>
      </c>
      <c r="BG139" s="4794">
        <f t="shared" si="288"/>
        <v>0</v>
      </c>
      <c r="BH139" s="4794">
        <f t="shared" si="289"/>
        <v>0</v>
      </c>
      <c r="BI139" s="4794">
        <f t="shared" si="290"/>
        <v>0</v>
      </c>
      <c r="BJ139" s="152"/>
      <c r="BK139" s="4794">
        <f t="shared" si="291"/>
        <v>0</v>
      </c>
      <c r="BL139" s="4794">
        <f t="shared" si="292"/>
        <v>0</v>
      </c>
      <c r="BM139" s="4794">
        <f t="shared" si="293"/>
        <v>0</v>
      </c>
      <c r="BN139" s="4794">
        <f t="shared" si="294"/>
        <v>0</v>
      </c>
      <c r="BO139" s="4794">
        <f t="shared" si="295"/>
        <v>0</v>
      </c>
      <c r="BP139" s="4794">
        <f t="shared" si="296"/>
        <v>0</v>
      </c>
      <c r="BQ139" s="152"/>
      <c r="BR139" s="4794">
        <f t="shared" si="297"/>
        <v>0</v>
      </c>
      <c r="BS139" s="4794">
        <f t="shared" si="298"/>
        <v>0</v>
      </c>
      <c r="BT139" s="4794">
        <f t="shared" si="299"/>
        <v>0</v>
      </c>
      <c r="BU139" s="4794">
        <f t="shared" si="300"/>
        <v>0</v>
      </c>
      <c r="BV139" s="4794">
        <f t="shared" si="301"/>
        <v>0</v>
      </c>
      <c r="BW139" s="4794">
        <f t="shared" si="302"/>
        <v>0</v>
      </c>
      <c r="BX139" s="152"/>
      <c r="BY139" s="4794">
        <f t="shared" si="303"/>
        <v>0</v>
      </c>
      <c r="BZ139" s="4794">
        <f t="shared" si="304"/>
        <v>0</v>
      </c>
      <c r="CA139" s="4794">
        <f t="shared" si="305"/>
        <v>0</v>
      </c>
      <c r="CB139" s="4794">
        <f t="shared" si="306"/>
        <v>0</v>
      </c>
      <c r="CC139" s="4794">
        <f t="shared" si="307"/>
        <v>0</v>
      </c>
      <c r="CD139" s="4794">
        <f t="shared" si="308"/>
        <v>0</v>
      </c>
    </row>
    <row r="140" spans="1:82" s="44" customFormat="1">
      <c r="A140" s="3132">
        <v>8</v>
      </c>
      <c r="B140" s="3135" t="s">
        <v>716</v>
      </c>
      <c r="C140" s="3137">
        <v>0.1</v>
      </c>
      <c r="D140" s="2720" t="s">
        <v>713</v>
      </c>
      <c r="E140" s="3184"/>
      <c r="F140" s="418"/>
      <c r="G140" s="416"/>
      <c r="H140" s="416"/>
      <c r="I140" s="416"/>
      <c r="J140" s="416"/>
      <c r="K140" s="276"/>
      <c r="L140" s="3184"/>
      <c r="M140" s="418"/>
      <c r="N140" s="416"/>
      <c r="O140" s="416"/>
      <c r="P140" s="416"/>
      <c r="Q140" s="416"/>
      <c r="R140" s="276"/>
      <c r="S140" s="3184"/>
      <c r="T140" s="418"/>
      <c r="U140" s="416"/>
      <c r="V140" s="416"/>
      <c r="W140" s="416"/>
      <c r="X140" s="416"/>
      <c r="Y140" s="417"/>
      <c r="Z140" s="3184"/>
      <c r="AA140" s="418"/>
      <c r="AB140" s="416"/>
      <c r="AC140" s="416"/>
      <c r="AD140" s="416"/>
      <c r="AE140" s="416"/>
      <c r="AF140" s="417"/>
      <c r="AG140" s="3184"/>
      <c r="AH140" s="418"/>
      <c r="AI140" s="416"/>
      <c r="AJ140" s="416"/>
      <c r="AK140" s="416"/>
      <c r="AL140" s="416"/>
      <c r="AM140" s="417"/>
      <c r="AN140" s="3184"/>
      <c r="AO140" s="3189"/>
      <c r="AP140" s="3190"/>
      <c r="AQ140" s="3190"/>
      <c r="AR140" s="3190"/>
      <c r="AS140" s="3190"/>
      <c r="AT140" s="3191"/>
      <c r="AU140" s="4775"/>
      <c r="AV140" s="152"/>
      <c r="AW140" s="4794">
        <f t="shared" si="309"/>
        <v>0</v>
      </c>
      <c r="AX140" s="4794">
        <f t="shared" si="280"/>
        <v>0</v>
      </c>
      <c r="AY140" s="4794">
        <f t="shared" si="281"/>
        <v>0</v>
      </c>
      <c r="AZ140" s="4794">
        <f t="shared" si="282"/>
        <v>0</v>
      </c>
      <c r="BA140" s="4794">
        <f t="shared" si="283"/>
        <v>0</v>
      </c>
      <c r="BB140" s="4794">
        <f t="shared" si="284"/>
        <v>0</v>
      </c>
      <c r="BC140" s="152"/>
      <c r="BD140" s="4794">
        <f t="shared" si="285"/>
        <v>0</v>
      </c>
      <c r="BE140" s="4794">
        <f t="shared" si="286"/>
        <v>0</v>
      </c>
      <c r="BF140" s="4794">
        <f t="shared" si="287"/>
        <v>0</v>
      </c>
      <c r="BG140" s="4794">
        <f t="shared" si="288"/>
        <v>0</v>
      </c>
      <c r="BH140" s="4794">
        <f t="shared" si="289"/>
        <v>0</v>
      </c>
      <c r="BI140" s="4794">
        <f t="shared" si="290"/>
        <v>0</v>
      </c>
      <c r="BJ140" s="152"/>
      <c r="BK140" s="4794">
        <f t="shared" si="291"/>
        <v>0</v>
      </c>
      <c r="BL140" s="4794">
        <f t="shared" si="292"/>
        <v>0</v>
      </c>
      <c r="BM140" s="4794">
        <f t="shared" si="293"/>
        <v>0</v>
      </c>
      <c r="BN140" s="4794">
        <f t="shared" si="294"/>
        <v>0</v>
      </c>
      <c r="BO140" s="4794">
        <f t="shared" si="295"/>
        <v>0</v>
      </c>
      <c r="BP140" s="4794">
        <f t="shared" si="296"/>
        <v>0</v>
      </c>
      <c r="BQ140" s="152"/>
      <c r="BR140" s="4794">
        <f t="shared" si="297"/>
        <v>0</v>
      </c>
      <c r="BS140" s="4794">
        <f t="shared" si="298"/>
        <v>0</v>
      </c>
      <c r="BT140" s="4794">
        <f t="shared" si="299"/>
        <v>0</v>
      </c>
      <c r="BU140" s="4794">
        <f t="shared" si="300"/>
        <v>0</v>
      </c>
      <c r="BV140" s="4794">
        <f t="shared" si="301"/>
        <v>0</v>
      </c>
      <c r="BW140" s="4794">
        <f t="shared" si="302"/>
        <v>0</v>
      </c>
      <c r="BX140" s="152"/>
      <c r="BY140" s="4794">
        <f t="shared" si="303"/>
        <v>0</v>
      </c>
      <c r="BZ140" s="4794">
        <f t="shared" si="304"/>
        <v>0</v>
      </c>
      <c r="CA140" s="4794">
        <f t="shared" si="305"/>
        <v>0</v>
      </c>
      <c r="CB140" s="4794">
        <f t="shared" si="306"/>
        <v>0</v>
      </c>
      <c r="CC140" s="4794">
        <f t="shared" si="307"/>
        <v>0</v>
      </c>
      <c r="CD140" s="4794">
        <f t="shared" si="308"/>
        <v>0</v>
      </c>
    </row>
    <row r="141" spans="1:82" s="44" customFormat="1">
      <c r="A141" s="3138">
        <v>9</v>
      </c>
      <c r="B141" s="3135">
        <v>911306</v>
      </c>
      <c r="C141" s="3137">
        <v>0.1</v>
      </c>
      <c r="D141" s="3136" t="s">
        <v>1032</v>
      </c>
      <c r="E141" s="3184"/>
      <c r="F141" s="418"/>
      <c r="G141" s="416"/>
      <c r="H141" s="416"/>
      <c r="I141" s="416"/>
      <c r="J141" s="416"/>
      <c r="K141" s="276"/>
      <c r="L141" s="3184"/>
      <c r="M141" s="418"/>
      <c r="N141" s="416"/>
      <c r="O141" s="416"/>
      <c r="P141" s="416"/>
      <c r="Q141" s="416"/>
      <c r="R141" s="276"/>
      <c r="S141" s="3184"/>
      <c r="T141" s="418"/>
      <c r="U141" s="416"/>
      <c r="V141" s="416"/>
      <c r="W141" s="416"/>
      <c r="X141" s="416"/>
      <c r="Y141" s="417"/>
      <c r="Z141" s="3184"/>
      <c r="AA141" s="418"/>
      <c r="AB141" s="416"/>
      <c r="AC141" s="416"/>
      <c r="AD141" s="416"/>
      <c r="AE141" s="416"/>
      <c r="AF141" s="417"/>
      <c r="AG141" s="3184"/>
      <c r="AH141" s="418"/>
      <c r="AI141" s="416"/>
      <c r="AJ141" s="416"/>
      <c r="AK141" s="416"/>
      <c r="AL141" s="416"/>
      <c r="AM141" s="417"/>
      <c r="AN141" s="3184"/>
      <c r="AO141" s="3189"/>
      <c r="AP141" s="3190"/>
      <c r="AQ141" s="3190"/>
      <c r="AR141" s="3190"/>
      <c r="AS141" s="3190"/>
      <c r="AT141" s="3191"/>
      <c r="AU141" s="4775"/>
      <c r="AV141" s="152"/>
      <c r="AW141" s="4794">
        <f t="shared" si="309"/>
        <v>0</v>
      </c>
      <c r="AX141" s="4794">
        <f t="shared" si="280"/>
        <v>0</v>
      </c>
      <c r="AY141" s="4794">
        <f t="shared" si="281"/>
        <v>0</v>
      </c>
      <c r="AZ141" s="4794">
        <f t="shared" si="282"/>
        <v>0</v>
      </c>
      <c r="BA141" s="4794">
        <f t="shared" si="283"/>
        <v>0</v>
      </c>
      <c r="BB141" s="4794">
        <f t="shared" si="284"/>
        <v>0</v>
      </c>
      <c r="BC141" s="152"/>
      <c r="BD141" s="4794">
        <f t="shared" si="285"/>
        <v>0</v>
      </c>
      <c r="BE141" s="4794">
        <f t="shared" si="286"/>
        <v>0</v>
      </c>
      <c r="BF141" s="4794">
        <f t="shared" si="287"/>
        <v>0</v>
      </c>
      <c r="BG141" s="4794">
        <f t="shared" si="288"/>
        <v>0</v>
      </c>
      <c r="BH141" s="4794">
        <f t="shared" si="289"/>
        <v>0</v>
      </c>
      <c r="BI141" s="4794">
        <f t="shared" si="290"/>
        <v>0</v>
      </c>
      <c r="BJ141" s="152"/>
      <c r="BK141" s="4794">
        <f t="shared" si="291"/>
        <v>0</v>
      </c>
      <c r="BL141" s="4794">
        <f t="shared" si="292"/>
        <v>0</v>
      </c>
      <c r="BM141" s="4794">
        <f t="shared" si="293"/>
        <v>0</v>
      </c>
      <c r="BN141" s="4794">
        <f t="shared" si="294"/>
        <v>0</v>
      </c>
      <c r="BO141" s="4794">
        <f t="shared" si="295"/>
        <v>0</v>
      </c>
      <c r="BP141" s="4794">
        <f t="shared" si="296"/>
        <v>0</v>
      </c>
      <c r="BQ141" s="152"/>
      <c r="BR141" s="4794">
        <f t="shared" si="297"/>
        <v>0</v>
      </c>
      <c r="BS141" s="4794">
        <f t="shared" si="298"/>
        <v>0</v>
      </c>
      <c r="BT141" s="4794">
        <f t="shared" si="299"/>
        <v>0</v>
      </c>
      <c r="BU141" s="4794">
        <f t="shared" si="300"/>
        <v>0</v>
      </c>
      <c r="BV141" s="4794">
        <f t="shared" si="301"/>
        <v>0</v>
      </c>
      <c r="BW141" s="4794">
        <f t="shared" si="302"/>
        <v>0</v>
      </c>
      <c r="BX141" s="152"/>
      <c r="BY141" s="4794">
        <f t="shared" si="303"/>
        <v>0</v>
      </c>
      <c r="BZ141" s="4794">
        <f t="shared" si="304"/>
        <v>0</v>
      </c>
      <c r="CA141" s="4794">
        <f t="shared" si="305"/>
        <v>0</v>
      </c>
      <c r="CB141" s="4794">
        <f t="shared" si="306"/>
        <v>0</v>
      </c>
      <c r="CC141" s="4794">
        <f t="shared" si="307"/>
        <v>0</v>
      </c>
      <c r="CD141" s="4794">
        <f t="shared" si="308"/>
        <v>0</v>
      </c>
    </row>
    <row r="142" spans="1:82" s="44" customFormat="1">
      <c r="A142" s="3138">
        <v>10</v>
      </c>
      <c r="B142" s="3135">
        <v>91140101</v>
      </c>
      <c r="C142" s="3139">
        <v>0.1</v>
      </c>
      <c r="D142" s="2714" t="s">
        <v>1016</v>
      </c>
      <c r="E142" s="3184"/>
      <c r="F142" s="418"/>
      <c r="G142" s="416"/>
      <c r="H142" s="416"/>
      <c r="I142" s="416"/>
      <c r="J142" s="416"/>
      <c r="K142" s="276"/>
      <c r="L142" s="3184"/>
      <c r="M142" s="418"/>
      <c r="N142" s="416"/>
      <c r="O142" s="416"/>
      <c r="P142" s="416"/>
      <c r="Q142" s="416"/>
      <c r="R142" s="276"/>
      <c r="S142" s="3184"/>
      <c r="T142" s="418"/>
      <c r="U142" s="416"/>
      <c r="V142" s="416"/>
      <c r="W142" s="416"/>
      <c r="X142" s="416"/>
      <c r="Y142" s="417"/>
      <c r="Z142" s="3184"/>
      <c r="AA142" s="418"/>
      <c r="AB142" s="416"/>
      <c r="AC142" s="416"/>
      <c r="AD142" s="416"/>
      <c r="AE142" s="416"/>
      <c r="AF142" s="417"/>
      <c r="AG142" s="3184"/>
      <c r="AH142" s="418"/>
      <c r="AI142" s="416"/>
      <c r="AJ142" s="416"/>
      <c r="AK142" s="416"/>
      <c r="AL142" s="416"/>
      <c r="AM142" s="417"/>
      <c r="AN142" s="3184"/>
      <c r="AO142" s="3189"/>
      <c r="AP142" s="3190"/>
      <c r="AQ142" s="3190"/>
      <c r="AR142" s="3190"/>
      <c r="AS142" s="3190"/>
      <c r="AT142" s="3191"/>
      <c r="AU142" s="4775"/>
      <c r="AV142" s="152"/>
      <c r="AW142" s="4794">
        <f t="shared" si="309"/>
        <v>0</v>
      </c>
      <c r="AX142" s="4794">
        <f t="shared" si="280"/>
        <v>0</v>
      </c>
      <c r="AY142" s="4794">
        <f t="shared" si="281"/>
        <v>0</v>
      </c>
      <c r="AZ142" s="4794">
        <f t="shared" si="282"/>
        <v>0</v>
      </c>
      <c r="BA142" s="4794">
        <f t="shared" si="283"/>
        <v>0</v>
      </c>
      <c r="BB142" s="4794">
        <f t="shared" si="284"/>
        <v>0</v>
      </c>
      <c r="BC142" s="152"/>
      <c r="BD142" s="4794">
        <f t="shared" si="285"/>
        <v>0</v>
      </c>
      <c r="BE142" s="4794">
        <f t="shared" si="286"/>
        <v>0</v>
      </c>
      <c r="BF142" s="4794">
        <f t="shared" si="287"/>
        <v>0</v>
      </c>
      <c r="BG142" s="4794">
        <f t="shared" si="288"/>
        <v>0</v>
      </c>
      <c r="BH142" s="4794">
        <f t="shared" si="289"/>
        <v>0</v>
      </c>
      <c r="BI142" s="4794">
        <f t="shared" si="290"/>
        <v>0</v>
      </c>
      <c r="BJ142" s="152"/>
      <c r="BK142" s="4794">
        <f t="shared" si="291"/>
        <v>0</v>
      </c>
      <c r="BL142" s="4794">
        <f t="shared" si="292"/>
        <v>0</v>
      </c>
      <c r="BM142" s="4794">
        <f t="shared" si="293"/>
        <v>0</v>
      </c>
      <c r="BN142" s="4794">
        <f t="shared" si="294"/>
        <v>0</v>
      </c>
      <c r="BO142" s="4794">
        <f t="shared" si="295"/>
        <v>0</v>
      </c>
      <c r="BP142" s="4794">
        <f t="shared" si="296"/>
        <v>0</v>
      </c>
      <c r="BQ142" s="152"/>
      <c r="BR142" s="4794">
        <f t="shared" si="297"/>
        <v>0</v>
      </c>
      <c r="BS142" s="4794">
        <f t="shared" si="298"/>
        <v>0</v>
      </c>
      <c r="BT142" s="4794">
        <f t="shared" si="299"/>
        <v>0</v>
      </c>
      <c r="BU142" s="4794">
        <f t="shared" si="300"/>
        <v>0</v>
      </c>
      <c r="BV142" s="4794">
        <f t="shared" si="301"/>
        <v>0</v>
      </c>
      <c r="BW142" s="4794">
        <f t="shared" si="302"/>
        <v>0</v>
      </c>
      <c r="BX142" s="152"/>
      <c r="BY142" s="4794">
        <f t="shared" si="303"/>
        <v>0</v>
      </c>
      <c r="BZ142" s="4794">
        <f t="shared" si="304"/>
        <v>0</v>
      </c>
      <c r="CA142" s="4794">
        <f t="shared" si="305"/>
        <v>0</v>
      </c>
      <c r="CB142" s="4794">
        <f t="shared" si="306"/>
        <v>0</v>
      </c>
      <c r="CC142" s="4794">
        <f t="shared" si="307"/>
        <v>0</v>
      </c>
      <c r="CD142" s="4794">
        <f t="shared" si="308"/>
        <v>0</v>
      </c>
    </row>
    <row r="143" spans="1:82" s="44" customFormat="1">
      <c r="A143" s="3138">
        <v>11</v>
      </c>
      <c r="B143" s="3135">
        <v>91140102</v>
      </c>
      <c r="C143" s="3139">
        <v>0.04</v>
      </c>
      <c r="D143" s="2714" t="s">
        <v>432</v>
      </c>
      <c r="E143" s="3184"/>
      <c r="F143" s="418"/>
      <c r="G143" s="416"/>
      <c r="H143" s="416"/>
      <c r="I143" s="416"/>
      <c r="J143" s="416"/>
      <c r="K143" s="276"/>
      <c r="L143" s="3184"/>
      <c r="M143" s="418"/>
      <c r="N143" s="416"/>
      <c r="O143" s="416"/>
      <c r="P143" s="416"/>
      <c r="Q143" s="416"/>
      <c r="R143" s="276"/>
      <c r="S143" s="3184"/>
      <c r="T143" s="418"/>
      <c r="U143" s="416"/>
      <c r="V143" s="416"/>
      <c r="W143" s="416"/>
      <c r="X143" s="416"/>
      <c r="Y143" s="417"/>
      <c r="Z143" s="3184"/>
      <c r="AA143" s="418"/>
      <c r="AB143" s="416"/>
      <c r="AC143" s="416"/>
      <c r="AD143" s="416"/>
      <c r="AE143" s="416"/>
      <c r="AF143" s="417"/>
      <c r="AG143" s="3184"/>
      <c r="AH143" s="418"/>
      <c r="AI143" s="416"/>
      <c r="AJ143" s="416"/>
      <c r="AK143" s="416"/>
      <c r="AL143" s="416"/>
      <c r="AM143" s="417"/>
      <c r="AN143" s="3184"/>
      <c r="AO143" s="3189"/>
      <c r="AP143" s="3190"/>
      <c r="AQ143" s="3190"/>
      <c r="AR143" s="3190"/>
      <c r="AS143" s="3190"/>
      <c r="AT143" s="3191"/>
      <c r="AU143" s="4775"/>
      <c r="AV143" s="152"/>
      <c r="AW143" s="4794">
        <f t="shared" si="309"/>
        <v>0</v>
      </c>
      <c r="AX143" s="4794">
        <f t="shared" si="280"/>
        <v>0</v>
      </c>
      <c r="AY143" s="4794">
        <f t="shared" si="281"/>
        <v>0</v>
      </c>
      <c r="AZ143" s="4794">
        <f t="shared" si="282"/>
        <v>0</v>
      </c>
      <c r="BA143" s="4794">
        <f t="shared" si="283"/>
        <v>0</v>
      </c>
      <c r="BB143" s="4794">
        <f t="shared" si="284"/>
        <v>0</v>
      </c>
      <c r="BC143" s="152"/>
      <c r="BD143" s="4794">
        <f t="shared" si="285"/>
        <v>0</v>
      </c>
      <c r="BE143" s="4794">
        <f t="shared" si="286"/>
        <v>0</v>
      </c>
      <c r="BF143" s="4794">
        <f t="shared" si="287"/>
        <v>0</v>
      </c>
      <c r="BG143" s="4794">
        <f t="shared" si="288"/>
        <v>0</v>
      </c>
      <c r="BH143" s="4794">
        <f t="shared" si="289"/>
        <v>0</v>
      </c>
      <c r="BI143" s="4794">
        <f t="shared" si="290"/>
        <v>0</v>
      </c>
      <c r="BJ143" s="152"/>
      <c r="BK143" s="4794">
        <f t="shared" si="291"/>
        <v>0</v>
      </c>
      <c r="BL143" s="4794">
        <f t="shared" si="292"/>
        <v>0</v>
      </c>
      <c r="BM143" s="4794">
        <f t="shared" si="293"/>
        <v>0</v>
      </c>
      <c r="BN143" s="4794">
        <f t="shared" si="294"/>
        <v>0</v>
      </c>
      <c r="BO143" s="4794">
        <f t="shared" si="295"/>
        <v>0</v>
      </c>
      <c r="BP143" s="4794">
        <f t="shared" si="296"/>
        <v>0</v>
      </c>
      <c r="BQ143" s="152"/>
      <c r="BR143" s="4794">
        <f t="shared" si="297"/>
        <v>0</v>
      </c>
      <c r="BS143" s="4794">
        <f t="shared" si="298"/>
        <v>0</v>
      </c>
      <c r="BT143" s="4794">
        <f t="shared" si="299"/>
        <v>0</v>
      </c>
      <c r="BU143" s="4794">
        <f t="shared" si="300"/>
        <v>0</v>
      </c>
      <c r="BV143" s="4794">
        <f t="shared" si="301"/>
        <v>0</v>
      </c>
      <c r="BW143" s="4794">
        <f t="shared" si="302"/>
        <v>0</v>
      </c>
      <c r="BX143" s="152"/>
      <c r="BY143" s="4794">
        <f t="shared" si="303"/>
        <v>0</v>
      </c>
      <c r="BZ143" s="4794">
        <f t="shared" si="304"/>
        <v>0</v>
      </c>
      <c r="CA143" s="4794">
        <f t="shared" si="305"/>
        <v>0</v>
      </c>
      <c r="CB143" s="4794">
        <f t="shared" si="306"/>
        <v>0</v>
      </c>
      <c r="CC143" s="4794">
        <f t="shared" si="307"/>
        <v>0</v>
      </c>
      <c r="CD143" s="4794">
        <f t="shared" si="308"/>
        <v>0</v>
      </c>
    </row>
    <row r="144" spans="1:82" s="44" customFormat="1">
      <c r="A144" s="3138">
        <v>12</v>
      </c>
      <c r="B144" s="3135" t="s">
        <v>698</v>
      </c>
      <c r="C144" s="3137">
        <v>0.02</v>
      </c>
      <c r="D144" s="2715" t="s">
        <v>738</v>
      </c>
      <c r="E144" s="3184"/>
      <c r="F144" s="418"/>
      <c r="G144" s="416"/>
      <c r="H144" s="416"/>
      <c r="I144" s="416"/>
      <c r="J144" s="416"/>
      <c r="K144" s="276"/>
      <c r="L144" s="3184"/>
      <c r="M144" s="418"/>
      <c r="N144" s="416"/>
      <c r="O144" s="416"/>
      <c r="P144" s="416"/>
      <c r="Q144" s="416"/>
      <c r="R144" s="276"/>
      <c r="S144" s="3184"/>
      <c r="T144" s="418"/>
      <c r="U144" s="416"/>
      <c r="V144" s="416"/>
      <c r="W144" s="416"/>
      <c r="X144" s="416"/>
      <c r="Y144" s="417"/>
      <c r="Z144" s="3184"/>
      <c r="AA144" s="418"/>
      <c r="AB144" s="416"/>
      <c r="AC144" s="416"/>
      <c r="AD144" s="416"/>
      <c r="AE144" s="416"/>
      <c r="AF144" s="417"/>
      <c r="AG144" s="3184"/>
      <c r="AH144" s="418"/>
      <c r="AI144" s="416"/>
      <c r="AJ144" s="416"/>
      <c r="AK144" s="416"/>
      <c r="AL144" s="416"/>
      <c r="AM144" s="417"/>
      <c r="AN144" s="3184"/>
      <c r="AO144" s="3189"/>
      <c r="AP144" s="3190"/>
      <c r="AQ144" s="3190"/>
      <c r="AR144" s="3190"/>
      <c r="AS144" s="3190"/>
      <c r="AT144" s="3191"/>
      <c r="AU144" s="4775"/>
      <c r="AV144" s="152"/>
      <c r="AW144" s="4794">
        <f t="shared" si="309"/>
        <v>0</v>
      </c>
      <c r="AX144" s="4794">
        <f t="shared" si="280"/>
        <v>0</v>
      </c>
      <c r="AY144" s="4794">
        <f t="shared" si="281"/>
        <v>0</v>
      </c>
      <c r="AZ144" s="4794">
        <f t="shared" si="282"/>
        <v>0</v>
      </c>
      <c r="BA144" s="4794">
        <f t="shared" si="283"/>
        <v>0</v>
      </c>
      <c r="BB144" s="4794">
        <f t="shared" si="284"/>
        <v>0</v>
      </c>
      <c r="BC144" s="152"/>
      <c r="BD144" s="4794">
        <f t="shared" si="285"/>
        <v>0</v>
      </c>
      <c r="BE144" s="4794">
        <f t="shared" si="286"/>
        <v>0</v>
      </c>
      <c r="BF144" s="4794">
        <f t="shared" si="287"/>
        <v>0</v>
      </c>
      <c r="BG144" s="4794">
        <f t="shared" si="288"/>
        <v>0</v>
      </c>
      <c r="BH144" s="4794">
        <f t="shared" si="289"/>
        <v>0</v>
      </c>
      <c r="BI144" s="4794">
        <f t="shared" si="290"/>
        <v>0</v>
      </c>
      <c r="BJ144" s="152"/>
      <c r="BK144" s="4794">
        <f t="shared" si="291"/>
        <v>0</v>
      </c>
      <c r="BL144" s="4794">
        <f t="shared" si="292"/>
        <v>0</v>
      </c>
      <c r="BM144" s="4794">
        <f t="shared" si="293"/>
        <v>0</v>
      </c>
      <c r="BN144" s="4794">
        <f t="shared" si="294"/>
        <v>0</v>
      </c>
      <c r="BO144" s="4794">
        <f t="shared" si="295"/>
        <v>0</v>
      </c>
      <c r="BP144" s="4794">
        <f t="shared" si="296"/>
        <v>0</v>
      </c>
      <c r="BQ144" s="152"/>
      <c r="BR144" s="4794">
        <f t="shared" si="297"/>
        <v>0</v>
      </c>
      <c r="BS144" s="4794">
        <f t="shared" si="298"/>
        <v>0</v>
      </c>
      <c r="BT144" s="4794">
        <f t="shared" si="299"/>
        <v>0</v>
      </c>
      <c r="BU144" s="4794">
        <f t="shared" si="300"/>
        <v>0</v>
      </c>
      <c r="BV144" s="4794">
        <f t="shared" si="301"/>
        <v>0</v>
      </c>
      <c r="BW144" s="4794">
        <f t="shared" si="302"/>
        <v>0</v>
      </c>
      <c r="BX144" s="152"/>
      <c r="BY144" s="4794">
        <f t="shared" si="303"/>
        <v>0</v>
      </c>
      <c r="BZ144" s="4794">
        <f t="shared" si="304"/>
        <v>0</v>
      </c>
      <c r="CA144" s="4794">
        <f t="shared" si="305"/>
        <v>0</v>
      </c>
      <c r="CB144" s="4794">
        <f t="shared" si="306"/>
        <v>0</v>
      </c>
      <c r="CC144" s="4794">
        <f t="shared" si="307"/>
        <v>0</v>
      </c>
      <c r="CD144" s="4794">
        <f t="shared" si="308"/>
        <v>0</v>
      </c>
    </row>
    <row r="145" spans="1:82" s="44" customFormat="1">
      <c r="A145" s="3138">
        <v>13</v>
      </c>
      <c r="B145" s="3135" t="s">
        <v>699</v>
      </c>
      <c r="C145" s="3137">
        <v>0.02</v>
      </c>
      <c r="D145" s="2715" t="s">
        <v>739</v>
      </c>
      <c r="E145" s="3184"/>
      <c r="F145" s="418"/>
      <c r="G145" s="416"/>
      <c r="H145" s="416"/>
      <c r="I145" s="416"/>
      <c r="J145" s="416"/>
      <c r="K145" s="276"/>
      <c r="L145" s="3184"/>
      <c r="M145" s="418"/>
      <c r="N145" s="416"/>
      <c r="O145" s="416"/>
      <c r="P145" s="416"/>
      <c r="Q145" s="416"/>
      <c r="R145" s="276"/>
      <c r="S145" s="3184"/>
      <c r="T145" s="418"/>
      <c r="U145" s="416"/>
      <c r="V145" s="416"/>
      <c r="W145" s="416"/>
      <c r="X145" s="416"/>
      <c r="Y145" s="417"/>
      <c r="Z145" s="3184"/>
      <c r="AA145" s="418"/>
      <c r="AB145" s="416"/>
      <c r="AC145" s="416"/>
      <c r="AD145" s="416"/>
      <c r="AE145" s="416"/>
      <c r="AF145" s="417"/>
      <c r="AG145" s="3184"/>
      <c r="AH145" s="418"/>
      <c r="AI145" s="416"/>
      <c r="AJ145" s="416"/>
      <c r="AK145" s="416"/>
      <c r="AL145" s="416"/>
      <c r="AM145" s="417"/>
      <c r="AN145" s="3184"/>
      <c r="AO145" s="3189"/>
      <c r="AP145" s="3190"/>
      <c r="AQ145" s="3190"/>
      <c r="AR145" s="3190"/>
      <c r="AS145" s="3190"/>
      <c r="AT145" s="3191"/>
      <c r="AU145" s="4775"/>
      <c r="AV145" s="152"/>
      <c r="AW145" s="4794">
        <f t="shared" si="309"/>
        <v>0</v>
      </c>
      <c r="AX145" s="4794">
        <f t="shared" si="280"/>
        <v>0</v>
      </c>
      <c r="AY145" s="4794">
        <f t="shared" si="281"/>
        <v>0</v>
      </c>
      <c r="AZ145" s="4794">
        <f t="shared" si="282"/>
        <v>0</v>
      </c>
      <c r="BA145" s="4794">
        <f t="shared" si="283"/>
        <v>0</v>
      </c>
      <c r="BB145" s="4794">
        <f t="shared" si="284"/>
        <v>0</v>
      </c>
      <c r="BC145" s="152"/>
      <c r="BD145" s="4794">
        <f t="shared" si="285"/>
        <v>0</v>
      </c>
      <c r="BE145" s="4794">
        <f t="shared" si="286"/>
        <v>0</v>
      </c>
      <c r="BF145" s="4794">
        <f t="shared" si="287"/>
        <v>0</v>
      </c>
      <c r="BG145" s="4794">
        <f t="shared" si="288"/>
        <v>0</v>
      </c>
      <c r="BH145" s="4794">
        <f t="shared" si="289"/>
        <v>0</v>
      </c>
      <c r="BI145" s="4794">
        <f t="shared" si="290"/>
        <v>0</v>
      </c>
      <c r="BJ145" s="152"/>
      <c r="BK145" s="4794">
        <f t="shared" si="291"/>
        <v>0</v>
      </c>
      <c r="BL145" s="4794">
        <f t="shared" si="292"/>
        <v>0</v>
      </c>
      <c r="BM145" s="4794">
        <f t="shared" si="293"/>
        <v>0</v>
      </c>
      <c r="BN145" s="4794">
        <f t="shared" si="294"/>
        <v>0</v>
      </c>
      <c r="BO145" s="4794">
        <f t="shared" si="295"/>
        <v>0</v>
      </c>
      <c r="BP145" s="4794">
        <f t="shared" si="296"/>
        <v>0</v>
      </c>
      <c r="BQ145" s="152"/>
      <c r="BR145" s="4794">
        <f t="shared" si="297"/>
        <v>0</v>
      </c>
      <c r="BS145" s="4794">
        <f t="shared" si="298"/>
        <v>0</v>
      </c>
      <c r="BT145" s="4794">
        <f t="shared" si="299"/>
        <v>0</v>
      </c>
      <c r="BU145" s="4794">
        <f t="shared" si="300"/>
        <v>0</v>
      </c>
      <c r="BV145" s="4794">
        <f t="shared" si="301"/>
        <v>0</v>
      </c>
      <c r="BW145" s="4794">
        <f t="shared" si="302"/>
        <v>0</v>
      </c>
      <c r="BX145" s="152"/>
      <c r="BY145" s="4794">
        <f t="shared" si="303"/>
        <v>0</v>
      </c>
      <c r="BZ145" s="4794">
        <f t="shared" si="304"/>
        <v>0</v>
      </c>
      <c r="CA145" s="4794">
        <f t="shared" si="305"/>
        <v>0</v>
      </c>
      <c r="CB145" s="4794">
        <f t="shared" si="306"/>
        <v>0</v>
      </c>
      <c r="CC145" s="4794">
        <f t="shared" si="307"/>
        <v>0</v>
      </c>
      <c r="CD145" s="4794">
        <f t="shared" si="308"/>
        <v>0</v>
      </c>
    </row>
    <row r="146" spans="1:82" s="44" customFormat="1">
      <c r="A146" s="3138">
        <v>14</v>
      </c>
      <c r="B146" s="3135" t="s">
        <v>700</v>
      </c>
      <c r="C146" s="3137">
        <v>0.02</v>
      </c>
      <c r="D146" s="2715" t="s">
        <v>418</v>
      </c>
      <c r="E146" s="3184"/>
      <c r="F146" s="418"/>
      <c r="G146" s="416"/>
      <c r="H146" s="416"/>
      <c r="I146" s="416"/>
      <c r="J146" s="416"/>
      <c r="K146" s="276"/>
      <c r="L146" s="3184"/>
      <c r="M146" s="418"/>
      <c r="N146" s="416"/>
      <c r="O146" s="416"/>
      <c r="P146" s="416"/>
      <c r="Q146" s="416"/>
      <c r="R146" s="276"/>
      <c r="S146" s="3184"/>
      <c r="T146" s="418"/>
      <c r="U146" s="416"/>
      <c r="V146" s="416"/>
      <c r="W146" s="416"/>
      <c r="X146" s="416"/>
      <c r="Y146" s="417"/>
      <c r="Z146" s="3184"/>
      <c r="AA146" s="418"/>
      <c r="AB146" s="416"/>
      <c r="AC146" s="416"/>
      <c r="AD146" s="416"/>
      <c r="AE146" s="416"/>
      <c r="AF146" s="417"/>
      <c r="AG146" s="3184"/>
      <c r="AH146" s="418"/>
      <c r="AI146" s="416"/>
      <c r="AJ146" s="416"/>
      <c r="AK146" s="416"/>
      <c r="AL146" s="416"/>
      <c r="AM146" s="417"/>
      <c r="AN146" s="3184"/>
      <c r="AO146" s="3189"/>
      <c r="AP146" s="3190"/>
      <c r="AQ146" s="3190"/>
      <c r="AR146" s="3190"/>
      <c r="AS146" s="3190"/>
      <c r="AT146" s="3191"/>
      <c r="AU146" s="4775"/>
      <c r="AV146" s="152"/>
      <c r="AW146" s="4794">
        <f t="shared" si="309"/>
        <v>0</v>
      </c>
      <c r="AX146" s="4794">
        <f t="shared" si="280"/>
        <v>0</v>
      </c>
      <c r="AY146" s="4794">
        <f t="shared" si="281"/>
        <v>0</v>
      </c>
      <c r="AZ146" s="4794">
        <f t="shared" si="282"/>
        <v>0</v>
      </c>
      <c r="BA146" s="4794">
        <f t="shared" si="283"/>
        <v>0</v>
      </c>
      <c r="BB146" s="4794">
        <f t="shared" si="284"/>
        <v>0</v>
      </c>
      <c r="BC146" s="152"/>
      <c r="BD146" s="4794">
        <f t="shared" si="285"/>
        <v>0</v>
      </c>
      <c r="BE146" s="4794">
        <f t="shared" si="286"/>
        <v>0</v>
      </c>
      <c r="BF146" s="4794">
        <f t="shared" si="287"/>
        <v>0</v>
      </c>
      <c r="BG146" s="4794">
        <f t="shared" si="288"/>
        <v>0</v>
      </c>
      <c r="BH146" s="4794">
        <f t="shared" si="289"/>
        <v>0</v>
      </c>
      <c r="BI146" s="4794">
        <f t="shared" si="290"/>
        <v>0</v>
      </c>
      <c r="BJ146" s="152"/>
      <c r="BK146" s="4794">
        <f t="shared" si="291"/>
        <v>0</v>
      </c>
      <c r="BL146" s="4794">
        <f t="shared" si="292"/>
        <v>0</v>
      </c>
      <c r="BM146" s="4794">
        <f t="shared" si="293"/>
        <v>0</v>
      </c>
      <c r="BN146" s="4794">
        <f t="shared" si="294"/>
        <v>0</v>
      </c>
      <c r="BO146" s="4794">
        <f t="shared" si="295"/>
        <v>0</v>
      </c>
      <c r="BP146" s="4794">
        <f t="shared" si="296"/>
        <v>0</v>
      </c>
      <c r="BQ146" s="152"/>
      <c r="BR146" s="4794">
        <f t="shared" si="297"/>
        <v>0</v>
      </c>
      <c r="BS146" s="4794">
        <f t="shared" si="298"/>
        <v>0</v>
      </c>
      <c r="BT146" s="4794">
        <f t="shared" si="299"/>
        <v>0</v>
      </c>
      <c r="BU146" s="4794">
        <f t="shared" si="300"/>
        <v>0</v>
      </c>
      <c r="BV146" s="4794">
        <f t="shared" si="301"/>
        <v>0</v>
      </c>
      <c r="BW146" s="4794">
        <f t="shared" si="302"/>
        <v>0</v>
      </c>
      <c r="BX146" s="152"/>
      <c r="BY146" s="4794">
        <f t="shared" si="303"/>
        <v>0</v>
      </c>
      <c r="BZ146" s="4794">
        <f t="shared" si="304"/>
        <v>0</v>
      </c>
      <c r="CA146" s="4794">
        <f t="shared" si="305"/>
        <v>0</v>
      </c>
      <c r="CB146" s="4794">
        <f t="shared" si="306"/>
        <v>0</v>
      </c>
      <c r="CC146" s="4794">
        <f t="shared" si="307"/>
        <v>0</v>
      </c>
      <c r="CD146" s="4794">
        <f t="shared" si="308"/>
        <v>0</v>
      </c>
    </row>
    <row r="147" spans="1:82" s="44" customFormat="1">
      <c r="A147" s="3138">
        <v>15</v>
      </c>
      <c r="B147" s="3135" t="s">
        <v>701</v>
      </c>
      <c r="C147" s="3137">
        <v>0.02</v>
      </c>
      <c r="D147" s="2714" t="s">
        <v>419</v>
      </c>
      <c r="E147" s="3184"/>
      <c r="F147" s="418"/>
      <c r="G147" s="416"/>
      <c r="H147" s="416"/>
      <c r="I147" s="416"/>
      <c r="J147" s="416"/>
      <c r="K147" s="276"/>
      <c r="L147" s="3184"/>
      <c r="M147" s="418"/>
      <c r="N147" s="416"/>
      <c r="O147" s="416"/>
      <c r="P147" s="416"/>
      <c r="Q147" s="416"/>
      <c r="R147" s="276"/>
      <c r="S147" s="3184"/>
      <c r="T147" s="418"/>
      <c r="U147" s="416"/>
      <c r="V147" s="416"/>
      <c r="W147" s="416"/>
      <c r="X147" s="416"/>
      <c r="Y147" s="417"/>
      <c r="Z147" s="3184"/>
      <c r="AA147" s="418"/>
      <c r="AB147" s="416"/>
      <c r="AC147" s="416"/>
      <c r="AD147" s="416"/>
      <c r="AE147" s="416"/>
      <c r="AF147" s="417"/>
      <c r="AG147" s="3184"/>
      <c r="AH147" s="418"/>
      <c r="AI147" s="416"/>
      <c r="AJ147" s="416"/>
      <c r="AK147" s="416"/>
      <c r="AL147" s="416"/>
      <c r="AM147" s="417"/>
      <c r="AN147" s="3184"/>
      <c r="AO147" s="3189"/>
      <c r="AP147" s="3190"/>
      <c r="AQ147" s="3190"/>
      <c r="AR147" s="3190"/>
      <c r="AS147" s="3190"/>
      <c r="AT147" s="3191"/>
      <c r="AU147" s="4775"/>
      <c r="AV147" s="152"/>
      <c r="AW147" s="4794">
        <f t="shared" si="309"/>
        <v>0</v>
      </c>
      <c r="AX147" s="4794">
        <f t="shared" si="280"/>
        <v>0</v>
      </c>
      <c r="AY147" s="4794">
        <f t="shared" si="281"/>
        <v>0</v>
      </c>
      <c r="AZ147" s="4794">
        <f t="shared" si="282"/>
        <v>0</v>
      </c>
      <c r="BA147" s="4794">
        <f t="shared" si="283"/>
        <v>0</v>
      </c>
      <c r="BB147" s="4794">
        <f t="shared" si="284"/>
        <v>0</v>
      </c>
      <c r="BC147" s="152"/>
      <c r="BD147" s="4794">
        <f t="shared" si="285"/>
        <v>0</v>
      </c>
      <c r="BE147" s="4794">
        <f t="shared" si="286"/>
        <v>0</v>
      </c>
      <c r="BF147" s="4794">
        <f t="shared" si="287"/>
        <v>0</v>
      </c>
      <c r="BG147" s="4794">
        <f t="shared" si="288"/>
        <v>0</v>
      </c>
      <c r="BH147" s="4794">
        <f t="shared" si="289"/>
        <v>0</v>
      </c>
      <c r="BI147" s="4794">
        <f t="shared" si="290"/>
        <v>0</v>
      </c>
      <c r="BJ147" s="152"/>
      <c r="BK147" s="4794">
        <f t="shared" si="291"/>
        <v>0</v>
      </c>
      <c r="BL147" s="4794">
        <f t="shared" si="292"/>
        <v>0</v>
      </c>
      <c r="BM147" s="4794">
        <f t="shared" si="293"/>
        <v>0</v>
      </c>
      <c r="BN147" s="4794">
        <f t="shared" si="294"/>
        <v>0</v>
      </c>
      <c r="BO147" s="4794">
        <f t="shared" si="295"/>
        <v>0</v>
      </c>
      <c r="BP147" s="4794">
        <f t="shared" si="296"/>
        <v>0</v>
      </c>
      <c r="BQ147" s="152"/>
      <c r="BR147" s="4794">
        <f t="shared" si="297"/>
        <v>0</v>
      </c>
      <c r="BS147" s="4794">
        <f t="shared" si="298"/>
        <v>0</v>
      </c>
      <c r="BT147" s="4794">
        <f t="shared" si="299"/>
        <v>0</v>
      </c>
      <c r="BU147" s="4794">
        <f t="shared" si="300"/>
        <v>0</v>
      </c>
      <c r="BV147" s="4794">
        <f t="shared" si="301"/>
        <v>0</v>
      </c>
      <c r="BW147" s="4794">
        <f t="shared" si="302"/>
        <v>0</v>
      </c>
      <c r="BX147" s="152"/>
      <c r="BY147" s="4794">
        <f t="shared" si="303"/>
        <v>0</v>
      </c>
      <c r="BZ147" s="4794">
        <f t="shared" si="304"/>
        <v>0</v>
      </c>
      <c r="CA147" s="4794">
        <f t="shared" si="305"/>
        <v>0</v>
      </c>
      <c r="CB147" s="4794">
        <f t="shared" si="306"/>
        <v>0</v>
      </c>
      <c r="CC147" s="4794">
        <f t="shared" si="307"/>
        <v>0</v>
      </c>
      <c r="CD147" s="4794">
        <f t="shared" si="308"/>
        <v>0</v>
      </c>
    </row>
    <row r="148" spans="1:82" s="44" customFormat="1">
      <c r="A148" s="3138">
        <v>16</v>
      </c>
      <c r="B148" s="3135" t="s">
        <v>702</v>
      </c>
      <c r="C148" s="3137">
        <v>0.02</v>
      </c>
      <c r="D148" s="2715" t="s">
        <v>420</v>
      </c>
      <c r="E148" s="3184"/>
      <c r="F148" s="418"/>
      <c r="G148" s="416"/>
      <c r="H148" s="416"/>
      <c r="I148" s="416"/>
      <c r="J148" s="416"/>
      <c r="K148" s="276"/>
      <c r="L148" s="3184"/>
      <c r="M148" s="418"/>
      <c r="N148" s="416"/>
      <c r="O148" s="416"/>
      <c r="P148" s="416"/>
      <c r="Q148" s="416"/>
      <c r="R148" s="276"/>
      <c r="S148" s="3184"/>
      <c r="T148" s="418"/>
      <c r="U148" s="416"/>
      <c r="V148" s="416"/>
      <c r="W148" s="416"/>
      <c r="X148" s="416"/>
      <c r="Y148" s="417"/>
      <c r="Z148" s="3184"/>
      <c r="AA148" s="418"/>
      <c r="AB148" s="416"/>
      <c r="AC148" s="416"/>
      <c r="AD148" s="416"/>
      <c r="AE148" s="416"/>
      <c r="AF148" s="417"/>
      <c r="AG148" s="3184"/>
      <c r="AH148" s="418"/>
      <c r="AI148" s="416"/>
      <c r="AJ148" s="416"/>
      <c r="AK148" s="416"/>
      <c r="AL148" s="416"/>
      <c r="AM148" s="417"/>
      <c r="AN148" s="3184"/>
      <c r="AO148" s="3189"/>
      <c r="AP148" s="3190"/>
      <c r="AQ148" s="3190"/>
      <c r="AR148" s="3190"/>
      <c r="AS148" s="3190"/>
      <c r="AT148" s="3191"/>
      <c r="AU148" s="4775"/>
      <c r="AV148" s="152"/>
      <c r="AW148" s="4794">
        <f t="shared" si="309"/>
        <v>0</v>
      </c>
      <c r="AX148" s="4794">
        <f t="shared" si="280"/>
        <v>0</v>
      </c>
      <c r="AY148" s="4794">
        <f t="shared" si="281"/>
        <v>0</v>
      </c>
      <c r="AZ148" s="4794">
        <f t="shared" si="282"/>
        <v>0</v>
      </c>
      <c r="BA148" s="4794">
        <f t="shared" si="283"/>
        <v>0</v>
      </c>
      <c r="BB148" s="4794">
        <f t="shared" si="284"/>
        <v>0</v>
      </c>
      <c r="BC148" s="152"/>
      <c r="BD148" s="4794">
        <f t="shared" si="285"/>
        <v>0</v>
      </c>
      <c r="BE148" s="4794">
        <f t="shared" si="286"/>
        <v>0</v>
      </c>
      <c r="BF148" s="4794">
        <f t="shared" si="287"/>
        <v>0</v>
      </c>
      <c r="BG148" s="4794">
        <f t="shared" si="288"/>
        <v>0</v>
      </c>
      <c r="BH148" s="4794">
        <f t="shared" si="289"/>
        <v>0</v>
      </c>
      <c r="BI148" s="4794">
        <f t="shared" si="290"/>
        <v>0</v>
      </c>
      <c r="BJ148" s="152"/>
      <c r="BK148" s="4794">
        <f t="shared" si="291"/>
        <v>0</v>
      </c>
      <c r="BL148" s="4794">
        <f t="shared" si="292"/>
        <v>0</v>
      </c>
      <c r="BM148" s="4794">
        <f t="shared" si="293"/>
        <v>0</v>
      </c>
      <c r="BN148" s="4794">
        <f t="shared" si="294"/>
        <v>0</v>
      </c>
      <c r="BO148" s="4794">
        <f t="shared" si="295"/>
        <v>0</v>
      </c>
      <c r="BP148" s="4794">
        <f t="shared" si="296"/>
        <v>0</v>
      </c>
      <c r="BQ148" s="152"/>
      <c r="BR148" s="4794">
        <f t="shared" si="297"/>
        <v>0</v>
      </c>
      <c r="BS148" s="4794">
        <f t="shared" si="298"/>
        <v>0</v>
      </c>
      <c r="BT148" s="4794">
        <f t="shared" si="299"/>
        <v>0</v>
      </c>
      <c r="BU148" s="4794">
        <f t="shared" si="300"/>
        <v>0</v>
      </c>
      <c r="BV148" s="4794">
        <f t="shared" si="301"/>
        <v>0</v>
      </c>
      <c r="BW148" s="4794">
        <f t="shared" si="302"/>
        <v>0</v>
      </c>
      <c r="BX148" s="152"/>
      <c r="BY148" s="4794">
        <f t="shared" si="303"/>
        <v>0</v>
      </c>
      <c r="BZ148" s="4794">
        <f t="shared" si="304"/>
        <v>0</v>
      </c>
      <c r="CA148" s="4794">
        <f t="shared" si="305"/>
        <v>0</v>
      </c>
      <c r="CB148" s="4794">
        <f t="shared" si="306"/>
        <v>0</v>
      </c>
      <c r="CC148" s="4794">
        <f t="shared" si="307"/>
        <v>0</v>
      </c>
      <c r="CD148" s="4794">
        <f t="shared" si="308"/>
        <v>0</v>
      </c>
    </row>
    <row r="149" spans="1:82" s="44" customFormat="1">
      <c r="A149" s="3138">
        <v>17</v>
      </c>
      <c r="B149" s="3135" t="s">
        <v>703</v>
      </c>
      <c r="C149" s="3137">
        <v>0.02</v>
      </c>
      <c r="D149" s="2720" t="s">
        <v>421</v>
      </c>
      <c r="E149" s="3184"/>
      <c r="F149" s="418"/>
      <c r="G149" s="416"/>
      <c r="H149" s="416"/>
      <c r="I149" s="416"/>
      <c r="J149" s="416"/>
      <c r="K149" s="276"/>
      <c r="L149" s="3184"/>
      <c r="M149" s="418"/>
      <c r="N149" s="416"/>
      <c r="O149" s="416"/>
      <c r="P149" s="416"/>
      <c r="Q149" s="416"/>
      <c r="R149" s="276"/>
      <c r="S149" s="3184"/>
      <c r="T149" s="418"/>
      <c r="U149" s="416"/>
      <c r="V149" s="416"/>
      <c r="W149" s="416"/>
      <c r="X149" s="416"/>
      <c r="Y149" s="417"/>
      <c r="Z149" s="3184"/>
      <c r="AA149" s="418"/>
      <c r="AB149" s="416"/>
      <c r="AC149" s="416"/>
      <c r="AD149" s="416"/>
      <c r="AE149" s="416"/>
      <c r="AF149" s="417"/>
      <c r="AG149" s="3184"/>
      <c r="AH149" s="418"/>
      <c r="AI149" s="416"/>
      <c r="AJ149" s="416"/>
      <c r="AK149" s="416"/>
      <c r="AL149" s="416"/>
      <c r="AM149" s="417"/>
      <c r="AN149" s="3184"/>
      <c r="AO149" s="3189"/>
      <c r="AP149" s="3190"/>
      <c r="AQ149" s="3190"/>
      <c r="AR149" s="3190"/>
      <c r="AS149" s="3190"/>
      <c r="AT149" s="3191"/>
      <c r="AU149" s="4775"/>
      <c r="AV149" s="152"/>
      <c r="AW149" s="4794">
        <f t="shared" si="309"/>
        <v>0</v>
      </c>
      <c r="AX149" s="4794">
        <f t="shared" si="280"/>
        <v>0</v>
      </c>
      <c r="AY149" s="4794">
        <f t="shared" si="281"/>
        <v>0</v>
      </c>
      <c r="AZ149" s="4794">
        <f t="shared" si="282"/>
        <v>0</v>
      </c>
      <c r="BA149" s="4794">
        <f t="shared" si="283"/>
        <v>0</v>
      </c>
      <c r="BB149" s="4794">
        <f t="shared" si="284"/>
        <v>0</v>
      </c>
      <c r="BC149" s="152"/>
      <c r="BD149" s="4794">
        <f t="shared" si="285"/>
        <v>0</v>
      </c>
      <c r="BE149" s="4794">
        <f t="shared" si="286"/>
        <v>0</v>
      </c>
      <c r="BF149" s="4794">
        <f t="shared" si="287"/>
        <v>0</v>
      </c>
      <c r="BG149" s="4794">
        <f t="shared" si="288"/>
        <v>0</v>
      </c>
      <c r="BH149" s="4794">
        <f t="shared" si="289"/>
        <v>0</v>
      </c>
      <c r="BI149" s="4794">
        <f t="shared" si="290"/>
        <v>0</v>
      </c>
      <c r="BJ149" s="152"/>
      <c r="BK149" s="4794">
        <f t="shared" si="291"/>
        <v>0</v>
      </c>
      <c r="BL149" s="4794">
        <f t="shared" si="292"/>
        <v>0</v>
      </c>
      <c r="BM149" s="4794">
        <f t="shared" si="293"/>
        <v>0</v>
      </c>
      <c r="BN149" s="4794">
        <f t="shared" si="294"/>
        <v>0</v>
      </c>
      <c r="BO149" s="4794">
        <f t="shared" si="295"/>
        <v>0</v>
      </c>
      <c r="BP149" s="4794">
        <f t="shared" si="296"/>
        <v>0</v>
      </c>
      <c r="BQ149" s="152"/>
      <c r="BR149" s="4794">
        <f t="shared" si="297"/>
        <v>0</v>
      </c>
      <c r="BS149" s="4794">
        <f t="shared" si="298"/>
        <v>0</v>
      </c>
      <c r="BT149" s="4794">
        <f t="shared" si="299"/>
        <v>0</v>
      </c>
      <c r="BU149" s="4794">
        <f t="shared" si="300"/>
        <v>0</v>
      </c>
      <c r="BV149" s="4794">
        <f t="shared" si="301"/>
        <v>0</v>
      </c>
      <c r="BW149" s="4794">
        <f t="shared" si="302"/>
        <v>0</v>
      </c>
      <c r="BX149" s="152"/>
      <c r="BY149" s="4794">
        <f t="shared" si="303"/>
        <v>0</v>
      </c>
      <c r="BZ149" s="4794">
        <f t="shared" si="304"/>
        <v>0</v>
      </c>
      <c r="CA149" s="4794">
        <f t="shared" si="305"/>
        <v>0</v>
      </c>
      <c r="CB149" s="4794">
        <f t="shared" si="306"/>
        <v>0</v>
      </c>
      <c r="CC149" s="4794">
        <f t="shared" si="307"/>
        <v>0</v>
      </c>
      <c r="CD149" s="4794">
        <f t="shared" si="308"/>
        <v>0</v>
      </c>
    </row>
    <row r="150" spans="1:82" s="44" customFormat="1" ht="24">
      <c r="A150" s="3138">
        <v>18</v>
      </c>
      <c r="B150" s="3135" t="s">
        <v>704</v>
      </c>
      <c r="C150" s="3137">
        <v>0.04</v>
      </c>
      <c r="D150" s="2720" t="s">
        <v>422</v>
      </c>
      <c r="E150" s="3184"/>
      <c r="F150" s="418"/>
      <c r="G150" s="416"/>
      <c r="H150" s="416"/>
      <c r="I150" s="416"/>
      <c r="J150" s="416"/>
      <c r="K150" s="276"/>
      <c r="L150" s="3184"/>
      <c r="M150" s="418"/>
      <c r="N150" s="416"/>
      <c r="O150" s="416"/>
      <c r="P150" s="416"/>
      <c r="Q150" s="416"/>
      <c r="R150" s="276"/>
      <c r="S150" s="3184"/>
      <c r="T150" s="418"/>
      <c r="U150" s="416"/>
      <c r="V150" s="416"/>
      <c r="W150" s="416"/>
      <c r="X150" s="416"/>
      <c r="Y150" s="417"/>
      <c r="Z150" s="3184"/>
      <c r="AA150" s="418"/>
      <c r="AB150" s="416"/>
      <c r="AC150" s="416"/>
      <c r="AD150" s="416"/>
      <c r="AE150" s="416"/>
      <c r="AF150" s="417"/>
      <c r="AG150" s="3184"/>
      <c r="AH150" s="418"/>
      <c r="AI150" s="416"/>
      <c r="AJ150" s="416"/>
      <c r="AK150" s="416"/>
      <c r="AL150" s="416"/>
      <c r="AM150" s="417"/>
      <c r="AN150" s="3184"/>
      <c r="AO150" s="3189"/>
      <c r="AP150" s="3190"/>
      <c r="AQ150" s="3190"/>
      <c r="AR150" s="3190"/>
      <c r="AS150" s="3190"/>
      <c r="AT150" s="3191"/>
      <c r="AU150" s="4775"/>
      <c r="AV150" s="152"/>
      <c r="AW150" s="4794">
        <f t="shared" si="309"/>
        <v>0</v>
      </c>
      <c r="AX150" s="4794">
        <f t="shared" si="280"/>
        <v>0</v>
      </c>
      <c r="AY150" s="4794">
        <f t="shared" si="281"/>
        <v>0</v>
      </c>
      <c r="AZ150" s="4794">
        <f t="shared" si="282"/>
        <v>0</v>
      </c>
      <c r="BA150" s="4794">
        <f t="shared" si="283"/>
        <v>0</v>
      </c>
      <c r="BB150" s="4794">
        <f t="shared" si="284"/>
        <v>0</v>
      </c>
      <c r="BC150" s="152"/>
      <c r="BD150" s="4794">
        <f t="shared" si="285"/>
        <v>0</v>
      </c>
      <c r="BE150" s="4794">
        <f t="shared" si="286"/>
        <v>0</v>
      </c>
      <c r="BF150" s="4794">
        <f t="shared" si="287"/>
        <v>0</v>
      </c>
      <c r="BG150" s="4794">
        <f t="shared" si="288"/>
        <v>0</v>
      </c>
      <c r="BH150" s="4794">
        <f t="shared" si="289"/>
        <v>0</v>
      </c>
      <c r="BI150" s="4794">
        <f t="shared" si="290"/>
        <v>0</v>
      </c>
      <c r="BJ150" s="152"/>
      <c r="BK150" s="4794">
        <f t="shared" si="291"/>
        <v>0</v>
      </c>
      <c r="BL150" s="4794">
        <f t="shared" si="292"/>
        <v>0</v>
      </c>
      <c r="BM150" s="4794">
        <f t="shared" si="293"/>
        <v>0</v>
      </c>
      <c r="BN150" s="4794">
        <f t="shared" si="294"/>
        <v>0</v>
      </c>
      <c r="BO150" s="4794">
        <f t="shared" si="295"/>
        <v>0</v>
      </c>
      <c r="BP150" s="4794">
        <f t="shared" si="296"/>
        <v>0</v>
      </c>
      <c r="BQ150" s="152"/>
      <c r="BR150" s="4794">
        <f t="shared" si="297"/>
        <v>0</v>
      </c>
      <c r="BS150" s="4794">
        <f t="shared" si="298"/>
        <v>0</v>
      </c>
      <c r="BT150" s="4794">
        <f t="shared" si="299"/>
        <v>0</v>
      </c>
      <c r="BU150" s="4794">
        <f t="shared" si="300"/>
        <v>0</v>
      </c>
      <c r="BV150" s="4794">
        <f t="shared" si="301"/>
        <v>0</v>
      </c>
      <c r="BW150" s="4794">
        <f t="shared" si="302"/>
        <v>0</v>
      </c>
      <c r="BX150" s="152"/>
      <c r="BY150" s="4794">
        <f t="shared" si="303"/>
        <v>0</v>
      </c>
      <c r="BZ150" s="4794">
        <f t="shared" si="304"/>
        <v>0</v>
      </c>
      <c r="CA150" s="4794">
        <f t="shared" si="305"/>
        <v>0</v>
      </c>
      <c r="CB150" s="4794">
        <f t="shared" si="306"/>
        <v>0</v>
      </c>
      <c r="CC150" s="4794">
        <f t="shared" si="307"/>
        <v>0</v>
      </c>
      <c r="CD150" s="4794">
        <f t="shared" si="308"/>
        <v>0</v>
      </c>
    </row>
    <row r="151" spans="1:82" s="44" customFormat="1">
      <c r="A151" s="3138">
        <v>19</v>
      </c>
      <c r="B151" s="3135" t="s">
        <v>705</v>
      </c>
      <c r="C151" s="3137">
        <v>0.04</v>
      </c>
      <c r="D151" s="2720" t="s">
        <v>423</v>
      </c>
      <c r="E151" s="3184"/>
      <c r="F151" s="418"/>
      <c r="G151" s="416"/>
      <c r="H151" s="416"/>
      <c r="I151" s="416"/>
      <c r="J151" s="416"/>
      <c r="K151" s="276"/>
      <c r="L151" s="3184"/>
      <c r="M151" s="418"/>
      <c r="N151" s="416"/>
      <c r="O151" s="416"/>
      <c r="P151" s="416"/>
      <c r="Q151" s="416"/>
      <c r="R151" s="276"/>
      <c r="S151" s="3184"/>
      <c r="T151" s="418"/>
      <c r="U151" s="416"/>
      <c r="V151" s="416"/>
      <c r="W151" s="416"/>
      <c r="X151" s="416"/>
      <c r="Y151" s="417"/>
      <c r="Z151" s="3184"/>
      <c r="AA151" s="418"/>
      <c r="AB151" s="416"/>
      <c r="AC151" s="416"/>
      <c r="AD151" s="416"/>
      <c r="AE151" s="416"/>
      <c r="AF151" s="417"/>
      <c r="AG151" s="3184"/>
      <c r="AH151" s="418"/>
      <c r="AI151" s="416"/>
      <c r="AJ151" s="416"/>
      <c r="AK151" s="416"/>
      <c r="AL151" s="416"/>
      <c r="AM151" s="417"/>
      <c r="AN151" s="3184"/>
      <c r="AO151" s="3189"/>
      <c r="AP151" s="3190"/>
      <c r="AQ151" s="3190"/>
      <c r="AR151" s="3190"/>
      <c r="AS151" s="3190"/>
      <c r="AT151" s="3191"/>
      <c r="AU151" s="4775"/>
      <c r="AV151" s="152"/>
      <c r="AW151" s="4794">
        <f t="shared" si="309"/>
        <v>0</v>
      </c>
      <c r="AX151" s="4794">
        <f t="shared" si="280"/>
        <v>0</v>
      </c>
      <c r="AY151" s="4794">
        <f t="shared" si="281"/>
        <v>0</v>
      </c>
      <c r="AZ151" s="4794">
        <f t="shared" si="282"/>
        <v>0</v>
      </c>
      <c r="BA151" s="4794">
        <f t="shared" si="283"/>
        <v>0</v>
      </c>
      <c r="BB151" s="4794">
        <f t="shared" si="284"/>
        <v>0</v>
      </c>
      <c r="BC151" s="152"/>
      <c r="BD151" s="4794">
        <f t="shared" si="285"/>
        <v>0</v>
      </c>
      <c r="BE151" s="4794">
        <f t="shared" si="286"/>
        <v>0</v>
      </c>
      <c r="BF151" s="4794">
        <f t="shared" si="287"/>
        <v>0</v>
      </c>
      <c r="BG151" s="4794">
        <f t="shared" si="288"/>
        <v>0</v>
      </c>
      <c r="BH151" s="4794">
        <f t="shared" si="289"/>
        <v>0</v>
      </c>
      <c r="BI151" s="4794">
        <f t="shared" si="290"/>
        <v>0</v>
      </c>
      <c r="BJ151" s="152"/>
      <c r="BK151" s="4794">
        <f t="shared" si="291"/>
        <v>0</v>
      </c>
      <c r="BL151" s="4794">
        <f t="shared" si="292"/>
        <v>0</v>
      </c>
      <c r="BM151" s="4794">
        <f t="shared" si="293"/>
        <v>0</v>
      </c>
      <c r="BN151" s="4794">
        <f t="shared" si="294"/>
        <v>0</v>
      </c>
      <c r="BO151" s="4794">
        <f t="shared" si="295"/>
        <v>0</v>
      </c>
      <c r="BP151" s="4794">
        <f t="shared" si="296"/>
        <v>0</v>
      </c>
      <c r="BQ151" s="152"/>
      <c r="BR151" s="4794">
        <f t="shared" si="297"/>
        <v>0</v>
      </c>
      <c r="BS151" s="4794">
        <f t="shared" si="298"/>
        <v>0</v>
      </c>
      <c r="BT151" s="4794">
        <f t="shared" si="299"/>
        <v>0</v>
      </c>
      <c r="BU151" s="4794">
        <f t="shared" si="300"/>
        <v>0</v>
      </c>
      <c r="BV151" s="4794">
        <f t="shared" si="301"/>
        <v>0</v>
      </c>
      <c r="BW151" s="4794">
        <f t="shared" si="302"/>
        <v>0</v>
      </c>
      <c r="BX151" s="152"/>
      <c r="BY151" s="4794">
        <f t="shared" si="303"/>
        <v>0</v>
      </c>
      <c r="BZ151" s="4794">
        <f t="shared" si="304"/>
        <v>0</v>
      </c>
      <c r="CA151" s="4794">
        <f t="shared" si="305"/>
        <v>0</v>
      </c>
      <c r="CB151" s="4794">
        <f t="shared" si="306"/>
        <v>0</v>
      </c>
      <c r="CC151" s="4794">
        <f t="shared" si="307"/>
        <v>0</v>
      </c>
      <c r="CD151" s="4794">
        <f t="shared" si="308"/>
        <v>0</v>
      </c>
    </row>
    <row r="152" spans="1:82" s="44" customFormat="1">
      <c r="A152" s="3138">
        <v>20</v>
      </c>
      <c r="B152" s="3135" t="s">
        <v>717</v>
      </c>
      <c r="C152" s="3137">
        <v>0.04</v>
      </c>
      <c r="D152" s="3136" t="s">
        <v>434</v>
      </c>
      <c r="E152" s="3184"/>
      <c r="F152" s="418"/>
      <c r="G152" s="416"/>
      <c r="H152" s="416"/>
      <c r="I152" s="416"/>
      <c r="J152" s="416"/>
      <c r="K152" s="276"/>
      <c r="L152" s="3184"/>
      <c r="M152" s="418"/>
      <c r="N152" s="416"/>
      <c r="O152" s="416"/>
      <c r="P152" s="416"/>
      <c r="Q152" s="416"/>
      <c r="R152" s="276"/>
      <c r="S152" s="3184"/>
      <c r="T152" s="418"/>
      <c r="U152" s="416"/>
      <c r="V152" s="416"/>
      <c r="W152" s="416"/>
      <c r="X152" s="416"/>
      <c r="Y152" s="417"/>
      <c r="Z152" s="3184"/>
      <c r="AA152" s="418"/>
      <c r="AB152" s="416"/>
      <c r="AC152" s="416"/>
      <c r="AD152" s="416"/>
      <c r="AE152" s="416"/>
      <c r="AF152" s="417"/>
      <c r="AG152" s="3184"/>
      <c r="AH152" s="418"/>
      <c r="AI152" s="416"/>
      <c r="AJ152" s="416"/>
      <c r="AK152" s="416"/>
      <c r="AL152" s="416"/>
      <c r="AM152" s="417"/>
      <c r="AN152" s="3184"/>
      <c r="AO152" s="3189"/>
      <c r="AP152" s="3190"/>
      <c r="AQ152" s="3190"/>
      <c r="AR152" s="3190"/>
      <c r="AS152" s="3190"/>
      <c r="AT152" s="3191"/>
      <c r="AU152" s="4775"/>
      <c r="AV152" s="152"/>
      <c r="AW152" s="4794">
        <f t="shared" si="309"/>
        <v>0</v>
      </c>
      <c r="AX152" s="4794">
        <f t="shared" si="280"/>
        <v>0</v>
      </c>
      <c r="AY152" s="4794">
        <f t="shared" si="281"/>
        <v>0</v>
      </c>
      <c r="AZ152" s="4794">
        <f t="shared" si="282"/>
        <v>0</v>
      </c>
      <c r="BA152" s="4794">
        <f t="shared" si="283"/>
        <v>0</v>
      </c>
      <c r="BB152" s="4794">
        <f t="shared" si="284"/>
        <v>0</v>
      </c>
      <c r="BC152" s="152"/>
      <c r="BD152" s="4794">
        <f t="shared" si="285"/>
        <v>0</v>
      </c>
      <c r="BE152" s="4794">
        <f t="shared" si="286"/>
        <v>0</v>
      </c>
      <c r="BF152" s="4794">
        <f t="shared" si="287"/>
        <v>0</v>
      </c>
      <c r="BG152" s="4794">
        <f t="shared" si="288"/>
        <v>0</v>
      </c>
      <c r="BH152" s="4794">
        <f t="shared" si="289"/>
        <v>0</v>
      </c>
      <c r="BI152" s="4794">
        <f t="shared" si="290"/>
        <v>0</v>
      </c>
      <c r="BJ152" s="152"/>
      <c r="BK152" s="4794">
        <f t="shared" si="291"/>
        <v>0</v>
      </c>
      <c r="BL152" s="4794">
        <f t="shared" si="292"/>
        <v>0</v>
      </c>
      <c r="BM152" s="4794">
        <f t="shared" si="293"/>
        <v>0</v>
      </c>
      <c r="BN152" s="4794">
        <f t="shared" si="294"/>
        <v>0</v>
      </c>
      <c r="BO152" s="4794">
        <f t="shared" si="295"/>
        <v>0</v>
      </c>
      <c r="BP152" s="4794">
        <f t="shared" si="296"/>
        <v>0</v>
      </c>
      <c r="BQ152" s="152"/>
      <c r="BR152" s="4794">
        <f t="shared" si="297"/>
        <v>0</v>
      </c>
      <c r="BS152" s="4794">
        <f t="shared" si="298"/>
        <v>0</v>
      </c>
      <c r="BT152" s="4794">
        <f t="shared" si="299"/>
        <v>0</v>
      </c>
      <c r="BU152" s="4794">
        <f t="shared" si="300"/>
        <v>0</v>
      </c>
      <c r="BV152" s="4794">
        <f t="shared" si="301"/>
        <v>0</v>
      </c>
      <c r="BW152" s="4794">
        <f t="shared" si="302"/>
        <v>0</v>
      </c>
      <c r="BX152" s="152"/>
      <c r="BY152" s="4794">
        <f t="shared" si="303"/>
        <v>0</v>
      </c>
      <c r="BZ152" s="4794">
        <f t="shared" si="304"/>
        <v>0</v>
      </c>
      <c r="CA152" s="4794">
        <f t="shared" si="305"/>
        <v>0</v>
      </c>
      <c r="CB152" s="4794">
        <f t="shared" si="306"/>
        <v>0</v>
      </c>
      <c r="CC152" s="4794">
        <f t="shared" si="307"/>
        <v>0</v>
      </c>
      <c r="CD152" s="4794">
        <f t="shared" si="308"/>
        <v>0</v>
      </c>
    </row>
    <row r="153" spans="1:82" s="44" customFormat="1" ht="24.75" thickBot="1">
      <c r="A153" s="3138">
        <v>21</v>
      </c>
      <c r="B153" s="3135" t="s">
        <v>707</v>
      </c>
      <c r="C153" s="3063">
        <v>0.2</v>
      </c>
      <c r="D153" s="2720" t="s">
        <v>679</v>
      </c>
      <c r="E153" s="3184"/>
      <c r="F153" s="418"/>
      <c r="G153" s="416"/>
      <c r="H153" s="416"/>
      <c r="I153" s="416"/>
      <c r="J153" s="416"/>
      <c r="K153" s="276"/>
      <c r="L153" s="3184"/>
      <c r="M153" s="418"/>
      <c r="N153" s="416"/>
      <c r="O153" s="416"/>
      <c r="P153" s="416"/>
      <c r="Q153" s="416"/>
      <c r="R153" s="276"/>
      <c r="S153" s="3184"/>
      <c r="T153" s="418"/>
      <c r="U153" s="416"/>
      <c r="V153" s="416"/>
      <c r="W153" s="416"/>
      <c r="X153" s="416"/>
      <c r="Y153" s="417"/>
      <c r="Z153" s="3184"/>
      <c r="AA153" s="418"/>
      <c r="AB153" s="416"/>
      <c r="AC153" s="416"/>
      <c r="AD153" s="416"/>
      <c r="AE153" s="416"/>
      <c r="AF153" s="417"/>
      <c r="AG153" s="3184"/>
      <c r="AH153" s="418"/>
      <c r="AI153" s="416"/>
      <c r="AJ153" s="416"/>
      <c r="AK153" s="416"/>
      <c r="AL153" s="416"/>
      <c r="AM153" s="417"/>
      <c r="AN153" s="3192"/>
      <c r="AO153" s="3193"/>
      <c r="AP153" s="3194"/>
      <c r="AQ153" s="3194"/>
      <c r="AR153" s="3194"/>
      <c r="AS153" s="3194"/>
      <c r="AT153" s="3195"/>
      <c r="AU153" s="4775"/>
      <c r="AV153" s="152"/>
      <c r="AW153" s="4794">
        <f t="shared" si="309"/>
        <v>0</v>
      </c>
      <c r="AX153" s="4794">
        <f t="shared" si="280"/>
        <v>0</v>
      </c>
      <c r="AY153" s="4794">
        <f t="shared" si="281"/>
        <v>0</v>
      </c>
      <c r="AZ153" s="4794">
        <f t="shared" si="282"/>
        <v>0</v>
      </c>
      <c r="BA153" s="4794">
        <f t="shared" si="283"/>
        <v>0</v>
      </c>
      <c r="BB153" s="4794">
        <f t="shared" si="284"/>
        <v>0</v>
      </c>
      <c r="BC153" s="152"/>
      <c r="BD153" s="4794">
        <f t="shared" si="285"/>
        <v>0</v>
      </c>
      <c r="BE153" s="4794">
        <f t="shared" si="286"/>
        <v>0</v>
      </c>
      <c r="BF153" s="4794">
        <f t="shared" si="287"/>
        <v>0</v>
      </c>
      <c r="BG153" s="4794">
        <f t="shared" si="288"/>
        <v>0</v>
      </c>
      <c r="BH153" s="4794">
        <f t="shared" si="289"/>
        <v>0</v>
      </c>
      <c r="BI153" s="4794">
        <f t="shared" si="290"/>
        <v>0</v>
      </c>
      <c r="BJ153" s="152"/>
      <c r="BK153" s="4794">
        <f t="shared" si="291"/>
        <v>0</v>
      </c>
      <c r="BL153" s="4794">
        <f t="shared" si="292"/>
        <v>0</v>
      </c>
      <c r="BM153" s="4794">
        <f t="shared" si="293"/>
        <v>0</v>
      </c>
      <c r="BN153" s="4794">
        <f t="shared" si="294"/>
        <v>0</v>
      </c>
      <c r="BO153" s="4794">
        <f t="shared" si="295"/>
        <v>0</v>
      </c>
      <c r="BP153" s="4794">
        <f t="shared" si="296"/>
        <v>0</v>
      </c>
      <c r="BQ153" s="152"/>
      <c r="BR153" s="4794">
        <f t="shared" si="297"/>
        <v>0</v>
      </c>
      <c r="BS153" s="4794">
        <f t="shared" si="298"/>
        <v>0</v>
      </c>
      <c r="BT153" s="4794">
        <f t="shared" si="299"/>
        <v>0</v>
      </c>
      <c r="BU153" s="4794">
        <f t="shared" si="300"/>
        <v>0</v>
      </c>
      <c r="BV153" s="4794">
        <f t="shared" si="301"/>
        <v>0</v>
      </c>
      <c r="BW153" s="4794">
        <f t="shared" si="302"/>
        <v>0</v>
      </c>
      <c r="BX153" s="152"/>
      <c r="BY153" s="4794">
        <f t="shared" si="303"/>
        <v>0</v>
      </c>
      <c r="BZ153" s="4794">
        <f t="shared" si="304"/>
        <v>0</v>
      </c>
      <c r="CA153" s="4794">
        <f t="shared" si="305"/>
        <v>0</v>
      </c>
      <c r="CB153" s="4794">
        <f t="shared" si="306"/>
        <v>0</v>
      </c>
      <c r="CC153" s="4794">
        <f t="shared" si="307"/>
        <v>0</v>
      </c>
      <c r="CD153" s="4794">
        <f t="shared" si="308"/>
        <v>0</v>
      </c>
    </row>
    <row r="154" spans="1:82" s="44" customFormat="1" ht="21.75" customHeight="1" thickBot="1">
      <c r="A154" s="3141">
        <v>2</v>
      </c>
      <c r="B154" s="3142"/>
      <c r="C154" s="3142"/>
      <c r="D154" s="3006" t="s">
        <v>218</v>
      </c>
      <c r="E154" s="3010">
        <f>SUM(E155:E175)</f>
        <v>0</v>
      </c>
      <c r="F154" s="3007">
        <f>SUM(F155:F175)</f>
        <v>0</v>
      </c>
      <c r="G154" s="3008">
        <f t="shared" ref="G154:AT154" si="311">SUM(G155:G175)</f>
        <v>0</v>
      </c>
      <c r="H154" s="3008">
        <f t="shared" si="311"/>
        <v>0</v>
      </c>
      <c r="I154" s="3008">
        <f t="shared" si="311"/>
        <v>0</v>
      </c>
      <c r="J154" s="3008">
        <f t="shared" si="311"/>
        <v>0</v>
      </c>
      <c r="K154" s="3009">
        <f t="shared" si="311"/>
        <v>0</v>
      </c>
      <c r="L154" s="3010">
        <f t="shared" si="311"/>
        <v>0</v>
      </c>
      <c r="M154" s="3007">
        <f t="shared" si="311"/>
        <v>0</v>
      </c>
      <c r="N154" s="3008">
        <f t="shared" si="311"/>
        <v>0</v>
      </c>
      <c r="O154" s="3008">
        <f t="shared" si="311"/>
        <v>0</v>
      </c>
      <c r="P154" s="3008">
        <f t="shared" si="311"/>
        <v>0</v>
      </c>
      <c r="Q154" s="3008">
        <f t="shared" si="311"/>
        <v>0</v>
      </c>
      <c r="R154" s="3011">
        <f t="shared" si="311"/>
        <v>0</v>
      </c>
      <c r="S154" s="3010">
        <f t="shared" si="311"/>
        <v>0</v>
      </c>
      <c r="T154" s="3007">
        <f t="shared" si="311"/>
        <v>0</v>
      </c>
      <c r="U154" s="3008">
        <f t="shared" si="311"/>
        <v>0</v>
      </c>
      <c r="V154" s="3008">
        <f t="shared" si="311"/>
        <v>0</v>
      </c>
      <c r="W154" s="3008">
        <f t="shared" si="311"/>
        <v>0</v>
      </c>
      <c r="X154" s="3008">
        <f t="shared" si="311"/>
        <v>0</v>
      </c>
      <c r="Y154" s="3011">
        <f t="shared" si="311"/>
        <v>0</v>
      </c>
      <c r="Z154" s="3010">
        <f t="shared" si="311"/>
        <v>0</v>
      </c>
      <c r="AA154" s="3007">
        <f t="shared" si="311"/>
        <v>0</v>
      </c>
      <c r="AB154" s="3008">
        <f t="shared" si="311"/>
        <v>0</v>
      </c>
      <c r="AC154" s="3008">
        <f t="shared" si="311"/>
        <v>0</v>
      </c>
      <c r="AD154" s="3008">
        <f t="shared" si="311"/>
        <v>0</v>
      </c>
      <c r="AE154" s="3008">
        <f t="shared" si="311"/>
        <v>0</v>
      </c>
      <c r="AF154" s="3011">
        <f t="shared" si="311"/>
        <v>0</v>
      </c>
      <c r="AG154" s="3010">
        <f t="shared" si="311"/>
        <v>0</v>
      </c>
      <c r="AH154" s="3007">
        <f t="shared" si="311"/>
        <v>0</v>
      </c>
      <c r="AI154" s="3008">
        <f t="shared" si="311"/>
        <v>0</v>
      </c>
      <c r="AJ154" s="3008">
        <f t="shared" si="311"/>
        <v>0</v>
      </c>
      <c r="AK154" s="3008">
        <f t="shared" si="311"/>
        <v>0</v>
      </c>
      <c r="AL154" s="3008">
        <f t="shared" si="311"/>
        <v>0</v>
      </c>
      <c r="AM154" s="3011">
        <f t="shared" si="311"/>
        <v>0</v>
      </c>
      <c r="AN154" s="3010">
        <f t="shared" si="311"/>
        <v>0</v>
      </c>
      <c r="AO154" s="3007">
        <f t="shared" si="311"/>
        <v>0</v>
      </c>
      <c r="AP154" s="3008">
        <f t="shared" si="311"/>
        <v>0</v>
      </c>
      <c r="AQ154" s="3008">
        <f t="shared" si="311"/>
        <v>0</v>
      </c>
      <c r="AR154" s="3008">
        <f t="shared" si="311"/>
        <v>0</v>
      </c>
      <c r="AS154" s="3008">
        <f t="shared" si="311"/>
        <v>0</v>
      </c>
      <c r="AT154" s="3011">
        <f t="shared" si="311"/>
        <v>0</v>
      </c>
      <c r="AU154" s="4775"/>
      <c r="AV154" s="152"/>
      <c r="AW154" s="4794">
        <f t="shared" si="309"/>
        <v>0</v>
      </c>
      <c r="AX154" s="4794">
        <f t="shared" si="280"/>
        <v>0</v>
      </c>
      <c r="AY154" s="4794">
        <f t="shared" si="281"/>
        <v>0</v>
      </c>
      <c r="AZ154" s="4794">
        <f t="shared" si="282"/>
        <v>0</v>
      </c>
      <c r="BA154" s="4794">
        <f t="shared" si="283"/>
        <v>0</v>
      </c>
      <c r="BB154" s="4794">
        <f t="shared" si="284"/>
        <v>0</v>
      </c>
      <c r="BC154" s="152"/>
      <c r="BD154" s="4794">
        <f t="shared" si="285"/>
        <v>0</v>
      </c>
      <c r="BE154" s="4794">
        <f t="shared" si="286"/>
        <v>0</v>
      </c>
      <c r="BF154" s="4794">
        <f t="shared" si="287"/>
        <v>0</v>
      </c>
      <c r="BG154" s="4794">
        <f t="shared" si="288"/>
        <v>0</v>
      </c>
      <c r="BH154" s="4794">
        <f t="shared" si="289"/>
        <v>0</v>
      </c>
      <c r="BI154" s="4794">
        <f t="shared" si="290"/>
        <v>0</v>
      </c>
      <c r="BJ154" s="152"/>
      <c r="BK154" s="4794">
        <f t="shared" si="291"/>
        <v>0</v>
      </c>
      <c r="BL154" s="4794">
        <f t="shared" si="292"/>
        <v>0</v>
      </c>
      <c r="BM154" s="4794">
        <f t="shared" si="293"/>
        <v>0</v>
      </c>
      <c r="BN154" s="4794">
        <f t="shared" si="294"/>
        <v>0</v>
      </c>
      <c r="BO154" s="4794">
        <f t="shared" si="295"/>
        <v>0</v>
      </c>
      <c r="BP154" s="4794">
        <f t="shared" si="296"/>
        <v>0</v>
      </c>
      <c r="BQ154" s="152"/>
      <c r="BR154" s="4794">
        <f t="shared" si="297"/>
        <v>0</v>
      </c>
      <c r="BS154" s="4794">
        <f t="shared" si="298"/>
        <v>0</v>
      </c>
      <c r="BT154" s="4794">
        <f t="shared" si="299"/>
        <v>0</v>
      </c>
      <c r="BU154" s="4794">
        <f t="shared" si="300"/>
        <v>0</v>
      </c>
      <c r="BV154" s="4794">
        <f t="shared" si="301"/>
        <v>0</v>
      </c>
      <c r="BW154" s="4794">
        <f t="shared" si="302"/>
        <v>0</v>
      </c>
      <c r="BX154" s="152"/>
      <c r="BY154" s="4794">
        <f t="shared" si="303"/>
        <v>0</v>
      </c>
      <c r="BZ154" s="4794">
        <f t="shared" si="304"/>
        <v>0</v>
      </c>
      <c r="CA154" s="4794">
        <f t="shared" si="305"/>
        <v>0</v>
      </c>
      <c r="CB154" s="4794">
        <f t="shared" si="306"/>
        <v>0</v>
      </c>
      <c r="CC154" s="4794">
        <f t="shared" si="307"/>
        <v>0</v>
      </c>
      <c r="CD154" s="4794">
        <f t="shared" si="308"/>
        <v>0</v>
      </c>
    </row>
    <row r="155" spans="1:82" s="44" customFormat="1">
      <c r="A155" s="3132">
        <v>1</v>
      </c>
      <c r="B155" s="3133" t="s">
        <v>696</v>
      </c>
      <c r="C155" s="3134">
        <v>0</v>
      </c>
      <c r="D155" s="2714" t="s">
        <v>558</v>
      </c>
      <c r="E155" s="3184"/>
      <c r="F155" s="3143">
        <f>(E111*$C111)+(F111*$C111)-(F133*$C111)</f>
        <v>0</v>
      </c>
      <c r="G155" s="3144">
        <f>F155+(G111*$C111)-(G133*$C111)</f>
        <v>0</v>
      </c>
      <c r="H155" s="3144">
        <f t="shared" ref="H155:K155" si="312">G155+(H111*$C111)-(H133*$C111)</f>
        <v>0</v>
      </c>
      <c r="I155" s="3144">
        <f t="shared" si="312"/>
        <v>0</v>
      </c>
      <c r="J155" s="3144">
        <f t="shared" si="312"/>
        <v>0</v>
      </c>
      <c r="K155" s="3145">
        <f t="shared" si="312"/>
        <v>0</v>
      </c>
      <c r="L155" s="3184"/>
      <c r="M155" s="3143">
        <f>(L111*$C111)+(M111*$C111)-(M133*$C111)</f>
        <v>0</v>
      </c>
      <c r="N155" s="3144">
        <f>M155+(N111*$C111)-(N133*$C111)</f>
        <v>0</v>
      </c>
      <c r="O155" s="3144">
        <f t="shared" ref="O155:R155" si="313">N155+(O111*$C111)-(O133*$C111)</f>
        <v>0</v>
      </c>
      <c r="P155" s="3144">
        <f t="shared" si="313"/>
        <v>0</v>
      </c>
      <c r="Q155" s="3144">
        <f t="shared" si="313"/>
        <v>0</v>
      </c>
      <c r="R155" s="3145">
        <f t="shared" si="313"/>
        <v>0</v>
      </c>
      <c r="S155" s="3184"/>
      <c r="T155" s="3143">
        <f>(S111*$C111)+(T111*$C111)-(T133*$C111)</f>
        <v>0</v>
      </c>
      <c r="U155" s="3144">
        <f>T155+(U111*$C111)-(U133*$C111)</f>
        <v>0</v>
      </c>
      <c r="V155" s="3144">
        <f t="shared" ref="V155:Y155" si="314">U155+(V111*$C111)-(V133*$C111)</f>
        <v>0</v>
      </c>
      <c r="W155" s="3144">
        <f t="shared" si="314"/>
        <v>0</v>
      </c>
      <c r="X155" s="3144">
        <f t="shared" si="314"/>
        <v>0</v>
      </c>
      <c r="Y155" s="3145">
        <f t="shared" si="314"/>
        <v>0</v>
      </c>
      <c r="Z155" s="3184"/>
      <c r="AA155" s="3143">
        <f>(Z111*$C111)+(AA111*$C111)-(AA133*$C111)</f>
        <v>0</v>
      </c>
      <c r="AB155" s="3144">
        <f>AA155+(AB111*$C111)-(AB133*$C111)</f>
        <v>0</v>
      </c>
      <c r="AC155" s="3144">
        <f t="shared" ref="AC155:AF170" si="315">AB155+(AC111*$C111)-(AC133*$C111)</f>
        <v>0</v>
      </c>
      <c r="AD155" s="3144">
        <f t="shared" si="315"/>
        <v>0</v>
      </c>
      <c r="AE155" s="3144">
        <f t="shared" si="315"/>
        <v>0</v>
      </c>
      <c r="AF155" s="3145">
        <f t="shared" si="315"/>
        <v>0</v>
      </c>
      <c r="AG155" s="3184"/>
      <c r="AH155" s="3143">
        <f>(AG111*$C111)+(AH111*$C111)-(AH133*$C111)</f>
        <v>0</v>
      </c>
      <c r="AI155" s="3144">
        <f>AH155+(AI111*$C111)-(AI133*$C111)</f>
        <v>0</v>
      </c>
      <c r="AJ155" s="3144">
        <f t="shared" ref="AJ155:AM170" si="316">AI155+(AJ111*$C111)-(AJ133*$C111)</f>
        <v>0</v>
      </c>
      <c r="AK155" s="3144">
        <f t="shared" si="316"/>
        <v>0</v>
      </c>
      <c r="AL155" s="3144">
        <f t="shared" si="316"/>
        <v>0</v>
      </c>
      <c r="AM155" s="3145">
        <f t="shared" si="316"/>
        <v>0</v>
      </c>
      <c r="AN155" s="3185"/>
      <c r="AO155" s="3186"/>
      <c r="AP155" s="3187"/>
      <c r="AQ155" s="3187"/>
      <c r="AR155" s="3187"/>
      <c r="AS155" s="3187"/>
      <c r="AT155" s="3188"/>
      <c r="AU155" s="4775"/>
      <c r="AV155" s="152"/>
      <c r="AW155" s="4794">
        <f t="shared" si="309"/>
        <v>0</v>
      </c>
      <c r="AX155" s="4794">
        <f t="shared" si="280"/>
        <v>0</v>
      </c>
      <c r="AY155" s="4794">
        <f t="shared" si="281"/>
        <v>0</v>
      </c>
      <c r="AZ155" s="4794">
        <f t="shared" si="282"/>
        <v>0</v>
      </c>
      <c r="BA155" s="4794">
        <f t="shared" si="283"/>
        <v>0</v>
      </c>
      <c r="BB155" s="4794">
        <f t="shared" si="284"/>
        <v>0</v>
      </c>
      <c r="BC155" s="152"/>
      <c r="BD155" s="4794">
        <f t="shared" si="285"/>
        <v>0</v>
      </c>
      <c r="BE155" s="4794">
        <f t="shared" si="286"/>
        <v>0</v>
      </c>
      <c r="BF155" s="4794">
        <f t="shared" si="287"/>
        <v>0</v>
      </c>
      <c r="BG155" s="4794">
        <f t="shared" si="288"/>
        <v>0</v>
      </c>
      <c r="BH155" s="4794">
        <f t="shared" si="289"/>
        <v>0</v>
      </c>
      <c r="BI155" s="4794">
        <f t="shared" si="290"/>
        <v>0</v>
      </c>
      <c r="BJ155" s="152"/>
      <c r="BK155" s="4794">
        <f t="shared" si="291"/>
        <v>0</v>
      </c>
      <c r="BL155" s="4794">
        <f t="shared" si="292"/>
        <v>0</v>
      </c>
      <c r="BM155" s="4794">
        <f t="shared" si="293"/>
        <v>0</v>
      </c>
      <c r="BN155" s="4794">
        <f t="shared" si="294"/>
        <v>0</v>
      </c>
      <c r="BO155" s="4794">
        <f t="shared" si="295"/>
        <v>0</v>
      </c>
      <c r="BP155" s="4794">
        <f t="shared" si="296"/>
        <v>0</v>
      </c>
      <c r="BQ155" s="152"/>
      <c r="BR155" s="4794">
        <f t="shared" si="297"/>
        <v>0</v>
      </c>
      <c r="BS155" s="4794">
        <f t="shared" si="298"/>
        <v>0</v>
      </c>
      <c r="BT155" s="4794">
        <f t="shared" si="299"/>
        <v>0</v>
      </c>
      <c r="BU155" s="4794">
        <f t="shared" si="300"/>
        <v>0</v>
      </c>
      <c r="BV155" s="4794">
        <f t="shared" si="301"/>
        <v>0</v>
      </c>
      <c r="BW155" s="4794">
        <f t="shared" si="302"/>
        <v>0</v>
      </c>
      <c r="BX155" s="152"/>
      <c r="BY155" s="4794">
        <f t="shared" si="303"/>
        <v>0</v>
      </c>
      <c r="BZ155" s="4794">
        <f t="shared" si="304"/>
        <v>0</v>
      </c>
      <c r="CA155" s="4794">
        <f t="shared" si="305"/>
        <v>0</v>
      </c>
      <c r="CB155" s="4794">
        <f t="shared" si="306"/>
        <v>0</v>
      </c>
      <c r="CC155" s="4794">
        <f t="shared" si="307"/>
        <v>0</v>
      </c>
      <c r="CD155" s="4794">
        <f t="shared" si="308"/>
        <v>0</v>
      </c>
    </row>
    <row r="156" spans="1:82" s="44" customFormat="1">
      <c r="A156" s="3132">
        <v>2</v>
      </c>
      <c r="B156" s="3135" t="s">
        <v>697</v>
      </c>
      <c r="C156" s="3134">
        <v>0.03</v>
      </c>
      <c r="D156" s="3136" t="s">
        <v>426</v>
      </c>
      <c r="E156" s="3184"/>
      <c r="F156" s="3146">
        <f t="shared" ref="F156:F175" si="317">(E112*$C112)+(F112*$C112)-(F134*$C112)</f>
        <v>0</v>
      </c>
      <c r="G156" s="3082">
        <f t="shared" ref="G156:K171" si="318">F156+(G112*$C112)-(G134*$C112)</f>
        <v>0</v>
      </c>
      <c r="H156" s="3082">
        <f t="shared" si="318"/>
        <v>0</v>
      </c>
      <c r="I156" s="3082">
        <f t="shared" si="318"/>
        <v>0</v>
      </c>
      <c r="J156" s="3082">
        <f t="shared" si="318"/>
        <v>0</v>
      </c>
      <c r="K156" s="3147">
        <f t="shared" si="318"/>
        <v>0</v>
      </c>
      <c r="L156" s="3184"/>
      <c r="M156" s="3146">
        <f t="shared" ref="M156:M175" si="319">(L112*$C112)+(M112*$C112)-(M134*$C112)</f>
        <v>0</v>
      </c>
      <c r="N156" s="3082">
        <f t="shared" ref="N156:R171" si="320">M156+(N112*$C112)-(N134*$C112)</f>
        <v>0</v>
      </c>
      <c r="O156" s="3082">
        <f t="shared" si="320"/>
        <v>0</v>
      </c>
      <c r="P156" s="3082">
        <f t="shared" si="320"/>
        <v>0</v>
      </c>
      <c r="Q156" s="3082">
        <f t="shared" si="320"/>
        <v>0</v>
      </c>
      <c r="R156" s="3147">
        <f t="shared" si="320"/>
        <v>0</v>
      </c>
      <c r="S156" s="3184"/>
      <c r="T156" s="3146">
        <f t="shared" ref="T156:T175" si="321">(S112*$C112)+(T112*$C112)-(T134*$C112)</f>
        <v>0</v>
      </c>
      <c r="U156" s="3082">
        <f t="shared" ref="U156:Y171" si="322">T156+(U112*$C112)-(U134*$C112)</f>
        <v>0</v>
      </c>
      <c r="V156" s="3082">
        <f t="shared" si="322"/>
        <v>0</v>
      </c>
      <c r="W156" s="3082">
        <f t="shared" si="322"/>
        <v>0</v>
      </c>
      <c r="X156" s="3082">
        <f t="shared" si="322"/>
        <v>0</v>
      </c>
      <c r="Y156" s="3147">
        <f t="shared" si="322"/>
        <v>0</v>
      </c>
      <c r="Z156" s="3184"/>
      <c r="AA156" s="3146">
        <f t="shared" ref="AA156:AA175" si="323">(Z112*$C112)+(AA112*$C112)-(AA134*$C112)</f>
        <v>0</v>
      </c>
      <c r="AB156" s="3082">
        <f t="shared" ref="AB156:AF171" si="324">AA156+(AB112*$C112)-(AB134*$C112)</f>
        <v>0</v>
      </c>
      <c r="AC156" s="3082">
        <f t="shared" si="315"/>
        <v>0</v>
      </c>
      <c r="AD156" s="3082">
        <f t="shared" si="315"/>
        <v>0</v>
      </c>
      <c r="AE156" s="3082">
        <f t="shared" si="315"/>
        <v>0</v>
      </c>
      <c r="AF156" s="3147">
        <f t="shared" si="315"/>
        <v>0</v>
      </c>
      <c r="AG156" s="3184"/>
      <c r="AH156" s="3146">
        <f t="shared" ref="AH156:AH175" si="325">(AG112*$C112)+(AH112*$C112)-(AH134*$C112)</f>
        <v>0</v>
      </c>
      <c r="AI156" s="3082">
        <f t="shared" ref="AI156:AM171" si="326">AH156+(AI112*$C112)-(AI134*$C112)</f>
        <v>0</v>
      </c>
      <c r="AJ156" s="3082">
        <f t="shared" si="316"/>
        <v>0</v>
      </c>
      <c r="AK156" s="3082">
        <f t="shared" si="316"/>
        <v>0</v>
      </c>
      <c r="AL156" s="3082">
        <f t="shared" si="316"/>
        <v>0</v>
      </c>
      <c r="AM156" s="3147">
        <f t="shared" si="316"/>
        <v>0</v>
      </c>
      <c r="AN156" s="3184"/>
      <c r="AO156" s="3189"/>
      <c r="AP156" s="3190"/>
      <c r="AQ156" s="3190"/>
      <c r="AR156" s="3190"/>
      <c r="AS156" s="3190"/>
      <c r="AT156" s="3191"/>
      <c r="AU156" s="4775"/>
      <c r="AV156" s="152"/>
      <c r="AW156" s="4794">
        <f t="shared" si="309"/>
        <v>0</v>
      </c>
      <c r="AX156" s="4794">
        <f t="shared" si="280"/>
        <v>0</v>
      </c>
      <c r="AY156" s="4794">
        <f t="shared" si="281"/>
        <v>0</v>
      </c>
      <c r="AZ156" s="4794">
        <f t="shared" si="282"/>
        <v>0</v>
      </c>
      <c r="BA156" s="4794">
        <f t="shared" si="283"/>
        <v>0</v>
      </c>
      <c r="BB156" s="4794">
        <f t="shared" si="284"/>
        <v>0</v>
      </c>
      <c r="BC156" s="152"/>
      <c r="BD156" s="4794">
        <f t="shared" si="285"/>
        <v>0</v>
      </c>
      <c r="BE156" s="4794">
        <f t="shared" si="286"/>
        <v>0</v>
      </c>
      <c r="BF156" s="4794">
        <f t="shared" si="287"/>
        <v>0</v>
      </c>
      <c r="BG156" s="4794">
        <f t="shared" si="288"/>
        <v>0</v>
      </c>
      <c r="BH156" s="4794">
        <f t="shared" si="289"/>
        <v>0</v>
      </c>
      <c r="BI156" s="4794">
        <f t="shared" si="290"/>
        <v>0</v>
      </c>
      <c r="BJ156" s="152"/>
      <c r="BK156" s="4794">
        <f t="shared" si="291"/>
        <v>0</v>
      </c>
      <c r="BL156" s="4794">
        <f t="shared" si="292"/>
        <v>0</v>
      </c>
      <c r="BM156" s="4794">
        <f t="shared" si="293"/>
        <v>0</v>
      </c>
      <c r="BN156" s="4794">
        <f t="shared" si="294"/>
        <v>0</v>
      </c>
      <c r="BO156" s="4794">
        <f t="shared" si="295"/>
        <v>0</v>
      </c>
      <c r="BP156" s="4794">
        <f t="shared" si="296"/>
        <v>0</v>
      </c>
      <c r="BQ156" s="152"/>
      <c r="BR156" s="4794">
        <f t="shared" si="297"/>
        <v>0</v>
      </c>
      <c r="BS156" s="4794">
        <f t="shared" si="298"/>
        <v>0</v>
      </c>
      <c r="BT156" s="4794">
        <f t="shared" si="299"/>
        <v>0</v>
      </c>
      <c r="BU156" s="4794">
        <f t="shared" si="300"/>
        <v>0</v>
      </c>
      <c r="BV156" s="4794">
        <f t="shared" si="301"/>
        <v>0</v>
      </c>
      <c r="BW156" s="4794">
        <f t="shared" si="302"/>
        <v>0</v>
      </c>
      <c r="BX156" s="152"/>
      <c r="BY156" s="4794">
        <f t="shared" si="303"/>
        <v>0</v>
      </c>
      <c r="BZ156" s="4794">
        <f t="shared" si="304"/>
        <v>0</v>
      </c>
      <c r="CA156" s="4794">
        <f t="shared" si="305"/>
        <v>0</v>
      </c>
      <c r="CB156" s="4794">
        <f t="shared" si="306"/>
        <v>0</v>
      </c>
      <c r="CC156" s="4794">
        <f t="shared" si="307"/>
        <v>0</v>
      </c>
      <c r="CD156" s="4794">
        <f t="shared" si="308"/>
        <v>0</v>
      </c>
    </row>
    <row r="157" spans="1:82" s="44" customFormat="1">
      <c r="A157" s="3132">
        <v>3</v>
      </c>
      <c r="B157" s="3135">
        <v>911301</v>
      </c>
      <c r="C157" s="3137">
        <v>0.1</v>
      </c>
      <c r="D157" s="3136" t="s">
        <v>427</v>
      </c>
      <c r="E157" s="4125"/>
      <c r="F157" s="3146">
        <f t="shared" si="317"/>
        <v>0</v>
      </c>
      <c r="G157" s="3082">
        <f t="shared" si="318"/>
        <v>0</v>
      </c>
      <c r="H157" s="3082">
        <f t="shared" si="318"/>
        <v>0</v>
      </c>
      <c r="I157" s="3082">
        <f t="shared" si="318"/>
        <v>0</v>
      </c>
      <c r="J157" s="3082">
        <f t="shared" si="318"/>
        <v>0</v>
      </c>
      <c r="K157" s="3147">
        <f t="shared" si="318"/>
        <v>0</v>
      </c>
      <c r="L157" s="4125"/>
      <c r="M157" s="3146">
        <f t="shared" si="319"/>
        <v>0</v>
      </c>
      <c r="N157" s="3082">
        <f t="shared" si="320"/>
        <v>0</v>
      </c>
      <c r="O157" s="3082">
        <f t="shared" si="320"/>
        <v>0</v>
      </c>
      <c r="P157" s="3082">
        <f t="shared" si="320"/>
        <v>0</v>
      </c>
      <c r="Q157" s="3082">
        <f t="shared" si="320"/>
        <v>0</v>
      </c>
      <c r="R157" s="3147">
        <f t="shared" si="320"/>
        <v>0</v>
      </c>
      <c r="S157" s="4125"/>
      <c r="T157" s="3146">
        <f t="shared" si="321"/>
        <v>0</v>
      </c>
      <c r="U157" s="3082">
        <f t="shared" si="322"/>
        <v>0</v>
      </c>
      <c r="V157" s="3082">
        <f t="shared" si="322"/>
        <v>0</v>
      </c>
      <c r="W157" s="3082">
        <f t="shared" si="322"/>
        <v>0</v>
      </c>
      <c r="X157" s="3082">
        <f t="shared" si="322"/>
        <v>0</v>
      </c>
      <c r="Y157" s="3147">
        <f t="shared" si="322"/>
        <v>0</v>
      </c>
      <c r="Z157" s="4125"/>
      <c r="AA157" s="3146">
        <f t="shared" si="323"/>
        <v>0</v>
      </c>
      <c r="AB157" s="3082">
        <f t="shared" si="324"/>
        <v>0</v>
      </c>
      <c r="AC157" s="3082">
        <f t="shared" si="315"/>
        <v>0</v>
      </c>
      <c r="AD157" s="3082">
        <f t="shared" si="315"/>
        <v>0</v>
      </c>
      <c r="AE157" s="3082">
        <f t="shared" si="315"/>
        <v>0</v>
      </c>
      <c r="AF157" s="3147">
        <f t="shared" si="315"/>
        <v>0</v>
      </c>
      <c r="AG157" s="4125"/>
      <c r="AH157" s="3146">
        <f t="shared" si="325"/>
        <v>0</v>
      </c>
      <c r="AI157" s="3082">
        <f t="shared" si="326"/>
        <v>0</v>
      </c>
      <c r="AJ157" s="3082">
        <f t="shared" si="316"/>
        <v>0</v>
      </c>
      <c r="AK157" s="3082">
        <f t="shared" si="316"/>
        <v>0</v>
      </c>
      <c r="AL157" s="3082">
        <f t="shared" si="316"/>
        <v>0</v>
      </c>
      <c r="AM157" s="3147">
        <f t="shared" si="316"/>
        <v>0</v>
      </c>
      <c r="AN157" s="4125"/>
      <c r="AO157" s="4126"/>
      <c r="AP157" s="4127"/>
      <c r="AQ157" s="4127"/>
      <c r="AR157" s="4127"/>
      <c r="AS157" s="4127"/>
      <c r="AT157" s="4128"/>
      <c r="AU157" s="4775"/>
      <c r="AV157" s="152"/>
      <c r="AW157" s="4794">
        <f t="shared" si="309"/>
        <v>0</v>
      </c>
      <c r="AX157" s="4794">
        <f t="shared" si="280"/>
        <v>0</v>
      </c>
      <c r="AY157" s="4794">
        <f t="shared" si="281"/>
        <v>0</v>
      </c>
      <c r="AZ157" s="4794">
        <f t="shared" si="282"/>
        <v>0</v>
      </c>
      <c r="BA157" s="4794">
        <f t="shared" si="283"/>
        <v>0</v>
      </c>
      <c r="BB157" s="4794">
        <f t="shared" si="284"/>
        <v>0</v>
      </c>
      <c r="BC157" s="152"/>
      <c r="BD157" s="4794">
        <f t="shared" si="285"/>
        <v>0</v>
      </c>
      <c r="BE157" s="4794">
        <f t="shared" si="286"/>
        <v>0</v>
      </c>
      <c r="BF157" s="4794">
        <f t="shared" si="287"/>
        <v>0</v>
      </c>
      <c r="BG157" s="4794">
        <f t="shared" si="288"/>
        <v>0</v>
      </c>
      <c r="BH157" s="4794">
        <f t="shared" si="289"/>
        <v>0</v>
      </c>
      <c r="BI157" s="4794">
        <f t="shared" si="290"/>
        <v>0</v>
      </c>
      <c r="BJ157" s="152"/>
      <c r="BK157" s="4794">
        <f t="shared" si="291"/>
        <v>0</v>
      </c>
      <c r="BL157" s="4794">
        <f t="shared" si="292"/>
        <v>0</v>
      </c>
      <c r="BM157" s="4794">
        <f t="shared" si="293"/>
        <v>0</v>
      </c>
      <c r="BN157" s="4794">
        <f t="shared" si="294"/>
        <v>0</v>
      </c>
      <c r="BO157" s="4794">
        <f t="shared" si="295"/>
        <v>0</v>
      </c>
      <c r="BP157" s="4794">
        <f t="shared" si="296"/>
        <v>0</v>
      </c>
      <c r="BQ157" s="152"/>
      <c r="BR157" s="4794">
        <f t="shared" si="297"/>
        <v>0</v>
      </c>
      <c r="BS157" s="4794">
        <f t="shared" si="298"/>
        <v>0</v>
      </c>
      <c r="BT157" s="4794">
        <f t="shared" si="299"/>
        <v>0</v>
      </c>
      <c r="BU157" s="4794">
        <f t="shared" si="300"/>
        <v>0</v>
      </c>
      <c r="BV157" s="4794">
        <f t="shared" si="301"/>
        <v>0</v>
      </c>
      <c r="BW157" s="4794">
        <f t="shared" si="302"/>
        <v>0</v>
      </c>
      <c r="BX157" s="152"/>
      <c r="BY157" s="4794">
        <f t="shared" si="303"/>
        <v>0</v>
      </c>
      <c r="BZ157" s="4794">
        <f t="shared" si="304"/>
        <v>0</v>
      </c>
      <c r="CA157" s="4794">
        <f t="shared" si="305"/>
        <v>0</v>
      </c>
      <c r="CB157" s="4794">
        <f t="shared" si="306"/>
        <v>0</v>
      </c>
      <c r="CC157" s="4794">
        <f t="shared" si="307"/>
        <v>0</v>
      </c>
      <c r="CD157" s="4794">
        <f t="shared" si="308"/>
        <v>0</v>
      </c>
    </row>
    <row r="158" spans="1:82" s="44" customFormat="1">
      <c r="A158" s="4119">
        <v>4</v>
      </c>
      <c r="B158" s="3133">
        <v>911302</v>
      </c>
      <c r="C158" s="4120">
        <v>0.1</v>
      </c>
      <c r="D158" s="4129" t="s">
        <v>428</v>
      </c>
      <c r="E158" s="4125"/>
      <c r="F158" s="4122">
        <f t="shared" si="317"/>
        <v>0</v>
      </c>
      <c r="G158" s="4123">
        <f t="shared" si="318"/>
        <v>0</v>
      </c>
      <c r="H158" s="4123">
        <f t="shared" si="318"/>
        <v>0</v>
      </c>
      <c r="I158" s="4123">
        <f t="shared" si="318"/>
        <v>0</v>
      </c>
      <c r="J158" s="4123">
        <f t="shared" si="318"/>
        <v>0</v>
      </c>
      <c r="K158" s="4124">
        <f t="shared" si="318"/>
        <v>0</v>
      </c>
      <c r="L158" s="4125"/>
      <c r="M158" s="4122">
        <f t="shared" si="319"/>
        <v>0</v>
      </c>
      <c r="N158" s="4123">
        <f t="shared" si="320"/>
        <v>0</v>
      </c>
      <c r="O158" s="4123">
        <f t="shared" si="320"/>
        <v>0</v>
      </c>
      <c r="P158" s="4123">
        <f t="shared" si="320"/>
        <v>0</v>
      </c>
      <c r="Q158" s="4123">
        <f t="shared" si="320"/>
        <v>0</v>
      </c>
      <c r="R158" s="4124">
        <f t="shared" si="320"/>
        <v>0</v>
      </c>
      <c r="S158" s="4125"/>
      <c r="T158" s="4122">
        <f t="shared" si="321"/>
        <v>0</v>
      </c>
      <c r="U158" s="4123">
        <f t="shared" si="322"/>
        <v>0</v>
      </c>
      <c r="V158" s="4123">
        <f t="shared" si="322"/>
        <v>0</v>
      </c>
      <c r="W158" s="4123">
        <f t="shared" si="322"/>
        <v>0</v>
      </c>
      <c r="X158" s="4123">
        <f t="shared" si="322"/>
        <v>0</v>
      </c>
      <c r="Y158" s="4124">
        <f t="shared" si="322"/>
        <v>0</v>
      </c>
      <c r="Z158" s="4125"/>
      <c r="AA158" s="4122">
        <f t="shared" si="323"/>
        <v>0</v>
      </c>
      <c r="AB158" s="4123">
        <f t="shared" si="324"/>
        <v>0</v>
      </c>
      <c r="AC158" s="4123">
        <f t="shared" si="315"/>
        <v>0</v>
      </c>
      <c r="AD158" s="4123">
        <f t="shared" si="315"/>
        <v>0</v>
      </c>
      <c r="AE158" s="4123">
        <f t="shared" si="315"/>
        <v>0</v>
      </c>
      <c r="AF158" s="4124">
        <f t="shared" si="315"/>
        <v>0</v>
      </c>
      <c r="AG158" s="4125"/>
      <c r="AH158" s="4122">
        <f t="shared" si="325"/>
        <v>0</v>
      </c>
      <c r="AI158" s="4123">
        <f t="shared" si="326"/>
        <v>0</v>
      </c>
      <c r="AJ158" s="4123">
        <f t="shared" si="316"/>
        <v>0</v>
      </c>
      <c r="AK158" s="4123">
        <f t="shared" si="316"/>
        <v>0</v>
      </c>
      <c r="AL158" s="4123">
        <f t="shared" si="316"/>
        <v>0</v>
      </c>
      <c r="AM158" s="4124">
        <f t="shared" si="316"/>
        <v>0</v>
      </c>
      <c r="AN158" s="4125"/>
      <c r="AO158" s="4126"/>
      <c r="AP158" s="4127"/>
      <c r="AQ158" s="4127"/>
      <c r="AR158" s="4127"/>
      <c r="AS158" s="4127"/>
      <c r="AT158" s="4128"/>
      <c r="AU158" s="4775"/>
      <c r="AV158" s="152"/>
      <c r="AW158" s="4794">
        <f t="shared" si="309"/>
        <v>0</v>
      </c>
      <c r="AX158" s="4794">
        <f t="shared" si="280"/>
        <v>0</v>
      </c>
      <c r="AY158" s="4794">
        <f t="shared" si="281"/>
        <v>0</v>
      </c>
      <c r="AZ158" s="4794">
        <f t="shared" si="282"/>
        <v>0</v>
      </c>
      <c r="BA158" s="4794">
        <f t="shared" si="283"/>
        <v>0</v>
      </c>
      <c r="BB158" s="4794">
        <f t="shared" si="284"/>
        <v>0</v>
      </c>
      <c r="BC158" s="152"/>
      <c r="BD158" s="4794">
        <f t="shared" si="285"/>
        <v>0</v>
      </c>
      <c r="BE158" s="4794">
        <f t="shared" si="286"/>
        <v>0</v>
      </c>
      <c r="BF158" s="4794">
        <f t="shared" si="287"/>
        <v>0</v>
      </c>
      <c r="BG158" s="4794">
        <f t="shared" si="288"/>
        <v>0</v>
      </c>
      <c r="BH158" s="4794">
        <f t="shared" si="289"/>
        <v>0</v>
      </c>
      <c r="BI158" s="4794">
        <f t="shared" si="290"/>
        <v>0</v>
      </c>
      <c r="BJ158" s="152"/>
      <c r="BK158" s="4794">
        <f t="shared" si="291"/>
        <v>0</v>
      </c>
      <c r="BL158" s="4794">
        <f t="shared" si="292"/>
        <v>0</v>
      </c>
      <c r="BM158" s="4794">
        <f t="shared" si="293"/>
        <v>0</v>
      </c>
      <c r="BN158" s="4794">
        <f t="shared" si="294"/>
        <v>0</v>
      </c>
      <c r="BO158" s="4794">
        <f t="shared" si="295"/>
        <v>0</v>
      </c>
      <c r="BP158" s="4794">
        <f t="shared" si="296"/>
        <v>0</v>
      </c>
      <c r="BQ158" s="152"/>
      <c r="BR158" s="4794">
        <f t="shared" si="297"/>
        <v>0</v>
      </c>
      <c r="BS158" s="4794">
        <f t="shared" si="298"/>
        <v>0</v>
      </c>
      <c r="BT158" s="4794">
        <f t="shared" si="299"/>
        <v>0</v>
      </c>
      <c r="BU158" s="4794">
        <f t="shared" si="300"/>
        <v>0</v>
      </c>
      <c r="BV158" s="4794">
        <f t="shared" si="301"/>
        <v>0</v>
      </c>
      <c r="BW158" s="4794">
        <f t="shared" si="302"/>
        <v>0</v>
      </c>
      <c r="BX158" s="152"/>
      <c r="BY158" s="4794">
        <f t="shared" si="303"/>
        <v>0</v>
      </c>
      <c r="BZ158" s="4794">
        <f t="shared" si="304"/>
        <v>0</v>
      </c>
      <c r="CA158" s="4794">
        <f t="shared" si="305"/>
        <v>0</v>
      </c>
      <c r="CB158" s="4794">
        <f t="shared" si="306"/>
        <v>0</v>
      </c>
      <c r="CC158" s="4794">
        <f t="shared" si="307"/>
        <v>0</v>
      </c>
      <c r="CD158" s="4794">
        <f t="shared" si="308"/>
        <v>0</v>
      </c>
    </row>
    <row r="159" spans="1:82" s="44" customFormat="1">
      <c r="A159" s="4119">
        <v>5</v>
      </c>
      <c r="B159" s="3133" t="s">
        <v>714</v>
      </c>
      <c r="C159" s="4120">
        <v>0.1</v>
      </c>
      <c r="D159" s="4121" t="s">
        <v>407</v>
      </c>
      <c r="E159" s="3184"/>
      <c r="F159" s="4122">
        <f t="shared" si="317"/>
        <v>0</v>
      </c>
      <c r="G159" s="4123">
        <f t="shared" si="318"/>
        <v>0</v>
      </c>
      <c r="H159" s="4123">
        <f t="shared" si="318"/>
        <v>0</v>
      </c>
      <c r="I159" s="4123">
        <f t="shared" si="318"/>
        <v>0</v>
      </c>
      <c r="J159" s="4123">
        <f t="shared" si="318"/>
        <v>0</v>
      </c>
      <c r="K159" s="4124">
        <f t="shared" si="318"/>
        <v>0</v>
      </c>
      <c r="L159" s="3184"/>
      <c r="M159" s="4122">
        <f t="shared" si="319"/>
        <v>0</v>
      </c>
      <c r="N159" s="4123">
        <f t="shared" si="320"/>
        <v>0</v>
      </c>
      <c r="O159" s="4123">
        <f t="shared" si="320"/>
        <v>0</v>
      </c>
      <c r="P159" s="4123">
        <f t="shared" si="320"/>
        <v>0</v>
      </c>
      <c r="Q159" s="4123">
        <f t="shared" si="320"/>
        <v>0</v>
      </c>
      <c r="R159" s="4124">
        <f t="shared" si="320"/>
        <v>0</v>
      </c>
      <c r="S159" s="3184"/>
      <c r="T159" s="4122">
        <f t="shared" si="321"/>
        <v>0</v>
      </c>
      <c r="U159" s="4123">
        <f t="shared" si="322"/>
        <v>0</v>
      </c>
      <c r="V159" s="4123">
        <f t="shared" si="322"/>
        <v>0</v>
      </c>
      <c r="W159" s="4123">
        <f t="shared" si="322"/>
        <v>0</v>
      </c>
      <c r="X159" s="4123">
        <f t="shared" si="322"/>
        <v>0</v>
      </c>
      <c r="Y159" s="4124">
        <f t="shared" si="322"/>
        <v>0</v>
      </c>
      <c r="Z159" s="3184"/>
      <c r="AA159" s="4122">
        <f t="shared" si="323"/>
        <v>0</v>
      </c>
      <c r="AB159" s="4123">
        <f t="shared" si="324"/>
        <v>0</v>
      </c>
      <c r="AC159" s="4123">
        <f t="shared" si="315"/>
        <v>0</v>
      </c>
      <c r="AD159" s="4123">
        <f t="shared" si="315"/>
        <v>0</v>
      </c>
      <c r="AE159" s="4123">
        <f t="shared" si="315"/>
        <v>0</v>
      </c>
      <c r="AF159" s="4124">
        <f t="shared" si="315"/>
        <v>0</v>
      </c>
      <c r="AG159" s="3184"/>
      <c r="AH159" s="4122">
        <f t="shared" si="325"/>
        <v>0</v>
      </c>
      <c r="AI159" s="4123">
        <f t="shared" si="326"/>
        <v>0</v>
      </c>
      <c r="AJ159" s="4123">
        <f t="shared" si="316"/>
        <v>0</v>
      </c>
      <c r="AK159" s="4123">
        <f t="shared" si="316"/>
        <v>0</v>
      </c>
      <c r="AL159" s="4123">
        <f t="shared" si="316"/>
        <v>0</v>
      </c>
      <c r="AM159" s="4124">
        <f t="shared" si="316"/>
        <v>0</v>
      </c>
      <c r="AN159" s="3184"/>
      <c r="AO159" s="3189"/>
      <c r="AP159" s="3190"/>
      <c r="AQ159" s="3190"/>
      <c r="AR159" s="3190"/>
      <c r="AS159" s="3190"/>
      <c r="AT159" s="3191"/>
      <c r="AU159" s="4775"/>
      <c r="AV159" s="152"/>
      <c r="AW159" s="4794">
        <f t="shared" si="309"/>
        <v>0</v>
      </c>
      <c r="AX159" s="4794">
        <f t="shared" si="280"/>
        <v>0</v>
      </c>
      <c r="AY159" s="4794">
        <f t="shared" si="281"/>
        <v>0</v>
      </c>
      <c r="AZ159" s="4794">
        <f t="shared" si="282"/>
        <v>0</v>
      </c>
      <c r="BA159" s="4794">
        <f t="shared" si="283"/>
        <v>0</v>
      </c>
      <c r="BB159" s="4794">
        <f t="shared" si="284"/>
        <v>0</v>
      </c>
      <c r="BC159" s="152"/>
      <c r="BD159" s="4794">
        <f t="shared" si="285"/>
        <v>0</v>
      </c>
      <c r="BE159" s="4794">
        <f t="shared" si="286"/>
        <v>0</v>
      </c>
      <c r="BF159" s="4794">
        <f t="shared" si="287"/>
        <v>0</v>
      </c>
      <c r="BG159" s="4794">
        <f t="shared" si="288"/>
        <v>0</v>
      </c>
      <c r="BH159" s="4794">
        <f t="shared" si="289"/>
        <v>0</v>
      </c>
      <c r="BI159" s="4794">
        <f t="shared" si="290"/>
        <v>0</v>
      </c>
      <c r="BJ159" s="152"/>
      <c r="BK159" s="4794">
        <f t="shared" si="291"/>
        <v>0</v>
      </c>
      <c r="BL159" s="4794">
        <f t="shared" si="292"/>
        <v>0</v>
      </c>
      <c r="BM159" s="4794">
        <f t="shared" si="293"/>
        <v>0</v>
      </c>
      <c r="BN159" s="4794">
        <f t="shared" si="294"/>
        <v>0</v>
      </c>
      <c r="BO159" s="4794">
        <f t="shared" si="295"/>
        <v>0</v>
      </c>
      <c r="BP159" s="4794">
        <f t="shared" si="296"/>
        <v>0</v>
      </c>
      <c r="BQ159" s="152"/>
      <c r="BR159" s="4794">
        <f t="shared" si="297"/>
        <v>0</v>
      </c>
      <c r="BS159" s="4794">
        <f t="shared" si="298"/>
        <v>0</v>
      </c>
      <c r="BT159" s="4794">
        <f t="shared" si="299"/>
        <v>0</v>
      </c>
      <c r="BU159" s="4794">
        <f t="shared" si="300"/>
        <v>0</v>
      </c>
      <c r="BV159" s="4794">
        <f t="shared" si="301"/>
        <v>0</v>
      </c>
      <c r="BW159" s="4794">
        <f t="shared" si="302"/>
        <v>0</v>
      </c>
      <c r="BX159" s="152"/>
      <c r="BY159" s="4794">
        <f t="shared" si="303"/>
        <v>0</v>
      </c>
      <c r="BZ159" s="4794">
        <f t="shared" si="304"/>
        <v>0</v>
      </c>
      <c r="CA159" s="4794">
        <f t="shared" si="305"/>
        <v>0</v>
      </c>
      <c r="CB159" s="4794">
        <f t="shared" si="306"/>
        <v>0</v>
      </c>
      <c r="CC159" s="4794">
        <f t="shared" si="307"/>
        <v>0</v>
      </c>
      <c r="CD159" s="4794">
        <f t="shared" si="308"/>
        <v>0</v>
      </c>
    </row>
    <row r="160" spans="1:82" s="44" customFormat="1">
      <c r="A160" s="3132">
        <v>6</v>
      </c>
      <c r="B160" s="3135" t="s">
        <v>715</v>
      </c>
      <c r="C160" s="3137">
        <v>0.1</v>
      </c>
      <c r="D160" s="2720" t="s">
        <v>408</v>
      </c>
      <c r="E160" s="3184"/>
      <c r="F160" s="3146">
        <f t="shared" si="317"/>
        <v>0</v>
      </c>
      <c r="G160" s="3082">
        <f t="shared" si="318"/>
        <v>0</v>
      </c>
      <c r="H160" s="3082">
        <f t="shared" si="318"/>
        <v>0</v>
      </c>
      <c r="I160" s="3082">
        <f t="shared" si="318"/>
        <v>0</v>
      </c>
      <c r="J160" s="3082">
        <f t="shared" si="318"/>
        <v>0</v>
      </c>
      <c r="K160" s="3147">
        <f t="shared" si="318"/>
        <v>0</v>
      </c>
      <c r="L160" s="3184"/>
      <c r="M160" s="3146">
        <f t="shared" si="319"/>
        <v>0</v>
      </c>
      <c r="N160" s="3082">
        <f t="shared" si="320"/>
        <v>0</v>
      </c>
      <c r="O160" s="3082">
        <f t="shared" si="320"/>
        <v>0</v>
      </c>
      <c r="P160" s="3082">
        <f t="shared" si="320"/>
        <v>0</v>
      </c>
      <c r="Q160" s="3082">
        <f t="shared" si="320"/>
        <v>0</v>
      </c>
      <c r="R160" s="3147">
        <f t="shared" si="320"/>
        <v>0</v>
      </c>
      <c r="S160" s="3184"/>
      <c r="T160" s="3146">
        <f t="shared" si="321"/>
        <v>0</v>
      </c>
      <c r="U160" s="3082">
        <f t="shared" si="322"/>
        <v>0</v>
      </c>
      <c r="V160" s="3082">
        <f t="shared" si="322"/>
        <v>0</v>
      </c>
      <c r="W160" s="3082">
        <f t="shared" si="322"/>
        <v>0</v>
      </c>
      <c r="X160" s="3082">
        <f t="shared" si="322"/>
        <v>0</v>
      </c>
      <c r="Y160" s="3147">
        <f t="shared" si="322"/>
        <v>0</v>
      </c>
      <c r="Z160" s="3184"/>
      <c r="AA160" s="3146">
        <f t="shared" si="323"/>
        <v>0</v>
      </c>
      <c r="AB160" s="3082">
        <f t="shared" si="324"/>
        <v>0</v>
      </c>
      <c r="AC160" s="3082">
        <f t="shared" si="315"/>
        <v>0</v>
      </c>
      <c r="AD160" s="3082">
        <f t="shared" si="315"/>
        <v>0</v>
      </c>
      <c r="AE160" s="3082">
        <f t="shared" si="315"/>
        <v>0</v>
      </c>
      <c r="AF160" s="3147">
        <f t="shared" si="315"/>
        <v>0</v>
      </c>
      <c r="AG160" s="3184"/>
      <c r="AH160" s="3146">
        <f t="shared" si="325"/>
        <v>0</v>
      </c>
      <c r="AI160" s="3082">
        <f t="shared" si="326"/>
        <v>0</v>
      </c>
      <c r="AJ160" s="3082">
        <f t="shared" si="316"/>
        <v>0</v>
      </c>
      <c r="AK160" s="3082">
        <f t="shared" si="316"/>
        <v>0</v>
      </c>
      <c r="AL160" s="3082">
        <f t="shared" si="316"/>
        <v>0</v>
      </c>
      <c r="AM160" s="3147">
        <f t="shared" si="316"/>
        <v>0</v>
      </c>
      <c r="AN160" s="3184"/>
      <c r="AO160" s="3189"/>
      <c r="AP160" s="3190"/>
      <c r="AQ160" s="3190"/>
      <c r="AR160" s="3190"/>
      <c r="AS160" s="3190"/>
      <c r="AT160" s="3191"/>
      <c r="AU160" s="4775"/>
      <c r="AV160" s="152"/>
      <c r="AW160" s="4794">
        <f t="shared" si="309"/>
        <v>0</v>
      </c>
      <c r="AX160" s="4794">
        <f t="shared" si="280"/>
        <v>0</v>
      </c>
      <c r="AY160" s="4794">
        <f t="shared" si="281"/>
        <v>0</v>
      </c>
      <c r="AZ160" s="4794">
        <f t="shared" si="282"/>
        <v>0</v>
      </c>
      <c r="BA160" s="4794">
        <f t="shared" si="283"/>
        <v>0</v>
      </c>
      <c r="BB160" s="4794">
        <f t="shared" si="284"/>
        <v>0</v>
      </c>
      <c r="BC160" s="152"/>
      <c r="BD160" s="4794">
        <f t="shared" si="285"/>
        <v>0</v>
      </c>
      <c r="BE160" s="4794">
        <f t="shared" si="286"/>
        <v>0</v>
      </c>
      <c r="BF160" s="4794">
        <f t="shared" si="287"/>
        <v>0</v>
      </c>
      <c r="BG160" s="4794">
        <f t="shared" si="288"/>
        <v>0</v>
      </c>
      <c r="BH160" s="4794">
        <f t="shared" si="289"/>
        <v>0</v>
      </c>
      <c r="BI160" s="4794">
        <f t="shared" si="290"/>
        <v>0</v>
      </c>
      <c r="BJ160" s="152"/>
      <c r="BK160" s="4794">
        <f t="shared" si="291"/>
        <v>0</v>
      </c>
      <c r="BL160" s="4794">
        <f t="shared" si="292"/>
        <v>0</v>
      </c>
      <c r="BM160" s="4794">
        <f t="shared" si="293"/>
        <v>0</v>
      </c>
      <c r="BN160" s="4794">
        <f t="shared" si="294"/>
        <v>0</v>
      </c>
      <c r="BO160" s="4794">
        <f t="shared" si="295"/>
        <v>0</v>
      </c>
      <c r="BP160" s="4794">
        <f t="shared" si="296"/>
        <v>0</v>
      </c>
      <c r="BQ160" s="152"/>
      <c r="BR160" s="4794">
        <f t="shared" si="297"/>
        <v>0</v>
      </c>
      <c r="BS160" s="4794">
        <f t="shared" si="298"/>
        <v>0</v>
      </c>
      <c r="BT160" s="4794">
        <f t="shared" si="299"/>
        <v>0</v>
      </c>
      <c r="BU160" s="4794">
        <f t="shared" si="300"/>
        <v>0</v>
      </c>
      <c r="BV160" s="4794">
        <f t="shared" si="301"/>
        <v>0</v>
      </c>
      <c r="BW160" s="4794">
        <f t="shared" si="302"/>
        <v>0</v>
      </c>
      <c r="BX160" s="152"/>
      <c r="BY160" s="4794">
        <f t="shared" si="303"/>
        <v>0</v>
      </c>
      <c r="BZ160" s="4794">
        <f t="shared" si="304"/>
        <v>0</v>
      </c>
      <c r="CA160" s="4794">
        <f t="shared" si="305"/>
        <v>0</v>
      </c>
      <c r="CB160" s="4794">
        <f t="shared" si="306"/>
        <v>0</v>
      </c>
      <c r="CC160" s="4794">
        <f t="shared" si="307"/>
        <v>0</v>
      </c>
      <c r="CD160" s="4794">
        <f t="shared" si="308"/>
        <v>0</v>
      </c>
    </row>
    <row r="161" spans="1:82" s="44" customFormat="1" ht="21.75" customHeight="1">
      <c r="A161" s="3132">
        <v>7</v>
      </c>
      <c r="B161" s="3135" t="s">
        <v>706</v>
      </c>
      <c r="C161" s="3137">
        <v>0.1</v>
      </c>
      <c r="D161" s="2720" t="s">
        <v>695</v>
      </c>
      <c r="E161" s="3184"/>
      <c r="F161" s="3146">
        <f t="shared" si="317"/>
        <v>0</v>
      </c>
      <c r="G161" s="3082">
        <f t="shared" si="318"/>
        <v>0</v>
      </c>
      <c r="H161" s="3082">
        <f t="shared" si="318"/>
        <v>0</v>
      </c>
      <c r="I161" s="3082">
        <f t="shared" si="318"/>
        <v>0</v>
      </c>
      <c r="J161" s="3082">
        <f t="shared" si="318"/>
        <v>0</v>
      </c>
      <c r="K161" s="3147">
        <f t="shared" si="318"/>
        <v>0</v>
      </c>
      <c r="L161" s="3184"/>
      <c r="M161" s="3146">
        <f t="shared" si="319"/>
        <v>0</v>
      </c>
      <c r="N161" s="3082">
        <f t="shared" si="320"/>
        <v>0</v>
      </c>
      <c r="O161" s="3082">
        <f t="shared" si="320"/>
        <v>0</v>
      </c>
      <c r="P161" s="3082">
        <f t="shared" si="320"/>
        <v>0</v>
      </c>
      <c r="Q161" s="3082">
        <f t="shared" si="320"/>
        <v>0</v>
      </c>
      <c r="R161" s="3147">
        <f t="shared" si="320"/>
        <v>0</v>
      </c>
      <c r="S161" s="3184"/>
      <c r="T161" s="3146">
        <f t="shared" si="321"/>
        <v>0</v>
      </c>
      <c r="U161" s="3082">
        <f t="shared" si="322"/>
        <v>0</v>
      </c>
      <c r="V161" s="3082">
        <f t="shared" si="322"/>
        <v>0</v>
      </c>
      <c r="W161" s="3082">
        <f t="shared" si="322"/>
        <v>0</v>
      </c>
      <c r="X161" s="3082">
        <f t="shared" si="322"/>
        <v>0</v>
      </c>
      <c r="Y161" s="3147">
        <f t="shared" si="322"/>
        <v>0</v>
      </c>
      <c r="Z161" s="3184"/>
      <c r="AA161" s="3146">
        <f t="shared" si="323"/>
        <v>0</v>
      </c>
      <c r="AB161" s="3082">
        <f t="shared" si="324"/>
        <v>0</v>
      </c>
      <c r="AC161" s="3082">
        <f t="shared" si="315"/>
        <v>0</v>
      </c>
      <c r="AD161" s="3082">
        <f t="shared" si="315"/>
        <v>0</v>
      </c>
      <c r="AE161" s="3082">
        <f t="shared" si="315"/>
        <v>0</v>
      </c>
      <c r="AF161" s="3147">
        <f t="shared" si="315"/>
        <v>0</v>
      </c>
      <c r="AG161" s="3184"/>
      <c r="AH161" s="3146">
        <f t="shared" si="325"/>
        <v>0</v>
      </c>
      <c r="AI161" s="3082">
        <f t="shared" si="326"/>
        <v>0</v>
      </c>
      <c r="AJ161" s="3082">
        <f t="shared" si="316"/>
        <v>0</v>
      </c>
      <c r="AK161" s="3082">
        <f t="shared" si="316"/>
        <v>0</v>
      </c>
      <c r="AL161" s="3082">
        <f t="shared" si="316"/>
        <v>0</v>
      </c>
      <c r="AM161" s="3147">
        <f t="shared" si="316"/>
        <v>0</v>
      </c>
      <c r="AN161" s="3184"/>
      <c r="AO161" s="3189"/>
      <c r="AP161" s="3190"/>
      <c r="AQ161" s="3190"/>
      <c r="AR161" s="3190"/>
      <c r="AS161" s="3190"/>
      <c r="AT161" s="3191"/>
      <c r="AU161" s="4775"/>
      <c r="AV161" s="152"/>
      <c r="AW161" s="4794">
        <f t="shared" si="309"/>
        <v>0</v>
      </c>
      <c r="AX161" s="4794">
        <f t="shared" si="280"/>
        <v>0</v>
      </c>
      <c r="AY161" s="4794">
        <f t="shared" si="281"/>
        <v>0</v>
      </c>
      <c r="AZ161" s="4794">
        <f t="shared" si="282"/>
        <v>0</v>
      </c>
      <c r="BA161" s="4794">
        <f t="shared" si="283"/>
        <v>0</v>
      </c>
      <c r="BB161" s="4794">
        <f t="shared" si="284"/>
        <v>0</v>
      </c>
      <c r="BC161" s="152"/>
      <c r="BD161" s="4794">
        <f t="shared" si="285"/>
        <v>0</v>
      </c>
      <c r="BE161" s="4794">
        <f t="shared" si="286"/>
        <v>0</v>
      </c>
      <c r="BF161" s="4794">
        <f t="shared" si="287"/>
        <v>0</v>
      </c>
      <c r="BG161" s="4794">
        <f t="shared" si="288"/>
        <v>0</v>
      </c>
      <c r="BH161" s="4794">
        <f t="shared" si="289"/>
        <v>0</v>
      </c>
      <c r="BI161" s="4794">
        <f t="shared" si="290"/>
        <v>0</v>
      </c>
      <c r="BJ161" s="152"/>
      <c r="BK161" s="4794">
        <f t="shared" si="291"/>
        <v>0</v>
      </c>
      <c r="BL161" s="4794">
        <f t="shared" si="292"/>
        <v>0</v>
      </c>
      <c r="BM161" s="4794">
        <f t="shared" si="293"/>
        <v>0</v>
      </c>
      <c r="BN161" s="4794">
        <f t="shared" si="294"/>
        <v>0</v>
      </c>
      <c r="BO161" s="4794">
        <f t="shared" si="295"/>
        <v>0</v>
      </c>
      <c r="BP161" s="4794">
        <f t="shared" si="296"/>
        <v>0</v>
      </c>
      <c r="BQ161" s="152"/>
      <c r="BR161" s="4794">
        <f t="shared" si="297"/>
        <v>0</v>
      </c>
      <c r="BS161" s="4794">
        <f t="shared" si="298"/>
        <v>0</v>
      </c>
      <c r="BT161" s="4794">
        <f t="shared" si="299"/>
        <v>0</v>
      </c>
      <c r="BU161" s="4794">
        <f t="shared" si="300"/>
        <v>0</v>
      </c>
      <c r="BV161" s="4794">
        <f t="shared" si="301"/>
        <v>0</v>
      </c>
      <c r="BW161" s="4794">
        <f t="shared" si="302"/>
        <v>0</v>
      </c>
      <c r="BX161" s="152"/>
      <c r="BY161" s="4794">
        <f t="shared" si="303"/>
        <v>0</v>
      </c>
      <c r="BZ161" s="4794">
        <f t="shared" si="304"/>
        <v>0</v>
      </c>
      <c r="CA161" s="4794">
        <f t="shared" si="305"/>
        <v>0</v>
      </c>
      <c r="CB161" s="4794">
        <f t="shared" si="306"/>
        <v>0</v>
      </c>
      <c r="CC161" s="4794">
        <f t="shared" si="307"/>
        <v>0</v>
      </c>
      <c r="CD161" s="4794">
        <f t="shared" si="308"/>
        <v>0</v>
      </c>
    </row>
    <row r="162" spans="1:82" s="44" customFormat="1">
      <c r="A162" s="3132">
        <v>8</v>
      </c>
      <c r="B162" s="3135" t="s">
        <v>716</v>
      </c>
      <c r="C162" s="3137">
        <v>0.1</v>
      </c>
      <c r="D162" s="2720" t="s">
        <v>713</v>
      </c>
      <c r="E162" s="3184"/>
      <c r="F162" s="3146">
        <f t="shared" si="317"/>
        <v>0</v>
      </c>
      <c r="G162" s="3082">
        <f t="shared" si="318"/>
        <v>0</v>
      </c>
      <c r="H162" s="3082">
        <f t="shared" si="318"/>
        <v>0</v>
      </c>
      <c r="I162" s="3082">
        <f t="shared" si="318"/>
        <v>0</v>
      </c>
      <c r="J162" s="3082">
        <f t="shared" si="318"/>
        <v>0</v>
      </c>
      <c r="K162" s="3147">
        <f t="shared" si="318"/>
        <v>0</v>
      </c>
      <c r="L162" s="3184"/>
      <c r="M162" s="3146">
        <f t="shared" si="319"/>
        <v>0</v>
      </c>
      <c r="N162" s="3082">
        <f t="shared" si="320"/>
        <v>0</v>
      </c>
      <c r="O162" s="3082">
        <f t="shared" si="320"/>
        <v>0</v>
      </c>
      <c r="P162" s="3082">
        <f t="shared" si="320"/>
        <v>0</v>
      </c>
      <c r="Q162" s="3082">
        <f t="shared" si="320"/>
        <v>0</v>
      </c>
      <c r="R162" s="3147">
        <f t="shared" si="320"/>
        <v>0</v>
      </c>
      <c r="S162" s="3184"/>
      <c r="T162" s="3146">
        <f t="shared" si="321"/>
        <v>0</v>
      </c>
      <c r="U162" s="3082">
        <f t="shared" si="322"/>
        <v>0</v>
      </c>
      <c r="V162" s="3082">
        <f t="shared" si="322"/>
        <v>0</v>
      </c>
      <c r="W162" s="3082">
        <f t="shared" si="322"/>
        <v>0</v>
      </c>
      <c r="X162" s="3082">
        <f t="shared" si="322"/>
        <v>0</v>
      </c>
      <c r="Y162" s="3147">
        <f t="shared" si="322"/>
        <v>0</v>
      </c>
      <c r="Z162" s="3184"/>
      <c r="AA162" s="3146">
        <f t="shared" si="323"/>
        <v>0</v>
      </c>
      <c r="AB162" s="3082">
        <f t="shared" si="324"/>
        <v>0</v>
      </c>
      <c r="AC162" s="3082">
        <f t="shared" si="315"/>
        <v>0</v>
      </c>
      <c r="AD162" s="3082">
        <f t="shared" si="315"/>
        <v>0</v>
      </c>
      <c r="AE162" s="3082">
        <f t="shared" si="315"/>
        <v>0</v>
      </c>
      <c r="AF162" s="3147">
        <f t="shared" si="315"/>
        <v>0</v>
      </c>
      <c r="AG162" s="3184"/>
      <c r="AH162" s="3146">
        <f t="shared" si="325"/>
        <v>0</v>
      </c>
      <c r="AI162" s="3082">
        <f t="shared" si="326"/>
        <v>0</v>
      </c>
      <c r="AJ162" s="3082">
        <f t="shared" si="316"/>
        <v>0</v>
      </c>
      <c r="AK162" s="3082">
        <f t="shared" si="316"/>
        <v>0</v>
      </c>
      <c r="AL162" s="3082">
        <f t="shared" si="316"/>
        <v>0</v>
      </c>
      <c r="AM162" s="3147">
        <f t="shared" si="316"/>
        <v>0</v>
      </c>
      <c r="AN162" s="3184"/>
      <c r="AO162" s="3189"/>
      <c r="AP162" s="3190"/>
      <c r="AQ162" s="3190"/>
      <c r="AR162" s="3190"/>
      <c r="AS162" s="3190"/>
      <c r="AT162" s="3191"/>
      <c r="AU162" s="4775"/>
      <c r="AV162" s="152"/>
      <c r="AW162" s="4794">
        <f t="shared" si="309"/>
        <v>0</v>
      </c>
      <c r="AX162" s="4794">
        <f t="shared" si="280"/>
        <v>0</v>
      </c>
      <c r="AY162" s="4794">
        <f t="shared" si="281"/>
        <v>0</v>
      </c>
      <c r="AZ162" s="4794">
        <f t="shared" si="282"/>
        <v>0</v>
      </c>
      <c r="BA162" s="4794">
        <f t="shared" si="283"/>
        <v>0</v>
      </c>
      <c r="BB162" s="4794">
        <f t="shared" si="284"/>
        <v>0</v>
      </c>
      <c r="BC162" s="152"/>
      <c r="BD162" s="4794">
        <f t="shared" si="285"/>
        <v>0</v>
      </c>
      <c r="BE162" s="4794">
        <f t="shared" si="286"/>
        <v>0</v>
      </c>
      <c r="BF162" s="4794">
        <f t="shared" si="287"/>
        <v>0</v>
      </c>
      <c r="BG162" s="4794">
        <f t="shared" si="288"/>
        <v>0</v>
      </c>
      <c r="BH162" s="4794">
        <f t="shared" si="289"/>
        <v>0</v>
      </c>
      <c r="BI162" s="4794">
        <f t="shared" si="290"/>
        <v>0</v>
      </c>
      <c r="BJ162" s="152"/>
      <c r="BK162" s="4794">
        <f t="shared" si="291"/>
        <v>0</v>
      </c>
      <c r="BL162" s="4794">
        <f t="shared" si="292"/>
        <v>0</v>
      </c>
      <c r="BM162" s="4794">
        <f t="shared" si="293"/>
        <v>0</v>
      </c>
      <c r="BN162" s="4794">
        <f t="shared" si="294"/>
        <v>0</v>
      </c>
      <c r="BO162" s="4794">
        <f t="shared" si="295"/>
        <v>0</v>
      </c>
      <c r="BP162" s="4794">
        <f t="shared" si="296"/>
        <v>0</v>
      </c>
      <c r="BQ162" s="152"/>
      <c r="BR162" s="4794">
        <f t="shared" si="297"/>
        <v>0</v>
      </c>
      <c r="BS162" s="4794">
        <f t="shared" si="298"/>
        <v>0</v>
      </c>
      <c r="BT162" s="4794">
        <f t="shared" si="299"/>
        <v>0</v>
      </c>
      <c r="BU162" s="4794">
        <f t="shared" si="300"/>
        <v>0</v>
      </c>
      <c r="BV162" s="4794">
        <f t="shared" si="301"/>
        <v>0</v>
      </c>
      <c r="BW162" s="4794">
        <f t="shared" si="302"/>
        <v>0</v>
      </c>
      <c r="BX162" s="152"/>
      <c r="BY162" s="4794">
        <f t="shared" si="303"/>
        <v>0</v>
      </c>
      <c r="BZ162" s="4794">
        <f t="shared" si="304"/>
        <v>0</v>
      </c>
      <c r="CA162" s="4794">
        <f t="shared" si="305"/>
        <v>0</v>
      </c>
      <c r="CB162" s="4794">
        <f t="shared" si="306"/>
        <v>0</v>
      </c>
      <c r="CC162" s="4794">
        <f t="shared" si="307"/>
        <v>0</v>
      </c>
      <c r="CD162" s="4794">
        <f t="shared" si="308"/>
        <v>0</v>
      </c>
    </row>
    <row r="163" spans="1:82" s="44" customFormat="1">
      <c r="A163" s="3138">
        <v>9</v>
      </c>
      <c r="B163" s="3135">
        <v>911306</v>
      </c>
      <c r="C163" s="3137">
        <v>0.1</v>
      </c>
      <c r="D163" s="3136" t="s">
        <v>1032</v>
      </c>
      <c r="E163" s="3184"/>
      <c r="F163" s="3146">
        <f t="shared" si="317"/>
        <v>0</v>
      </c>
      <c r="G163" s="3082">
        <f t="shared" si="318"/>
        <v>0</v>
      </c>
      <c r="H163" s="3082">
        <f t="shared" si="318"/>
        <v>0</v>
      </c>
      <c r="I163" s="3082">
        <f t="shared" si="318"/>
        <v>0</v>
      </c>
      <c r="J163" s="3082">
        <f t="shared" si="318"/>
        <v>0</v>
      </c>
      <c r="K163" s="3147">
        <f t="shared" si="318"/>
        <v>0</v>
      </c>
      <c r="L163" s="3184"/>
      <c r="M163" s="3146">
        <f t="shared" si="319"/>
        <v>0</v>
      </c>
      <c r="N163" s="3082">
        <f t="shared" si="320"/>
        <v>0</v>
      </c>
      <c r="O163" s="3082">
        <f t="shared" si="320"/>
        <v>0</v>
      </c>
      <c r="P163" s="3082">
        <f t="shared" si="320"/>
        <v>0</v>
      </c>
      <c r="Q163" s="3082">
        <f t="shared" si="320"/>
        <v>0</v>
      </c>
      <c r="R163" s="3147">
        <f t="shared" si="320"/>
        <v>0</v>
      </c>
      <c r="S163" s="3184"/>
      <c r="T163" s="3146">
        <f t="shared" si="321"/>
        <v>0</v>
      </c>
      <c r="U163" s="3082">
        <f t="shared" si="322"/>
        <v>0</v>
      </c>
      <c r="V163" s="3082">
        <f t="shared" si="322"/>
        <v>0</v>
      </c>
      <c r="W163" s="3082">
        <f t="shared" si="322"/>
        <v>0</v>
      </c>
      <c r="X163" s="3082">
        <f t="shared" si="322"/>
        <v>0</v>
      </c>
      <c r="Y163" s="3147">
        <f t="shared" si="322"/>
        <v>0</v>
      </c>
      <c r="Z163" s="3184"/>
      <c r="AA163" s="3146">
        <f t="shared" si="323"/>
        <v>0</v>
      </c>
      <c r="AB163" s="3082">
        <f t="shared" si="324"/>
        <v>0</v>
      </c>
      <c r="AC163" s="3082">
        <f t="shared" si="315"/>
        <v>0</v>
      </c>
      <c r="AD163" s="3082">
        <f t="shared" si="315"/>
        <v>0</v>
      </c>
      <c r="AE163" s="3082">
        <f t="shared" si="315"/>
        <v>0</v>
      </c>
      <c r="AF163" s="3147">
        <f t="shared" si="315"/>
        <v>0</v>
      </c>
      <c r="AG163" s="3184"/>
      <c r="AH163" s="3146">
        <f t="shared" si="325"/>
        <v>0</v>
      </c>
      <c r="AI163" s="3082">
        <f t="shared" si="326"/>
        <v>0</v>
      </c>
      <c r="AJ163" s="3082">
        <f t="shared" si="316"/>
        <v>0</v>
      </c>
      <c r="AK163" s="3082">
        <f t="shared" si="316"/>
        <v>0</v>
      </c>
      <c r="AL163" s="3082">
        <f t="shared" si="316"/>
        <v>0</v>
      </c>
      <c r="AM163" s="3147">
        <f t="shared" si="316"/>
        <v>0</v>
      </c>
      <c r="AN163" s="3184"/>
      <c r="AO163" s="3189"/>
      <c r="AP163" s="3190"/>
      <c r="AQ163" s="3190"/>
      <c r="AR163" s="3190"/>
      <c r="AS163" s="3190"/>
      <c r="AT163" s="3191"/>
      <c r="AU163" s="4775"/>
      <c r="AV163" s="152"/>
      <c r="AW163" s="4794">
        <f t="shared" si="309"/>
        <v>0</v>
      </c>
      <c r="AX163" s="4794">
        <f t="shared" si="280"/>
        <v>0</v>
      </c>
      <c r="AY163" s="4794">
        <f t="shared" si="281"/>
        <v>0</v>
      </c>
      <c r="AZ163" s="4794">
        <f t="shared" si="282"/>
        <v>0</v>
      </c>
      <c r="BA163" s="4794">
        <f t="shared" si="283"/>
        <v>0</v>
      </c>
      <c r="BB163" s="4794">
        <f t="shared" si="284"/>
        <v>0</v>
      </c>
      <c r="BC163" s="152"/>
      <c r="BD163" s="4794">
        <f t="shared" si="285"/>
        <v>0</v>
      </c>
      <c r="BE163" s="4794">
        <f t="shared" si="286"/>
        <v>0</v>
      </c>
      <c r="BF163" s="4794">
        <f t="shared" si="287"/>
        <v>0</v>
      </c>
      <c r="BG163" s="4794">
        <f t="shared" si="288"/>
        <v>0</v>
      </c>
      <c r="BH163" s="4794">
        <f t="shared" si="289"/>
        <v>0</v>
      </c>
      <c r="BI163" s="4794">
        <f t="shared" si="290"/>
        <v>0</v>
      </c>
      <c r="BJ163" s="152"/>
      <c r="BK163" s="4794">
        <f t="shared" si="291"/>
        <v>0</v>
      </c>
      <c r="BL163" s="4794">
        <f t="shared" si="292"/>
        <v>0</v>
      </c>
      <c r="BM163" s="4794">
        <f t="shared" si="293"/>
        <v>0</v>
      </c>
      <c r="BN163" s="4794">
        <f t="shared" si="294"/>
        <v>0</v>
      </c>
      <c r="BO163" s="4794">
        <f t="shared" si="295"/>
        <v>0</v>
      </c>
      <c r="BP163" s="4794">
        <f t="shared" si="296"/>
        <v>0</v>
      </c>
      <c r="BQ163" s="152"/>
      <c r="BR163" s="4794">
        <f t="shared" si="297"/>
        <v>0</v>
      </c>
      <c r="BS163" s="4794">
        <f t="shared" si="298"/>
        <v>0</v>
      </c>
      <c r="BT163" s="4794">
        <f t="shared" si="299"/>
        <v>0</v>
      </c>
      <c r="BU163" s="4794">
        <f t="shared" si="300"/>
        <v>0</v>
      </c>
      <c r="BV163" s="4794">
        <f t="shared" si="301"/>
        <v>0</v>
      </c>
      <c r="BW163" s="4794">
        <f t="shared" si="302"/>
        <v>0</v>
      </c>
      <c r="BX163" s="152"/>
      <c r="BY163" s="4794">
        <f t="shared" si="303"/>
        <v>0</v>
      </c>
      <c r="BZ163" s="4794">
        <f t="shared" si="304"/>
        <v>0</v>
      </c>
      <c r="CA163" s="4794">
        <f t="shared" si="305"/>
        <v>0</v>
      </c>
      <c r="CB163" s="4794">
        <f t="shared" si="306"/>
        <v>0</v>
      </c>
      <c r="CC163" s="4794">
        <f t="shared" si="307"/>
        <v>0</v>
      </c>
      <c r="CD163" s="4794">
        <f t="shared" si="308"/>
        <v>0</v>
      </c>
    </row>
    <row r="164" spans="1:82" s="44" customFormat="1">
      <c r="A164" s="3138">
        <v>10</v>
      </c>
      <c r="B164" s="3135">
        <v>91140101</v>
      </c>
      <c r="C164" s="3139">
        <v>0.1</v>
      </c>
      <c r="D164" s="2714" t="s">
        <v>1016</v>
      </c>
      <c r="E164" s="3184"/>
      <c r="F164" s="3146">
        <f t="shared" si="317"/>
        <v>0</v>
      </c>
      <c r="G164" s="3082">
        <f t="shared" si="318"/>
        <v>0</v>
      </c>
      <c r="H164" s="3082">
        <f t="shared" si="318"/>
        <v>0</v>
      </c>
      <c r="I164" s="3082">
        <f t="shared" si="318"/>
        <v>0</v>
      </c>
      <c r="J164" s="3082">
        <f t="shared" si="318"/>
        <v>0</v>
      </c>
      <c r="K164" s="3147">
        <f t="shared" si="318"/>
        <v>0</v>
      </c>
      <c r="L164" s="3184"/>
      <c r="M164" s="3146">
        <f t="shared" si="319"/>
        <v>0</v>
      </c>
      <c r="N164" s="3082">
        <f t="shared" si="320"/>
        <v>0</v>
      </c>
      <c r="O164" s="3082">
        <f t="shared" si="320"/>
        <v>0</v>
      </c>
      <c r="P164" s="3082">
        <f t="shared" si="320"/>
        <v>0</v>
      </c>
      <c r="Q164" s="3082">
        <f t="shared" si="320"/>
        <v>0</v>
      </c>
      <c r="R164" s="3147">
        <f t="shared" si="320"/>
        <v>0</v>
      </c>
      <c r="S164" s="3184"/>
      <c r="T164" s="3146">
        <f t="shared" si="321"/>
        <v>0</v>
      </c>
      <c r="U164" s="3082">
        <f t="shared" si="322"/>
        <v>0</v>
      </c>
      <c r="V164" s="3082">
        <f t="shared" si="322"/>
        <v>0</v>
      </c>
      <c r="W164" s="3082">
        <f t="shared" si="322"/>
        <v>0</v>
      </c>
      <c r="X164" s="3082">
        <f t="shared" si="322"/>
        <v>0</v>
      </c>
      <c r="Y164" s="3147">
        <f t="shared" si="322"/>
        <v>0</v>
      </c>
      <c r="Z164" s="3184"/>
      <c r="AA164" s="3146">
        <f t="shared" si="323"/>
        <v>0</v>
      </c>
      <c r="AB164" s="3082">
        <f t="shared" si="324"/>
        <v>0</v>
      </c>
      <c r="AC164" s="3082">
        <f t="shared" si="315"/>
        <v>0</v>
      </c>
      <c r="AD164" s="3082">
        <f t="shared" si="315"/>
        <v>0</v>
      </c>
      <c r="AE164" s="3082">
        <f t="shared" si="315"/>
        <v>0</v>
      </c>
      <c r="AF164" s="3147">
        <f t="shared" si="315"/>
        <v>0</v>
      </c>
      <c r="AG164" s="3184"/>
      <c r="AH164" s="3146">
        <f t="shared" si="325"/>
        <v>0</v>
      </c>
      <c r="AI164" s="3082">
        <f t="shared" si="326"/>
        <v>0</v>
      </c>
      <c r="AJ164" s="3082">
        <f t="shared" si="316"/>
        <v>0</v>
      </c>
      <c r="AK164" s="3082">
        <f t="shared" si="316"/>
        <v>0</v>
      </c>
      <c r="AL164" s="3082">
        <f t="shared" si="316"/>
        <v>0</v>
      </c>
      <c r="AM164" s="3147">
        <f t="shared" si="316"/>
        <v>0</v>
      </c>
      <c r="AN164" s="3184"/>
      <c r="AO164" s="3189"/>
      <c r="AP164" s="3190"/>
      <c r="AQ164" s="3190"/>
      <c r="AR164" s="3190"/>
      <c r="AS164" s="3190"/>
      <c r="AT164" s="3191"/>
      <c r="AU164" s="4775"/>
      <c r="AV164" s="152"/>
      <c r="AW164" s="4794">
        <f t="shared" si="309"/>
        <v>0</v>
      </c>
      <c r="AX164" s="4794">
        <f t="shared" si="280"/>
        <v>0</v>
      </c>
      <c r="AY164" s="4794">
        <f t="shared" si="281"/>
        <v>0</v>
      </c>
      <c r="AZ164" s="4794">
        <f t="shared" si="282"/>
        <v>0</v>
      </c>
      <c r="BA164" s="4794">
        <f t="shared" si="283"/>
        <v>0</v>
      </c>
      <c r="BB164" s="4794">
        <f t="shared" si="284"/>
        <v>0</v>
      </c>
      <c r="BC164" s="152"/>
      <c r="BD164" s="4794">
        <f t="shared" si="285"/>
        <v>0</v>
      </c>
      <c r="BE164" s="4794">
        <f t="shared" si="286"/>
        <v>0</v>
      </c>
      <c r="BF164" s="4794">
        <f t="shared" si="287"/>
        <v>0</v>
      </c>
      <c r="BG164" s="4794">
        <f t="shared" si="288"/>
        <v>0</v>
      </c>
      <c r="BH164" s="4794">
        <f t="shared" si="289"/>
        <v>0</v>
      </c>
      <c r="BI164" s="4794">
        <f t="shared" si="290"/>
        <v>0</v>
      </c>
      <c r="BJ164" s="152"/>
      <c r="BK164" s="4794">
        <f t="shared" si="291"/>
        <v>0</v>
      </c>
      <c r="BL164" s="4794">
        <f t="shared" si="292"/>
        <v>0</v>
      </c>
      <c r="BM164" s="4794">
        <f t="shared" si="293"/>
        <v>0</v>
      </c>
      <c r="BN164" s="4794">
        <f t="shared" si="294"/>
        <v>0</v>
      </c>
      <c r="BO164" s="4794">
        <f t="shared" si="295"/>
        <v>0</v>
      </c>
      <c r="BP164" s="4794">
        <f t="shared" si="296"/>
        <v>0</v>
      </c>
      <c r="BQ164" s="152"/>
      <c r="BR164" s="4794">
        <f t="shared" si="297"/>
        <v>0</v>
      </c>
      <c r="BS164" s="4794">
        <f t="shared" si="298"/>
        <v>0</v>
      </c>
      <c r="BT164" s="4794">
        <f t="shared" si="299"/>
        <v>0</v>
      </c>
      <c r="BU164" s="4794">
        <f t="shared" si="300"/>
        <v>0</v>
      </c>
      <c r="BV164" s="4794">
        <f t="shared" si="301"/>
        <v>0</v>
      </c>
      <c r="BW164" s="4794">
        <f t="shared" si="302"/>
        <v>0</v>
      </c>
      <c r="BX164" s="152"/>
      <c r="BY164" s="4794">
        <f t="shared" si="303"/>
        <v>0</v>
      </c>
      <c r="BZ164" s="4794">
        <f t="shared" si="304"/>
        <v>0</v>
      </c>
      <c r="CA164" s="4794">
        <f t="shared" si="305"/>
        <v>0</v>
      </c>
      <c r="CB164" s="4794">
        <f t="shared" si="306"/>
        <v>0</v>
      </c>
      <c r="CC164" s="4794">
        <f t="shared" si="307"/>
        <v>0</v>
      </c>
      <c r="CD164" s="4794">
        <f t="shared" si="308"/>
        <v>0</v>
      </c>
    </row>
    <row r="165" spans="1:82" s="44" customFormat="1">
      <c r="A165" s="3138">
        <v>11</v>
      </c>
      <c r="B165" s="3135">
        <v>91140102</v>
      </c>
      <c r="C165" s="3139">
        <v>0.04</v>
      </c>
      <c r="D165" s="2714" t="s">
        <v>432</v>
      </c>
      <c r="E165" s="3184"/>
      <c r="F165" s="3146">
        <f t="shared" si="317"/>
        <v>0</v>
      </c>
      <c r="G165" s="3082">
        <f t="shared" si="318"/>
        <v>0</v>
      </c>
      <c r="H165" s="3082">
        <f t="shared" si="318"/>
        <v>0</v>
      </c>
      <c r="I165" s="3082">
        <f t="shared" si="318"/>
        <v>0</v>
      </c>
      <c r="J165" s="3082">
        <f t="shared" si="318"/>
        <v>0</v>
      </c>
      <c r="K165" s="3147">
        <f t="shared" si="318"/>
        <v>0</v>
      </c>
      <c r="L165" s="3184"/>
      <c r="M165" s="3146">
        <f t="shared" si="319"/>
        <v>0</v>
      </c>
      <c r="N165" s="3082">
        <f t="shared" si="320"/>
        <v>0</v>
      </c>
      <c r="O165" s="3082">
        <f t="shared" si="320"/>
        <v>0</v>
      </c>
      <c r="P165" s="3082">
        <f t="shared" si="320"/>
        <v>0</v>
      </c>
      <c r="Q165" s="3082">
        <f t="shared" si="320"/>
        <v>0</v>
      </c>
      <c r="R165" s="3147">
        <f t="shared" si="320"/>
        <v>0</v>
      </c>
      <c r="S165" s="3184"/>
      <c r="T165" s="3146">
        <f t="shared" si="321"/>
        <v>0</v>
      </c>
      <c r="U165" s="3082">
        <f t="shared" si="322"/>
        <v>0</v>
      </c>
      <c r="V165" s="3082">
        <f t="shared" si="322"/>
        <v>0</v>
      </c>
      <c r="W165" s="3082">
        <f t="shared" si="322"/>
        <v>0</v>
      </c>
      <c r="X165" s="3082">
        <f t="shared" si="322"/>
        <v>0</v>
      </c>
      <c r="Y165" s="3147">
        <f t="shared" si="322"/>
        <v>0</v>
      </c>
      <c r="Z165" s="3184"/>
      <c r="AA165" s="3146">
        <f t="shared" si="323"/>
        <v>0</v>
      </c>
      <c r="AB165" s="3082">
        <f t="shared" si="324"/>
        <v>0</v>
      </c>
      <c r="AC165" s="3082">
        <f t="shared" si="315"/>
        <v>0</v>
      </c>
      <c r="AD165" s="3082">
        <f t="shared" si="315"/>
        <v>0</v>
      </c>
      <c r="AE165" s="3082">
        <f t="shared" si="315"/>
        <v>0</v>
      </c>
      <c r="AF165" s="3147">
        <f t="shared" si="315"/>
        <v>0</v>
      </c>
      <c r="AG165" s="3184"/>
      <c r="AH165" s="3146">
        <f t="shared" si="325"/>
        <v>0</v>
      </c>
      <c r="AI165" s="3082">
        <f t="shared" si="326"/>
        <v>0</v>
      </c>
      <c r="AJ165" s="3082">
        <f t="shared" si="316"/>
        <v>0</v>
      </c>
      <c r="AK165" s="3082">
        <f t="shared" si="316"/>
        <v>0</v>
      </c>
      <c r="AL165" s="3082">
        <f t="shared" si="316"/>
        <v>0</v>
      </c>
      <c r="AM165" s="3147">
        <f t="shared" si="316"/>
        <v>0</v>
      </c>
      <c r="AN165" s="3184"/>
      <c r="AO165" s="3189"/>
      <c r="AP165" s="3190"/>
      <c r="AQ165" s="3190"/>
      <c r="AR165" s="3190"/>
      <c r="AS165" s="3190"/>
      <c r="AT165" s="3191"/>
      <c r="AU165" s="4775"/>
      <c r="AV165" s="152"/>
      <c r="AW165" s="4794">
        <f t="shared" si="309"/>
        <v>0</v>
      </c>
      <c r="AX165" s="4794">
        <f t="shared" si="280"/>
        <v>0</v>
      </c>
      <c r="AY165" s="4794">
        <f t="shared" si="281"/>
        <v>0</v>
      </c>
      <c r="AZ165" s="4794">
        <f t="shared" si="282"/>
        <v>0</v>
      </c>
      <c r="BA165" s="4794">
        <f t="shared" si="283"/>
        <v>0</v>
      </c>
      <c r="BB165" s="4794">
        <f t="shared" si="284"/>
        <v>0</v>
      </c>
      <c r="BC165" s="152"/>
      <c r="BD165" s="4794">
        <f t="shared" si="285"/>
        <v>0</v>
      </c>
      <c r="BE165" s="4794">
        <f t="shared" si="286"/>
        <v>0</v>
      </c>
      <c r="BF165" s="4794">
        <f t="shared" si="287"/>
        <v>0</v>
      </c>
      <c r="BG165" s="4794">
        <f t="shared" si="288"/>
        <v>0</v>
      </c>
      <c r="BH165" s="4794">
        <f t="shared" si="289"/>
        <v>0</v>
      </c>
      <c r="BI165" s="4794">
        <f t="shared" si="290"/>
        <v>0</v>
      </c>
      <c r="BJ165" s="152"/>
      <c r="BK165" s="4794">
        <f t="shared" si="291"/>
        <v>0</v>
      </c>
      <c r="BL165" s="4794">
        <f t="shared" si="292"/>
        <v>0</v>
      </c>
      <c r="BM165" s="4794">
        <f t="shared" si="293"/>
        <v>0</v>
      </c>
      <c r="BN165" s="4794">
        <f t="shared" si="294"/>
        <v>0</v>
      </c>
      <c r="BO165" s="4794">
        <f t="shared" si="295"/>
        <v>0</v>
      </c>
      <c r="BP165" s="4794">
        <f t="shared" si="296"/>
        <v>0</v>
      </c>
      <c r="BQ165" s="152"/>
      <c r="BR165" s="4794">
        <f t="shared" si="297"/>
        <v>0</v>
      </c>
      <c r="BS165" s="4794">
        <f t="shared" si="298"/>
        <v>0</v>
      </c>
      <c r="BT165" s="4794">
        <f t="shared" si="299"/>
        <v>0</v>
      </c>
      <c r="BU165" s="4794">
        <f t="shared" si="300"/>
        <v>0</v>
      </c>
      <c r="BV165" s="4794">
        <f t="shared" si="301"/>
        <v>0</v>
      </c>
      <c r="BW165" s="4794">
        <f t="shared" si="302"/>
        <v>0</v>
      </c>
      <c r="BX165" s="152"/>
      <c r="BY165" s="4794">
        <f t="shared" si="303"/>
        <v>0</v>
      </c>
      <c r="BZ165" s="4794">
        <f t="shared" si="304"/>
        <v>0</v>
      </c>
      <c r="CA165" s="4794">
        <f t="shared" si="305"/>
        <v>0</v>
      </c>
      <c r="CB165" s="4794">
        <f t="shared" si="306"/>
        <v>0</v>
      </c>
      <c r="CC165" s="4794">
        <f t="shared" si="307"/>
        <v>0</v>
      </c>
      <c r="CD165" s="4794">
        <f t="shared" si="308"/>
        <v>0</v>
      </c>
    </row>
    <row r="166" spans="1:82" s="44" customFormat="1">
      <c r="A166" s="3138">
        <v>12</v>
      </c>
      <c r="B166" s="3135" t="s">
        <v>698</v>
      </c>
      <c r="C166" s="3137">
        <v>0.02</v>
      </c>
      <c r="D166" s="2715" t="s">
        <v>738</v>
      </c>
      <c r="E166" s="3184"/>
      <c r="F166" s="3146">
        <f t="shared" si="317"/>
        <v>0</v>
      </c>
      <c r="G166" s="3082">
        <f t="shared" si="318"/>
        <v>0</v>
      </c>
      <c r="H166" s="3082">
        <f t="shared" si="318"/>
        <v>0</v>
      </c>
      <c r="I166" s="3082">
        <f t="shared" si="318"/>
        <v>0</v>
      </c>
      <c r="J166" s="3082">
        <f t="shared" si="318"/>
        <v>0</v>
      </c>
      <c r="K166" s="3147">
        <f t="shared" si="318"/>
        <v>0</v>
      </c>
      <c r="L166" s="3184"/>
      <c r="M166" s="3146">
        <f t="shared" si="319"/>
        <v>0</v>
      </c>
      <c r="N166" s="3082">
        <f t="shared" si="320"/>
        <v>0</v>
      </c>
      <c r="O166" s="3082">
        <f t="shared" si="320"/>
        <v>0</v>
      </c>
      <c r="P166" s="3082">
        <f t="shared" si="320"/>
        <v>0</v>
      </c>
      <c r="Q166" s="3082">
        <f t="shared" si="320"/>
        <v>0</v>
      </c>
      <c r="R166" s="3147">
        <f t="shared" si="320"/>
        <v>0</v>
      </c>
      <c r="S166" s="3184"/>
      <c r="T166" s="3146">
        <f t="shared" si="321"/>
        <v>0</v>
      </c>
      <c r="U166" s="3082">
        <f t="shared" si="322"/>
        <v>0</v>
      </c>
      <c r="V166" s="3082">
        <f t="shared" si="322"/>
        <v>0</v>
      </c>
      <c r="W166" s="3082">
        <f t="shared" si="322"/>
        <v>0</v>
      </c>
      <c r="X166" s="3082">
        <f t="shared" si="322"/>
        <v>0</v>
      </c>
      <c r="Y166" s="3147">
        <f t="shared" si="322"/>
        <v>0</v>
      </c>
      <c r="Z166" s="3184"/>
      <c r="AA166" s="3146">
        <f t="shared" si="323"/>
        <v>0</v>
      </c>
      <c r="AB166" s="3082">
        <f t="shared" si="324"/>
        <v>0</v>
      </c>
      <c r="AC166" s="3082">
        <f t="shared" si="315"/>
        <v>0</v>
      </c>
      <c r="AD166" s="3082">
        <f t="shared" si="315"/>
        <v>0</v>
      </c>
      <c r="AE166" s="3082">
        <f t="shared" si="315"/>
        <v>0</v>
      </c>
      <c r="AF166" s="3147">
        <f t="shared" si="315"/>
        <v>0</v>
      </c>
      <c r="AG166" s="3184"/>
      <c r="AH166" s="3146">
        <f t="shared" si="325"/>
        <v>0</v>
      </c>
      <c r="AI166" s="3082">
        <f t="shared" si="326"/>
        <v>0</v>
      </c>
      <c r="AJ166" s="3082">
        <f t="shared" si="316"/>
        <v>0</v>
      </c>
      <c r="AK166" s="3082">
        <f t="shared" si="316"/>
        <v>0</v>
      </c>
      <c r="AL166" s="3082">
        <f t="shared" si="316"/>
        <v>0</v>
      </c>
      <c r="AM166" s="3147">
        <f t="shared" si="316"/>
        <v>0</v>
      </c>
      <c r="AN166" s="3184"/>
      <c r="AO166" s="3189"/>
      <c r="AP166" s="3190"/>
      <c r="AQ166" s="3190"/>
      <c r="AR166" s="3190"/>
      <c r="AS166" s="3190"/>
      <c r="AT166" s="3191"/>
      <c r="AU166" s="4775"/>
      <c r="AV166" s="152"/>
      <c r="AW166" s="4794">
        <f t="shared" si="309"/>
        <v>0</v>
      </c>
      <c r="AX166" s="4794">
        <f t="shared" si="280"/>
        <v>0</v>
      </c>
      <c r="AY166" s="4794">
        <f t="shared" si="281"/>
        <v>0</v>
      </c>
      <c r="AZ166" s="4794">
        <f t="shared" si="282"/>
        <v>0</v>
      </c>
      <c r="BA166" s="4794">
        <f t="shared" si="283"/>
        <v>0</v>
      </c>
      <c r="BB166" s="4794">
        <f t="shared" si="284"/>
        <v>0</v>
      </c>
      <c r="BC166" s="152"/>
      <c r="BD166" s="4794">
        <f t="shared" si="285"/>
        <v>0</v>
      </c>
      <c r="BE166" s="4794">
        <f t="shared" si="286"/>
        <v>0</v>
      </c>
      <c r="BF166" s="4794">
        <f t="shared" si="287"/>
        <v>0</v>
      </c>
      <c r="BG166" s="4794">
        <f t="shared" si="288"/>
        <v>0</v>
      </c>
      <c r="BH166" s="4794">
        <f t="shared" si="289"/>
        <v>0</v>
      </c>
      <c r="BI166" s="4794">
        <f t="shared" si="290"/>
        <v>0</v>
      </c>
      <c r="BJ166" s="152"/>
      <c r="BK166" s="4794">
        <f t="shared" si="291"/>
        <v>0</v>
      </c>
      <c r="BL166" s="4794">
        <f t="shared" si="292"/>
        <v>0</v>
      </c>
      <c r="BM166" s="4794">
        <f t="shared" si="293"/>
        <v>0</v>
      </c>
      <c r="BN166" s="4794">
        <f t="shared" si="294"/>
        <v>0</v>
      </c>
      <c r="BO166" s="4794">
        <f t="shared" si="295"/>
        <v>0</v>
      </c>
      <c r="BP166" s="4794">
        <f t="shared" si="296"/>
        <v>0</v>
      </c>
      <c r="BQ166" s="152"/>
      <c r="BR166" s="4794">
        <f t="shared" si="297"/>
        <v>0</v>
      </c>
      <c r="BS166" s="4794">
        <f t="shared" si="298"/>
        <v>0</v>
      </c>
      <c r="BT166" s="4794">
        <f t="shared" si="299"/>
        <v>0</v>
      </c>
      <c r="BU166" s="4794">
        <f t="shared" si="300"/>
        <v>0</v>
      </c>
      <c r="BV166" s="4794">
        <f t="shared" si="301"/>
        <v>0</v>
      </c>
      <c r="BW166" s="4794">
        <f t="shared" si="302"/>
        <v>0</v>
      </c>
      <c r="BX166" s="152"/>
      <c r="BY166" s="4794">
        <f t="shared" si="303"/>
        <v>0</v>
      </c>
      <c r="BZ166" s="4794">
        <f t="shared" si="304"/>
        <v>0</v>
      </c>
      <c r="CA166" s="4794">
        <f t="shared" si="305"/>
        <v>0</v>
      </c>
      <c r="CB166" s="4794">
        <f t="shared" si="306"/>
        <v>0</v>
      </c>
      <c r="CC166" s="4794">
        <f t="shared" si="307"/>
        <v>0</v>
      </c>
      <c r="CD166" s="4794">
        <f t="shared" si="308"/>
        <v>0</v>
      </c>
    </row>
    <row r="167" spans="1:82" s="44" customFormat="1">
      <c r="A167" s="3138">
        <v>13</v>
      </c>
      <c r="B167" s="3135" t="s">
        <v>699</v>
      </c>
      <c r="C167" s="3137">
        <v>0.02</v>
      </c>
      <c r="D167" s="2715" t="s">
        <v>739</v>
      </c>
      <c r="E167" s="3184"/>
      <c r="F167" s="3146">
        <f t="shared" si="317"/>
        <v>0</v>
      </c>
      <c r="G167" s="3082">
        <f t="shared" si="318"/>
        <v>0</v>
      </c>
      <c r="H167" s="3082">
        <f t="shared" si="318"/>
        <v>0</v>
      </c>
      <c r="I167" s="3082">
        <f t="shared" si="318"/>
        <v>0</v>
      </c>
      <c r="J167" s="3082">
        <f t="shared" si="318"/>
        <v>0</v>
      </c>
      <c r="K167" s="3147">
        <f t="shared" si="318"/>
        <v>0</v>
      </c>
      <c r="L167" s="3184"/>
      <c r="M167" s="3146">
        <f t="shared" si="319"/>
        <v>0</v>
      </c>
      <c r="N167" s="3082">
        <f t="shared" si="320"/>
        <v>0</v>
      </c>
      <c r="O167" s="3082">
        <f t="shared" si="320"/>
        <v>0</v>
      </c>
      <c r="P167" s="3082">
        <f t="shared" si="320"/>
        <v>0</v>
      </c>
      <c r="Q167" s="3082">
        <f t="shared" si="320"/>
        <v>0</v>
      </c>
      <c r="R167" s="3147">
        <f t="shared" si="320"/>
        <v>0</v>
      </c>
      <c r="S167" s="3184"/>
      <c r="T167" s="3146">
        <f t="shared" si="321"/>
        <v>0</v>
      </c>
      <c r="U167" s="3082">
        <f t="shared" si="322"/>
        <v>0</v>
      </c>
      <c r="V167" s="3082">
        <f t="shared" si="322"/>
        <v>0</v>
      </c>
      <c r="W167" s="3082">
        <f t="shared" si="322"/>
        <v>0</v>
      </c>
      <c r="X167" s="3082">
        <f t="shared" si="322"/>
        <v>0</v>
      </c>
      <c r="Y167" s="3147">
        <f t="shared" si="322"/>
        <v>0</v>
      </c>
      <c r="Z167" s="3184"/>
      <c r="AA167" s="3146">
        <f t="shared" si="323"/>
        <v>0</v>
      </c>
      <c r="AB167" s="3082">
        <f t="shared" si="324"/>
        <v>0</v>
      </c>
      <c r="AC167" s="3082">
        <f t="shared" si="315"/>
        <v>0</v>
      </c>
      <c r="AD167" s="3082">
        <f t="shared" si="315"/>
        <v>0</v>
      </c>
      <c r="AE167" s="3082">
        <f t="shared" si="315"/>
        <v>0</v>
      </c>
      <c r="AF167" s="3147">
        <f t="shared" si="315"/>
        <v>0</v>
      </c>
      <c r="AG167" s="3184"/>
      <c r="AH167" s="3146">
        <f t="shared" si="325"/>
        <v>0</v>
      </c>
      <c r="AI167" s="3082">
        <f t="shared" si="326"/>
        <v>0</v>
      </c>
      <c r="AJ167" s="3082">
        <f t="shared" si="316"/>
        <v>0</v>
      </c>
      <c r="AK167" s="3082">
        <f t="shared" si="316"/>
        <v>0</v>
      </c>
      <c r="AL167" s="3082">
        <f t="shared" si="316"/>
        <v>0</v>
      </c>
      <c r="AM167" s="3147">
        <f t="shared" si="316"/>
        <v>0</v>
      </c>
      <c r="AN167" s="3184"/>
      <c r="AO167" s="3189"/>
      <c r="AP167" s="3190"/>
      <c r="AQ167" s="3190"/>
      <c r="AR167" s="3190"/>
      <c r="AS167" s="3190"/>
      <c r="AT167" s="3191"/>
      <c r="AU167" s="4775"/>
      <c r="AV167" s="152"/>
      <c r="AW167" s="4794">
        <f t="shared" si="309"/>
        <v>0</v>
      </c>
      <c r="AX167" s="4794">
        <f t="shared" si="280"/>
        <v>0</v>
      </c>
      <c r="AY167" s="4794">
        <f t="shared" si="281"/>
        <v>0</v>
      </c>
      <c r="AZ167" s="4794">
        <f t="shared" si="282"/>
        <v>0</v>
      </c>
      <c r="BA167" s="4794">
        <f t="shared" si="283"/>
        <v>0</v>
      </c>
      <c r="BB167" s="4794">
        <f t="shared" si="284"/>
        <v>0</v>
      </c>
      <c r="BC167" s="152"/>
      <c r="BD167" s="4794">
        <f t="shared" si="285"/>
        <v>0</v>
      </c>
      <c r="BE167" s="4794">
        <f t="shared" si="286"/>
        <v>0</v>
      </c>
      <c r="BF167" s="4794">
        <f t="shared" si="287"/>
        <v>0</v>
      </c>
      <c r="BG167" s="4794">
        <f t="shared" si="288"/>
        <v>0</v>
      </c>
      <c r="BH167" s="4794">
        <f t="shared" si="289"/>
        <v>0</v>
      </c>
      <c r="BI167" s="4794">
        <f t="shared" si="290"/>
        <v>0</v>
      </c>
      <c r="BJ167" s="152"/>
      <c r="BK167" s="4794">
        <f t="shared" si="291"/>
        <v>0</v>
      </c>
      <c r="BL167" s="4794">
        <f t="shared" si="292"/>
        <v>0</v>
      </c>
      <c r="BM167" s="4794">
        <f t="shared" si="293"/>
        <v>0</v>
      </c>
      <c r="BN167" s="4794">
        <f t="shared" si="294"/>
        <v>0</v>
      </c>
      <c r="BO167" s="4794">
        <f t="shared" si="295"/>
        <v>0</v>
      </c>
      <c r="BP167" s="4794">
        <f t="shared" si="296"/>
        <v>0</v>
      </c>
      <c r="BQ167" s="152"/>
      <c r="BR167" s="4794">
        <f t="shared" si="297"/>
        <v>0</v>
      </c>
      <c r="BS167" s="4794">
        <f t="shared" si="298"/>
        <v>0</v>
      </c>
      <c r="BT167" s="4794">
        <f t="shared" si="299"/>
        <v>0</v>
      </c>
      <c r="BU167" s="4794">
        <f t="shared" si="300"/>
        <v>0</v>
      </c>
      <c r="BV167" s="4794">
        <f t="shared" si="301"/>
        <v>0</v>
      </c>
      <c r="BW167" s="4794">
        <f t="shared" si="302"/>
        <v>0</v>
      </c>
      <c r="BX167" s="152"/>
      <c r="BY167" s="4794">
        <f t="shared" si="303"/>
        <v>0</v>
      </c>
      <c r="BZ167" s="4794">
        <f t="shared" si="304"/>
        <v>0</v>
      </c>
      <c r="CA167" s="4794">
        <f t="shared" si="305"/>
        <v>0</v>
      </c>
      <c r="CB167" s="4794">
        <f t="shared" si="306"/>
        <v>0</v>
      </c>
      <c r="CC167" s="4794">
        <f t="shared" si="307"/>
        <v>0</v>
      </c>
      <c r="CD167" s="4794">
        <f t="shared" si="308"/>
        <v>0</v>
      </c>
    </row>
    <row r="168" spans="1:82" s="44" customFormat="1">
      <c r="A168" s="3138">
        <v>14</v>
      </c>
      <c r="B168" s="3135" t="s">
        <v>700</v>
      </c>
      <c r="C168" s="3137">
        <v>0.02</v>
      </c>
      <c r="D168" s="2715" t="s">
        <v>418</v>
      </c>
      <c r="E168" s="3184"/>
      <c r="F168" s="3146">
        <f t="shared" si="317"/>
        <v>0</v>
      </c>
      <c r="G168" s="3082">
        <f t="shared" si="318"/>
        <v>0</v>
      </c>
      <c r="H168" s="3082">
        <f t="shared" si="318"/>
        <v>0</v>
      </c>
      <c r="I168" s="3082">
        <f t="shared" si="318"/>
        <v>0</v>
      </c>
      <c r="J168" s="3082">
        <f t="shared" si="318"/>
        <v>0</v>
      </c>
      <c r="K168" s="3147">
        <f t="shared" si="318"/>
        <v>0</v>
      </c>
      <c r="L168" s="3184"/>
      <c r="M168" s="3146">
        <f t="shared" si="319"/>
        <v>0</v>
      </c>
      <c r="N168" s="3082">
        <f t="shared" si="320"/>
        <v>0</v>
      </c>
      <c r="O168" s="3082">
        <f t="shared" si="320"/>
        <v>0</v>
      </c>
      <c r="P168" s="3082">
        <f t="shared" si="320"/>
        <v>0</v>
      </c>
      <c r="Q168" s="3082">
        <f t="shared" si="320"/>
        <v>0</v>
      </c>
      <c r="R168" s="3147">
        <f t="shared" si="320"/>
        <v>0</v>
      </c>
      <c r="S168" s="3184"/>
      <c r="T168" s="3146">
        <f t="shared" si="321"/>
        <v>0</v>
      </c>
      <c r="U168" s="3082">
        <f t="shared" si="322"/>
        <v>0</v>
      </c>
      <c r="V168" s="3082">
        <f t="shared" si="322"/>
        <v>0</v>
      </c>
      <c r="W168" s="3082">
        <f t="shared" si="322"/>
        <v>0</v>
      </c>
      <c r="X168" s="3082">
        <f t="shared" si="322"/>
        <v>0</v>
      </c>
      <c r="Y168" s="3147">
        <f t="shared" si="322"/>
        <v>0</v>
      </c>
      <c r="Z168" s="3184"/>
      <c r="AA168" s="3146">
        <f t="shared" si="323"/>
        <v>0</v>
      </c>
      <c r="AB168" s="3082">
        <f t="shared" si="324"/>
        <v>0</v>
      </c>
      <c r="AC168" s="3082">
        <f t="shared" si="315"/>
        <v>0</v>
      </c>
      <c r="AD168" s="3082">
        <f t="shared" si="315"/>
        <v>0</v>
      </c>
      <c r="AE168" s="3082">
        <f t="shared" si="315"/>
        <v>0</v>
      </c>
      <c r="AF168" s="3147">
        <f t="shared" si="315"/>
        <v>0</v>
      </c>
      <c r="AG168" s="3184"/>
      <c r="AH168" s="3146">
        <f t="shared" si="325"/>
        <v>0</v>
      </c>
      <c r="AI168" s="3082">
        <f t="shared" si="326"/>
        <v>0</v>
      </c>
      <c r="AJ168" s="3082">
        <f t="shared" si="316"/>
        <v>0</v>
      </c>
      <c r="AK168" s="3082">
        <f t="shared" si="316"/>
        <v>0</v>
      </c>
      <c r="AL168" s="3082">
        <f t="shared" si="316"/>
        <v>0</v>
      </c>
      <c r="AM168" s="3147">
        <f t="shared" si="316"/>
        <v>0</v>
      </c>
      <c r="AN168" s="3184"/>
      <c r="AO168" s="3189"/>
      <c r="AP168" s="3190"/>
      <c r="AQ168" s="3190"/>
      <c r="AR168" s="3190"/>
      <c r="AS168" s="3190"/>
      <c r="AT168" s="3191"/>
      <c r="AU168" s="4775"/>
      <c r="AV168" s="152"/>
      <c r="AW168" s="4794">
        <f t="shared" si="309"/>
        <v>0</v>
      </c>
      <c r="AX168" s="4794">
        <f t="shared" si="280"/>
        <v>0</v>
      </c>
      <c r="AY168" s="4794">
        <f t="shared" si="281"/>
        <v>0</v>
      </c>
      <c r="AZ168" s="4794">
        <f t="shared" si="282"/>
        <v>0</v>
      </c>
      <c r="BA168" s="4794">
        <f t="shared" si="283"/>
        <v>0</v>
      </c>
      <c r="BB168" s="4794">
        <f t="shared" si="284"/>
        <v>0</v>
      </c>
      <c r="BC168" s="152"/>
      <c r="BD168" s="4794">
        <f t="shared" si="285"/>
        <v>0</v>
      </c>
      <c r="BE168" s="4794">
        <f t="shared" si="286"/>
        <v>0</v>
      </c>
      <c r="BF168" s="4794">
        <f t="shared" si="287"/>
        <v>0</v>
      </c>
      <c r="BG168" s="4794">
        <f t="shared" si="288"/>
        <v>0</v>
      </c>
      <c r="BH168" s="4794">
        <f t="shared" si="289"/>
        <v>0</v>
      </c>
      <c r="BI168" s="4794">
        <f t="shared" si="290"/>
        <v>0</v>
      </c>
      <c r="BJ168" s="152"/>
      <c r="BK168" s="4794">
        <f t="shared" si="291"/>
        <v>0</v>
      </c>
      <c r="BL168" s="4794">
        <f t="shared" si="292"/>
        <v>0</v>
      </c>
      <c r="BM168" s="4794">
        <f t="shared" si="293"/>
        <v>0</v>
      </c>
      <c r="BN168" s="4794">
        <f t="shared" si="294"/>
        <v>0</v>
      </c>
      <c r="BO168" s="4794">
        <f t="shared" si="295"/>
        <v>0</v>
      </c>
      <c r="BP168" s="4794">
        <f t="shared" si="296"/>
        <v>0</v>
      </c>
      <c r="BQ168" s="152"/>
      <c r="BR168" s="4794">
        <f t="shared" si="297"/>
        <v>0</v>
      </c>
      <c r="BS168" s="4794">
        <f t="shared" si="298"/>
        <v>0</v>
      </c>
      <c r="BT168" s="4794">
        <f t="shared" si="299"/>
        <v>0</v>
      </c>
      <c r="BU168" s="4794">
        <f t="shared" si="300"/>
        <v>0</v>
      </c>
      <c r="BV168" s="4794">
        <f t="shared" si="301"/>
        <v>0</v>
      </c>
      <c r="BW168" s="4794">
        <f t="shared" si="302"/>
        <v>0</v>
      </c>
      <c r="BX168" s="152"/>
      <c r="BY168" s="4794">
        <f t="shared" si="303"/>
        <v>0</v>
      </c>
      <c r="BZ168" s="4794">
        <f t="shared" si="304"/>
        <v>0</v>
      </c>
      <c r="CA168" s="4794">
        <f t="shared" si="305"/>
        <v>0</v>
      </c>
      <c r="CB168" s="4794">
        <f t="shared" si="306"/>
        <v>0</v>
      </c>
      <c r="CC168" s="4794">
        <f t="shared" si="307"/>
        <v>0</v>
      </c>
      <c r="CD168" s="4794">
        <f t="shared" si="308"/>
        <v>0</v>
      </c>
    </row>
    <row r="169" spans="1:82" s="44" customFormat="1">
      <c r="A169" s="3138">
        <v>15</v>
      </c>
      <c r="B169" s="3135" t="s">
        <v>701</v>
      </c>
      <c r="C169" s="3137">
        <v>0.02</v>
      </c>
      <c r="D169" s="2714" t="s">
        <v>419</v>
      </c>
      <c r="E169" s="3184"/>
      <c r="F169" s="3146">
        <f t="shared" si="317"/>
        <v>0</v>
      </c>
      <c r="G169" s="3082">
        <f t="shared" si="318"/>
        <v>0</v>
      </c>
      <c r="H169" s="3082">
        <f t="shared" si="318"/>
        <v>0</v>
      </c>
      <c r="I169" s="3082">
        <f t="shared" si="318"/>
        <v>0</v>
      </c>
      <c r="J169" s="3082">
        <f t="shared" si="318"/>
        <v>0</v>
      </c>
      <c r="K169" s="3147">
        <f t="shared" si="318"/>
        <v>0</v>
      </c>
      <c r="L169" s="3184"/>
      <c r="M169" s="3146">
        <f t="shared" si="319"/>
        <v>0</v>
      </c>
      <c r="N169" s="3082">
        <f t="shared" si="320"/>
        <v>0</v>
      </c>
      <c r="O169" s="3082">
        <f t="shared" si="320"/>
        <v>0</v>
      </c>
      <c r="P169" s="3082">
        <f t="shared" si="320"/>
        <v>0</v>
      </c>
      <c r="Q169" s="3082">
        <f t="shared" si="320"/>
        <v>0</v>
      </c>
      <c r="R169" s="3147">
        <f t="shared" si="320"/>
        <v>0</v>
      </c>
      <c r="S169" s="3184"/>
      <c r="T169" s="3146">
        <f t="shared" si="321"/>
        <v>0</v>
      </c>
      <c r="U169" s="3082">
        <f t="shared" si="322"/>
        <v>0</v>
      </c>
      <c r="V169" s="3082">
        <f t="shared" si="322"/>
        <v>0</v>
      </c>
      <c r="W169" s="3082">
        <f t="shared" si="322"/>
        <v>0</v>
      </c>
      <c r="X169" s="3082">
        <f t="shared" si="322"/>
        <v>0</v>
      </c>
      <c r="Y169" s="3147">
        <f t="shared" si="322"/>
        <v>0</v>
      </c>
      <c r="Z169" s="3184"/>
      <c r="AA169" s="3146">
        <f t="shared" si="323"/>
        <v>0</v>
      </c>
      <c r="AB169" s="3082">
        <f t="shared" si="324"/>
        <v>0</v>
      </c>
      <c r="AC169" s="3082">
        <f t="shared" si="315"/>
        <v>0</v>
      </c>
      <c r="AD169" s="3082">
        <f t="shared" si="315"/>
        <v>0</v>
      </c>
      <c r="AE169" s="3082">
        <f t="shared" si="315"/>
        <v>0</v>
      </c>
      <c r="AF169" s="3147">
        <f t="shared" si="315"/>
        <v>0</v>
      </c>
      <c r="AG169" s="3184"/>
      <c r="AH169" s="3146">
        <f t="shared" si="325"/>
        <v>0</v>
      </c>
      <c r="AI169" s="3082">
        <f t="shared" si="326"/>
        <v>0</v>
      </c>
      <c r="AJ169" s="3082">
        <f t="shared" si="316"/>
        <v>0</v>
      </c>
      <c r="AK169" s="3082">
        <f t="shared" si="316"/>
        <v>0</v>
      </c>
      <c r="AL169" s="3082">
        <f t="shared" si="316"/>
        <v>0</v>
      </c>
      <c r="AM169" s="3147">
        <f t="shared" si="316"/>
        <v>0</v>
      </c>
      <c r="AN169" s="3184"/>
      <c r="AO169" s="3189"/>
      <c r="AP169" s="3190"/>
      <c r="AQ169" s="3190"/>
      <c r="AR169" s="3190"/>
      <c r="AS169" s="3190"/>
      <c r="AT169" s="3191"/>
      <c r="AU169" s="4775"/>
      <c r="AV169" s="152"/>
      <c r="AW169" s="4794">
        <f t="shared" si="309"/>
        <v>0</v>
      </c>
      <c r="AX169" s="4794">
        <f t="shared" si="280"/>
        <v>0</v>
      </c>
      <c r="AY169" s="4794">
        <f t="shared" si="281"/>
        <v>0</v>
      </c>
      <c r="AZ169" s="4794">
        <f t="shared" si="282"/>
        <v>0</v>
      </c>
      <c r="BA169" s="4794">
        <f t="shared" si="283"/>
        <v>0</v>
      </c>
      <c r="BB169" s="4794">
        <f t="shared" si="284"/>
        <v>0</v>
      </c>
      <c r="BC169" s="152"/>
      <c r="BD169" s="4794">
        <f t="shared" si="285"/>
        <v>0</v>
      </c>
      <c r="BE169" s="4794">
        <f t="shared" si="286"/>
        <v>0</v>
      </c>
      <c r="BF169" s="4794">
        <f t="shared" si="287"/>
        <v>0</v>
      </c>
      <c r="BG169" s="4794">
        <f t="shared" si="288"/>
        <v>0</v>
      </c>
      <c r="BH169" s="4794">
        <f t="shared" si="289"/>
        <v>0</v>
      </c>
      <c r="BI169" s="4794">
        <f t="shared" si="290"/>
        <v>0</v>
      </c>
      <c r="BJ169" s="152"/>
      <c r="BK169" s="4794">
        <f t="shared" si="291"/>
        <v>0</v>
      </c>
      <c r="BL169" s="4794">
        <f t="shared" si="292"/>
        <v>0</v>
      </c>
      <c r="BM169" s="4794">
        <f t="shared" si="293"/>
        <v>0</v>
      </c>
      <c r="BN169" s="4794">
        <f t="shared" si="294"/>
        <v>0</v>
      </c>
      <c r="BO169" s="4794">
        <f t="shared" si="295"/>
        <v>0</v>
      </c>
      <c r="BP169" s="4794">
        <f t="shared" si="296"/>
        <v>0</v>
      </c>
      <c r="BQ169" s="152"/>
      <c r="BR169" s="4794">
        <f t="shared" si="297"/>
        <v>0</v>
      </c>
      <c r="BS169" s="4794">
        <f t="shared" si="298"/>
        <v>0</v>
      </c>
      <c r="BT169" s="4794">
        <f t="shared" si="299"/>
        <v>0</v>
      </c>
      <c r="BU169" s="4794">
        <f t="shared" si="300"/>
        <v>0</v>
      </c>
      <c r="BV169" s="4794">
        <f t="shared" si="301"/>
        <v>0</v>
      </c>
      <c r="BW169" s="4794">
        <f t="shared" si="302"/>
        <v>0</v>
      </c>
      <c r="BX169" s="152"/>
      <c r="BY169" s="4794">
        <f t="shared" si="303"/>
        <v>0</v>
      </c>
      <c r="BZ169" s="4794">
        <f t="shared" si="304"/>
        <v>0</v>
      </c>
      <c r="CA169" s="4794">
        <f t="shared" si="305"/>
        <v>0</v>
      </c>
      <c r="CB169" s="4794">
        <f t="shared" si="306"/>
        <v>0</v>
      </c>
      <c r="CC169" s="4794">
        <f t="shared" si="307"/>
        <v>0</v>
      </c>
      <c r="CD169" s="4794">
        <f t="shared" si="308"/>
        <v>0</v>
      </c>
    </row>
    <row r="170" spans="1:82" s="44" customFormat="1">
      <c r="A170" s="3138">
        <v>16</v>
      </c>
      <c r="B170" s="3135" t="s">
        <v>702</v>
      </c>
      <c r="C170" s="3137">
        <v>0.02</v>
      </c>
      <c r="D170" s="2715" t="s">
        <v>420</v>
      </c>
      <c r="E170" s="3184"/>
      <c r="F170" s="3146">
        <f t="shared" si="317"/>
        <v>0</v>
      </c>
      <c r="G170" s="3082">
        <f t="shared" si="318"/>
        <v>0</v>
      </c>
      <c r="H170" s="3082">
        <f t="shared" si="318"/>
        <v>0</v>
      </c>
      <c r="I170" s="3082">
        <f t="shared" si="318"/>
        <v>0</v>
      </c>
      <c r="J170" s="3082">
        <f t="shared" si="318"/>
        <v>0</v>
      </c>
      <c r="K170" s="3147">
        <f t="shared" si="318"/>
        <v>0</v>
      </c>
      <c r="L170" s="3184"/>
      <c r="M170" s="3146">
        <f t="shared" si="319"/>
        <v>0</v>
      </c>
      <c r="N170" s="3082">
        <f t="shared" si="320"/>
        <v>0</v>
      </c>
      <c r="O170" s="3082">
        <f t="shared" si="320"/>
        <v>0</v>
      </c>
      <c r="P170" s="3082">
        <f t="shared" si="320"/>
        <v>0</v>
      </c>
      <c r="Q170" s="3082">
        <f t="shared" si="320"/>
        <v>0</v>
      </c>
      <c r="R170" s="3147">
        <f t="shared" si="320"/>
        <v>0</v>
      </c>
      <c r="S170" s="3184"/>
      <c r="T170" s="3146">
        <f t="shared" si="321"/>
        <v>0</v>
      </c>
      <c r="U170" s="3082">
        <f t="shared" si="322"/>
        <v>0</v>
      </c>
      <c r="V170" s="3082">
        <f t="shared" si="322"/>
        <v>0</v>
      </c>
      <c r="W170" s="3082">
        <f t="shared" si="322"/>
        <v>0</v>
      </c>
      <c r="X170" s="3082">
        <f t="shared" si="322"/>
        <v>0</v>
      </c>
      <c r="Y170" s="3147">
        <f t="shared" si="322"/>
        <v>0</v>
      </c>
      <c r="Z170" s="3184"/>
      <c r="AA170" s="3146">
        <f t="shared" si="323"/>
        <v>0</v>
      </c>
      <c r="AB170" s="3082">
        <f t="shared" si="324"/>
        <v>0</v>
      </c>
      <c r="AC170" s="3082">
        <f t="shared" si="315"/>
        <v>0</v>
      </c>
      <c r="AD170" s="3082">
        <f t="shared" si="315"/>
        <v>0</v>
      </c>
      <c r="AE170" s="3082">
        <f t="shared" si="315"/>
        <v>0</v>
      </c>
      <c r="AF170" s="3147">
        <f t="shared" si="315"/>
        <v>0</v>
      </c>
      <c r="AG170" s="3184"/>
      <c r="AH170" s="3146">
        <f t="shared" si="325"/>
        <v>0</v>
      </c>
      <c r="AI170" s="3082">
        <f t="shared" si="326"/>
        <v>0</v>
      </c>
      <c r="AJ170" s="3082">
        <f t="shared" si="316"/>
        <v>0</v>
      </c>
      <c r="AK170" s="3082">
        <f t="shared" si="316"/>
        <v>0</v>
      </c>
      <c r="AL170" s="3082">
        <f t="shared" si="316"/>
        <v>0</v>
      </c>
      <c r="AM170" s="3147">
        <f t="shared" si="316"/>
        <v>0</v>
      </c>
      <c r="AN170" s="3184"/>
      <c r="AO170" s="3189"/>
      <c r="AP170" s="3190"/>
      <c r="AQ170" s="3190"/>
      <c r="AR170" s="3190"/>
      <c r="AS170" s="3190"/>
      <c r="AT170" s="3191"/>
      <c r="AU170" s="4775"/>
      <c r="AV170" s="152"/>
      <c r="AW170" s="4794">
        <f t="shared" si="309"/>
        <v>0</v>
      </c>
      <c r="AX170" s="4794">
        <f t="shared" si="280"/>
        <v>0</v>
      </c>
      <c r="AY170" s="4794">
        <f t="shared" si="281"/>
        <v>0</v>
      </c>
      <c r="AZ170" s="4794">
        <f t="shared" si="282"/>
        <v>0</v>
      </c>
      <c r="BA170" s="4794">
        <f t="shared" si="283"/>
        <v>0</v>
      </c>
      <c r="BB170" s="4794">
        <f t="shared" si="284"/>
        <v>0</v>
      </c>
      <c r="BC170" s="152"/>
      <c r="BD170" s="4794">
        <f t="shared" si="285"/>
        <v>0</v>
      </c>
      <c r="BE170" s="4794">
        <f t="shared" si="286"/>
        <v>0</v>
      </c>
      <c r="BF170" s="4794">
        <f t="shared" si="287"/>
        <v>0</v>
      </c>
      <c r="BG170" s="4794">
        <f t="shared" si="288"/>
        <v>0</v>
      </c>
      <c r="BH170" s="4794">
        <f t="shared" si="289"/>
        <v>0</v>
      </c>
      <c r="BI170" s="4794">
        <f t="shared" si="290"/>
        <v>0</v>
      </c>
      <c r="BJ170" s="152"/>
      <c r="BK170" s="4794">
        <f t="shared" si="291"/>
        <v>0</v>
      </c>
      <c r="BL170" s="4794">
        <f t="shared" si="292"/>
        <v>0</v>
      </c>
      <c r="BM170" s="4794">
        <f t="shared" si="293"/>
        <v>0</v>
      </c>
      <c r="BN170" s="4794">
        <f t="shared" si="294"/>
        <v>0</v>
      </c>
      <c r="BO170" s="4794">
        <f t="shared" si="295"/>
        <v>0</v>
      </c>
      <c r="BP170" s="4794">
        <f t="shared" si="296"/>
        <v>0</v>
      </c>
      <c r="BQ170" s="152"/>
      <c r="BR170" s="4794">
        <f t="shared" si="297"/>
        <v>0</v>
      </c>
      <c r="BS170" s="4794">
        <f t="shared" si="298"/>
        <v>0</v>
      </c>
      <c r="BT170" s="4794">
        <f t="shared" si="299"/>
        <v>0</v>
      </c>
      <c r="BU170" s="4794">
        <f t="shared" si="300"/>
        <v>0</v>
      </c>
      <c r="BV170" s="4794">
        <f t="shared" si="301"/>
        <v>0</v>
      </c>
      <c r="BW170" s="4794">
        <f t="shared" si="302"/>
        <v>0</v>
      </c>
      <c r="BX170" s="152"/>
      <c r="BY170" s="4794">
        <f t="shared" si="303"/>
        <v>0</v>
      </c>
      <c r="BZ170" s="4794">
        <f t="shared" si="304"/>
        <v>0</v>
      </c>
      <c r="CA170" s="4794">
        <f t="shared" si="305"/>
        <v>0</v>
      </c>
      <c r="CB170" s="4794">
        <f t="shared" si="306"/>
        <v>0</v>
      </c>
      <c r="CC170" s="4794">
        <f t="shared" si="307"/>
        <v>0</v>
      </c>
      <c r="CD170" s="4794">
        <f t="shared" si="308"/>
        <v>0</v>
      </c>
    </row>
    <row r="171" spans="1:82" s="44" customFormat="1">
      <c r="A171" s="3138">
        <v>17</v>
      </c>
      <c r="B171" s="3135" t="s">
        <v>703</v>
      </c>
      <c r="C171" s="3137">
        <v>0.02</v>
      </c>
      <c r="D171" s="2720" t="s">
        <v>421</v>
      </c>
      <c r="E171" s="3184"/>
      <c r="F171" s="3146">
        <f t="shared" si="317"/>
        <v>0</v>
      </c>
      <c r="G171" s="3082">
        <f t="shared" si="318"/>
        <v>0</v>
      </c>
      <c r="H171" s="3082">
        <f t="shared" si="318"/>
        <v>0</v>
      </c>
      <c r="I171" s="3082">
        <f t="shared" si="318"/>
        <v>0</v>
      </c>
      <c r="J171" s="3082">
        <f t="shared" si="318"/>
        <v>0</v>
      </c>
      <c r="K171" s="3147">
        <f t="shared" si="318"/>
        <v>0</v>
      </c>
      <c r="L171" s="3184"/>
      <c r="M171" s="3146">
        <f t="shared" si="319"/>
        <v>0</v>
      </c>
      <c r="N171" s="3082">
        <f t="shared" si="320"/>
        <v>0</v>
      </c>
      <c r="O171" s="3082">
        <f t="shared" si="320"/>
        <v>0</v>
      </c>
      <c r="P171" s="3082">
        <f t="shared" si="320"/>
        <v>0</v>
      </c>
      <c r="Q171" s="3082">
        <f t="shared" si="320"/>
        <v>0</v>
      </c>
      <c r="R171" s="3147">
        <f t="shared" si="320"/>
        <v>0</v>
      </c>
      <c r="S171" s="3184"/>
      <c r="T171" s="3146">
        <f t="shared" si="321"/>
        <v>0</v>
      </c>
      <c r="U171" s="3082">
        <f t="shared" si="322"/>
        <v>0</v>
      </c>
      <c r="V171" s="3082">
        <f t="shared" si="322"/>
        <v>0</v>
      </c>
      <c r="W171" s="3082">
        <f t="shared" si="322"/>
        <v>0</v>
      </c>
      <c r="X171" s="3082">
        <f t="shared" si="322"/>
        <v>0</v>
      </c>
      <c r="Y171" s="3147">
        <f t="shared" si="322"/>
        <v>0</v>
      </c>
      <c r="Z171" s="3184"/>
      <c r="AA171" s="3146">
        <f t="shared" si="323"/>
        <v>0</v>
      </c>
      <c r="AB171" s="3082">
        <f t="shared" si="324"/>
        <v>0</v>
      </c>
      <c r="AC171" s="3082">
        <f t="shared" si="324"/>
        <v>0</v>
      </c>
      <c r="AD171" s="3082">
        <f t="shared" si="324"/>
        <v>0</v>
      </c>
      <c r="AE171" s="3082">
        <f t="shared" si="324"/>
        <v>0</v>
      </c>
      <c r="AF171" s="3147">
        <f t="shared" si="324"/>
        <v>0</v>
      </c>
      <c r="AG171" s="3184"/>
      <c r="AH171" s="3146">
        <f t="shared" si="325"/>
        <v>0</v>
      </c>
      <c r="AI171" s="3082">
        <f t="shared" si="326"/>
        <v>0</v>
      </c>
      <c r="AJ171" s="3082">
        <f t="shared" si="326"/>
        <v>0</v>
      </c>
      <c r="AK171" s="3082">
        <f t="shared" si="326"/>
        <v>0</v>
      </c>
      <c r="AL171" s="3082">
        <f t="shared" si="326"/>
        <v>0</v>
      </c>
      <c r="AM171" s="3147">
        <f t="shared" si="326"/>
        <v>0</v>
      </c>
      <c r="AN171" s="3184"/>
      <c r="AO171" s="3189"/>
      <c r="AP171" s="3190"/>
      <c r="AQ171" s="3190"/>
      <c r="AR171" s="3190"/>
      <c r="AS171" s="3190"/>
      <c r="AT171" s="3191"/>
      <c r="AU171" s="4775"/>
      <c r="AV171" s="152"/>
      <c r="AW171" s="4794">
        <f t="shared" si="309"/>
        <v>0</v>
      </c>
      <c r="AX171" s="4794">
        <f t="shared" si="280"/>
        <v>0</v>
      </c>
      <c r="AY171" s="4794">
        <f t="shared" si="281"/>
        <v>0</v>
      </c>
      <c r="AZ171" s="4794">
        <f t="shared" si="282"/>
        <v>0</v>
      </c>
      <c r="BA171" s="4794">
        <f t="shared" si="283"/>
        <v>0</v>
      </c>
      <c r="BB171" s="4794">
        <f t="shared" si="284"/>
        <v>0</v>
      </c>
      <c r="BC171" s="152"/>
      <c r="BD171" s="4794">
        <f t="shared" si="285"/>
        <v>0</v>
      </c>
      <c r="BE171" s="4794">
        <f t="shared" si="286"/>
        <v>0</v>
      </c>
      <c r="BF171" s="4794">
        <f t="shared" si="287"/>
        <v>0</v>
      </c>
      <c r="BG171" s="4794">
        <f t="shared" si="288"/>
        <v>0</v>
      </c>
      <c r="BH171" s="4794">
        <f t="shared" si="289"/>
        <v>0</v>
      </c>
      <c r="BI171" s="4794">
        <f t="shared" si="290"/>
        <v>0</v>
      </c>
      <c r="BJ171" s="152"/>
      <c r="BK171" s="4794">
        <f t="shared" si="291"/>
        <v>0</v>
      </c>
      <c r="BL171" s="4794">
        <f t="shared" si="292"/>
        <v>0</v>
      </c>
      <c r="BM171" s="4794">
        <f t="shared" si="293"/>
        <v>0</v>
      </c>
      <c r="BN171" s="4794">
        <f t="shared" si="294"/>
        <v>0</v>
      </c>
      <c r="BO171" s="4794">
        <f t="shared" si="295"/>
        <v>0</v>
      </c>
      <c r="BP171" s="4794">
        <f t="shared" si="296"/>
        <v>0</v>
      </c>
      <c r="BQ171" s="152"/>
      <c r="BR171" s="4794">
        <f t="shared" si="297"/>
        <v>0</v>
      </c>
      <c r="BS171" s="4794">
        <f t="shared" si="298"/>
        <v>0</v>
      </c>
      <c r="BT171" s="4794">
        <f t="shared" si="299"/>
        <v>0</v>
      </c>
      <c r="BU171" s="4794">
        <f t="shared" si="300"/>
        <v>0</v>
      </c>
      <c r="BV171" s="4794">
        <f t="shared" si="301"/>
        <v>0</v>
      </c>
      <c r="BW171" s="4794">
        <f t="shared" si="302"/>
        <v>0</v>
      </c>
      <c r="BX171" s="152"/>
      <c r="BY171" s="4794">
        <f t="shared" si="303"/>
        <v>0</v>
      </c>
      <c r="BZ171" s="4794">
        <f t="shared" si="304"/>
        <v>0</v>
      </c>
      <c r="CA171" s="4794">
        <f t="shared" si="305"/>
        <v>0</v>
      </c>
      <c r="CB171" s="4794">
        <f t="shared" si="306"/>
        <v>0</v>
      </c>
      <c r="CC171" s="4794">
        <f t="shared" si="307"/>
        <v>0</v>
      </c>
      <c r="CD171" s="4794">
        <f t="shared" si="308"/>
        <v>0</v>
      </c>
    </row>
    <row r="172" spans="1:82" s="44" customFormat="1" ht="24">
      <c r="A172" s="3138">
        <v>18</v>
      </c>
      <c r="B172" s="3135" t="s">
        <v>704</v>
      </c>
      <c r="C172" s="3137">
        <v>0.04</v>
      </c>
      <c r="D172" s="2720" t="s">
        <v>422</v>
      </c>
      <c r="E172" s="3184"/>
      <c r="F172" s="3146">
        <f t="shared" si="317"/>
        <v>0</v>
      </c>
      <c r="G172" s="3082">
        <f t="shared" ref="G172:K175" si="327">F172+(G128*$C128)-(G150*$C128)</f>
        <v>0</v>
      </c>
      <c r="H172" s="3082">
        <f t="shared" si="327"/>
        <v>0</v>
      </c>
      <c r="I172" s="3082">
        <f t="shared" si="327"/>
        <v>0</v>
      </c>
      <c r="J172" s="3082">
        <f t="shared" si="327"/>
        <v>0</v>
      </c>
      <c r="K172" s="3147">
        <f t="shared" si="327"/>
        <v>0</v>
      </c>
      <c r="L172" s="3184"/>
      <c r="M172" s="3146">
        <f t="shared" si="319"/>
        <v>0</v>
      </c>
      <c r="N172" s="3082">
        <f t="shared" ref="N172:R175" si="328">M172+(N128*$C128)-(N150*$C128)</f>
        <v>0</v>
      </c>
      <c r="O172" s="3082">
        <f t="shared" si="328"/>
        <v>0</v>
      </c>
      <c r="P172" s="3082">
        <f t="shared" si="328"/>
        <v>0</v>
      </c>
      <c r="Q172" s="3082">
        <f t="shared" si="328"/>
        <v>0</v>
      </c>
      <c r="R172" s="3147">
        <f t="shared" si="328"/>
        <v>0</v>
      </c>
      <c r="S172" s="3184"/>
      <c r="T172" s="3146">
        <f t="shared" si="321"/>
        <v>0</v>
      </c>
      <c r="U172" s="3082">
        <f t="shared" ref="U172:Y175" si="329">T172+(U128*$C128)-(U150*$C128)</f>
        <v>0</v>
      </c>
      <c r="V172" s="3082">
        <f t="shared" si="329"/>
        <v>0</v>
      </c>
      <c r="W172" s="3082">
        <f t="shared" si="329"/>
        <v>0</v>
      </c>
      <c r="X172" s="3082">
        <f t="shared" si="329"/>
        <v>0</v>
      </c>
      <c r="Y172" s="3147">
        <f t="shared" si="329"/>
        <v>0</v>
      </c>
      <c r="Z172" s="3184"/>
      <c r="AA172" s="3146">
        <f t="shared" si="323"/>
        <v>0</v>
      </c>
      <c r="AB172" s="3082">
        <f t="shared" ref="AB172:AF175" si="330">AA172+(AB128*$C128)-(AB150*$C128)</f>
        <v>0</v>
      </c>
      <c r="AC172" s="3082">
        <f t="shared" si="330"/>
        <v>0</v>
      </c>
      <c r="AD172" s="3082">
        <f t="shared" si="330"/>
        <v>0</v>
      </c>
      <c r="AE172" s="3082">
        <f t="shared" si="330"/>
        <v>0</v>
      </c>
      <c r="AF172" s="3147">
        <f t="shared" si="330"/>
        <v>0</v>
      </c>
      <c r="AG172" s="3184"/>
      <c r="AH172" s="3146">
        <f t="shared" si="325"/>
        <v>0</v>
      </c>
      <c r="AI172" s="3082">
        <f t="shared" ref="AI172:AM175" si="331">AH172+(AI128*$C128)-(AI150*$C128)</f>
        <v>0</v>
      </c>
      <c r="AJ172" s="3082">
        <f t="shared" si="331"/>
        <v>0</v>
      </c>
      <c r="AK172" s="3082">
        <f t="shared" si="331"/>
        <v>0</v>
      </c>
      <c r="AL172" s="3082">
        <f t="shared" si="331"/>
        <v>0</v>
      </c>
      <c r="AM172" s="3147">
        <f t="shared" si="331"/>
        <v>0</v>
      </c>
      <c r="AN172" s="3184"/>
      <c r="AO172" s="3189"/>
      <c r="AP172" s="3190"/>
      <c r="AQ172" s="3190"/>
      <c r="AR172" s="3190"/>
      <c r="AS172" s="3190"/>
      <c r="AT172" s="3191"/>
      <c r="AU172" s="4775"/>
      <c r="AV172" s="152"/>
      <c r="AW172" s="4794">
        <f t="shared" si="309"/>
        <v>0</v>
      </c>
      <c r="AX172" s="4794">
        <f t="shared" si="280"/>
        <v>0</v>
      </c>
      <c r="AY172" s="4794">
        <f t="shared" si="281"/>
        <v>0</v>
      </c>
      <c r="AZ172" s="4794">
        <f t="shared" si="282"/>
        <v>0</v>
      </c>
      <c r="BA172" s="4794">
        <f t="shared" si="283"/>
        <v>0</v>
      </c>
      <c r="BB172" s="4794">
        <f t="shared" si="284"/>
        <v>0</v>
      </c>
      <c r="BC172" s="152"/>
      <c r="BD172" s="4794">
        <f t="shared" si="285"/>
        <v>0</v>
      </c>
      <c r="BE172" s="4794">
        <f t="shared" si="286"/>
        <v>0</v>
      </c>
      <c r="BF172" s="4794">
        <f t="shared" si="287"/>
        <v>0</v>
      </c>
      <c r="BG172" s="4794">
        <f t="shared" si="288"/>
        <v>0</v>
      </c>
      <c r="BH172" s="4794">
        <f t="shared" si="289"/>
        <v>0</v>
      </c>
      <c r="BI172" s="4794">
        <f t="shared" si="290"/>
        <v>0</v>
      </c>
      <c r="BJ172" s="152"/>
      <c r="BK172" s="4794">
        <f t="shared" si="291"/>
        <v>0</v>
      </c>
      <c r="BL172" s="4794">
        <f t="shared" si="292"/>
        <v>0</v>
      </c>
      <c r="BM172" s="4794">
        <f t="shared" si="293"/>
        <v>0</v>
      </c>
      <c r="BN172" s="4794">
        <f t="shared" si="294"/>
        <v>0</v>
      </c>
      <c r="BO172" s="4794">
        <f t="shared" si="295"/>
        <v>0</v>
      </c>
      <c r="BP172" s="4794">
        <f t="shared" si="296"/>
        <v>0</v>
      </c>
      <c r="BQ172" s="152"/>
      <c r="BR172" s="4794">
        <f t="shared" si="297"/>
        <v>0</v>
      </c>
      <c r="BS172" s="4794">
        <f t="shared" si="298"/>
        <v>0</v>
      </c>
      <c r="BT172" s="4794">
        <f t="shared" si="299"/>
        <v>0</v>
      </c>
      <c r="BU172" s="4794">
        <f t="shared" si="300"/>
        <v>0</v>
      </c>
      <c r="BV172" s="4794">
        <f t="shared" si="301"/>
        <v>0</v>
      </c>
      <c r="BW172" s="4794">
        <f t="shared" si="302"/>
        <v>0</v>
      </c>
      <c r="BX172" s="152"/>
      <c r="BY172" s="4794">
        <f t="shared" si="303"/>
        <v>0</v>
      </c>
      <c r="BZ172" s="4794">
        <f t="shared" si="304"/>
        <v>0</v>
      </c>
      <c r="CA172" s="4794">
        <f t="shared" si="305"/>
        <v>0</v>
      </c>
      <c r="CB172" s="4794">
        <f t="shared" si="306"/>
        <v>0</v>
      </c>
      <c r="CC172" s="4794">
        <f t="shared" si="307"/>
        <v>0</v>
      </c>
      <c r="CD172" s="4794">
        <f t="shared" si="308"/>
        <v>0</v>
      </c>
    </row>
    <row r="173" spans="1:82" s="44" customFormat="1">
      <c r="A173" s="3138">
        <v>19</v>
      </c>
      <c r="B173" s="3135" t="s">
        <v>705</v>
      </c>
      <c r="C173" s="3137">
        <v>0.04</v>
      </c>
      <c r="D173" s="2720" t="s">
        <v>423</v>
      </c>
      <c r="E173" s="3184"/>
      <c r="F173" s="3146">
        <f t="shared" si="317"/>
        <v>0</v>
      </c>
      <c r="G173" s="3082">
        <f t="shared" si="327"/>
        <v>0</v>
      </c>
      <c r="H173" s="3082">
        <f t="shared" si="327"/>
        <v>0</v>
      </c>
      <c r="I173" s="3082">
        <f t="shared" si="327"/>
        <v>0</v>
      </c>
      <c r="J173" s="3082">
        <f t="shared" si="327"/>
        <v>0</v>
      </c>
      <c r="K173" s="3147">
        <f t="shared" si="327"/>
        <v>0</v>
      </c>
      <c r="L173" s="3184"/>
      <c r="M173" s="3146">
        <f t="shared" si="319"/>
        <v>0</v>
      </c>
      <c r="N173" s="3082">
        <f t="shared" si="328"/>
        <v>0</v>
      </c>
      <c r="O173" s="3082">
        <f t="shared" si="328"/>
        <v>0</v>
      </c>
      <c r="P173" s="3082">
        <f t="shared" si="328"/>
        <v>0</v>
      </c>
      <c r="Q173" s="3082">
        <f t="shared" si="328"/>
        <v>0</v>
      </c>
      <c r="R173" s="3147">
        <f t="shared" si="328"/>
        <v>0</v>
      </c>
      <c r="S173" s="3184"/>
      <c r="T173" s="3146">
        <f t="shared" si="321"/>
        <v>0</v>
      </c>
      <c r="U173" s="3082">
        <f t="shared" si="329"/>
        <v>0</v>
      </c>
      <c r="V173" s="3082">
        <f t="shared" si="329"/>
        <v>0</v>
      </c>
      <c r="W173" s="3082">
        <f t="shared" si="329"/>
        <v>0</v>
      </c>
      <c r="X173" s="3082">
        <f t="shared" si="329"/>
        <v>0</v>
      </c>
      <c r="Y173" s="3147">
        <f t="shared" si="329"/>
        <v>0</v>
      </c>
      <c r="Z173" s="3184"/>
      <c r="AA173" s="3146">
        <f t="shared" si="323"/>
        <v>0</v>
      </c>
      <c r="AB173" s="3082">
        <f t="shared" si="330"/>
        <v>0</v>
      </c>
      <c r="AC173" s="3082">
        <f t="shared" si="330"/>
        <v>0</v>
      </c>
      <c r="AD173" s="3082">
        <f t="shared" si="330"/>
        <v>0</v>
      </c>
      <c r="AE173" s="3082">
        <f t="shared" si="330"/>
        <v>0</v>
      </c>
      <c r="AF173" s="3147">
        <f t="shared" si="330"/>
        <v>0</v>
      </c>
      <c r="AG173" s="3184"/>
      <c r="AH173" s="3146">
        <f t="shared" si="325"/>
        <v>0</v>
      </c>
      <c r="AI173" s="3082">
        <f t="shared" si="331"/>
        <v>0</v>
      </c>
      <c r="AJ173" s="3082">
        <f t="shared" si="331"/>
        <v>0</v>
      </c>
      <c r="AK173" s="3082">
        <f t="shared" si="331"/>
        <v>0</v>
      </c>
      <c r="AL173" s="3082">
        <f t="shared" si="331"/>
        <v>0</v>
      </c>
      <c r="AM173" s="3147">
        <f t="shared" si="331"/>
        <v>0</v>
      </c>
      <c r="AN173" s="3184"/>
      <c r="AO173" s="3189"/>
      <c r="AP173" s="3190"/>
      <c r="AQ173" s="3190"/>
      <c r="AR173" s="3190"/>
      <c r="AS173" s="3190"/>
      <c r="AT173" s="3191"/>
      <c r="AU173" s="4775"/>
      <c r="AV173" s="152"/>
      <c r="AW173" s="4794">
        <f t="shared" si="309"/>
        <v>0</v>
      </c>
      <c r="AX173" s="4794">
        <f t="shared" si="280"/>
        <v>0</v>
      </c>
      <c r="AY173" s="4794">
        <f t="shared" si="281"/>
        <v>0</v>
      </c>
      <c r="AZ173" s="4794">
        <f t="shared" si="282"/>
        <v>0</v>
      </c>
      <c r="BA173" s="4794">
        <f t="shared" si="283"/>
        <v>0</v>
      </c>
      <c r="BB173" s="4794">
        <f t="shared" si="284"/>
        <v>0</v>
      </c>
      <c r="BC173" s="152"/>
      <c r="BD173" s="4794">
        <f t="shared" si="285"/>
        <v>0</v>
      </c>
      <c r="BE173" s="4794">
        <f t="shared" si="286"/>
        <v>0</v>
      </c>
      <c r="BF173" s="4794">
        <f t="shared" si="287"/>
        <v>0</v>
      </c>
      <c r="BG173" s="4794">
        <f t="shared" si="288"/>
        <v>0</v>
      </c>
      <c r="BH173" s="4794">
        <f t="shared" si="289"/>
        <v>0</v>
      </c>
      <c r="BI173" s="4794">
        <f t="shared" si="290"/>
        <v>0</v>
      </c>
      <c r="BJ173" s="152"/>
      <c r="BK173" s="4794">
        <f t="shared" si="291"/>
        <v>0</v>
      </c>
      <c r="BL173" s="4794">
        <f t="shared" si="292"/>
        <v>0</v>
      </c>
      <c r="BM173" s="4794">
        <f t="shared" si="293"/>
        <v>0</v>
      </c>
      <c r="BN173" s="4794">
        <f t="shared" si="294"/>
        <v>0</v>
      </c>
      <c r="BO173" s="4794">
        <f t="shared" si="295"/>
        <v>0</v>
      </c>
      <c r="BP173" s="4794">
        <f t="shared" si="296"/>
        <v>0</v>
      </c>
      <c r="BQ173" s="152"/>
      <c r="BR173" s="4794">
        <f t="shared" si="297"/>
        <v>0</v>
      </c>
      <c r="BS173" s="4794">
        <f t="shared" si="298"/>
        <v>0</v>
      </c>
      <c r="BT173" s="4794">
        <f t="shared" si="299"/>
        <v>0</v>
      </c>
      <c r="BU173" s="4794">
        <f t="shared" si="300"/>
        <v>0</v>
      </c>
      <c r="BV173" s="4794">
        <f t="shared" si="301"/>
        <v>0</v>
      </c>
      <c r="BW173" s="4794">
        <f t="shared" si="302"/>
        <v>0</v>
      </c>
      <c r="BX173" s="152"/>
      <c r="BY173" s="4794">
        <f t="shared" si="303"/>
        <v>0</v>
      </c>
      <c r="BZ173" s="4794">
        <f t="shared" si="304"/>
        <v>0</v>
      </c>
      <c r="CA173" s="4794">
        <f t="shared" si="305"/>
        <v>0</v>
      </c>
      <c r="CB173" s="4794">
        <f t="shared" si="306"/>
        <v>0</v>
      </c>
      <c r="CC173" s="4794">
        <f t="shared" si="307"/>
        <v>0</v>
      </c>
      <c r="CD173" s="4794">
        <f t="shared" si="308"/>
        <v>0</v>
      </c>
    </row>
    <row r="174" spans="1:82" s="44" customFormat="1">
      <c r="A174" s="3138">
        <v>20</v>
      </c>
      <c r="B174" s="3135" t="s">
        <v>717</v>
      </c>
      <c r="C174" s="3137">
        <v>0.04</v>
      </c>
      <c r="D174" s="3136" t="s">
        <v>434</v>
      </c>
      <c r="E174" s="3184"/>
      <c r="F174" s="3146">
        <f t="shared" si="317"/>
        <v>0</v>
      </c>
      <c r="G174" s="3082">
        <f t="shared" si="327"/>
        <v>0</v>
      </c>
      <c r="H174" s="3082">
        <f t="shared" si="327"/>
        <v>0</v>
      </c>
      <c r="I174" s="3082">
        <f t="shared" si="327"/>
        <v>0</v>
      </c>
      <c r="J174" s="3082">
        <f t="shared" si="327"/>
        <v>0</v>
      </c>
      <c r="K174" s="3147">
        <f t="shared" si="327"/>
        <v>0</v>
      </c>
      <c r="L174" s="3184"/>
      <c r="M174" s="3146">
        <f t="shared" si="319"/>
        <v>0</v>
      </c>
      <c r="N174" s="3082">
        <f t="shared" si="328"/>
        <v>0</v>
      </c>
      <c r="O174" s="3082">
        <f t="shared" si="328"/>
        <v>0</v>
      </c>
      <c r="P174" s="3082">
        <f t="shared" si="328"/>
        <v>0</v>
      </c>
      <c r="Q174" s="3082">
        <f t="shared" si="328"/>
        <v>0</v>
      </c>
      <c r="R174" s="3147">
        <f t="shared" si="328"/>
        <v>0</v>
      </c>
      <c r="S174" s="3184"/>
      <c r="T174" s="3146">
        <f t="shared" si="321"/>
        <v>0</v>
      </c>
      <c r="U174" s="3082">
        <f t="shared" si="329"/>
        <v>0</v>
      </c>
      <c r="V174" s="3082">
        <f t="shared" si="329"/>
        <v>0</v>
      </c>
      <c r="W174" s="3082">
        <f t="shared" si="329"/>
        <v>0</v>
      </c>
      <c r="X174" s="3082">
        <f t="shared" si="329"/>
        <v>0</v>
      </c>
      <c r="Y174" s="3147">
        <f t="shared" si="329"/>
        <v>0</v>
      </c>
      <c r="Z174" s="3184"/>
      <c r="AA174" s="3146">
        <f t="shared" si="323"/>
        <v>0</v>
      </c>
      <c r="AB174" s="3082">
        <f t="shared" si="330"/>
        <v>0</v>
      </c>
      <c r="AC174" s="3082">
        <f t="shared" si="330"/>
        <v>0</v>
      </c>
      <c r="AD174" s="3082">
        <f t="shared" si="330"/>
        <v>0</v>
      </c>
      <c r="AE174" s="3082">
        <f t="shared" si="330"/>
        <v>0</v>
      </c>
      <c r="AF174" s="3147">
        <f t="shared" si="330"/>
        <v>0</v>
      </c>
      <c r="AG174" s="3184"/>
      <c r="AH174" s="3146">
        <f t="shared" si="325"/>
        <v>0</v>
      </c>
      <c r="AI174" s="3082">
        <f t="shared" si="331"/>
        <v>0</v>
      </c>
      <c r="AJ174" s="3082">
        <f t="shared" si="331"/>
        <v>0</v>
      </c>
      <c r="AK174" s="3082">
        <f t="shared" si="331"/>
        <v>0</v>
      </c>
      <c r="AL174" s="3082">
        <f t="shared" si="331"/>
        <v>0</v>
      </c>
      <c r="AM174" s="3147">
        <f t="shared" si="331"/>
        <v>0</v>
      </c>
      <c r="AN174" s="3184"/>
      <c r="AO174" s="3189"/>
      <c r="AP174" s="3190"/>
      <c r="AQ174" s="3190"/>
      <c r="AR174" s="3190"/>
      <c r="AS174" s="3190"/>
      <c r="AT174" s="3191"/>
      <c r="AU174" s="4775"/>
      <c r="AV174" s="152"/>
      <c r="AW174" s="4794">
        <f t="shared" ref="AW174:AW175" si="332">IFERROR(F174/$D$1,0)</f>
        <v>0</v>
      </c>
      <c r="AX174" s="4794">
        <f t="shared" ref="AX174:AX175" si="333">IFERROR(G174/$D$1,0)</f>
        <v>0</v>
      </c>
      <c r="AY174" s="4794">
        <f t="shared" ref="AY174:AY175" si="334">IFERROR(H174/$D$1,0)</f>
        <v>0</v>
      </c>
      <c r="AZ174" s="4794">
        <f t="shared" ref="AZ174:AZ175" si="335">IFERROR(I174/$D$1,0)</f>
        <v>0</v>
      </c>
      <c r="BA174" s="4794">
        <f t="shared" ref="BA174:BA175" si="336">IFERROR(J174/$D$1,0)</f>
        <v>0</v>
      </c>
      <c r="BB174" s="4794">
        <f t="shared" ref="BB174:BB175" si="337">IFERROR(K174/$D$1,0)</f>
        <v>0</v>
      </c>
      <c r="BC174" s="152"/>
      <c r="BD174" s="4794">
        <f t="shared" ref="BD174:BD175" si="338">IFERROR(M174/$D$1,0)</f>
        <v>0</v>
      </c>
      <c r="BE174" s="4794">
        <f t="shared" ref="BE174:BE175" si="339">IFERROR(N174/$D$1,0)</f>
        <v>0</v>
      </c>
      <c r="BF174" s="4794">
        <f t="shared" ref="BF174:BF175" si="340">IFERROR(O174/$D$1,0)</f>
        <v>0</v>
      </c>
      <c r="BG174" s="4794">
        <f t="shared" ref="BG174:BG175" si="341">IFERROR(P174/$D$1,0)</f>
        <v>0</v>
      </c>
      <c r="BH174" s="4794">
        <f t="shared" ref="BH174:BH175" si="342">IFERROR(Q174/$D$1,0)</f>
        <v>0</v>
      </c>
      <c r="BI174" s="4794">
        <f t="shared" ref="BI174:BI175" si="343">IFERROR(R174/$D$1,0)</f>
        <v>0</v>
      </c>
      <c r="BJ174" s="152"/>
      <c r="BK174" s="4794">
        <f t="shared" ref="BK174:BK175" si="344">IFERROR(T174/$D$1,0)</f>
        <v>0</v>
      </c>
      <c r="BL174" s="4794">
        <f t="shared" ref="BL174:BL175" si="345">IFERROR(U174/$D$1,0)</f>
        <v>0</v>
      </c>
      <c r="BM174" s="4794">
        <f t="shared" ref="BM174:BM175" si="346">IFERROR(V174/$D$1,0)</f>
        <v>0</v>
      </c>
      <c r="BN174" s="4794">
        <f t="shared" ref="BN174:BN175" si="347">IFERROR(W174/$D$1,0)</f>
        <v>0</v>
      </c>
      <c r="BO174" s="4794">
        <f t="shared" ref="BO174:BO175" si="348">IFERROR(X174/$D$1,0)</f>
        <v>0</v>
      </c>
      <c r="BP174" s="4794">
        <f t="shared" ref="BP174:BP175" si="349">IFERROR(Y174/$D$1,0)</f>
        <v>0</v>
      </c>
      <c r="BQ174" s="152"/>
      <c r="BR174" s="4794">
        <f t="shared" ref="BR174:BR175" si="350">IFERROR(AA174/$D$1,0)</f>
        <v>0</v>
      </c>
      <c r="BS174" s="4794">
        <f t="shared" ref="BS174:BS175" si="351">IFERROR(AB174/$D$1,0)</f>
        <v>0</v>
      </c>
      <c r="BT174" s="4794">
        <f t="shared" ref="BT174:BT175" si="352">IFERROR(AC174/$D$1,0)</f>
        <v>0</v>
      </c>
      <c r="BU174" s="4794">
        <f t="shared" ref="BU174:BU175" si="353">IFERROR(AD174/$D$1,0)</f>
        <v>0</v>
      </c>
      <c r="BV174" s="4794">
        <f t="shared" ref="BV174:BV175" si="354">IFERROR(AE174/$D$1,0)</f>
        <v>0</v>
      </c>
      <c r="BW174" s="4794">
        <f t="shared" ref="BW174:BW175" si="355">IFERROR(AF174/$D$1,0)</f>
        <v>0</v>
      </c>
      <c r="BX174" s="152"/>
      <c r="BY174" s="4794">
        <f t="shared" ref="BY174:BY175" si="356">IFERROR(AH174/$D$1,0)</f>
        <v>0</v>
      </c>
      <c r="BZ174" s="4794">
        <f t="shared" ref="BZ174:BZ175" si="357">IFERROR(AI174/$D$1,0)</f>
        <v>0</v>
      </c>
      <c r="CA174" s="4794">
        <f t="shared" ref="CA174:CA175" si="358">IFERROR(AJ174/$D$1,0)</f>
        <v>0</v>
      </c>
      <c r="CB174" s="4794">
        <f t="shared" ref="CB174:CB175" si="359">IFERROR(AK174/$D$1,0)</f>
        <v>0</v>
      </c>
      <c r="CC174" s="4794">
        <f t="shared" ref="CC174:CC175" si="360">IFERROR(AL174/$D$1,0)</f>
        <v>0</v>
      </c>
      <c r="CD174" s="4794">
        <f t="shared" ref="CD174:CD175" si="361">IFERROR(AM174/$D$1,0)</f>
        <v>0</v>
      </c>
    </row>
    <row r="175" spans="1:82" s="44" customFormat="1" ht="24.75" thickBot="1">
      <c r="A175" s="3148">
        <v>21</v>
      </c>
      <c r="B175" s="3149" t="s">
        <v>707</v>
      </c>
      <c r="C175" s="3150">
        <v>0.2</v>
      </c>
      <c r="D175" s="3151" t="s">
        <v>679</v>
      </c>
      <c r="E175" s="3192"/>
      <c r="F175" s="3152">
        <f t="shared" si="317"/>
        <v>0</v>
      </c>
      <c r="G175" s="3153">
        <f t="shared" si="327"/>
        <v>0</v>
      </c>
      <c r="H175" s="3153">
        <f t="shared" si="327"/>
        <v>0</v>
      </c>
      <c r="I175" s="3153">
        <f t="shared" si="327"/>
        <v>0</v>
      </c>
      <c r="J175" s="3153">
        <f t="shared" si="327"/>
        <v>0</v>
      </c>
      <c r="K175" s="3154">
        <f t="shared" si="327"/>
        <v>0</v>
      </c>
      <c r="L175" s="3192"/>
      <c r="M175" s="3152">
        <f t="shared" si="319"/>
        <v>0</v>
      </c>
      <c r="N175" s="3153">
        <f t="shared" si="328"/>
        <v>0</v>
      </c>
      <c r="O175" s="3153">
        <f t="shared" si="328"/>
        <v>0</v>
      </c>
      <c r="P175" s="3153">
        <f t="shared" si="328"/>
        <v>0</v>
      </c>
      <c r="Q175" s="3153">
        <f t="shared" si="328"/>
        <v>0</v>
      </c>
      <c r="R175" s="3154">
        <f t="shared" si="328"/>
        <v>0</v>
      </c>
      <c r="S175" s="3192"/>
      <c r="T175" s="3152">
        <f t="shared" si="321"/>
        <v>0</v>
      </c>
      <c r="U175" s="3153">
        <f t="shared" si="329"/>
        <v>0</v>
      </c>
      <c r="V175" s="3153">
        <f t="shared" si="329"/>
        <v>0</v>
      </c>
      <c r="W175" s="3153">
        <f t="shared" si="329"/>
        <v>0</v>
      </c>
      <c r="X175" s="3153">
        <f t="shared" si="329"/>
        <v>0</v>
      </c>
      <c r="Y175" s="3154">
        <f t="shared" si="329"/>
        <v>0</v>
      </c>
      <c r="Z175" s="3192"/>
      <c r="AA175" s="3152">
        <f t="shared" si="323"/>
        <v>0</v>
      </c>
      <c r="AB175" s="3153">
        <f t="shared" si="330"/>
        <v>0</v>
      </c>
      <c r="AC175" s="3153">
        <f t="shared" si="330"/>
        <v>0</v>
      </c>
      <c r="AD175" s="3153">
        <f t="shared" si="330"/>
        <v>0</v>
      </c>
      <c r="AE175" s="3153">
        <f t="shared" si="330"/>
        <v>0</v>
      </c>
      <c r="AF175" s="3154">
        <f t="shared" si="330"/>
        <v>0</v>
      </c>
      <c r="AG175" s="3192"/>
      <c r="AH175" s="3152">
        <f t="shared" si="325"/>
        <v>0</v>
      </c>
      <c r="AI175" s="3153">
        <f t="shared" si="331"/>
        <v>0</v>
      </c>
      <c r="AJ175" s="3153">
        <f t="shared" si="331"/>
        <v>0</v>
      </c>
      <c r="AK175" s="3153">
        <f t="shared" si="331"/>
        <v>0</v>
      </c>
      <c r="AL175" s="3153">
        <f t="shared" si="331"/>
        <v>0</v>
      </c>
      <c r="AM175" s="3154">
        <f t="shared" si="331"/>
        <v>0</v>
      </c>
      <c r="AN175" s="3192"/>
      <c r="AO175" s="3193"/>
      <c r="AP175" s="3194"/>
      <c r="AQ175" s="3194"/>
      <c r="AR175" s="3194"/>
      <c r="AS175" s="3194"/>
      <c r="AT175" s="3195"/>
      <c r="AU175" s="4775"/>
      <c r="AV175" s="152"/>
      <c r="AW175" s="4794">
        <f t="shared" si="332"/>
        <v>0</v>
      </c>
      <c r="AX175" s="4794">
        <f t="shared" si="333"/>
        <v>0</v>
      </c>
      <c r="AY175" s="4794">
        <f t="shared" si="334"/>
        <v>0</v>
      </c>
      <c r="AZ175" s="4794">
        <f t="shared" si="335"/>
        <v>0</v>
      </c>
      <c r="BA175" s="4794">
        <f t="shared" si="336"/>
        <v>0</v>
      </c>
      <c r="BB175" s="4794">
        <f t="shared" si="337"/>
        <v>0</v>
      </c>
      <c r="BC175" s="152"/>
      <c r="BD175" s="4794">
        <f t="shared" si="338"/>
        <v>0</v>
      </c>
      <c r="BE175" s="4794">
        <f t="shared" si="339"/>
        <v>0</v>
      </c>
      <c r="BF175" s="4794">
        <f t="shared" si="340"/>
        <v>0</v>
      </c>
      <c r="BG175" s="4794">
        <f t="shared" si="341"/>
        <v>0</v>
      </c>
      <c r="BH175" s="4794">
        <f t="shared" si="342"/>
        <v>0</v>
      </c>
      <c r="BI175" s="4794">
        <f t="shared" si="343"/>
        <v>0</v>
      </c>
      <c r="BJ175" s="152"/>
      <c r="BK175" s="4794">
        <f t="shared" si="344"/>
        <v>0</v>
      </c>
      <c r="BL175" s="4794">
        <f t="shared" si="345"/>
        <v>0</v>
      </c>
      <c r="BM175" s="4794">
        <f t="shared" si="346"/>
        <v>0</v>
      </c>
      <c r="BN175" s="4794">
        <f t="shared" si="347"/>
        <v>0</v>
      </c>
      <c r="BO175" s="4794">
        <f t="shared" si="348"/>
        <v>0</v>
      </c>
      <c r="BP175" s="4794">
        <f t="shared" si="349"/>
        <v>0</v>
      </c>
      <c r="BQ175" s="152"/>
      <c r="BR175" s="4794">
        <f t="shared" si="350"/>
        <v>0</v>
      </c>
      <c r="BS175" s="4794">
        <f t="shared" si="351"/>
        <v>0</v>
      </c>
      <c r="BT175" s="4794">
        <f t="shared" si="352"/>
        <v>0</v>
      </c>
      <c r="BU175" s="4794">
        <f t="shared" si="353"/>
        <v>0</v>
      </c>
      <c r="BV175" s="4794">
        <f t="shared" si="354"/>
        <v>0</v>
      </c>
      <c r="BW175" s="4794">
        <f t="shared" si="355"/>
        <v>0</v>
      </c>
      <c r="BX175" s="152"/>
      <c r="BY175" s="4794">
        <f t="shared" si="356"/>
        <v>0</v>
      </c>
      <c r="BZ175" s="4794">
        <f t="shared" si="357"/>
        <v>0</v>
      </c>
      <c r="CA175" s="4794">
        <f t="shared" si="358"/>
        <v>0</v>
      </c>
      <c r="CB175" s="4794">
        <f t="shared" si="359"/>
        <v>0</v>
      </c>
      <c r="CC175" s="4794">
        <f t="shared" si="360"/>
        <v>0</v>
      </c>
      <c r="CD175" s="4794">
        <f t="shared" si="361"/>
        <v>0</v>
      </c>
    </row>
    <row r="176" spans="1:82" ht="15.75">
      <c r="A176" s="2994"/>
      <c r="B176" s="2994"/>
      <c r="C176" s="2994"/>
      <c r="D176" s="2994"/>
      <c r="E176" s="2994"/>
      <c r="F176" s="2994"/>
      <c r="G176" s="2994"/>
      <c r="H176" s="2994"/>
      <c r="I176" s="2994"/>
      <c r="J176" s="2994"/>
      <c r="K176" s="2994"/>
      <c r="L176" s="2994"/>
      <c r="M176" s="2989"/>
      <c r="N176" s="2992"/>
      <c r="O176" s="2989"/>
      <c r="P176" s="2029"/>
      <c r="Q176" s="2029"/>
      <c r="R176" s="2029"/>
      <c r="S176" s="2029"/>
      <c r="T176" s="2029"/>
      <c r="U176" s="2029"/>
      <c r="V176" s="2029"/>
      <c r="W176" s="2029"/>
      <c r="X176" s="2029"/>
      <c r="Y176" s="2029"/>
      <c r="Z176" s="2029"/>
      <c r="AA176" s="2029"/>
      <c r="AB176" s="2029"/>
      <c r="AC176" s="2029"/>
      <c r="AD176" s="2029"/>
      <c r="AE176" s="2029"/>
      <c r="AF176" s="2029"/>
      <c r="AG176" s="2029"/>
      <c r="AH176" s="2029"/>
      <c r="AI176" s="2029"/>
      <c r="AJ176" s="2029"/>
      <c r="AK176" s="2029"/>
      <c r="AL176" s="2029"/>
      <c r="AM176" s="2029"/>
      <c r="AN176" s="2029"/>
      <c r="AO176" s="2029"/>
      <c r="AP176" s="2029"/>
      <c r="AQ176" s="2029"/>
      <c r="AR176" s="2029"/>
      <c r="AS176" s="2029"/>
      <c r="AT176" s="2029"/>
    </row>
    <row r="177" spans="1:46">
      <c r="A177" s="3155"/>
      <c r="B177" s="3156"/>
      <c r="C177" s="3156"/>
      <c r="D177" s="3156"/>
      <c r="E177" s="3157"/>
      <c r="F177" s="3157"/>
      <c r="G177" s="3157"/>
      <c r="H177" s="3157"/>
      <c r="I177" s="3157"/>
      <c r="J177" s="3157"/>
      <c r="K177" s="3157"/>
      <c r="L177" s="3157"/>
      <c r="M177" s="2989"/>
      <c r="N177" s="2992"/>
      <c r="O177" s="2989"/>
      <c r="P177" s="2029"/>
      <c r="Q177" s="2029"/>
      <c r="R177" s="2029"/>
      <c r="S177" s="2029"/>
      <c r="T177" s="2029"/>
      <c r="U177" s="2029"/>
      <c r="V177" s="2029"/>
      <c r="W177" s="2029"/>
      <c r="X177" s="2029"/>
      <c r="Y177" s="2029"/>
      <c r="Z177" s="2029"/>
      <c r="AA177" s="2029"/>
      <c r="AB177" s="2029"/>
      <c r="AC177" s="2029"/>
      <c r="AD177" s="2029"/>
      <c r="AE177" s="2029"/>
      <c r="AF177" s="2029"/>
      <c r="AG177" s="2029"/>
      <c r="AH177" s="2029"/>
      <c r="AI177" s="2029"/>
      <c r="AJ177" s="2029"/>
      <c r="AK177" s="2029"/>
      <c r="AL177" s="2029"/>
      <c r="AM177" s="2029"/>
      <c r="AN177" s="2029"/>
      <c r="AO177" s="2029"/>
      <c r="AP177" s="2029"/>
      <c r="AQ177" s="2029"/>
      <c r="AR177" s="2029"/>
      <c r="AS177" s="2029"/>
      <c r="AT177" s="2029"/>
    </row>
    <row r="178" spans="1:46">
      <c r="A178" s="3155"/>
      <c r="B178" s="3156"/>
      <c r="C178" s="3156"/>
      <c r="D178" s="3156"/>
      <c r="E178" s="3157"/>
      <c r="F178" s="3157"/>
      <c r="G178" s="3157"/>
      <c r="H178" s="3157"/>
      <c r="I178" s="3157"/>
      <c r="J178" s="3157"/>
      <c r="K178" s="3157"/>
      <c r="L178" s="3157"/>
      <c r="M178" s="2989"/>
      <c r="N178" s="2992"/>
      <c r="O178" s="2989"/>
      <c r="P178" s="2029"/>
      <c r="Q178" s="2029"/>
      <c r="R178" s="2029"/>
      <c r="S178" s="2029"/>
      <c r="T178" s="2029"/>
      <c r="U178" s="2029"/>
      <c r="V178" s="2029"/>
      <c r="W178" s="2029"/>
      <c r="X178" s="2029"/>
      <c r="Y178" s="2029"/>
      <c r="Z178" s="2029"/>
      <c r="AA178" s="2029"/>
      <c r="AB178" s="2029"/>
      <c r="AC178" s="2029"/>
      <c r="AD178" s="2029"/>
      <c r="AE178" s="2029"/>
      <c r="AF178" s="2029"/>
      <c r="AG178" s="2029"/>
      <c r="AH178" s="2029"/>
      <c r="AI178" s="2029"/>
      <c r="AJ178" s="2029"/>
      <c r="AK178" s="2029"/>
      <c r="AL178" s="2029"/>
      <c r="AM178" s="2029"/>
      <c r="AN178" s="2029"/>
      <c r="AO178" s="2029"/>
      <c r="AP178" s="2029"/>
      <c r="AQ178" s="2029"/>
      <c r="AR178" s="2029"/>
      <c r="AS178" s="2029"/>
      <c r="AT178" s="2029"/>
    </row>
    <row r="179" spans="1:46">
      <c r="A179" s="2760"/>
      <c r="B179" s="2765"/>
      <c r="C179" s="3158"/>
      <c r="D179" s="2765"/>
      <c r="F179" s="2765"/>
      <c r="G179" s="2765"/>
      <c r="H179" s="2765"/>
      <c r="I179" s="2765"/>
      <c r="J179" s="3159"/>
      <c r="K179" s="3160"/>
      <c r="L179" s="2765"/>
      <c r="M179" s="2989"/>
      <c r="N179" s="2992"/>
      <c r="O179" s="2989"/>
      <c r="P179" s="2029"/>
      <c r="Q179" s="2029"/>
      <c r="R179" s="2029"/>
      <c r="S179" s="2029"/>
      <c r="T179" s="2029"/>
      <c r="U179" s="2029"/>
      <c r="V179" s="2029"/>
      <c r="W179" s="2029"/>
      <c r="X179" s="2029"/>
      <c r="Y179" s="2029"/>
      <c r="Z179" s="2029"/>
      <c r="AA179" s="2029"/>
      <c r="AB179" s="2029"/>
      <c r="AC179" s="2029"/>
      <c r="AD179" s="2029"/>
      <c r="AE179" s="2029"/>
      <c r="AF179" s="2029"/>
      <c r="AG179" s="2029"/>
      <c r="AH179" s="2029"/>
      <c r="AI179" s="2029"/>
      <c r="AJ179" s="2029"/>
      <c r="AK179" s="2029"/>
      <c r="AL179" s="2029"/>
      <c r="AM179" s="2029"/>
      <c r="AN179" s="2029"/>
      <c r="AO179" s="2029"/>
      <c r="AP179" s="2029"/>
      <c r="AQ179" s="2029"/>
      <c r="AR179" s="2029"/>
      <c r="AS179" s="2029"/>
      <c r="AT179" s="2029"/>
    </row>
    <row r="180" spans="1:46">
      <c r="A180" s="2760"/>
      <c r="B180" s="2765"/>
      <c r="C180" s="2765"/>
      <c r="D180" s="2765"/>
      <c r="E180" s="2067" t="str">
        <f>'Приложение '!B82</f>
        <v>Дата: 15.04.2026 г.</v>
      </c>
      <c r="F180" s="2765"/>
      <c r="G180" s="2765"/>
      <c r="H180" s="2765"/>
      <c r="I180" s="2765"/>
      <c r="J180" s="3161"/>
      <c r="K180" s="3160"/>
      <c r="L180" s="2765"/>
      <c r="M180" s="2989"/>
      <c r="N180" s="2992"/>
      <c r="O180" s="2989"/>
      <c r="P180" s="2029"/>
      <c r="Q180" s="2029"/>
      <c r="R180" s="2029"/>
      <c r="S180" s="2029"/>
      <c r="T180" s="2029"/>
      <c r="U180" s="2029"/>
      <c r="V180" s="2029"/>
      <c r="W180" s="2029"/>
      <c r="X180" s="2029"/>
      <c r="Y180" s="2029"/>
      <c r="Z180" s="2029"/>
      <c r="AB180" s="2029"/>
      <c r="AC180" s="2029"/>
      <c r="AD180" s="2029"/>
      <c r="AE180" s="2029"/>
      <c r="AF180" s="2029"/>
      <c r="AG180" s="2029"/>
      <c r="AH180" s="2029"/>
      <c r="AI180" s="2029"/>
      <c r="AJ180" s="3162"/>
      <c r="AK180" s="3163"/>
      <c r="AL180" s="2029"/>
      <c r="AM180" s="2029"/>
      <c r="AN180" s="2029"/>
      <c r="AO180" s="2029"/>
      <c r="AP180" s="2029"/>
      <c r="AQ180" s="2029"/>
      <c r="AR180" s="2029"/>
      <c r="AS180" s="2029"/>
      <c r="AT180" s="2029"/>
    </row>
    <row r="181" spans="1:46">
      <c r="A181" s="2760"/>
      <c r="B181" s="2765"/>
      <c r="C181" s="2765"/>
      <c r="D181" s="2765"/>
      <c r="E181" s="2765"/>
      <c r="F181" s="2765"/>
      <c r="G181" s="2765"/>
      <c r="H181" s="2765"/>
      <c r="I181" s="2765"/>
      <c r="J181" s="3161"/>
      <c r="K181" s="3160"/>
      <c r="L181" s="3164"/>
      <c r="M181" s="2989"/>
      <c r="N181" s="2992"/>
      <c r="O181" s="2989"/>
      <c r="P181" s="2029"/>
      <c r="Q181" s="2029"/>
      <c r="R181" s="2029"/>
      <c r="S181" s="2029"/>
      <c r="T181" s="2029"/>
      <c r="U181" s="2029"/>
      <c r="V181" s="2029"/>
      <c r="W181" s="2029"/>
      <c r="X181" s="2029"/>
      <c r="Y181" s="3165"/>
      <c r="Z181" s="2029"/>
      <c r="AA181" s="2029"/>
      <c r="AB181" s="2029"/>
      <c r="AC181" s="2029"/>
      <c r="AD181" s="3166"/>
      <c r="AE181" s="2989"/>
      <c r="AF181" s="3165"/>
      <c r="AG181" s="2029"/>
      <c r="AH181" s="2029"/>
      <c r="AI181" s="2029"/>
      <c r="AJ181" s="3162"/>
      <c r="AK181" s="3167"/>
      <c r="AL181" s="2029"/>
      <c r="AM181" s="2029"/>
      <c r="AN181" s="3166"/>
      <c r="AO181" s="2989"/>
      <c r="AP181" s="3160"/>
      <c r="AQ181" s="2989"/>
      <c r="AR181" s="2029"/>
      <c r="AS181" s="2029"/>
      <c r="AT181" s="2029"/>
    </row>
    <row r="182" spans="1:46">
      <c r="A182" s="2760"/>
      <c r="B182" s="2765"/>
      <c r="C182" s="2765"/>
      <c r="D182" s="2765"/>
      <c r="E182" s="2765"/>
      <c r="F182" s="2765"/>
      <c r="G182" s="2765"/>
      <c r="H182" s="2765"/>
      <c r="I182" s="2765"/>
      <c r="J182" s="3161"/>
      <c r="K182" s="3160"/>
      <c r="L182" s="2765"/>
      <c r="M182" s="2989"/>
      <c r="N182" s="2992"/>
      <c r="O182" s="2989"/>
      <c r="P182" s="2029"/>
      <c r="Q182" s="2029"/>
      <c r="R182" s="2029"/>
      <c r="S182" s="2029"/>
      <c r="T182" s="2029"/>
      <c r="U182" s="2029"/>
      <c r="V182" s="2029"/>
      <c r="W182" s="2029"/>
      <c r="X182" s="2029"/>
      <c r="Y182" s="3168"/>
      <c r="Z182" s="2029"/>
      <c r="AA182" s="2029"/>
      <c r="AB182" s="2029"/>
      <c r="AC182" s="2029"/>
      <c r="AD182" s="2765"/>
      <c r="AE182" s="3159"/>
      <c r="AF182" s="3168"/>
      <c r="AG182" s="2029"/>
      <c r="AH182" s="2029"/>
      <c r="AI182" s="2029"/>
      <c r="AJ182" s="3162"/>
      <c r="AK182" s="3162"/>
      <c r="AL182" s="2029"/>
      <c r="AM182" s="2029"/>
      <c r="AN182" s="2765"/>
      <c r="AO182" s="3159"/>
      <c r="AP182" s="3160"/>
      <c r="AQ182" s="2989"/>
      <c r="AR182" s="2029"/>
      <c r="AS182" s="2029"/>
      <c r="AT182" s="2029"/>
    </row>
    <row r="183" spans="1:46">
      <c r="A183" s="2760"/>
      <c r="B183" s="2765"/>
      <c r="C183" s="2765"/>
      <c r="D183" s="2765"/>
      <c r="E183" s="2758" t="s">
        <v>187</v>
      </c>
      <c r="F183" s="2765"/>
      <c r="G183" s="2765"/>
      <c r="H183" s="2765"/>
      <c r="I183" s="2765"/>
      <c r="J183" s="3161"/>
      <c r="K183" s="3160"/>
      <c r="L183" s="2765"/>
      <c r="M183" s="2989"/>
      <c r="N183" s="2992"/>
      <c r="O183" s="2989"/>
      <c r="P183" s="2029"/>
      <c r="Q183" s="2029"/>
      <c r="R183" s="2029"/>
      <c r="S183" s="2029"/>
      <c r="T183" s="2029"/>
      <c r="U183" s="2029"/>
      <c r="V183" s="2029"/>
      <c r="W183" s="2029"/>
      <c r="X183" s="2029"/>
      <c r="Y183" s="3168"/>
      <c r="Z183" s="2029"/>
      <c r="AA183" s="2029"/>
      <c r="AB183" s="2029"/>
      <c r="AC183" s="2029"/>
      <c r="AD183" s="2765"/>
      <c r="AE183" s="3159"/>
      <c r="AF183" s="3168"/>
      <c r="AG183" s="2029"/>
      <c r="AH183" s="2029"/>
      <c r="AI183" s="2029"/>
      <c r="AJ183" s="3162"/>
      <c r="AK183" s="3162"/>
      <c r="AL183" s="2029"/>
      <c r="AM183" s="2029"/>
      <c r="AN183" s="2765"/>
      <c r="AO183" s="3159"/>
      <c r="AP183" s="3160"/>
      <c r="AQ183" s="2989"/>
      <c r="AR183" s="2029"/>
      <c r="AS183" s="2029"/>
      <c r="AT183" s="2029"/>
    </row>
    <row r="184" spans="1:46">
      <c r="A184" s="2760"/>
      <c r="B184" s="2765"/>
      <c r="C184" s="2765"/>
      <c r="D184" s="2765"/>
      <c r="E184" s="2763" t="s">
        <v>565</v>
      </c>
      <c r="F184" s="2765"/>
      <c r="G184" s="2765"/>
      <c r="H184" s="2765"/>
      <c r="I184" s="2765"/>
      <c r="J184" s="3161"/>
      <c r="K184" s="3160"/>
      <c r="L184" s="2765"/>
      <c r="M184" s="2989"/>
      <c r="N184" s="2989"/>
      <c r="O184" s="2989"/>
      <c r="P184" s="2056"/>
      <c r="Q184" s="2056"/>
      <c r="R184" s="2056"/>
      <c r="S184" s="2056"/>
      <c r="T184" s="2056"/>
      <c r="U184" s="2056"/>
      <c r="V184" s="2056"/>
      <c r="W184" s="2056"/>
      <c r="X184" s="2056"/>
      <c r="Y184" s="3168"/>
      <c r="Z184" s="2029"/>
      <c r="AA184" s="2029"/>
      <c r="AB184" s="2029"/>
      <c r="AC184" s="2029"/>
      <c r="AD184" s="2765"/>
      <c r="AE184" s="3159"/>
      <c r="AF184" s="3168"/>
      <c r="AG184" s="2029"/>
      <c r="AH184" s="2029"/>
      <c r="AI184" s="2029"/>
      <c r="AJ184" s="3162"/>
      <c r="AK184" s="3163"/>
      <c r="AL184" s="2029"/>
      <c r="AM184" s="2029"/>
      <c r="AN184" s="2765"/>
      <c r="AO184" s="3159"/>
      <c r="AP184" s="3160"/>
      <c r="AQ184" s="2989"/>
      <c r="AR184" s="2029"/>
      <c r="AS184" s="2029"/>
      <c r="AT184" s="2029"/>
    </row>
    <row r="185" spans="1:46" ht="28.5" customHeight="1">
      <c r="A185" s="2760"/>
      <c r="B185" s="2765"/>
      <c r="C185" s="2765"/>
      <c r="D185" s="2765"/>
      <c r="E185" s="5391" t="str">
        <f>"2. За периода "&amp;F9&amp;" - "&amp;K9&amp;" се посочва (със знак +) отчетната стойност на активи, които ще достигнат своя полезен живот през съответната година и не следва да им тече амортизация."" "</f>
        <v xml:space="preserve">2. За периода 2026 г. - 2031 г. се посочва (със знак +) отчетната стойност на активи, които ще достигнат своя полезен живот през съответната година и не следва да им тече амортизация." </v>
      </c>
      <c r="F185" s="5391"/>
      <c r="G185" s="5391"/>
      <c r="H185" s="5391"/>
      <c r="I185" s="5391"/>
      <c r="J185" s="5391"/>
      <c r="K185" s="5391"/>
      <c r="L185" s="5391"/>
      <c r="M185" s="5391"/>
      <c r="N185" s="5391"/>
      <c r="O185" s="5391"/>
      <c r="P185" s="5391"/>
      <c r="Q185" s="5391"/>
      <c r="R185" s="5391"/>
      <c r="S185" s="5391"/>
      <c r="T185" s="5391"/>
      <c r="U185" s="5391"/>
      <c r="V185" s="5391"/>
      <c r="W185" s="5391"/>
      <c r="X185" s="5391"/>
      <c r="Y185" s="5391"/>
      <c r="Z185" s="2029"/>
      <c r="AA185" s="2029"/>
      <c r="AB185" s="2029"/>
      <c r="AC185" s="2029"/>
      <c r="AD185" s="2765"/>
      <c r="AE185" s="3159"/>
      <c r="AF185" s="3168"/>
      <c r="AG185" s="2029"/>
      <c r="AH185" s="2029"/>
      <c r="AI185" s="2029"/>
      <c r="AJ185" s="2029"/>
      <c r="AK185" s="3167"/>
      <c r="AL185" s="2029"/>
      <c r="AM185" s="2029"/>
      <c r="AN185" s="2765"/>
      <c r="AO185" s="3159"/>
      <c r="AP185" s="3160"/>
      <c r="AQ185" s="2989"/>
      <c r="AR185" s="2029"/>
      <c r="AS185" s="2029"/>
      <c r="AT185" s="2029"/>
    </row>
    <row r="186" spans="1:46" ht="28.5" customHeight="1">
      <c r="B186" s="2758"/>
      <c r="C186" s="2758"/>
      <c r="D186" s="2758"/>
      <c r="E186" s="5391" t="str">
        <f>CONCATENATE("4. В случай, че през периода ",F9," - ",K9,"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",E9," се посочват през ",F9,"). Резултативната величина на двете отчетни стойности ще калкулира разхода за амортизация съответно в посока увеличение или намаление. ")</f>
        <v xml:space="preserve">4. В случай, че през периода 2026 г. - 2031 г.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2025 г. се посочват през 2026 г.). Резултативната величина на двете отчетни стойности ще калкулира разхода за амортизация съответно в посока увеличение или намаление. </v>
      </c>
      <c r="F186" s="5391"/>
      <c r="G186" s="5391"/>
      <c r="H186" s="5391"/>
      <c r="I186" s="5391"/>
      <c r="J186" s="5391"/>
      <c r="K186" s="5391"/>
      <c r="L186" s="5391"/>
      <c r="M186" s="5391"/>
      <c r="N186" s="5391"/>
      <c r="O186" s="5391"/>
      <c r="P186" s="5391"/>
      <c r="Q186" s="5391"/>
      <c r="R186" s="5391"/>
      <c r="S186" s="5391"/>
      <c r="T186" s="5391"/>
      <c r="U186" s="5391"/>
      <c r="V186" s="5391"/>
      <c r="W186" s="5391"/>
      <c r="X186" s="5391"/>
      <c r="Y186" s="5391"/>
      <c r="Z186" s="2029"/>
      <c r="AA186" s="2029"/>
      <c r="AB186" s="2029"/>
      <c r="AC186" s="2029"/>
      <c r="AD186" s="2758"/>
      <c r="AE186" s="3159"/>
      <c r="AF186" s="3168"/>
      <c r="AG186" s="2029"/>
      <c r="AH186" s="2029"/>
      <c r="AI186" s="2029"/>
      <c r="AJ186" s="2029"/>
      <c r="AK186" s="2029"/>
      <c r="AL186" s="2029"/>
      <c r="AM186" s="2029"/>
      <c r="AN186" s="2758"/>
      <c r="AO186" s="3159"/>
      <c r="AP186" s="3160"/>
      <c r="AQ186" s="2989"/>
      <c r="AR186" s="2029"/>
      <c r="AS186" s="2029"/>
      <c r="AT186" s="2029"/>
    </row>
    <row r="187" spans="1:46" ht="24" customHeight="1">
      <c r="B187" s="4032"/>
      <c r="C187" s="4032"/>
      <c r="D187" s="4032"/>
      <c r="E187" s="2763" t="s">
        <v>1059</v>
      </c>
      <c r="N187" s="675"/>
      <c r="P187" s="649"/>
      <c r="Q187" s="649"/>
      <c r="R187" s="649"/>
      <c r="S187" s="649"/>
      <c r="T187" s="649"/>
      <c r="U187" s="649"/>
      <c r="V187" s="649"/>
      <c r="W187" s="649"/>
      <c r="X187" s="649"/>
      <c r="Y187" s="649"/>
      <c r="Z187" s="2029"/>
      <c r="AA187" s="2029"/>
      <c r="AB187" s="2029"/>
      <c r="AC187" s="2029"/>
      <c r="AD187" s="2765"/>
      <c r="AE187" s="2766"/>
      <c r="AF187" s="2765"/>
      <c r="AG187" s="2029"/>
      <c r="AH187" s="2029"/>
      <c r="AI187" s="2029"/>
      <c r="AJ187" s="2029"/>
      <c r="AK187" s="2765"/>
      <c r="AL187" s="2766"/>
      <c r="AM187" s="2765"/>
      <c r="AN187" s="3160"/>
      <c r="AO187" s="3169"/>
      <c r="AP187" s="3160"/>
      <c r="AQ187" s="2989"/>
      <c r="AR187" s="2029"/>
      <c r="AS187" s="2029"/>
      <c r="AT187" s="2029"/>
    </row>
    <row r="188" spans="1:46" ht="20.25" customHeight="1">
      <c r="B188" s="4032"/>
      <c r="C188" s="4032"/>
      <c r="D188" s="4032"/>
      <c r="F188" s="4032"/>
      <c r="G188" s="4032"/>
      <c r="H188" s="4032"/>
      <c r="I188" s="4032"/>
      <c r="J188" s="4032"/>
      <c r="K188" s="4032"/>
      <c r="L188" s="4032"/>
      <c r="M188" s="4032"/>
      <c r="N188" s="4032"/>
      <c r="O188" s="4032"/>
      <c r="P188" s="4032"/>
      <c r="Q188" s="4032"/>
      <c r="R188" s="4032"/>
      <c r="S188" s="2029"/>
      <c r="T188" s="2029"/>
      <c r="U188" s="2029"/>
      <c r="V188" s="2029"/>
      <c r="W188" s="2765"/>
      <c r="X188" s="2765"/>
      <c r="Y188" s="3160"/>
      <c r="Z188" s="2029"/>
      <c r="AA188" s="2029"/>
      <c r="AB188" s="2029"/>
      <c r="AC188" s="2029"/>
      <c r="AD188" s="2765"/>
      <c r="AE188" s="2765"/>
      <c r="AF188" s="3160"/>
      <c r="AG188" s="2029"/>
      <c r="AH188" s="2029"/>
      <c r="AI188" s="2029"/>
      <c r="AJ188" s="2029"/>
      <c r="AK188" s="2765"/>
      <c r="AL188" s="2765"/>
      <c r="AM188" s="3160"/>
      <c r="AN188" s="3170"/>
      <c r="AO188" s="2989"/>
      <c r="AP188" s="2029"/>
      <c r="AQ188" s="2029"/>
      <c r="AR188" s="2029"/>
      <c r="AS188" s="2029"/>
      <c r="AT188" s="2029"/>
    </row>
    <row r="189" spans="1:46" ht="25.5" customHeight="1">
      <c r="B189" s="4032"/>
      <c r="C189" s="4032"/>
      <c r="D189" s="4032"/>
      <c r="E189" s="4032"/>
      <c r="F189" s="4032"/>
      <c r="G189" s="4032"/>
      <c r="H189" s="4032"/>
      <c r="I189" s="4032"/>
      <c r="J189" s="4032"/>
      <c r="K189" s="4032"/>
      <c r="L189" s="4032"/>
      <c r="M189" s="4032"/>
      <c r="N189" s="4032"/>
      <c r="O189" s="4032"/>
      <c r="P189" s="4032"/>
      <c r="Q189" s="4032"/>
      <c r="R189" s="4032"/>
      <c r="S189" s="3171"/>
      <c r="T189" s="2029"/>
      <c r="U189" s="2029"/>
      <c r="V189" s="2029"/>
      <c r="W189" s="2029"/>
      <c r="X189" s="2029"/>
      <c r="Y189" s="2029"/>
      <c r="Z189" s="2029"/>
      <c r="AA189" s="2029"/>
      <c r="AB189" s="2029"/>
      <c r="AC189" s="2029"/>
      <c r="AD189" s="2029"/>
      <c r="AE189" s="2029"/>
      <c r="AF189" s="2029"/>
      <c r="AG189" s="2029"/>
      <c r="AH189" s="2029"/>
      <c r="AI189" s="2029"/>
      <c r="AJ189" s="2029"/>
      <c r="AK189" s="2029"/>
      <c r="AL189" s="2029"/>
      <c r="AM189" s="2029"/>
      <c r="AN189" s="2029"/>
      <c r="AO189" s="2029"/>
      <c r="AP189" s="2029"/>
      <c r="AQ189" s="2029"/>
      <c r="AR189" s="2029"/>
      <c r="AS189" s="2029"/>
      <c r="AT189" s="2029"/>
    </row>
    <row r="190" spans="1:46" ht="54.75" customHeight="1">
      <c r="B190" s="4032"/>
      <c r="C190" s="4032"/>
      <c r="D190" s="4032"/>
      <c r="E190" s="4032"/>
      <c r="F190" s="4032"/>
      <c r="G190" s="4032"/>
      <c r="H190" s="4032"/>
      <c r="I190" s="4032"/>
      <c r="J190" s="4032"/>
      <c r="K190" s="4032"/>
      <c r="L190" s="4032"/>
      <c r="M190" s="4032"/>
      <c r="N190" s="4032"/>
      <c r="O190" s="4032"/>
      <c r="P190" s="4032"/>
      <c r="Q190" s="4032"/>
      <c r="R190" s="4032"/>
      <c r="S190" s="2029"/>
      <c r="T190" s="2029"/>
      <c r="U190" s="2029"/>
      <c r="V190" s="2029"/>
      <c r="W190" s="2029"/>
      <c r="X190" s="2029"/>
      <c r="Y190" s="2029"/>
      <c r="Z190" s="2029"/>
      <c r="AA190" s="2029"/>
      <c r="AB190" s="2029"/>
      <c r="AC190" s="2029"/>
      <c r="AD190" s="2029"/>
      <c r="AE190" s="2029"/>
      <c r="AF190" s="2029"/>
      <c r="AG190" s="2029"/>
      <c r="AH190" s="2029"/>
      <c r="AI190" s="2029"/>
      <c r="AJ190" s="2029"/>
      <c r="AK190" s="2029"/>
      <c r="AL190" s="2029"/>
      <c r="AM190" s="2029"/>
      <c r="AN190" s="2029"/>
      <c r="AO190" s="2029"/>
      <c r="AP190" s="2029"/>
      <c r="AQ190" s="2029"/>
      <c r="AR190" s="2029"/>
      <c r="AS190" s="2029"/>
      <c r="AT190" s="2029"/>
    </row>
    <row r="191" spans="1:46" ht="14.25" customHeight="1">
      <c r="B191" s="4032"/>
      <c r="C191" s="4032"/>
      <c r="D191" s="4032"/>
      <c r="E191" s="4032"/>
      <c r="F191" s="4032"/>
      <c r="G191" s="4032"/>
      <c r="H191" s="4032"/>
      <c r="I191" s="4032"/>
      <c r="J191" s="4032"/>
      <c r="K191" s="4032"/>
      <c r="L191" s="4032"/>
      <c r="M191" s="4032"/>
      <c r="N191" s="4032"/>
      <c r="O191" s="4032"/>
      <c r="P191" s="4032"/>
      <c r="Q191" s="4032"/>
      <c r="R191" s="4032"/>
      <c r="S191" s="2029"/>
      <c r="T191" s="2029"/>
      <c r="U191" s="2029"/>
      <c r="V191" s="2029"/>
      <c r="W191" s="2029"/>
      <c r="X191" s="2029"/>
      <c r="Y191" s="2029"/>
      <c r="Z191" s="2029"/>
      <c r="AA191" s="2029"/>
      <c r="AB191" s="2029"/>
      <c r="AC191" s="2029"/>
      <c r="AD191" s="2029"/>
      <c r="AE191" s="2029"/>
      <c r="AF191" s="2029"/>
      <c r="AG191" s="2029"/>
      <c r="AH191" s="2029"/>
      <c r="AI191" s="2029"/>
      <c r="AJ191" s="2029"/>
      <c r="AK191" s="2029"/>
      <c r="AL191" s="2029"/>
      <c r="AM191" s="2029"/>
      <c r="AN191" s="2029"/>
      <c r="AO191" s="2029"/>
      <c r="AP191" s="2029"/>
      <c r="AQ191" s="2029"/>
      <c r="AR191" s="2029"/>
      <c r="AS191" s="2029"/>
      <c r="AT191" s="2029"/>
    </row>
    <row r="192" spans="1:46" ht="60.75" customHeight="1"/>
    <row r="193" ht="20.25" customHeight="1"/>
  </sheetData>
  <sheetProtection algorithmName="SHA-512" hashValue="DFcXaCGlzEL+N+jbyNUiCJDkZL8yT1NliGWJFzuuCs2xNL3bTpPN8TfiGRbWdffLNVBOqH/xiezu9QXYKsRGaA==" saltValue="ZbSWL/1ofMEWkO6yTtjzug==" spinCount="100000" sheet="1" formatCells="0" formatColumns="0" formatRows="0"/>
  <mergeCells count="28">
    <mergeCell ref="BX8:CD8"/>
    <mergeCell ref="A1:C1"/>
    <mergeCell ref="AV8:BB8"/>
    <mergeCell ref="BC8:BI8"/>
    <mergeCell ref="BJ8:BP8"/>
    <mergeCell ref="BQ8:BW8"/>
    <mergeCell ref="AN8:AT8"/>
    <mergeCell ref="Z8:AF8"/>
    <mergeCell ref="AG8:AM8"/>
    <mergeCell ref="E185:Y185"/>
    <mergeCell ref="E186:Y186"/>
    <mergeCell ref="A2:Y2"/>
    <mergeCell ref="A3:Y3"/>
    <mergeCell ref="T10:Y10"/>
    <mergeCell ref="A4:Y4"/>
    <mergeCell ref="A5:Y5"/>
    <mergeCell ref="D8:D9"/>
    <mergeCell ref="A8:A9"/>
    <mergeCell ref="E8:K8"/>
    <mergeCell ref="L8:R8"/>
    <mergeCell ref="S8:Y8"/>
    <mergeCell ref="B8:B9"/>
    <mergeCell ref="C8:C9"/>
    <mergeCell ref="AA10:AF10"/>
    <mergeCell ref="AH10:AM10"/>
    <mergeCell ref="AO10:AT10"/>
    <mergeCell ref="F10:K10"/>
    <mergeCell ref="M10:R10"/>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AT241"/>
  <sheetViews>
    <sheetView showGridLines="0" zoomScaleNormal="100" zoomScaleSheetLayoutView="106" workbookViewId="0">
      <pane xSplit="1" ySplit="9" topLeftCell="B10" activePane="bottomRight" state="frozen"/>
      <selection pane="topRight" activeCell="B1" sqref="B1"/>
      <selection pane="bottomLeft" activeCell="A10" sqref="A10"/>
      <selection pane="bottomRight" activeCell="N197" sqref="N197"/>
    </sheetView>
  </sheetViews>
  <sheetFormatPr defaultRowHeight="12.75"/>
  <cols>
    <col min="1" max="1" width="3.28515625" style="185" customWidth="1"/>
    <col min="2" max="2" width="8.28515625" style="186" customWidth="1"/>
    <col min="3" max="3" width="5.85546875" style="186" customWidth="1"/>
    <col min="4" max="4" width="22.7109375" style="186" customWidth="1"/>
    <col min="5" max="5" width="8.42578125" style="185" customWidth="1"/>
    <col min="6" max="6" width="10.85546875" style="185" customWidth="1"/>
    <col min="7" max="7" width="8.140625" style="185" customWidth="1"/>
    <col min="8" max="9" width="8.7109375" style="185" customWidth="1"/>
    <col min="10" max="10" width="10.85546875" style="185" customWidth="1"/>
    <col min="11" max="11" width="8.140625" style="185" customWidth="1"/>
    <col min="12" max="13" width="8.7109375" style="185" customWidth="1"/>
    <col min="14" max="14" width="11.140625" style="185" customWidth="1"/>
    <col min="15" max="17" width="8.7109375" style="185" customWidth="1"/>
    <col min="18" max="18" width="10.42578125" style="185" customWidth="1"/>
    <col min="19" max="21" width="8.7109375" style="185" customWidth="1"/>
    <col min="22" max="22" width="12" style="185" customWidth="1"/>
    <col min="23" max="24" width="8.7109375" style="185" customWidth="1"/>
    <col min="25" max="25" width="2.28515625" customWidth="1"/>
    <col min="26" max="45" width="8.7109375" customWidth="1"/>
  </cols>
  <sheetData>
    <row r="1" spans="1:45" s="1343" customFormat="1" ht="40.9" customHeight="1" thickBot="1">
      <c r="A1" s="5338" t="str">
        <f>+'1. Обща информация'!B40</f>
        <v>Фиксиран курс на лева към 1 евро</v>
      </c>
      <c r="B1" s="5339"/>
      <c r="C1" s="5340"/>
      <c r="D1" s="4798">
        <f>+'1. Обща информация'!$C$40</f>
        <v>1.95583</v>
      </c>
      <c r="E1" s="2644"/>
      <c r="F1" s="2646"/>
      <c r="G1" s="2645"/>
      <c r="H1" s="2645"/>
      <c r="I1" s="2645"/>
      <c r="J1" s="2645"/>
      <c r="K1" s="2645"/>
      <c r="L1" s="2644"/>
      <c r="M1" s="2645"/>
      <c r="N1" s="2645"/>
      <c r="O1" s="2645"/>
      <c r="P1" s="2645"/>
      <c r="Q1" s="2645"/>
      <c r="R1" s="2645"/>
      <c r="S1" s="2644"/>
      <c r="T1" s="2645"/>
      <c r="U1" s="2645"/>
      <c r="V1" s="2645"/>
      <c r="X1" s="4335" t="s">
        <v>189</v>
      </c>
      <c r="Y1" s="2645"/>
      <c r="Z1" s="2645"/>
      <c r="AA1" s="2645"/>
      <c r="AB1" s="2645"/>
      <c r="AC1" s="2645"/>
      <c r="AD1" s="4335"/>
      <c r="AE1" s="2644"/>
      <c r="AF1" s="2645"/>
      <c r="AG1" s="2645"/>
      <c r="AH1" s="2645"/>
      <c r="AI1" s="2645"/>
      <c r="AJ1" s="2645"/>
      <c r="AK1" s="4335"/>
      <c r="AL1" s="2647"/>
      <c r="AM1" s="2648"/>
      <c r="AN1" s="1344"/>
    </row>
    <row r="2" spans="1:45" s="1343" customFormat="1" ht="18.75">
      <c r="A2" s="5373" t="s">
        <v>1788</v>
      </c>
      <c r="B2" s="5373"/>
      <c r="C2" s="5373"/>
      <c r="D2" s="5373"/>
      <c r="E2" s="5373"/>
      <c r="F2" s="5373"/>
      <c r="G2" s="5373"/>
      <c r="H2" s="5373"/>
      <c r="I2" s="5373"/>
      <c r="J2" s="5373"/>
      <c r="K2" s="5373"/>
      <c r="L2" s="5373"/>
      <c r="M2" s="5373"/>
      <c r="N2" s="5373"/>
      <c r="O2" s="5373"/>
      <c r="P2" s="5373"/>
      <c r="Q2" s="5373"/>
      <c r="R2" s="5373"/>
      <c r="S2" s="5373"/>
      <c r="T2" s="5373"/>
      <c r="U2" s="5373"/>
      <c r="V2" s="5373"/>
      <c r="W2" s="5373"/>
      <c r="X2" s="5373"/>
      <c r="Y2" s="4339"/>
      <c r="Z2" s="4339"/>
      <c r="AA2" s="4339"/>
      <c r="AB2" s="4339"/>
      <c r="AC2" s="4339"/>
      <c r="AD2" s="4339"/>
      <c r="AE2" s="4339"/>
      <c r="AF2" s="4339"/>
      <c r="AG2" s="4339"/>
      <c r="AH2" s="4339"/>
      <c r="AI2" s="4339"/>
      <c r="AJ2" s="4339"/>
      <c r="AK2" s="4339"/>
      <c r="AL2" s="2649"/>
      <c r="AM2" s="2648"/>
      <c r="AN2" s="1344"/>
    </row>
    <row r="3" spans="1:45" s="1343" customFormat="1" ht="18.75">
      <c r="A3" s="5373" t="str">
        <f>+"Амортизационен план на Дълготрайни Активи за базова година"</f>
        <v>Амортизационен план на Дълготрайни Активи за базова година</v>
      </c>
      <c r="B3" s="5373"/>
      <c r="C3" s="5373"/>
      <c r="D3" s="5373"/>
      <c r="E3" s="5373"/>
      <c r="F3" s="5373"/>
      <c r="G3" s="5373"/>
      <c r="H3" s="5373"/>
      <c r="I3" s="5373"/>
      <c r="J3" s="5373"/>
      <c r="K3" s="5373"/>
      <c r="L3" s="5373"/>
      <c r="M3" s="5373"/>
      <c r="N3" s="5373"/>
      <c r="O3" s="5373"/>
      <c r="P3" s="5373"/>
      <c r="Q3" s="5373"/>
      <c r="R3" s="5373"/>
      <c r="S3" s="5373"/>
      <c r="T3" s="5373"/>
      <c r="U3" s="5373"/>
      <c r="V3" s="5373"/>
      <c r="W3" s="5373"/>
      <c r="X3" s="5373"/>
      <c r="Y3" s="4339"/>
      <c r="Z3" s="4339"/>
      <c r="AA3" s="4339"/>
      <c r="AB3" s="4339"/>
      <c r="AC3" s="4339"/>
      <c r="AD3" s="4339"/>
      <c r="AE3" s="4339"/>
      <c r="AF3" s="4339"/>
      <c r="AG3" s="4339"/>
      <c r="AH3" s="4339"/>
      <c r="AI3" s="4339"/>
      <c r="AJ3" s="4339"/>
      <c r="AK3" s="4339"/>
      <c r="AL3" s="2649"/>
      <c r="AM3" s="2648"/>
      <c r="AN3" s="1344"/>
    </row>
    <row r="4" spans="1:45" s="1343" customFormat="1" ht="15.75">
      <c r="A4" s="5379" t="str">
        <f>'1. Обща информация'!A4:D4</f>
        <v>на "ВОДОСНАБДЯВАНЕ И КАНАЛИЗАЦИЯ" ЕООД, гр. БЛАГОЕВГРАД</v>
      </c>
      <c r="B4" s="5379"/>
      <c r="C4" s="5379"/>
      <c r="D4" s="5379"/>
      <c r="E4" s="5379"/>
      <c r="F4" s="5379"/>
      <c r="G4" s="5379"/>
      <c r="H4" s="5379"/>
      <c r="I4" s="5379"/>
      <c r="J4" s="5379"/>
      <c r="K4" s="5379"/>
      <c r="L4" s="5379"/>
      <c r="M4" s="5379"/>
      <c r="N4" s="5379"/>
      <c r="O4" s="5379"/>
      <c r="P4" s="5379"/>
      <c r="Q4" s="5379"/>
      <c r="R4" s="5379"/>
      <c r="S4" s="5379"/>
      <c r="T4" s="5379"/>
      <c r="U4" s="5379"/>
      <c r="V4" s="5379"/>
      <c r="W4" s="5379"/>
      <c r="X4" s="5379"/>
      <c r="Y4" s="4340"/>
      <c r="Z4" s="4340"/>
      <c r="AA4" s="4340"/>
      <c r="AB4" s="4340"/>
      <c r="AC4" s="4340"/>
      <c r="AD4" s="4340"/>
      <c r="AE4" s="4340"/>
      <c r="AF4" s="4340"/>
      <c r="AG4" s="4340"/>
      <c r="AH4" s="4340"/>
      <c r="AI4" s="4340"/>
      <c r="AJ4" s="4340"/>
      <c r="AK4" s="4340"/>
      <c r="AL4" s="680"/>
      <c r="AM4" s="2650"/>
      <c r="AN4" s="184"/>
      <c r="AO4" s="184"/>
      <c r="AP4" s="184"/>
      <c r="AQ4" s="184"/>
    </row>
    <row r="5" spans="1:45" s="1343" customFormat="1" ht="15.75">
      <c r="A5" s="5379" t="str">
        <f>'1. Обща информация'!A5:D5</f>
        <v>ЕИК по БУЛСТАТ: 811047831</v>
      </c>
      <c r="B5" s="5379"/>
      <c r="C5" s="5379"/>
      <c r="D5" s="5379"/>
      <c r="E5" s="5379"/>
      <c r="F5" s="5379"/>
      <c r="G5" s="5379"/>
      <c r="H5" s="5379"/>
      <c r="I5" s="5379"/>
      <c r="J5" s="5379"/>
      <c r="K5" s="5379"/>
      <c r="L5" s="5379"/>
      <c r="M5" s="5379"/>
      <c r="N5" s="5379"/>
      <c r="O5" s="5379"/>
      <c r="P5" s="5379"/>
      <c r="Q5" s="5379"/>
      <c r="R5" s="5379"/>
      <c r="S5" s="5379"/>
      <c r="T5" s="5379"/>
      <c r="U5" s="5379"/>
      <c r="V5" s="5379"/>
      <c r="W5" s="5379"/>
      <c r="X5" s="5379"/>
      <c r="Y5" s="4340"/>
      <c r="Z5" s="4340"/>
      <c r="AA5" s="4340"/>
      <c r="AB5" s="4340"/>
      <c r="AC5" s="4340"/>
      <c r="AD5" s="4340"/>
      <c r="AE5" s="4340"/>
      <c r="AF5" s="4340"/>
      <c r="AG5" s="4340"/>
      <c r="AH5" s="4340"/>
      <c r="AI5" s="4340"/>
      <c r="AJ5" s="4340"/>
      <c r="AK5" s="4340"/>
      <c r="AL5" s="680"/>
      <c r="AM5" s="2650"/>
      <c r="AN5" s="184"/>
      <c r="AO5" s="184"/>
      <c r="AP5" s="184"/>
      <c r="AQ5" s="184"/>
    </row>
    <row r="6" spans="1:45" ht="16.5" thickBot="1">
      <c r="A6" s="4340"/>
      <c r="B6" s="4340"/>
      <c r="C6" s="4340"/>
      <c r="D6" s="4340"/>
      <c r="E6" s="4357"/>
      <c r="F6" s="4357"/>
      <c r="G6" s="4357"/>
      <c r="H6" s="4357"/>
      <c r="I6" s="4357"/>
      <c r="J6" s="4357"/>
      <c r="K6" s="4357"/>
      <c r="L6" s="4357"/>
      <c r="M6" s="4357"/>
      <c r="N6" s="4357"/>
      <c r="O6" s="4357"/>
      <c r="P6" s="4357"/>
      <c r="Q6" s="4357"/>
      <c r="R6" s="4357"/>
      <c r="S6" s="4357"/>
      <c r="T6" s="4357"/>
      <c r="U6" s="4357"/>
      <c r="V6" s="4357"/>
      <c r="W6" s="4357"/>
      <c r="X6" s="2558" t="s">
        <v>190</v>
      </c>
      <c r="AS6" s="2558" t="s">
        <v>1891</v>
      </c>
    </row>
    <row r="7" spans="1:45" ht="13.9" customHeight="1" thickBot="1">
      <c r="A7" s="5375" t="s">
        <v>1</v>
      </c>
      <c r="B7" s="5375" t="s">
        <v>1044</v>
      </c>
      <c r="C7" s="5375" t="s">
        <v>1043</v>
      </c>
      <c r="D7" s="5375" t="s">
        <v>87</v>
      </c>
      <c r="E7" s="5404" t="s">
        <v>210</v>
      </c>
      <c r="F7" s="5405"/>
      <c r="G7" s="5405"/>
      <c r="H7" s="5406"/>
      <c r="I7" s="5404" t="s">
        <v>174</v>
      </c>
      <c r="J7" s="5405"/>
      <c r="K7" s="5405"/>
      <c r="L7" s="5406"/>
      <c r="M7" s="5404" t="s">
        <v>184</v>
      </c>
      <c r="N7" s="5405"/>
      <c r="O7" s="5405"/>
      <c r="P7" s="5406"/>
      <c r="Q7" s="5404" t="s">
        <v>1029</v>
      </c>
      <c r="R7" s="5405"/>
      <c r="S7" s="5405"/>
      <c r="T7" s="5406"/>
      <c r="U7" s="5404" t="s">
        <v>1092</v>
      </c>
      <c r="V7" s="5405"/>
      <c r="W7" s="5405"/>
      <c r="X7" s="5406"/>
      <c r="Y7" s="4775"/>
      <c r="Z7" s="5368" t="s">
        <v>210</v>
      </c>
      <c r="AA7" s="5368"/>
      <c r="AB7" s="5368"/>
      <c r="AC7" s="5368"/>
      <c r="AD7" s="5368" t="s">
        <v>174</v>
      </c>
      <c r="AE7" s="5368"/>
      <c r="AF7" s="5368"/>
      <c r="AG7" s="5368"/>
      <c r="AH7" s="5368" t="s">
        <v>184</v>
      </c>
      <c r="AI7" s="5368"/>
      <c r="AJ7" s="5368"/>
      <c r="AK7" s="5368"/>
      <c r="AL7" s="4801" t="s">
        <v>1029</v>
      </c>
      <c r="AM7" s="4801"/>
      <c r="AN7" s="4801"/>
      <c r="AO7" s="4801"/>
      <c r="AP7" s="5368" t="s">
        <v>1092</v>
      </c>
      <c r="AQ7" s="5368"/>
      <c r="AR7" s="5368"/>
      <c r="AS7" s="5368"/>
    </row>
    <row r="8" spans="1:45" ht="13.5" thickBot="1">
      <c r="A8" s="5403"/>
      <c r="B8" s="5403"/>
      <c r="C8" s="5403"/>
      <c r="D8" s="5403"/>
      <c r="E8" s="2652" t="str">
        <f>+'Приложение '!C12</f>
        <v>2024 г.</v>
      </c>
      <c r="F8" s="2652" t="str">
        <f>+'11. Амортиз. план'!E8</f>
        <v>2025 г.</v>
      </c>
      <c r="G8" s="2652" t="str">
        <f>+F8</f>
        <v>2025 г.</v>
      </c>
      <c r="H8" s="2657" t="str">
        <f>+G8</f>
        <v>2025 г.</v>
      </c>
      <c r="I8" s="2652" t="str">
        <f>+E8</f>
        <v>2024 г.</v>
      </c>
      <c r="J8" s="2652" t="str">
        <f>+F8</f>
        <v>2025 г.</v>
      </c>
      <c r="K8" s="2652" t="str">
        <f t="shared" ref="K8:L9" si="0">+G8</f>
        <v>2025 г.</v>
      </c>
      <c r="L8" s="2652" t="str">
        <f t="shared" si="0"/>
        <v>2025 г.</v>
      </c>
      <c r="M8" s="2652" t="str">
        <f>+I8</f>
        <v>2024 г.</v>
      </c>
      <c r="N8" s="2652" t="str">
        <f>+J8</f>
        <v>2025 г.</v>
      </c>
      <c r="O8" s="2652" t="str">
        <f t="shared" ref="O8:P9" si="1">+K8</f>
        <v>2025 г.</v>
      </c>
      <c r="P8" s="2652" t="str">
        <f t="shared" si="1"/>
        <v>2025 г.</v>
      </c>
      <c r="Q8" s="2652" t="str">
        <f>+M8</f>
        <v>2024 г.</v>
      </c>
      <c r="R8" s="2652" t="str">
        <f>+N8</f>
        <v>2025 г.</v>
      </c>
      <c r="S8" s="2652" t="str">
        <f t="shared" ref="S8:T9" si="2">+O8</f>
        <v>2025 г.</v>
      </c>
      <c r="T8" s="2652" t="str">
        <f t="shared" si="2"/>
        <v>2025 г.</v>
      </c>
      <c r="U8" s="2652" t="str">
        <f>+Q8</f>
        <v>2024 г.</v>
      </c>
      <c r="V8" s="2652" t="str">
        <f>+R8</f>
        <v>2025 г.</v>
      </c>
      <c r="W8" s="2652" t="str">
        <f t="shared" ref="W8:X9" si="3">+S8</f>
        <v>2025 г.</v>
      </c>
      <c r="X8" s="2657" t="str">
        <f t="shared" si="3"/>
        <v>2025 г.</v>
      </c>
      <c r="Y8" s="4775"/>
      <c r="Z8" s="4799" t="str">
        <f>+E8</f>
        <v>2024 г.</v>
      </c>
      <c r="AA8" s="4799" t="str">
        <f t="shared" ref="AA8:AC8" si="4">+F8</f>
        <v>2025 г.</v>
      </c>
      <c r="AB8" s="4799" t="str">
        <f t="shared" si="4"/>
        <v>2025 г.</v>
      </c>
      <c r="AC8" s="4799" t="str">
        <f t="shared" si="4"/>
        <v>2025 г.</v>
      </c>
      <c r="AD8" s="4799" t="str">
        <f>+Z8</f>
        <v>2024 г.</v>
      </c>
      <c r="AE8" s="4799" t="str">
        <f>+AA8</f>
        <v>2025 г.</v>
      </c>
      <c r="AF8" s="4799" t="str">
        <f t="shared" ref="AF8:AF9" si="5">+AB8</f>
        <v>2025 г.</v>
      </c>
      <c r="AG8" s="4799" t="str">
        <f t="shared" ref="AG8:AG9" si="6">+AC8</f>
        <v>2025 г.</v>
      </c>
      <c r="AH8" s="4799" t="str">
        <f>+AD8</f>
        <v>2024 г.</v>
      </c>
      <c r="AI8" s="4799" t="str">
        <f>+AE8</f>
        <v>2025 г.</v>
      </c>
      <c r="AJ8" s="4799" t="str">
        <f t="shared" ref="AJ8:AJ9" si="7">+AF8</f>
        <v>2025 г.</v>
      </c>
      <c r="AK8" s="4799" t="str">
        <f t="shared" ref="AK8:AK9" si="8">+AG8</f>
        <v>2025 г.</v>
      </c>
      <c r="AL8" s="4799" t="str">
        <f>+AH8</f>
        <v>2024 г.</v>
      </c>
      <c r="AM8" s="4799" t="str">
        <f>+AI8</f>
        <v>2025 г.</v>
      </c>
      <c r="AN8" s="4799" t="str">
        <f t="shared" ref="AN8:AN9" si="9">+AJ8</f>
        <v>2025 г.</v>
      </c>
      <c r="AO8" s="4799" t="str">
        <f t="shared" ref="AO8:AO9" si="10">+AK8</f>
        <v>2025 г.</v>
      </c>
      <c r="AP8" s="4799" t="str">
        <f>+AL8</f>
        <v>2024 г.</v>
      </c>
      <c r="AQ8" s="4799" t="str">
        <f>+AM8</f>
        <v>2025 г.</v>
      </c>
      <c r="AR8" s="4799" t="str">
        <f t="shared" ref="AR8:AR9" si="11">+AN8</f>
        <v>2025 г.</v>
      </c>
      <c r="AS8" s="4799" t="str">
        <f t="shared" ref="AS8:AS9" si="12">+AO8</f>
        <v>2025 г.</v>
      </c>
    </row>
    <row r="9" spans="1:45" ht="46.9" customHeight="1" thickBot="1">
      <c r="A9" s="5376"/>
      <c r="B9" s="5376"/>
      <c r="C9" s="5376"/>
      <c r="D9" s="5376"/>
      <c r="E9" s="4358" t="s">
        <v>192</v>
      </c>
      <c r="F9" s="4358" t="s">
        <v>1852</v>
      </c>
      <c r="G9" s="4358" t="s">
        <v>1789</v>
      </c>
      <c r="H9" s="4359" t="s">
        <v>1790</v>
      </c>
      <c r="I9" s="4358" t="str">
        <f>+E9</f>
        <v>Отчет</v>
      </c>
      <c r="J9" s="4358" t="str">
        <f>+F9</f>
        <v>Постъпили трансфери / начислена амортизация</v>
      </c>
      <c r="K9" s="4358" t="str">
        <f t="shared" si="0"/>
        <v>Отписани</v>
      </c>
      <c r="L9" s="4359" t="str">
        <f t="shared" si="0"/>
        <v>Прогноза</v>
      </c>
      <c r="M9" s="4358" t="str">
        <f>+I9</f>
        <v>Отчет</v>
      </c>
      <c r="N9" s="4358" t="str">
        <f>+J9</f>
        <v>Постъпили трансфери / начислена амортизация</v>
      </c>
      <c r="O9" s="4358" t="str">
        <f t="shared" si="1"/>
        <v>Отписани</v>
      </c>
      <c r="P9" s="4359" t="str">
        <f t="shared" si="1"/>
        <v>Прогноза</v>
      </c>
      <c r="Q9" s="4358" t="str">
        <f>+M9</f>
        <v>Отчет</v>
      </c>
      <c r="R9" s="4358" t="str">
        <f>+N9</f>
        <v>Постъпили трансфери / начислена амортизация</v>
      </c>
      <c r="S9" s="4358" t="str">
        <f t="shared" si="2"/>
        <v>Отписани</v>
      </c>
      <c r="T9" s="4358" t="str">
        <f t="shared" si="2"/>
        <v>Прогноза</v>
      </c>
      <c r="U9" s="4358" t="str">
        <f>+Q9</f>
        <v>Отчет</v>
      </c>
      <c r="V9" s="4358" t="str">
        <f>+R9</f>
        <v>Постъпили трансфери / начислена амортизация</v>
      </c>
      <c r="W9" s="4358" t="str">
        <f t="shared" si="3"/>
        <v>Отписани</v>
      </c>
      <c r="X9" s="4359" t="str">
        <f t="shared" si="3"/>
        <v>Прогноза</v>
      </c>
      <c r="Y9" s="4775"/>
      <c r="Z9" s="4811" t="s">
        <v>192</v>
      </c>
      <c r="AA9" s="4811" t="s">
        <v>1852</v>
      </c>
      <c r="AB9" s="4811" t="s">
        <v>1789</v>
      </c>
      <c r="AC9" s="4811" t="s">
        <v>1790</v>
      </c>
      <c r="AD9" s="4811" t="str">
        <f>+Z9</f>
        <v>Отчет</v>
      </c>
      <c r="AE9" s="4811" t="str">
        <f>+AA9</f>
        <v>Постъпили трансфери / начислена амортизация</v>
      </c>
      <c r="AF9" s="4811" t="str">
        <f t="shared" si="5"/>
        <v>Отписани</v>
      </c>
      <c r="AG9" s="4811" t="str">
        <f t="shared" si="6"/>
        <v>Прогноза</v>
      </c>
      <c r="AH9" s="4811" t="str">
        <f>+AD9</f>
        <v>Отчет</v>
      </c>
      <c r="AI9" s="4811" t="str">
        <f>+AE9</f>
        <v>Постъпили трансфери / начислена амортизация</v>
      </c>
      <c r="AJ9" s="4811" t="str">
        <f t="shared" si="7"/>
        <v>Отписани</v>
      </c>
      <c r="AK9" s="4811" t="str">
        <f t="shared" si="8"/>
        <v>Прогноза</v>
      </c>
      <c r="AL9" s="4811" t="str">
        <f>+AH9</f>
        <v>Отчет</v>
      </c>
      <c r="AM9" s="4811" t="str">
        <f>+AI9</f>
        <v>Постъпили трансфери / начислена амортизация</v>
      </c>
      <c r="AN9" s="4811" t="str">
        <f t="shared" si="9"/>
        <v>Отписани</v>
      </c>
      <c r="AO9" s="4811" t="str">
        <f t="shared" si="10"/>
        <v>Прогноза</v>
      </c>
      <c r="AP9" s="4811" t="str">
        <f>+AL9</f>
        <v>Отчет</v>
      </c>
      <c r="AQ9" s="4811" t="str">
        <f>+AM9</f>
        <v>Постъпили трансфери / начислена амортизация</v>
      </c>
      <c r="AR9" s="4811" t="str">
        <f t="shared" si="11"/>
        <v>Отписани</v>
      </c>
      <c r="AS9" s="4811" t="str">
        <f t="shared" si="12"/>
        <v>Прогноза</v>
      </c>
    </row>
    <row r="10" spans="1:45" ht="13.5" customHeight="1" thickBot="1">
      <c r="A10" s="2658" t="s">
        <v>402</v>
      </c>
      <c r="B10" s="5407" t="s">
        <v>403</v>
      </c>
      <c r="C10" s="5408"/>
      <c r="D10" s="5408"/>
      <c r="E10" s="5408"/>
      <c r="F10" s="5408"/>
      <c r="G10" s="5408"/>
      <c r="H10" s="5408"/>
      <c r="I10" s="5408"/>
      <c r="J10" s="5408"/>
      <c r="K10" s="5408"/>
      <c r="L10" s="5408"/>
      <c r="M10" s="5408"/>
      <c r="N10" s="5408"/>
      <c r="O10" s="5408"/>
      <c r="P10" s="5408"/>
      <c r="Q10" s="5408"/>
      <c r="R10" s="5408"/>
      <c r="S10" s="5408"/>
      <c r="T10" s="5408"/>
      <c r="U10" s="5408"/>
      <c r="V10" s="5408"/>
      <c r="W10" s="5408"/>
      <c r="X10" s="5409"/>
      <c r="Y10" s="4775"/>
    </row>
    <row r="11" spans="1:45" ht="13.5" thickBot="1">
      <c r="A11" s="2669" t="s">
        <v>205</v>
      </c>
      <c r="B11" s="5410" t="s">
        <v>334</v>
      </c>
      <c r="C11" s="5411"/>
      <c r="D11" s="5412"/>
      <c r="E11" s="2671">
        <f>SUM(E12:E39)-E14-E20</f>
        <v>11804</v>
      </c>
      <c r="F11" s="2671">
        <f>SUM(F12:F39)-F14-F20-F30-F36</f>
        <v>5483</v>
      </c>
      <c r="G11" s="2671">
        <f>SUM(G12:G39)-G14-G20</f>
        <v>14</v>
      </c>
      <c r="H11" s="2671">
        <f>SUM(H12:H39)-H14-H20</f>
        <v>17273</v>
      </c>
      <c r="I11" s="2671">
        <f>SUM(I12:I39)-I14-I20</f>
        <v>3712</v>
      </c>
      <c r="J11" s="2671">
        <f>SUM(J12:J39)-J14-J20-J30-J36</f>
        <v>417</v>
      </c>
      <c r="K11" s="2671">
        <f>SUM(K12:K39)-K14-K20</f>
        <v>0</v>
      </c>
      <c r="L11" s="2671">
        <f>SUM(L12:L39)-L14-L20</f>
        <v>4129</v>
      </c>
      <c r="M11" s="2671">
        <f>SUM(M12:M39)-M14-M20</f>
        <v>3224</v>
      </c>
      <c r="N11" s="2671">
        <f>SUM(N12:N39)-N14-N20-N30-N36</f>
        <v>34</v>
      </c>
      <c r="O11" s="2671">
        <f>SUM(O12:O39)-O14-O20</f>
        <v>0</v>
      </c>
      <c r="P11" s="2671">
        <f>SUM(P12:P39)-P14-P20</f>
        <v>3258</v>
      </c>
      <c r="Q11" s="2671">
        <f>SUM(Q12:Q39)-Q14-Q20</f>
        <v>0</v>
      </c>
      <c r="R11" s="2671">
        <f>SUM(R12:R39)-R14-R20-R30-R36</f>
        <v>0</v>
      </c>
      <c r="S11" s="2671">
        <f>SUM(S12:S39)-S14-S20</f>
        <v>0</v>
      </c>
      <c r="T11" s="2671">
        <f>SUM(T12:T39)-T14-T20</f>
        <v>0</v>
      </c>
      <c r="U11" s="2671">
        <f>SUM(U12:U39)-U14-U20</f>
        <v>0</v>
      </c>
      <c r="V11" s="2671">
        <f>SUM(V12:V39)-V14-V20-V30-V36</f>
        <v>0</v>
      </c>
      <c r="W11" s="2671">
        <f>SUM(W12:W39)-W14-W20</f>
        <v>0</v>
      </c>
      <c r="X11" s="2671">
        <f>SUM(X12:X39)-X14-X20</f>
        <v>0</v>
      </c>
      <c r="Y11" s="4775"/>
      <c r="Z11" s="4794">
        <f>IFERROR(E11/$D$1,0)</f>
        <v>6035.2893656401629</v>
      </c>
      <c r="AA11" s="4794">
        <f t="shared" ref="AA11:AR11" si="13">IFERROR(F11/$D$1,0)</f>
        <v>2803.4133845988658</v>
      </c>
      <c r="AB11" s="4794">
        <f t="shared" si="13"/>
        <v>7.1580863367470586</v>
      </c>
      <c r="AC11" s="4794">
        <f t="shared" si="13"/>
        <v>8831.544663902283</v>
      </c>
      <c r="AD11" s="4794">
        <f t="shared" si="13"/>
        <v>1897.9154630003632</v>
      </c>
      <c r="AE11" s="4794">
        <f t="shared" si="13"/>
        <v>213.20871445882312</v>
      </c>
      <c r="AF11" s="4794">
        <f t="shared" si="13"/>
        <v>0</v>
      </c>
      <c r="AG11" s="4794">
        <f t="shared" si="13"/>
        <v>2111.1241774591863</v>
      </c>
      <c r="AH11" s="4794">
        <f t="shared" si="13"/>
        <v>1648.4050249766085</v>
      </c>
      <c r="AI11" s="4794">
        <f t="shared" si="13"/>
        <v>17.383923960671428</v>
      </c>
      <c r="AJ11" s="4794">
        <f t="shared" si="13"/>
        <v>0</v>
      </c>
      <c r="AK11" s="4794">
        <f t="shared" si="13"/>
        <v>1665.7889489372799</v>
      </c>
      <c r="AL11" s="4794">
        <f t="shared" si="13"/>
        <v>0</v>
      </c>
      <c r="AM11" s="4794">
        <f t="shared" si="13"/>
        <v>0</v>
      </c>
      <c r="AN11" s="4794">
        <f t="shared" si="13"/>
        <v>0</v>
      </c>
      <c r="AO11" s="4794">
        <f t="shared" si="13"/>
        <v>0</v>
      </c>
      <c r="AP11" s="4794">
        <f t="shared" si="13"/>
        <v>0</v>
      </c>
      <c r="AQ11" s="4794">
        <f t="shared" si="13"/>
        <v>0</v>
      </c>
      <c r="AR11" s="4794">
        <f t="shared" si="13"/>
        <v>0</v>
      </c>
      <c r="AS11" s="4794">
        <f>IFERROR(X11/$D$1,0)</f>
        <v>0</v>
      </c>
    </row>
    <row r="12" spans="1:45">
      <c r="A12" s="2677">
        <v>1</v>
      </c>
      <c r="B12" s="2678">
        <v>20101</v>
      </c>
      <c r="C12" s="2679">
        <v>0</v>
      </c>
      <c r="D12" s="2680" t="s">
        <v>556</v>
      </c>
      <c r="E12" s="2776">
        <v>287</v>
      </c>
      <c r="F12" s="2776"/>
      <c r="G12" s="2776"/>
      <c r="H12" s="4737">
        <f>+E12+F12-G12</f>
        <v>287</v>
      </c>
      <c r="I12" s="2776">
        <v>181</v>
      </c>
      <c r="J12" s="2776"/>
      <c r="K12" s="2776"/>
      <c r="L12" s="4737">
        <f>+I12+J12-K12</f>
        <v>181</v>
      </c>
      <c r="M12" s="2776">
        <v>147</v>
      </c>
      <c r="N12" s="2776"/>
      <c r="O12" s="2776"/>
      <c r="P12" s="4737">
        <f>+M12+N12-O12</f>
        <v>147</v>
      </c>
      <c r="Q12" s="2776"/>
      <c r="R12" s="2776"/>
      <c r="S12" s="2776"/>
      <c r="T12" s="4737">
        <f>+Q12+R12-S12</f>
        <v>0</v>
      </c>
      <c r="U12" s="2776"/>
      <c r="V12" s="2776"/>
      <c r="W12" s="2776"/>
      <c r="X12" s="4737">
        <f>+U12+V12-W12</f>
        <v>0</v>
      </c>
      <c r="Y12" s="4775"/>
      <c r="Z12" s="4794">
        <f t="shared" ref="Z12:Z75" si="14">IFERROR(E12/$D$1,0)</f>
        <v>146.74076990331471</v>
      </c>
      <c r="AA12" s="4794">
        <f t="shared" ref="AA12:AA65" si="15">IFERROR(F12/$D$1,0)</f>
        <v>0</v>
      </c>
      <c r="AB12" s="4794">
        <f t="shared" ref="AB12:AB65" si="16">IFERROR(G12/$D$1,0)</f>
        <v>0</v>
      </c>
      <c r="AC12" s="4794">
        <f t="shared" ref="AC12:AC75" si="17">IFERROR(H12/$D$1,0)</f>
        <v>146.74076990331471</v>
      </c>
      <c r="AD12" s="4794">
        <f t="shared" ref="AD12:AD75" si="18">IFERROR(I12/$D$1,0)</f>
        <v>92.543830496515554</v>
      </c>
      <c r="AE12" s="4794">
        <f t="shared" ref="AE12:AE65" si="19">IFERROR(J12/$D$1,0)</f>
        <v>0</v>
      </c>
      <c r="AF12" s="4794">
        <f t="shared" ref="AF12:AF65" si="20">IFERROR(K12/$D$1,0)</f>
        <v>0</v>
      </c>
      <c r="AG12" s="4794">
        <f t="shared" ref="AG12:AG75" si="21">IFERROR(L12/$D$1,0)</f>
        <v>92.543830496515554</v>
      </c>
      <c r="AH12" s="4794">
        <f t="shared" ref="AH12:AH75" si="22">IFERROR(M12/$D$1,0)</f>
        <v>75.159906535844115</v>
      </c>
      <c r="AI12" s="4794">
        <f t="shared" ref="AI12:AI65" si="23">IFERROR(N12/$D$1,0)</f>
        <v>0</v>
      </c>
      <c r="AJ12" s="4794">
        <f t="shared" ref="AJ12:AJ65" si="24">IFERROR(O12/$D$1,0)</f>
        <v>0</v>
      </c>
      <c r="AK12" s="4794">
        <f t="shared" ref="AK12:AK75" si="25">IFERROR(P12/$D$1,0)</f>
        <v>75.159906535844115</v>
      </c>
      <c r="AL12" s="4794">
        <f t="shared" ref="AL12:AL75" si="26">IFERROR(Q12/$D$1,0)</f>
        <v>0</v>
      </c>
      <c r="AM12" s="4794">
        <f t="shared" ref="AM12:AM65" si="27">IFERROR(R12/$D$1,0)</f>
        <v>0</v>
      </c>
      <c r="AN12" s="4794">
        <f t="shared" ref="AN12:AN65" si="28">IFERROR(S12/$D$1,0)</f>
        <v>0</v>
      </c>
      <c r="AO12" s="4794">
        <f t="shared" ref="AO12:AO75" si="29">IFERROR(T12/$D$1,0)</f>
        <v>0</v>
      </c>
      <c r="AP12" s="4794">
        <f t="shared" ref="AP12:AP75" si="30">IFERROR(U12/$D$1,0)</f>
        <v>0</v>
      </c>
      <c r="AQ12" s="4794">
        <f t="shared" ref="AQ12:AQ65" si="31">IFERROR(V12/$D$1,0)</f>
        <v>0</v>
      </c>
      <c r="AR12" s="4794">
        <f t="shared" ref="AR12:AR65" si="32">IFERROR(W12/$D$1,0)</f>
        <v>0</v>
      </c>
      <c r="AS12" s="4794">
        <f t="shared" ref="AS12:AS75" si="33">IFERROR(X12/$D$1,0)</f>
        <v>0</v>
      </c>
    </row>
    <row r="13" spans="1:45" ht="24">
      <c r="A13" s="2683">
        <v>2</v>
      </c>
      <c r="B13" s="2684">
        <v>20201</v>
      </c>
      <c r="C13" s="2685">
        <v>0.03</v>
      </c>
      <c r="D13" s="2686" t="s">
        <v>425</v>
      </c>
      <c r="E13" s="414">
        <v>1189</v>
      </c>
      <c r="F13" s="414"/>
      <c r="G13" s="414"/>
      <c r="H13" s="4738">
        <f>+E13+F13-G13</f>
        <v>1189</v>
      </c>
      <c r="I13" s="414">
        <v>614</v>
      </c>
      <c r="J13" s="414"/>
      <c r="K13" s="414"/>
      <c r="L13" s="4738">
        <f>+I13+J13-K13</f>
        <v>614</v>
      </c>
      <c r="M13" s="414">
        <v>498</v>
      </c>
      <c r="N13" s="414"/>
      <c r="O13" s="414"/>
      <c r="P13" s="4738">
        <f>+M13+N13-O13</f>
        <v>498</v>
      </c>
      <c r="Q13" s="414"/>
      <c r="R13" s="414"/>
      <c r="S13" s="414"/>
      <c r="T13" s="4738">
        <f>+Q13+R13-S13</f>
        <v>0</v>
      </c>
      <c r="U13" s="414"/>
      <c r="V13" s="414"/>
      <c r="W13" s="414"/>
      <c r="X13" s="4738">
        <f>+U13+V13-W13</f>
        <v>0</v>
      </c>
      <c r="Y13" s="4775"/>
      <c r="Z13" s="4794">
        <f t="shared" si="14"/>
        <v>607.92604674230381</v>
      </c>
      <c r="AA13" s="4794">
        <f t="shared" si="15"/>
        <v>0</v>
      </c>
      <c r="AB13" s="4794">
        <f t="shared" si="16"/>
        <v>0</v>
      </c>
      <c r="AC13" s="4794">
        <f t="shared" si="17"/>
        <v>607.92604674230381</v>
      </c>
      <c r="AD13" s="4794">
        <f t="shared" si="18"/>
        <v>313.93321505447818</v>
      </c>
      <c r="AE13" s="4794">
        <f t="shared" si="19"/>
        <v>0</v>
      </c>
      <c r="AF13" s="4794">
        <f t="shared" si="20"/>
        <v>0</v>
      </c>
      <c r="AG13" s="4794">
        <f t="shared" si="21"/>
        <v>313.93321505447818</v>
      </c>
      <c r="AH13" s="4794">
        <f t="shared" si="22"/>
        <v>254.62335683571681</v>
      </c>
      <c r="AI13" s="4794">
        <f t="shared" si="23"/>
        <v>0</v>
      </c>
      <c r="AJ13" s="4794">
        <f t="shared" si="24"/>
        <v>0</v>
      </c>
      <c r="AK13" s="4794">
        <f t="shared" si="25"/>
        <v>254.62335683571681</v>
      </c>
      <c r="AL13" s="4794">
        <f t="shared" si="26"/>
        <v>0</v>
      </c>
      <c r="AM13" s="4794">
        <f t="shared" si="27"/>
        <v>0</v>
      </c>
      <c r="AN13" s="4794">
        <f t="shared" si="28"/>
        <v>0</v>
      </c>
      <c r="AO13" s="4794">
        <f t="shared" si="29"/>
        <v>0</v>
      </c>
      <c r="AP13" s="4794">
        <f t="shared" si="30"/>
        <v>0</v>
      </c>
      <c r="AQ13" s="4794">
        <f t="shared" si="31"/>
        <v>0</v>
      </c>
      <c r="AR13" s="4794">
        <f t="shared" si="32"/>
        <v>0</v>
      </c>
      <c r="AS13" s="4794">
        <f t="shared" si="33"/>
        <v>0</v>
      </c>
    </row>
    <row r="14" spans="1:45" ht="24">
      <c r="A14" s="2683">
        <v>3</v>
      </c>
      <c r="B14" s="2684">
        <v>203</v>
      </c>
      <c r="C14" s="2685"/>
      <c r="D14" s="2688" t="s">
        <v>405</v>
      </c>
      <c r="E14" s="2781">
        <f>SUM(E15:E18)</f>
        <v>3519</v>
      </c>
      <c r="F14" s="2781">
        <f t="shared" ref="F14:G14" si="34">SUM(F15:F18)</f>
        <v>1212</v>
      </c>
      <c r="G14" s="2781">
        <f t="shared" si="34"/>
        <v>14</v>
      </c>
      <c r="H14" s="4360">
        <f>SUM(H15:H18)</f>
        <v>4717</v>
      </c>
      <c r="I14" s="2781">
        <f>SUM(I15:I18)</f>
        <v>1599</v>
      </c>
      <c r="J14" s="2781">
        <f t="shared" ref="J14:K14" si="35">SUM(J15:J18)</f>
        <v>378</v>
      </c>
      <c r="K14" s="2781">
        <f t="shared" si="35"/>
        <v>0</v>
      </c>
      <c r="L14" s="4360">
        <f>SUM(L15:L18)</f>
        <v>1977</v>
      </c>
      <c r="M14" s="2781">
        <f>SUM(M15:M18)</f>
        <v>779</v>
      </c>
      <c r="N14" s="2781">
        <f t="shared" ref="N14:O14" si="36">SUM(N15:N18)</f>
        <v>14</v>
      </c>
      <c r="O14" s="2781">
        <f t="shared" si="36"/>
        <v>0</v>
      </c>
      <c r="P14" s="4360">
        <f>SUM(P15:P18)</f>
        <v>793</v>
      </c>
      <c r="Q14" s="2781">
        <f>SUM(Q15:Q18)</f>
        <v>0</v>
      </c>
      <c r="R14" s="2781">
        <f t="shared" ref="R14:S14" si="37">SUM(R15:R18)</f>
        <v>0</v>
      </c>
      <c r="S14" s="2781">
        <f t="shared" si="37"/>
        <v>0</v>
      </c>
      <c r="T14" s="4360">
        <f>SUM(T15:T18)</f>
        <v>0</v>
      </c>
      <c r="U14" s="2781">
        <f>SUM(U15:U18)</f>
        <v>0</v>
      </c>
      <c r="V14" s="2781">
        <f t="shared" ref="V14:W14" si="38">SUM(V15:V18)</f>
        <v>0</v>
      </c>
      <c r="W14" s="2781">
        <f t="shared" si="38"/>
        <v>0</v>
      </c>
      <c r="X14" s="4360">
        <f>SUM(X15:X18)</f>
        <v>0</v>
      </c>
      <c r="Y14" s="4775"/>
      <c r="Z14" s="4794">
        <f t="shared" si="14"/>
        <v>1799.2361299294928</v>
      </c>
      <c r="AA14" s="4794">
        <f t="shared" si="15"/>
        <v>619.68576000981682</v>
      </c>
      <c r="AB14" s="4794">
        <f t="shared" si="16"/>
        <v>7.1580863367470586</v>
      </c>
      <c r="AC14" s="4794">
        <f t="shared" si="17"/>
        <v>2411.7638036025628</v>
      </c>
      <c r="AD14" s="4794">
        <f t="shared" si="18"/>
        <v>817.55571803275336</v>
      </c>
      <c r="AE14" s="4794">
        <f t="shared" si="19"/>
        <v>193.2683310921706</v>
      </c>
      <c r="AF14" s="4794">
        <f t="shared" si="20"/>
        <v>0</v>
      </c>
      <c r="AG14" s="4794">
        <f t="shared" si="21"/>
        <v>1010.8240491249239</v>
      </c>
      <c r="AH14" s="4794">
        <f t="shared" si="22"/>
        <v>398.2963754518542</v>
      </c>
      <c r="AI14" s="4794">
        <f t="shared" si="23"/>
        <v>7.1580863367470586</v>
      </c>
      <c r="AJ14" s="4794">
        <f t="shared" si="24"/>
        <v>0</v>
      </c>
      <c r="AK14" s="4794">
        <f t="shared" si="25"/>
        <v>405.45446178860129</v>
      </c>
      <c r="AL14" s="4794">
        <f t="shared" si="26"/>
        <v>0</v>
      </c>
      <c r="AM14" s="4794">
        <f t="shared" si="27"/>
        <v>0</v>
      </c>
      <c r="AN14" s="4794">
        <f t="shared" si="28"/>
        <v>0</v>
      </c>
      <c r="AO14" s="4794">
        <f t="shared" si="29"/>
        <v>0</v>
      </c>
      <c r="AP14" s="4794">
        <f t="shared" si="30"/>
        <v>0</v>
      </c>
      <c r="AQ14" s="4794">
        <f t="shared" si="31"/>
        <v>0</v>
      </c>
      <c r="AR14" s="4794">
        <f t="shared" si="32"/>
        <v>0</v>
      </c>
      <c r="AS14" s="4794">
        <f t="shared" si="33"/>
        <v>0</v>
      </c>
    </row>
    <row r="15" spans="1:45">
      <c r="A15" s="2683"/>
      <c r="B15" s="2684">
        <v>20301</v>
      </c>
      <c r="C15" s="2690">
        <v>0.1</v>
      </c>
      <c r="D15" s="2691" t="s">
        <v>427</v>
      </c>
      <c r="E15" s="414">
        <v>575</v>
      </c>
      <c r="F15" s="414">
        <v>111</v>
      </c>
      <c r="G15" s="414"/>
      <c r="H15" s="4738">
        <f t="shared" ref="H15:H19" si="39">+E15+F15-G15</f>
        <v>686</v>
      </c>
      <c r="I15" s="414">
        <v>112</v>
      </c>
      <c r="J15" s="414">
        <v>20</v>
      </c>
      <c r="K15" s="414"/>
      <c r="L15" s="4738">
        <f t="shared" ref="L15:L19" si="40">+I15+J15-K15</f>
        <v>132</v>
      </c>
      <c r="M15" s="414">
        <v>428</v>
      </c>
      <c r="N15" s="414">
        <v>9</v>
      </c>
      <c r="O15" s="414"/>
      <c r="P15" s="4738">
        <f t="shared" ref="P15:P19" si="41">+M15+N15-O15</f>
        <v>437</v>
      </c>
      <c r="Q15" s="414"/>
      <c r="R15" s="414"/>
      <c r="S15" s="414"/>
      <c r="T15" s="4738">
        <f t="shared" ref="T15:T19" si="42">+Q15+R15-S15</f>
        <v>0</v>
      </c>
      <c r="U15" s="414"/>
      <c r="V15" s="414"/>
      <c r="W15" s="414"/>
      <c r="X15" s="4738">
        <f t="shared" ref="X15:X19" si="43">+U15+V15-W15</f>
        <v>0</v>
      </c>
      <c r="Y15" s="4775"/>
      <c r="Z15" s="4794">
        <f t="shared" si="14"/>
        <v>293.99283168782563</v>
      </c>
      <c r="AA15" s="4794">
        <f t="shared" si="15"/>
        <v>56.753398812780254</v>
      </c>
      <c r="AB15" s="4794">
        <f t="shared" si="16"/>
        <v>0</v>
      </c>
      <c r="AC15" s="4794">
        <f t="shared" si="17"/>
        <v>350.74623050060586</v>
      </c>
      <c r="AD15" s="4794">
        <f t="shared" si="18"/>
        <v>57.264690693976469</v>
      </c>
      <c r="AE15" s="4794">
        <f t="shared" si="19"/>
        <v>10.22583762392437</v>
      </c>
      <c r="AF15" s="4794">
        <f t="shared" si="20"/>
        <v>0</v>
      </c>
      <c r="AG15" s="4794">
        <f t="shared" si="21"/>
        <v>67.490528317900839</v>
      </c>
      <c r="AH15" s="4794">
        <f t="shared" si="22"/>
        <v>218.83292515198153</v>
      </c>
      <c r="AI15" s="4794">
        <f t="shared" si="23"/>
        <v>4.6016269307659661</v>
      </c>
      <c r="AJ15" s="4794">
        <f t="shared" si="24"/>
        <v>0</v>
      </c>
      <c r="AK15" s="4794">
        <f t="shared" si="25"/>
        <v>223.43455208274747</v>
      </c>
      <c r="AL15" s="4794">
        <f t="shared" si="26"/>
        <v>0</v>
      </c>
      <c r="AM15" s="4794">
        <f t="shared" si="27"/>
        <v>0</v>
      </c>
      <c r="AN15" s="4794">
        <f t="shared" si="28"/>
        <v>0</v>
      </c>
      <c r="AO15" s="4794">
        <f t="shared" si="29"/>
        <v>0</v>
      </c>
      <c r="AP15" s="4794">
        <f t="shared" si="30"/>
        <v>0</v>
      </c>
      <c r="AQ15" s="4794">
        <f t="shared" si="31"/>
        <v>0</v>
      </c>
      <c r="AR15" s="4794">
        <f t="shared" si="32"/>
        <v>0</v>
      </c>
      <c r="AS15" s="4794">
        <f t="shared" si="33"/>
        <v>0</v>
      </c>
    </row>
    <row r="16" spans="1:45">
      <c r="A16" s="2683"/>
      <c r="B16" s="2684">
        <v>20302</v>
      </c>
      <c r="C16" s="2690">
        <v>0.1</v>
      </c>
      <c r="D16" s="2691" t="s">
        <v>428</v>
      </c>
      <c r="E16" s="414">
        <v>130</v>
      </c>
      <c r="F16" s="414">
        <v>21</v>
      </c>
      <c r="G16" s="414"/>
      <c r="H16" s="4738">
        <f t="shared" si="39"/>
        <v>151</v>
      </c>
      <c r="I16" s="414">
        <v>28</v>
      </c>
      <c r="J16" s="414"/>
      <c r="K16" s="414"/>
      <c r="L16" s="4738">
        <f t="shared" si="40"/>
        <v>28</v>
      </c>
      <c r="M16" s="414">
        <v>30</v>
      </c>
      <c r="N16" s="414"/>
      <c r="O16" s="414"/>
      <c r="P16" s="4738">
        <f t="shared" si="41"/>
        <v>30</v>
      </c>
      <c r="Q16" s="414"/>
      <c r="R16" s="414"/>
      <c r="S16" s="414"/>
      <c r="T16" s="4738">
        <f t="shared" si="42"/>
        <v>0</v>
      </c>
      <c r="U16" s="414"/>
      <c r="V16" s="414"/>
      <c r="W16" s="414"/>
      <c r="X16" s="4738">
        <f t="shared" si="43"/>
        <v>0</v>
      </c>
      <c r="Y16" s="4775"/>
      <c r="Z16" s="4794">
        <f t="shared" si="14"/>
        <v>66.46794455550841</v>
      </c>
      <c r="AA16" s="4794">
        <f t="shared" si="15"/>
        <v>10.737129505120588</v>
      </c>
      <c r="AB16" s="4794">
        <f t="shared" si="16"/>
        <v>0</v>
      </c>
      <c r="AC16" s="4794">
        <f t="shared" si="17"/>
        <v>77.205074060628988</v>
      </c>
      <c r="AD16" s="4794">
        <f t="shared" si="18"/>
        <v>14.316172673494117</v>
      </c>
      <c r="AE16" s="4794">
        <f t="shared" si="19"/>
        <v>0</v>
      </c>
      <c r="AF16" s="4794">
        <f t="shared" si="20"/>
        <v>0</v>
      </c>
      <c r="AG16" s="4794">
        <f t="shared" si="21"/>
        <v>14.316172673494117</v>
      </c>
      <c r="AH16" s="4794">
        <f t="shared" si="22"/>
        <v>15.338756435886555</v>
      </c>
      <c r="AI16" s="4794">
        <f t="shared" si="23"/>
        <v>0</v>
      </c>
      <c r="AJ16" s="4794">
        <f t="shared" si="24"/>
        <v>0</v>
      </c>
      <c r="AK16" s="4794">
        <f t="shared" si="25"/>
        <v>15.338756435886555</v>
      </c>
      <c r="AL16" s="4794">
        <f t="shared" si="26"/>
        <v>0</v>
      </c>
      <c r="AM16" s="4794">
        <f t="shared" si="27"/>
        <v>0</v>
      </c>
      <c r="AN16" s="4794">
        <f t="shared" si="28"/>
        <v>0</v>
      </c>
      <c r="AO16" s="4794">
        <f t="shared" si="29"/>
        <v>0</v>
      </c>
      <c r="AP16" s="4794">
        <f t="shared" si="30"/>
        <v>0</v>
      </c>
      <c r="AQ16" s="4794">
        <f t="shared" si="31"/>
        <v>0</v>
      </c>
      <c r="AR16" s="4794">
        <f t="shared" si="32"/>
        <v>0</v>
      </c>
      <c r="AS16" s="4794">
        <f t="shared" si="33"/>
        <v>0</v>
      </c>
    </row>
    <row r="17" spans="1:46" ht="24">
      <c r="A17" s="2683"/>
      <c r="B17" s="2684">
        <v>20303</v>
      </c>
      <c r="C17" s="2685">
        <v>0.1</v>
      </c>
      <c r="D17" s="2691" t="s">
        <v>406</v>
      </c>
      <c r="E17" s="414">
        <v>2591</v>
      </c>
      <c r="F17" s="414">
        <v>972</v>
      </c>
      <c r="G17" s="414"/>
      <c r="H17" s="4738">
        <f t="shared" si="39"/>
        <v>3563</v>
      </c>
      <c r="I17" s="414">
        <v>1344</v>
      </c>
      <c r="J17" s="414">
        <v>358</v>
      </c>
      <c r="K17" s="414"/>
      <c r="L17" s="4738">
        <f t="shared" si="40"/>
        <v>1702</v>
      </c>
      <c r="M17" s="414">
        <v>201</v>
      </c>
      <c r="N17" s="414">
        <v>3</v>
      </c>
      <c r="O17" s="414"/>
      <c r="P17" s="4738">
        <f t="shared" si="41"/>
        <v>204</v>
      </c>
      <c r="Q17" s="414"/>
      <c r="R17" s="414"/>
      <c r="S17" s="414"/>
      <c r="T17" s="4738">
        <f t="shared" si="42"/>
        <v>0</v>
      </c>
      <c r="U17" s="414"/>
      <c r="V17" s="414"/>
      <c r="W17" s="414"/>
      <c r="X17" s="4738">
        <f t="shared" si="43"/>
        <v>0</v>
      </c>
      <c r="Y17" s="4775"/>
      <c r="Z17" s="4794">
        <f t="shared" si="14"/>
        <v>1324.7572641794022</v>
      </c>
      <c r="AA17" s="4794">
        <f t="shared" si="15"/>
        <v>496.9757085227244</v>
      </c>
      <c r="AB17" s="4794">
        <f t="shared" si="16"/>
        <v>0</v>
      </c>
      <c r="AC17" s="4794">
        <f t="shared" si="17"/>
        <v>1821.7329727021265</v>
      </c>
      <c r="AD17" s="4794">
        <f t="shared" si="18"/>
        <v>687.17628832771766</v>
      </c>
      <c r="AE17" s="4794">
        <f t="shared" si="19"/>
        <v>183.04249346824622</v>
      </c>
      <c r="AF17" s="4794">
        <f t="shared" si="20"/>
        <v>0</v>
      </c>
      <c r="AG17" s="4794">
        <f t="shared" si="21"/>
        <v>870.21878179596388</v>
      </c>
      <c r="AH17" s="4794">
        <f t="shared" si="22"/>
        <v>102.76966812043992</v>
      </c>
      <c r="AI17" s="4794">
        <f t="shared" si="23"/>
        <v>1.5338756435886556</v>
      </c>
      <c r="AJ17" s="4794">
        <f t="shared" si="24"/>
        <v>0</v>
      </c>
      <c r="AK17" s="4794">
        <f t="shared" si="25"/>
        <v>104.30354376402857</v>
      </c>
      <c r="AL17" s="4794">
        <f t="shared" si="26"/>
        <v>0</v>
      </c>
      <c r="AM17" s="4794">
        <f t="shared" si="27"/>
        <v>0</v>
      </c>
      <c r="AN17" s="4794">
        <f t="shared" si="28"/>
        <v>0</v>
      </c>
      <c r="AO17" s="4794">
        <f t="shared" si="29"/>
        <v>0</v>
      </c>
      <c r="AP17" s="4794">
        <f t="shared" si="30"/>
        <v>0</v>
      </c>
      <c r="AQ17" s="4794">
        <f t="shared" si="31"/>
        <v>0</v>
      </c>
      <c r="AR17" s="4794">
        <f t="shared" si="32"/>
        <v>0</v>
      </c>
      <c r="AS17" s="4794">
        <f t="shared" si="33"/>
        <v>0</v>
      </c>
    </row>
    <row r="18" spans="1:46" ht="24">
      <c r="A18" s="2683"/>
      <c r="B18" s="2684">
        <v>20306</v>
      </c>
      <c r="C18" s="2685">
        <v>0.1</v>
      </c>
      <c r="D18" s="2691" t="s">
        <v>409</v>
      </c>
      <c r="E18" s="414">
        <v>223</v>
      </c>
      <c r="F18" s="414">
        <v>108</v>
      </c>
      <c r="G18" s="414">
        <v>14</v>
      </c>
      <c r="H18" s="4738">
        <f t="shared" si="39"/>
        <v>317</v>
      </c>
      <c r="I18" s="414">
        <v>115</v>
      </c>
      <c r="J18" s="414"/>
      <c r="K18" s="414"/>
      <c r="L18" s="4738">
        <f t="shared" si="40"/>
        <v>115</v>
      </c>
      <c r="M18" s="414">
        <v>120</v>
      </c>
      <c r="N18" s="414">
        <v>2</v>
      </c>
      <c r="O18" s="414"/>
      <c r="P18" s="4738">
        <f t="shared" si="41"/>
        <v>122</v>
      </c>
      <c r="Q18" s="414"/>
      <c r="R18" s="414"/>
      <c r="S18" s="414"/>
      <c r="T18" s="4738">
        <f t="shared" si="42"/>
        <v>0</v>
      </c>
      <c r="U18" s="414"/>
      <c r="V18" s="414"/>
      <c r="W18" s="414"/>
      <c r="X18" s="4738">
        <f t="shared" si="43"/>
        <v>0</v>
      </c>
      <c r="Y18" s="4775"/>
      <c r="Z18" s="4794">
        <f t="shared" si="14"/>
        <v>114.01808950675672</v>
      </c>
      <c r="AA18" s="4794">
        <f t="shared" si="15"/>
        <v>55.219523169191596</v>
      </c>
      <c r="AB18" s="4794">
        <f t="shared" si="16"/>
        <v>7.1580863367470586</v>
      </c>
      <c r="AC18" s="4794">
        <f t="shared" si="17"/>
        <v>162.07952633920127</v>
      </c>
      <c r="AD18" s="4794">
        <f t="shared" si="18"/>
        <v>58.798566337565127</v>
      </c>
      <c r="AE18" s="4794">
        <f t="shared" si="19"/>
        <v>0</v>
      </c>
      <c r="AF18" s="4794">
        <f t="shared" si="20"/>
        <v>0</v>
      </c>
      <c r="AG18" s="4794">
        <f t="shared" si="21"/>
        <v>58.798566337565127</v>
      </c>
      <c r="AH18" s="4794">
        <f t="shared" si="22"/>
        <v>61.355025743546221</v>
      </c>
      <c r="AI18" s="4794">
        <f t="shared" si="23"/>
        <v>1.022583762392437</v>
      </c>
      <c r="AJ18" s="4794">
        <f t="shared" si="24"/>
        <v>0</v>
      </c>
      <c r="AK18" s="4794">
        <f t="shared" si="25"/>
        <v>62.377609505938658</v>
      </c>
      <c r="AL18" s="4794">
        <f t="shared" si="26"/>
        <v>0</v>
      </c>
      <c r="AM18" s="4794">
        <f t="shared" si="27"/>
        <v>0</v>
      </c>
      <c r="AN18" s="4794">
        <f t="shared" si="28"/>
        <v>0</v>
      </c>
      <c r="AO18" s="4794">
        <f t="shared" si="29"/>
        <v>0</v>
      </c>
      <c r="AP18" s="4794">
        <f t="shared" si="30"/>
        <v>0</v>
      </c>
      <c r="AQ18" s="4794">
        <f t="shared" si="31"/>
        <v>0</v>
      </c>
      <c r="AR18" s="4794">
        <f t="shared" si="32"/>
        <v>0</v>
      </c>
      <c r="AS18" s="4794">
        <f t="shared" si="33"/>
        <v>0</v>
      </c>
    </row>
    <row r="19" spans="1:46">
      <c r="A19" s="2683">
        <v>4</v>
      </c>
      <c r="B19" s="2684">
        <v>20403</v>
      </c>
      <c r="C19" s="2690">
        <v>0.04</v>
      </c>
      <c r="D19" s="2693" t="s">
        <v>434</v>
      </c>
      <c r="E19" s="414">
        <v>104</v>
      </c>
      <c r="F19" s="414"/>
      <c r="G19" s="414"/>
      <c r="H19" s="4738">
        <f t="shared" si="39"/>
        <v>104</v>
      </c>
      <c r="I19" s="414">
        <v>4</v>
      </c>
      <c r="J19" s="414"/>
      <c r="K19" s="414"/>
      <c r="L19" s="4738">
        <f t="shared" si="40"/>
        <v>4</v>
      </c>
      <c r="M19" s="414">
        <v>8</v>
      </c>
      <c r="N19" s="414"/>
      <c r="O19" s="414"/>
      <c r="P19" s="4738">
        <f t="shared" si="41"/>
        <v>8</v>
      </c>
      <c r="Q19" s="414"/>
      <c r="R19" s="414"/>
      <c r="S19" s="414"/>
      <c r="T19" s="4738">
        <f t="shared" si="42"/>
        <v>0</v>
      </c>
      <c r="U19" s="414"/>
      <c r="V19" s="414"/>
      <c r="W19" s="414"/>
      <c r="X19" s="4738">
        <f t="shared" si="43"/>
        <v>0</v>
      </c>
      <c r="Y19" s="4775"/>
      <c r="Z19" s="4794">
        <f t="shared" si="14"/>
        <v>53.174355644406724</v>
      </c>
      <c r="AA19" s="4794">
        <f t="shared" si="15"/>
        <v>0</v>
      </c>
      <c r="AB19" s="4794">
        <f t="shared" si="16"/>
        <v>0</v>
      </c>
      <c r="AC19" s="4794">
        <f t="shared" si="17"/>
        <v>53.174355644406724</v>
      </c>
      <c r="AD19" s="4794">
        <f t="shared" si="18"/>
        <v>2.045167524784874</v>
      </c>
      <c r="AE19" s="4794">
        <f t="shared" si="19"/>
        <v>0</v>
      </c>
      <c r="AF19" s="4794">
        <f t="shared" si="20"/>
        <v>0</v>
      </c>
      <c r="AG19" s="4794">
        <f t="shared" si="21"/>
        <v>2.045167524784874</v>
      </c>
      <c r="AH19" s="4794">
        <f t="shared" si="22"/>
        <v>4.0903350495697479</v>
      </c>
      <c r="AI19" s="4794">
        <f t="shared" si="23"/>
        <v>0</v>
      </c>
      <c r="AJ19" s="4794">
        <f t="shared" si="24"/>
        <v>0</v>
      </c>
      <c r="AK19" s="4794">
        <f t="shared" si="25"/>
        <v>4.0903350495697479</v>
      </c>
      <c r="AL19" s="4794">
        <f t="shared" si="26"/>
        <v>0</v>
      </c>
      <c r="AM19" s="4794">
        <f t="shared" si="27"/>
        <v>0</v>
      </c>
      <c r="AN19" s="4794">
        <f t="shared" si="28"/>
        <v>0</v>
      </c>
      <c r="AO19" s="4794">
        <f t="shared" si="29"/>
        <v>0</v>
      </c>
      <c r="AP19" s="4794">
        <f t="shared" si="30"/>
        <v>0</v>
      </c>
      <c r="AQ19" s="4794">
        <f t="shared" si="31"/>
        <v>0</v>
      </c>
      <c r="AR19" s="4794">
        <f t="shared" si="32"/>
        <v>0</v>
      </c>
      <c r="AS19" s="4794">
        <f t="shared" si="33"/>
        <v>0</v>
      </c>
    </row>
    <row r="20" spans="1:46">
      <c r="A20" s="2683">
        <v>5</v>
      </c>
      <c r="B20" s="2684">
        <v>205</v>
      </c>
      <c r="C20" s="2684"/>
      <c r="D20" s="2688" t="s">
        <v>212</v>
      </c>
      <c r="E20" s="2785">
        <f>SUM(E21:E24)</f>
        <v>2794</v>
      </c>
      <c r="F20" s="2785">
        <f t="shared" ref="F20:H20" si="44">SUM(F21:F24)</f>
        <v>1939</v>
      </c>
      <c r="G20" s="2785">
        <f t="shared" si="44"/>
        <v>0</v>
      </c>
      <c r="H20" s="4361">
        <f t="shared" si="44"/>
        <v>4733</v>
      </c>
      <c r="I20" s="2785">
        <f>SUM(I21:I24)</f>
        <v>808</v>
      </c>
      <c r="J20" s="2785">
        <f t="shared" ref="J20:L20" si="45">SUM(J21:J24)</f>
        <v>0</v>
      </c>
      <c r="K20" s="2785">
        <f t="shared" si="45"/>
        <v>0</v>
      </c>
      <c r="L20" s="4361">
        <f t="shared" si="45"/>
        <v>808</v>
      </c>
      <c r="M20" s="2785">
        <f>SUM(M21:M24)</f>
        <v>1355</v>
      </c>
      <c r="N20" s="2785">
        <f t="shared" ref="N20:P20" si="46">SUM(N21:N24)</f>
        <v>0</v>
      </c>
      <c r="O20" s="2785">
        <f t="shared" si="46"/>
        <v>0</v>
      </c>
      <c r="P20" s="4361">
        <f t="shared" si="46"/>
        <v>1355</v>
      </c>
      <c r="Q20" s="2785">
        <f>SUM(Q21:Q24)</f>
        <v>0</v>
      </c>
      <c r="R20" s="2785">
        <f t="shared" ref="R20:T20" si="47">SUM(R21:R24)</f>
        <v>0</v>
      </c>
      <c r="S20" s="2785">
        <f t="shared" si="47"/>
        <v>0</v>
      </c>
      <c r="T20" s="4361">
        <f t="shared" si="47"/>
        <v>0</v>
      </c>
      <c r="U20" s="2785">
        <f>SUM(U21:U24)</f>
        <v>0</v>
      </c>
      <c r="V20" s="2785">
        <f t="shared" ref="V20:X20" si="48">SUM(V21:V24)</f>
        <v>0</v>
      </c>
      <c r="W20" s="2785">
        <f t="shared" si="48"/>
        <v>0</v>
      </c>
      <c r="X20" s="4361">
        <f t="shared" si="48"/>
        <v>0</v>
      </c>
      <c r="Y20" s="4775"/>
      <c r="Z20" s="4794">
        <f t="shared" si="14"/>
        <v>1428.5495160622345</v>
      </c>
      <c r="AA20" s="4794">
        <f t="shared" si="15"/>
        <v>991.39495763946763</v>
      </c>
      <c r="AB20" s="4794">
        <f t="shared" si="16"/>
        <v>0</v>
      </c>
      <c r="AC20" s="4794">
        <f t="shared" si="17"/>
        <v>2419.944473701702</v>
      </c>
      <c r="AD20" s="4794">
        <f t="shared" si="18"/>
        <v>413.12384000654453</v>
      </c>
      <c r="AE20" s="4794">
        <f t="shared" si="19"/>
        <v>0</v>
      </c>
      <c r="AF20" s="4794">
        <f t="shared" si="20"/>
        <v>0</v>
      </c>
      <c r="AG20" s="4794">
        <f t="shared" si="21"/>
        <v>413.12384000654453</v>
      </c>
      <c r="AH20" s="4794">
        <f t="shared" si="22"/>
        <v>692.80049902087603</v>
      </c>
      <c r="AI20" s="4794">
        <f t="shared" si="23"/>
        <v>0</v>
      </c>
      <c r="AJ20" s="4794">
        <f t="shared" si="24"/>
        <v>0</v>
      </c>
      <c r="AK20" s="4794">
        <f t="shared" si="25"/>
        <v>692.80049902087603</v>
      </c>
      <c r="AL20" s="4794">
        <f t="shared" si="26"/>
        <v>0</v>
      </c>
      <c r="AM20" s="4794">
        <f t="shared" si="27"/>
        <v>0</v>
      </c>
      <c r="AN20" s="4794">
        <f t="shared" si="28"/>
        <v>0</v>
      </c>
      <c r="AO20" s="4794">
        <f t="shared" si="29"/>
        <v>0</v>
      </c>
      <c r="AP20" s="4794">
        <f t="shared" si="30"/>
        <v>0</v>
      </c>
      <c r="AQ20" s="4794">
        <f t="shared" si="31"/>
        <v>0</v>
      </c>
      <c r="AR20" s="4794">
        <f t="shared" si="32"/>
        <v>0</v>
      </c>
      <c r="AS20" s="4794">
        <f t="shared" si="33"/>
        <v>0</v>
      </c>
    </row>
    <row r="21" spans="1:46">
      <c r="A21" s="2694"/>
      <c r="B21" s="2695">
        <v>20501</v>
      </c>
      <c r="C21" s="2690">
        <v>0.08</v>
      </c>
      <c r="D21" s="2696" t="s">
        <v>410</v>
      </c>
      <c r="E21" s="414">
        <v>1518</v>
      </c>
      <c r="F21" s="414">
        <v>1031</v>
      </c>
      <c r="G21" s="414"/>
      <c r="H21" s="4738">
        <f t="shared" ref="H21:H29" si="49">+E21+F21-G21</f>
        <v>2549</v>
      </c>
      <c r="I21" s="414">
        <v>323</v>
      </c>
      <c r="J21" s="414"/>
      <c r="K21" s="414"/>
      <c r="L21" s="4738">
        <f t="shared" ref="L21:L29" si="50">+I21+J21-K21</f>
        <v>323</v>
      </c>
      <c r="M21" s="414">
        <v>954</v>
      </c>
      <c r="N21" s="414"/>
      <c r="O21" s="414"/>
      <c r="P21" s="4738">
        <f t="shared" ref="P21:P29" si="51">+M21+N21-O21</f>
        <v>954</v>
      </c>
      <c r="Q21" s="414"/>
      <c r="R21" s="414"/>
      <c r="S21" s="414"/>
      <c r="T21" s="4738">
        <f t="shared" ref="T21:T29" si="52">+Q21+R21-S21</f>
        <v>0</v>
      </c>
      <c r="U21" s="414"/>
      <c r="V21" s="414"/>
      <c r="W21" s="414"/>
      <c r="X21" s="4738">
        <f t="shared" ref="X21:X29" si="53">+U21+V21-W21</f>
        <v>0</v>
      </c>
      <c r="Y21" s="4775"/>
      <c r="Z21" s="4794">
        <f t="shared" si="14"/>
        <v>776.14107565585971</v>
      </c>
      <c r="AA21" s="4794">
        <f t="shared" si="15"/>
        <v>527.14192951330131</v>
      </c>
      <c r="AB21" s="4794">
        <f t="shared" si="16"/>
        <v>0</v>
      </c>
      <c r="AC21" s="4794">
        <f t="shared" si="17"/>
        <v>1303.283005169161</v>
      </c>
      <c r="AD21" s="4794">
        <f t="shared" si="18"/>
        <v>165.14727762637858</v>
      </c>
      <c r="AE21" s="4794">
        <f t="shared" si="19"/>
        <v>0</v>
      </c>
      <c r="AF21" s="4794">
        <f t="shared" si="20"/>
        <v>0</v>
      </c>
      <c r="AG21" s="4794">
        <f t="shared" si="21"/>
        <v>165.14727762637858</v>
      </c>
      <c r="AH21" s="4794">
        <f t="shared" si="22"/>
        <v>487.77245466119246</v>
      </c>
      <c r="AI21" s="4794">
        <f t="shared" si="23"/>
        <v>0</v>
      </c>
      <c r="AJ21" s="4794">
        <f t="shared" si="24"/>
        <v>0</v>
      </c>
      <c r="AK21" s="4794">
        <f t="shared" si="25"/>
        <v>487.77245466119246</v>
      </c>
      <c r="AL21" s="4794">
        <f t="shared" si="26"/>
        <v>0</v>
      </c>
      <c r="AM21" s="4794">
        <f t="shared" si="27"/>
        <v>0</v>
      </c>
      <c r="AN21" s="4794">
        <f t="shared" si="28"/>
        <v>0</v>
      </c>
      <c r="AO21" s="4794">
        <f t="shared" si="29"/>
        <v>0</v>
      </c>
      <c r="AP21" s="4794">
        <f t="shared" si="30"/>
        <v>0</v>
      </c>
      <c r="AQ21" s="4794">
        <f t="shared" si="31"/>
        <v>0</v>
      </c>
      <c r="AR21" s="4794">
        <f t="shared" si="32"/>
        <v>0</v>
      </c>
      <c r="AS21" s="4794">
        <f t="shared" si="33"/>
        <v>0</v>
      </c>
    </row>
    <row r="22" spans="1:46">
      <c r="A22" s="2694"/>
      <c r="B22" s="2695">
        <v>20502</v>
      </c>
      <c r="C22" s="2690">
        <v>0.1</v>
      </c>
      <c r="D22" s="2696" t="s">
        <v>411</v>
      </c>
      <c r="E22" s="414">
        <v>1140</v>
      </c>
      <c r="F22" s="414">
        <v>908</v>
      </c>
      <c r="G22" s="414"/>
      <c r="H22" s="4738">
        <f t="shared" si="49"/>
        <v>2048</v>
      </c>
      <c r="I22" s="414">
        <v>419</v>
      </c>
      <c r="J22" s="414"/>
      <c r="K22" s="414"/>
      <c r="L22" s="4738">
        <f t="shared" si="50"/>
        <v>419</v>
      </c>
      <c r="M22" s="414">
        <v>353</v>
      </c>
      <c r="N22" s="414"/>
      <c r="O22" s="414"/>
      <c r="P22" s="4738">
        <f t="shared" si="51"/>
        <v>353</v>
      </c>
      <c r="Q22" s="414"/>
      <c r="R22" s="414"/>
      <c r="S22" s="414"/>
      <c r="T22" s="4738">
        <f t="shared" si="52"/>
        <v>0</v>
      </c>
      <c r="U22" s="414"/>
      <c r="V22" s="414"/>
      <c r="W22" s="414"/>
      <c r="X22" s="4738">
        <f t="shared" si="53"/>
        <v>0</v>
      </c>
      <c r="Y22" s="4775"/>
      <c r="Z22" s="4794">
        <f t="shared" si="14"/>
        <v>582.87274456368914</v>
      </c>
      <c r="AA22" s="4794">
        <f t="shared" si="15"/>
        <v>464.25302812616638</v>
      </c>
      <c r="AB22" s="4794">
        <f t="shared" si="16"/>
        <v>0</v>
      </c>
      <c r="AC22" s="4794">
        <f t="shared" si="17"/>
        <v>1047.1257726898555</v>
      </c>
      <c r="AD22" s="4794">
        <f t="shared" si="18"/>
        <v>214.23129822121555</v>
      </c>
      <c r="AE22" s="4794">
        <f t="shared" si="19"/>
        <v>0</v>
      </c>
      <c r="AF22" s="4794">
        <f t="shared" si="20"/>
        <v>0</v>
      </c>
      <c r="AG22" s="4794">
        <f t="shared" si="21"/>
        <v>214.23129822121555</v>
      </c>
      <c r="AH22" s="4794">
        <f t="shared" si="22"/>
        <v>180.48603406226513</v>
      </c>
      <c r="AI22" s="4794">
        <f t="shared" si="23"/>
        <v>0</v>
      </c>
      <c r="AJ22" s="4794">
        <f t="shared" si="24"/>
        <v>0</v>
      </c>
      <c r="AK22" s="4794">
        <f t="shared" si="25"/>
        <v>180.48603406226513</v>
      </c>
      <c r="AL22" s="4794">
        <f t="shared" si="26"/>
        <v>0</v>
      </c>
      <c r="AM22" s="4794">
        <f t="shared" si="27"/>
        <v>0</v>
      </c>
      <c r="AN22" s="4794">
        <f t="shared" si="28"/>
        <v>0</v>
      </c>
      <c r="AO22" s="4794">
        <f t="shared" si="29"/>
        <v>0</v>
      </c>
      <c r="AP22" s="4794">
        <f t="shared" si="30"/>
        <v>0</v>
      </c>
      <c r="AQ22" s="4794">
        <f t="shared" si="31"/>
        <v>0</v>
      </c>
      <c r="AR22" s="4794">
        <f t="shared" si="32"/>
        <v>0</v>
      </c>
      <c r="AS22" s="4794">
        <f t="shared" si="33"/>
        <v>0</v>
      </c>
    </row>
    <row r="23" spans="1:46">
      <c r="A23" s="2694"/>
      <c r="B23" s="2695">
        <v>20503</v>
      </c>
      <c r="C23" s="2690">
        <v>0.1</v>
      </c>
      <c r="D23" s="2691" t="s">
        <v>412</v>
      </c>
      <c r="E23" s="414">
        <v>67</v>
      </c>
      <c r="F23" s="414"/>
      <c r="G23" s="414"/>
      <c r="H23" s="4738">
        <f t="shared" si="49"/>
        <v>67</v>
      </c>
      <c r="I23" s="414">
        <v>42</v>
      </c>
      <c r="J23" s="414"/>
      <c r="K23" s="414"/>
      <c r="L23" s="4738">
        <f t="shared" si="50"/>
        <v>42</v>
      </c>
      <c r="M23" s="414">
        <v>34</v>
      </c>
      <c r="N23" s="414"/>
      <c r="O23" s="414"/>
      <c r="P23" s="4738">
        <f t="shared" si="51"/>
        <v>34</v>
      </c>
      <c r="Q23" s="414"/>
      <c r="R23" s="414"/>
      <c r="S23" s="414"/>
      <c r="T23" s="4738">
        <f t="shared" si="52"/>
        <v>0</v>
      </c>
      <c r="U23" s="414"/>
      <c r="V23" s="414"/>
      <c r="W23" s="414"/>
      <c r="X23" s="4738">
        <f t="shared" si="53"/>
        <v>0</v>
      </c>
      <c r="Y23" s="4775"/>
      <c r="Z23" s="4794">
        <f t="shared" si="14"/>
        <v>34.256556040146641</v>
      </c>
      <c r="AA23" s="4794">
        <f t="shared" si="15"/>
        <v>0</v>
      </c>
      <c r="AB23" s="4794">
        <f t="shared" si="16"/>
        <v>0</v>
      </c>
      <c r="AC23" s="4794">
        <f t="shared" si="17"/>
        <v>34.256556040146641</v>
      </c>
      <c r="AD23" s="4794">
        <f t="shared" si="18"/>
        <v>21.474259010241177</v>
      </c>
      <c r="AE23" s="4794">
        <f t="shared" si="19"/>
        <v>0</v>
      </c>
      <c r="AF23" s="4794">
        <f t="shared" si="20"/>
        <v>0</v>
      </c>
      <c r="AG23" s="4794">
        <f t="shared" si="21"/>
        <v>21.474259010241177</v>
      </c>
      <c r="AH23" s="4794">
        <f t="shared" si="22"/>
        <v>17.383923960671428</v>
      </c>
      <c r="AI23" s="4794">
        <f t="shared" si="23"/>
        <v>0</v>
      </c>
      <c r="AJ23" s="4794">
        <f t="shared" si="24"/>
        <v>0</v>
      </c>
      <c r="AK23" s="4794">
        <f t="shared" si="25"/>
        <v>17.383923960671428</v>
      </c>
      <c r="AL23" s="4794">
        <f t="shared" si="26"/>
        <v>0</v>
      </c>
      <c r="AM23" s="4794">
        <f t="shared" si="27"/>
        <v>0</v>
      </c>
      <c r="AN23" s="4794">
        <f t="shared" si="28"/>
        <v>0</v>
      </c>
      <c r="AO23" s="4794">
        <f t="shared" si="29"/>
        <v>0</v>
      </c>
      <c r="AP23" s="4794">
        <f t="shared" si="30"/>
        <v>0</v>
      </c>
      <c r="AQ23" s="4794">
        <f t="shared" si="31"/>
        <v>0</v>
      </c>
      <c r="AR23" s="4794">
        <f t="shared" si="32"/>
        <v>0</v>
      </c>
      <c r="AS23" s="4794">
        <f t="shared" si="33"/>
        <v>0</v>
      </c>
    </row>
    <row r="24" spans="1:46">
      <c r="A24" s="2694"/>
      <c r="B24" s="2695">
        <v>20504</v>
      </c>
      <c r="C24" s="2690">
        <v>0.1</v>
      </c>
      <c r="D24" s="2691" t="s">
        <v>557</v>
      </c>
      <c r="E24" s="414">
        <v>69</v>
      </c>
      <c r="F24" s="414"/>
      <c r="G24" s="414"/>
      <c r="H24" s="4738">
        <f t="shared" si="49"/>
        <v>69</v>
      </c>
      <c r="I24" s="414">
        <v>24</v>
      </c>
      <c r="J24" s="414"/>
      <c r="K24" s="414"/>
      <c r="L24" s="4738">
        <f t="shared" si="50"/>
        <v>24</v>
      </c>
      <c r="M24" s="414">
        <v>14</v>
      </c>
      <c r="N24" s="414"/>
      <c r="O24" s="414"/>
      <c r="P24" s="4738">
        <f t="shared" si="51"/>
        <v>14</v>
      </c>
      <c r="Q24" s="414"/>
      <c r="R24" s="414"/>
      <c r="S24" s="414"/>
      <c r="T24" s="4738">
        <f t="shared" si="52"/>
        <v>0</v>
      </c>
      <c r="U24" s="414"/>
      <c r="V24" s="414"/>
      <c r="W24" s="414"/>
      <c r="X24" s="4738">
        <f t="shared" si="53"/>
        <v>0</v>
      </c>
      <c r="Y24" s="4775"/>
      <c r="Z24" s="4794">
        <f t="shared" si="14"/>
        <v>35.279139802539078</v>
      </c>
      <c r="AA24" s="4794">
        <f t="shared" si="15"/>
        <v>0</v>
      </c>
      <c r="AB24" s="4794">
        <f t="shared" si="16"/>
        <v>0</v>
      </c>
      <c r="AC24" s="4794">
        <f t="shared" si="17"/>
        <v>35.279139802539078</v>
      </c>
      <c r="AD24" s="4794">
        <f t="shared" si="18"/>
        <v>12.271005148709245</v>
      </c>
      <c r="AE24" s="4794">
        <f t="shared" si="19"/>
        <v>0</v>
      </c>
      <c r="AF24" s="4794">
        <f t="shared" si="20"/>
        <v>0</v>
      </c>
      <c r="AG24" s="4794">
        <f t="shared" si="21"/>
        <v>12.271005148709245</v>
      </c>
      <c r="AH24" s="4794">
        <f t="shared" si="22"/>
        <v>7.1580863367470586</v>
      </c>
      <c r="AI24" s="4794">
        <f t="shared" si="23"/>
        <v>0</v>
      </c>
      <c r="AJ24" s="4794">
        <f t="shared" si="24"/>
        <v>0</v>
      </c>
      <c r="AK24" s="4794">
        <f t="shared" si="25"/>
        <v>7.1580863367470586</v>
      </c>
      <c r="AL24" s="4794">
        <f t="shared" si="26"/>
        <v>0</v>
      </c>
      <c r="AM24" s="4794">
        <f t="shared" si="27"/>
        <v>0</v>
      </c>
      <c r="AN24" s="4794">
        <f t="shared" si="28"/>
        <v>0</v>
      </c>
      <c r="AO24" s="4794">
        <f t="shared" si="29"/>
        <v>0</v>
      </c>
      <c r="AP24" s="4794">
        <f t="shared" si="30"/>
        <v>0</v>
      </c>
      <c r="AQ24" s="4794">
        <f t="shared" si="31"/>
        <v>0</v>
      </c>
      <c r="AR24" s="4794">
        <f t="shared" si="32"/>
        <v>0</v>
      </c>
      <c r="AS24" s="4794">
        <f t="shared" si="33"/>
        <v>0</v>
      </c>
    </row>
    <row r="25" spans="1:46">
      <c r="A25" s="2694">
        <v>6</v>
      </c>
      <c r="B25" s="2695">
        <v>208</v>
      </c>
      <c r="C25" s="2690">
        <v>0.2</v>
      </c>
      <c r="D25" s="2697" t="s">
        <v>413</v>
      </c>
      <c r="E25" s="414">
        <v>161</v>
      </c>
      <c r="F25" s="414">
        <v>16</v>
      </c>
      <c r="G25" s="414"/>
      <c r="H25" s="4738">
        <f t="shared" si="49"/>
        <v>177</v>
      </c>
      <c r="I25" s="414">
        <v>93</v>
      </c>
      <c r="J25" s="414">
        <v>2</v>
      </c>
      <c r="K25" s="414"/>
      <c r="L25" s="4738">
        <f t="shared" si="50"/>
        <v>95</v>
      </c>
      <c r="M25" s="414">
        <v>94</v>
      </c>
      <c r="N25" s="414">
        <v>2</v>
      </c>
      <c r="O25" s="414"/>
      <c r="P25" s="4738">
        <f t="shared" si="51"/>
        <v>96</v>
      </c>
      <c r="Q25" s="414"/>
      <c r="R25" s="414"/>
      <c r="S25" s="414"/>
      <c r="T25" s="4738">
        <f t="shared" si="52"/>
        <v>0</v>
      </c>
      <c r="U25" s="414"/>
      <c r="V25" s="414"/>
      <c r="W25" s="414"/>
      <c r="X25" s="4738">
        <f t="shared" si="53"/>
        <v>0</v>
      </c>
      <c r="Y25" s="4775"/>
      <c r="Z25" s="4794">
        <f t="shared" si="14"/>
        <v>82.317992872591176</v>
      </c>
      <c r="AA25" s="4794">
        <f t="shared" si="15"/>
        <v>8.1806700991394958</v>
      </c>
      <c r="AB25" s="4794">
        <f t="shared" si="16"/>
        <v>0</v>
      </c>
      <c r="AC25" s="4794">
        <f t="shared" si="17"/>
        <v>90.498662971730667</v>
      </c>
      <c r="AD25" s="4794">
        <f t="shared" si="18"/>
        <v>47.550144951248321</v>
      </c>
      <c r="AE25" s="4794">
        <f t="shared" si="19"/>
        <v>1.022583762392437</v>
      </c>
      <c r="AF25" s="4794">
        <f t="shared" si="20"/>
        <v>0</v>
      </c>
      <c r="AG25" s="4794">
        <f t="shared" si="21"/>
        <v>48.572728713640757</v>
      </c>
      <c r="AH25" s="4794">
        <f t="shared" si="22"/>
        <v>48.061436832444535</v>
      </c>
      <c r="AI25" s="4794">
        <f t="shared" si="23"/>
        <v>1.022583762392437</v>
      </c>
      <c r="AJ25" s="4794">
        <f t="shared" si="24"/>
        <v>0</v>
      </c>
      <c r="AK25" s="4794">
        <f t="shared" si="25"/>
        <v>49.084020594836979</v>
      </c>
      <c r="AL25" s="4794">
        <f t="shared" si="26"/>
        <v>0</v>
      </c>
      <c r="AM25" s="4794">
        <f t="shared" si="27"/>
        <v>0</v>
      </c>
      <c r="AN25" s="4794">
        <f t="shared" si="28"/>
        <v>0</v>
      </c>
      <c r="AO25" s="4794">
        <f t="shared" si="29"/>
        <v>0</v>
      </c>
      <c r="AP25" s="4794">
        <f t="shared" si="30"/>
        <v>0</v>
      </c>
      <c r="AQ25" s="4794">
        <f t="shared" si="31"/>
        <v>0</v>
      </c>
      <c r="AR25" s="4794">
        <f t="shared" si="32"/>
        <v>0</v>
      </c>
      <c r="AS25" s="4794">
        <f t="shared" si="33"/>
        <v>0</v>
      </c>
    </row>
    <row r="26" spans="1:46">
      <c r="A26" s="2694">
        <v>7</v>
      </c>
      <c r="B26" s="2698">
        <v>20601</v>
      </c>
      <c r="C26" s="2690">
        <v>0.1</v>
      </c>
      <c r="D26" s="2697" t="s">
        <v>564</v>
      </c>
      <c r="E26" s="414">
        <v>220</v>
      </c>
      <c r="F26" s="414">
        <v>52</v>
      </c>
      <c r="G26" s="414"/>
      <c r="H26" s="4738">
        <f t="shared" si="49"/>
        <v>272</v>
      </c>
      <c r="I26" s="414">
        <v>100</v>
      </c>
      <c r="J26" s="414">
        <v>13</v>
      </c>
      <c r="K26" s="414"/>
      <c r="L26" s="4738">
        <f t="shared" si="50"/>
        <v>113</v>
      </c>
      <c r="M26" s="414">
        <v>87</v>
      </c>
      <c r="N26" s="414">
        <v>9</v>
      </c>
      <c r="O26" s="414"/>
      <c r="P26" s="4738">
        <f t="shared" si="51"/>
        <v>96</v>
      </c>
      <c r="Q26" s="414"/>
      <c r="R26" s="414"/>
      <c r="S26" s="414"/>
      <c r="T26" s="4738">
        <f t="shared" si="52"/>
        <v>0</v>
      </c>
      <c r="U26" s="414"/>
      <c r="V26" s="414"/>
      <c r="W26" s="414"/>
      <c r="X26" s="4738">
        <f t="shared" si="53"/>
        <v>0</v>
      </c>
      <c r="Y26" s="4775"/>
      <c r="Z26" s="4794">
        <f t="shared" si="14"/>
        <v>112.48421386316807</v>
      </c>
      <c r="AA26" s="4794">
        <f t="shared" si="15"/>
        <v>26.587177822203362</v>
      </c>
      <c r="AB26" s="4794">
        <f t="shared" si="16"/>
        <v>0</v>
      </c>
      <c r="AC26" s="4794">
        <f t="shared" si="17"/>
        <v>139.07139168537142</v>
      </c>
      <c r="AD26" s="4794">
        <f t="shared" si="18"/>
        <v>51.129188119621851</v>
      </c>
      <c r="AE26" s="4794">
        <f t="shared" si="19"/>
        <v>6.6467944555508405</v>
      </c>
      <c r="AF26" s="4794">
        <f t="shared" si="20"/>
        <v>0</v>
      </c>
      <c r="AG26" s="4794">
        <f t="shared" si="21"/>
        <v>57.775982575172691</v>
      </c>
      <c r="AH26" s="4794">
        <f t="shared" si="22"/>
        <v>44.482393664071012</v>
      </c>
      <c r="AI26" s="4794">
        <f t="shared" si="23"/>
        <v>4.6016269307659661</v>
      </c>
      <c r="AJ26" s="4794">
        <f t="shared" si="24"/>
        <v>0</v>
      </c>
      <c r="AK26" s="4794">
        <f t="shared" si="25"/>
        <v>49.084020594836979</v>
      </c>
      <c r="AL26" s="4794">
        <f t="shared" si="26"/>
        <v>0</v>
      </c>
      <c r="AM26" s="4794">
        <f t="shared" si="27"/>
        <v>0</v>
      </c>
      <c r="AN26" s="4794">
        <f t="shared" si="28"/>
        <v>0</v>
      </c>
      <c r="AO26" s="4794">
        <f t="shared" si="29"/>
        <v>0</v>
      </c>
      <c r="AP26" s="4794">
        <f t="shared" si="30"/>
        <v>0</v>
      </c>
      <c r="AQ26" s="4794">
        <f t="shared" si="31"/>
        <v>0</v>
      </c>
      <c r="AR26" s="4794">
        <f t="shared" si="32"/>
        <v>0</v>
      </c>
      <c r="AS26" s="4794">
        <f t="shared" si="33"/>
        <v>0</v>
      </c>
    </row>
    <row r="27" spans="1:46">
      <c r="A27" s="2699">
        <v>8</v>
      </c>
      <c r="B27" s="2698">
        <v>20602</v>
      </c>
      <c r="C27" s="2690">
        <v>0.1</v>
      </c>
      <c r="D27" s="2697" t="s">
        <v>435</v>
      </c>
      <c r="E27" s="414">
        <v>108</v>
      </c>
      <c r="F27" s="414">
        <v>7</v>
      </c>
      <c r="G27" s="414"/>
      <c r="H27" s="4738">
        <f t="shared" si="49"/>
        <v>115</v>
      </c>
      <c r="I27" s="414">
        <v>58</v>
      </c>
      <c r="J27" s="414">
        <v>2</v>
      </c>
      <c r="K27" s="414"/>
      <c r="L27" s="4738">
        <f t="shared" si="50"/>
        <v>60</v>
      </c>
      <c r="M27" s="414">
        <v>51</v>
      </c>
      <c r="N27" s="414">
        <v>1</v>
      </c>
      <c r="O27" s="414"/>
      <c r="P27" s="4738">
        <f t="shared" si="51"/>
        <v>52</v>
      </c>
      <c r="Q27" s="414"/>
      <c r="R27" s="414"/>
      <c r="S27" s="414"/>
      <c r="T27" s="4738">
        <f t="shared" si="52"/>
        <v>0</v>
      </c>
      <c r="U27" s="414"/>
      <c r="V27" s="414"/>
      <c r="W27" s="414"/>
      <c r="X27" s="4738">
        <f t="shared" si="53"/>
        <v>0</v>
      </c>
      <c r="Y27" s="4775"/>
      <c r="Z27" s="4794">
        <f t="shared" si="14"/>
        <v>55.219523169191596</v>
      </c>
      <c r="AA27" s="4794">
        <f t="shared" si="15"/>
        <v>3.5790431683735293</v>
      </c>
      <c r="AB27" s="4794">
        <f t="shared" si="16"/>
        <v>0</v>
      </c>
      <c r="AC27" s="4794">
        <f t="shared" si="17"/>
        <v>58.798566337565127</v>
      </c>
      <c r="AD27" s="4794">
        <f t="shared" si="18"/>
        <v>29.654929109380674</v>
      </c>
      <c r="AE27" s="4794">
        <f t="shared" si="19"/>
        <v>1.022583762392437</v>
      </c>
      <c r="AF27" s="4794">
        <f t="shared" si="20"/>
        <v>0</v>
      </c>
      <c r="AG27" s="4794">
        <f t="shared" si="21"/>
        <v>30.677512871773111</v>
      </c>
      <c r="AH27" s="4794">
        <f t="shared" si="22"/>
        <v>26.075885941007144</v>
      </c>
      <c r="AI27" s="4794">
        <f t="shared" si="23"/>
        <v>0.51129188119621849</v>
      </c>
      <c r="AJ27" s="4794">
        <f t="shared" si="24"/>
        <v>0</v>
      </c>
      <c r="AK27" s="4794">
        <f t="shared" si="25"/>
        <v>26.587177822203362</v>
      </c>
      <c r="AL27" s="4794">
        <f t="shared" si="26"/>
        <v>0</v>
      </c>
      <c r="AM27" s="4794">
        <f t="shared" si="27"/>
        <v>0</v>
      </c>
      <c r="AN27" s="4794">
        <f t="shared" si="28"/>
        <v>0</v>
      </c>
      <c r="AO27" s="4794">
        <f t="shared" si="29"/>
        <v>0</v>
      </c>
      <c r="AP27" s="4794">
        <f t="shared" si="30"/>
        <v>0</v>
      </c>
      <c r="AQ27" s="4794">
        <f t="shared" si="31"/>
        <v>0</v>
      </c>
      <c r="AR27" s="4794">
        <f t="shared" si="32"/>
        <v>0</v>
      </c>
      <c r="AS27" s="4794">
        <f t="shared" si="33"/>
        <v>0</v>
      </c>
    </row>
    <row r="28" spans="1:46">
      <c r="A28" s="2699">
        <v>9</v>
      </c>
      <c r="B28" s="2695">
        <v>20603</v>
      </c>
      <c r="C28" s="2690">
        <v>0.5</v>
      </c>
      <c r="D28" s="2697" t="s">
        <v>1015</v>
      </c>
      <c r="E28" s="414">
        <v>1</v>
      </c>
      <c r="F28" s="414">
        <v>1</v>
      </c>
      <c r="G28" s="414"/>
      <c r="H28" s="4738">
        <f t="shared" si="49"/>
        <v>2</v>
      </c>
      <c r="I28" s="414"/>
      <c r="J28" s="414"/>
      <c r="K28" s="414"/>
      <c r="L28" s="4738">
        <f t="shared" si="50"/>
        <v>0</v>
      </c>
      <c r="M28" s="414"/>
      <c r="N28" s="414"/>
      <c r="O28" s="414"/>
      <c r="P28" s="4738">
        <f t="shared" si="51"/>
        <v>0</v>
      </c>
      <c r="Q28" s="414"/>
      <c r="R28" s="414"/>
      <c r="S28" s="414"/>
      <c r="T28" s="4738">
        <f t="shared" si="52"/>
        <v>0</v>
      </c>
      <c r="U28" s="414"/>
      <c r="V28" s="414"/>
      <c r="W28" s="414"/>
      <c r="X28" s="4738">
        <f t="shared" si="53"/>
        <v>0</v>
      </c>
      <c r="Y28" s="4775"/>
      <c r="Z28" s="4794">
        <f t="shared" si="14"/>
        <v>0.51129188119621849</v>
      </c>
      <c r="AA28" s="4794">
        <f t="shared" si="15"/>
        <v>0.51129188119621849</v>
      </c>
      <c r="AB28" s="4794">
        <f t="shared" si="16"/>
        <v>0</v>
      </c>
      <c r="AC28" s="4794">
        <f t="shared" si="17"/>
        <v>1.022583762392437</v>
      </c>
      <c r="AD28" s="4794">
        <f t="shared" si="18"/>
        <v>0</v>
      </c>
      <c r="AE28" s="4794">
        <f t="shared" si="19"/>
        <v>0</v>
      </c>
      <c r="AF28" s="4794">
        <f t="shared" si="20"/>
        <v>0</v>
      </c>
      <c r="AG28" s="4794">
        <f t="shared" si="21"/>
        <v>0</v>
      </c>
      <c r="AH28" s="4794">
        <f t="shared" si="22"/>
        <v>0</v>
      </c>
      <c r="AI28" s="4794">
        <f t="shared" si="23"/>
        <v>0</v>
      </c>
      <c r="AJ28" s="4794">
        <f t="shared" si="24"/>
        <v>0</v>
      </c>
      <c r="AK28" s="4794">
        <f t="shared" si="25"/>
        <v>0</v>
      </c>
      <c r="AL28" s="4794">
        <f t="shared" si="26"/>
        <v>0</v>
      </c>
      <c r="AM28" s="4794">
        <f t="shared" si="27"/>
        <v>0</v>
      </c>
      <c r="AN28" s="4794">
        <f t="shared" si="28"/>
        <v>0</v>
      </c>
      <c r="AO28" s="4794">
        <f t="shared" si="29"/>
        <v>0</v>
      </c>
      <c r="AP28" s="4794">
        <f t="shared" si="30"/>
        <v>0</v>
      </c>
      <c r="AQ28" s="4794">
        <f t="shared" si="31"/>
        <v>0</v>
      </c>
      <c r="AR28" s="4794">
        <f t="shared" si="32"/>
        <v>0</v>
      </c>
      <c r="AS28" s="4794">
        <f t="shared" si="33"/>
        <v>0</v>
      </c>
    </row>
    <row r="29" spans="1:46">
      <c r="A29" s="2699">
        <v>10</v>
      </c>
      <c r="B29" s="2695">
        <v>209</v>
      </c>
      <c r="C29" s="2690">
        <v>0.1</v>
      </c>
      <c r="D29" s="2697" t="s">
        <v>213</v>
      </c>
      <c r="E29" s="414">
        <v>68</v>
      </c>
      <c r="F29" s="414"/>
      <c r="G29" s="414"/>
      <c r="H29" s="4738">
        <f t="shared" si="49"/>
        <v>68</v>
      </c>
      <c r="I29" s="414">
        <v>43</v>
      </c>
      <c r="J29" s="414"/>
      <c r="K29" s="414"/>
      <c r="L29" s="4738">
        <f t="shared" si="50"/>
        <v>43</v>
      </c>
      <c r="M29" s="414">
        <v>35</v>
      </c>
      <c r="N29" s="414"/>
      <c r="O29" s="414"/>
      <c r="P29" s="4738">
        <f t="shared" si="51"/>
        <v>35</v>
      </c>
      <c r="Q29" s="414"/>
      <c r="R29" s="414"/>
      <c r="S29" s="414"/>
      <c r="T29" s="4738">
        <f t="shared" si="52"/>
        <v>0</v>
      </c>
      <c r="U29" s="414"/>
      <c r="V29" s="414"/>
      <c r="W29" s="414"/>
      <c r="X29" s="4738">
        <f t="shared" si="53"/>
        <v>0</v>
      </c>
      <c r="Y29" s="4775"/>
      <c r="Z29" s="4794">
        <f t="shared" si="14"/>
        <v>34.767847921342856</v>
      </c>
      <c r="AA29" s="4794">
        <f t="shared" si="15"/>
        <v>0</v>
      </c>
      <c r="AB29" s="4794">
        <f t="shared" si="16"/>
        <v>0</v>
      </c>
      <c r="AC29" s="4794">
        <f t="shared" si="17"/>
        <v>34.767847921342856</v>
      </c>
      <c r="AD29" s="4794">
        <f t="shared" si="18"/>
        <v>21.985550891437395</v>
      </c>
      <c r="AE29" s="4794">
        <f t="shared" si="19"/>
        <v>0</v>
      </c>
      <c r="AF29" s="4794">
        <f t="shared" si="20"/>
        <v>0</v>
      </c>
      <c r="AG29" s="4794">
        <f t="shared" si="21"/>
        <v>21.985550891437395</v>
      </c>
      <c r="AH29" s="4794">
        <f t="shared" si="22"/>
        <v>17.895215841867646</v>
      </c>
      <c r="AI29" s="4794">
        <f t="shared" si="23"/>
        <v>0</v>
      </c>
      <c r="AJ29" s="4794">
        <f t="shared" si="24"/>
        <v>0</v>
      </c>
      <c r="AK29" s="4794">
        <f t="shared" si="25"/>
        <v>17.895215841867646</v>
      </c>
      <c r="AL29" s="4794">
        <f t="shared" si="26"/>
        <v>0</v>
      </c>
      <c r="AM29" s="4794">
        <f t="shared" si="27"/>
        <v>0</v>
      </c>
      <c r="AN29" s="4794">
        <f t="shared" si="28"/>
        <v>0</v>
      </c>
      <c r="AO29" s="4794">
        <f t="shared" si="29"/>
        <v>0</v>
      </c>
      <c r="AP29" s="4794">
        <f t="shared" si="30"/>
        <v>0</v>
      </c>
      <c r="AQ29" s="4794">
        <f t="shared" si="31"/>
        <v>0</v>
      </c>
      <c r="AR29" s="4794">
        <f t="shared" si="32"/>
        <v>0</v>
      </c>
      <c r="AS29" s="4794">
        <f t="shared" si="33"/>
        <v>0</v>
      </c>
    </row>
    <row r="30" spans="1:46" ht="36">
      <c r="A30" s="2695">
        <v>11</v>
      </c>
      <c r="B30" s="2695">
        <v>207</v>
      </c>
      <c r="C30" s="2695" t="s">
        <v>313</v>
      </c>
      <c r="D30" s="2697" t="s">
        <v>414</v>
      </c>
      <c r="E30" s="414">
        <v>2906</v>
      </c>
      <c r="F30" s="4738">
        <f t="shared" ref="F30:G30" si="54">SUM(F31:F32)</f>
        <v>2199</v>
      </c>
      <c r="G30" s="4738">
        <f t="shared" si="54"/>
        <v>0</v>
      </c>
      <c r="H30" s="4738">
        <f>+E30+F30-G30</f>
        <v>5105</v>
      </c>
      <c r="I30" s="414"/>
      <c r="J30" s="4738">
        <f t="shared" ref="J30" si="55">SUM(J31:J32)</f>
        <v>0</v>
      </c>
      <c r="K30" s="4738">
        <f t="shared" ref="K30" si="56">SUM(K31:K32)</f>
        <v>0</v>
      </c>
      <c r="L30" s="4738">
        <f>+I30+J30-K30</f>
        <v>0</v>
      </c>
      <c r="M30" s="414"/>
      <c r="N30" s="4738">
        <f t="shared" ref="N30" si="57">SUM(N31:N32)</f>
        <v>0</v>
      </c>
      <c r="O30" s="4738">
        <f t="shared" ref="O30" si="58">SUM(O31:O32)</f>
        <v>0</v>
      </c>
      <c r="P30" s="4738">
        <f>+M30+N30-O30</f>
        <v>0</v>
      </c>
      <c r="Q30" s="414"/>
      <c r="R30" s="4738">
        <f t="shared" ref="R30" si="59">SUM(R31:R32)</f>
        <v>0</v>
      </c>
      <c r="S30" s="4738">
        <f t="shared" ref="S30" si="60">SUM(S31:S32)</f>
        <v>0</v>
      </c>
      <c r="T30" s="4738">
        <f>+Q30+R30-S30</f>
        <v>0</v>
      </c>
      <c r="U30" s="414"/>
      <c r="V30" s="4738">
        <f t="shared" ref="V30" si="61">SUM(V31:V32)</f>
        <v>0</v>
      </c>
      <c r="W30" s="4738">
        <f t="shared" ref="W30" si="62">SUM(W31:W32)</f>
        <v>0</v>
      </c>
      <c r="X30" s="4738">
        <f>+U30+V30-W30</f>
        <v>0</v>
      </c>
      <c r="Y30" s="4775"/>
      <c r="Z30" s="4794">
        <f t="shared" si="14"/>
        <v>1485.814206756211</v>
      </c>
      <c r="AA30" s="4794">
        <f t="shared" si="15"/>
        <v>1124.3308467504844</v>
      </c>
      <c r="AB30" s="4794">
        <f t="shared" si="16"/>
        <v>0</v>
      </c>
      <c r="AC30" s="4794">
        <f t="shared" si="17"/>
        <v>2610.1450535066956</v>
      </c>
      <c r="AD30" s="4794">
        <f t="shared" si="18"/>
        <v>0</v>
      </c>
      <c r="AE30" s="4794">
        <f t="shared" si="19"/>
        <v>0</v>
      </c>
      <c r="AF30" s="4794">
        <f t="shared" si="20"/>
        <v>0</v>
      </c>
      <c r="AG30" s="4794">
        <f t="shared" si="21"/>
        <v>0</v>
      </c>
      <c r="AH30" s="4794">
        <f t="shared" si="22"/>
        <v>0</v>
      </c>
      <c r="AI30" s="4794">
        <f t="shared" si="23"/>
        <v>0</v>
      </c>
      <c r="AJ30" s="4794">
        <f t="shared" si="24"/>
        <v>0</v>
      </c>
      <c r="AK30" s="4794">
        <f t="shared" si="25"/>
        <v>0</v>
      </c>
      <c r="AL30" s="4794">
        <f t="shared" si="26"/>
        <v>0</v>
      </c>
      <c r="AM30" s="4794">
        <f t="shared" si="27"/>
        <v>0</v>
      </c>
      <c r="AN30" s="4794">
        <f t="shared" si="28"/>
        <v>0</v>
      </c>
      <c r="AO30" s="4794">
        <f t="shared" si="29"/>
        <v>0</v>
      </c>
      <c r="AP30" s="4794">
        <f t="shared" si="30"/>
        <v>0</v>
      </c>
      <c r="AQ30" s="4794">
        <f t="shared" si="31"/>
        <v>0</v>
      </c>
      <c r="AR30" s="4794">
        <f t="shared" si="32"/>
        <v>0</v>
      </c>
      <c r="AS30" s="4794">
        <f t="shared" si="33"/>
        <v>0</v>
      </c>
    </row>
    <row r="31" spans="1:46">
      <c r="A31" s="2699"/>
      <c r="B31" s="4362"/>
      <c r="C31" s="4362"/>
      <c r="D31" s="4363" t="s">
        <v>1791</v>
      </c>
      <c r="E31" s="5401"/>
      <c r="F31" s="4364">
        <v>10039</v>
      </c>
      <c r="G31" s="4364"/>
      <c r="H31" s="5401"/>
      <c r="I31" s="5401"/>
      <c r="J31" s="4364">
        <v>489</v>
      </c>
      <c r="K31" s="4364"/>
      <c r="L31" s="5401"/>
      <c r="M31" s="5401"/>
      <c r="N31" s="4364">
        <v>119</v>
      </c>
      <c r="O31" s="4364"/>
      <c r="P31" s="5401"/>
      <c r="Q31" s="5401"/>
      <c r="R31" s="4364"/>
      <c r="S31" s="4364"/>
      <c r="T31" s="5401"/>
      <c r="U31" s="5401"/>
      <c r="V31" s="4364"/>
      <c r="W31" s="4364"/>
      <c r="X31" s="5401"/>
      <c r="Y31" s="4775"/>
      <c r="Z31" s="4806"/>
      <c r="AA31" s="4794">
        <f t="shared" si="15"/>
        <v>5132.8591953288378</v>
      </c>
      <c r="AB31" s="4794">
        <f t="shared" si="16"/>
        <v>0</v>
      </c>
      <c r="AC31" s="4802"/>
      <c r="AD31" s="4803"/>
      <c r="AE31" s="4794">
        <f t="shared" si="19"/>
        <v>250.02172990495083</v>
      </c>
      <c r="AF31" s="4794">
        <f t="shared" si="20"/>
        <v>0</v>
      </c>
      <c r="AG31" s="4802"/>
      <c r="AH31" s="4803"/>
      <c r="AI31" s="4794">
        <f t="shared" si="23"/>
        <v>60.84373386235</v>
      </c>
      <c r="AJ31" s="4794">
        <f t="shared" si="24"/>
        <v>0</v>
      </c>
      <c r="AK31" s="4802"/>
      <c r="AL31" s="4803"/>
      <c r="AM31" s="4794">
        <f t="shared" si="27"/>
        <v>0</v>
      </c>
      <c r="AN31" s="4794">
        <f t="shared" si="28"/>
        <v>0</v>
      </c>
      <c r="AO31" s="4802"/>
      <c r="AP31" s="4803"/>
      <c r="AQ31" s="4794">
        <f t="shared" si="31"/>
        <v>0</v>
      </c>
      <c r="AR31" s="4794">
        <f t="shared" si="32"/>
        <v>0</v>
      </c>
      <c r="AS31" s="4808"/>
      <c r="AT31" s="4809"/>
    </row>
    <row r="32" spans="1:46" ht="24">
      <c r="A32" s="2699"/>
      <c r="B32" s="4362"/>
      <c r="C32" s="4362"/>
      <c r="D32" s="4363" t="s">
        <v>1792</v>
      </c>
      <c r="E32" s="5402"/>
      <c r="F32" s="4364">
        <v>-7840</v>
      </c>
      <c r="G32" s="4364"/>
      <c r="H32" s="5402"/>
      <c r="I32" s="5402"/>
      <c r="J32" s="4364">
        <v>-489</v>
      </c>
      <c r="K32" s="4364"/>
      <c r="L32" s="5402"/>
      <c r="M32" s="5402"/>
      <c r="N32" s="4364">
        <v>-119</v>
      </c>
      <c r="O32" s="4364"/>
      <c r="P32" s="5402"/>
      <c r="Q32" s="5402"/>
      <c r="R32" s="4364"/>
      <c r="S32" s="4364"/>
      <c r="T32" s="5402"/>
      <c r="U32" s="5402"/>
      <c r="V32" s="4364"/>
      <c r="W32" s="4364"/>
      <c r="X32" s="5402"/>
      <c r="Y32" s="4775"/>
      <c r="Z32" s="4807"/>
      <c r="AA32" s="4794">
        <f t="shared" si="15"/>
        <v>-4008.528348578353</v>
      </c>
      <c r="AB32" s="4794">
        <f t="shared" si="16"/>
        <v>0</v>
      </c>
      <c r="AC32" s="4804"/>
      <c r="AD32" s="4805"/>
      <c r="AE32" s="4794">
        <f t="shared" si="19"/>
        <v>-250.02172990495083</v>
      </c>
      <c r="AF32" s="4794">
        <f t="shared" si="20"/>
        <v>0</v>
      </c>
      <c r="AG32" s="4804"/>
      <c r="AH32" s="4805"/>
      <c r="AI32" s="4794">
        <f t="shared" si="23"/>
        <v>-60.84373386235</v>
      </c>
      <c r="AJ32" s="4794">
        <f t="shared" si="24"/>
        <v>0</v>
      </c>
      <c r="AK32" s="4804"/>
      <c r="AL32" s="4805"/>
      <c r="AM32" s="4794">
        <f t="shared" si="27"/>
        <v>0</v>
      </c>
      <c r="AN32" s="4794">
        <f t="shared" si="28"/>
        <v>0</v>
      </c>
      <c r="AO32" s="4804"/>
      <c r="AP32" s="4805"/>
      <c r="AQ32" s="4794">
        <f t="shared" si="31"/>
        <v>0</v>
      </c>
      <c r="AR32" s="4794">
        <f t="shared" si="32"/>
        <v>0</v>
      </c>
      <c r="AS32" s="4808"/>
      <c r="AT32" s="4809"/>
    </row>
    <row r="33" spans="1:45">
      <c r="A33" s="2699">
        <v>12</v>
      </c>
      <c r="B33" s="2695">
        <v>212</v>
      </c>
      <c r="C33" s="2690">
        <v>0.2</v>
      </c>
      <c r="D33" s="2700" t="s">
        <v>214</v>
      </c>
      <c r="E33" s="414">
        <v>344</v>
      </c>
      <c r="F33" s="414">
        <v>57</v>
      </c>
      <c r="G33" s="414"/>
      <c r="H33" s="4738">
        <f t="shared" ref="H33:H36" si="63">+E33+F33-G33</f>
        <v>401</v>
      </c>
      <c r="I33" s="414">
        <v>212</v>
      </c>
      <c r="J33" s="414">
        <v>22</v>
      </c>
      <c r="K33" s="414"/>
      <c r="L33" s="4738">
        <f t="shared" ref="L33:L36" si="64">+I33+J33-K33</f>
        <v>234</v>
      </c>
      <c r="M33" s="414">
        <v>170</v>
      </c>
      <c r="N33" s="414">
        <v>8</v>
      </c>
      <c r="O33" s="414"/>
      <c r="P33" s="4738">
        <f t="shared" ref="P33:P36" si="65">+M33+N33-O33</f>
        <v>178</v>
      </c>
      <c r="Q33" s="414"/>
      <c r="R33" s="414"/>
      <c r="S33" s="414"/>
      <c r="T33" s="4738">
        <f t="shared" ref="T33:T36" si="66">+Q33+R33-S33</f>
        <v>0</v>
      </c>
      <c r="U33" s="414"/>
      <c r="V33" s="414"/>
      <c r="W33" s="414"/>
      <c r="X33" s="4738">
        <f t="shared" ref="X33:X36" si="67">+U33+V33-W33</f>
        <v>0</v>
      </c>
      <c r="Y33" s="4775"/>
      <c r="Z33" s="4794">
        <f t="shared" si="14"/>
        <v>175.88440713149916</v>
      </c>
      <c r="AA33" s="4794">
        <f t="shared" si="15"/>
        <v>29.143637228184453</v>
      </c>
      <c r="AB33" s="4794">
        <f t="shared" si="16"/>
        <v>0</v>
      </c>
      <c r="AC33" s="4794">
        <f t="shared" si="17"/>
        <v>205.02804435968361</v>
      </c>
      <c r="AD33" s="4794">
        <f t="shared" si="18"/>
        <v>108.39387881359832</v>
      </c>
      <c r="AE33" s="4794">
        <f t="shared" si="19"/>
        <v>11.248421386316807</v>
      </c>
      <c r="AF33" s="4794">
        <f t="shared" si="20"/>
        <v>0</v>
      </c>
      <c r="AG33" s="4794">
        <f t="shared" si="21"/>
        <v>119.64230019991513</v>
      </c>
      <c r="AH33" s="4794">
        <f t="shared" si="22"/>
        <v>86.919619803357151</v>
      </c>
      <c r="AI33" s="4794">
        <f t="shared" si="23"/>
        <v>4.0903350495697479</v>
      </c>
      <c r="AJ33" s="4794">
        <f t="shared" si="24"/>
        <v>0</v>
      </c>
      <c r="AK33" s="4794">
        <f t="shared" si="25"/>
        <v>91.009954852926896</v>
      </c>
      <c r="AL33" s="4794">
        <f t="shared" si="26"/>
        <v>0</v>
      </c>
      <c r="AM33" s="4794">
        <f t="shared" si="27"/>
        <v>0</v>
      </c>
      <c r="AN33" s="4794">
        <f t="shared" si="28"/>
        <v>0</v>
      </c>
      <c r="AO33" s="4794">
        <f t="shared" si="29"/>
        <v>0</v>
      </c>
      <c r="AP33" s="4794">
        <f t="shared" si="30"/>
        <v>0</v>
      </c>
      <c r="AQ33" s="4794">
        <f t="shared" si="31"/>
        <v>0</v>
      </c>
      <c r="AR33" s="4794">
        <f t="shared" si="32"/>
        <v>0</v>
      </c>
      <c r="AS33" s="4794">
        <f t="shared" si="33"/>
        <v>0</v>
      </c>
    </row>
    <row r="34" spans="1:45" ht="24">
      <c r="A34" s="2699">
        <v>13</v>
      </c>
      <c r="B34" s="2694">
        <v>213</v>
      </c>
      <c r="C34" s="2701">
        <v>0.2</v>
      </c>
      <c r="D34" s="2688" t="s">
        <v>215</v>
      </c>
      <c r="E34" s="414"/>
      <c r="F34" s="414"/>
      <c r="G34" s="414"/>
      <c r="H34" s="4738">
        <f t="shared" si="63"/>
        <v>0</v>
      </c>
      <c r="I34" s="414"/>
      <c r="J34" s="414"/>
      <c r="K34" s="414"/>
      <c r="L34" s="4738">
        <f t="shared" si="64"/>
        <v>0</v>
      </c>
      <c r="M34" s="414"/>
      <c r="N34" s="414"/>
      <c r="O34" s="414"/>
      <c r="P34" s="4738">
        <f t="shared" si="65"/>
        <v>0</v>
      </c>
      <c r="Q34" s="414"/>
      <c r="R34" s="414"/>
      <c r="S34" s="414"/>
      <c r="T34" s="4738">
        <f t="shared" si="66"/>
        <v>0</v>
      </c>
      <c r="U34" s="414"/>
      <c r="V34" s="414"/>
      <c r="W34" s="414"/>
      <c r="X34" s="4738">
        <f t="shared" si="67"/>
        <v>0</v>
      </c>
      <c r="Y34" s="4775"/>
      <c r="Z34" s="4794">
        <f t="shared" si="14"/>
        <v>0</v>
      </c>
      <c r="AA34" s="4794">
        <f t="shared" si="15"/>
        <v>0</v>
      </c>
      <c r="AB34" s="4794">
        <f t="shared" si="16"/>
        <v>0</v>
      </c>
      <c r="AC34" s="4794">
        <f t="shared" si="17"/>
        <v>0</v>
      </c>
      <c r="AD34" s="4794">
        <f t="shared" si="18"/>
        <v>0</v>
      </c>
      <c r="AE34" s="4794">
        <f t="shared" si="19"/>
        <v>0</v>
      </c>
      <c r="AF34" s="4794">
        <f t="shared" si="20"/>
        <v>0</v>
      </c>
      <c r="AG34" s="4794">
        <f t="shared" si="21"/>
        <v>0</v>
      </c>
      <c r="AH34" s="4794">
        <f t="shared" si="22"/>
        <v>0</v>
      </c>
      <c r="AI34" s="4794">
        <f t="shared" si="23"/>
        <v>0</v>
      </c>
      <c r="AJ34" s="4794">
        <f t="shared" si="24"/>
        <v>0</v>
      </c>
      <c r="AK34" s="4794">
        <f t="shared" si="25"/>
        <v>0</v>
      </c>
      <c r="AL34" s="4794">
        <f t="shared" si="26"/>
        <v>0</v>
      </c>
      <c r="AM34" s="4794">
        <f t="shared" si="27"/>
        <v>0</v>
      </c>
      <c r="AN34" s="4794">
        <f t="shared" si="28"/>
        <v>0</v>
      </c>
      <c r="AO34" s="4794">
        <f t="shared" si="29"/>
        <v>0</v>
      </c>
      <c r="AP34" s="4794">
        <f t="shared" si="30"/>
        <v>0</v>
      </c>
      <c r="AQ34" s="4794">
        <f t="shared" si="31"/>
        <v>0</v>
      </c>
      <c r="AR34" s="4794">
        <f t="shared" si="32"/>
        <v>0</v>
      </c>
      <c r="AS34" s="4794">
        <f t="shared" si="33"/>
        <v>0</v>
      </c>
    </row>
    <row r="35" spans="1:45" ht="24">
      <c r="A35" s="2699">
        <v>14</v>
      </c>
      <c r="B35" s="2775"/>
      <c r="C35" s="2775"/>
      <c r="D35" s="2702" t="s">
        <v>628</v>
      </c>
      <c r="E35" s="414"/>
      <c r="F35" s="414"/>
      <c r="G35" s="414"/>
      <c r="H35" s="4738">
        <f t="shared" si="63"/>
        <v>0</v>
      </c>
      <c r="I35" s="414"/>
      <c r="J35" s="414"/>
      <c r="K35" s="414"/>
      <c r="L35" s="4738">
        <f t="shared" si="64"/>
        <v>0</v>
      </c>
      <c r="M35" s="414"/>
      <c r="N35" s="414"/>
      <c r="O35" s="414"/>
      <c r="P35" s="4738">
        <f t="shared" si="65"/>
        <v>0</v>
      </c>
      <c r="Q35" s="414"/>
      <c r="R35" s="414"/>
      <c r="S35" s="414"/>
      <c r="T35" s="4738">
        <f t="shared" si="66"/>
        <v>0</v>
      </c>
      <c r="U35" s="414"/>
      <c r="V35" s="414"/>
      <c r="W35" s="414"/>
      <c r="X35" s="4738">
        <f t="shared" si="67"/>
        <v>0</v>
      </c>
      <c r="Y35" s="4775"/>
      <c r="Z35" s="4794">
        <f t="shared" si="14"/>
        <v>0</v>
      </c>
      <c r="AA35" s="4794">
        <f t="shared" si="15"/>
        <v>0</v>
      </c>
      <c r="AB35" s="4794">
        <f t="shared" si="16"/>
        <v>0</v>
      </c>
      <c r="AC35" s="4794">
        <f t="shared" si="17"/>
        <v>0</v>
      </c>
      <c r="AD35" s="4794">
        <f t="shared" si="18"/>
        <v>0</v>
      </c>
      <c r="AE35" s="4794">
        <f t="shared" si="19"/>
        <v>0</v>
      </c>
      <c r="AF35" s="4794">
        <f t="shared" si="20"/>
        <v>0</v>
      </c>
      <c r="AG35" s="4794">
        <f t="shared" si="21"/>
        <v>0</v>
      </c>
      <c r="AH35" s="4794">
        <f t="shared" si="22"/>
        <v>0</v>
      </c>
      <c r="AI35" s="4794">
        <f t="shared" si="23"/>
        <v>0</v>
      </c>
      <c r="AJ35" s="4794">
        <f t="shared" si="24"/>
        <v>0</v>
      </c>
      <c r="AK35" s="4794">
        <f t="shared" si="25"/>
        <v>0</v>
      </c>
      <c r="AL35" s="4794">
        <f t="shared" si="26"/>
        <v>0</v>
      </c>
      <c r="AM35" s="4794">
        <f t="shared" si="27"/>
        <v>0</v>
      </c>
      <c r="AN35" s="4794">
        <f t="shared" si="28"/>
        <v>0</v>
      </c>
      <c r="AO35" s="4794">
        <f t="shared" si="29"/>
        <v>0</v>
      </c>
      <c r="AP35" s="4794">
        <f t="shared" si="30"/>
        <v>0</v>
      </c>
      <c r="AQ35" s="4794">
        <f t="shared" si="31"/>
        <v>0</v>
      </c>
      <c r="AR35" s="4794">
        <f t="shared" si="32"/>
        <v>0</v>
      </c>
      <c r="AS35" s="4794">
        <f t="shared" si="33"/>
        <v>0</v>
      </c>
    </row>
    <row r="36" spans="1:45" ht="24">
      <c r="A36" s="2699">
        <v>15</v>
      </c>
      <c r="B36" s="2694">
        <v>207</v>
      </c>
      <c r="C36" s="2694" t="s">
        <v>313</v>
      </c>
      <c r="D36" s="2703" t="s">
        <v>415</v>
      </c>
      <c r="E36" s="414"/>
      <c r="F36" s="4738">
        <f t="shared" ref="F36" si="68">SUM(F37:F38)</f>
        <v>0</v>
      </c>
      <c r="G36" s="4738">
        <f t="shared" ref="G36" si="69">SUM(G37:G38)</f>
        <v>0</v>
      </c>
      <c r="H36" s="4738">
        <f t="shared" si="63"/>
        <v>0</v>
      </c>
      <c r="I36" s="414"/>
      <c r="J36" s="4738">
        <f t="shared" ref="J36:K36" si="70">SUM(J37:J38)</f>
        <v>0</v>
      </c>
      <c r="K36" s="4738">
        <f t="shared" si="70"/>
        <v>0</v>
      </c>
      <c r="L36" s="4738">
        <f t="shared" si="64"/>
        <v>0</v>
      </c>
      <c r="M36" s="414"/>
      <c r="N36" s="4738">
        <f t="shared" ref="N36:O36" si="71">SUM(N37:N38)</f>
        <v>0</v>
      </c>
      <c r="O36" s="4738">
        <f t="shared" si="71"/>
        <v>0</v>
      </c>
      <c r="P36" s="4738">
        <f t="shared" si="65"/>
        <v>0</v>
      </c>
      <c r="Q36" s="414"/>
      <c r="R36" s="4738">
        <f t="shared" ref="R36:S36" si="72">SUM(R37:R38)</f>
        <v>0</v>
      </c>
      <c r="S36" s="4738">
        <f t="shared" si="72"/>
        <v>0</v>
      </c>
      <c r="T36" s="4738">
        <f t="shared" si="66"/>
        <v>0</v>
      </c>
      <c r="U36" s="414"/>
      <c r="V36" s="4738">
        <f t="shared" ref="V36:W36" si="73">SUM(V37:V38)</f>
        <v>0</v>
      </c>
      <c r="W36" s="4738">
        <f t="shared" si="73"/>
        <v>0</v>
      </c>
      <c r="X36" s="4738">
        <f t="shared" si="67"/>
        <v>0</v>
      </c>
      <c r="Y36" s="4775"/>
      <c r="Z36" s="4794">
        <f t="shared" si="14"/>
        <v>0</v>
      </c>
      <c r="AA36" s="4794">
        <f t="shared" si="15"/>
        <v>0</v>
      </c>
      <c r="AB36" s="4794">
        <f t="shared" si="16"/>
        <v>0</v>
      </c>
      <c r="AC36" s="4794">
        <f t="shared" si="17"/>
        <v>0</v>
      </c>
      <c r="AD36" s="4794">
        <f t="shared" si="18"/>
        <v>0</v>
      </c>
      <c r="AE36" s="4794">
        <f t="shared" si="19"/>
        <v>0</v>
      </c>
      <c r="AF36" s="4794">
        <f t="shared" si="20"/>
        <v>0</v>
      </c>
      <c r="AG36" s="4794">
        <f t="shared" si="21"/>
        <v>0</v>
      </c>
      <c r="AH36" s="4794">
        <f t="shared" si="22"/>
        <v>0</v>
      </c>
      <c r="AI36" s="4794">
        <f t="shared" si="23"/>
        <v>0</v>
      </c>
      <c r="AJ36" s="4794">
        <f t="shared" si="24"/>
        <v>0</v>
      </c>
      <c r="AK36" s="4794">
        <f t="shared" si="25"/>
        <v>0</v>
      </c>
      <c r="AL36" s="4794">
        <f t="shared" si="26"/>
        <v>0</v>
      </c>
      <c r="AM36" s="4794">
        <f t="shared" si="27"/>
        <v>0</v>
      </c>
      <c r="AN36" s="4794">
        <f t="shared" si="28"/>
        <v>0</v>
      </c>
      <c r="AO36" s="4794">
        <f t="shared" si="29"/>
        <v>0</v>
      </c>
      <c r="AP36" s="4794">
        <f t="shared" si="30"/>
        <v>0</v>
      </c>
      <c r="AQ36" s="4794">
        <f t="shared" si="31"/>
        <v>0</v>
      </c>
      <c r="AR36" s="4794">
        <f t="shared" si="32"/>
        <v>0</v>
      </c>
      <c r="AS36" s="4794">
        <f t="shared" si="33"/>
        <v>0</v>
      </c>
    </row>
    <row r="37" spans="1:45">
      <c r="A37" s="2699"/>
      <c r="B37" s="4362"/>
      <c r="C37" s="4362"/>
      <c r="D37" s="4363" t="s">
        <v>1791</v>
      </c>
      <c r="E37" s="5401"/>
      <c r="F37" s="4364">
        <v>57</v>
      </c>
      <c r="G37" s="4364"/>
      <c r="H37" s="5401"/>
      <c r="I37" s="5401"/>
      <c r="J37" s="4364">
        <v>22</v>
      </c>
      <c r="K37" s="4364"/>
      <c r="L37" s="5413"/>
      <c r="M37" s="5413"/>
      <c r="N37" s="4364">
        <v>8</v>
      </c>
      <c r="O37" s="4364"/>
      <c r="P37" s="5401"/>
      <c r="Q37" s="5401"/>
      <c r="R37" s="4364"/>
      <c r="S37" s="4364"/>
      <c r="T37" s="5401"/>
      <c r="U37" s="5401"/>
      <c r="V37" s="4364"/>
      <c r="W37" s="4364"/>
      <c r="X37" s="5401"/>
      <c r="Y37" s="4775"/>
      <c r="Z37" s="4794">
        <f t="shared" si="14"/>
        <v>0</v>
      </c>
      <c r="AA37" s="4794">
        <f t="shared" si="15"/>
        <v>29.143637228184453</v>
      </c>
      <c r="AB37" s="4794">
        <f t="shared" si="16"/>
        <v>0</v>
      </c>
      <c r="AC37" s="4794">
        <f t="shared" si="17"/>
        <v>0</v>
      </c>
      <c r="AD37" s="4794">
        <f t="shared" si="18"/>
        <v>0</v>
      </c>
      <c r="AE37" s="4794">
        <f t="shared" si="19"/>
        <v>11.248421386316807</v>
      </c>
      <c r="AF37" s="4794">
        <f t="shared" si="20"/>
        <v>0</v>
      </c>
      <c r="AG37" s="4794">
        <f t="shared" si="21"/>
        <v>0</v>
      </c>
      <c r="AH37" s="4794">
        <f t="shared" si="22"/>
        <v>0</v>
      </c>
      <c r="AI37" s="4794">
        <f t="shared" si="23"/>
        <v>4.0903350495697479</v>
      </c>
      <c r="AJ37" s="4794">
        <f t="shared" si="24"/>
        <v>0</v>
      </c>
      <c r="AK37" s="4794">
        <f t="shared" si="25"/>
        <v>0</v>
      </c>
      <c r="AL37" s="4794">
        <f t="shared" si="26"/>
        <v>0</v>
      </c>
      <c r="AM37" s="4794">
        <f t="shared" si="27"/>
        <v>0</v>
      </c>
      <c r="AN37" s="4794">
        <f t="shared" si="28"/>
        <v>0</v>
      </c>
      <c r="AO37" s="4794">
        <f t="shared" si="29"/>
        <v>0</v>
      </c>
      <c r="AP37" s="4794">
        <f t="shared" si="30"/>
        <v>0</v>
      </c>
      <c r="AQ37" s="4794">
        <f t="shared" si="31"/>
        <v>0</v>
      </c>
      <c r="AR37" s="4794">
        <f t="shared" si="32"/>
        <v>0</v>
      </c>
      <c r="AS37" s="4794">
        <f t="shared" si="33"/>
        <v>0</v>
      </c>
    </row>
    <row r="38" spans="1:45" ht="24">
      <c r="A38" s="2699"/>
      <c r="B38" s="4362"/>
      <c r="C38" s="4362"/>
      <c r="D38" s="4363" t="s">
        <v>1792</v>
      </c>
      <c r="E38" s="5402"/>
      <c r="F38" s="4364">
        <v>-57</v>
      </c>
      <c r="G38" s="4364"/>
      <c r="H38" s="5402"/>
      <c r="I38" s="5402"/>
      <c r="J38" s="4364">
        <v>-22</v>
      </c>
      <c r="K38" s="4364"/>
      <c r="L38" s="5414"/>
      <c r="M38" s="5414"/>
      <c r="N38" s="4364">
        <v>-8</v>
      </c>
      <c r="O38" s="4364"/>
      <c r="P38" s="5402"/>
      <c r="Q38" s="5402"/>
      <c r="R38" s="4364"/>
      <c r="S38" s="4364"/>
      <c r="T38" s="5402"/>
      <c r="U38" s="5402"/>
      <c r="V38" s="4364"/>
      <c r="W38" s="4364"/>
      <c r="X38" s="5402"/>
      <c r="Y38" s="4775"/>
      <c r="Z38" s="4794">
        <f t="shared" si="14"/>
        <v>0</v>
      </c>
      <c r="AA38" s="4794">
        <f t="shared" si="15"/>
        <v>-29.143637228184453</v>
      </c>
      <c r="AB38" s="4794">
        <f t="shared" si="16"/>
        <v>0</v>
      </c>
      <c r="AC38" s="4794">
        <f t="shared" si="17"/>
        <v>0</v>
      </c>
      <c r="AD38" s="4794">
        <f t="shared" si="18"/>
        <v>0</v>
      </c>
      <c r="AE38" s="4794">
        <f t="shared" si="19"/>
        <v>-11.248421386316807</v>
      </c>
      <c r="AF38" s="4794">
        <f t="shared" si="20"/>
        <v>0</v>
      </c>
      <c r="AG38" s="4794">
        <f t="shared" si="21"/>
        <v>0</v>
      </c>
      <c r="AH38" s="4794">
        <f t="shared" si="22"/>
        <v>0</v>
      </c>
      <c r="AI38" s="4794">
        <f t="shared" si="23"/>
        <v>-4.0903350495697479</v>
      </c>
      <c r="AJ38" s="4794">
        <f t="shared" si="24"/>
        <v>0</v>
      </c>
      <c r="AK38" s="4794">
        <f t="shared" si="25"/>
        <v>0</v>
      </c>
      <c r="AL38" s="4794">
        <f t="shared" si="26"/>
        <v>0</v>
      </c>
      <c r="AM38" s="4794">
        <f t="shared" si="27"/>
        <v>0</v>
      </c>
      <c r="AN38" s="4794">
        <f t="shared" si="28"/>
        <v>0</v>
      </c>
      <c r="AO38" s="4794">
        <f t="shared" si="29"/>
        <v>0</v>
      </c>
      <c r="AP38" s="4794">
        <f t="shared" si="30"/>
        <v>0</v>
      </c>
      <c r="AQ38" s="4794">
        <f t="shared" si="31"/>
        <v>0</v>
      </c>
      <c r="AR38" s="4794">
        <f t="shared" si="32"/>
        <v>0</v>
      </c>
      <c r="AS38" s="4794">
        <f t="shared" si="33"/>
        <v>0</v>
      </c>
    </row>
    <row r="39" spans="1:45" ht="13.5" thickBot="1">
      <c r="A39" s="2699">
        <v>16</v>
      </c>
      <c r="B39" s="2704">
        <v>219</v>
      </c>
      <c r="C39" s="2705">
        <v>0.1</v>
      </c>
      <c r="D39" s="2706" t="s">
        <v>216</v>
      </c>
      <c r="E39" s="415">
        <v>103</v>
      </c>
      <c r="F39" s="415"/>
      <c r="G39" s="415"/>
      <c r="H39" s="4739">
        <f t="shared" ref="H39" si="74">+E39+F39-G39</f>
        <v>103</v>
      </c>
      <c r="I39" s="415"/>
      <c r="J39" s="415"/>
      <c r="K39" s="415"/>
      <c r="L39" s="4739">
        <f t="shared" ref="L39" si="75">+I39+J39-K39</f>
        <v>0</v>
      </c>
      <c r="M39" s="415"/>
      <c r="N39" s="415"/>
      <c r="O39" s="415"/>
      <c r="P39" s="4739">
        <f t="shared" ref="P39" si="76">+M39+N39-O39</f>
        <v>0</v>
      </c>
      <c r="Q39" s="415"/>
      <c r="R39" s="415"/>
      <c r="S39" s="415"/>
      <c r="T39" s="4739">
        <f t="shared" ref="T39" si="77">+Q39+R39-S39</f>
        <v>0</v>
      </c>
      <c r="U39" s="415"/>
      <c r="V39" s="415"/>
      <c r="W39" s="415"/>
      <c r="X39" s="4739">
        <f t="shared" ref="X39" si="78">+U39+V39-W39</f>
        <v>0</v>
      </c>
      <c r="Y39" s="4775"/>
      <c r="Z39" s="4794">
        <f t="shared" si="14"/>
        <v>52.663063763210502</v>
      </c>
      <c r="AA39" s="4794">
        <f t="shared" si="15"/>
        <v>0</v>
      </c>
      <c r="AB39" s="4794">
        <f t="shared" si="16"/>
        <v>0</v>
      </c>
      <c r="AC39" s="4794">
        <f t="shared" si="17"/>
        <v>52.663063763210502</v>
      </c>
      <c r="AD39" s="4794">
        <f t="shared" si="18"/>
        <v>0</v>
      </c>
      <c r="AE39" s="4794">
        <f t="shared" si="19"/>
        <v>0</v>
      </c>
      <c r="AF39" s="4794">
        <f t="shared" si="20"/>
        <v>0</v>
      </c>
      <c r="AG39" s="4794">
        <f t="shared" si="21"/>
        <v>0</v>
      </c>
      <c r="AH39" s="4794">
        <f t="shared" si="22"/>
        <v>0</v>
      </c>
      <c r="AI39" s="4794">
        <f t="shared" si="23"/>
        <v>0</v>
      </c>
      <c r="AJ39" s="4794">
        <f t="shared" si="24"/>
        <v>0</v>
      </c>
      <c r="AK39" s="4794">
        <f t="shared" si="25"/>
        <v>0</v>
      </c>
      <c r="AL39" s="4794">
        <f t="shared" si="26"/>
        <v>0</v>
      </c>
      <c r="AM39" s="4794">
        <f t="shared" si="27"/>
        <v>0</v>
      </c>
      <c r="AN39" s="4794">
        <f t="shared" si="28"/>
        <v>0</v>
      </c>
      <c r="AO39" s="4794">
        <f t="shared" si="29"/>
        <v>0</v>
      </c>
      <c r="AP39" s="4794">
        <f t="shared" si="30"/>
        <v>0</v>
      </c>
      <c r="AQ39" s="4794">
        <f t="shared" si="31"/>
        <v>0</v>
      </c>
      <c r="AR39" s="4794">
        <f t="shared" si="32"/>
        <v>0</v>
      </c>
      <c r="AS39" s="4794">
        <f t="shared" si="33"/>
        <v>0</v>
      </c>
    </row>
    <row r="40" spans="1:45" ht="13.5" thickBot="1">
      <c r="A40" s="4342" t="s">
        <v>206</v>
      </c>
      <c r="B40" s="5410" t="s">
        <v>220</v>
      </c>
      <c r="C40" s="5411"/>
      <c r="D40" s="5412"/>
      <c r="E40" s="2675">
        <f t="shared" ref="E40:H40" si="79">SUM(E41:E64)-E43-E49</f>
        <v>6076.5000000000009</v>
      </c>
      <c r="F40" s="2675">
        <f t="shared" si="79"/>
        <v>556</v>
      </c>
      <c r="G40" s="2675">
        <f t="shared" si="79"/>
        <v>7</v>
      </c>
      <c r="H40" s="2675">
        <f t="shared" si="79"/>
        <v>6625.5000000000009</v>
      </c>
      <c r="I40" s="2675">
        <f t="shared" ref="I40:L40" si="80">SUM(I41:I64)-I43-I49</f>
        <v>2560</v>
      </c>
      <c r="J40" s="2675">
        <f t="shared" si="80"/>
        <v>182</v>
      </c>
      <c r="K40" s="2675">
        <f t="shared" si="80"/>
        <v>0</v>
      </c>
      <c r="L40" s="2675">
        <f t="shared" si="80"/>
        <v>2742</v>
      </c>
      <c r="M40" s="2675">
        <f t="shared" ref="M40:X40" si="81">SUM(M41:M64)-M43-M49</f>
        <v>2221</v>
      </c>
      <c r="N40" s="2675">
        <f t="shared" si="81"/>
        <v>83</v>
      </c>
      <c r="O40" s="2675">
        <f t="shared" si="81"/>
        <v>0</v>
      </c>
      <c r="P40" s="2675">
        <f t="shared" si="81"/>
        <v>2304</v>
      </c>
      <c r="Q40" s="2675">
        <f t="shared" si="81"/>
        <v>0</v>
      </c>
      <c r="R40" s="2675">
        <f t="shared" si="81"/>
        <v>0</v>
      </c>
      <c r="S40" s="2675">
        <f t="shared" si="81"/>
        <v>0</v>
      </c>
      <c r="T40" s="2675">
        <f t="shared" si="81"/>
        <v>0</v>
      </c>
      <c r="U40" s="2675">
        <f t="shared" si="81"/>
        <v>0</v>
      </c>
      <c r="V40" s="2675">
        <f t="shared" si="81"/>
        <v>0</v>
      </c>
      <c r="W40" s="2675">
        <f t="shared" si="81"/>
        <v>0</v>
      </c>
      <c r="X40" s="2675">
        <f t="shared" si="81"/>
        <v>0</v>
      </c>
      <c r="Y40" s="4775"/>
      <c r="Z40" s="4794">
        <f t="shared" si="14"/>
        <v>3106.8651160888221</v>
      </c>
      <c r="AA40" s="4794">
        <f t="shared" si="15"/>
        <v>284.27828594509748</v>
      </c>
      <c r="AB40" s="4794">
        <f t="shared" si="16"/>
        <v>3.5790431683735293</v>
      </c>
      <c r="AC40" s="4794">
        <f t="shared" si="17"/>
        <v>3387.5643588655462</v>
      </c>
      <c r="AD40" s="4794">
        <f t="shared" si="18"/>
        <v>1308.9072158623194</v>
      </c>
      <c r="AE40" s="4794">
        <f t="shared" si="19"/>
        <v>93.055122377711768</v>
      </c>
      <c r="AF40" s="4794">
        <f t="shared" si="20"/>
        <v>0</v>
      </c>
      <c r="AG40" s="4794">
        <f t="shared" si="21"/>
        <v>1401.9623382400312</v>
      </c>
      <c r="AH40" s="4794">
        <f t="shared" si="22"/>
        <v>1135.5792681368014</v>
      </c>
      <c r="AI40" s="4794">
        <f t="shared" si="23"/>
        <v>42.437226139286132</v>
      </c>
      <c r="AJ40" s="4794">
        <f t="shared" si="24"/>
        <v>0</v>
      </c>
      <c r="AK40" s="4794">
        <f t="shared" si="25"/>
        <v>1178.0164942760873</v>
      </c>
      <c r="AL40" s="4794">
        <f t="shared" si="26"/>
        <v>0</v>
      </c>
      <c r="AM40" s="4794">
        <f t="shared" si="27"/>
        <v>0</v>
      </c>
      <c r="AN40" s="4794">
        <f t="shared" si="28"/>
        <v>0</v>
      </c>
      <c r="AO40" s="4794">
        <f t="shared" si="29"/>
        <v>0</v>
      </c>
      <c r="AP40" s="4794">
        <f t="shared" si="30"/>
        <v>0</v>
      </c>
      <c r="AQ40" s="4794">
        <f t="shared" si="31"/>
        <v>0</v>
      </c>
      <c r="AR40" s="4794">
        <f t="shared" si="32"/>
        <v>0</v>
      </c>
      <c r="AS40" s="4794">
        <f t="shared" si="33"/>
        <v>0</v>
      </c>
    </row>
    <row r="41" spans="1:45">
      <c r="A41" s="2677">
        <v>1</v>
      </c>
      <c r="B41" s="2677">
        <v>20101</v>
      </c>
      <c r="C41" s="2726">
        <v>0</v>
      </c>
      <c r="D41" s="2729" t="s">
        <v>556</v>
      </c>
      <c r="E41" s="414"/>
      <c r="F41" s="414"/>
      <c r="G41" s="414"/>
      <c r="H41" s="4738">
        <f t="shared" ref="H41:H42" si="82">+E41+F41-G41</f>
        <v>0</v>
      </c>
      <c r="I41" s="414"/>
      <c r="J41" s="414"/>
      <c r="K41" s="414"/>
      <c r="L41" s="4738">
        <f t="shared" ref="L41:L42" si="83">+I41+J41-K41</f>
        <v>0</v>
      </c>
      <c r="M41" s="414"/>
      <c r="N41" s="414"/>
      <c r="O41" s="414"/>
      <c r="P41" s="4738">
        <f t="shared" ref="P41:P42" si="84">+M41+N41-O41</f>
        <v>0</v>
      </c>
      <c r="Q41" s="414"/>
      <c r="R41" s="414"/>
      <c r="S41" s="414"/>
      <c r="T41" s="4738">
        <f t="shared" ref="T41:T42" si="85">+Q41+R41-S41</f>
        <v>0</v>
      </c>
      <c r="U41" s="414"/>
      <c r="V41" s="414"/>
      <c r="W41" s="414"/>
      <c r="X41" s="4738">
        <f t="shared" ref="X41:X42" si="86">+U41+V41-W41</f>
        <v>0</v>
      </c>
      <c r="Y41" s="4775"/>
      <c r="Z41" s="4794">
        <f t="shared" si="14"/>
        <v>0</v>
      </c>
      <c r="AA41" s="4794">
        <f t="shared" si="15"/>
        <v>0</v>
      </c>
      <c r="AB41" s="4794">
        <f t="shared" si="16"/>
        <v>0</v>
      </c>
      <c r="AC41" s="4794">
        <f t="shared" si="17"/>
        <v>0</v>
      </c>
      <c r="AD41" s="4794">
        <f t="shared" si="18"/>
        <v>0</v>
      </c>
      <c r="AE41" s="4794">
        <f t="shared" si="19"/>
        <v>0</v>
      </c>
      <c r="AF41" s="4794">
        <f t="shared" si="20"/>
        <v>0</v>
      </c>
      <c r="AG41" s="4794">
        <f t="shared" si="21"/>
        <v>0</v>
      </c>
      <c r="AH41" s="4794">
        <f t="shared" si="22"/>
        <v>0</v>
      </c>
      <c r="AI41" s="4794">
        <f t="shared" si="23"/>
        <v>0</v>
      </c>
      <c r="AJ41" s="4794">
        <f t="shared" si="24"/>
        <v>0</v>
      </c>
      <c r="AK41" s="4794">
        <f t="shared" si="25"/>
        <v>0</v>
      </c>
      <c r="AL41" s="4794">
        <f t="shared" si="26"/>
        <v>0</v>
      </c>
      <c r="AM41" s="4794">
        <f t="shared" si="27"/>
        <v>0</v>
      </c>
      <c r="AN41" s="4794">
        <f t="shared" si="28"/>
        <v>0</v>
      </c>
      <c r="AO41" s="4794">
        <f t="shared" si="29"/>
        <v>0</v>
      </c>
      <c r="AP41" s="4794">
        <f t="shared" si="30"/>
        <v>0</v>
      </c>
      <c r="AQ41" s="4794">
        <f t="shared" si="31"/>
        <v>0</v>
      </c>
      <c r="AR41" s="4794">
        <f t="shared" si="32"/>
        <v>0</v>
      </c>
      <c r="AS41" s="4794">
        <f t="shared" si="33"/>
        <v>0</v>
      </c>
    </row>
    <row r="42" spans="1:45" ht="24">
      <c r="A42" s="2683">
        <v>2</v>
      </c>
      <c r="B42" s="2683">
        <v>20201</v>
      </c>
      <c r="C42" s="2730">
        <v>0.03</v>
      </c>
      <c r="D42" s="2731" t="s">
        <v>425</v>
      </c>
      <c r="E42" s="2791">
        <v>720</v>
      </c>
      <c r="F42" s="2791">
        <v>35</v>
      </c>
      <c r="G42" s="2791"/>
      <c r="H42" s="2816">
        <f t="shared" si="82"/>
        <v>755</v>
      </c>
      <c r="I42" s="2791">
        <v>311</v>
      </c>
      <c r="J42" s="2791">
        <v>12</v>
      </c>
      <c r="K42" s="2791"/>
      <c r="L42" s="2816">
        <f t="shared" si="83"/>
        <v>323</v>
      </c>
      <c r="M42" s="2791">
        <v>249</v>
      </c>
      <c r="N42" s="2791">
        <v>5</v>
      </c>
      <c r="O42" s="2791"/>
      <c r="P42" s="2816">
        <f t="shared" si="84"/>
        <v>254</v>
      </c>
      <c r="Q42" s="2791"/>
      <c r="R42" s="2791"/>
      <c r="S42" s="2791"/>
      <c r="T42" s="2816">
        <f t="shared" si="85"/>
        <v>0</v>
      </c>
      <c r="U42" s="2791"/>
      <c r="V42" s="2791"/>
      <c r="W42" s="2791"/>
      <c r="X42" s="2816">
        <f t="shared" si="86"/>
        <v>0</v>
      </c>
      <c r="Y42" s="4775"/>
      <c r="Z42" s="4794">
        <f t="shared" si="14"/>
        <v>368.1301544612773</v>
      </c>
      <c r="AA42" s="4794">
        <f t="shared" si="15"/>
        <v>17.895215841867646</v>
      </c>
      <c r="AB42" s="4794">
        <f t="shared" si="16"/>
        <v>0</v>
      </c>
      <c r="AC42" s="4794">
        <f t="shared" si="17"/>
        <v>386.02537030314494</v>
      </c>
      <c r="AD42" s="4794">
        <f t="shared" si="18"/>
        <v>159.01177505202395</v>
      </c>
      <c r="AE42" s="4794">
        <f t="shared" si="19"/>
        <v>6.1355025743546223</v>
      </c>
      <c r="AF42" s="4794">
        <f t="shared" si="20"/>
        <v>0</v>
      </c>
      <c r="AG42" s="4794">
        <f t="shared" si="21"/>
        <v>165.14727762637858</v>
      </c>
      <c r="AH42" s="4794">
        <f t="shared" si="22"/>
        <v>127.3116784178584</v>
      </c>
      <c r="AI42" s="4794">
        <f t="shared" si="23"/>
        <v>2.5564594059810926</v>
      </c>
      <c r="AJ42" s="4794">
        <f t="shared" si="24"/>
        <v>0</v>
      </c>
      <c r="AK42" s="4794">
        <f t="shared" si="25"/>
        <v>129.8681378238395</v>
      </c>
      <c r="AL42" s="4794">
        <f t="shared" si="26"/>
        <v>0</v>
      </c>
      <c r="AM42" s="4794">
        <f t="shared" si="27"/>
        <v>0</v>
      </c>
      <c r="AN42" s="4794">
        <f t="shared" si="28"/>
        <v>0</v>
      </c>
      <c r="AO42" s="4794">
        <f t="shared" si="29"/>
        <v>0</v>
      </c>
      <c r="AP42" s="4794">
        <f t="shared" si="30"/>
        <v>0</v>
      </c>
      <c r="AQ42" s="4794">
        <f t="shared" si="31"/>
        <v>0</v>
      </c>
      <c r="AR42" s="4794">
        <f t="shared" si="32"/>
        <v>0</v>
      </c>
      <c r="AS42" s="4794">
        <f t="shared" si="33"/>
        <v>0</v>
      </c>
    </row>
    <row r="43" spans="1:45" ht="24">
      <c r="A43" s="2683">
        <v>3</v>
      </c>
      <c r="B43" s="2684">
        <v>203</v>
      </c>
      <c r="C43" s="2679"/>
      <c r="D43" s="2715" t="s">
        <v>405</v>
      </c>
      <c r="E43" s="2794">
        <f>SUM(E44:E47)</f>
        <v>2145.3000000000002</v>
      </c>
      <c r="F43" s="2794">
        <f t="shared" ref="F43:H43" si="87">SUM(F44:F47)</f>
        <v>322</v>
      </c>
      <c r="G43" s="2794">
        <f t="shared" si="87"/>
        <v>7</v>
      </c>
      <c r="H43" s="2794">
        <f t="shared" si="87"/>
        <v>2460.3000000000002</v>
      </c>
      <c r="I43" s="2794">
        <f>SUM(I44:I47)</f>
        <v>1232</v>
      </c>
      <c r="J43" s="2794">
        <f t="shared" ref="J43:L43" si="88">SUM(J44:J47)</f>
        <v>134</v>
      </c>
      <c r="K43" s="2794">
        <f t="shared" si="88"/>
        <v>0</v>
      </c>
      <c r="L43" s="2794">
        <f t="shared" si="88"/>
        <v>1366</v>
      </c>
      <c r="M43" s="2794">
        <f>SUM(M44:M47)</f>
        <v>436</v>
      </c>
      <c r="N43" s="2794">
        <f t="shared" ref="N43:P43" si="89">SUM(N44:N47)</f>
        <v>50</v>
      </c>
      <c r="O43" s="2794">
        <f t="shared" si="89"/>
        <v>0</v>
      </c>
      <c r="P43" s="2794">
        <f t="shared" si="89"/>
        <v>486</v>
      </c>
      <c r="Q43" s="2794">
        <f>SUM(Q44:Q47)</f>
        <v>0</v>
      </c>
      <c r="R43" s="2794">
        <f t="shared" ref="R43:T43" si="90">SUM(R44:R47)</f>
        <v>0</v>
      </c>
      <c r="S43" s="2794">
        <f t="shared" si="90"/>
        <v>0</v>
      </c>
      <c r="T43" s="2794">
        <f t="shared" si="90"/>
        <v>0</v>
      </c>
      <c r="U43" s="2794">
        <f>SUM(U44:U47)</f>
        <v>0</v>
      </c>
      <c r="V43" s="2794">
        <f t="shared" ref="V43:X43" si="91">SUM(V44:V47)</f>
        <v>0</v>
      </c>
      <c r="W43" s="2794">
        <f t="shared" si="91"/>
        <v>0</v>
      </c>
      <c r="X43" s="2794">
        <f t="shared" si="91"/>
        <v>0</v>
      </c>
      <c r="Y43" s="4775"/>
      <c r="Z43" s="4794">
        <f t="shared" si="14"/>
        <v>1096.8744727302476</v>
      </c>
      <c r="AA43" s="4794">
        <f t="shared" si="15"/>
        <v>164.63598574518235</v>
      </c>
      <c r="AB43" s="4794">
        <f t="shared" si="16"/>
        <v>3.5790431683735293</v>
      </c>
      <c r="AC43" s="4794">
        <f t="shared" si="17"/>
        <v>1257.9314153070566</v>
      </c>
      <c r="AD43" s="4794">
        <f t="shared" si="18"/>
        <v>629.91159763374117</v>
      </c>
      <c r="AE43" s="4794">
        <f t="shared" si="19"/>
        <v>68.513112080293283</v>
      </c>
      <c r="AF43" s="4794">
        <f t="shared" si="20"/>
        <v>0</v>
      </c>
      <c r="AG43" s="4794">
        <f t="shared" si="21"/>
        <v>698.42470971403452</v>
      </c>
      <c r="AH43" s="4794">
        <f t="shared" si="22"/>
        <v>222.92326020155127</v>
      </c>
      <c r="AI43" s="4794">
        <f t="shared" si="23"/>
        <v>25.564594059810926</v>
      </c>
      <c r="AJ43" s="4794">
        <f t="shared" si="24"/>
        <v>0</v>
      </c>
      <c r="AK43" s="4794">
        <f t="shared" si="25"/>
        <v>248.4878542613622</v>
      </c>
      <c r="AL43" s="4794">
        <f t="shared" si="26"/>
        <v>0</v>
      </c>
      <c r="AM43" s="4794">
        <f t="shared" si="27"/>
        <v>0</v>
      </c>
      <c r="AN43" s="4794">
        <f t="shared" si="28"/>
        <v>0</v>
      </c>
      <c r="AO43" s="4794">
        <f t="shared" si="29"/>
        <v>0</v>
      </c>
      <c r="AP43" s="4794">
        <f t="shared" si="30"/>
        <v>0</v>
      </c>
      <c r="AQ43" s="4794">
        <f t="shared" si="31"/>
        <v>0</v>
      </c>
      <c r="AR43" s="4794">
        <f t="shared" si="32"/>
        <v>0</v>
      </c>
      <c r="AS43" s="4794">
        <f t="shared" si="33"/>
        <v>0</v>
      </c>
    </row>
    <row r="44" spans="1:45">
      <c r="A44" s="2683"/>
      <c r="B44" s="2684">
        <v>20301</v>
      </c>
      <c r="C44" s="2690">
        <v>0.1</v>
      </c>
      <c r="D44" s="2718" t="s">
        <v>427</v>
      </c>
      <c r="E44" s="2791">
        <v>384</v>
      </c>
      <c r="F44" s="414">
        <v>52</v>
      </c>
      <c r="G44" s="414"/>
      <c r="H44" s="4738">
        <f t="shared" ref="H44:H48" si="92">+E44+F44-G44</f>
        <v>436</v>
      </c>
      <c r="I44" s="2791">
        <v>56</v>
      </c>
      <c r="J44" s="414">
        <v>9</v>
      </c>
      <c r="K44" s="414"/>
      <c r="L44" s="4738">
        <f t="shared" ref="L44:L48" si="93">+I44+J44-K44</f>
        <v>65</v>
      </c>
      <c r="M44" s="2791">
        <v>149</v>
      </c>
      <c r="N44" s="414">
        <v>37</v>
      </c>
      <c r="O44" s="414"/>
      <c r="P44" s="4738">
        <f t="shared" ref="P44:P48" si="94">+M44+N44-O44</f>
        <v>186</v>
      </c>
      <c r="Q44" s="2791"/>
      <c r="R44" s="414"/>
      <c r="S44" s="414"/>
      <c r="T44" s="4738">
        <f t="shared" ref="T44:T48" si="95">+Q44+R44-S44</f>
        <v>0</v>
      </c>
      <c r="U44" s="2791"/>
      <c r="V44" s="414"/>
      <c r="W44" s="414"/>
      <c r="X44" s="4738">
        <f t="shared" ref="X44:X48" si="96">+U44+V44-W44</f>
        <v>0</v>
      </c>
      <c r="Y44" s="4775"/>
      <c r="Z44" s="4794">
        <f t="shared" si="14"/>
        <v>196.33608237934791</v>
      </c>
      <c r="AA44" s="4794">
        <f t="shared" si="15"/>
        <v>26.587177822203362</v>
      </c>
      <c r="AB44" s="4794">
        <f t="shared" si="16"/>
        <v>0</v>
      </c>
      <c r="AC44" s="4794">
        <f t="shared" si="17"/>
        <v>222.92326020155127</v>
      </c>
      <c r="AD44" s="4794">
        <f t="shared" si="18"/>
        <v>28.632345346988235</v>
      </c>
      <c r="AE44" s="4794">
        <f t="shared" si="19"/>
        <v>4.6016269307659661</v>
      </c>
      <c r="AF44" s="4794">
        <f t="shared" si="20"/>
        <v>0</v>
      </c>
      <c r="AG44" s="4794">
        <f t="shared" si="21"/>
        <v>33.233972277754205</v>
      </c>
      <c r="AH44" s="4794">
        <f t="shared" si="22"/>
        <v>76.182490298236559</v>
      </c>
      <c r="AI44" s="4794">
        <f t="shared" si="23"/>
        <v>18.917799604260086</v>
      </c>
      <c r="AJ44" s="4794">
        <f t="shared" si="24"/>
        <v>0</v>
      </c>
      <c r="AK44" s="4794">
        <f t="shared" si="25"/>
        <v>95.100289902496641</v>
      </c>
      <c r="AL44" s="4794">
        <f t="shared" si="26"/>
        <v>0</v>
      </c>
      <c r="AM44" s="4794">
        <f t="shared" si="27"/>
        <v>0</v>
      </c>
      <c r="AN44" s="4794">
        <f t="shared" si="28"/>
        <v>0</v>
      </c>
      <c r="AO44" s="4794">
        <f t="shared" si="29"/>
        <v>0</v>
      </c>
      <c r="AP44" s="4794">
        <f t="shared" si="30"/>
        <v>0</v>
      </c>
      <c r="AQ44" s="4794">
        <f t="shared" si="31"/>
        <v>0</v>
      </c>
      <c r="AR44" s="4794">
        <f t="shared" si="32"/>
        <v>0</v>
      </c>
      <c r="AS44" s="4794">
        <f t="shared" si="33"/>
        <v>0</v>
      </c>
    </row>
    <row r="45" spans="1:45">
      <c r="A45" s="2683"/>
      <c r="B45" s="2684">
        <v>20302</v>
      </c>
      <c r="C45" s="2690">
        <v>0.1</v>
      </c>
      <c r="D45" s="2718" t="s">
        <v>428</v>
      </c>
      <c r="E45" s="2791">
        <v>94</v>
      </c>
      <c r="F45" s="414">
        <v>9</v>
      </c>
      <c r="G45" s="414"/>
      <c r="H45" s="4738">
        <f t="shared" si="92"/>
        <v>103</v>
      </c>
      <c r="I45" s="2791">
        <v>27</v>
      </c>
      <c r="J45" s="414"/>
      <c r="K45" s="414"/>
      <c r="L45" s="4738">
        <f t="shared" si="93"/>
        <v>27</v>
      </c>
      <c r="M45" s="2791">
        <v>27</v>
      </c>
      <c r="N45" s="414">
        <v>1</v>
      </c>
      <c r="O45" s="414"/>
      <c r="P45" s="4738">
        <f t="shared" si="94"/>
        <v>28</v>
      </c>
      <c r="Q45" s="2791"/>
      <c r="R45" s="414"/>
      <c r="S45" s="414"/>
      <c r="T45" s="4738">
        <f t="shared" si="95"/>
        <v>0</v>
      </c>
      <c r="U45" s="2791"/>
      <c r="V45" s="414"/>
      <c r="W45" s="414"/>
      <c r="X45" s="4738">
        <f t="shared" si="96"/>
        <v>0</v>
      </c>
      <c r="Y45" s="4775"/>
      <c r="Z45" s="4794">
        <f t="shared" si="14"/>
        <v>48.061436832444535</v>
      </c>
      <c r="AA45" s="4794">
        <f t="shared" si="15"/>
        <v>4.6016269307659661</v>
      </c>
      <c r="AB45" s="4794">
        <f t="shared" si="16"/>
        <v>0</v>
      </c>
      <c r="AC45" s="4794">
        <f t="shared" si="17"/>
        <v>52.663063763210502</v>
      </c>
      <c r="AD45" s="4794">
        <f t="shared" si="18"/>
        <v>13.804880792297899</v>
      </c>
      <c r="AE45" s="4794">
        <f t="shared" si="19"/>
        <v>0</v>
      </c>
      <c r="AF45" s="4794">
        <f t="shared" si="20"/>
        <v>0</v>
      </c>
      <c r="AG45" s="4794">
        <f t="shared" si="21"/>
        <v>13.804880792297899</v>
      </c>
      <c r="AH45" s="4794">
        <f t="shared" si="22"/>
        <v>13.804880792297899</v>
      </c>
      <c r="AI45" s="4794">
        <f t="shared" si="23"/>
        <v>0.51129188119621849</v>
      </c>
      <c r="AJ45" s="4794">
        <f t="shared" si="24"/>
        <v>0</v>
      </c>
      <c r="AK45" s="4794">
        <f t="shared" si="25"/>
        <v>14.316172673494117</v>
      </c>
      <c r="AL45" s="4794">
        <f t="shared" si="26"/>
        <v>0</v>
      </c>
      <c r="AM45" s="4794">
        <f t="shared" si="27"/>
        <v>0</v>
      </c>
      <c r="AN45" s="4794">
        <f t="shared" si="28"/>
        <v>0</v>
      </c>
      <c r="AO45" s="4794">
        <f t="shared" si="29"/>
        <v>0</v>
      </c>
      <c r="AP45" s="4794">
        <f t="shared" si="30"/>
        <v>0</v>
      </c>
      <c r="AQ45" s="4794">
        <f t="shared" si="31"/>
        <v>0</v>
      </c>
      <c r="AR45" s="4794">
        <f t="shared" si="32"/>
        <v>0</v>
      </c>
      <c r="AS45" s="4794">
        <f t="shared" si="33"/>
        <v>0</v>
      </c>
    </row>
    <row r="46" spans="1:45" ht="24">
      <c r="A46" s="2683"/>
      <c r="B46" s="2684">
        <v>20303</v>
      </c>
      <c r="C46" s="2679">
        <v>0.1</v>
      </c>
      <c r="D46" s="2718" t="s">
        <v>406</v>
      </c>
      <c r="E46" s="2791">
        <v>1512.3</v>
      </c>
      <c r="F46" s="414">
        <v>246</v>
      </c>
      <c r="G46" s="414"/>
      <c r="H46" s="4738">
        <f t="shared" si="92"/>
        <v>1758.3</v>
      </c>
      <c r="I46" s="2791">
        <v>1065</v>
      </c>
      <c r="J46" s="414">
        <v>121</v>
      </c>
      <c r="K46" s="414"/>
      <c r="L46" s="4738">
        <f t="shared" si="93"/>
        <v>1186</v>
      </c>
      <c r="M46" s="2791">
        <v>184</v>
      </c>
      <c r="N46" s="414">
        <v>7</v>
      </c>
      <c r="O46" s="414"/>
      <c r="P46" s="4738">
        <f t="shared" si="94"/>
        <v>191</v>
      </c>
      <c r="Q46" s="2791"/>
      <c r="R46" s="414"/>
      <c r="S46" s="414"/>
      <c r="T46" s="4738">
        <f t="shared" si="95"/>
        <v>0</v>
      </c>
      <c r="U46" s="2791"/>
      <c r="V46" s="414"/>
      <c r="W46" s="414"/>
      <c r="X46" s="4738">
        <f t="shared" si="96"/>
        <v>0</v>
      </c>
      <c r="Y46" s="4775"/>
      <c r="Z46" s="4794">
        <f t="shared" si="14"/>
        <v>773.2267119330412</v>
      </c>
      <c r="AA46" s="4794">
        <f t="shared" si="15"/>
        <v>125.77780277426974</v>
      </c>
      <c r="AB46" s="4794">
        <f t="shared" si="16"/>
        <v>0</v>
      </c>
      <c r="AC46" s="4794">
        <f t="shared" si="17"/>
        <v>899.00451470731093</v>
      </c>
      <c r="AD46" s="4794">
        <f t="shared" si="18"/>
        <v>544.52585347397269</v>
      </c>
      <c r="AE46" s="4794">
        <f t="shared" si="19"/>
        <v>61.866317624742436</v>
      </c>
      <c r="AF46" s="4794">
        <f t="shared" si="20"/>
        <v>0</v>
      </c>
      <c r="AG46" s="4794">
        <f t="shared" si="21"/>
        <v>606.39217109871515</v>
      </c>
      <c r="AH46" s="4794">
        <f t="shared" si="22"/>
        <v>94.077706140104198</v>
      </c>
      <c r="AI46" s="4794">
        <f t="shared" si="23"/>
        <v>3.5790431683735293</v>
      </c>
      <c r="AJ46" s="4794">
        <f t="shared" si="24"/>
        <v>0</v>
      </c>
      <c r="AK46" s="4794">
        <f t="shared" si="25"/>
        <v>97.656749308477728</v>
      </c>
      <c r="AL46" s="4794">
        <f t="shared" si="26"/>
        <v>0</v>
      </c>
      <c r="AM46" s="4794">
        <f t="shared" si="27"/>
        <v>0</v>
      </c>
      <c r="AN46" s="4794">
        <f t="shared" si="28"/>
        <v>0</v>
      </c>
      <c r="AO46" s="4794">
        <f t="shared" si="29"/>
        <v>0</v>
      </c>
      <c r="AP46" s="4794">
        <f t="shared" si="30"/>
        <v>0</v>
      </c>
      <c r="AQ46" s="4794">
        <f t="shared" si="31"/>
        <v>0</v>
      </c>
      <c r="AR46" s="4794">
        <f t="shared" si="32"/>
        <v>0</v>
      </c>
      <c r="AS46" s="4794">
        <f t="shared" si="33"/>
        <v>0</v>
      </c>
    </row>
    <row r="47" spans="1:45" ht="24">
      <c r="A47" s="2683"/>
      <c r="B47" s="2684">
        <v>20306</v>
      </c>
      <c r="C47" s="2679">
        <v>0.1</v>
      </c>
      <c r="D47" s="2718" t="s">
        <v>409</v>
      </c>
      <c r="E47" s="2791">
        <v>155</v>
      </c>
      <c r="F47" s="414">
        <v>15</v>
      </c>
      <c r="G47" s="414">
        <v>7</v>
      </c>
      <c r="H47" s="4738">
        <f t="shared" si="92"/>
        <v>163</v>
      </c>
      <c r="I47" s="2791">
        <v>84</v>
      </c>
      <c r="J47" s="414">
        <v>4</v>
      </c>
      <c r="K47" s="414"/>
      <c r="L47" s="4738">
        <f t="shared" si="93"/>
        <v>88</v>
      </c>
      <c r="M47" s="2791">
        <v>76</v>
      </c>
      <c r="N47" s="414">
        <v>5</v>
      </c>
      <c r="O47" s="414"/>
      <c r="P47" s="4738">
        <f t="shared" si="94"/>
        <v>81</v>
      </c>
      <c r="Q47" s="2791"/>
      <c r="R47" s="414"/>
      <c r="S47" s="414"/>
      <c r="T47" s="4738">
        <f t="shared" si="95"/>
        <v>0</v>
      </c>
      <c r="U47" s="2791"/>
      <c r="V47" s="414"/>
      <c r="W47" s="414"/>
      <c r="X47" s="4738">
        <f t="shared" si="96"/>
        <v>0</v>
      </c>
      <c r="Y47" s="4775"/>
      <c r="Z47" s="4794">
        <f t="shared" si="14"/>
        <v>79.25024158541386</v>
      </c>
      <c r="AA47" s="4794">
        <f t="shared" si="15"/>
        <v>7.6693782179432777</v>
      </c>
      <c r="AB47" s="4794">
        <f t="shared" si="16"/>
        <v>3.5790431683735293</v>
      </c>
      <c r="AC47" s="4794">
        <f t="shared" si="17"/>
        <v>83.34057663498362</v>
      </c>
      <c r="AD47" s="4794">
        <f t="shared" si="18"/>
        <v>42.948518020482354</v>
      </c>
      <c r="AE47" s="4794">
        <f t="shared" si="19"/>
        <v>2.045167524784874</v>
      </c>
      <c r="AF47" s="4794">
        <f t="shared" si="20"/>
        <v>0</v>
      </c>
      <c r="AG47" s="4794">
        <f t="shared" si="21"/>
        <v>44.993685545267226</v>
      </c>
      <c r="AH47" s="4794">
        <f t="shared" si="22"/>
        <v>38.858182970912608</v>
      </c>
      <c r="AI47" s="4794">
        <f t="shared" si="23"/>
        <v>2.5564594059810926</v>
      </c>
      <c r="AJ47" s="4794">
        <f t="shared" si="24"/>
        <v>0</v>
      </c>
      <c r="AK47" s="4794">
        <f t="shared" si="25"/>
        <v>41.414642376893696</v>
      </c>
      <c r="AL47" s="4794">
        <f t="shared" si="26"/>
        <v>0</v>
      </c>
      <c r="AM47" s="4794">
        <f t="shared" si="27"/>
        <v>0</v>
      </c>
      <c r="AN47" s="4794">
        <f t="shared" si="28"/>
        <v>0</v>
      </c>
      <c r="AO47" s="4794">
        <f t="shared" si="29"/>
        <v>0</v>
      </c>
      <c r="AP47" s="4794">
        <f t="shared" si="30"/>
        <v>0</v>
      </c>
      <c r="AQ47" s="4794">
        <f t="shared" si="31"/>
        <v>0</v>
      </c>
      <c r="AR47" s="4794">
        <f t="shared" si="32"/>
        <v>0</v>
      </c>
      <c r="AS47" s="4794">
        <f t="shared" si="33"/>
        <v>0</v>
      </c>
    </row>
    <row r="48" spans="1:45">
      <c r="A48" s="2683">
        <v>4</v>
      </c>
      <c r="B48" s="2684">
        <v>20403</v>
      </c>
      <c r="C48" s="2690">
        <v>0.04</v>
      </c>
      <c r="D48" s="2720" t="s">
        <v>434</v>
      </c>
      <c r="E48" s="2791">
        <v>48</v>
      </c>
      <c r="F48" s="414">
        <v>4</v>
      </c>
      <c r="G48" s="414"/>
      <c r="H48" s="4738">
        <f t="shared" si="92"/>
        <v>52</v>
      </c>
      <c r="I48" s="2791"/>
      <c r="J48" s="414"/>
      <c r="K48" s="414"/>
      <c r="L48" s="4738">
        <f t="shared" si="93"/>
        <v>0</v>
      </c>
      <c r="M48" s="2791">
        <v>1</v>
      </c>
      <c r="N48" s="414"/>
      <c r="O48" s="414"/>
      <c r="P48" s="4738">
        <f t="shared" si="94"/>
        <v>1</v>
      </c>
      <c r="Q48" s="2791"/>
      <c r="R48" s="414"/>
      <c r="S48" s="414"/>
      <c r="T48" s="4738">
        <f t="shared" si="95"/>
        <v>0</v>
      </c>
      <c r="U48" s="2791"/>
      <c r="V48" s="414"/>
      <c r="W48" s="414"/>
      <c r="X48" s="4738">
        <f t="shared" si="96"/>
        <v>0</v>
      </c>
      <c r="Y48" s="4775"/>
      <c r="Z48" s="4794">
        <f t="shared" si="14"/>
        <v>24.542010297418489</v>
      </c>
      <c r="AA48" s="4794">
        <f t="shared" si="15"/>
        <v>2.045167524784874</v>
      </c>
      <c r="AB48" s="4794">
        <f t="shared" si="16"/>
        <v>0</v>
      </c>
      <c r="AC48" s="4794">
        <f t="shared" si="17"/>
        <v>26.587177822203362</v>
      </c>
      <c r="AD48" s="4794">
        <f t="shared" si="18"/>
        <v>0</v>
      </c>
      <c r="AE48" s="4794">
        <f t="shared" si="19"/>
        <v>0</v>
      </c>
      <c r="AF48" s="4794">
        <f t="shared" si="20"/>
        <v>0</v>
      </c>
      <c r="AG48" s="4794">
        <f t="shared" si="21"/>
        <v>0</v>
      </c>
      <c r="AH48" s="4794">
        <f t="shared" si="22"/>
        <v>0.51129188119621849</v>
      </c>
      <c r="AI48" s="4794">
        <f t="shared" si="23"/>
        <v>0</v>
      </c>
      <c r="AJ48" s="4794">
        <f t="shared" si="24"/>
        <v>0</v>
      </c>
      <c r="AK48" s="4794">
        <f t="shared" si="25"/>
        <v>0.51129188119621849</v>
      </c>
      <c r="AL48" s="4794">
        <f t="shared" si="26"/>
        <v>0</v>
      </c>
      <c r="AM48" s="4794">
        <f t="shared" si="27"/>
        <v>0</v>
      </c>
      <c r="AN48" s="4794">
        <f t="shared" si="28"/>
        <v>0</v>
      </c>
      <c r="AO48" s="4794">
        <f t="shared" si="29"/>
        <v>0</v>
      </c>
      <c r="AP48" s="4794">
        <f t="shared" si="30"/>
        <v>0</v>
      </c>
      <c r="AQ48" s="4794">
        <f t="shared" si="31"/>
        <v>0</v>
      </c>
      <c r="AR48" s="4794">
        <f t="shared" si="32"/>
        <v>0</v>
      </c>
      <c r="AS48" s="4794">
        <f t="shared" si="33"/>
        <v>0</v>
      </c>
    </row>
    <row r="49" spans="1:45">
      <c r="A49" s="2683">
        <v>5</v>
      </c>
      <c r="B49" s="2684">
        <v>205</v>
      </c>
      <c r="C49" s="2679"/>
      <c r="D49" s="2715" t="s">
        <v>212</v>
      </c>
      <c r="E49" s="2785">
        <f>SUM(E50:E53)</f>
        <v>2373.1999999999998</v>
      </c>
      <c r="F49" s="2785">
        <f t="shared" ref="F49:H49" si="97">SUM(F50:F53)</f>
        <v>114</v>
      </c>
      <c r="G49" s="2785">
        <f t="shared" si="97"/>
        <v>0</v>
      </c>
      <c r="H49" s="2785">
        <f t="shared" si="97"/>
        <v>2487.1999999999998</v>
      </c>
      <c r="I49" s="2785">
        <f>SUM(I50:I53)</f>
        <v>623</v>
      </c>
      <c r="J49" s="2785">
        <f t="shared" ref="J49:L49" si="98">SUM(J50:J53)</f>
        <v>15</v>
      </c>
      <c r="K49" s="2785">
        <f t="shared" si="98"/>
        <v>0</v>
      </c>
      <c r="L49" s="2785">
        <f t="shared" si="98"/>
        <v>638</v>
      </c>
      <c r="M49" s="2785">
        <f>SUM(M50:M53)</f>
        <v>1190</v>
      </c>
      <c r="N49" s="2785">
        <f t="shared" ref="N49:P49" si="99">SUM(N50:N53)</f>
        <v>18</v>
      </c>
      <c r="O49" s="2785">
        <f t="shared" si="99"/>
        <v>0</v>
      </c>
      <c r="P49" s="2785">
        <f t="shared" si="99"/>
        <v>1208</v>
      </c>
      <c r="Q49" s="2785">
        <f>SUM(Q50:Q53)</f>
        <v>0</v>
      </c>
      <c r="R49" s="2785">
        <f t="shared" ref="R49:T49" si="100">SUM(R50:R53)</f>
        <v>0</v>
      </c>
      <c r="S49" s="2785">
        <f t="shared" si="100"/>
        <v>0</v>
      </c>
      <c r="T49" s="2785">
        <f t="shared" si="100"/>
        <v>0</v>
      </c>
      <c r="U49" s="2785">
        <f>SUM(U50:U53)</f>
        <v>0</v>
      </c>
      <c r="V49" s="2785">
        <f t="shared" ref="V49:X49" si="101">SUM(V50:V53)</f>
        <v>0</v>
      </c>
      <c r="W49" s="2785">
        <f t="shared" si="101"/>
        <v>0</v>
      </c>
      <c r="X49" s="2785">
        <f t="shared" si="101"/>
        <v>0</v>
      </c>
      <c r="Y49" s="4775"/>
      <c r="Z49" s="4794">
        <f t="shared" si="14"/>
        <v>1213.3978924548655</v>
      </c>
      <c r="AA49" s="4794">
        <f t="shared" si="15"/>
        <v>58.287274456368905</v>
      </c>
      <c r="AB49" s="4794">
        <f t="shared" si="16"/>
        <v>0</v>
      </c>
      <c r="AC49" s="4794">
        <f t="shared" si="17"/>
        <v>1271.6851669112345</v>
      </c>
      <c r="AD49" s="4794">
        <f t="shared" si="18"/>
        <v>318.5348419852441</v>
      </c>
      <c r="AE49" s="4794">
        <f t="shared" si="19"/>
        <v>7.6693782179432777</v>
      </c>
      <c r="AF49" s="4794">
        <f t="shared" si="20"/>
        <v>0</v>
      </c>
      <c r="AG49" s="4794">
        <f t="shared" si="21"/>
        <v>326.20422020318739</v>
      </c>
      <c r="AH49" s="4794">
        <f t="shared" si="22"/>
        <v>608.43733862349995</v>
      </c>
      <c r="AI49" s="4794">
        <f t="shared" si="23"/>
        <v>9.2032538615319321</v>
      </c>
      <c r="AJ49" s="4794">
        <f t="shared" si="24"/>
        <v>0</v>
      </c>
      <c r="AK49" s="4794">
        <f t="shared" si="25"/>
        <v>617.6405924850319</v>
      </c>
      <c r="AL49" s="4794">
        <f t="shared" si="26"/>
        <v>0</v>
      </c>
      <c r="AM49" s="4794">
        <f t="shared" si="27"/>
        <v>0</v>
      </c>
      <c r="AN49" s="4794">
        <f t="shared" si="28"/>
        <v>0</v>
      </c>
      <c r="AO49" s="4794">
        <f t="shared" si="29"/>
        <v>0</v>
      </c>
      <c r="AP49" s="4794">
        <f t="shared" si="30"/>
        <v>0</v>
      </c>
      <c r="AQ49" s="4794">
        <f t="shared" si="31"/>
        <v>0</v>
      </c>
      <c r="AR49" s="4794">
        <f t="shared" si="32"/>
        <v>0</v>
      </c>
      <c r="AS49" s="4794">
        <f t="shared" si="33"/>
        <v>0</v>
      </c>
    </row>
    <row r="50" spans="1:45">
      <c r="A50" s="2694"/>
      <c r="B50" s="2695">
        <v>20501</v>
      </c>
      <c r="C50" s="2679">
        <v>0.08</v>
      </c>
      <c r="D50" s="2721" t="s">
        <v>410</v>
      </c>
      <c r="E50" s="2791">
        <v>1297.2</v>
      </c>
      <c r="F50" s="414">
        <v>49</v>
      </c>
      <c r="G50" s="414"/>
      <c r="H50" s="4738">
        <f t="shared" ref="H50:H64" si="102">+E50+F50-G50</f>
        <v>1346.2</v>
      </c>
      <c r="I50" s="2791">
        <v>269</v>
      </c>
      <c r="J50" s="414">
        <v>13</v>
      </c>
      <c r="K50" s="414"/>
      <c r="L50" s="4738">
        <f t="shared" ref="L50:L64" si="103">+I50+J50-K50</f>
        <v>282</v>
      </c>
      <c r="M50" s="2791">
        <v>907</v>
      </c>
      <c r="N50" s="414">
        <v>4</v>
      </c>
      <c r="O50" s="414"/>
      <c r="P50" s="4738">
        <f t="shared" ref="P50:P64" si="104">+M50+N50-O50</f>
        <v>911</v>
      </c>
      <c r="Q50" s="2791"/>
      <c r="R50" s="414"/>
      <c r="S50" s="414"/>
      <c r="T50" s="4738">
        <f t="shared" ref="T50:T64" si="105">+Q50+R50-S50</f>
        <v>0</v>
      </c>
      <c r="U50" s="2791"/>
      <c r="V50" s="414"/>
      <c r="W50" s="414"/>
      <c r="X50" s="4738">
        <f t="shared" ref="X50:X64" si="106">+U50+V50-W50</f>
        <v>0</v>
      </c>
      <c r="Y50" s="4775"/>
      <c r="Z50" s="4794">
        <f t="shared" si="14"/>
        <v>663.24782828773471</v>
      </c>
      <c r="AA50" s="4794">
        <f t="shared" si="15"/>
        <v>25.053302178614707</v>
      </c>
      <c r="AB50" s="4794">
        <f t="shared" si="16"/>
        <v>0</v>
      </c>
      <c r="AC50" s="4794">
        <f t="shared" si="17"/>
        <v>688.30113046634938</v>
      </c>
      <c r="AD50" s="4794">
        <f t="shared" si="18"/>
        <v>137.53751604178277</v>
      </c>
      <c r="AE50" s="4794">
        <f t="shared" si="19"/>
        <v>6.6467944555508405</v>
      </c>
      <c r="AF50" s="4794">
        <f t="shared" si="20"/>
        <v>0</v>
      </c>
      <c r="AG50" s="4794">
        <f t="shared" si="21"/>
        <v>144.18431049733363</v>
      </c>
      <c r="AH50" s="4794">
        <f t="shared" si="22"/>
        <v>463.74173624497018</v>
      </c>
      <c r="AI50" s="4794">
        <f t="shared" si="23"/>
        <v>2.045167524784874</v>
      </c>
      <c r="AJ50" s="4794">
        <f t="shared" si="24"/>
        <v>0</v>
      </c>
      <c r="AK50" s="4794">
        <f t="shared" si="25"/>
        <v>465.78690376975504</v>
      </c>
      <c r="AL50" s="4794">
        <f t="shared" si="26"/>
        <v>0</v>
      </c>
      <c r="AM50" s="4794">
        <f t="shared" si="27"/>
        <v>0</v>
      </c>
      <c r="AN50" s="4794">
        <f t="shared" si="28"/>
        <v>0</v>
      </c>
      <c r="AO50" s="4794">
        <f t="shared" si="29"/>
        <v>0</v>
      </c>
      <c r="AP50" s="4794">
        <f t="shared" si="30"/>
        <v>0</v>
      </c>
      <c r="AQ50" s="4794">
        <f t="shared" si="31"/>
        <v>0</v>
      </c>
      <c r="AR50" s="4794">
        <f t="shared" si="32"/>
        <v>0</v>
      </c>
      <c r="AS50" s="4794">
        <f t="shared" si="33"/>
        <v>0</v>
      </c>
    </row>
    <row r="51" spans="1:45">
      <c r="A51" s="2694"/>
      <c r="B51" s="2695">
        <v>20502</v>
      </c>
      <c r="C51" s="2679">
        <v>0.1</v>
      </c>
      <c r="D51" s="2721" t="s">
        <v>411</v>
      </c>
      <c r="E51" s="2791">
        <v>955</v>
      </c>
      <c r="F51" s="414">
        <v>57</v>
      </c>
      <c r="G51" s="414"/>
      <c r="H51" s="4738">
        <f t="shared" si="102"/>
        <v>1012</v>
      </c>
      <c r="I51" s="2791">
        <v>298</v>
      </c>
      <c r="J51" s="414">
        <v>2</v>
      </c>
      <c r="K51" s="414"/>
      <c r="L51" s="4738">
        <f t="shared" si="103"/>
        <v>300</v>
      </c>
      <c r="M51" s="2791">
        <v>245</v>
      </c>
      <c r="N51" s="414">
        <v>12</v>
      </c>
      <c r="O51" s="414"/>
      <c r="P51" s="4738">
        <f t="shared" si="104"/>
        <v>257</v>
      </c>
      <c r="Q51" s="2791"/>
      <c r="R51" s="414"/>
      <c r="S51" s="414"/>
      <c r="T51" s="4738">
        <f t="shared" si="105"/>
        <v>0</v>
      </c>
      <c r="U51" s="2791"/>
      <c r="V51" s="414"/>
      <c r="W51" s="414"/>
      <c r="X51" s="4738">
        <f t="shared" si="106"/>
        <v>0</v>
      </c>
      <c r="Y51" s="4775"/>
      <c r="Z51" s="4794">
        <f t="shared" si="14"/>
        <v>488.28374654238866</v>
      </c>
      <c r="AA51" s="4794">
        <f t="shared" si="15"/>
        <v>29.143637228184453</v>
      </c>
      <c r="AB51" s="4794">
        <f t="shared" si="16"/>
        <v>0</v>
      </c>
      <c r="AC51" s="4794">
        <f t="shared" si="17"/>
        <v>517.4273837705731</v>
      </c>
      <c r="AD51" s="4794">
        <f t="shared" si="18"/>
        <v>152.36498059647312</v>
      </c>
      <c r="AE51" s="4794">
        <f t="shared" si="19"/>
        <v>1.022583762392437</v>
      </c>
      <c r="AF51" s="4794">
        <f t="shared" si="20"/>
        <v>0</v>
      </c>
      <c r="AG51" s="4794">
        <f t="shared" si="21"/>
        <v>153.38756435886555</v>
      </c>
      <c r="AH51" s="4794">
        <f t="shared" si="22"/>
        <v>125.26651089307353</v>
      </c>
      <c r="AI51" s="4794">
        <f t="shared" si="23"/>
        <v>6.1355025743546223</v>
      </c>
      <c r="AJ51" s="4794">
        <f t="shared" si="24"/>
        <v>0</v>
      </c>
      <c r="AK51" s="4794">
        <f t="shared" si="25"/>
        <v>131.40201346742816</v>
      </c>
      <c r="AL51" s="4794">
        <f t="shared" si="26"/>
        <v>0</v>
      </c>
      <c r="AM51" s="4794">
        <f t="shared" si="27"/>
        <v>0</v>
      </c>
      <c r="AN51" s="4794">
        <f t="shared" si="28"/>
        <v>0</v>
      </c>
      <c r="AO51" s="4794">
        <f t="shared" si="29"/>
        <v>0</v>
      </c>
      <c r="AP51" s="4794">
        <f t="shared" si="30"/>
        <v>0</v>
      </c>
      <c r="AQ51" s="4794">
        <f t="shared" si="31"/>
        <v>0</v>
      </c>
      <c r="AR51" s="4794">
        <f t="shared" si="32"/>
        <v>0</v>
      </c>
      <c r="AS51" s="4794">
        <f t="shared" si="33"/>
        <v>0</v>
      </c>
    </row>
    <row r="52" spans="1:45">
      <c r="A52" s="2694"/>
      <c r="B52" s="2695">
        <v>20503</v>
      </c>
      <c r="C52" s="2679">
        <v>0.1</v>
      </c>
      <c r="D52" s="2718" t="s">
        <v>412</v>
      </c>
      <c r="E52" s="2791">
        <v>54</v>
      </c>
      <c r="F52" s="414">
        <v>6</v>
      </c>
      <c r="G52" s="414"/>
      <c r="H52" s="4738">
        <f t="shared" si="102"/>
        <v>60</v>
      </c>
      <c r="I52" s="2791">
        <v>33</v>
      </c>
      <c r="J52" s="414"/>
      <c r="K52" s="414"/>
      <c r="L52" s="4738">
        <f t="shared" si="103"/>
        <v>33</v>
      </c>
      <c r="M52" s="2791">
        <v>26</v>
      </c>
      <c r="N52" s="414">
        <v>1</v>
      </c>
      <c r="O52" s="414"/>
      <c r="P52" s="4738">
        <f t="shared" si="104"/>
        <v>27</v>
      </c>
      <c r="Q52" s="2791"/>
      <c r="R52" s="414"/>
      <c r="S52" s="414"/>
      <c r="T52" s="4738">
        <f t="shared" si="105"/>
        <v>0</v>
      </c>
      <c r="U52" s="2791"/>
      <c r="V52" s="414"/>
      <c r="W52" s="414"/>
      <c r="X52" s="4738">
        <f t="shared" si="106"/>
        <v>0</v>
      </c>
      <c r="Y52" s="4775"/>
      <c r="Z52" s="4794">
        <f t="shared" si="14"/>
        <v>27.609761584595798</v>
      </c>
      <c r="AA52" s="4794">
        <f t="shared" si="15"/>
        <v>3.0677512871773112</v>
      </c>
      <c r="AB52" s="4794">
        <f t="shared" si="16"/>
        <v>0</v>
      </c>
      <c r="AC52" s="4794">
        <f t="shared" si="17"/>
        <v>30.677512871773111</v>
      </c>
      <c r="AD52" s="4794">
        <f t="shared" si="18"/>
        <v>16.87263207947521</v>
      </c>
      <c r="AE52" s="4794">
        <f t="shared" si="19"/>
        <v>0</v>
      </c>
      <c r="AF52" s="4794">
        <f t="shared" si="20"/>
        <v>0</v>
      </c>
      <c r="AG52" s="4794">
        <f t="shared" si="21"/>
        <v>16.87263207947521</v>
      </c>
      <c r="AH52" s="4794">
        <f t="shared" si="22"/>
        <v>13.293588911101681</v>
      </c>
      <c r="AI52" s="4794">
        <f t="shared" si="23"/>
        <v>0.51129188119621849</v>
      </c>
      <c r="AJ52" s="4794">
        <f t="shared" si="24"/>
        <v>0</v>
      </c>
      <c r="AK52" s="4794">
        <f t="shared" si="25"/>
        <v>13.804880792297899</v>
      </c>
      <c r="AL52" s="4794">
        <f t="shared" si="26"/>
        <v>0</v>
      </c>
      <c r="AM52" s="4794">
        <f t="shared" si="27"/>
        <v>0</v>
      </c>
      <c r="AN52" s="4794">
        <f t="shared" si="28"/>
        <v>0</v>
      </c>
      <c r="AO52" s="4794">
        <f t="shared" si="29"/>
        <v>0</v>
      </c>
      <c r="AP52" s="4794">
        <f t="shared" si="30"/>
        <v>0</v>
      </c>
      <c r="AQ52" s="4794">
        <f t="shared" si="31"/>
        <v>0</v>
      </c>
      <c r="AR52" s="4794">
        <f t="shared" si="32"/>
        <v>0</v>
      </c>
      <c r="AS52" s="4794">
        <f t="shared" si="33"/>
        <v>0</v>
      </c>
    </row>
    <row r="53" spans="1:45">
      <c r="A53" s="2694"/>
      <c r="B53" s="2695">
        <v>20504</v>
      </c>
      <c r="C53" s="2679">
        <v>0.1</v>
      </c>
      <c r="D53" s="2718" t="s">
        <v>557</v>
      </c>
      <c r="E53" s="2791">
        <v>67</v>
      </c>
      <c r="F53" s="414">
        <v>2</v>
      </c>
      <c r="G53" s="414"/>
      <c r="H53" s="4738">
        <f t="shared" si="102"/>
        <v>69</v>
      </c>
      <c r="I53" s="2791">
        <v>23</v>
      </c>
      <c r="J53" s="414"/>
      <c r="K53" s="414"/>
      <c r="L53" s="4738">
        <f t="shared" si="103"/>
        <v>23</v>
      </c>
      <c r="M53" s="2791">
        <v>12</v>
      </c>
      <c r="N53" s="414">
        <v>1</v>
      </c>
      <c r="O53" s="414"/>
      <c r="P53" s="4738">
        <f t="shared" si="104"/>
        <v>13</v>
      </c>
      <c r="Q53" s="2791"/>
      <c r="R53" s="414"/>
      <c r="S53" s="414"/>
      <c r="T53" s="4738">
        <f t="shared" si="105"/>
        <v>0</v>
      </c>
      <c r="U53" s="2791"/>
      <c r="V53" s="414"/>
      <c r="W53" s="414"/>
      <c r="X53" s="4738">
        <f t="shared" si="106"/>
        <v>0</v>
      </c>
      <c r="Y53" s="4775"/>
      <c r="Z53" s="4794">
        <f t="shared" si="14"/>
        <v>34.256556040146641</v>
      </c>
      <c r="AA53" s="4794">
        <f t="shared" si="15"/>
        <v>1.022583762392437</v>
      </c>
      <c r="AB53" s="4794">
        <f t="shared" si="16"/>
        <v>0</v>
      </c>
      <c r="AC53" s="4794">
        <f t="shared" si="17"/>
        <v>35.279139802539078</v>
      </c>
      <c r="AD53" s="4794">
        <f t="shared" si="18"/>
        <v>11.759713267513025</v>
      </c>
      <c r="AE53" s="4794">
        <f t="shared" si="19"/>
        <v>0</v>
      </c>
      <c r="AF53" s="4794">
        <f t="shared" si="20"/>
        <v>0</v>
      </c>
      <c r="AG53" s="4794">
        <f t="shared" si="21"/>
        <v>11.759713267513025</v>
      </c>
      <c r="AH53" s="4794">
        <f t="shared" si="22"/>
        <v>6.1355025743546223</v>
      </c>
      <c r="AI53" s="4794">
        <f t="shared" si="23"/>
        <v>0.51129188119621849</v>
      </c>
      <c r="AJ53" s="4794">
        <f t="shared" si="24"/>
        <v>0</v>
      </c>
      <c r="AK53" s="4794">
        <f t="shared" si="25"/>
        <v>6.6467944555508405</v>
      </c>
      <c r="AL53" s="4794">
        <f t="shared" si="26"/>
        <v>0</v>
      </c>
      <c r="AM53" s="4794">
        <f t="shared" si="27"/>
        <v>0</v>
      </c>
      <c r="AN53" s="4794">
        <f t="shared" si="28"/>
        <v>0</v>
      </c>
      <c r="AO53" s="4794">
        <f t="shared" si="29"/>
        <v>0</v>
      </c>
      <c r="AP53" s="4794">
        <f t="shared" si="30"/>
        <v>0</v>
      </c>
      <c r="AQ53" s="4794">
        <f t="shared" si="31"/>
        <v>0</v>
      </c>
      <c r="AR53" s="4794">
        <f t="shared" si="32"/>
        <v>0</v>
      </c>
      <c r="AS53" s="4794">
        <f t="shared" si="33"/>
        <v>0</v>
      </c>
    </row>
    <row r="54" spans="1:45">
      <c r="A54" s="2694">
        <v>6</v>
      </c>
      <c r="B54" s="2695">
        <v>208</v>
      </c>
      <c r="C54" s="2679">
        <v>0.2</v>
      </c>
      <c r="D54" s="2720" t="s">
        <v>413</v>
      </c>
      <c r="E54" s="2791">
        <v>128</v>
      </c>
      <c r="F54" s="414">
        <v>13</v>
      </c>
      <c r="G54" s="414"/>
      <c r="H54" s="4738">
        <f t="shared" si="102"/>
        <v>141</v>
      </c>
      <c r="I54" s="2791">
        <v>72</v>
      </c>
      <c r="J54" s="414">
        <v>7</v>
      </c>
      <c r="K54" s="414"/>
      <c r="L54" s="4738">
        <f t="shared" si="103"/>
        <v>79</v>
      </c>
      <c r="M54" s="2791">
        <v>79</v>
      </c>
      <c r="N54" s="414">
        <v>2</v>
      </c>
      <c r="O54" s="414"/>
      <c r="P54" s="4738">
        <f t="shared" si="104"/>
        <v>81</v>
      </c>
      <c r="Q54" s="2791"/>
      <c r="R54" s="414"/>
      <c r="S54" s="414"/>
      <c r="T54" s="4738">
        <f t="shared" si="105"/>
        <v>0</v>
      </c>
      <c r="U54" s="2791"/>
      <c r="V54" s="414"/>
      <c r="W54" s="414"/>
      <c r="X54" s="4738">
        <f t="shared" si="106"/>
        <v>0</v>
      </c>
      <c r="Y54" s="4775"/>
      <c r="Z54" s="4794">
        <f t="shared" si="14"/>
        <v>65.445360793115967</v>
      </c>
      <c r="AA54" s="4794">
        <f t="shared" si="15"/>
        <v>6.6467944555508405</v>
      </c>
      <c r="AB54" s="4794">
        <f t="shared" si="16"/>
        <v>0</v>
      </c>
      <c r="AC54" s="4794">
        <f t="shared" si="17"/>
        <v>72.092155248666813</v>
      </c>
      <c r="AD54" s="4794">
        <f t="shared" si="18"/>
        <v>36.813015446127729</v>
      </c>
      <c r="AE54" s="4794">
        <f t="shared" si="19"/>
        <v>3.5790431683735293</v>
      </c>
      <c r="AF54" s="4794">
        <f t="shared" si="20"/>
        <v>0</v>
      </c>
      <c r="AG54" s="4794">
        <f t="shared" si="21"/>
        <v>40.392058614501259</v>
      </c>
      <c r="AH54" s="4794">
        <f t="shared" si="22"/>
        <v>40.392058614501259</v>
      </c>
      <c r="AI54" s="4794">
        <f t="shared" si="23"/>
        <v>1.022583762392437</v>
      </c>
      <c r="AJ54" s="4794">
        <f t="shared" si="24"/>
        <v>0</v>
      </c>
      <c r="AK54" s="4794">
        <f t="shared" si="25"/>
        <v>41.414642376893696</v>
      </c>
      <c r="AL54" s="4794">
        <f t="shared" si="26"/>
        <v>0</v>
      </c>
      <c r="AM54" s="4794">
        <f t="shared" si="27"/>
        <v>0</v>
      </c>
      <c r="AN54" s="4794">
        <f t="shared" si="28"/>
        <v>0</v>
      </c>
      <c r="AO54" s="4794">
        <f t="shared" si="29"/>
        <v>0</v>
      </c>
      <c r="AP54" s="4794">
        <f t="shared" si="30"/>
        <v>0</v>
      </c>
      <c r="AQ54" s="4794">
        <f t="shared" si="31"/>
        <v>0</v>
      </c>
      <c r="AR54" s="4794">
        <f t="shared" si="32"/>
        <v>0</v>
      </c>
      <c r="AS54" s="4794">
        <f t="shared" si="33"/>
        <v>0</v>
      </c>
    </row>
    <row r="55" spans="1:45">
      <c r="A55" s="2694">
        <v>7</v>
      </c>
      <c r="B55" s="2698">
        <v>20601</v>
      </c>
      <c r="C55" s="2690">
        <v>0.1</v>
      </c>
      <c r="D55" s="2720" t="s">
        <v>564</v>
      </c>
      <c r="E55" s="2791">
        <v>109</v>
      </c>
      <c r="F55" s="414">
        <v>21</v>
      </c>
      <c r="G55" s="414"/>
      <c r="H55" s="4738">
        <f t="shared" si="102"/>
        <v>130</v>
      </c>
      <c r="I55" s="2791">
        <v>51</v>
      </c>
      <c r="J55" s="414">
        <v>8</v>
      </c>
      <c r="K55" s="414"/>
      <c r="L55" s="4738">
        <f t="shared" si="103"/>
        <v>59</v>
      </c>
      <c r="M55" s="2791">
        <v>49</v>
      </c>
      <c r="N55" s="414">
        <v>2</v>
      </c>
      <c r="O55" s="414"/>
      <c r="P55" s="4738">
        <f t="shared" si="104"/>
        <v>51</v>
      </c>
      <c r="Q55" s="2791"/>
      <c r="R55" s="414"/>
      <c r="S55" s="414"/>
      <c r="T55" s="4738">
        <f t="shared" si="105"/>
        <v>0</v>
      </c>
      <c r="U55" s="2791"/>
      <c r="V55" s="414"/>
      <c r="W55" s="414"/>
      <c r="X55" s="4738">
        <f t="shared" si="106"/>
        <v>0</v>
      </c>
      <c r="Y55" s="4775"/>
      <c r="Z55" s="4794">
        <f t="shared" si="14"/>
        <v>55.730815050387818</v>
      </c>
      <c r="AA55" s="4794">
        <f t="shared" si="15"/>
        <v>10.737129505120588</v>
      </c>
      <c r="AB55" s="4794">
        <f t="shared" si="16"/>
        <v>0</v>
      </c>
      <c r="AC55" s="4794">
        <f t="shared" si="17"/>
        <v>66.46794455550841</v>
      </c>
      <c r="AD55" s="4794">
        <f t="shared" si="18"/>
        <v>26.075885941007144</v>
      </c>
      <c r="AE55" s="4794">
        <f t="shared" si="19"/>
        <v>4.0903350495697479</v>
      </c>
      <c r="AF55" s="4794">
        <f t="shared" si="20"/>
        <v>0</v>
      </c>
      <c r="AG55" s="4794">
        <f t="shared" si="21"/>
        <v>30.166220990576893</v>
      </c>
      <c r="AH55" s="4794">
        <f t="shared" si="22"/>
        <v>25.053302178614707</v>
      </c>
      <c r="AI55" s="4794">
        <f t="shared" si="23"/>
        <v>1.022583762392437</v>
      </c>
      <c r="AJ55" s="4794">
        <f t="shared" si="24"/>
        <v>0</v>
      </c>
      <c r="AK55" s="4794">
        <f t="shared" si="25"/>
        <v>26.075885941007144</v>
      </c>
      <c r="AL55" s="4794">
        <f t="shared" si="26"/>
        <v>0</v>
      </c>
      <c r="AM55" s="4794">
        <f t="shared" si="27"/>
        <v>0</v>
      </c>
      <c r="AN55" s="4794">
        <f t="shared" si="28"/>
        <v>0</v>
      </c>
      <c r="AO55" s="4794">
        <f t="shared" si="29"/>
        <v>0</v>
      </c>
      <c r="AP55" s="4794">
        <f t="shared" si="30"/>
        <v>0</v>
      </c>
      <c r="AQ55" s="4794">
        <f t="shared" si="31"/>
        <v>0</v>
      </c>
      <c r="AR55" s="4794">
        <f t="shared" si="32"/>
        <v>0</v>
      </c>
      <c r="AS55" s="4794">
        <f t="shared" si="33"/>
        <v>0</v>
      </c>
    </row>
    <row r="56" spans="1:45">
      <c r="A56" s="2699">
        <v>8</v>
      </c>
      <c r="B56" s="2698">
        <v>20602</v>
      </c>
      <c r="C56" s="2690">
        <v>0.1</v>
      </c>
      <c r="D56" s="2720" t="s">
        <v>435</v>
      </c>
      <c r="E56" s="2791">
        <v>85</v>
      </c>
      <c r="F56" s="414">
        <v>5</v>
      </c>
      <c r="G56" s="414"/>
      <c r="H56" s="4738">
        <f t="shared" si="102"/>
        <v>90</v>
      </c>
      <c r="I56" s="2791">
        <v>47</v>
      </c>
      <c r="J56" s="414">
        <v>1</v>
      </c>
      <c r="K56" s="414"/>
      <c r="L56" s="4738">
        <f t="shared" si="103"/>
        <v>48</v>
      </c>
      <c r="M56" s="2791">
        <v>41</v>
      </c>
      <c r="N56" s="414">
        <v>1</v>
      </c>
      <c r="O56" s="414"/>
      <c r="P56" s="4738">
        <f t="shared" si="104"/>
        <v>42</v>
      </c>
      <c r="Q56" s="2791"/>
      <c r="R56" s="414"/>
      <c r="S56" s="414"/>
      <c r="T56" s="4738">
        <f t="shared" si="105"/>
        <v>0</v>
      </c>
      <c r="U56" s="2791"/>
      <c r="V56" s="414"/>
      <c r="W56" s="414"/>
      <c r="X56" s="4738">
        <f t="shared" si="106"/>
        <v>0</v>
      </c>
      <c r="Y56" s="4775"/>
      <c r="Z56" s="4794">
        <f t="shared" si="14"/>
        <v>43.459809901678575</v>
      </c>
      <c r="AA56" s="4794">
        <f t="shared" si="15"/>
        <v>2.5564594059810926</v>
      </c>
      <c r="AB56" s="4794">
        <f t="shared" si="16"/>
        <v>0</v>
      </c>
      <c r="AC56" s="4794">
        <f t="shared" si="17"/>
        <v>46.016269307659663</v>
      </c>
      <c r="AD56" s="4794">
        <f t="shared" si="18"/>
        <v>24.030718416222268</v>
      </c>
      <c r="AE56" s="4794">
        <f t="shared" si="19"/>
        <v>0.51129188119621849</v>
      </c>
      <c r="AF56" s="4794">
        <f t="shared" si="20"/>
        <v>0</v>
      </c>
      <c r="AG56" s="4794">
        <f t="shared" si="21"/>
        <v>24.542010297418489</v>
      </c>
      <c r="AH56" s="4794">
        <f t="shared" si="22"/>
        <v>20.962967129044959</v>
      </c>
      <c r="AI56" s="4794">
        <f t="shared" si="23"/>
        <v>0.51129188119621849</v>
      </c>
      <c r="AJ56" s="4794">
        <f t="shared" si="24"/>
        <v>0</v>
      </c>
      <c r="AK56" s="4794">
        <f t="shared" si="25"/>
        <v>21.474259010241177</v>
      </c>
      <c r="AL56" s="4794">
        <f t="shared" si="26"/>
        <v>0</v>
      </c>
      <c r="AM56" s="4794">
        <f t="shared" si="27"/>
        <v>0</v>
      </c>
      <c r="AN56" s="4794">
        <f t="shared" si="28"/>
        <v>0</v>
      </c>
      <c r="AO56" s="4794">
        <f t="shared" si="29"/>
        <v>0</v>
      </c>
      <c r="AP56" s="4794">
        <f t="shared" si="30"/>
        <v>0</v>
      </c>
      <c r="AQ56" s="4794">
        <f t="shared" si="31"/>
        <v>0</v>
      </c>
      <c r="AR56" s="4794">
        <f t="shared" si="32"/>
        <v>0</v>
      </c>
      <c r="AS56" s="4794">
        <f t="shared" si="33"/>
        <v>0</v>
      </c>
    </row>
    <row r="57" spans="1:45">
      <c r="A57" s="2699">
        <v>9</v>
      </c>
      <c r="B57" s="2695">
        <v>20603</v>
      </c>
      <c r="C57" s="2690">
        <v>0.5</v>
      </c>
      <c r="D57" s="2720" t="s">
        <v>1015</v>
      </c>
      <c r="E57" s="2791"/>
      <c r="F57" s="414"/>
      <c r="G57" s="414"/>
      <c r="H57" s="4738">
        <f t="shared" si="102"/>
        <v>0</v>
      </c>
      <c r="I57" s="2791"/>
      <c r="J57" s="414"/>
      <c r="K57" s="414"/>
      <c r="L57" s="4738">
        <f t="shared" si="103"/>
        <v>0</v>
      </c>
      <c r="M57" s="2791"/>
      <c r="N57" s="414"/>
      <c r="O57" s="414"/>
      <c r="P57" s="4738">
        <f t="shared" si="104"/>
        <v>0</v>
      </c>
      <c r="Q57" s="2791"/>
      <c r="R57" s="414"/>
      <c r="S57" s="414"/>
      <c r="T57" s="4738">
        <f t="shared" si="105"/>
        <v>0</v>
      </c>
      <c r="U57" s="2791"/>
      <c r="V57" s="414"/>
      <c r="W57" s="414"/>
      <c r="X57" s="4738">
        <f t="shared" si="106"/>
        <v>0</v>
      </c>
      <c r="Y57" s="4775"/>
      <c r="Z57" s="4794">
        <f t="shared" si="14"/>
        <v>0</v>
      </c>
      <c r="AA57" s="4794">
        <f t="shared" si="15"/>
        <v>0</v>
      </c>
      <c r="AB57" s="4794">
        <f t="shared" si="16"/>
        <v>0</v>
      </c>
      <c r="AC57" s="4794">
        <f t="shared" si="17"/>
        <v>0</v>
      </c>
      <c r="AD57" s="4794">
        <f t="shared" si="18"/>
        <v>0</v>
      </c>
      <c r="AE57" s="4794">
        <f t="shared" si="19"/>
        <v>0</v>
      </c>
      <c r="AF57" s="4794">
        <f t="shared" si="20"/>
        <v>0</v>
      </c>
      <c r="AG57" s="4794">
        <f t="shared" si="21"/>
        <v>0</v>
      </c>
      <c r="AH57" s="4794">
        <f t="shared" si="22"/>
        <v>0</v>
      </c>
      <c r="AI57" s="4794">
        <f t="shared" si="23"/>
        <v>0</v>
      </c>
      <c r="AJ57" s="4794">
        <f t="shared" si="24"/>
        <v>0</v>
      </c>
      <c r="AK57" s="4794">
        <f t="shared" si="25"/>
        <v>0</v>
      </c>
      <c r="AL57" s="4794">
        <f t="shared" si="26"/>
        <v>0</v>
      </c>
      <c r="AM57" s="4794">
        <f t="shared" si="27"/>
        <v>0</v>
      </c>
      <c r="AN57" s="4794">
        <f t="shared" si="28"/>
        <v>0</v>
      </c>
      <c r="AO57" s="4794">
        <f t="shared" si="29"/>
        <v>0</v>
      </c>
      <c r="AP57" s="4794">
        <f t="shared" si="30"/>
        <v>0</v>
      </c>
      <c r="AQ57" s="4794">
        <f t="shared" si="31"/>
        <v>0</v>
      </c>
      <c r="AR57" s="4794">
        <f t="shared" si="32"/>
        <v>0</v>
      </c>
      <c r="AS57" s="4794">
        <f t="shared" si="33"/>
        <v>0</v>
      </c>
    </row>
    <row r="58" spans="1:45">
      <c r="A58" s="2699">
        <v>10</v>
      </c>
      <c r="B58" s="2695">
        <v>209</v>
      </c>
      <c r="C58" s="2679">
        <v>0.1</v>
      </c>
      <c r="D58" s="2720" t="s">
        <v>213</v>
      </c>
      <c r="E58" s="2791">
        <v>68</v>
      </c>
      <c r="F58" s="414"/>
      <c r="G58" s="414"/>
      <c r="H58" s="4738">
        <f t="shared" si="102"/>
        <v>68</v>
      </c>
      <c r="I58" s="2791">
        <v>43</v>
      </c>
      <c r="J58" s="414"/>
      <c r="K58" s="414"/>
      <c r="L58" s="4738">
        <f t="shared" si="103"/>
        <v>43</v>
      </c>
      <c r="M58" s="2791">
        <v>35</v>
      </c>
      <c r="N58" s="414"/>
      <c r="O58" s="414"/>
      <c r="P58" s="4738">
        <f t="shared" si="104"/>
        <v>35</v>
      </c>
      <c r="Q58" s="2791"/>
      <c r="R58" s="414"/>
      <c r="S58" s="414"/>
      <c r="T58" s="4738">
        <f t="shared" si="105"/>
        <v>0</v>
      </c>
      <c r="U58" s="2791"/>
      <c r="V58" s="414"/>
      <c r="W58" s="414"/>
      <c r="X58" s="4738">
        <f t="shared" si="106"/>
        <v>0</v>
      </c>
      <c r="Y58" s="4775"/>
      <c r="Z58" s="4794">
        <f t="shared" si="14"/>
        <v>34.767847921342856</v>
      </c>
      <c r="AA58" s="4794">
        <f t="shared" si="15"/>
        <v>0</v>
      </c>
      <c r="AB58" s="4794">
        <f t="shared" si="16"/>
        <v>0</v>
      </c>
      <c r="AC58" s="4794">
        <f t="shared" si="17"/>
        <v>34.767847921342856</v>
      </c>
      <c r="AD58" s="4794">
        <f t="shared" si="18"/>
        <v>21.985550891437395</v>
      </c>
      <c r="AE58" s="4794">
        <f t="shared" si="19"/>
        <v>0</v>
      </c>
      <c r="AF58" s="4794">
        <f t="shared" si="20"/>
        <v>0</v>
      </c>
      <c r="AG58" s="4794">
        <f t="shared" si="21"/>
        <v>21.985550891437395</v>
      </c>
      <c r="AH58" s="4794">
        <f t="shared" si="22"/>
        <v>17.895215841867646</v>
      </c>
      <c r="AI58" s="4794">
        <f t="shared" si="23"/>
        <v>0</v>
      </c>
      <c r="AJ58" s="4794">
        <f t="shared" si="24"/>
        <v>0</v>
      </c>
      <c r="AK58" s="4794">
        <f t="shared" si="25"/>
        <v>17.895215841867646</v>
      </c>
      <c r="AL58" s="4794">
        <f t="shared" si="26"/>
        <v>0</v>
      </c>
      <c r="AM58" s="4794">
        <f t="shared" si="27"/>
        <v>0</v>
      </c>
      <c r="AN58" s="4794">
        <f t="shared" si="28"/>
        <v>0</v>
      </c>
      <c r="AO58" s="4794">
        <f t="shared" si="29"/>
        <v>0</v>
      </c>
      <c r="AP58" s="4794">
        <f t="shared" si="30"/>
        <v>0</v>
      </c>
      <c r="AQ58" s="4794">
        <f t="shared" si="31"/>
        <v>0</v>
      </c>
      <c r="AR58" s="4794">
        <f t="shared" si="32"/>
        <v>0</v>
      </c>
      <c r="AS58" s="4794">
        <f t="shared" si="33"/>
        <v>0</v>
      </c>
    </row>
    <row r="59" spans="1:45" ht="36">
      <c r="A59" s="2699">
        <v>11</v>
      </c>
      <c r="B59" s="2695">
        <v>207</v>
      </c>
      <c r="C59" s="2679" t="s">
        <v>313</v>
      </c>
      <c r="D59" s="2720" t="s">
        <v>414</v>
      </c>
      <c r="E59" s="414"/>
      <c r="F59" s="414"/>
      <c r="G59" s="414"/>
      <c r="H59" s="4738">
        <f t="shared" si="102"/>
        <v>0</v>
      </c>
      <c r="I59" s="414"/>
      <c r="J59" s="414"/>
      <c r="K59" s="414"/>
      <c r="L59" s="4738">
        <f t="shared" si="103"/>
        <v>0</v>
      </c>
      <c r="M59" s="414"/>
      <c r="N59" s="414"/>
      <c r="O59" s="414"/>
      <c r="P59" s="4738">
        <f t="shared" si="104"/>
        <v>0</v>
      </c>
      <c r="Q59" s="414"/>
      <c r="R59" s="414"/>
      <c r="S59" s="414"/>
      <c r="T59" s="4738">
        <f t="shared" si="105"/>
        <v>0</v>
      </c>
      <c r="U59" s="414"/>
      <c r="V59" s="414"/>
      <c r="W59" s="414"/>
      <c r="X59" s="4738">
        <f t="shared" si="106"/>
        <v>0</v>
      </c>
      <c r="Y59" s="4775"/>
      <c r="Z59" s="4794">
        <f t="shared" si="14"/>
        <v>0</v>
      </c>
      <c r="AA59" s="4794">
        <f t="shared" si="15"/>
        <v>0</v>
      </c>
      <c r="AB59" s="4794">
        <f t="shared" si="16"/>
        <v>0</v>
      </c>
      <c r="AC59" s="4794">
        <f t="shared" si="17"/>
        <v>0</v>
      </c>
      <c r="AD59" s="4794">
        <f t="shared" si="18"/>
        <v>0</v>
      </c>
      <c r="AE59" s="4794">
        <f t="shared" si="19"/>
        <v>0</v>
      </c>
      <c r="AF59" s="4794">
        <f t="shared" si="20"/>
        <v>0</v>
      </c>
      <c r="AG59" s="4794">
        <f t="shared" si="21"/>
        <v>0</v>
      </c>
      <c r="AH59" s="4794">
        <f t="shared" si="22"/>
        <v>0</v>
      </c>
      <c r="AI59" s="4794">
        <f t="shared" si="23"/>
        <v>0</v>
      </c>
      <c r="AJ59" s="4794">
        <f t="shared" si="24"/>
        <v>0</v>
      </c>
      <c r="AK59" s="4794">
        <f t="shared" si="25"/>
        <v>0</v>
      </c>
      <c r="AL59" s="4794">
        <f t="shared" si="26"/>
        <v>0</v>
      </c>
      <c r="AM59" s="4794">
        <f t="shared" si="27"/>
        <v>0</v>
      </c>
      <c r="AN59" s="4794">
        <f t="shared" si="28"/>
        <v>0</v>
      </c>
      <c r="AO59" s="4794">
        <f t="shared" si="29"/>
        <v>0</v>
      </c>
      <c r="AP59" s="4794">
        <f t="shared" si="30"/>
        <v>0</v>
      </c>
      <c r="AQ59" s="4794">
        <f t="shared" si="31"/>
        <v>0</v>
      </c>
      <c r="AR59" s="4794">
        <f t="shared" si="32"/>
        <v>0</v>
      </c>
      <c r="AS59" s="4794">
        <f t="shared" si="33"/>
        <v>0</v>
      </c>
    </row>
    <row r="60" spans="1:45">
      <c r="A60" s="2699">
        <v>12</v>
      </c>
      <c r="B60" s="2695">
        <v>212</v>
      </c>
      <c r="C60" s="2690">
        <v>0.2</v>
      </c>
      <c r="D60" s="2722" t="s">
        <v>214</v>
      </c>
      <c r="E60" s="2791">
        <v>297</v>
      </c>
      <c r="F60" s="414">
        <v>42</v>
      </c>
      <c r="G60" s="414"/>
      <c r="H60" s="4738">
        <f t="shared" si="102"/>
        <v>339</v>
      </c>
      <c r="I60" s="2791">
        <v>181</v>
      </c>
      <c r="J60" s="414">
        <v>5</v>
      </c>
      <c r="K60" s="414"/>
      <c r="L60" s="4738">
        <f t="shared" si="103"/>
        <v>186</v>
      </c>
      <c r="M60" s="2791">
        <v>141</v>
      </c>
      <c r="N60" s="414">
        <v>5</v>
      </c>
      <c r="O60" s="414"/>
      <c r="P60" s="4738">
        <f t="shared" si="104"/>
        <v>146</v>
      </c>
      <c r="Q60" s="2791"/>
      <c r="R60" s="414"/>
      <c r="S60" s="414"/>
      <c r="T60" s="4738">
        <f t="shared" si="105"/>
        <v>0</v>
      </c>
      <c r="U60" s="2791"/>
      <c r="V60" s="414"/>
      <c r="W60" s="414"/>
      <c r="X60" s="4738">
        <f t="shared" si="106"/>
        <v>0</v>
      </c>
      <c r="Y60" s="4775"/>
      <c r="Z60" s="4794">
        <f t="shared" si="14"/>
        <v>151.85368871527689</v>
      </c>
      <c r="AA60" s="4794">
        <f t="shared" si="15"/>
        <v>21.474259010241177</v>
      </c>
      <c r="AB60" s="4794">
        <f t="shared" si="16"/>
        <v>0</v>
      </c>
      <c r="AC60" s="4794">
        <f t="shared" si="17"/>
        <v>173.32794772551807</v>
      </c>
      <c r="AD60" s="4794">
        <f t="shared" si="18"/>
        <v>92.543830496515554</v>
      </c>
      <c r="AE60" s="4794">
        <f t="shared" si="19"/>
        <v>2.5564594059810926</v>
      </c>
      <c r="AF60" s="4794">
        <f t="shared" si="20"/>
        <v>0</v>
      </c>
      <c r="AG60" s="4794">
        <f t="shared" si="21"/>
        <v>95.100289902496641</v>
      </c>
      <c r="AH60" s="4794">
        <f t="shared" si="22"/>
        <v>72.092155248666813</v>
      </c>
      <c r="AI60" s="4794">
        <f t="shared" si="23"/>
        <v>2.5564594059810926</v>
      </c>
      <c r="AJ60" s="4794">
        <f t="shared" si="24"/>
        <v>0</v>
      </c>
      <c r="AK60" s="4794">
        <f t="shared" si="25"/>
        <v>74.648614654647901</v>
      </c>
      <c r="AL60" s="4794">
        <f t="shared" si="26"/>
        <v>0</v>
      </c>
      <c r="AM60" s="4794">
        <f t="shared" si="27"/>
        <v>0</v>
      </c>
      <c r="AN60" s="4794">
        <f t="shared" si="28"/>
        <v>0</v>
      </c>
      <c r="AO60" s="4794">
        <f t="shared" si="29"/>
        <v>0</v>
      </c>
      <c r="AP60" s="4794">
        <f t="shared" si="30"/>
        <v>0</v>
      </c>
      <c r="AQ60" s="4794">
        <f t="shared" si="31"/>
        <v>0</v>
      </c>
      <c r="AR60" s="4794">
        <f t="shared" si="32"/>
        <v>0</v>
      </c>
      <c r="AS60" s="4794">
        <f t="shared" si="33"/>
        <v>0</v>
      </c>
    </row>
    <row r="61" spans="1:45" ht="24">
      <c r="A61" s="2699">
        <v>13</v>
      </c>
      <c r="B61" s="2694">
        <v>213</v>
      </c>
      <c r="C61" s="2701">
        <v>0.2</v>
      </c>
      <c r="D61" s="2723" t="s">
        <v>215</v>
      </c>
      <c r="E61" s="2791"/>
      <c r="F61" s="414"/>
      <c r="G61" s="414"/>
      <c r="H61" s="4738">
        <f t="shared" si="102"/>
        <v>0</v>
      </c>
      <c r="I61" s="2791"/>
      <c r="J61" s="414"/>
      <c r="K61" s="414"/>
      <c r="L61" s="4738">
        <f t="shared" si="103"/>
        <v>0</v>
      </c>
      <c r="M61" s="2791"/>
      <c r="N61" s="414"/>
      <c r="O61" s="414"/>
      <c r="P61" s="4738">
        <f t="shared" si="104"/>
        <v>0</v>
      </c>
      <c r="Q61" s="2791"/>
      <c r="R61" s="414"/>
      <c r="S61" s="414"/>
      <c r="T61" s="4738">
        <f t="shared" si="105"/>
        <v>0</v>
      </c>
      <c r="U61" s="2791"/>
      <c r="V61" s="414"/>
      <c r="W61" s="414"/>
      <c r="X61" s="4738">
        <f t="shared" si="106"/>
        <v>0</v>
      </c>
      <c r="Y61" s="4775"/>
      <c r="Z61" s="4794">
        <f t="shared" si="14"/>
        <v>0</v>
      </c>
      <c r="AA61" s="4794">
        <f t="shared" si="15"/>
        <v>0</v>
      </c>
      <c r="AB61" s="4794">
        <f t="shared" si="16"/>
        <v>0</v>
      </c>
      <c r="AC61" s="4794">
        <f t="shared" si="17"/>
        <v>0</v>
      </c>
      <c r="AD61" s="4794">
        <f t="shared" si="18"/>
        <v>0</v>
      </c>
      <c r="AE61" s="4794">
        <f t="shared" si="19"/>
        <v>0</v>
      </c>
      <c r="AF61" s="4794">
        <f t="shared" si="20"/>
        <v>0</v>
      </c>
      <c r="AG61" s="4794">
        <f t="shared" si="21"/>
        <v>0</v>
      </c>
      <c r="AH61" s="4794">
        <f t="shared" si="22"/>
        <v>0</v>
      </c>
      <c r="AI61" s="4794">
        <f t="shared" si="23"/>
        <v>0</v>
      </c>
      <c r="AJ61" s="4794">
        <f t="shared" si="24"/>
        <v>0</v>
      </c>
      <c r="AK61" s="4794">
        <f t="shared" si="25"/>
        <v>0</v>
      </c>
      <c r="AL61" s="4794">
        <f t="shared" si="26"/>
        <v>0</v>
      </c>
      <c r="AM61" s="4794">
        <f t="shared" si="27"/>
        <v>0</v>
      </c>
      <c r="AN61" s="4794">
        <f t="shared" si="28"/>
        <v>0</v>
      </c>
      <c r="AO61" s="4794">
        <f t="shared" si="29"/>
        <v>0</v>
      </c>
      <c r="AP61" s="4794">
        <f t="shared" si="30"/>
        <v>0</v>
      </c>
      <c r="AQ61" s="4794">
        <f t="shared" si="31"/>
        <v>0</v>
      </c>
      <c r="AR61" s="4794">
        <f t="shared" si="32"/>
        <v>0</v>
      </c>
      <c r="AS61" s="4794">
        <f t="shared" si="33"/>
        <v>0</v>
      </c>
    </row>
    <row r="62" spans="1:45" ht="24">
      <c r="A62" s="2699">
        <v>14</v>
      </c>
      <c r="B62" s="2775"/>
      <c r="C62" s="2775"/>
      <c r="D62" s="2724" t="s">
        <v>628</v>
      </c>
      <c r="E62" s="2791"/>
      <c r="F62" s="414"/>
      <c r="G62" s="414"/>
      <c r="H62" s="4738">
        <f t="shared" si="102"/>
        <v>0</v>
      </c>
      <c r="I62" s="2791"/>
      <c r="J62" s="414"/>
      <c r="K62" s="414"/>
      <c r="L62" s="4738">
        <f t="shared" si="103"/>
        <v>0</v>
      </c>
      <c r="M62" s="2791"/>
      <c r="N62" s="414"/>
      <c r="O62" s="414"/>
      <c r="P62" s="4738">
        <f t="shared" si="104"/>
        <v>0</v>
      </c>
      <c r="Q62" s="2791"/>
      <c r="R62" s="414"/>
      <c r="S62" s="414"/>
      <c r="T62" s="4738">
        <f t="shared" si="105"/>
        <v>0</v>
      </c>
      <c r="U62" s="2791"/>
      <c r="V62" s="414"/>
      <c r="W62" s="414"/>
      <c r="X62" s="4738">
        <f t="shared" si="106"/>
        <v>0</v>
      </c>
      <c r="Y62" s="4775"/>
      <c r="Z62" s="4794">
        <f t="shared" si="14"/>
        <v>0</v>
      </c>
      <c r="AA62" s="4794">
        <f t="shared" si="15"/>
        <v>0</v>
      </c>
      <c r="AB62" s="4794">
        <f t="shared" si="16"/>
        <v>0</v>
      </c>
      <c r="AC62" s="4794">
        <f t="shared" si="17"/>
        <v>0</v>
      </c>
      <c r="AD62" s="4794">
        <f t="shared" si="18"/>
        <v>0</v>
      </c>
      <c r="AE62" s="4794">
        <f t="shared" si="19"/>
        <v>0</v>
      </c>
      <c r="AF62" s="4794">
        <f t="shared" si="20"/>
        <v>0</v>
      </c>
      <c r="AG62" s="4794">
        <f t="shared" si="21"/>
        <v>0</v>
      </c>
      <c r="AH62" s="4794">
        <f t="shared" si="22"/>
        <v>0</v>
      </c>
      <c r="AI62" s="4794">
        <f t="shared" si="23"/>
        <v>0</v>
      </c>
      <c r="AJ62" s="4794">
        <f t="shared" si="24"/>
        <v>0</v>
      </c>
      <c r="AK62" s="4794">
        <f t="shared" si="25"/>
        <v>0</v>
      </c>
      <c r="AL62" s="4794">
        <f t="shared" si="26"/>
        <v>0</v>
      </c>
      <c r="AM62" s="4794">
        <f t="shared" si="27"/>
        <v>0</v>
      </c>
      <c r="AN62" s="4794">
        <f t="shared" si="28"/>
        <v>0</v>
      </c>
      <c r="AO62" s="4794">
        <f t="shared" si="29"/>
        <v>0</v>
      </c>
      <c r="AP62" s="4794">
        <f t="shared" si="30"/>
        <v>0</v>
      </c>
      <c r="AQ62" s="4794">
        <f t="shared" si="31"/>
        <v>0</v>
      </c>
      <c r="AR62" s="4794">
        <f t="shared" si="32"/>
        <v>0</v>
      </c>
      <c r="AS62" s="4794">
        <f t="shared" si="33"/>
        <v>0</v>
      </c>
    </row>
    <row r="63" spans="1:45" ht="24">
      <c r="A63" s="2699">
        <v>15</v>
      </c>
      <c r="B63" s="2694">
        <v>207</v>
      </c>
      <c r="C63" s="2726" t="s">
        <v>313</v>
      </c>
      <c r="D63" s="2723" t="s">
        <v>415</v>
      </c>
      <c r="E63" s="2791"/>
      <c r="F63" s="414"/>
      <c r="G63" s="414"/>
      <c r="H63" s="4738">
        <f t="shared" si="102"/>
        <v>0</v>
      </c>
      <c r="I63" s="2791"/>
      <c r="J63" s="414"/>
      <c r="K63" s="414"/>
      <c r="L63" s="4738">
        <f t="shared" si="103"/>
        <v>0</v>
      </c>
      <c r="M63" s="2791"/>
      <c r="N63" s="414"/>
      <c r="O63" s="414"/>
      <c r="P63" s="4738">
        <f t="shared" si="104"/>
        <v>0</v>
      </c>
      <c r="Q63" s="2791"/>
      <c r="R63" s="414"/>
      <c r="S63" s="414"/>
      <c r="T63" s="4738">
        <f t="shared" si="105"/>
        <v>0</v>
      </c>
      <c r="U63" s="2791"/>
      <c r="V63" s="414"/>
      <c r="W63" s="414"/>
      <c r="X63" s="4738">
        <f t="shared" si="106"/>
        <v>0</v>
      </c>
      <c r="Y63" s="4775"/>
      <c r="Z63" s="4794">
        <f t="shared" si="14"/>
        <v>0</v>
      </c>
      <c r="AA63" s="4794">
        <f t="shared" si="15"/>
        <v>0</v>
      </c>
      <c r="AB63" s="4794">
        <f t="shared" si="16"/>
        <v>0</v>
      </c>
      <c r="AC63" s="4794">
        <f t="shared" si="17"/>
        <v>0</v>
      </c>
      <c r="AD63" s="4794">
        <f t="shared" si="18"/>
        <v>0</v>
      </c>
      <c r="AE63" s="4794">
        <f t="shared" si="19"/>
        <v>0</v>
      </c>
      <c r="AF63" s="4794">
        <f t="shared" si="20"/>
        <v>0</v>
      </c>
      <c r="AG63" s="4794">
        <f t="shared" si="21"/>
        <v>0</v>
      </c>
      <c r="AH63" s="4794">
        <f t="shared" si="22"/>
        <v>0</v>
      </c>
      <c r="AI63" s="4794">
        <f t="shared" si="23"/>
        <v>0</v>
      </c>
      <c r="AJ63" s="4794">
        <f t="shared" si="24"/>
        <v>0</v>
      </c>
      <c r="AK63" s="4794">
        <f t="shared" si="25"/>
        <v>0</v>
      </c>
      <c r="AL63" s="4794">
        <f t="shared" si="26"/>
        <v>0</v>
      </c>
      <c r="AM63" s="4794">
        <f t="shared" si="27"/>
        <v>0</v>
      </c>
      <c r="AN63" s="4794">
        <f t="shared" si="28"/>
        <v>0</v>
      </c>
      <c r="AO63" s="4794">
        <f t="shared" si="29"/>
        <v>0</v>
      </c>
      <c r="AP63" s="4794">
        <f t="shared" si="30"/>
        <v>0</v>
      </c>
      <c r="AQ63" s="4794">
        <f t="shared" si="31"/>
        <v>0</v>
      </c>
      <c r="AR63" s="4794">
        <f t="shared" si="32"/>
        <v>0</v>
      </c>
      <c r="AS63" s="4794">
        <f t="shared" si="33"/>
        <v>0</v>
      </c>
    </row>
    <row r="64" spans="1:45" ht="13.5" thickBot="1">
      <c r="A64" s="2699">
        <v>16</v>
      </c>
      <c r="B64" s="2704">
        <v>219</v>
      </c>
      <c r="C64" s="2732">
        <v>0.1</v>
      </c>
      <c r="D64" s="2728" t="s">
        <v>216</v>
      </c>
      <c r="E64" s="2791">
        <v>103</v>
      </c>
      <c r="F64" s="415"/>
      <c r="G64" s="415"/>
      <c r="H64" s="4739">
        <f t="shared" si="102"/>
        <v>103</v>
      </c>
      <c r="I64" s="2791"/>
      <c r="J64" s="415"/>
      <c r="K64" s="415"/>
      <c r="L64" s="4739">
        <f t="shared" si="103"/>
        <v>0</v>
      </c>
      <c r="M64" s="2791"/>
      <c r="N64" s="415"/>
      <c r="O64" s="415"/>
      <c r="P64" s="4739">
        <f t="shared" si="104"/>
        <v>0</v>
      </c>
      <c r="Q64" s="2791"/>
      <c r="R64" s="415"/>
      <c r="S64" s="415"/>
      <c r="T64" s="4739">
        <f t="shared" si="105"/>
        <v>0</v>
      </c>
      <c r="U64" s="2791"/>
      <c r="V64" s="415"/>
      <c r="W64" s="415"/>
      <c r="X64" s="4739">
        <f t="shared" si="106"/>
        <v>0</v>
      </c>
      <c r="Y64" s="4775"/>
      <c r="Z64" s="4794">
        <f t="shared" si="14"/>
        <v>52.663063763210502</v>
      </c>
      <c r="AA64" s="4794">
        <f t="shared" si="15"/>
        <v>0</v>
      </c>
      <c r="AB64" s="4794">
        <f t="shared" si="16"/>
        <v>0</v>
      </c>
      <c r="AC64" s="4794">
        <f t="shared" si="17"/>
        <v>52.663063763210502</v>
      </c>
      <c r="AD64" s="4794">
        <f t="shared" si="18"/>
        <v>0</v>
      </c>
      <c r="AE64" s="4794">
        <f t="shared" si="19"/>
        <v>0</v>
      </c>
      <c r="AF64" s="4794">
        <f t="shared" si="20"/>
        <v>0</v>
      </c>
      <c r="AG64" s="4794">
        <f t="shared" si="21"/>
        <v>0</v>
      </c>
      <c r="AH64" s="4794">
        <f t="shared" si="22"/>
        <v>0</v>
      </c>
      <c r="AI64" s="4794">
        <f t="shared" si="23"/>
        <v>0</v>
      </c>
      <c r="AJ64" s="4794">
        <f t="shared" si="24"/>
        <v>0</v>
      </c>
      <c r="AK64" s="4794">
        <f t="shared" si="25"/>
        <v>0</v>
      </c>
      <c r="AL64" s="4794">
        <f t="shared" si="26"/>
        <v>0</v>
      </c>
      <c r="AM64" s="4794">
        <f t="shared" si="27"/>
        <v>0</v>
      </c>
      <c r="AN64" s="4794">
        <f t="shared" si="28"/>
        <v>0</v>
      </c>
      <c r="AO64" s="4794">
        <f t="shared" si="29"/>
        <v>0</v>
      </c>
      <c r="AP64" s="4794">
        <f t="shared" si="30"/>
        <v>0</v>
      </c>
      <c r="AQ64" s="4794">
        <f t="shared" si="31"/>
        <v>0</v>
      </c>
      <c r="AR64" s="4794">
        <f t="shared" si="32"/>
        <v>0</v>
      </c>
      <c r="AS64" s="4794">
        <f t="shared" si="33"/>
        <v>0</v>
      </c>
    </row>
    <row r="65" spans="1:45" ht="13.5" thickBot="1">
      <c r="A65" s="4690" t="s">
        <v>219</v>
      </c>
      <c r="B65" s="5410" t="s">
        <v>222</v>
      </c>
      <c r="C65" s="5411"/>
      <c r="D65" s="5412"/>
      <c r="E65" s="2675">
        <f t="shared" ref="E65:H65" si="107">SUM(E66:E89)-E68-E74</f>
        <v>5727.5</v>
      </c>
      <c r="F65" s="2675">
        <f t="shared" si="107"/>
        <v>0</v>
      </c>
      <c r="G65" s="2675">
        <f t="shared" si="107"/>
        <v>0</v>
      </c>
      <c r="H65" s="2675">
        <f t="shared" si="107"/>
        <v>10647.5</v>
      </c>
      <c r="I65" s="2675">
        <f t="shared" ref="I65:L65" si="108">SUM(I66:I89)-I68-I74</f>
        <v>1152</v>
      </c>
      <c r="J65" s="2675">
        <f t="shared" si="108"/>
        <v>0</v>
      </c>
      <c r="K65" s="2675">
        <f t="shared" si="108"/>
        <v>0</v>
      </c>
      <c r="L65" s="2675">
        <f t="shared" si="108"/>
        <v>1387</v>
      </c>
      <c r="M65" s="2675">
        <f t="shared" ref="M65:X65" si="109">SUM(M66:M89)-M68-M74</f>
        <v>1003</v>
      </c>
      <c r="N65" s="2675">
        <f t="shared" si="109"/>
        <v>0</v>
      </c>
      <c r="O65" s="2675">
        <f t="shared" si="109"/>
        <v>0</v>
      </c>
      <c r="P65" s="2675">
        <f t="shared" si="109"/>
        <v>954</v>
      </c>
      <c r="Q65" s="2675">
        <f t="shared" si="109"/>
        <v>0</v>
      </c>
      <c r="R65" s="2675">
        <f t="shared" si="109"/>
        <v>0</v>
      </c>
      <c r="S65" s="2675">
        <f t="shared" si="109"/>
        <v>0</v>
      </c>
      <c r="T65" s="2675">
        <f t="shared" si="109"/>
        <v>0</v>
      </c>
      <c r="U65" s="2675">
        <f t="shared" si="109"/>
        <v>0</v>
      </c>
      <c r="V65" s="2675">
        <f t="shared" si="109"/>
        <v>0</v>
      </c>
      <c r="W65" s="2675">
        <f t="shared" si="109"/>
        <v>0</v>
      </c>
      <c r="X65" s="2675">
        <f t="shared" si="109"/>
        <v>0</v>
      </c>
      <c r="Y65" s="4775"/>
      <c r="Z65" s="4794">
        <f t="shared" si="14"/>
        <v>2928.4242495513413</v>
      </c>
      <c r="AA65" s="4794">
        <f t="shared" si="15"/>
        <v>0</v>
      </c>
      <c r="AB65" s="4794">
        <f t="shared" si="16"/>
        <v>0</v>
      </c>
      <c r="AC65" s="4794">
        <f t="shared" si="17"/>
        <v>5443.9803050367364</v>
      </c>
      <c r="AD65" s="4794">
        <f t="shared" si="18"/>
        <v>589.00824713804366</v>
      </c>
      <c r="AE65" s="4794">
        <f t="shared" si="19"/>
        <v>0</v>
      </c>
      <c r="AF65" s="4794">
        <f t="shared" si="20"/>
        <v>0</v>
      </c>
      <c r="AG65" s="4794">
        <f t="shared" si="21"/>
        <v>709.16183921915501</v>
      </c>
      <c r="AH65" s="4794">
        <f t="shared" si="22"/>
        <v>512.82575683980713</v>
      </c>
      <c r="AI65" s="4794">
        <f t="shared" si="23"/>
        <v>0</v>
      </c>
      <c r="AJ65" s="4794">
        <f t="shared" si="24"/>
        <v>0</v>
      </c>
      <c r="AK65" s="4794">
        <f t="shared" si="25"/>
        <v>487.77245466119246</v>
      </c>
      <c r="AL65" s="4794">
        <f t="shared" si="26"/>
        <v>0</v>
      </c>
      <c r="AM65" s="4794">
        <f t="shared" si="27"/>
        <v>0</v>
      </c>
      <c r="AN65" s="4794">
        <f t="shared" si="28"/>
        <v>0</v>
      </c>
      <c r="AO65" s="4794">
        <f t="shared" si="29"/>
        <v>0</v>
      </c>
      <c r="AP65" s="4794">
        <f t="shared" si="30"/>
        <v>0</v>
      </c>
      <c r="AQ65" s="4794">
        <f t="shared" si="31"/>
        <v>0</v>
      </c>
      <c r="AR65" s="4794">
        <f t="shared" si="32"/>
        <v>0</v>
      </c>
      <c r="AS65" s="4794">
        <f t="shared" si="33"/>
        <v>0</v>
      </c>
    </row>
    <row r="66" spans="1:45">
      <c r="A66" s="2677">
        <v>1</v>
      </c>
      <c r="B66" s="2677">
        <v>20101</v>
      </c>
      <c r="C66" s="2701">
        <v>0</v>
      </c>
      <c r="D66" s="2729" t="s">
        <v>556</v>
      </c>
      <c r="E66" s="2796">
        <f>E12-E41</f>
        <v>287</v>
      </c>
      <c r="F66" s="5415"/>
      <c r="G66" s="5416"/>
      <c r="H66" s="2796">
        <f>H12-H41</f>
        <v>287</v>
      </c>
      <c r="I66" s="2796">
        <f>I12-I41</f>
        <v>181</v>
      </c>
      <c r="J66" s="5415"/>
      <c r="K66" s="5416"/>
      <c r="L66" s="2796">
        <f>L12-L41</f>
        <v>181</v>
      </c>
      <c r="M66" s="2796">
        <f>M12-M41</f>
        <v>147</v>
      </c>
      <c r="N66" s="5415"/>
      <c r="O66" s="5416"/>
      <c r="P66" s="2796">
        <f>P12-P41</f>
        <v>147</v>
      </c>
      <c r="Q66" s="2796">
        <f>Q12-Q41</f>
        <v>0</v>
      </c>
      <c r="R66" s="5415"/>
      <c r="S66" s="5416"/>
      <c r="T66" s="2796">
        <f>T12-T41</f>
        <v>0</v>
      </c>
      <c r="U66" s="2796">
        <f>U12-U41</f>
        <v>0</v>
      </c>
      <c r="V66" s="5415"/>
      <c r="W66" s="5416"/>
      <c r="X66" s="2796">
        <f>X12-X41</f>
        <v>0</v>
      </c>
      <c r="Y66" s="4775"/>
      <c r="Z66" s="4794">
        <f t="shared" si="14"/>
        <v>146.74076990331471</v>
      </c>
      <c r="AA66" s="4802"/>
      <c r="AB66" s="4803"/>
      <c r="AC66" s="4794">
        <f t="shared" si="17"/>
        <v>146.74076990331471</v>
      </c>
      <c r="AD66" s="4794">
        <f t="shared" si="18"/>
        <v>92.543830496515554</v>
      </c>
      <c r="AE66" s="4802"/>
      <c r="AF66" s="4803"/>
      <c r="AG66" s="4794">
        <f t="shared" si="21"/>
        <v>92.543830496515554</v>
      </c>
      <c r="AH66" s="4794">
        <f t="shared" si="22"/>
        <v>75.159906535844115</v>
      </c>
      <c r="AI66" s="4802"/>
      <c r="AJ66" s="4803"/>
      <c r="AK66" s="4794">
        <f t="shared" si="25"/>
        <v>75.159906535844115</v>
      </c>
      <c r="AL66" s="4794">
        <f t="shared" si="26"/>
        <v>0</v>
      </c>
      <c r="AM66" s="4802"/>
      <c r="AN66" s="4803"/>
      <c r="AO66" s="4794">
        <f t="shared" si="29"/>
        <v>0</v>
      </c>
      <c r="AP66" s="4794">
        <f t="shared" si="30"/>
        <v>0</v>
      </c>
      <c r="AQ66" s="4802"/>
      <c r="AR66" s="4803"/>
      <c r="AS66" s="4794">
        <f t="shared" si="33"/>
        <v>0</v>
      </c>
    </row>
    <row r="67" spans="1:45" ht="24">
      <c r="A67" s="2683">
        <v>2</v>
      </c>
      <c r="B67" s="2683">
        <v>20201</v>
      </c>
      <c r="C67" s="2730">
        <v>0.03</v>
      </c>
      <c r="D67" s="2731" t="s">
        <v>425</v>
      </c>
      <c r="E67" s="1136">
        <f>E13-E42</f>
        <v>469</v>
      </c>
      <c r="F67" s="5417"/>
      <c r="G67" s="5418"/>
      <c r="H67" s="1136">
        <f>H13-H42</f>
        <v>434</v>
      </c>
      <c r="I67" s="1136">
        <f>I13-I42</f>
        <v>303</v>
      </c>
      <c r="J67" s="5417"/>
      <c r="K67" s="5418"/>
      <c r="L67" s="1136">
        <f>L13-L42</f>
        <v>291</v>
      </c>
      <c r="M67" s="1136">
        <f>M13-M42</f>
        <v>249</v>
      </c>
      <c r="N67" s="5417"/>
      <c r="O67" s="5418"/>
      <c r="P67" s="1136">
        <f>P13-P42</f>
        <v>244</v>
      </c>
      <c r="Q67" s="1136">
        <f>Q13-Q42</f>
        <v>0</v>
      </c>
      <c r="R67" s="5417"/>
      <c r="S67" s="5418"/>
      <c r="T67" s="1136">
        <f>T13-T42</f>
        <v>0</v>
      </c>
      <c r="U67" s="1136">
        <f>U13-U42</f>
        <v>0</v>
      </c>
      <c r="V67" s="5417"/>
      <c r="W67" s="5418"/>
      <c r="X67" s="1136">
        <f>X13-X42</f>
        <v>0</v>
      </c>
      <c r="Y67" s="4775"/>
      <c r="Z67" s="4794">
        <f t="shared" si="14"/>
        <v>239.79589228102648</v>
      </c>
      <c r="AA67" s="4809"/>
      <c r="AB67" s="4810"/>
      <c r="AC67" s="4794">
        <f t="shared" si="17"/>
        <v>221.90067643915881</v>
      </c>
      <c r="AD67" s="4794">
        <f t="shared" si="18"/>
        <v>154.9214400024542</v>
      </c>
      <c r="AE67" s="4809"/>
      <c r="AF67" s="4810"/>
      <c r="AG67" s="4794">
        <f t="shared" si="21"/>
        <v>148.78593742809957</v>
      </c>
      <c r="AH67" s="4794">
        <f t="shared" si="22"/>
        <v>127.3116784178584</v>
      </c>
      <c r="AI67" s="4809"/>
      <c r="AJ67" s="4810"/>
      <c r="AK67" s="4794">
        <f t="shared" si="25"/>
        <v>124.75521901187732</v>
      </c>
      <c r="AL67" s="4794">
        <f t="shared" si="26"/>
        <v>0</v>
      </c>
      <c r="AM67" s="4809"/>
      <c r="AN67" s="4810"/>
      <c r="AO67" s="4794">
        <f t="shared" si="29"/>
        <v>0</v>
      </c>
      <c r="AP67" s="4794">
        <f t="shared" si="30"/>
        <v>0</v>
      </c>
      <c r="AQ67" s="4809"/>
      <c r="AR67" s="4810"/>
      <c r="AS67" s="4794">
        <f t="shared" si="33"/>
        <v>0</v>
      </c>
    </row>
    <row r="68" spans="1:45" ht="24">
      <c r="A68" s="2683">
        <v>3</v>
      </c>
      <c r="B68" s="2684">
        <v>203</v>
      </c>
      <c r="C68" s="2690"/>
      <c r="D68" s="2715" t="s">
        <v>405</v>
      </c>
      <c r="E68" s="2781">
        <f t="shared" ref="E68:I68" si="110">SUM(E69:E72)</f>
        <v>1373.7</v>
      </c>
      <c r="F68" s="5417"/>
      <c r="G68" s="5418"/>
      <c r="H68" s="2781">
        <f t="shared" si="110"/>
        <v>2256.6999999999998</v>
      </c>
      <c r="I68" s="2781">
        <f t="shared" si="110"/>
        <v>367</v>
      </c>
      <c r="J68" s="5417"/>
      <c r="K68" s="5418"/>
      <c r="L68" s="2781">
        <f t="shared" ref="L68:M68" si="111">SUM(L69:L72)</f>
        <v>611</v>
      </c>
      <c r="M68" s="2781">
        <f t="shared" si="111"/>
        <v>343</v>
      </c>
      <c r="N68" s="5417"/>
      <c r="O68" s="5418"/>
      <c r="P68" s="2781">
        <f t="shared" ref="P68:Q68" si="112">SUM(P69:P72)</f>
        <v>307</v>
      </c>
      <c r="Q68" s="2781">
        <f t="shared" si="112"/>
        <v>0</v>
      </c>
      <c r="R68" s="5417"/>
      <c r="S68" s="5418"/>
      <c r="T68" s="2781">
        <f t="shared" ref="T68:U68" si="113">SUM(T69:T72)</f>
        <v>0</v>
      </c>
      <c r="U68" s="2781">
        <f t="shared" si="113"/>
        <v>0</v>
      </c>
      <c r="V68" s="5417"/>
      <c r="W68" s="5418"/>
      <c r="X68" s="2781">
        <f t="shared" ref="X68" si="114">SUM(X69:X72)</f>
        <v>0</v>
      </c>
      <c r="Y68" s="4775"/>
      <c r="Z68" s="4794">
        <f t="shared" si="14"/>
        <v>702.36165719924543</v>
      </c>
      <c r="AA68" s="4809"/>
      <c r="AB68" s="4810"/>
      <c r="AC68" s="4794">
        <f t="shared" si="17"/>
        <v>1153.8323882955062</v>
      </c>
      <c r="AD68" s="4794">
        <f t="shared" si="18"/>
        <v>187.64412039901219</v>
      </c>
      <c r="AE68" s="4809"/>
      <c r="AF68" s="4810"/>
      <c r="AG68" s="4794">
        <f t="shared" si="21"/>
        <v>312.39933941088952</v>
      </c>
      <c r="AH68" s="4794">
        <f t="shared" si="22"/>
        <v>175.37311525030293</v>
      </c>
      <c r="AI68" s="4809"/>
      <c r="AJ68" s="4810"/>
      <c r="AK68" s="4794">
        <f t="shared" si="25"/>
        <v>156.96660752723909</v>
      </c>
      <c r="AL68" s="4794">
        <f t="shared" si="26"/>
        <v>0</v>
      </c>
      <c r="AM68" s="4809"/>
      <c r="AN68" s="4810"/>
      <c r="AO68" s="4794">
        <f t="shared" si="29"/>
        <v>0</v>
      </c>
      <c r="AP68" s="4794">
        <f t="shared" si="30"/>
        <v>0</v>
      </c>
      <c r="AQ68" s="4809"/>
      <c r="AR68" s="4810"/>
      <c r="AS68" s="4794">
        <f t="shared" si="33"/>
        <v>0</v>
      </c>
    </row>
    <row r="69" spans="1:45">
      <c r="A69" s="2683"/>
      <c r="B69" s="2684">
        <v>20301</v>
      </c>
      <c r="C69" s="2690">
        <v>0.1</v>
      </c>
      <c r="D69" s="2718" t="s">
        <v>427</v>
      </c>
      <c r="E69" s="1136">
        <f>E15-E44</f>
        <v>191</v>
      </c>
      <c r="F69" s="5417"/>
      <c r="G69" s="5418"/>
      <c r="H69" s="1136">
        <f t="shared" ref="H69:I73" si="115">H15-H44</f>
        <v>250</v>
      </c>
      <c r="I69" s="1136">
        <f t="shared" si="115"/>
        <v>56</v>
      </c>
      <c r="J69" s="5417"/>
      <c r="K69" s="5418"/>
      <c r="L69" s="1136">
        <f t="shared" ref="L69:M73" si="116">L15-L44</f>
        <v>67</v>
      </c>
      <c r="M69" s="1136">
        <f t="shared" si="116"/>
        <v>279</v>
      </c>
      <c r="N69" s="5417"/>
      <c r="O69" s="5418"/>
      <c r="P69" s="1136">
        <f t="shared" ref="P69:Q73" si="117">P15-P44</f>
        <v>251</v>
      </c>
      <c r="Q69" s="1136">
        <f t="shared" si="117"/>
        <v>0</v>
      </c>
      <c r="R69" s="5417"/>
      <c r="S69" s="5418"/>
      <c r="T69" s="1136">
        <f t="shared" ref="T69:U73" si="118">T15-T44</f>
        <v>0</v>
      </c>
      <c r="U69" s="1136">
        <f t="shared" si="118"/>
        <v>0</v>
      </c>
      <c r="V69" s="5417"/>
      <c r="W69" s="5418"/>
      <c r="X69" s="1136">
        <f>X15-X44</f>
        <v>0</v>
      </c>
      <c r="Y69" s="4775"/>
      <c r="Z69" s="4794">
        <f t="shared" si="14"/>
        <v>97.656749308477728</v>
      </c>
      <c r="AA69" s="4809"/>
      <c r="AB69" s="4810"/>
      <c r="AC69" s="4794">
        <f t="shared" si="17"/>
        <v>127.82297029905462</v>
      </c>
      <c r="AD69" s="4794">
        <f t="shared" si="18"/>
        <v>28.632345346988235</v>
      </c>
      <c r="AE69" s="4809"/>
      <c r="AF69" s="4810"/>
      <c r="AG69" s="4794">
        <f t="shared" si="21"/>
        <v>34.256556040146641</v>
      </c>
      <c r="AH69" s="4794">
        <f t="shared" si="22"/>
        <v>142.65043485374497</v>
      </c>
      <c r="AI69" s="4809"/>
      <c r="AJ69" s="4810"/>
      <c r="AK69" s="4794">
        <f t="shared" si="25"/>
        <v>128.33426218025085</v>
      </c>
      <c r="AL69" s="4794">
        <f t="shared" si="26"/>
        <v>0</v>
      </c>
      <c r="AM69" s="4809"/>
      <c r="AN69" s="4810"/>
      <c r="AO69" s="4794">
        <f t="shared" si="29"/>
        <v>0</v>
      </c>
      <c r="AP69" s="4794">
        <f t="shared" si="30"/>
        <v>0</v>
      </c>
      <c r="AQ69" s="4809"/>
      <c r="AR69" s="4810"/>
      <c r="AS69" s="4794">
        <f t="shared" si="33"/>
        <v>0</v>
      </c>
    </row>
    <row r="70" spans="1:45">
      <c r="A70" s="2683"/>
      <c r="B70" s="2684">
        <v>20302</v>
      </c>
      <c r="C70" s="2690">
        <v>0.1</v>
      </c>
      <c r="D70" s="2718" t="s">
        <v>428</v>
      </c>
      <c r="E70" s="1136">
        <f>E16-E45</f>
        <v>36</v>
      </c>
      <c r="F70" s="5417"/>
      <c r="G70" s="5418"/>
      <c r="H70" s="1136">
        <f t="shared" si="115"/>
        <v>48</v>
      </c>
      <c r="I70" s="1136">
        <f t="shared" si="115"/>
        <v>1</v>
      </c>
      <c r="J70" s="5417"/>
      <c r="K70" s="5418"/>
      <c r="L70" s="1136">
        <f t="shared" si="116"/>
        <v>1</v>
      </c>
      <c r="M70" s="1136">
        <f t="shared" si="116"/>
        <v>3</v>
      </c>
      <c r="N70" s="5417"/>
      <c r="O70" s="5418"/>
      <c r="P70" s="1136">
        <f t="shared" si="117"/>
        <v>2</v>
      </c>
      <c r="Q70" s="1136">
        <f t="shared" si="117"/>
        <v>0</v>
      </c>
      <c r="R70" s="5417"/>
      <c r="S70" s="5418"/>
      <c r="T70" s="1136">
        <f t="shared" si="118"/>
        <v>0</v>
      </c>
      <c r="U70" s="1136">
        <f t="shared" si="118"/>
        <v>0</v>
      </c>
      <c r="V70" s="5417"/>
      <c r="W70" s="5418"/>
      <c r="X70" s="1136">
        <f>X16-X45</f>
        <v>0</v>
      </c>
      <c r="Y70" s="4775"/>
      <c r="Z70" s="4794">
        <f t="shared" si="14"/>
        <v>18.406507723063864</v>
      </c>
      <c r="AA70" s="4809"/>
      <c r="AB70" s="4810"/>
      <c r="AC70" s="4794">
        <f t="shared" si="17"/>
        <v>24.542010297418489</v>
      </c>
      <c r="AD70" s="4794">
        <f t="shared" si="18"/>
        <v>0.51129188119621849</v>
      </c>
      <c r="AE70" s="4809"/>
      <c r="AF70" s="4810"/>
      <c r="AG70" s="4794">
        <f t="shared" si="21"/>
        <v>0.51129188119621849</v>
      </c>
      <c r="AH70" s="4794">
        <f t="shared" si="22"/>
        <v>1.5338756435886556</v>
      </c>
      <c r="AI70" s="4809"/>
      <c r="AJ70" s="4810"/>
      <c r="AK70" s="4794">
        <f t="shared" si="25"/>
        <v>1.022583762392437</v>
      </c>
      <c r="AL70" s="4794">
        <f t="shared" si="26"/>
        <v>0</v>
      </c>
      <c r="AM70" s="4809"/>
      <c r="AN70" s="4810"/>
      <c r="AO70" s="4794">
        <f t="shared" si="29"/>
        <v>0</v>
      </c>
      <c r="AP70" s="4794">
        <f t="shared" si="30"/>
        <v>0</v>
      </c>
      <c r="AQ70" s="4809"/>
      <c r="AR70" s="4810"/>
      <c r="AS70" s="4794">
        <f t="shared" si="33"/>
        <v>0</v>
      </c>
    </row>
    <row r="71" spans="1:45" ht="24">
      <c r="A71" s="2683"/>
      <c r="B71" s="2684">
        <v>20303</v>
      </c>
      <c r="C71" s="2690">
        <v>0.1</v>
      </c>
      <c r="D71" s="2718" t="s">
        <v>406</v>
      </c>
      <c r="E71" s="1136">
        <f>E17-E46</f>
        <v>1078.7</v>
      </c>
      <c r="F71" s="5417"/>
      <c r="G71" s="5418"/>
      <c r="H71" s="1136">
        <f t="shared" si="115"/>
        <v>1804.7</v>
      </c>
      <c r="I71" s="1136">
        <f t="shared" si="115"/>
        <v>279</v>
      </c>
      <c r="J71" s="5417"/>
      <c r="K71" s="5418"/>
      <c r="L71" s="1136">
        <f t="shared" si="116"/>
        <v>516</v>
      </c>
      <c r="M71" s="1136">
        <f t="shared" si="116"/>
        <v>17</v>
      </c>
      <c r="N71" s="5417"/>
      <c r="O71" s="5418"/>
      <c r="P71" s="1136">
        <f t="shared" si="117"/>
        <v>13</v>
      </c>
      <c r="Q71" s="1136">
        <f t="shared" si="117"/>
        <v>0</v>
      </c>
      <c r="R71" s="5417"/>
      <c r="S71" s="5418"/>
      <c r="T71" s="1136">
        <f t="shared" si="118"/>
        <v>0</v>
      </c>
      <c r="U71" s="1136">
        <f t="shared" si="118"/>
        <v>0</v>
      </c>
      <c r="V71" s="5417"/>
      <c r="W71" s="5418"/>
      <c r="X71" s="1136">
        <f>X17-X46</f>
        <v>0</v>
      </c>
      <c r="Y71" s="4775"/>
      <c r="Z71" s="4794">
        <f t="shared" si="14"/>
        <v>551.53055224636091</v>
      </c>
      <c r="AA71" s="4809"/>
      <c r="AB71" s="4810"/>
      <c r="AC71" s="4794">
        <f t="shared" si="17"/>
        <v>922.72845799481559</v>
      </c>
      <c r="AD71" s="4794">
        <f t="shared" si="18"/>
        <v>142.65043485374497</v>
      </c>
      <c r="AE71" s="4809"/>
      <c r="AF71" s="4810"/>
      <c r="AG71" s="4794">
        <f t="shared" si="21"/>
        <v>263.82661069724873</v>
      </c>
      <c r="AH71" s="4794">
        <f t="shared" si="22"/>
        <v>8.691961980335714</v>
      </c>
      <c r="AI71" s="4809"/>
      <c r="AJ71" s="4810"/>
      <c r="AK71" s="4794">
        <f t="shared" si="25"/>
        <v>6.6467944555508405</v>
      </c>
      <c r="AL71" s="4794">
        <f t="shared" si="26"/>
        <v>0</v>
      </c>
      <c r="AM71" s="4809"/>
      <c r="AN71" s="4810"/>
      <c r="AO71" s="4794">
        <f t="shared" si="29"/>
        <v>0</v>
      </c>
      <c r="AP71" s="4794">
        <f t="shared" si="30"/>
        <v>0</v>
      </c>
      <c r="AQ71" s="4809"/>
      <c r="AR71" s="4810"/>
      <c r="AS71" s="4794">
        <f t="shared" si="33"/>
        <v>0</v>
      </c>
    </row>
    <row r="72" spans="1:45" ht="24">
      <c r="A72" s="2683"/>
      <c r="B72" s="2684">
        <v>20306</v>
      </c>
      <c r="C72" s="2690">
        <v>0.1</v>
      </c>
      <c r="D72" s="2718" t="s">
        <v>409</v>
      </c>
      <c r="E72" s="1136">
        <f>E18-E47</f>
        <v>68</v>
      </c>
      <c r="F72" s="5417"/>
      <c r="G72" s="5418"/>
      <c r="H72" s="1136">
        <f t="shared" si="115"/>
        <v>154</v>
      </c>
      <c r="I72" s="1136">
        <f t="shared" si="115"/>
        <v>31</v>
      </c>
      <c r="J72" s="5417"/>
      <c r="K72" s="5418"/>
      <c r="L72" s="1136">
        <f t="shared" si="116"/>
        <v>27</v>
      </c>
      <c r="M72" s="1136">
        <f t="shared" si="116"/>
        <v>44</v>
      </c>
      <c r="N72" s="5417"/>
      <c r="O72" s="5418"/>
      <c r="P72" s="1136">
        <f t="shared" si="117"/>
        <v>41</v>
      </c>
      <c r="Q72" s="1136">
        <f t="shared" si="117"/>
        <v>0</v>
      </c>
      <c r="R72" s="5417"/>
      <c r="S72" s="5418"/>
      <c r="T72" s="1136">
        <f t="shared" si="118"/>
        <v>0</v>
      </c>
      <c r="U72" s="1136">
        <f t="shared" si="118"/>
        <v>0</v>
      </c>
      <c r="V72" s="5417"/>
      <c r="W72" s="5418"/>
      <c r="X72" s="1136">
        <f>X18-X47</f>
        <v>0</v>
      </c>
      <c r="Y72" s="4775"/>
      <c r="Z72" s="4794">
        <f t="shared" si="14"/>
        <v>34.767847921342856</v>
      </c>
      <c r="AA72" s="4809"/>
      <c r="AB72" s="4810"/>
      <c r="AC72" s="4794">
        <f t="shared" si="17"/>
        <v>78.738949704217646</v>
      </c>
      <c r="AD72" s="4794">
        <f t="shared" si="18"/>
        <v>15.850048317082774</v>
      </c>
      <c r="AE72" s="4809"/>
      <c r="AF72" s="4810"/>
      <c r="AG72" s="4794">
        <f t="shared" si="21"/>
        <v>13.804880792297899</v>
      </c>
      <c r="AH72" s="4794">
        <f t="shared" si="22"/>
        <v>22.496842772633613</v>
      </c>
      <c r="AI72" s="4809"/>
      <c r="AJ72" s="4810"/>
      <c r="AK72" s="4794">
        <f t="shared" si="25"/>
        <v>20.962967129044959</v>
      </c>
      <c r="AL72" s="4794">
        <f t="shared" si="26"/>
        <v>0</v>
      </c>
      <c r="AM72" s="4809"/>
      <c r="AN72" s="4810"/>
      <c r="AO72" s="4794">
        <f t="shared" si="29"/>
        <v>0</v>
      </c>
      <c r="AP72" s="4794">
        <f t="shared" si="30"/>
        <v>0</v>
      </c>
      <c r="AQ72" s="4809"/>
      <c r="AR72" s="4810"/>
      <c r="AS72" s="4794">
        <f t="shared" si="33"/>
        <v>0</v>
      </c>
    </row>
    <row r="73" spans="1:45">
      <c r="A73" s="2683">
        <v>4</v>
      </c>
      <c r="B73" s="2684">
        <v>20403</v>
      </c>
      <c r="C73" s="2690">
        <v>0.04</v>
      </c>
      <c r="D73" s="2720" t="s">
        <v>434</v>
      </c>
      <c r="E73" s="1136">
        <f>E19-E48</f>
        <v>56</v>
      </c>
      <c r="F73" s="5417"/>
      <c r="G73" s="5418"/>
      <c r="H73" s="1136">
        <f t="shared" si="115"/>
        <v>52</v>
      </c>
      <c r="I73" s="1136">
        <f t="shared" si="115"/>
        <v>4</v>
      </c>
      <c r="J73" s="5417"/>
      <c r="K73" s="5418"/>
      <c r="L73" s="1136">
        <f t="shared" si="116"/>
        <v>4</v>
      </c>
      <c r="M73" s="1136">
        <f t="shared" si="116"/>
        <v>7</v>
      </c>
      <c r="N73" s="5417"/>
      <c r="O73" s="5418"/>
      <c r="P73" s="1136">
        <f t="shared" si="117"/>
        <v>7</v>
      </c>
      <c r="Q73" s="1136">
        <f t="shared" si="117"/>
        <v>0</v>
      </c>
      <c r="R73" s="5417"/>
      <c r="S73" s="5418"/>
      <c r="T73" s="1136">
        <f t="shared" si="118"/>
        <v>0</v>
      </c>
      <c r="U73" s="1136">
        <f t="shared" si="118"/>
        <v>0</v>
      </c>
      <c r="V73" s="5417"/>
      <c r="W73" s="5418"/>
      <c r="X73" s="1136">
        <f>X19-X48</f>
        <v>0</v>
      </c>
      <c r="Y73" s="4775"/>
      <c r="Z73" s="4794">
        <f t="shared" si="14"/>
        <v>28.632345346988235</v>
      </c>
      <c r="AA73" s="4809"/>
      <c r="AB73" s="4810"/>
      <c r="AC73" s="4794">
        <f t="shared" si="17"/>
        <v>26.587177822203362</v>
      </c>
      <c r="AD73" s="4794">
        <f t="shared" si="18"/>
        <v>2.045167524784874</v>
      </c>
      <c r="AE73" s="4809"/>
      <c r="AF73" s="4810"/>
      <c r="AG73" s="4794">
        <f t="shared" si="21"/>
        <v>2.045167524784874</v>
      </c>
      <c r="AH73" s="4794">
        <f t="shared" si="22"/>
        <v>3.5790431683735293</v>
      </c>
      <c r="AI73" s="4809"/>
      <c r="AJ73" s="4810"/>
      <c r="AK73" s="4794">
        <f t="shared" si="25"/>
        <v>3.5790431683735293</v>
      </c>
      <c r="AL73" s="4794">
        <f t="shared" si="26"/>
        <v>0</v>
      </c>
      <c r="AM73" s="4809"/>
      <c r="AN73" s="4810"/>
      <c r="AO73" s="4794">
        <f t="shared" si="29"/>
        <v>0</v>
      </c>
      <c r="AP73" s="4794">
        <f t="shared" si="30"/>
        <v>0</v>
      </c>
      <c r="AQ73" s="4809"/>
      <c r="AR73" s="4810"/>
      <c r="AS73" s="4794">
        <f t="shared" si="33"/>
        <v>0</v>
      </c>
    </row>
    <row r="74" spans="1:45">
      <c r="A74" s="2683">
        <v>5</v>
      </c>
      <c r="B74" s="2684">
        <v>205</v>
      </c>
      <c r="C74" s="2690"/>
      <c r="D74" s="2715" t="s">
        <v>212</v>
      </c>
      <c r="E74" s="2794">
        <f>SUM(E75:E78)</f>
        <v>420.79999999999995</v>
      </c>
      <c r="F74" s="5417"/>
      <c r="G74" s="5418"/>
      <c r="H74" s="2794">
        <f t="shared" ref="H74" si="119">SUM(H75:H78)</f>
        <v>2245.8000000000002</v>
      </c>
      <c r="I74" s="2794">
        <f>SUM(I75:I78)</f>
        <v>185</v>
      </c>
      <c r="J74" s="5417"/>
      <c r="K74" s="5418"/>
      <c r="L74" s="2794">
        <f t="shared" ref="L74" si="120">SUM(L75:L78)</f>
        <v>170</v>
      </c>
      <c r="M74" s="2794">
        <f>SUM(M75:M78)</f>
        <v>165</v>
      </c>
      <c r="N74" s="5417"/>
      <c r="O74" s="5418"/>
      <c r="P74" s="2794">
        <f t="shared" ref="P74" si="121">SUM(P75:P78)</f>
        <v>147</v>
      </c>
      <c r="Q74" s="2794">
        <f>SUM(Q75:Q78)</f>
        <v>0</v>
      </c>
      <c r="R74" s="5417"/>
      <c r="S74" s="5418"/>
      <c r="T74" s="2794">
        <f t="shared" ref="T74" si="122">SUM(T75:T78)</f>
        <v>0</v>
      </c>
      <c r="U74" s="2794">
        <f>SUM(U75:U78)</f>
        <v>0</v>
      </c>
      <c r="V74" s="5417"/>
      <c r="W74" s="5418"/>
      <c r="X74" s="2794">
        <f t="shared" ref="X74" si="123">SUM(X75:X78)</f>
        <v>0</v>
      </c>
      <c r="Y74" s="4775"/>
      <c r="Z74" s="4794">
        <f t="shared" si="14"/>
        <v>215.15162360736872</v>
      </c>
      <c r="AA74" s="4809"/>
      <c r="AB74" s="4810"/>
      <c r="AC74" s="4794">
        <f t="shared" si="17"/>
        <v>1148.2593067904677</v>
      </c>
      <c r="AD74" s="4794">
        <f t="shared" si="18"/>
        <v>94.588998021300426</v>
      </c>
      <c r="AE74" s="4809"/>
      <c r="AF74" s="4810"/>
      <c r="AG74" s="4794">
        <f t="shared" si="21"/>
        <v>86.919619803357151</v>
      </c>
      <c r="AH74" s="4794">
        <f t="shared" si="22"/>
        <v>84.363160397376049</v>
      </c>
      <c r="AI74" s="4809"/>
      <c r="AJ74" s="4810"/>
      <c r="AK74" s="4794">
        <f t="shared" si="25"/>
        <v>75.159906535844115</v>
      </c>
      <c r="AL74" s="4794">
        <f t="shared" si="26"/>
        <v>0</v>
      </c>
      <c r="AM74" s="4809"/>
      <c r="AN74" s="4810"/>
      <c r="AO74" s="4794">
        <f t="shared" si="29"/>
        <v>0</v>
      </c>
      <c r="AP74" s="4794">
        <f t="shared" si="30"/>
        <v>0</v>
      </c>
      <c r="AQ74" s="4809"/>
      <c r="AR74" s="4810"/>
      <c r="AS74" s="4794">
        <f t="shared" si="33"/>
        <v>0</v>
      </c>
    </row>
    <row r="75" spans="1:45">
      <c r="A75" s="2694"/>
      <c r="B75" s="2695">
        <v>20501</v>
      </c>
      <c r="C75" s="2690">
        <v>0.08</v>
      </c>
      <c r="D75" s="2721" t="s">
        <v>410</v>
      </c>
      <c r="E75" s="1136">
        <f t="shared" ref="E75:E84" si="124">E21-E50</f>
        <v>220.79999999999995</v>
      </c>
      <c r="F75" s="5417"/>
      <c r="G75" s="5418"/>
      <c r="H75" s="1136">
        <f t="shared" ref="H75:I84" si="125">H21-H50</f>
        <v>1202.8</v>
      </c>
      <c r="I75" s="1136">
        <f t="shared" si="125"/>
        <v>54</v>
      </c>
      <c r="J75" s="5417"/>
      <c r="K75" s="5418"/>
      <c r="L75" s="1136">
        <f t="shared" ref="L75:M84" si="126">L21-L50</f>
        <v>41</v>
      </c>
      <c r="M75" s="1136">
        <f t="shared" si="126"/>
        <v>47</v>
      </c>
      <c r="N75" s="5417"/>
      <c r="O75" s="5418"/>
      <c r="P75" s="1136">
        <f t="shared" ref="P75:Q84" si="127">P21-P50</f>
        <v>43</v>
      </c>
      <c r="Q75" s="1136">
        <f t="shared" si="127"/>
        <v>0</v>
      </c>
      <c r="R75" s="5417"/>
      <c r="S75" s="5418"/>
      <c r="T75" s="1136">
        <f t="shared" ref="T75:U84" si="128">T21-T50</f>
        <v>0</v>
      </c>
      <c r="U75" s="1136">
        <f t="shared" si="128"/>
        <v>0</v>
      </c>
      <c r="V75" s="5417"/>
      <c r="W75" s="5418"/>
      <c r="X75" s="1136">
        <f t="shared" ref="X75:X84" si="129">X21-X50</f>
        <v>0</v>
      </c>
      <c r="Y75" s="4775"/>
      <c r="Z75" s="4794">
        <f t="shared" si="14"/>
        <v>112.89324736812502</v>
      </c>
      <c r="AA75" s="4809"/>
      <c r="AB75" s="4810"/>
      <c r="AC75" s="4794">
        <f t="shared" si="17"/>
        <v>614.98187470281164</v>
      </c>
      <c r="AD75" s="4794">
        <f t="shared" si="18"/>
        <v>27.609761584595798</v>
      </c>
      <c r="AE75" s="4809"/>
      <c r="AF75" s="4810"/>
      <c r="AG75" s="4794">
        <f t="shared" si="21"/>
        <v>20.962967129044959</v>
      </c>
      <c r="AH75" s="4794">
        <f t="shared" si="22"/>
        <v>24.030718416222268</v>
      </c>
      <c r="AI75" s="4809"/>
      <c r="AJ75" s="4810"/>
      <c r="AK75" s="4794">
        <f t="shared" si="25"/>
        <v>21.985550891437395</v>
      </c>
      <c r="AL75" s="4794">
        <f t="shared" si="26"/>
        <v>0</v>
      </c>
      <c r="AM75" s="4809"/>
      <c r="AN75" s="4810"/>
      <c r="AO75" s="4794">
        <f t="shared" si="29"/>
        <v>0</v>
      </c>
      <c r="AP75" s="4794">
        <f t="shared" si="30"/>
        <v>0</v>
      </c>
      <c r="AQ75" s="4809"/>
      <c r="AR75" s="4810"/>
      <c r="AS75" s="4794">
        <f t="shared" si="33"/>
        <v>0</v>
      </c>
    </row>
    <row r="76" spans="1:45">
      <c r="A76" s="2694"/>
      <c r="B76" s="2695">
        <v>20502</v>
      </c>
      <c r="C76" s="2690">
        <v>0.1</v>
      </c>
      <c r="D76" s="2721" t="s">
        <v>411</v>
      </c>
      <c r="E76" s="1136">
        <f t="shared" si="124"/>
        <v>185</v>
      </c>
      <c r="F76" s="5417"/>
      <c r="G76" s="5418"/>
      <c r="H76" s="1136">
        <f t="shared" si="125"/>
        <v>1036</v>
      </c>
      <c r="I76" s="1136">
        <f t="shared" si="125"/>
        <v>121</v>
      </c>
      <c r="J76" s="5417"/>
      <c r="K76" s="5418"/>
      <c r="L76" s="1136">
        <f t="shared" si="126"/>
        <v>119</v>
      </c>
      <c r="M76" s="1136">
        <f t="shared" si="126"/>
        <v>108</v>
      </c>
      <c r="N76" s="5417"/>
      <c r="O76" s="5418"/>
      <c r="P76" s="1136">
        <f t="shared" si="127"/>
        <v>96</v>
      </c>
      <c r="Q76" s="1136">
        <f t="shared" si="127"/>
        <v>0</v>
      </c>
      <c r="R76" s="5417"/>
      <c r="S76" s="5418"/>
      <c r="T76" s="1136">
        <f t="shared" si="128"/>
        <v>0</v>
      </c>
      <c r="U76" s="1136">
        <f t="shared" si="128"/>
        <v>0</v>
      </c>
      <c r="V76" s="5417"/>
      <c r="W76" s="5418"/>
      <c r="X76" s="1136">
        <f t="shared" si="129"/>
        <v>0</v>
      </c>
      <c r="Y76" s="4775"/>
      <c r="Z76" s="4794">
        <f t="shared" ref="Z76:Z139" si="130">IFERROR(E76/$D$1,0)</f>
        <v>94.588998021300426</v>
      </c>
      <c r="AA76" s="4809"/>
      <c r="AB76" s="4810"/>
      <c r="AC76" s="4794">
        <f t="shared" ref="AC76:AC139" si="131">IFERROR(H76/$D$1,0)</f>
        <v>529.69838891928237</v>
      </c>
      <c r="AD76" s="4794">
        <f t="shared" ref="AD76:AD139" si="132">IFERROR(I76/$D$1,0)</f>
        <v>61.866317624742436</v>
      </c>
      <c r="AE76" s="4809"/>
      <c r="AF76" s="4810"/>
      <c r="AG76" s="4794">
        <f t="shared" ref="AG76:AG139" si="133">IFERROR(L76/$D$1,0)</f>
        <v>60.84373386235</v>
      </c>
      <c r="AH76" s="4794">
        <f t="shared" ref="AH76:AH139" si="134">IFERROR(M76/$D$1,0)</f>
        <v>55.219523169191596</v>
      </c>
      <c r="AI76" s="4809"/>
      <c r="AJ76" s="4810"/>
      <c r="AK76" s="4794">
        <f t="shared" ref="AK76:AK139" si="135">IFERROR(P76/$D$1,0)</f>
        <v>49.084020594836979</v>
      </c>
      <c r="AL76" s="4794">
        <f t="shared" ref="AL76:AL139" si="136">IFERROR(Q76/$D$1,0)</f>
        <v>0</v>
      </c>
      <c r="AM76" s="4809"/>
      <c r="AN76" s="4810"/>
      <c r="AO76" s="4794">
        <f t="shared" ref="AO76:AO139" si="137">IFERROR(T76/$D$1,0)</f>
        <v>0</v>
      </c>
      <c r="AP76" s="4794">
        <f t="shared" ref="AP76:AP139" si="138">IFERROR(U76/$D$1,0)</f>
        <v>0</v>
      </c>
      <c r="AQ76" s="4809"/>
      <c r="AR76" s="4810"/>
      <c r="AS76" s="4794">
        <f t="shared" ref="AS76:AS139" si="139">IFERROR(X76/$D$1,0)</f>
        <v>0</v>
      </c>
    </row>
    <row r="77" spans="1:45">
      <c r="A77" s="2694"/>
      <c r="B77" s="2695">
        <v>20503</v>
      </c>
      <c r="C77" s="2690">
        <v>0.1</v>
      </c>
      <c r="D77" s="2718" t="s">
        <v>412</v>
      </c>
      <c r="E77" s="1136">
        <f t="shared" si="124"/>
        <v>13</v>
      </c>
      <c r="F77" s="5417"/>
      <c r="G77" s="5418"/>
      <c r="H77" s="1136">
        <f t="shared" si="125"/>
        <v>7</v>
      </c>
      <c r="I77" s="1136">
        <f t="shared" si="125"/>
        <v>9</v>
      </c>
      <c r="J77" s="5417"/>
      <c r="K77" s="5418"/>
      <c r="L77" s="1136">
        <f t="shared" si="126"/>
        <v>9</v>
      </c>
      <c r="M77" s="1136">
        <f t="shared" si="126"/>
        <v>8</v>
      </c>
      <c r="N77" s="5417"/>
      <c r="O77" s="5418"/>
      <c r="P77" s="1136">
        <f t="shared" si="127"/>
        <v>7</v>
      </c>
      <c r="Q77" s="1136">
        <f t="shared" si="127"/>
        <v>0</v>
      </c>
      <c r="R77" s="5417"/>
      <c r="S77" s="5418"/>
      <c r="T77" s="1136">
        <f t="shared" si="128"/>
        <v>0</v>
      </c>
      <c r="U77" s="1136">
        <f t="shared" si="128"/>
        <v>0</v>
      </c>
      <c r="V77" s="5417"/>
      <c r="W77" s="5418"/>
      <c r="X77" s="1136">
        <f t="shared" si="129"/>
        <v>0</v>
      </c>
      <c r="Y77" s="4775"/>
      <c r="Z77" s="4794">
        <f t="shared" si="130"/>
        <v>6.6467944555508405</v>
      </c>
      <c r="AA77" s="4809"/>
      <c r="AB77" s="4810"/>
      <c r="AC77" s="4794">
        <f t="shared" si="131"/>
        <v>3.5790431683735293</v>
      </c>
      <c r="AD77" s="4794">
        <f t="shared" si="132"/>
        <v>4.6016269307659661</v>
      </c>
      <c r="AE77" s="4809"/>
      <c r="AF77" s="4810"/>
      <c r="AG77" s="4794">
        <f t="shared" si="133"/>
        <v>4.6016269307659661</v>
      </c>
      <c r="AH77" s="4794">
        <f t="shared" si="134"/>
        <v>4.0903350495697479</v>
      </c>
      <c r="AI77" s="4809"/>
      <c r="AJ77" s="4810"/>
      <c r="AK77" s="4794">
        <f t="shared" si="135"/>
        <v>3.5790431683735293</v>
      </c>
      <c r="AL77" s="4794">
        <f t="shared" si="136"/>
        <v>0</v>
      </c>
      <c r="AM77" s="4809"/>
      <c r="AN77" s="4810"/>
      <c r="AO77" s="4794">
        <f t="shared" si="137"/>
        <v>0</v>
      </c>
      <c r="AP77" s="4794">
        <f t="shared" si="138"/>
        <v>0</v>
      </c>
      <c r="AQ77" s="4809"/>
      <c r="AR77" s="4810"/>
      <c r="AS77" s="4794">
        <f t="shared" si="139"/>
        <v>0</v>
      </c>
    </row>
    <row r="78" spans="1:45">
      <c r="A78" s="2694"/>
      <c r="B78" s="2695">
        <v>20504</v>
      </c>
      <c r="C78" s="2690">
        <v>0.1</v>
      </c>
      <c r="D78" s="2718" t="s">
        <v>557</v>
      </c>
      <c r="E78" s="1136">
        <f t="shared" si="124"/>
        <v>2</v>
      </c>
      <c r="F78" s="5417"/>
      <c r="G78" s="5418"/>
      <c r="H78" s="1136">
        <f t="shared" si="125"/>
        <v>0</v>
      </c>
      <c r="I78" s="1136">
        <f t="shared" si="125"/>
        <v>1</v>
      </c>
      <c r="J78" s="5417"/>
      <c r="K78" s="5418"/>
      <c r="L78" s="1136">
        <f t="shared" si="126"/>
        <v>1</v>
      </c>
      <c r="M78" s="1136">
        <f t="shared" si="126"/>
        <v>2</v>
      </c>
      <c r="N78" s="5417"/>
      <c r="O78" s="5418"/>
      <c r="P78" s="1136">
        <f t="shared" si="127"/>
        <v>1</v>
      </c>
      <c r="Q78" s="1136">
        <f t="shared" si="127"/>
        <v>0</v>
      </c>
      <c r="R78" s="5417"/>
      <c r="S78" s="5418"/>
      <c r="T78" s="1136">
        <f t="shared" si="128"/>
        <v>0</v>
      </c>
      <c r="U78" s="1136">
        <f t="shared" si="128"/>
        <v>0</v>
      </c>
      <c r="V78" s="5417"/>
      <c r="W78" s="5418"/>
      <c r="X78" s="1136">
        <f t="shared" si="129"/>
        <v>0</v>
      </c>
      <c r="Y78" s="4775"/>
      <c r="Z78" s="4794">
        <f t="shared" si="130"/>
        <v>1.022583762392437</v>
      </c>
      <c r="AA78" s="4809"/>
      <c r="AB78" s="4810"/>
      <c r="AC78" s="4794">
        <f t="shared" si="131"/>
        <v>0</v>
      </c>
      <c r="AD78" s="4794">
        <f t="shared" si="132"/>
        <v>0.51129188119621849</v>
      </c>
      <c r="AE78" s="4809"/>
      <c r="AF78" s="4810"/>
      <c r="AG78" s="4794">
        <f t="shared" si="133"/>
        <v>0.51129188119621849</v>
      </c>
      <c r="AH78" s="4794">
        <f t="shared" si="134"/>
        <v>1.022583762392437</v>
      </c>
      <c r="AI78" s="4809"/>
      <c r="AJ78" s="4810"/>
      <c r="AK78" s="4794">
        <f t="shared" si="135"/>
        <v>0.51129188119621849</v>
      </c>
      <c r="AL78" s="4794">
        <f t="shared" si="136"/>
        <v>0</v>
      </c>
      <c r="AM78" s="4809"/>
      <c r="AN78" s="4810"/>
      <c r="AO78" s="4794">
        <f t="shared" si="137"/>
        <v>0</v>
      </c>
      <c r="AP78" s="4794">
        <f t="shared" si="138"/>
        <v>0</v>
      </c>
      <c r="AQ78" s="4809"/>
      <c r="AR78" s="4810"/>
      <c r="AS78" s="4794">
        <f t="shared" si="139"/>
        <v>0</v>
      </c>
    </row>
    <row r="79" spans="1:45">
      <c r="A79" s="2694">
        <v>6</v>
      </c>
      <c r="B79" s="2695">
        <v>208</v>
      </c>
      <c r="C79" s="2690">
        <v>0.2</v>
      </c>
      <c r="D79" s="2720" t="s">
        <v>413</v>
      </c>
      <c r="E79" s="1136">
        <f t="shared" si="124"/>
        <v>33</v>
      </c>
      <c r="F79" s="5417"/>
      <c r="G79" s="5418"/>
      <c r="H79" s="1136">
        <f t="shared" si="125"/>
        <v>36</v>
      </c>
      <c r="I79" s="1136">
        <f t="shared" si="125"/>
        <v>21</v>
      </c>
      <c r="J79" s="5417"/>
      <c r="K79" s="5418"/>
      <c r="L79" s="1136">
        <f t="shared" si="126"/>
        <v>16</v>
      </c>
      <c r="M79" s="1136">
        <f t="shared" si="126"/>
        <v>15</v>
      </c>
      <c r="N79" s="5417"/>
      <c r="O79" s="5418"/>
      <c r="P79" s="1136">
        <f t="shared" si="127"/>
        <v>15</v>
      </c>
      <c r="Q79" s="1136">
        <f t="shared" si="127"/>
        <v>0</v>
      </c>
      <c r="R79" s="5417"/>
      <c r="S79" s="5418"/>
      <c r="T79" s="1136">
        <f t="shared" si="128"/>
        <v>0</v>
      </c>
      <c r="U79" s="1136">
        <f t="shared" si="128"/>
        <v>0</v>
      </c>
      <c r="V79" s="5417"/>
      <c r="W79" s="5418"/>
      <c r="X79" s="1136">
        <f t="shared" si="129"/>
        <v>0</v>
      </c>
      <c r="Y79" s="4775"/>
      <c r="Z79" s="4794">
        <f t="shared" si="130"/>
        <v>16.87263207947521</v>
      </c>
      <c r="AA79" s="4809"/>
      <c r="AB79" s="4810"/>
      <c r="AC79" s="4794">
        <f t="shared" si="131"/>
        <v>18.406507723063864</v>
      </c>
      <c r="AD79" s="4794">
        <f t="shared" si="132"/>
        <v>10.737129505120588</v>
      </c>
      <c r="AE79" s="4809"/>
      <c r="AF79" s="4810"/>
      <c r="AG79" s="4794">
        <f t="shared" si="133"/>
        <v>8.1806700991394958</v>
      </c>
      <c r="AH79" s="4794">
        <f t="shared" si="134"/>
        <v>7.6693782179432777</v>
      </c>
      <c r="AI79" s="4809"/>
      <c r="AJ79" s="4810"/>
      <c r="AK79" s="4794">
        <f t="shared" si="135"/>
        <v>7.6693782179432777</v>
      </c>
      <c r="AL79" s="4794">
        <f t="shared" si="136"/>
        <v>0</v>
      </c>
      <c r="AM79" s="4809"/>
      <c r="AN79" s="4810"/>
      <c r="AO79" s="4794">
        <f t="shared" si="137"/>
        <v>0</v>
      </c>
      <c r="AP79" s="4794">
        <f t="shared" si="138"/>
        <v>0</v>
      </c>
      <c r="AQ79" s="4809"/>
      <c r="AR79" s="4810"/>
      <c r="AS79" s="4794">
        <f t="shared" si="139"/>
        <v>0</v>
      </c>
    </row>
    <row r="80" spans="1:45">
      <c r="A80" s="2694">
        <v>7</v>
      </c>
      <c r="B80" s="2698">
        <v>20601</v>
      </c>
      <c r="C80" s="2690">
        <v>0.1</v>
      </c>
      <c r="D80" s="2720" t="s">
        <v>564</v>
      </c>
      <c r="E80" s="1136">
        <f t="shared" si="124"/>
        <v>111</v>
      </c>
      <c r="F80" s="5417"/>
      <c r="G80" s="5418"/>
      <c r="H80" s="1136">
        <f t="shared" si="125"/>
        <v>142</v>
      </c>
      <c r="I80" s="1136">
        <f t="shared" si="125"/>
        <v>49</v>
      </c>
      <c r="J80" s="5417"/>
      <c r="K80" s="5418"/>
      <c r="L80" s="1136">
        <f t="shared" si="126"/>
        <v>54</v>
      </c>
      <c r="M80" s="1136">
        <f t="shared" si="126"/>
        <v>38</v>
      </c>
      <c r="N80" s="5417"/>
      <c r="O80" s="5418"/>
      <c r="P80" s="1136">
        <f t="shared" si="127"/>
        <v>45</v>
      </c>
      <c r="Q80" s="1136">
        <f t="shared" si="127"/>
        <v>0</v>
      </c>
      <c r="R80" s="5417"/>
      <c r="S80" s="5418"/>
      <c r="T80" s="1136">
        <f t="shared" si="128"/>
        <v>0</v>
      </c>
      <c r="U80" s="1136">
        <f t="shared" si="128"/>
        <v>0</v>
      </c>
      <c r="V80" s="5417"/>
      <c r="W80" s="5418"/>
      <c r="X80" s="1136">
        <f t="shared" si="129"/>
        <v>0</v>
      </c>
      <c r="Y80" s="4775"/>
      <c r="Z80" s="4794">
        <f t="shared" si="130"/>
        <v>56.753398812780254</v>
      </c>
      <c r="AA80" s="4809"/>
      <c r="AB80" s="4810"/>
      <c r="AC80" s="4794">
        <f t="shared" si="131"/>
        <v>72.603447129863028</v>
      </c>
      <c r="AD80" s="4794">
        <f t="shared" si="132"/>
        <v>25.053302178614707</v>
      </c>
      <c r="AE80" s="4809"/>
      <c r="AF80" s="4810"/>
      <c r="AG80" s="4794">
        <f t="shared" si="133"/>
        <v>27.609761584595798</v>
      </c>
      <c r="AH80" s="4794">
        <f t="shared" si="134"/>
        <v>19.429091485456304</v>
      </c>
      <c r="AI80" s="4809"/>
      <c r="AJ80" s="4810"/>
      <c r="AK80" s="4794">
        <f t="shared" si="135"/>
        <v>23.008134653829831</v>
      </c>
      <c r="AL80" s="4794">
        <f t="shared" si="136"/>
        <v>0</v>
      </c>
      <c r="AM80" s="4809"/>
      <c r="AN80" s="4810"/>
      <c r="AO80" s="4794">
        <f t="shared" si="137"/>
        <v>0</v>
      </c>
      <c r="AP80" s="4794">
        <f t="shared" si="138"/>
        <v>0</v>
      </c>
      <c r="AQ80" s="4809"/>
      <c r="AR80" s="4810"/>
      <c r="AS80" s="4794">
        <f t="shared" si="139"/>
        <v>0</v>
      </c>
    </row>
    <row r="81" spans="1:45">
      <c r="A81" s="2699">
        <v>8</v>
      </c>
      <c r="B81" s="2698">
        <v>20602</v>
      </c>
      <c r="C81" s="2690">
        <v>0.1</v>
      </c>
      <c r="D81" s="2720" t="s">
        <v>435</v>
      </c>
      <c r="E81" s="1136">
        <f t="shared" si="124"/>
        <v>23</v>
      </c>
      <c r="F81" s="5417"/>
      <c r="G81" s="5418"/>
      <c r="H81" s="1136">
        <f t="shared" si="125"/>
        <v>25</v>
      </c>
      <c r="I81" s="1136">
        <f t="shared" si="125"/>
        <v>11</v>
      </c>
      <c r="J81" s="5417"/>
      <c r="K81" s="5418"/>
      <c r="L81" s="1136">
        <f t="shared" si="126"/>
        <v>12</v>
      </c>
      <c r="M81" s="1136">
        <f t="shared" si="126"/>
        <v>10</v>
      </c>
      <c r="N81" s="5417"/>
      <c r="O81" s="5418"/>
      <c r="P81" s="1136">
        <f t="shared" si="127"/>
        <v>10</v>
      </c>
      <c r="Q81" s="1136">
        <f t="shared" si="127"/>
        <v>0</v>
      </c>
      <c r="R81" s="5417"/>
      <c r="S81" s="5418"/>
      <c r="T81" s="1136">
        <f t="shared" si="128"/>
        <v>0</v>
      </c>
      <c r="U81" s="1136">
        <f t="shared" si="128"/>
        <v>0</v>
      </c>
      <c r="V81" s="5417"/>
      <c r="W81" s="5418"/>
      <c r="X81" s="1136">
        <f t="shared" si="129"/>
        <v>0</v>
      </c>
      <c r="Y81" s="4775"/>
      <c r="Z81" s="4794">
        <f t="shared" si="130"/>
        <v>11.759713267513025</v>
      </c>
      <c r="AA81" s="4809"/>
      <c r="AB81" s="4810"/>
      <c r="AC81" s="4794">
        <f t="shared" si="131"/>
        <v>12.782297029905463</v>
      </c>
      <c r="AD81" s="4794">
        <f t="shared" si="132"/>
        <v>5.6242106931584033</v>
      </c>
      <c r="AE81" s="4809"/>
      <c r="AF81" s="4810"/>
      <c r="AG81" s="4794">
        <f t="shared" si="133"/>
        <v>6.1355025743546223</v>
      </c>
      <c r="AH81" s="4794">
        <f t="shared" si="134"/>
        <v>5.1129188119621851</v>
      </c>
      <c r="AI81" s="4809"/>
      <c r="AJ81" s="4810"/>
      <c r="AK81" s="4794">
        <f t="shared" si="135"/>
        <v>5.1129188119621851</v>
      </c>
      <c r="AL81" s="4794">
        <f t="shared" si="136"/>
        <v>0</v>
      </c>
      <c r="AM81" s="4809"/>
      <c r="AN81" s="4810"/>
      <c r="AO81" s="4794">
        <f t="shared" si="137"/>
        <v>0</v>
      </c>
      <c r="AP81" s="4794">
        <f t="shared" si="138"/>
        <v>0</v>
      </c>
      <c r="AQ81" s="4809"/>
      <c r="AR81" s="4810"/>
      <c r="AS81" s="4794">
        <f t="shared" si="139"/>
        <v>0</v>
      </c>
    </row>
    <row r="82" spans="1:45">
      <c r="A82" s="2699">
        <v>9</v>
      </c>
      <c r="B82" s="2695">
        <v>20603</v>
      </c>
      <c r="C82" s="2690">
        <v>0.5</v>
      </c>
      <c r="D82" s="2720" t="s">
        <v>1015</v>
      </c>
      <c r="E82" s="1136">
        <f t="shared" si="124"/>
        <v>1</v>
      </c>
      <c r="F82" s="5417"/>
      <c r="G82" s="5418"/>
      <c r="H82" s="1136">
        <f t="shared" si="125"/>
        <v>2</v>
      </c>
      <c r="I82" s="1136">
        <f t="shared" si="125"/>
        <v>0</v>
      </c>
      <c r="J82" s="5417"/>
      <c r="K82" s="5418"/>
      <c r="L82" s="1136">
        <f t="shared" si="126"/>
        <v>0</v>
      </c>
      <c r="M82" s="1136">
        <f t="shared" si="126"/>
        <v>0</v>
      </c>
      <c r="N82" s="5417"/>
      <c r="O82" s="5418"/>
      <c r="P82" s="1136">
        <f t="shared" si="127"/>
        <v>0</v>
      </c>
      <c r="Q82" s="1136">
        <f t="shared" si="127"/>
        <v>0</v>
      </c>
      <c r="R82" s="5417"/>
      <c r="S82" s="5418"/>
      <c r="T82" s="1136">
        <f t="shared" si="128"/>
        <v>0</v>
      </c>
      <c r="U82" s="1136">
        <f t="shared" si="128"/>
        <v>0</v>
      </c>
      <c r="V82" s="5417"/>
      <c r="W82" s="5418"/>
      <c r="X82" s="1136">
        <f t="shared" si="129"/>
        <v>0</v>
      </c>
      <c r="Y82" s="4775"/>
      <c r="Z82" s="4794">
        <f t="shared" si="130"/>
        <v>0.51129188119621849</v>
      </c>
      <c r="AA82" s="4809"/>
      <c r="AB82" s="4810"/>
      <c r="AC82" s="4794">
        <f t="shared" si="131"/>
        <v>1.022583762392437</v>
      </c>
      <c r="AD82" s="4794">
        <f t="shared" si="132"/>
        <v>0</v>
      </c>
      <c r="AE82" s="4809"/>
      <c r="AF82" s="4810"/>
      <c r="AG82" s="4794">
        <f t="shared" si="133"/>
        <v>0</v>
      </c>
      <c r="AH82" s="4794">
        <f t="shared" si="134"/>
        <v>0</v>
      </c>
      <c r="AI82" s="4809"/>
      <c r="AJ82" s="4810"/>
      <c r="AK82" s="4794">
        <f t="shared" si="135"/>
        <v>0</v>
      </c>
      <c r="AL82" s="4794">
        <f t="shared" si="136"/>
        <v>0</v>
      </c>
      <c r="AM82" s="4809"/>
      <c r="AN82" s="4810"/>
      <c r="AO82" s="4794">
        <f t="shared" si="137"/>
        <v>0</v>
      </c>
      <c r="AP82" s="4794">
        <f t="shared" si="138"/>
        <v>0</v>
      </c>
      <c r="AQ82" s="4809"/>
      <c r="AR82" s="4810"/>
      <c r="AS82" s="4794">
        <f t="shared" si="139"/>
        <v>0</v>
      </c>
    </row>
    <row r="83" spans="1:45">
      <c r="A83" s="2699">
        <v>10</v>
      </c>
      <c r="B83" s="2695">
        <v>209</v>
      </c>
      <c r="C83" s="2690">
        <v>0.1</v>
      </c>
      <c r="D83" s="2720" t="s">
        <v>213</v>
      </c>
      <c r="E83" s="1136">
        <f t="shared" si="124"/>
        <v>0</v>
      </c>
      <c r="F83" s="5417"/>
      <c r="G83" s="5418"/>
      <c r="H83" s="1136">
        <f t="shared" si="125"/>
        <v>0</v>
      </c>
      <c r="I83" s="1136">
        <f t="shared" si="125"/>
        <v>0</v>
      </c>
      <c r="J83" s="5417"/>
      <c r="K83" s="5418"/>
      <c r="L83" s="1136">
        <f t="shared" si="126"/>
        <v>0</v>
      </c>
      <c r="M83" s="1136">
        <f t="shared" si="126"/>
        <v>0</v>
      </c>
      <c r="N83" s="5417"/>
      <c r="O83" s="5418"/>
      <c r="P83" s="1136">
        <f t="shared" si="127"/>
        <v>0</v>
      </c>
      <c r="Q83" s="1136">
        <f t="shared" si="127"/>
        <v>0</v>
      </c>
      <c r="R83" s="5417"/>
      <c r="S83" s="5418"/>
      <c r="T83" s="1136">
        <f t="shared" si="128"/>
        <v>0</v>
      </c>
      <c r="U83" s="1136">
        <f t="shared" si="128"/>
        <v>0</v>
      </c>
      <c r="V83" s="5417"/>
      <c r="W83" s="5418"/>
      <c r="X83" s="1136">
        <f t="shared" si="129"/>
        <v>0</v>
      </c>
      <c r="Y83" s="4775"/>
      <c r="Z83" s="4794">
        <f t="shared" si="130"/>
        <v>0</v>
      </c>
      <c r="AA83" s="4809"/>
      <c r="AB83" s="4810"/>
      <c r="AC83" s="4794">
        <f t="shared" si="131"/>
        <v>0</v>
      </c>
      <c r="AD83" s="4794">
        <f t="shared" si="132"/>
        <v>0</v>
      </c>
      <c r="AE83" s="4809"/>
      <c r="AF83" s="4810"/>
      <c r="AG83" s="4794">
        <f t="shared" si="133"/>
        <v>0</v>
      </c>
      <c r="AH83" s="4794">
        <f t="shared" si="134"/>
        <v>0</v>
      </c>
      <c r="AI83" s="4809"/>
      <c r="AJ83" s="4810"/>
      <c r="AK83" s="4794">
        <f t="shared" si="135"/>
        <v>0</v>
      </c>
      <c r="AL83" s="4794">
        <f t="shared" si="136"/>
        <v>0</v>
      </c>
      <c r="AM83" s="4809"/>
      <c r="AN83" s="4810"/>
      <c r="AO83" s="4794">
        <f t="shared" si="137"/>
        <v>0</v>
      </c>
      <c r="AP83" s="4794">
        <f t="shared" si="138"/>
        <v>0</v>
      </c>
      <c r="AQ83" s="4809"/>
      <c r="AR83" s="4810"/>
      <c r="AS83" s="4794">
        <f t="shared" si="139"/>
        <v>0</v>
      </c>
    </row>
    <row r="84" spans="1:45" ht="36">
      <c r="A84" s="2699">
        <v>11</v>
      </c>
      <c r="B84" s="2695">
        <v>207</v>
      </c>
      <c r="C84" s="2690" t="s">
        <v>313</v>
      </c>
      <c r="D84" s="2720" t="s">
        <v>414</v>
      </c>
      <c r="E84" s="1136">
        <f t="shared" si="124"/>
        <v>2906</v>
      </c>
      <c r="F84" s="5417"/>
      <c r="G84" s="5418"/>
      <c r="H84" s="1136">
        <f t="shared" si="125"/>
        <v>5105</v>
      </c>
      <c r="I84" s="1136">
        <f t="shared" si="125"/>
        <v>0</v>
      </c>
      <c r="J84" s="5417"/>
      <c r="K84" s="5418"/>
      <c r="L84" s="1136">
        <f t="shared" si="126"/>
        <v>0</v>
      </c>
      <c r="M84" s="1136">
        <f t="shared" si="126"/>
        <v>0</v>
      </c>
      <c r="N84" s="5417"/>
      <c r="O84" s="5418"/>
      <c r="P84" s="1136">
        <f t="shared" si="127"/>
        <v>0</v>
      </c>
      <c r="Q84" s="1136">
        <f t="shared" si="127"/>
        <v>0</v>
      </c>
      <c r="R84" s="5417"/>
      <c r="S84" s="5418"/>
      <c r="T84" s="1136">
        <f t="shared" si="128"/>
        <v>0</v>
      </c>
      <c r="U84" s="1136">
        <f t="shared" si="128"/>
        <v>0</v>
      </c>
      <c r="V84" s="5417"/>
      <c r="W84" s="5418"/>
      <c r="X84" s="1136">
        <f t="shared" si="129"/>
        <v>0</v>
      </c>
      <c r="Y84" s="4775"/>
      <c r="Z84" s="4794">
        <f t="shared" si="130"/>
        <v>1485.814206756211</v>
      </c>
      <c r="AA84" s="4809"/>
      <c r="AB84" s="4810"/>
      <c r="AC84" s="4794">
        <f t="shared" si="131"/>
        <v>2610.1450535066956</v>
      </c>
      <c r="AD84" s="4794">
        <f t="shared" si="132"/>
        <v>0</v>
      </c>
      <c r="AE84" s="4809"/>
      <c r="AF84" s="4810"/>
      <c r="AG84" s="4794">
        <f t="shared" si="133"/>
        <v>0</v>
      </c>
      <c r="AH84" s="4794">
        <f t="shared" si="134"/>
        <v>0</v>
      </c>
      <c r="AI84" s="4809"/>
      <c r="AJ84" s="4810"/>
      <c r="AK84" s="4794">
        <f t="shared" si="135"/>
        <v>0</v>
      </c>
      <c r="AL84" s="4794">
        <f t="shared" si="136"/>
        <v>0</v>
      </c>
      <c r="AM84" s="4809"/>
      <c r="AN84" s="4810"/>
      <c r="AO84" s="4794">
        <f t="shared" si="137"/>
        <v>0</v>
      </c>
      <c r="AP84" s="4794">
        <f t="shared" si="138"/>
        <v>0</v>
      </c>
      <c r="AQ84" s="4809"/>
      <c r="AR84" s="4810"/>
      <c r="AS84" s="4794">
        <f t="shared" si="139"/>
        <v>0</v>
      </c>
    </row>
    <row r="85" spans="1:45">
      <c r="A85" s="2699">
        <v>12</v>
      </c>
      <c r="B85" s="2695">
        <v>212</v>
      </c>
      <c r="C85" s="2690">
        <v>0.2</v>
      </c>
      <c r="D85" s="2722" t="s">
        <v>214</v>
      </c>
      <c r="E85" s="1136">
        <f>E33-E60</f>
        <v>47</v>
      </c>
      <c r="F85" s="5417"/>
      <c r="G85" s="5418"/>
      <c r="H85" s="1136">
        <f t="shared" ref="H85:I88" si="140">H33-H60</f>
        <v>62</v>
      </c>
      <c r="I85" s="1136">
        <f t="shared" si="140"/>
        <v>31</v>
      </c>
      <c r="J85" s="5417"/>
      <c r="K85" s="5418"/>
      <c r="L85" s="1136">
        <f t="shared" ref="L85:M88" si="141">L33-L60</f>
        <v>48</v>
      </c>
      <c r="M85" s="1136">
        <f t="shared" si="141"/>
        <v>29</v>
      </c>
      <c r="N85" s="5417"/>
      <c r="O85" s="5418"/>
      <c r="P85" s="1136">
        <f t="shared" ref="P85:Q88" si="142">P33-P60</f>
        <v>32</v>
      </c>
      <c r="Q85" s="1136">
        <f t="shared" si="142"/>
        <v>0</v>
      </c>
      <c r="R85" s="5417"/>
      <c r="S85" s="5418"/>
      <c r="T85" s="1136">
        <f t="shared" ref="T85:U88" si="143">T33-T60</f>
        <v>0</v>
      </c>
      <c r="U85" s="1136">
        <f t="shared" si="143"/>
        <v>0</v>
      </c>
      <c r="V85" s="5417"/>
      <c r="W85" s="5418"/>
      <c r="X85" s="1136">
        <f>X33-X60</f>
        <v>0</v>
      </c>
      <c r="Y85" s="4775"/>
      <c r="Z85" s="4794">
        <f t="shared" si="130"/>
        <v>24.030718416222268</v>
      </c>
      <c r="AA85" s="4809"/>
      <c r="AB85" s="4810"/>
      <c r="AC85" s="4794">
        <f t="shared" si="131"/>
        <v>31.700096634165547</v>
      </c>
      <c r="AD85" s="4794">
        <f t="shared" si="132"/>
        <v>15.850048317082774</v>
      </c>
      <c r="AE85" s="4809"/>
      <c r="AF85" s="4810"/>
      <c r="AG85" s="4794">
        <f t="shared" si="133"/>
        <v>24.542010297418489</v>
      </c>
      <c r="AH85" s="4794">
        <f t="shared" si="134"/>
        <v>14.827464554690337</v>
      </c>
      <c r="AI85" s="4809"/>
      <c r="AJ85" s="4810"/>
      <c r="AK85" s="4794">
        <f t="shared" si="135"/>
        <v>16.361340198278992</v>
      </c>
      <c r="AL85" s="4794">
        <f t="shared" si="136"/>
        <v>0</v>
      </c>
      <c r="AM85" s="4809"/>
      <c r="AN85" s="4810"/>
      <c r="AO85" s="4794">
        <f t="shared" si="137"/>
        <v>0</v>
      </c>
      <c r="AP85" s="4794">
        <f t="shared" si="138"/>
        <v>0</v>
      </c>
      <c r="AQ85" s="4809"/>
      <c r="AR85" s="4810"/>
      <c r="AS85" s="4794">
        <f t="shared" si="139"/>
        <v>0</v>
      </c>
    </row>
    <row r="86" spans="1:45" ht="24">
      <c r="A86" s="2699">
        <v>13</v>
      </c>
      <c r="B86" s="2694">
        <v>213</v>
      </c>
      <c r="C86" s="2701">
        <v>0.2</v>
      </c>
      <c r="D86" s="2723" t="s">
        <v>215</v>
      </c>
      <c r="E86" s="1136">
        <f>E34-E61</f>
        <v>0</v>
      </c>
      <c r="F86" s="5417"/>
      <c r="G86" s="5418"/>
      <c r="H86" s="1136">
        <f t="shared" si="140"/>
        <v>0</v>
      </c>
      <c r="I86" s="1136">
        <f t="shared" si="140"/>
        <v>0</v>
      </c>
      <c r="J86" s="5417"/>
      <c r="K86" s="5418"/>
      <c r="L86" s="1136">
        <f t="shared" si="141"/>
        <v>0</v>
      </c>
      <c r="M86" s="1136">
        <f t="shared" si="141"/>
        <v>0</v>
      </c>
      <c r="N86" s="5417"/>
      <c r="O86" s="5418"/>
      <c r="P86" s="1136">
        <f t="shared" si="142"/>
        <v>0</v>
      </c>
      <c r="Q86" s="1136">
        <f t="shared" si="142"/>
        <v>0</v>
      </c>
      <c r="R86" s="5417"/>
      <c r="S86" s="5418"/>
      <c r="T86" s="1136">
        <f t="shared" si="143"/>
        <v>0</v>
      </c>
      <c r="U86" s="1136">
        <f t="shared" si="143"/>
        <v>0</v>
      </c>
      <c r="V86" s="5417"/>
      <c r="W86" s="5418"/>
      <c r="X86" s="1136">
        <f>X34-X61</f>
        <v>0</v>
      </c>
      <c r="Y86" s="4775"/>
      <c r="Z86" s="4794">
        <f t="shared" si="130"/>
        <v>0</v>
      </c>
      <c r="AA86" s="4809"/>
      <c r="AB86" s="4810"/>
      <c r="AC86" s="4794">
        <f t="shared" si="131"/>
        <v>0</v>
      </c>
      <c r="AD86" s="4794">
        <f t="shared" si="132"/>
        <v>0</v>
      </c>
      <c r="AE86" s="4809"/>
      <c r="AF86" s="4810"/>
      <c r="AG86" s="4794">
        <f t="shared" si="133"/>
        <v>0</v>
      </c>
      <c r="AH86" s="4794">
        <f t="shared" si="134"/>
        <v>0</v>
      </c>
      <c r="AI86" s="4809"/>
      <c r="AJ86" s="4810"/>
      <c r="AK86" s="4794">
        <f t="shared" si="135"/>
        <v>0</v>
      </c>
      <c r="AL86" s="4794">
        <f t="shared" si="136"/>
        <v>0</v>
      </c>
      <c r="AM86" s="4809"/>
      <c r="AN86" s="4810"/>
      <c r="AO86" s="4794">
        <f t="shared" si="137"/>
        <v>0</v>
      </c>
      <c r="AP86" s="4794">
        <f t="shared" si="138"/>
        <v>0</v>
      </c>
      <c r="AQ86" s="4809"/>
      <c r="AR86" s="4810"/>
      <c r="AS86" s="4794">
        <f t="shared" si="139"/>
        <v>0</v>
      </c>
    </row>
    <row r="87" spans="1:45" ht="24">
      <c r="A87" s="2699">
        <v>14</v>
      </c>
      <c r="B87" s="4741"/>
      <c r="C87" s="4741"/>
      <c r="D87" s="2724" t="s">
        <v>628</v>
      </c>
      <c r="E87" s="1136">
        <f>E35-E62</f>
        <v>0</v>
      </c>
      <c r="F87" s="5417"/>
      <c r="G87" s="5418"/>
      <c r="H87" s="1136">
        <f t="shared" si="140"/>
        <v>0</v>
      </c>
      <c r="I87" s="1136">
        <f t="shared" si="140"/>
        <v>0</v>
      </c>
      <c r="J87" s="5417"/>
      <c r="K87" s="5418"/>
      <c r="L87" s="1136">
        <f t="shared" si="141"/>
        <v>0</v>
      </c>
      <c r="M87" s="1136">
        <f t="shared" si="141"/>
        <v>0</v>
      </c>
      <c r="N87" s="5417"/>
      <c r="O87" s="5418"/>
      <c r="P87" s="1136">
        <f t="shared" si="142"/>
        <v>0</v>
      </c>
      <c r="Q87" s="1136">
        <f t="shared" si="142"/>
        <v>0</v>
      </c>
      <c r="R87" s="5417"/>
      <c r="S87" s="5418"/>
      <c r="T87" s="1136">
        <f t="shared" si="143"/>
        <v>0</v>
      </c>
      <c r="U87" s="1136">
        <f t="shared" si="143"/>
        <v>0</v>
      </c>
      <c r="V87" s="5417"/>
      <c r="W87" s="5418"/>
      <c r="X87" s="1136">
        <f>X35-X62</f>
        <v>0</v>
      </c>
      <c r="Y87" s="4775"/>
      <c r="Z87" s="4794">
        <f t="shared" si="130"/>
        <v>0</v>
      </c>
      <c r="AA87" s="4809"/>
      <c r="AB87" s="4810"/>
      <c r="AC87" s="4794">
        <f t="shared" si="131"/>
        <v>0</v>
      </c>
      <c r="AD87" s="4794">
        <f t="shared" si="132"/>
        <v>0</v>
      </c>
      <c r="AE87" s="4809"/>
      <c r="AF87" s="4810"/>
      <c r="AG87" s="4794">
        <f t="shared" si="133"/>
        <v>0</v>
      </c>
      <c r="AH87" s="4794">
        <f t="shared" si="134"/>
        <v>0</v>
      </c>
      <c r="AI87" s="4809"/>
      <c r="AJ87" s="4810"/>
      <c r="AK87" s="4794">
        <f t="shared" si="135"/>
        <v>0</v>
      </c>
      <c r="AL87" s="4794">
        <f t="shared" si="136"/>
        <v>0</v>
      </c>
      <c r="AM87" s="4809"/>
      <c r="AN87" s="4810"/>
      <c r="AO87" s="4794">
        <f t="shared" si="137"/>
        <v>0</v>
      </c>
      <c r="AP87" s="4794">
        <f t="shared" si="138"/>
        <v>0</v>
      </c>
      <c r="AQ87" s="4809"/>
      <c r="AR87" s="4810"/>
      <c r="AS87" s="4794">
        <f t="shared" si="139"/>
        <v>0</v>
      </c>
    </row>
    <row r="88" spans="1:45" ht="24">
      <c r="A88" s="2699">
        <v>15</v>
      </c>
      <c r="B88" s="2694">
        <v>207</v>
      </c>
      <c r="C88" s="2694" t="s">
        <v>313</v>
      </c>
      <c r="D88" s="2723" t="s">
        <v>415</v>
      </c>
      <c r="E88" s="1136">
        <f>E36-E63</f>
        <v>0</v>
      </c>
      <c r="F88" s="5417"/>
      <c r="G88" s="5418"/>
      <c r="H88" s="1136">
        <f t="shared" si="140"/>
        <v>0</v>
      </c>
      <c r="I88" s="1136">
        <f t="shared" si="140"/>
        <v>0</v>
      </c>
      <c r="J88" s="5417"/>
      <c r="K88" s="5418"/>
      <c r="L88" s="1136">
        <f t="shared" si="141"/>
        <v>0</v>
      </c>
      <c r="M88" s="1136">
        <f t="shared" si="141"/>
        <v>0</v>
      </c>
      <c r="N88" s="5417"/>
      <c r="O88" s="5418"/>
      <c r="P88" s="1136">
        <f t="shared" si="142"/>
        <v>0</v>
      </c>
      <c r="Q88" s="1136">
        <f t="shared" si="142"/>
        <v>0</v>
      </c>
      <c r="R88" s="5417"/>
      <c r="S88" s="5418"/>
      <c r="T88" s="1136">
        <f t="shared" si="143"/>
        <v>0</v>
      </c>
      <c r="U88" s="1136">
        <f t="shared" si="143"/>
        <v>0</v>
      </c>
      <c r="V88" s="5417"/>
      <c r="W88" s="5418"/>
      <c r="X88" s="1136">
        <f>X36-X63</f>
        <v>0</v>
      </c>
      <c r="Y88" s="4775"/>
      <c r="Z88" s="4794">
        <f t="shared" si="130"/>
        <v>0</v>
      </c>
      <c r="AA88" s="4809"/>
      <c r="AB88" s="4810"/>
      <c r="AC88" s="4794">
        <f t="shared" si="131"/>
        <v>0</v>
      </c>
      <c r="AD88" s="4794">
        <f t="shared" si="132"/>
        <v>0</v>
      </c>
      <c r="AE88" s="4809"/>
      <c r="AF88" s="4810"/>
      <c r="AG88" s="4794">
        <f t="shared" si="133"/>
        <v>0</v>
      </c>
      <c r="AH88" s="4794">
        <f t="shared" si="134"/>
        <v>0</v>
      </c>
      <c r="AI88" s="4809"/>
      <c r="AJ88" s="4810"/>
      <c r="AK88" s="4794">
        <f t="shared" si="135"/>
        <v>0</v>
      </c>
      <c r="AL88" s="4794">
        <f t="shared" si="136"/>
        <v>0</v>
      </c>
      <c r="AM88" s="4809"/>
      <c r="AN88" s="4810"/>
      <c r="AO88" s="4794">
        <f t="shared" si="137"/>
        <v>0</v>
      </c>
      <c r="AP88" s="4794">
        <f t="shared" si="138"/>
        <v>0</v>
      </c>
      <c r="AQ88" s="4809"/>
      <c r="AR88" s="4810"/>
      <c r="AS88" s="4794">
        <f t="shared" si="139"/>
        <v>0</v>
      </c>
    </row>
    <row r="89" spans="1:45" ht="13.5" thickBot="1">
      <c r="A89" s="2699">
        <v>16</v>
      </c>
      <c r="B89" s="2704">
        <v>219</v>
      </c>
      <c r="C89" s="2705">
        <v>0.1</v>
      </c>
      <c r="D89" s="2728" t="s">
        <v>216</v>
      </c>
      <c r="E89" s="2803">
        <f>E39-E64</f>
        <v>0</v>
      </c>
      <c r="F89" s="5419"/>
      <c r="G89" s="5420"/>
      <c r="H89" s="2803">
        <f>H39-H64</f>
        <v>0</v>
      </c>
      <c r="I89" s="2803">
        <f>I39-I64</f>
        <v>0</v>
      </c>
      <c r="J89" s="5419"/>
      <c r="K89" s="5420"/>
      <c r="L89" s="2803">
        <f>L39-L64</f>
        <v>0</v>
      </c>
      <c r="M89" s="2803">
        <f>M39-M64</f>
        <v>0</v>
      </c>
      <c r="N89" s="5419"/>
      <c r="O89" s="5420"/>
      <c r="P89" s="2803">
        <f>P39-P64</f>
        <v>0</v>
      </c>
      <c r="Q89" s="2803">
        <f>Q39-Q64</f>
        <v>0</v>
      </c>
      <c r="R89" s="5419"/>
      <c r="S89" s="5420"/>
      <c r="T89" s="2803">
        <f>T39-T64</f>
        <v>0</v>
      </c>
      <c r="U89" s="2803">
        <f>U39-U64</f>
        <v>0</v>
      </c>
      <c r="V89" s="5419"/>
      <c r="W89" s="5420"/>
      <c r="X89" s="2803">
        <f>X39-X64</f>
        <v>0</v>
      </c>
      <c r="Y89" s="4775"/>
      <c r="Z89" s="4794">
        <f t="shared" si="130"/>
        <v>0</v>
      </c>
      <c r="AA89" s="4804"/>
      <c r="AB89" s="4805"/>
      <c r="AC89" s="4794">
        <f t="shared" si="131"/>
        <v>0</v>
      </c>
      <c r="AD89" s="4794">
        <f t="shared" si="132"/>
        <v>0</v>
      </c>
      <c r="AE89" s="4804"/>
      <c r="AF89" s="4805"/>
      <c r="AG89" s="4794">
        <f t="shared" si="133"/>
        <v>0</v>
      </c>
      <c r="AH89" s="4794">
        <f t="shared" si="134"/>
        <v>0</v>
      </c>
      <c r="AI89" s="4804"/>
      <c r="AJ89" s="4805"/>
      <c r="AK89" s="4794">
        <f t="shared" si="135"/>
        <v>0</v>
      </c>
      <c r="AL89" s="4794">
        <f t="shared" si="136"/>
        <v>0</v>
      </c>
      <c r="AM89" s="4804"/>
      <c r="AN89" s="4805"/>
      <c r="AO89" s="4794">
        <f t="shared" si="137"/>
        <v>0</v>
      </c>
      <c r="AP89" s="4794">
        <f t="shared" si="138"/>
        <v>0</v>
      </c>
      <c r="AQ89" s="4804"/>
      <c r="AR89" s="4805"/>
      <c r="AS89" s="4794">
        <f t="shared" si="139"/>
        <v>0</v>
      </c>
    </row>
    <row r="90" spans="1:45" ht="13.5" customHeight="1" thickBot="1">
      <c r="A90" s="2736" t="s">
        <v>416</v>
      </c>
      <c r="B90" s="5407" t="s">
        <v>644</v>
      </c>
      <c r="C90" s="5408"/>
      <c r="D90" s="5408"/>
      <c r="E90" s="5408"/>
      <c r="F90" s="5408"/>
      <c r="G90" s="5408"/>
      <c r="H90" s="5408"/>
      <c r="I90" s="5408"/>
      <c r="J90" s="5408"/>
      <c r="K90" s="5408"/>
      <c r="L90" s="5408"/>
      <c r="M90" s="5408"/>
      <c r="N90" s="5408"/>
      <c r="O90" s="5408"/>
      <c r="P90" s="5408"/>
      <c r="Q90" s="5408"/>
      <c r="R90" s="5408"/>
      <c r="S90" s="5408"/>
      <c r="T90" s="5408"/>
      <c r="U90" s="5408"/>
      <c r="V90" s="5408"/>
      <c r="W90" s="5408"/>
      <c r="X90" s="5409"/>
      <c r="Y90" s="4775"/>
      <c r="Z90" s="4794">
        <f t="shared" si="130"/>
        <v>0</v>
      </c>
      <c r="AA90" s="4794">
        <f t="shared" ref="AA90:AA131" si="144">IFERROR(F90/$D$1,0)</f>
        <v>0</v>
      </c>
      <c r="AB90" s="4794">
        <f t="shared" ref="AB90:AB131" si="145">IFERROR(G90/$D$1,0)</f>
        <v>0</v>
      </c>
      <c r="AC90" s="4794">
        <f t="shared" si="131"/>
        <v>0</v>
      </c>
      <c r="AD90" s="4794">
        <f t="shared" si="132"/>
        <v>0</v>
      </c>
      <c r="AE90" s="4794">
        <f t="shared" ref="AE90:AE131" si="146">IFERROR(J90/$D$1,0)</f>
        <v>0</v>
      </c>
      <c r="AF90" s="4794">
        <f t="shared" ref="AF90:AF131" si="147">IFERROR(K90/$D$1,0)</f>
        <v>0</v>
      </c>
      <c r="AG90" s="4794">
        <f t="shared" si="133"/>
        <v>0</v>
      </c>
      <c r="AH90" s="4794">
        <f t="shared" si="134"/>
        <v>0</v>
      </c>
      <c r="AI90" s="4794">
        <f t="shared" ref="AI90:AI131" si="148">IFERROR(N90/$D$1,0)</f>
        <v>0</v>
      </c>
      <c r="AJ90" s="4794">
        <f t="shared" ref="AJ90:AJ131" si="149">IFERROR(O90/$D$1,0)</f>
        <v>0</v>
      </c>
      <c r="AK90" s="4794">
        <f t="shared" si="135"/>
        <v>0</v>
      </c>
      <c r="AL90" s="4794">
        <f t="shared" si="136"/>
        <v>0</v>
      </c>
      <c r="AM90" s="4794">
        <f t="shared" ref="AM90:AM131" si="150">IFERROR(R90/$D$1,0)</f>
        <v>0</v>
      </c>
      <c r="AN90" s="4794">
        <f t="shared" ref="AN90:AN131" si="151">IFERROR(S90/$D$1,0)</f>
        <v>0</v>
      </c>
      <c r="AO90" s="4794">
        <f t="shared" si="137"/>
        <v>0</v>
      </c>
      <c r="AP90" s="4794">
        <f t="shared" si="138"/>
        <v>0</v>
      </c>
      <c r="AQ90" s="4794">
        <f t="shared" ref="AQ90:AQ131" si="152">IFERROR(V90/$D$1,0)</f>
        <v>0</v>
      </c>
      <c r="AR90" s="4794">
        <f t="shared" ref="AR90:AR131" si="153">IFERROR(W90/$D$1,0)</f>
        <v>0</v>
      </c>
      <c r="AS90" s="4794">
        <f t="shared" si="139"/>
        <v>0</v>
      </c>
    </row>
    <row r="91" spans="1:45" ht="13.5" thickBot="1">
      <c r="A91" s="2669" t="s">
        <v>205</v>
      </c>
      <c r="B91" s="5410" t="s">
        <v>334</v>
      </c>
      <c r="C91" s="5411"/>
      <c r="D91" s="5412"/>
      <c r="E91" s="1265">
        <f t="shared" ref="E91:X91" si="154">SUM(E92:E110)</f>
        <v>18868</v>
      </c>
      <c r="F91" s="1265">
        <f t="shared" si="154"/>
        <v>4613</v>
      </c>
      <c r="G91" s="1265">
        <f t="shared" si="154"/>
        <v>0</v>
      </c>
      <c r="H91" s="1265">
        <f t="shared" si="154"/>
        <v>23481</v>
      </c>
      <c r="I91" s="1265">
        <f t="shared" si="154"/>
        <v>1418</v>
      </c>
      <c r="J91" s="1265">
        <f t="shared" si="154"/>
        <v>94</v>
      </c>
      <c r="K91" s="1265">
        <f t="shared" si="154"/>
        <v>0</v>
      </c>
      <c r="L91" s="1265">
        <f t="shared" si="154"/>
        <v>1512</v>
      </c>
      <c r="M91" s="1265">
        <f t="shared" si="154"/>
        <v>936</v>
      </c>
      <c r="N91" s="1265">
        <f t="shared" si="154"/>
        <v>93</v>
      </c>
      <c r="O91" s="1265">
        <f t="shared" si="154"/>
        <v>0</v>
      </c>
      <c r="P91" s="1265">
        <f t="shared" si="154"/>
        <v>1029</v>
      </c>
      <c r="Q91" s="1265">
        <f t="shared" si="154"/>
        <v>0</v>
      </c>
      <c r="R91" s="1265">
        <f t="shared" si="154"/>
        <v>0</v>
      </c>
      <c r="S91" s="1265">
        <f t="shared" si="154"/>
        <v>0</v>
      </c>
      <c r="T91" s="1265">
        <f t="shared" si="154"/>
        <v>0</v>
      </c>
      <c r="U91" s="1265">
        <f t="shared" si="154"/>
        <v>0</v>
      </c>
      <c r="V91" s="1265">
        <f t="shared" si="154"/>
        <v>0</v>
      </c>
      <c r="W91" s="1265">
        <f t="shared" si="154"/>
        <v>0</v>
      </c>
      <c r="X91" s="1129">
        <f t="shared" si="154"/>
        <v>0</v>
      </c>
      <c r="Y91" s="4775"/>
      <c r="Z91" s="4794">
        <f t="shared" si="130"/>
        <v>9647.0552144102512</v>
      </c>
      <c r="AA91" s="4794">
        <f t="shared" si="144"/>
        <v>2358.5894479581561</v>
      </c>
      <c r="AB91" s="4794">
        <f t="shared" si="145"/>
        <v>0</v>
      </c>
      <c r="AC91" s="4794">
        <f t="shared" si="131"/>
        <v>12005.644662368406</v>
      </c>
      <c r="AD91" s="4794">
        <f t="shared" si="132"/>
        <v>725.01188753623785</v>
      </c>
      <c r="AE91" s="4794">
        <f t="shared" si="146"/>
        <v>48.061436832444535</v>
      </c>
      <c r="AF91" s="4794">
        <f t="shared" si="147"/>
        <v>0</v>
      </c>
      <c r="AG91" s="4794">
        <f t="shared" si="133"/>
        <v>773.07332436868239</v>
      </c>
      <c r="AH91" s="4794">
        <f t="shared" si="134"/>
        <v>478.56920079966051</v>
      </c>
      <c r="AI91" s="4794">
        <f t="shared" si="148"/>
        <v>47.550144951248321</v>
      </c>
      <c r="AJ91" s="4794">
        <f t="shared" si="149"/>
        <v>0</v>
      </c>
      <c r="AK91" s="4794">
        <f t="shared" si="135"/>
        <v>526.11934575090879</v>
      </c>
      <c r="AL91" s="4794">
        <f t="shared" si="136"/>
        <v>0</v>
      </c>
      <c r="AM91" s="4794">
        <f t="shared" si="150"/>
        <v>0</v>
      </c>
      <c r="AN91" s="4794">
        <f t="shared" si="151"/>
        <v>0</v>
      </c>
      <c r="AO91" s="4794">
        <f t="shared" si="137"/>
        <v>0</v>
      </c>
      <c r="AP91" s="4794">
        <f t="shared" si="138"/>
        <v>0</v>
      </c>
      <c r="AQ91" s="4794">
        <f t="shared" si="152"/>
        <v>0</v>
      </c>
      <c r="AR91" s="4794">
        <f t="shared" si="153"/>
        <v>0</v>
      </c>
      <c r="AS91" s="4794">
        <f t="shared" si="139"/>
        <v>0</v>
      </c>
    </row>
    <row r="92" spans="1:45">
      <c r="A92" s="2683">
        <v>1</v>
      </c>
      <c r="B92" s="2677">
        <v>20102</v>
      </c>
      <c r="C92" s="2701">
        <v>0</v>
      </c>
      <c r="D92" s="2731" t="s">
        <v>558</v>
      </c>
      <c r="E92" s="414"/>
      <c r="F92" s="414"/>
      <c r="G92" s="414"/>
      <c r="H92" s="4738">
        <f t="shared" ref="H92:H110" si="155">+E92+F92-G92</f>
        <v>0</v>
      </c>
      <c r="I92" s="414"/>
      <c r="J92" s="414"/>
      <c r="K92" s="414"/>
      <c r="L92" s="4738">
        <f t="shared" ref="L92:L110" si="156">+I92+J92-K92</f>
        <v>0</v>
      </c>
      <c r="M92" s="414"/>
      <c r="N92" s="414"/>
      <c r="O92" s="414"/>
      <c r="P92" s="4738">
        <f t="shared" ref="P92:P110" si="157">+M92+N92-O92</f>
        <v>0</v>
      </c>
      <c r="Q92" s="414"/>
      <c r="R92" s="414"/>
      <c r="S92" s="414"/>
      <c r="T92" s="4738">
        <f t="shared" ref="T92:T110" si="158">+Q92+R92-S92</f>
        <v>0</v>
      </c>
      <c r="U92" s="414"/>
      <c r="V92" s="414"/>
      <c r="W92" s="414"/>
      <c r="X92" s="4738">
        <f t="shared" ref="X92:X110" si="159">+U92+V92-W92</f>
        <v>0</v>
      </c>
      <c r="Y92" s="4775"/>
      <c r="Z92" s="4794">
        <f t="shared" si="130"/>
        <v>0</v>
      </c>
      <c r="AA92" s="4794">
        <f t="shared" si="144"/>
        <v>0</v>
      </c>
      <c r="AB92" s="4794">
        <f t="shared" si="145"/>
        <v>0</v>
      </c>
      <c r="AC92" s="4794">
        <f t="shared" si="131"/>
        <v>0</v>
      </c>
      <c r="AD92" s="4794">
        <f t="shared" si="132"/>
        <v>0</v>
      </c>
      <c r="AE92" s="4794">
        <f t="shared" si="146"/>
        <v>0</v>
      </c>
      <c r="AF92" s="4794">
        <f t="shared" si="147"/>
        <v>0</v>
      </c>
      <c r="AG92" s="4794">
        <f t="shared" si="133"/>
        <v>0</v>
      </c>
      <c r="AH92" s="4794">
        <f t="shared" si="134"/>
        <v>0</v>
      </c>
      <c r="AI92" s="4794">
        <f t="shared" si="148"/>
        <v>0</v>
      </c>
      <c r="AJ92" s="4794">
        <f t="shared" si="149"/>
        <v>0</v>
      </c>
      <c r="AK92" s="4794">
        <f t="shared" si="135"/>
        <v>0</v>
      </c>
      <c r="AL92" s="4794">
        <f t="shared" si="136"/>
        <v>0</v>
      </c>
      <c r="AM92" s="4794">
        <f t="shared" si="150"/>
        <v>0</v>
      </c>
      <c r="AN92" s="4794">
        <f t="shared" si="151"/>
        <v>0</v>
      </c>
      <c r="AO92" s="4794">
        <f t="shared" si="137"/>
        <v>0</v>
      </c>
      <c r="AP92" s="4794">
        <f t="shared" si="138"/>
        <v>0</v>
      </c>
      <c r="AQ92" s="4794">
        <f t="shared" si="152"/>
        <v>0</v>
      </c>
      <c r="AR92" s="4794">
        <f t="shared" si="153"/>
        <v>0</v>
      </c>
      <c r="AS92" s="4794">
        <f t="shared" si="139"/>
        <v>0</v>
      </c>
    </row>
    <row r="93" spans="1:45">
      <c r="A93" s="2683">
        <v>2</v>
      </c>
      <c r="B93" s="2684">
        <v>20202</v>
      </c>
      <c r="C93" s="2685">
        <v>0.03</v>
      </c>
      <c r="D93" s="2739" t="s">
        <v>426</v>
      </c>
      <c r="E93" s="414">
        <v>133</v>
      </c>
      <c r="F93" s="414"/>
      <c r="G93" s="414"/>
      <c r="H93" s="4738">
        <f t="shared" si="155"/>
        <v>133</v>
      </c>
      <c r="I93" s="414"/>
      <c r="J93" s="414"/>
      <c r="K93" s="414"/>
      <c r="L93" s="4738">
        <f t="shared" si="156"/>
        <v>0</v>
      </c>
      <c r="M93" s="414"/>
      <c r="N93" s="414"/>
      <c r="O93" s="414"/>
      <c r="P93" s="4738">
        <f t="shared" si="157"/>
        <v>0</v>
      </c>
      <c r="Q93" s="414"/>
      <c r="R93" s="414"/>
      <c r="S93" s="414"/>
      <c r="T93" s="4738">
        <f t="shared" si="158"/>
        <v>0</v>
      </c>
      <c r="U93" s="414"/>
      <c r="V93" s="414"/>
      <c r="W93" s="414"/>
      <c r="X93" s="4738">
        <f t="shared" si="159"/>
        <v>0</v>
      </c>
      <c r="Y93" s="4775"/>
      <c r="Z93" s="4794">
        <f t="shared" si="130"/>
        <v>68.001820199097054</v>
      </c>
      <c r="AA93" s="4794">
        <f t="shared" si="144"/>
        <v>0</v>
      </c>
      <c r="AB93" s="4794">
        <f t="shared" si="145"/>
        <v>0</v>
      </c>
      <c r="AC93" s="4794">
        <f t="shared" si="131"/>
        <v>68.001820199097054</v>
      </c>
      <c r="AD93" s="4794">
        <f t="shared" si="132"/>
        <v>0</v>
      </c>
      <c r="AE93" s="4794">
        <f t="shared" si="146"/>
        <v>0</v>
      </c>
      <c r="AF93" s="4794">
        <f t="shared" si="147"/>
        <v>0</v>
      </c>
      <c r="AG93" s="4794">
        <f t="shared" si="133"/>
        <v>0</v>
      </c>
      <c r="AH93" s="4794">
        <f t="shared" si="134"/>
        <v>0</v>
      </c>
      <c r="AI93" s="4794">
        <f t="shared" si="148"/>
        <v>0</v>
      </c>
      <c r="AJ93" s="4794">
        <f t="shared" si="149"/>
        <v>0</v>
      </c>
      <c r="AK93" s="4794">
        <f t="shared" si="135"/>
        <v>0</v>
      </c>
      <c r="AL93" s="4794">
        <f t="shared" si="136"/>
        <v>0</v>
      </c>
      <c r="AM93" s="4794">
        <f t="shared" si="150"/>
        <v>0</v>
      </c>
      <c r="AN93" s="4794">
        <f t="shared" si="151"/>
        <v>0</v>
      </c>
      <c r="AO93" s="4794">
        <f t="shared" si="137"/>
        <v>0</v>
      </c>
      <c r="AP93" s="4794">
        <f t="shared" si="138"/>
        <v>0</v>
      </c>
      <c r="AQ93" s="4794">
        <f t="shared" si="152"/>
        <v>0</v>
      </c>
      <c r="AR93" s="4794">
        <f t="shared" si="153"/>
        <v>0</v>
      </c>
      <c r="AS93" s="4794">
        <f t="shared" si="139"/>
        <v>0</v>
      </c>
    </row>
    <row r="94" spans="1:45" ht="24">
      <c r="A94" s="2683">
        <v>3</v>
      </c>
      <c r="B94" s="2684">
        <v>2030401</v>
      </c>
      <c r="C94" s="2690">
        <v>0.1</v>
      </c>
      <c r="D94" s="2720" t="s">
        <v>1031</v>
      </c>
      <c r="E94" s="414">
        <v>314</v>
      </c>
      <c r="F94" s="414"/>
      <c r="G94" s="414"/>
      <c r="H94" s="4738">
        <f t="shared" si="155"/>
        <v>314</v>
      </c>
      <c r="I94" s="414"/>
      <c r="J94" s="414"/>
      <c r="K94" s="414"/>
      <c r="L94" s="4738">
        <f t="shared" si="156"/>
        <v>0</v>
      </c>
      <c r="M94" s="414"/>
      <c r="N94" s="414"/>
      <c r="O94" s="414"/>
      <c r="P94" s="4738">
        <f t="shared" si="157"/>
        <v>0</v>
      </c>
      <c r="Q94" s="414"/>
      <c r="R94" s="414"/>
      <c r="S94" s="414"/>
      <c r="T94" s="4738">
        <f t="shared" si="158"/>
        <v>0</v>
      </c>
      <c r="U94" s="414"/>
      <c r="V94" s="414"/>
      <c r="W94" s="414"/>
      <c r="X94" s="4738">
        <f t="shared" si="159"/>
        <v>0</v>
      </c>
      <c r="Y94" s="4775"/>
      <c r="Z94" s="4794">
        <f t="shared" si="130"/>
        <v>160.54565069561261</v>
      </c>
      <c r="AA94" s="4794">
        <f t="shared" si="144"/>
        <v>0</v>
      </c>
      <c r="AB94" s="4794">
        <f t="shared" si="145"/>
        <v>0</v>
      </c>
      <c r="AC94" s="4794">
        <f t="shared" si="131"/>
        <v>160.54565069561261</v>
      </c>
      <c r="AD94" s="4794">
        <f t="shared" si="132"/>
        <v>0</v>
      </c>
      <c r="AE94" s="4794">
        <f t="shared" si="146"/>
        <v>0</v>
      </c>
      <c r="AF94" s="4794">
        <f t="shared" si="147"/>
        <v>0</v>
      </c>
      <c r="AG94" s="4794">
        <f t="shared" si="133"/>
        <v>0</v>
      </c>
      <c r="AH94" s="4794">
        <f t="shared" si="134"/>
        <v>0</v>
      </c>
      <c r="AI94" s="4794">
        <f t="shared" si="148"/>
        <v>0</v>
      </c>
      <c r="AJ94" s="4794">
        <f t="shared" si="149"/>
        <v>0</v>
      </c>
      <c r="AK94" s="4794">
        <f t="shared" si="135"/>
        <v>0</v>
      </c>
      <c r="AL94" s="4794">
        <f t="shared" si="136"/>
        <v>0</v>
      </c>
      <c r="AM94" s="4794">
        <f t="shared" si="150"/>
        <v>0</v>
      </c>
      <c r="AN94" s="4794">
        <f t="shared" si="151"/>
        <v>0</v>
      </c>
      <c r="AO94" s="4794">
        <f t="shared" si="137"/>
        <v>0</v>
      </c>
      <c r="AP94" s="4794">
        <f t="shared" si="138"/>
        <v>0</v>
      </c>
      <c r="AQ94" s="4794">
        <f t="shared" si="152"/>
        <v>0</v>
      </c>
      <c r="AR94" s="4794">
        <f t="shared" si="153"/>
        <v>0</v>
      </c>
      <c r="AS94" s="4794">
        <f t="shared" si="139"/>
        <v>0</v>
      </c>
    </row>
    <row r="95" spans="1:45">
      <c r="A95" s="2683">
        <v>4</v>
      </c>
      <c r="B95" s="2684">
        <v>2030402</v>
      </c>
      <c r="C95" s="2690">
        <v>0.1</v>
      </c>
      <c r="D95" s="2720" t="s">
        <v>429</v>
      </c>
      <c r="E95" s="414"/>
      <c r="F95" s="414"/>
      <c r="G95" s="414"/>
      <c r="H95" s="4738">
        <f t="shared" si="155"/>
        <v>0</v>
      </c>
      <c r="I95" s="414"/>
      <c r="J95" s="414"/>
      <c r="K95" s="414"/>
      <c r="L95" s="4738">
        <f t="shared" si="156"/>
        <v>0</v>
      </c>
      <c r="M95" s="414"/>
      <c r="N95" s="414"/>
      <c r="O95" s="414"/>
      <c r="P95" s="4738">
        <f t="shared" si="157"/>
        <v>0</v>
      </c>
      <c r="Q95" s="414"/>
      <c r="R95" s="414"/>
      <c r="S95" s="414"/>
      <c r="T95" s="4738">
        <f t="shared" si="158"/>
        <v>0</v>
      </c>
      <c r="U95" s="414"/>
      <c r="V95" s="414"/>
      <c r="W95" s="414"/>
      <c r="X95" s="4738">
        <f t="shared" si="159"/>
        <v>0</v>
      </c>
      <c r="Y95" s="4775"/>
      <c r="Z95" s="4794">
        <f t="shared" si="130"/>
        <v>0</v>
      </c>
      <c r="AA95" s="4794">
        <f t="shared" si="144"/>
        <v>0</v>
      </c>
      <c r="AB95" s="4794">
        <f t="shared" si="145"/>
        <v>0</v>
      </c>
      <c r="AC95" s="4794">
        <f t="shared" si="131"/>
        <v>0</v>
      </c>
      <c r="AD95" s="4794">
        <f t="shared" si="132"/>
        <v>0</v>
      </c>
      <c r="AE95" s="4794">
        <f t="shared" si="146"/>
        <v>0</v>
      </c>
      <c r="AF95" s="4794">
        <f t="shared" si="147"/>
        <v>0</v>
      </c>
      <c r="AG95" s="4794">
        <f t="shared" si="133"/>
        <v>0</v>
      </c>
      <c r="AH95" s="4794">
        <f t="shared" si="134"/>
        <v>0</v>
      </c>
      <c r="AI95" s="4794">
        <f t="shared" si="148"/>
        <v>0</v>
      </c>
      <c r="AJ95" s="4794">
        <f t="shared" si="149"/>
        <v>0</v>
      </c>
      <c r="AK95" s="4794">
        <f t="shared" si="135"/>
        <v>0</v>
      </c>
      <c r="AL95" s="4794">
        <f t="shared" si="136"/>
        <v>0</v>
      </c>
      <c r="AM95" s="4794">
        <f t="shared" si="150"/>
        <v>0</v>
      </c>
      <c r="AN95" s="4794">
        <f t="shared" si="151"/>
        <v>0</v>
      </c>
      <c r="AO95" s="4794">
        <f t="shared" si="137"/>
        <v>0</v>
      </c>
      <c r="AP95" s="4794">
        <f t="shared" si="138"/>
        <v>0</v>
      </c>
      <c r="AQ95" s="4794">
        <f t="shared" si="152"/>
        <v>0</v>
      </c>
      <c r="AR95" s="4794">
        <f t="shared" si="153"/>
        <v>0</v>
      </c>
      <c r="AS95" s="4794">
        <f t="shared" si="139"/>
        <v>0</v>
      </c>
    </row>
    <row r="96" spans="1:45">
      <c r="A96" s="2683">
        <v>5</v>
      </c>
      <c r="B96" s="2684">
        <v>2030501</v>
      </c>
      <c r="C96" s="2690">
        <v>0.1</v>
      </c>
      <c r="D96" s="2720" t="s">
        <v>1001</v>
      </c>
      <c r="E96" s="414">
        <v>705</v>
      </c>
      <c r="F96" s="414">
        <v>315</v>
      </c>
      <c r="G96" s="414"/>
      <c r="H96" s="4738">
        <f t="shared" si="155"/>
        <v>1020</v>
      </c>
      <c r="I96" s="414"/>
      <c r="J96" s="414"/>
      <c r="K96" s="414"/>
      <c r="L96" s="4738">
        <f t="shared" si="156"/>
        <v>0</v>
      </c>
      <c r="M96" s="414">
        <v>75</v>
      </c>
      <c r="N96" s="414"/>
      <c r="O96" s="414"/>
      <c r="P96" s="4738">
        <f t="shared" si="157"/>
        <v>75</v>
      </c>
      <c r="Q96" s="414"/>
      <c r="R96" s="414"/>
      <c r="S96" s="414"/>
      <c r="T96" s="4738">
        <f t="shared" si="158"/>
        <v>0</v>
      </c>
      <c r="U96" s="414"/>
      <c r="V96" s="414"/>
      <c r="W96" s="414"/>
      <c r="X96" s="4738">
        <f t="shared" si="159"/>
        <v>0</v>
      </c>
      <c r="Y96" s="4775"/>
      <c r="Z96" s="4794">
        <f t="shared" si="130"/>
        <v>360.46077624333407</v>
      </c>
      <c r="AA96" s="4794">
        <f t="shared" si="144"/>
        <v>161.05694257680884</v>
      </c>
      <c r="AB96" s="4794">
        <f t="shared" si="145"/>
        <v>0</v>
      </c>
      <c r="AC96" s="4794">
        <f t="shared" si="131"/>
        <v>521.51771882014282</v>
      </c>
      <c r="AD96" s="4794">
        <f t="shared" si="132"/>
        <v>0</v>
      </c>
      <c r="AE96" s="4794">
        <f t="shared" si="146"/>
        <v>0</v>
      </c>
      <c r="AF96" s="4794">
        <f t="shared" si="147"/>
        <v>0</v>
      </c>
      <c r="AG96" s="4794">
        <f t="shared" si="133"/>
        <v>0</v>
      </c>
      <c r="AH96" s="4794">
        <f t="shared" si="134"/>
        <v>38.346891089716387</v>
      </c>
      <c r="AI96" s="4794">
        <f t="shared" si="148"/>
        <v>0</v>
      </c>
      <c r="AJ96" s="4794">
        <f t="shared" si="149"/>
        <v>0</v>
      </c>
      <c r="AK96" s="4794">
        <f t="shared" si="135"/>
        <v>38.346891089716387</v>
      </c>
      <c r="AL96" s="4794">
        <f t="shared" si="136"/>
        <v>0</v>
      </c>
      <c r="AM96" s="4794">
        <f t="shared" si="150"/>
        <v>0</v>
      </c>
      <c r="AN96" s="4794">
        <f t="shared" si="151"/>
        <v>0</v>
      </c>
      <c r="AO96" s="4794">
        <f t="shared" si="137"/>
        <v>0</v>
      </c>
      <c r="AP96" s="4794">
        <f t="shared" si="138"/>
        <v>0</v>
      </c>
      <c r="AQ96" s="4794">
        <f t="shared" si="152"/>
        <v>0</v>
      </c>
      <c r="AR96" s="4794">
        <f t="shared" si="153"/>
        <v>0</v>
      </c>
      <c r="AS96" s="4794">
        <f t="shared" si="139"/>
        <v>0</v>
      </c>
    </row>
    <row r="97" spans="1:45" ht="36">
      <c r="A97" s="2683">
        <v>6</v>
      </c>
      <c r="B97" s="2684">
        <v>2030502</v>
      </c>
      <c r="C97" s="2690">
        <v>0.1</v>
      </c>
      <c r="D97" s="2720" t="s">
        <v>695</v>
      </c>
      <c r="E97" s="414">
        <v>232</v>
      </c>
      <c r="F97" s="414">
        <v>120</v>
      </c>
      <c r="G97" s="414"/>
      <c r="H97" s="4738">
        <f t="shared" si="155"/>
        <v>352</v>
      </c>
      <c r="I97" s="414"/>
      <c r="J97" s="414"/>
      <c r="K97" s="414"/>
      <c r="L97" s="4738">
        <f t="shared" si="156"/>
        <v>0</v>
      </c>
      <c r="M97" s="414"/>
      <c r="N97" s="414"/>
      <c r="O97" s="414"/>
      <c r="P97" s="4738">
        <f t="shared" si="157"/>
        <v>0</v>
      </c>
      <c r="Q97" s="414"/>
      <c r="R97" s="414"/>
      <c r="S97" s="414"/>
      <c r="T97" s="4738">
        <f t="shared" si="158"/>
        <v>0</v>
      </c>
      <c r="U97" s="414"/>
      <c r="V97" s="414"/>
      <c r="W97" s="414"/>
      <c r="X97" s="4738">
        <f t="shared" si="159"/>
        <v>0</v>
      </c>
      <c r="Y97" s="4775"/>
      <c r="Z97" s="4794">
        <f t="shared" si="130"/>
        <v>118.6197164375227</v>
      </c>
      <c r="AA97" s="4794">
        <f t="shared" si="144"/>
        <v>61.355025743546221</v>
      </c>
      <c r="AB97" s="4794">
        <f t="shared" si="145"/>
        <v>0</v>
      </c>
      <c r="AC97" s="4794">
        <f t="shared" si="131"/>
        <v>179.9747421810689</v>
      </c>
      <c r="AD97" s="4794">
        <f t="shared" si="132"/>
        <v>0</v>
      </c>
      <c r="AE97" s="4794">
        <f t="shared" si="146"/>
        <v>0</v>
      </c>
      <c r="AF97" s="4794">
        <f t="shared" si="147"/>
        <v>0</v>
      </c>
      <c r="AG97" s="4794">
        <f t="shared" si="133"/>
        <v>0</v>
      </c>
      <c r="AH97" s="4794">
        <f t="shared" si="134"/>
        <v>0</v>
      </c>
      <c r="AI97" s="4794">
        <f t="shared" si="148"/>
        <v>0</v>
      </c>
      <c r="AJ97" s="4794">
        <f t="shared" si="149"/>
        <v>0</v>
      </c>
      <c r="AK97" s="4794">
        <f t="shared" si="135"/>
        <v>0</v>
      </c>
      <c r="AL97" s="4794">
        <f t="shared" si="136"/>
        <v>0</v>
      </c>
      <c r="AM97" s="4794">
        <f t="shared" si="150"/>
        <v>0</v>
      </c>
      <c r="AN97" s="4794">
        <f t="shared" si="151"/>
        <v>0</v>
      </c>
      <c r="AO97" s="4794">
        <f t="shared" si="137"/>
        <v>0</v>
      </c>
      <c r="AP97" s="4794">
        <f t="shared" si="138"/>
        <v>0</v>
      </c>
      <c r="AQ97" s="4794">
        <f t="shared" si="152"/>
        <v>0</v>
      </c>
      <c r="AR97" s="4794">
        <f t="shared" si="153"/>
        <v>0</v>
      </c>
      <c r="AS97" s="4794">
        <f t="shared" si="139"/>
        <v>0</v>
      </c>
    </row>
    <row r="98" spans="1:45">
      <c r="A98" s="2683">
        <v>7</v>
      </c>
      <c r="B98" s="2684">
        <v>2030503</v>
      </c>
      <c r="C98" s="2690">
        <v>0.1</v>
      </c>
      <c r="D98" s="2720" t="s">
        <v>713</v>
      </c>
      <c r="E98" s="414">
        <v>112</v>
      </c>
      <c r="F98" s="414"/>
      <c r="G98" s="414"/>
      <c r="H98" s="4738">
        <f t="shared" si="155"/>
        <v>112</v>
      </c>
      <c r="I98" s="414"/>
      <c r="J98" s="414"/>
      <c r="K98" s="414"/>
      <c r="L98" s="4738">
        <f t="shared" si="156"/>
        <v>0</v>
      </c>
      <c r="M98" s="414"/>
      <c r="N98" s="414"/>
      <c r="O98" s="414"/>
      <c r="P98" s="4738">
        <f t="shared" si="157"/>
        <v>0</v>
      </c>
      <c r="Q98" s="414"/>
      <c r="R98" s="414"/>
      <c r="S98" s="414"/>
      <c r="T98" s="4738">
        <f t="shared" si="158"/>
        <v>0</v>
      </c>
      <c r="U98" s="414"/>
      <c r="V98" s="414"/>
      <c r="W98" s="414"/>
      <c r="X98" s="4738">
        <f t="shared" si="159"/>
        <v>0</v>
      </c>
      <c r="Y98" s="4775"/>
      <c r="Z98" s="4794">
        <f t="shared" si="130"/>
        <v>57.264690693976469</v>
      </c>
      <c r="AA98" s="4794">
        <f t="shared" si="144"/>
        <v>0</v>
      </c>
      <c r="AB98" s="4794">
        <f t="shared" si="145"/>
        <v>0</v>
      </c>
      <c r="AC98" s="4794">
        <f t="shared" si="131"/>
        <v>57.264690693976469</v>
      </c>
      <c r="AD98" s="4794">
        <f t="shared" si="132"/>
        <v>0</v>
      </c>
      <c r="AE98" s="4794">
        <f t="shared" si="146"/>
        <v>0</v>
      </c>
      <c r="AF98" s="4794">
        <f t="shared" si="147"/>
        <v>0</v>
      </c>
      <c r="AG98" s="4794">
        <f t="shared" si="133"/>
        <v>0</v>
      </c>
      <c r="AH98" s="4794">
        <f t="shared" si="134"/>
        <v>0</v>
      </c>
      <c r="AI98" s="4794">
        <f t="shared" si="148"/>
        <v>0</v>
      </c>
      <c r="AJ98" s="4794">
        <f t="shared" si="149"/>
        <v>0</v>
      </c>
      <c r="AK98" s="4794">
        <f t="shared" si="135"/>
        <v>0</v>
      </c>
      <c r="AL98" s="4794">
        <f t="shared" si="136"/>
        <v>0</v>
      </c>
      <c r="AM98" s="4794">
        <f t="shared" si="150"/>
        <v>0</v>
      </c>
      <c r="AN98" s="4794">
        <f t="shared" si="151"/>
        <v>0</v>
      </c>
      <c r="AO98" s="4794">
        <f t="shared" si="137"/>
        <v>0</v>
      </c>
      <c r="AP98" s="4794">
        <f t="shared" si="138"/>
        <v>0</v>
      </c>
      <c r="AQ98" s="4794">
        <f t="shared" si="152"/>
        <v>0</v>
      </c>
      <c r="AR98" s="4794">
        <f t="shared" si="153"/>
        <v>0</v>
      </c>
      <c r="AS98" s="4794">
        <f t="shared" si="139"/>
        <v>0</v>
      </c>
    </row>
    <row r="99" spans="1:45">
      <c r="A99" s="2683">
        <v>8</v>
      </c>
      <c r="B99" s="2684">
        <v>2040101</v>
      </c>
      <c r="C99" s="2740">
        <v>0.1</v>
      </c>
      <c r="D99" s="2714" t="s">
        <v>1016</v>
      </c>
      <c r="E99" s="414"/>
      <c r="F99" s="414"/>
      <c r="G99" s="414"/>
      <c r="H99" s="4738">
        <f t="shared" si="155"/>
        <v>0</v>
      </c>
      <c r="I99" s="414"/>
      <c r="J99" s="414"/>
      <c r="K99" s="414"/>
      <c r="L99" s="4738">
        <f t="shared" si="156"/>
        <v>0</v>
      </c>
      <c r="M99" s="414"/>
      <c r="N99" s="414"/>
      <c r="O99" s="414"/>
      <c r="P99" s="4738">
        <f t="shared" si="157"/>
        <v>0</v>
      </c>
      <c r="Q99" s="414"/>
      <c r="R99" s="414"/>
      <c r="S99" s="414"/>
      <c r="T99" s="4738">
        <f t="shared" si="158"/>
        <v>0</v>
      </c>
      <c r="U99" s="414"/>
      <c r="V99" s="414"/>
      <c r="W99" s="414"/>
      <c r="X99" s="4738">
        <f t="shared" si="159"/>
        <v>0</v>
      </c>
      <c r="Y99" s="4775"/>
      <c r="Z99" s="4794">
        <f t="shared" si="130"/>
        <v>0</v>
      </c>
      <c r="AA99" s="4794">
        <f t="shared" si="144"/>
        <v>0</v>
      </c>
      <c r="AB99" s="4794">
        <f t="shared" si="145"/>
        <v>0</v>
      </c>
      <c r="AC99" s="4794">
        <f t="shared" si="131"/>
        <v>0</v>
      </c>
      <c r="AD99" s="4794">
        <f t="shared" si="132"/>
        <v>0</v>
      </c>
      <c r="AE99" s="4794">
        <f t="shared" si="146"/>
        <v>0</v>
      </c>
      <c r="AF99" s="4794">
        <f t="shared" si="147"/>
        <v>0</v>
      </c>
      <c r="AG99" s="4794">
        <f t="shared" si="133"/>
        <v>0</v>
      </c>
      <c r="AH99" s="4794">
        <f t="shared" si="134"/>
        <v>0</v>
      </c>
      <c r="AI99" s="4794">
        <f t="shared" si="148"/>
        <v>0</v>
      </c>
      <c r="AJ99" s="4794">
        <f t="shared" si="149"/>
        <v>0</v>
      </c>
      <c r="AK99" s="4794">
        <f t="shared" si="135"/>
        <v>0</v>
      </c>
      <c r="AL99" s="4794">
        <f t="shared" si="136"/>
        <v>0</v>
      </c>
      <c r="AM99" s="4794">
        <f t="shared" si="150"/>
        <v>0</v>
      </c>
      <c r="AN99" s="4794">
        <f t="shared" si="151"/>
        <v>0</v>
      </c>
      <c r="AO99" s="4794">
        <f t="shared" si="137"/>
        <v>0</v>
      </c>
      <c r="AP99" s="4794">
        <f t="shared" si="138"/>
        <v>0</v>
      </c>
      <c r="AQ99" s="4794">
        <f t="shared" si="152"/>
        <v>0</v>
      </c>
      <c r="AR99" s="4794">
        <f t="shared" si="153"/>
        <v>0</v>
      </c>
      <c r="AS99" s="4794">
        <f t="shared" si="139"/>
        <v>0</v>
      </c>
    </row>
    <row r="100" spans="1:45">
      <c r="A100" s="2741">
        <v>9</v>
      </c>
      <c r="B100" s="2684">
        <v>2040102</v>
      </c>
      <c r="C100" s="2740">
        <v>0.04</v>
      </c>
      <c r="D100" s="2714" t="s">
        <v>432</v>
      </c>
      <c r="E100" s="414"/>
      <c r="F100" s="414"/>
      <c r="G100" s="414"/>
      <c r="H100" s="4738">
        <f t="shared" si="155"/>
        <v>0</v>
      </c>
      <c r="I100" s="414"/>
      <c r="J100" s="414"/>
      <c r="K100" s="414"/>
      <c r="L100" s="4738">
        <f t="shared" si="156"/>
        <v>0</v>
      </c>
      <c r="M100" s="414"/>
      <c r="N100" s="414"/>
      <c r="O100" s="414"/>
      <c r="P100" s="4738">
        <f t="shared" si="157"/>
        <v>0</v>
      </c>
      <c r="Q100" s="414"/>
      <c r="R100" s="414"/>
      <c r="S100" s="414"/>
      <c r="T100" s="4738">
        <f t="shared" si="158"/>
        <v>0</v>
      </c>
      <c r="U100" s="414"/>
      <c r="V100" s="414"/>
      <c r="W100" s="414"/>
      <c r="X100" s="4738">
        <f t="shared" si="159"/>
        <v>0</v>
      </c>
      <c r="Y100" s="4775"/>
      <c r="Z100" s="4794">
        <f t="shared" si="130"/>
        <v>0</v>
      </c>
      <c r="AA100" s="4794">
        <f t="shared" si="144"/>
        <v>0</v>
      </c>
      <c r="AB100" s="4794">
        <f t="shared" si="145"/>
        <v>0</v>
      </c>
      <c r="AC100" s="4794">
        <f t="shared" si="131"/>
        <v>0</v>
      </c>
      <c r="AD100" s="4794">
        <f t="shared" si="132"/>
        <v>0</v>
      </c>
      <c r="AE100" s="4794">
        <f t="shared" si="146"/>
        <v>0</v>
      </c>
      <c r="AF100" s="4794">
        <f t="shared" si="147"/>
        <v>0</v>
      </c>
      <c r="AG100" s="4794">
        <f t="shared" si="133"/>
        <v>0</v>
      </c>
      <c r="AH100" s="4794">
        <f t="shared" si="134"/>
        <v>0</v>
      </c>
      <c r="AI100" s="4794">
        <f t="shared" si="148"/>
        <v>0</v>
      </c>
      <c r="AJ100" s="4794">
        <f t="shared" si="149"/>
        <v>0</v>
      </c>
      <c r="AK100" s="4794">
        <f t="shared" si="135"/>
        <v>0</v>
      </c>
      <c r="AL100" s="4794">
        <f t="shared" si="136"/>
        <v>0</v>
      </c>
      <c r="AM100" s="4794">
        <f t="shared" si="150"/>
        <v>0</v>
      </c>
      <c r="AN100" s="4794">
        <f t="shared" si="151"/>
        <v>0</v>
      </c>
      <c r="AO100" s="4794">
        <f t="shared" si="137"/>
        <v>0</v>
      </c>
      <c r="AP100" s="4794">
        <f t="shared" si="138"/>
        <v>0</v>
      </c>
      <c r="AQ100" s="4794">
        <f t="shared" si="152"/>
        <v>0</v>
      </c>
      <c r="AR100" s="4794">
        <f t="shared" si="153"/>
        <v>0</v>
      </c>
      <c r="AS100" s="4794">
        <f t="shared" si="139"/>
        <v>0</v>
      </c>
    </row>
    <row r="101" spans="1:45">
      <c r="A101" s="2741">
        <v>10</v>
      </c>
      <c r="B101" s="2684">
        <v>2040201</v>
      </c>
      <c r="C101" s="2685">
        <v>0.02</v>
      </c>
      <c r="D101" s="2715" t="s">
        <v>738</v>
      </c>
      <c r="E101" s="414"/>
      <c r="F101" s="414"/>
      <c r="G101" s="414"/>
      <c r="H101" s="4738">
        <f t="shared" si="155"/>
        <v>0</v>
      </c>
      <c r="I101" s="414"/>
      <c r="J101" s="414"/>
      <c r="K101" s="414"/>
      <c r="L101" s="4738">
        <f t="shared" si="156"/>
        <v>0</v>
      </c>
      <c r="M101" s="414"/>
      <c r="N101" s="414"/>
      <c r="O101" s="414"/>
      <c r="P101" s="4738">
        <f t="shared" si="157"/>
        <v>0</v>
      </c>
      <c r="Q101" s="414"/>
      <c r="R101" s="414"/>
      <c r="S101" s="414"/>
      <c r="T101" s="4738">
        <f t="shared" si="158"/>
        <v>0</v>
      </c>
      <c r="U101" s="414"/>
      <c r="V101" s="414"/>
      <c r="W101" s="414"/>
      <c r="X101" s="4738">
        <f t="shared" si="159"/>
        <v>0</v>
      </c>
      <c r="Y101" s="4775"/>
      <c r="Z101" s="4794">
        <f t="shared" si="130"/>
        <v>0</v>
      </c>
      <c r="AA101" s="4794">
        <f t="shared" si="144"/>
        <v>0</v>
      </c>
      <c r="AB101" s="4794">
        <f t="shared" si="145"/>
        <v>0</v>
      </c>
      <c r="AC101" s="4794">
        <f t="shared" si="131"/>
        <v>0</v>
      </c>
      <c r="AD101" s="4794">
        <f t="shared" si="132"/>
        <v>0</v>
      </c>
      <c r="AE101" s="4794">
        <f t="shared" si="146"/>
        <v>0</v>
      </c>
      <c r="AF101" s="4794">
        <f t="shared" si="147"/>
        <v>0</v>
      </c>
      <c r="AG101" s="4794">
        <f t="shared" si="133"/>
        <v>0</v>
      </c>
      <c r="AH101" s="4794">
        <f t="shared" si="134"/>
        <v>0</v>
      </c>
      <c r="AI101" s="4794">
        <f t="shared" si="148"/>
        <v>0</v>
      </c>
      <c r="AJ101" s="4794">
        <f t="shared" si="149"/>
        <v>0</v>
      </c>
      <c r="AK101" s="4794">
        <f t="shared" si="135"/>
        <v>0</v>
      </c>
      <c r="AL101" s="4794">
        <f t="shared" si="136"/>
        <v>0</v>
      </c>
      <c r="AM101" s="4794">
        <f t="shared" si="150"/>
        <v>0</v>
      </c>
      <c r="AN101" s="4794">
        <f t="shared" si="151"/>
        <v>0</v>
      </c>
      <c r="AO101" s="4794">
        <f t="shared" si="137"/>
        <v>0</v>
      </c>
      <c r="AP101" s="4794">
        <f t="shared" si="138"/>
        <v>0</v>
      </c>
      <c r="AQ101" s="4794">
        <f t="shared" si="152"/>
        <v>0</v>
      </c>
      <c r="AR101" s="4794">
        <f t="shared" si="153"/>
        <v>0</v>
      </c>
      <c r="AS101" s="4794">
        <f t="shared" si="139"/>
        <v>0</v>
      </c>
    </row>
    <row r="102" spans="1:45">
      <c r="A102" s="2741">
        <v>11</v>
      </c>
      <c r="B102" s="2684">
        <v>2040202</v>
      </c>
      <c r="C102" s="2685">
        <v>0.02</v>
      </c>
      <c r="D102" s="2715" t="s">
        <v>739</v>
      </c>
      <c r="E102" s="414">
        <v>231</v>
      </c>
      <c r="F102" s="414"/>
      <c r="G102" s="414"/>
      <c r="H102" s="4738">
        <f t="shared" si="155"/>
        <v>231</v>
      </c>
      <c r="I102" s="414"/>
      <c r="J102" s="414"/>
      <c r="K102" s="414"/>
      <c r="L102" s="4738">
        <f t="shared" si="156"/>
        <v>0</v>
      </c>
      <c r="M102" s="414"/>
      <c r="N102" s="414"/>
      <c r="O102" s="414"/>
      <c r="P102" s="4738">
        <f t="shared" si="157"/>
        <v>0</v>
      </c>
      <c r="Q102" s="414"/>
      <c r="R102" s="414"/>
      <c r="S102" s="414"/>
      <c r="T102" s="4738">
        <f t="shared" si="158"/>
        <v>0</v>
      </c>
      <c r="U102" s="414"/>
      <c r="V102" s="414"/>
      <c r="W102" s="414"/>
      <c r="X102" s="4738">
        <f t="shared" si="159"/>
        <v>0</v>
      </c>
      <c r="Y102" s="4775"/>
      <c r="Z102" s="4794">
        <f t="shared" si="130"/>
        <v>118.10842455632647</v>
      </c>
      <c r="AA102" s="4794">
        <f t="shared" si="144"/>
        <v>0</v>
      </c>
      <c r="AB102" s="4794">
        <f t="shared" si="145"/>
        <v>0</v>
      </c>
      <c r="AC102" s="4794">
        <f t="shared" si="131"/>
        <v>118.10842455632647</v>
      </c>
      <c r="AD102" s="4794">
        <f t="shared" si="132"/>
        <v>0</v>
      </c>
      <c r="AE102" s="4794">
        <f t="shared" si="146"/>
        <v>0</v>
      </c>
      <c r="AF102" s="4794">
        <f t="shared" si="147"/>
        <v>0</v>
      </c>
      <c r="AG102" s="4794">
        <f t="shared" si="133"/>
        <v>0</v>
      </c>
      <c r="AH102" s="4794">
        <f t="shared" si="134"/>
        <v>0</v>
      </c>
      <c r="AI102" s="4794">
        <f t="shared" si="148"/>
        <v>0</v>
      </c>
      <c r="AJ102" s="4794">
        <f t="shared" si="149"/>
        <v>0</v>
      </c>
      <c r="AK102" s="4794">
        <f t="shared" si="135"/>
        <v>0</v>
      </c>
      <c r="AL102" s="4794">
        <f t="shared" si="136"/>
        <v>0</v>
      </c>
      <c r="AM102" s="4794">
        <f t="shared" si="150"/>
        <v>0</v>
      </c>
      <c r="AN102" s="4794">
        <f t="shared" si="151"/>
        <v>0</v>
      </c>
      <c r="AO102" s="4794">
        <f t="shared" si="137"/>
        <v>0</v>
      </c>
      <c r="AP102" s="4794">
        <f t="shared" si="138"/>
        <v>0</v>
      </c>
      <c r="AQ102" s="4794">
        <f t="shared" si="152"/>
        <v>0</v>
      </c>
      <c r="AR102" s="4794">
        <f t="shared" si="153"/>
        <v>0</v>
      </c>
      <c r="AS102" s="4794">
        <f t="shared" si="139"/>
        <v>0</v>
      </c>
    </row>
    <row r="103" spans="1:45">
      <c r="A103" s="2741">
        <v>12</v>
      </c>
      <c r="B103" s="2684">
        <v>2040203</v>
      </c>
      <c r="C103" s="2685">
        <v>0.02</v>
      </c>
      <c r="D103" s="2715" t="s">
        <v>418</v>
      </c>
      <c r="E103" s="414"/>
      <c r="F103" s="414"/>
      <c r="G103" s="414"/>
      <c r="H103" s="4738">
        <f t="shared" si="155"/>
        <v>0</v>
      </c>
      <c r="I103" s="414"/>
      <c r="J103" s="414"/>
      <c r="K103" s="414"/>
      <c r="L103" s="4738">
        <f t="shared" si="156"/>
        <v>0</v>
      </c>
      <c r="M103" s="414"/>
      <c r="N103" s="414"/>
      <c r="O103" s="414"/>
      <c r="P103" s="4738">
        <f t="shared" si="157"/>
        <v>0</v>
      </c>
      <c r="Q103" s="414"/>
      <c r="R103" s="414"/>
      <c r="S103" s="414"/>
      <c r="T103" s="4738">
        <f t="shared" si="158"/>
        <v>0</v>
      </c>
      <c r="U103" s="414"/>
      <c r="V103" s="414"/>
      <c r="W103" s="414"/>
      <c r="X103" s="4738">
        <f t="shared" si="159"/>
        <v>0</v>
      </c>
      <c r="Y103" s="4775"/>
      <c r="Z103" s="4794">
        <f t="shared" si="130"/>
        <v>0</v>
      </c>
      <c r="AA103" s="4794">
        <f t="shared" si="144"/>
        <v>0</v>
      </c>
      <c r="AB103" s="4794">
        <f t="shared" si="145"/>
        <v>0</v>
      </c>
      <c r="AC103" s="4794">
        <f t="shared" si="131"/>
        <v>0</v>
      </c>
      <c r="AD103" s="4794">
        <f t="shared" si="132"/>
        <v>0</v>
      </c>
      <c r="AE103" s="4794">
        <f t="shared" si="146"/>
        <v>0</v>
      </c>
      <c r="AF103" s="4794">
        <f t="shared" si="147"/>
        <v>0</v>
      </c>
      <c r="AG103" s="4794">
        <f t="shared" si="133"/>
        <v>0</v>
      </c>
      <c r="AH103" s="4794">
        <f t="shared" si="134"/>
        <v>0</v>
      </c>
      <c r="AI103" s="4794">
        <f t="shared" si="148"/>
        <v>0</v>
      </c>
      <c r="AJ103" s="4794">
        <f t="shared" si="149"/>
        <v>0</v>
      </c>
      <c r="AK103" s="4794">
        <f t="shared" si="135"/>
        <v>0</v>
      </c>
      <c r="AL103" s="4794">
        <f t="shared" si="136"/>
        <v>0</v>
      </c>
      <c r="AM103" s="4794">
        <f t="shared" si="150"/>
        <v>0</v>
      </c>
      <c r="AN103" s="4794">
        <f t="shared" si="151"/>
        <v>0</v>
      </c>
      <c r="AO103" s="4794">
        <f t="shared" si="137"/>
        <v>0</v>
      </c>
      <c r="AP103" s="4794">
        <f t="shared" si="138"/>
        <v>0</v>
      </c>
      <c r="AQ103" s="4794">
        <f t="shared" si="152"/>
        <v>0</v>
      </c>
      <c r="AR103" s="4794">
        <f t="shared" si="153"/>
        <v>0</v>
      </c>
      <c r="AS103" s="4794">
        <f t="shared" si="139"/>
        <v>0</v>
      </c>
    </row>
    <row r="104" spans="1:45" ht="24">
      <c r="A104" s="2741">
        <v>13</v>
      </c>
      <c r="B104" s="2684">
        <v>2040204</v>
      </c>
      <c r="C104" s="2685">
        <v>0.02</v>
      </c>
      <c r="D104" s="2714" t="s">
        <v>419</v>
      </c>
      <c r="E104" s="414">
        <v>46</v>
      </c>
      <c r="F104" s="414"/>
      <c r="G104" s="414"/>
      <c r="H104" s="4738">
        <f t="shared" si="155"/>
        <v>46</v>
      </c>
      <c r="I104" s="414"/>
      <c r="J104" s="414"/>
      <c r="K104" s="414"/>
      <c r="L104" s="4738">
        <f t="shared" si="156"/>
        <v>0</v>
      </c>
      <c r="M104" s="414"/>
      <c r="N104" s="414"/>
      <c r="O104" s="414"/>
      <c r="P104" s="4738">
        <f t="shared" si="157"/>
        <v>0</v>
      </c>
      <c r="Q104" s="414"/>
      <c r="R104" s="414"/>
      <c r="S104" s="414"/>
      <c r="T104" s="4738">
        <f t="shared" si="158"/>
        <v>0</v>
      </c>
      <c r="U104" s="414"/>
      <c r="V104" s="414"/>
      <c r="W104" s="414"/>
      <c r="X104" s="4738">
        <f t="shared" si="159"/>
        <v>0</v>
      </c>
      <c r="Y104" s="4775"/>
      <c r="Z104" s="4794">
        <f t="shared" si="130"/>
        <v>23.519426535026049</v>
      </c>
      <c r="AA104" s="4794">
        <f t="shared" si="144"/>
        <v>0</v>
      </c>
      <c r="AB104" s="4794">
        <f t="shared" si="145"/>
        <v>0</v>
      </c>
      <c r="AC104" s="4794">
        <f t="shared" si="131"/>
        <v>23.519426535026049</v>
      </c>
      <c r="AD104" s="4794">
        <f t="shared" si="132"/>
        <v>0</v>
      </c>
      <c r="AE104" s="4794">
        <f t="shared" si="146"/>
        <v>0</v>
      </c>
      <c r="AF104" s="4794">
        <f t="shared" si="147"/>
        <v>0</v>
      </c>
      <c r="AG104" s="4794">
        <f t="shared" si="133"/>
        <v>0</v>
      </c>
      <c r="AH104" s="4794">
        <f t="shared" si="134"/>
        <v>0</v>
      </c>
      <c r="AI104" s="4794">
        <f t="shared" si="148"/>
        <v>0</v>
      </c>
      <c r="AJ104" s="4794">
        <f t="shared" si="149"/>
        <v>0</v>
      </c>
      <c r="AK104" s="4794">
        <f t="shared" si="135"/>
        <v>0</v>
      </c>
      <c r="AL104" s="4794">
        <f t="shared" si="136"/>
        <v>0</v>
      </c>
      <c r="AM104" s="4794">
        <f t="shared" si="150"/>
        <v>0</v>
      </c>
      <c r="AN104" s="4794">
        <f t="shared" si="151"/>
        <v>0</v>
      </c>
      <c r="AO104" s="4794">
        <f t="shared" si="137"/>
        <v>0</v>
      </c>
      <c r="AP104" s="4794">
        <f t="shared" si="138"/>
        <v>0</v>
      </c>
      <c r="AQ104" s="4794">
        <f t="shared" si="152"/>
        <v>0</v>
      </c>
      <c r="AR104" s="4794">
        <f t="shared" si="153"/>
        <v>0</v>
      </c>
      <c r="AS104" s="4794">
        <f t="shared" si="139"/>
        <v>0</v>
      </c>
    </row>
    <row r="105" spans="1:45">
      <c r="A105" s="2741">
        <v>14</v>
      </c>
      <c r="B105" s="2684">
        <v>2040205</v>
      </c>
      <c r="C105" s="2685">
        <v>0.02</v>
      </c>
      <c r="D105" s="2715" t="s">
        <v>420</v>
      </c>
      <c r="E105" s="414">
        <v>15177</v>
      </c>
      <c r="F105" s="414">
        <v>3917</v>
      </c>
      <c r="G105" s="414"/>
      <c r="H105" s="4738">
        <f t="shared" si="155"/>
        <v>19094</v>
      </c>
      <c r="I105" s="414"/>
      <c r="J105" s="414"/>
      <c r="K105" s="414"/>
      <c r="L105" s="4738">
        <f t="shared" si="156"/>
        <v>0</v>
      </c>
      <c r="M105" s="414"/>
      <c r="N105" s="414"/>
      <c r="O105" s="414"/>
      <c r="P105" s="4738">
        <f t="shared" si="157"/>
        <v>0</v>
      </c>
      <c r="Q105" s="414"/>
      <c r="R105" s="414"/>
      <c r="S105" s="414"/>
      <c r="T105" s="4738">
        <f t="shared" si="158"/>
        <v>0</v>
      </c>
      <c r="U105" s="414"/>
      <c r="V105" s="414"/>
      <c r="W105" s="414"/>
      <c r="X105" s="4738">
        <f t="shared" si="159"/>
        <v>0</v>
      </c>
      <c r="Y105" s="4775"/>
      <c r="Z105" s="4794">
        <f t="shared" si="130"/>
        <v>7759.8768809150079</v>
      </c>
      <c r="AA105" s="4794">
        <f t="shared" si="144"/>
        <v>2002.7302986455879</v>
      </c>
      <c r="AB105" s="4794">
        <f t="shared" si="145"/>
        <v>0</v>
      </c>
      <c r="AC105" s="4794">
        <f t="shared" si="131"/>
        <v>9762.6071795605967</v>
      </c>
      <c r="AD105" s="4794">
        <f t="shared" si="132"/>
        <v>0</v>
      </c>
      <c r="AE105" s="4794">
        <f t="shared" si="146"/>
        <v>0</v>
      </c>
      <c r="AF105" s="4794">
        <f t="shared" si="147"/>
        <v>0</v>
      </c>
      <c r="AG105" s="4794">
        <f t="shared" si="133"/>
        <v>0</v>
      </c>
      <c r="AH105" s="4794">
        <f t="shared" si="134"/>
        <v>0</v>
      </c>
      <c r="AI105" s="4794">
        <f t="shared" si="148"/>
        <v>0</v>
      </c>
      <c r="AJ105" s="4794">
        <f t="shared" si="149"/>
        <v>0</v>
      </c>
      <c r="AK105" s="4794">
        <f t="shared" si="135"/>
        <v>0</v>
      </c>
      <c r="AL105" s="4794">
        <f t="shared" si="136"/>
        <v>0</v>
      </c>
      <c r="AM105" s="4794">
        <f t="shared" si="150"/>
        <v>0</v>
      </c>
      <c r="AN105" s="4794">
        <f t="shared" si="151"/>
        <v>0</v>
      </c>
      <c r="AO105" s="4794">
        <f t="shared" si="137"/>
        <v>0</v>
      </c>
      <c r="AP105" s="4794">
        <f t="shared" si="138"/>
        <v>0</v>
      </c>
      <c r="AQ105" s="4794">
        <f t="shared" si="152"/>
        <v>0</v>
      </c>
      <c r="AR105" s="4794">
        <f t="shared" si="153"/>
        <v>0</v>
      </c>
      <c r="AS105" s="4794">
        <f t="shared" si="139"/>
        <v>0</v>
      </c>
    </row>
    <row r="106" spans="1:45">
      <c r="A106" s="2741">
        <v>15</v>
      </c>
      <c r="B106" s="2684">
        <v>2040206</v>
      </c>
      <c r="C106" s="2685">
        <v>0.02</v>
      </c>
      <c r="D106" s="2720" t="s">
        <v>421</v>
      </c>
      <c r="E106" s="414"/>
      <c r="F106" s="414"/>
      <c r="G106" s="414"/>
      <c r="H106" s="4738">
        <f t="shared" si="155"/>
        <v>0</v>
      </c>
      <c r="I106" s="414">
        <v>1415</v>
      </c>
      <c r="J106" s="414">
        <v>94</v>
      </c>
      <c r="K106" s="414"/>
      <c r="L106" s="4738">
        <f t="shared" si="156"/>
        <v>1509</v>
      </c>
      <c r="M106" s="414"/>
      <c r="N106" s="414"/>
      <c r="O106" s="414"/>
      <c r="P106" s="4738">
        <f t="shared" si="157"/>
        <v>0</v>
      </c>
      <c r="Q106" s="414"/>
      <c r="R106" s="414"/>
      <c r="S106" s="414"/>
      <c r="T106" s="4738">
        <f t="shared" si="158"/>
        <v>0</v>
      </c>
      <c r="U106" s="414"/>
      <c r="V106" s="414"/>
      <c r="W106" s="414"/>
      <c r="X106" s="4738">
        <f t="shared" si="159"/>
        <v>0</v>
      </c>
      <c r="Y106" s="4775"/>
      <c r="Z106" s="4794">
        <f t="shared" si="130"/>
        <v>0</v>
      </c>
      <c r="AA106" s="4794">
        <f t="shared" si="144"/>
        <v>0</v>
      </c>
      <c r="AB106" s="4794">
        <f t="shared" si="145"/>
        <v>0</v>
      </c>
      <c r="AC106" s="4794">
        <f t="shared" si="131"/>
        <v>0</v>
      </c>
      <c r="AD106" s="4794">
        <f t="shared" si="132"/>
        <v>723.47801189264919</v>
      </c>
      <c r="AE106" s="4794">
        <f t="shared" si="146"/>
        <v>48.061436832444535</v>
      </c>
      <c r="AF106" s="4794">
        <f t="shared" si="147"/>
        <v>0</v>
      </c>
      <c r="AG106" s="4794">
        <f t="shared" si="133"/>
        <v>771.53944872509373</v>
      </c>
      <c r="AH106" s="4794">
        <f t="shared" si="134"/>
        <v>0</v>
      </c>
      <c r="AI106" s="4794">
        <f t="shared" si="148"/>
        <v>0</v>
      </c>
      <c r="AJ106" s="4794">
        <f t="shared" si="149"/>
        <v>0</v>
      </c>
      <c r="AK106" s="4794">
        <f t="shared" si="135"/>
        <v>0</v>
      </c>
      <c r="AL106" s="4794">
        <f t="shared" si="136"/>
        <v>0</v>
      </c>
      <c r="AM106" s="4794">
        <f t="shared" si="150"/>
        <v>0</v>
      </c>
      <c r="AN106" s="4794">
        <f t="shared" si="151"/>
        <v>0</v>
      </c>
      <c r="AO106" s="4794">
        <f t="shared" si="137"/>
        <v>0</v>
      </c>
      <c r="AP106" s="4794">
        <f t="shared" si="138"/>
        <v>0</v>
      </c>
      <c r="AQ106" s="4794">
        <f t="shared" si="152"/>
        <v>0</v>
      </c>
      <c r="AR106" s="4794">
        <f t="shared" si="153"/>
        <v>0</v>
      </c>
      <c r="AS106" s="4794">
        <f t="shared" si="139"/>
        <v>0</v>
      </c>
    </row>
    <row r="107" spans="1:45" ht="48">
      <c r="A107" s="2741">
        <v>16</v>
      </c>
      <c r="B107" s="2684">
        <v>2040207</v>
      </c>
      <c r="C107" s="2685">
        <v>0.04</v>
      </c>
      <c r="D107" s="2720" t="s">
        <v>422</v>
      </c>
      <c r="E107" s="414">
        <v>1803</v>
      </c>
      <c r="F107" s="414">
        <v>261</v>
      </c>
      <c r="G107" s="414"/>
      <c r="H107" s="4738">
        <f t="shared" si="155"/>
        <v>2064</v>
      </c>
      <c r="I107" s="414"/>
      <c r="J107" s="414"/>
      <c r="K107" s="414"/>
      <c r="L107" s="4738">
        <f t="shared" si="156"/>
        <v>0</v>
      </c>
      <c r="M107" s="414">
        <v>861</v>
      </c>
      <c r="N107" s="414">
        <v>93</v>
      </c>
      <c r="O107" s="414"/>
      <c r="P107" s="4738">
        <f t="shared" si="157"/>
        <v>954</v>
      </c>
      <c r="Q107" s="414"/>
      <c r="R107" s="414"/>
      <c r="S107" s="414"/>
      <c r="T107" s="4738">
        <f t="shared" si="158"/>
        <v>0</v>
      </c>
      <c r="U107" s="414"/>
      <c r="V107" s="414"/>
      <c r="W107" s="414"/>
      <c r="X107" s="4738">
        <f t="shared" si="159"/>
        <v>0</v>
      </c>
      <c r="Y107" s="4775"/>
      <c r="Z107" s="4794">
        <f t="shared" si="130"/>
        <v>921.85926179678199</v>
      </c>
      <c r="AA107" s="4794">
        <f t="shared" si="144"/>
        <v>133.44718099221302</v>
      </c>
      <c r="AB107" s="4794">
        <f t="shared" si="145"/>
        <v>0</v>
      </c>
      <c r="AC107" s="4794">
        <f t="shared" si="131"/>
        <v>1055.3064427889949</v>
      </c>
      <c r="AD107" s="4794">
        <f t="shared" si="132"/>
        <v>0</v>
      </c>
      <c r="AE107" s="4794">
        <f t="shared" si="146"/>
        <v>0</v>
      </c>
      <c r="AF107" s="4794">
        <f t="shared" si="147"/>
        <v>0</v>
      </c>
      <c r="AG107" s="4794">
        <f t="shared" si="133"/>
        <v>0</v>
      </c>
      <c r="AH107" s="4794">
        <f t="shared" si="134"/>
        <v>440.22230970994411</v>
      </c>
      <c r="AI107" s="4794">
        <f t="shared" si="148"/>
        <v>47.550144951248321</v>
      </c>
      <c r="AJ107" s="4794">
        <f t="shared" si="149"/>
        <v>0</v>
      </c>
      <c r="AK107" s="4794">
        <f t="shared" si="135"/>
        <v>487.77245466119246</v>
      </c>
      <c r="AL107" s="4794">
        <f t="shared" si="136"/>
        <v>0</v>
      </c>
      <c r="AM107" s="4794">
        <f t="shared" si="150"/>
        <v>0</v>
      </c>
      <c r="AN107" s="4794">
        <f t="shared" si="151"/>
        <v>0</v>
      </c>
      <c r="AO107" s="4794">
        <f t="shared" si="137"/>
        <v>0</v>
      </c>
      <c r="AP107" s="4794">
        <f t="shared" si="138"/>
        <v>0</v>
      </c>
      <c r="AQ107" s="4794">
        <f t="shared" si="152"/>
        <v>0</v>
      </c>
      <c r="AR107" s="4794">
        <f t="shared" si="153"/>
        <v>0</v>
      </c>
      <c r="AS107" s="4794">
        <f t="shared" si="139"/>
        <v>0</v>
      </c>
    </row>
    <row r="108" spans="1:45">
      <c r="A108" s="2741">
        <v>17</v>
      </c>
      <c r="B108" s="2684">
        <v>2040208</v>
      </c>
      <c r="C108" s="2685">
        <v>0.04</v>
      </c>
      <c r="D108" s="2720" t="s">
        <v>423</v>
      </c>
      <c r="E108" s="414">
        <v>39</v>
      </c>
      <c r="F108" s="414"/>
      <c r="G108" s="414"/>
      <c r="H108" s="4738">
        <f t="shared" si="155"/>
        <v>39</v>
      </c>
      <c r="I108" s="414">
        <v>3</v>
      </c>
      <c r="J108" s="414"/>
      <c r="K108" s="414"/>
      <c r="L108" s="4738">
        <f t="shared" si="156"/>
        <v>3</v>
      </c>
      <c r="M108" s="414"/>
      <c r="N108" s="414"/>
      <c r="O108" s="414"/>
      <c r="P108" s="4738">
        <f t="shared" si="157"/>
        <v>0</v>
      </c>
      <c r="Q108" s="414"/>
      <c r="R108" s="414"/>
      <c r="S108" s="414"/>
      <c r="T108" s="4738">
        <f t="shared" si="158"/>
        <v>0</v>
      </c>
      <c r="U108" s="414"/>
      <c r="V108" s="414"/>
      <c r="W108" s="414"/>
      <c r="X108" s="4738">
        <f t="shared" si="159"/>
        <v>0</v>
      </c>
      <c r="Y108" s="4775"/>
      <c r="Z108" s="4794">
        <f t="shared" si="130"/>
        <v>19.940383366652522</v>
      </c>
      <c r="AA108" s="4794">
        <f t="shared" si="144"/>
        <v>0</v>
      </c>
      <c r="AB108" s="4794">
        <f t="shared" si="145"/>
        <v>0</v>
      </c>
      <c r="AC108" s="4794">
        <f t="shared" si="131"/>
        <v>19.940383366652522</v>
      </c>
      <c r="AD108" s="4794">
        <f t="shared" si="132"/>
        <v>1.5338756435886556</v>
      </c>
      <c r="AE108" s="4794">
        <f t="shared" si="146"/>
        <v>0</v>
      </c>
      <c r="AF108" s="4794">
        <f t="shared" si="147"/>
        <v>0</v>
      </c>
      <c r="AG108" s="4794">
        <f t="shared" si="133"/>
        <v>1.5338756435886556</v>
      </c>
      <c r="AH108" s="4794">
        <f t="shared" si="134"/>
        <v>0</v>
      </c>
      <c r="AI108" s="4794">
        <f t="shared" si="148"/>
        <v>0</v>
      </c>
      <c r="AJ108" s="4794">
        <f t="shared" si="149"/>
        <v>0</v>
      </c>
      <c r="AK108" s="4794">
        <f t="shared" si="135"/>
        <v>0</v>
      </c>
      <c r="AL108" s="4794">
        <f t="shared" si="136"/>
        <v>0</v>
      </c>
      <c r="AM108" s="4794">
        <f t="shared" si="150"/>
        <v>0</v>
      </c>
      <c r="AN108" s="4794">
        <f t="shared" si="151"/>
        <v>0</v>
      </c>
      <c r="AO108" s="4794">
        <f t="shared" si="137"/>
        <v>0</v>
      </c>
      <c r="AP108" s="4794">
        <f t="shared" si="138"/>
        <v>0</v>
      </c>
      <c r="AQ108" s="4794">
        <f t="shared" si="152"/>
        <v>0</v>
      </c>
      <c r="AR108" s="4794">
        <f t="shared" si="153"/>
        <v>0</v>
      </c>
      <c r="AS108" s="4794">
        <f t="shared" si="139"/>
        <v>0</v>
      </c>
    </row>
    <row r="109" spans="1:45">
      <c r="A109" s="2741">
        <v>18</v>
      </c>
      <c r="B109" s="2742" t="s">
        <v>1051</v>
      </c>
      <c r="C109" s="2685">
        <v>0.04</v>
      </c>
      <c r="D109" s="2739" t="s">
        <v>434</v>
      </c>
      <c r="E109" s="414"/>
      <c r="F109" s="414"/>
      <c r="G109" s="414"/>
      <c r="H109" s="4738">
        <f t="shared" si="155"/>
        <v>0</v>
      </c>
      <c r="I109" s="414"/>
      <c r="J109" s="414"/>
      <c r="K109" s="414"/>
      <c r="L109" s="4738">
        <f t="shared" si="156"/>
        <v>0</v>
      </c>
      <c r="M109" s="414"/>
      <c r="N109" s="414"/>
      <c r="O109" s="414"/>
      <c r="P109" s="4738">
        <f t="shared" si="157"/>
        <v>0</v>
      </c>
      <c r="Q109" s="414"/>
      <c r="R109" s="414"/>
      <c r="S109" s="414"/>
      <c r="T109" s="4738">
        <f t="shared" si="158"/>
        <v>0</v>
      </c>
      <c r="U109" s="414"/>
      <c r="V109" s="414"/>
      <c r="W109" s="414"/>
      <c r="X109" s="4738">
        <f t="shared" si="159"/>
        <v>0</v>
      </c>
      <c r="Y109" s="4775"/>
      <c r="Z109" s="4794">
        <f t="shared" si="130"/>
        <v>0</v>
      </c>
      <c r="AA109" s="4794">
        <f t="shared" si="144"/>
        <v>0</v>
      </c>
      <c r="AB109" s="4794">
        <f t="shared" si="145"/>
        <v>0</v>
      </c>
      <c r="AC109" s="4794">
        <f t="shared" si="131"/>
        <v>0</v>
      </c>
      <c r="AD109" s="4794">
        <f t="shared" si="132"/>
        <v>0</v>
      </c>
      <c r="AE109" s="4794">
        <f t="shared" si="146"/>
        <v>0</v>
      </c>
      <c r="AF109" s="4794">
        <f t="shared" si="147"/>
        <v>0</v>
      </c>
      <c r="AG109" s="4794">
        <f t="shared" si="133"/>
        <v>0</v>
      </c>
      <c r="AH109" s="4794">
        <f t="shared" si="134"/>
        <v>0</v>
      </c>
      <c r="AI109" s="4794">
        <f t="shared" si="148"/>
        <v>0</v>
      </c>
      <c r="AJ109" s="4794">
        <f t="shared" si="149"/>
        <v>0</v>
      </c>
      <c r="AK109" s="4794">
        <f t="shared" si="135"/>
        <v>0</v>
      </c>
      <c r="AL109" s="4794">
        <f t="shared" si="136"/>
        <v>0</v>
      </c>
      <c r="AM109" s="4794">
        <f t="shared" si="150"/>
        <v>0</v>
      </c>
      <c r="AN109" s="4794">
        <f t="shared" si="151"/>
        <v>0</v>
      </c>
      <c r="AO109" s="4794">
        <f t="shared" si="137"/>
        <v>0</v>
      </c>
      <c r="AP109" s="4794">
        <f t="shared" si="138"/>
        <v>0</v>
      </c>
      <c r="AQ109" s="4794">
        <f t="shared" si="152"/>
        <v>0</v>
      </c>
      <c r="AR109" s="4794">
        <f t="shared" si="153"/>
        <v>0</v>
      </c>
      <c r="AS109" s="4794">
        <f t="shared" si="139"/>
        <v>0</v>
      </c>
    </row>
    <row r="110" spans="1:45" ht="48.75" thickBot="1">
      <c r="A110" s="2741">
        <v>19</v>
      </c>
      <c r="B110" s="2684">
        <v>215</v>
      </c>
      <c r="C110" s="2690">
        <v>0.2</v>
      </c>
      <c r="D110" s="2720" t="s">
        <v>679</v>
      </c>
      <c r="E110" s="414">
        <v>76</v>
      </c>
      <c r="F110" s="414"/>
      <c r="G110" s="414"/>
      <c r="H110" s="4738">
        <f t="shared" si="155"/>
        <v>76</v>
      </c>
      <c r="I110" s="414"/>
      <c r="J110" s="414"/>
      <c r="K110" s="414"/>
      <c r="L110" s="4738">
        <f t="shared" si="156"/>
        <v>0</v>
      </c>
      <c r="M110" s="414"/>
      <c r="N110" s="414"/>
      <c r="O110" s="414"/>
      <c r="P110" s="4738">
        <f t="shared" si="157"/>
        <v>0</v>
      </c>
      <c r="Q110" s="414"/>
      <c r="R110" s="414"/>
      <c r="S110" s="414"/>
      <c r="T110" s="4738">
        <f t="shared" si="158"/>
        <v>0</v>
      </c>
      <c r="U110" s="414"/>
      <c r="V110" s="414"/>
      <c r="W110" s="414"/>
      <c r="X110" s="4738">
        <f t="shared" si="159"/>
        <v>0</v>
      </c>
      <c r="Y110" s="4775"/>
      <c r="Z110" s="4794">
        <f t="shared" si="130"/>
        <v>38.858182970912608</v>
      </c>
      <c r="AA110" s="4794">
        <f t="shared" si="144"/>
        <v>0</v>
      </c>
      <c r="AB110" s="4794">
        <f t="shared" si="145"/>
        <v>0</v>
      </c>
      <c r="AC110" s="4794">
        <f t="shared" si="131"/>
        <v>38.858182970912608</v>
      </c>
      <c r="AD110" s="4794">
        <f t="shared" si="132"/>
        <v>0</v>
      </c>
      <c r="AE110" s="4794">
        <f t="shared" si="146"/>
        <v>0</v>
      </c>
      <c r="AF110" s="4794">
        <f t="shared" si="147"/>
        <v>0</v>
      </c>
      <c r="AG110" s="4794">
        <f t="shared" si="133"/>
        <v>0</v>
      </c>
      <c r="AH110" s="4794">
        <f t="shared" si="134"/>
        <v>0</v>
      </c>
      <c r="AI110" s="4794">
        <f t="shared" si="148"/>
        <v>0</v>
      </c>
      <c r="AJ110" s="4794">
        <f t="shared" si="149"/>
        <v>0</v>
      </c>
      <c r="AK110" s="4794">
        <f t="shared" si="135"/>
        <v>0</v>
      </c>
      <c r="AL110" s="4794">
        <f t="shared" si="136"/>
        <v>0</v>
      </c>
      <c r="AM110" s="4794">
        <f t="shared" si="150"/>
        <v>0</v>
      </c>
      <c r="AN110" s="4794">
        <f t="shared" si="151"/>
        <v>0</v>
      </c>
      <c r="AO110" s="4794">
        <f t="shared" si="137"/>
        <v>0</v>
      </c>
      <c r="AP110" s="4794">
        <f t="shared" si="138"/>
        <v>0</v>
      </c>
      <c r="AQ110" s="4794">
        <f t="shared" si="152"/>
        <v>0</v>
      </c>
      <c r="AR110" s="4794">
        <f t="shared" si="153"/>
        <v>0</v>
      </c>
      <c r="AS110" s="4794">
        <f t="shared" si="139"/>
        <v>0</v>
      </c>
    </row>
    <row r="111" spans="1:45" ht="13.5" thickBot="1">
      <c r="A111" s="4342" t="s">
        <v>206</v>
      </c>
      <c r="B111" s="5410" t="s">
        <v>220</v>
      </c>
      <c r="C111" s="5411"/>
      <c r="D111" s="5412"/>
      <c r="E111" s="1265">
        <f t="shared" ref="E111:H111" si="160">SUM(E112:E130)</f>
        <v>1519</v>
      </c>
      <c r="F111" s="1265">
        <f t="shared" si="160"/>
        <v>545</v>
      </c>
      <c r="G111" s="1265">
        <f t="shared" si="160"/>
        <v>0</v>
      </c>
      <c r="H111" s="1265">
        <f t="shared" si="160"/>
        <v>2064</v>
      </c>
      <c r="I111" s="1265">
        <f t="shared" ref="I111:X111" si="161">SUM(I112:I130)</f>
        <v>48</v>
      </c>
      <c r="J111" s="1265">
        <f t="shared" si="161"/>
        <v>28</v>
      </c>
      <c r="K111" s="1265">
        <f t="shared" si="161"/>
        <v>0</v>
      </c>
      <c r="L111" s="1265">
        <f t="shared" si="161"/>
        <v>76</v>
      </c>
      <c r="M111" s="1265">
        <f t="shared" si="161"/>
        <v>117</v>
      </c>
      <c r="N111" s="1265">
        <f t="shared" si="161"/>
        <v>35</v>
      </c>
      <c r="O111" s="1265">
        <f t="shared" si="161"/>
        <v>0</v>
      </c>
      <c r="P111" s="1265">
        <f t="shared" si="161"/>
        <v>152</v>
      </c>
      <c r="Q111" s="1265">
        <f t="shared" si="161"/>
        <v>0</v>
      </c>
      <c r="R111" s="1265">
        <f t="shared" si="161"/>
        <v>0</v>
      </c>
      <c r="S111" s="1265">
        <f t="shared" si="161"/>
        <v>0</v>
      </c>
      <c r="T111" s="1265">
        <f t="shared" si="161"/>
        <v>0</v>
      </c>
      <c r="U111" s="1265">
        <f t="shared" si="161"/>
        <v>0</v>
      </c>
      <c r="V111" s="1265">
        <f t="shared" si="161"/>
        <v>0</v>
      </c>
      <c r="W111" s="1265">
        <f t="shared" si="161"/>
        <v>0</v>
      </c>
      <c r="X111" s="1129">
        <f t="shared" si="161"/>
        <v>0</v>
      </c>
      <c r="Y111" s="4775"/>
      <c r="Z111" s="4794">
        <f t="shared" si="130"/>
        <v>776.65236753705585</v>
      </c>
      <c r="AA111" s="4794">
        <f t="shared" si="144"/>
        <v>278.6540752519391</v>
      </c>
      <c r="AB111" s="4794">
        <f t="shared" si="145"/>
        <v>0</v>
      </c>
      <c r="AC111" s="4794">
        <f t="shared" si="131"/>
        <v>1055.3064427889949</v>
      </c>
      <c r="AD111" s="4794">
        <f t="shared" si="132"/>
        <v>24.542010297418489</v>
      </c>
      <c r="AE111" s="4794">
        <f t="shared" si="146"/>
        <v>14.316172673494117</v>
      </c>
      <c r="AF111" s="4794">
        <f t="shared" si="147"/>
        <v>0</v>
      </c>
      <c r="AG111" s="4794">
        <f t="shared" si="133"/>
        <v>38.858182970912608</v>
      </c>
      <c r="AH111" s="4794">
        <f t="shared" si="134"/>
        <v>59.821150099957563</v>
      </c>
      <c r="AI111" s="4794">
        <f t="shared" si="148"/>
        <v>17.895215841867646</v>
      </c>
      <c r="AJ111" s="4794">
        <f t="shared" si="149"/>
        <v>0</v>
      </c>
      <c r="AK111" s="4794">
        <f t="shared" si="135"/>
        <v>77.716365941825217</v>
      </c>
      <c r="AL111" s="4794">
        <f t="shared" si="136"/>
        <v>0</v>
      </c>
      <c r="AM111" s="4794">
        <f t="shared" si="150"/>
        <v>0</v>
      </c>
      <c r="AN111" s="4794">
        <f t="shared" si="151"/>
        <v>0</v>
      </c>
      <c r="AO111" s="4794">
        <f t="shared" si="137"/>
        <v>0</v>
      </c>
      <c r="AP111" s="4794">
        <f t="shared" si="138"/>
        <v>0</v>
      </c>
      <c r="AQ111" s="4794">
        <f t="shared" si="152"/>
        <v>0</v>
      </c>
      <c r="AR111" s="4794">
        <f t="shared" si="153"/>
        <v>0</v>
      </c>
      <c r="AS111" s="4794">
        <f t="shared" si="139"/>
        <v>0</v>
      </c>
    </row>
    <row r="112" spans="1:45">
      <c r="A112" s="2683">
        <v>1</v>
      </c>
      <c r="B112" s="2677">
        <v>20102</v>
      </c>
      <c r="C112" s="2701">
        <v>0</v>
      </c>
      <c r="D112" s="2731" t="s">
        <v>558</v>
      </c>
      <c r="E112" s="414"/>
      <c r="F112" s="414"/>
      <c r="G112" s="414"/>
      <c r="H112" s="4738">
        <f t="shared" ref="H112:H130" si="162">+E112+F112-G112</f>
        <v>0</v>
      </c>
      <c r="I112" s="414"/>
      <c r="J112" s="414"/>
      <c r="K112" s="414"/>
      <c r="L112" s="4738">
        <f t="shared" ref="L112:L130" si="163">+I112+J112-K112</f>
        <v>0</v>
      </c>
      <c r="M112" s="414"/>
      <c r="N112" s="414"/>
      <c r="O112" s="414"/>
      <c r="P112" s="4738">
        <f t="shared" ref="P112:P130" si="164">+M112+N112-O112</f>
        <v>0</v>
      </c>
      <c r="Q112" s="414"/>
      <c r="R112" s="414"/>
      <c r="S112" s="414"/>
      <c r="T112" s="4738">
        <f t="shared" ref="T112:T130" si="165">+Q112+R112-S112</f>
        <v>0</v>
      </c>
      <c r="U112" s="414"/>
      <c r="V112" s="414"/>
      <c r="W112" s="414"/>
      <c r="X112" s="4738">
        <f t="shared" ref="X112:X130" si="166">+U112+V112-W112</f>
        <v>0</v>
      </c>
      <c r="Y112" s="4775"/>
      <c r="Z112" s="4794">
        <f t="shared" si="130"/>
        <v>0</v>
      </c>
      <c r="AA112" s="4794">
        <f t="shared" si="144"/>
        <v>0</v>
      </c>
      <c r="AB112" s="4794">
        <f t="shared" si="145"/>
        <v>0</v>
      </c>
      <c r="AC112" s="4794">
        <f t="shared" si="131"/>
        <v>0</v>
      </c>
      <c r="AD112" s="4794">
        <f t="shared" si="132"/>
        <v>0</v>
      </c>
      <c r="AE112" s="4794">
        <f t="shared" si="146"/>
        <v>0</v>
      </c>
      <c r="AF112" s="4794">
        <f t="shared" si="147"/>
        <v>0</v>
      </c>
      <c r="AG112" s="4794">
        <f t="shared" si="133"/>
        <v>0</v>
      </c>
      <c r="AH112" s="4794">
        <f t="shared" si="134"/>
        <v>0</v>
      </c>
      <c r="AI112" s="4794">
        <f t="shared" si="148"/>
        <v>0</v>
      </c>
      <c r="AJ112" s="4794">
        <f t="shared" si="149"/>
        <v>0</v>
      </c>
      <c r="AK112" s="4794">
        <f t="shared" si="135"/>
        <v>0</v>
      </c>
      <c r="AL112" s="4794">
        <f t="shared" si="136"/>
        <v>0</v>
      </c>
      <c r="AM112" s="4794">
        <f t="shared" si="150"/>
        <v>0</v>
      </c>
      <c r="AN112" s="4794">
        <f t="shared" si="151"/>
        <v>0</v>
      </c>
      <c r="AO112" s="4794">
        <f t="shared" si="137"/>
        <v>0</v>
      </c>
      <c r="AP112" s="4794">
        <f t="shared" si="138"/>
        <v>0</v>
      </c>
      <c r="AQ112" s="4794">
        <f t="shared" si="152"/>
        <v>0</v>
      </c>
      <c r="AR112" s="4794">
        <f t="shared" si="153"/>
        <v>0</v>
      </c>
      <c r="AS112" s="4794">
        <f t="shared" si="139"/>
        <v>0</v>
      </c>
    </row>
    <row r="113" spans="1:45">
      <c r="A113" s="2683">
        <v>2</v>
      </c>
      <c r="B113" s="2684">
        <v>20202</v>
      </c>
      <c r="C113" s="2685">
        <v>0.03</v>
      </c>
      <c r="D113" s="2739" t="s">
        <v>426</v>
      </c>
      <c r="E113" s="414">
        <v>25</v>
      </c>
      <c r="F113" s="414">
        <v>4</v>
      </c>
      <c r="G113" s="414"/>
      <c r="H113" s="4738">
        <f t="shared" si="162"/>
        <v>29</v>
      </c>
      <c r="I113" s="414"/>
      <c r="J113" s="414"/>
      <c r="K113" s="414"/>
      <c r="L113" s="4738">
        <f t="shared" si="163"/>
        <v>0</v>
      </c>
      <c r="M113" s="414"/>
      <c r="N113" s="414"/>
      <c r="O113" s="414"/>
      <c r="P113" s="4738">
        <f t="shared" si="164"/>
        <v>0</v>
      </c>
      <c r="Q113" s="414"/>
      <c r="R113" s="414"/>
      <c r="S113" s="414"/>
      <c r="T113" s="4738">
        <f t="shared" si="165"/>
        <v>0</v>
      </c>
      <c r="U113" s="414"/>
      <c r="V113" s="414"/>
      <c r="W113" s="414"/>
      <c r="X113" s="4738">
        <f t="shared" si="166"/>
        <v>0</v>
      </c>
      <c r="Y113" s="4775"/>
      <c r="Z113" s="4794">
        <f t="shared" si="130"/>
        <v>12.782297029905463</v>
      </c>
      <c r="AA113" s="4794">
        <f t="shared" si="144"/>
        <v>2.045167524784874</v>
      </c>
      <c r="AB113" s="4794">
        <f t="shared" si="145"/>
        <v>0</v>
      </c>
      <c r="AC113" s="4794">
        <f t="shared" si="131"/>
        <v>14.827464554690337</v>
      </c>
      <c r="AD113" s="4794">
        <f t="shared" si="132"/>
        <v>0</v>
      </c>
      <c r="AE113" s="4794">
        <f t="shared" si="146"/>
        <v>0</v>
      </c>
      <c r="AF113" s="4794">
        <f t="shared" si="147"/>
        <v>0</v>
      </c>
      <c r="AG113" s="4794">
        <f t="shared" si="133"/>
        <v>0</v>
      </c>
      <c r="AH113" s="4794">
        <f t="shared" si="134"/>
        <v>0</v>
      </c>
      <c r="AI113" s="4794">
        <f t="shared" si="148"/>
        <v>0</v>
      </c>
      <c r="AJ113" s="4794">
        <f t="shared" si="149"/>
        <v>0</v>
      </c>
      <c r="AK113" s="4794">
        <f t="shared" si="135"/>
        <v>0</v>
      </c>
      <c r="AL113" s="4794">
        <f t="shared" si="136"/>
        <v>0</v>
      </c>
      <c r="AM113" s="4794">
        <f t="shared" si="150"/>
        <v>0</v>
      </c>
      <c r="AN113" s="4794">
        <f t="shared" si="151"/>
        <v>0</v>
      </c>
      <c r="AO113" s="4794">
        <f t="shared" si="137"/>
        <v>0</v>
      </c>
      <c r="AP113" s="4794">
        <f t="shared" si="138"/>
        <v>0</v>
      </c>
      <c r="AQ113" s="4794">
        <f t="shared" si="152"/>
        <v>0</v>
      </c>
      <c r="AR113" s="4794">
        <f t="shared" si="153"/>
        <v>0</v>
      </c>
      <c r="AS113" s="4794">
        <f t="shared" si="139"/>
        <v>0</v>
      </c>
    </row>
    <row r="114" spans="1:45" ht="24">
      <c r="A114" s="2683">
        <v>3</v>
      </c>
      <c r="B114" s="2684">
        <v>2030401</v>
      </c>
      <c r="C114" s="2690">
        <v>0.1</v>
      </c>
      <c r="D114" s="2720" t="s">
        <v>1031</v>
      </c>
      <c r="E114" s="414">
        <v>89</v>
      </c>
      <c r="F114" s="414">
        <v>3</v>
      </c>
      <c r="G114" s="414"/>
      <c r="H114" s="4738">
        <f t="shared" si="162"/>
        <v>92</v>
      </c>
      <c r="I114" s="414"/>
      <c r="J114" s="414"/>
      <c r="K114" s="414"/>
      <c r="L114" s="4738">
        <f t="shared" si="163"/>
        <v>0</v>
      </c>
      <c r="M114" s="414"/>
      <c r="N114" s="414"/>
      <c r="O114" s="414"/>
      <c r="P114" s="4738">
        <f t="shared" si="164"/>
        <v>0</v>
      </c>
      <c r="Q114" s="414"/>
      <c r="R114" s="414"/>
      <c r="S114" s="414"/>
      <c r="T114" s="4738">
        <f t="shared" si="165"/>
        <v>0</v>
      </c>
      <c r="U114" s="414"/>
      <c r="V114" s="414"/>
      <c r="W114" s="414"/>
      <c r="X114" s="4738">
        <f t="shared" si="166"/>
        <v>0</v>
      </c>
      <c r="Y114" s="4775"/>
      <c r="Z114" s="4794">
        <f t="shared" si="130"/>
        <v>45.504977426463448</v>
      </c>
      <c r="AA114" s="4794">
        <f t="shared" si="144"/>
        <v>1.5338756435886556</v>
      </c>
      <c r="AB114" s="4794">
        <f t="shared" si="145"/>
        <v>0</v>
      </c>
      <c r="AC114" s="4794">
        <f t="shared" si="131"/>
        <v>47.038853070052099</v>
      </c>
      <c r="AD114" s="4794">
        <f t="shared" si="132"/>
        <v>0</v>
      </c>
      <c r="AE114" s="4794">
        <f t="shared" si="146"/>
        <v>0</v>
      </c>
      <c r="AF114" s="4794">
        <f t="shared" si="147"/>
        <v>0</v>
      </c>
      <c r="AG114" s="4794">
        <f t="shared" si="133"/>
        <v>0</v>
      </c>
      <c r="AH114" s="4794">
        <f t="shared" si="134"/>
        <v>0</v>
      </c>
      <c r="AI114" s="4794">
        <f t="shared" si="148"/>
        <v>0</v>
      </c>
      <c r="AJ114" s="4794">
        <f t="shared" si="149"/>
        <v>0</v>
      </c>
      <c r="AK114" s="4794">
        <f t="shared" si="135"/>
        <v>0</v>
      </c>
      <c r="AL114" s="4794">
        <f t="shared" si="136"/>
        <v>0</v>
      </c>
      <c r="AM114" s="4794">
        <f t="shared" si="150"/>
        <v>0</v>
      </c>
      <c r="AN114" s="4794">
        <f t="shared" si="151"/>
        <v>0</v>
      </c>
      <c r="AO114" s="4794">
        <f t="shared" si="137"/>
        <v>0</v>
      </c>
      <c r="AP114" s="4794">
        <f t="shared" si="138"/>
        <v>0</v>
      </c>
      <c r="AQ114" s="4794">
        <f t="shared" si="152"/>
        <v>0</v>
      </c>
      <c r="AR114" s="4794">
        <f t="shared" si="153"/>
        <v>0</v>
      </c>
      <c r="AS114" s="4794">
        <f t="shared" si="139"/>
        <v>0</v>
      </c>
    </row>
    <row r="115" spans="1:45">
      <c r="A115" s="2683">
        <v>4</v>
      </c>
      <c r="B115" s="2684">
        <v>2030402</v>
      </c>
      <c r="C115" s="2690">
        <v>0.1</v>
      </c>
      <c r="D115" s="2720" t="s">
        <v>429</v>
      </c>
      <c r="E115" s="414"/>
      <c r="F115" s="414"/>
      <c r="G115" s="414"/>
      <c r="H115" s="4738">
        <f t="shared" si="162"/>
        <v>0</v>
      </c>
      <c r="I115" s="414"/>
      <c r="J115" s="414"/>
      <c r="K115" s="414"/>
      <c r="L115" s="4738">
        <f t="shared" si="163"/>
        <v>0</v>
      </c>
      <c r="M115" s="414"/>
      <c r="N115" s="414"/>
      <c r="O115" s="414"/>
      <c r="P115" s="4738">
        <f t="shared" si="164"/>
        <v>0</v>
      </c>
      <c r="Q115" s="414"/>
      <c r="R115" s="414"/>
      <c r="S115" s="414"/>
      <c r="T115" s="4738">
        <f t="shared" si="165"/>
        <v>0</v>
      </c>
      <c r="U115" s="414"/>
      <c r="V115" s="414"/>
      <c r="W115" s="414"/>
      <c r="X115" s="4738">
        <f t="shared" si="166"/>
        <v>0</v>
      </c>
      <c r="Y115" s="4775"/>
      <c r="Z115" s="4794">
        <f t="shared" si="130"/>
        <v>0</v>
      </c>
      <c r="AA115" s="4794">
        <f t="shared" si="144"/>
        <v>0</v>
      </c>
      <c r="AB115" s="4794">
        <f t="shared" si="145"/>
        <v>0</v>
      </c>
      <c r="AC115" s="4794">
        <f t="shared" si="131"/>
        <v>0</v>
      </c>
      <c r="AD115" s="4794">
        <f t="shared" si="132"/>
        <v>0</v>
      </c>
      <c r="AE115" s="4794">
        <f t="shared" si="146"/>
        <v>0</v>
      </c>
      <c r="AF115" s="4794">
        <f t="shared" si="147"/>
        <v>0</v>
      </c>
      <c r="AG115" s="4794">
        <f t="shared" si="133"/>
        <v>0</v>
      </c>
      <c r="AH115" s="4794">
        <f t="shared" si="134"/>
        <v>0</v>
      </c>
      <c r="AI115" s="4794">
        <f t="shared" si="148"/>
        <v>0</v>
      </c>
      <c r="AJ115" s="4794">
        <f t="shared" si="149"/>
        <v>0</v>
      </c>
      <c r="AK115" s="4794">
        <f t="shared" si="135"/>
        <v>0</v>
      </c>
      <c r="AL115" s="4794">
        <f t="shared" si="136"/>
        <v>0</v>
      </c>
      <c r="AM115" s="4794">
        <f t="shared" si="150"/>
        <v>0</v>
      </c>
      <c r="AN115" s="4794">
        <f t="shared" si="151"/>
        <v>0</v>
      </c>
      <c r="AO115" s="4794">
        <f t="shared" si="137"/>
        <v>0</v>
      </c>
      <c r="AP115" s="4794">
        <f t="shared" si="138"/>
        <v>0</v>
      </c>
      <c r="AQ115" s="4794">
        <f t="shared" si="152"/>
        <v>0</v>
      </c>
      <c r="AR115" s="4794">
        <f t="shared" si="153"/>
        <v>0</v>
      </c>
      <c r="AS115" s="4794">
        <f t="shared" si="139"/>
        <v>0</v>
      </c>
    </row>
    <row r="116" spans="1:45">
      <c r="A116" s="2683">
        <v>5</v>
      </c>
      <c r="B116" s="2684">
        <v>2030501</v>
      </c>
      <c r="C116" s="2690">
        <v>0.1</v>
      </c>
      <c r="D116" s="2720" t="s">
        <v>408</v>
      </c>
      <c r="E116" s="414">
        <v>198</v>
      </c>
      <c r="F116" s="414">
        <v>58</v>
      </c>
      <c r="G116" s="414"/>
      <c r="H116" s="4738">
        <f t="shared" si="162"/>
        <v>256</v>
      </c>
      <c r="I116" s="414"/>
      <c r="J116" s="414"/>
      <c r="K116" s="414"/>
      <c r="L116" s="4738">
        <f t="shared" si="163"/>
        <v>0</v>
      </c>
      <c r="M116" s="414">
        <v>26</v>
      </c>
      <c r="N116" s="414"/>
      <c r="O116" s="414"/>
      <c r="P116" s="4738">
        <f t="shared" si="164"/>
        <v>26</v>
      </c>
      <c r="Q116" s="414"/>
      <c r="R116" s="414"/>
      <c r="S116" s="414"/>
      <c r="T116" s="4738">
        <f t="shared" si="165"/>
        <v>0</v>
      </c>
      <c r="U116" s="414"/>
      <c r="V116" s="414"/>
      <c r="W116" s="414"/>
      <c r="X116" s="4738">
        <f t="shared" si="166"/>
        <v>0</v>
      </c>
      <c r="Y116" s="4775"/>
      <c r="Z116" s="4794">
        <f t="shared" si="130"/>
        <v>101.23579247685126</v>
      </c>
      <c r="AA116" s="4794">
        <f t="shared" si="144"/>
        <v>29.654929109380674</v>
      </c>
      <c r="AB116" s="4794">
        <f t="shared" si="145"/>
        <v>0</v>
      </c>
      <c r="AC116" s="4794">
        <f t="shared" si="131"/>
        <v>130.89072158623193</v>
      </c>
      <c r="AD116" s="4794">
        <f t="shared" si="132"/>
        <v>0</v>
      </c>
      <c r="AE116" s="4794">
        <f t="shared" si="146"/>
        <v>0</v>
      </c>
      <c r="AF116" s="4794">
        <f t="shared" si="147"/>
        <v>0</v>
      </c>
      <c r="AG116" s="4794">
        <f t="shared" si="133"/>
        <v>0</v>
      </c>
      <c r="AH116" s="4794">
        <f t="shared" si="134"/>
        <v>13.293588911101681</v>
      </c>
      <c r="AI116" s="4794">
        <f t="shared" si="148"/>
        <v>0</v>
      </c>
      <c r="AJ116" s="4794">
        <f t="shared" si="149"/>
        <v>0</v>
      </c>
      <c r="AK116" s="4794">
        <f t="shared" si="135"/>
        <v>13.293588911101681</v>
      </c>
      <c r="AL116" s="4794">
        <f t="shared" si="136"/>
        <v>0</v>
      </c>
      <c r="AM116" s="4794">
        <f t="shared" si="150"/>
        <v>0</v>
      </c>
      <c r="AN116" s="4794">
        <f t="shared" si="151"/>
        <v>0</v>
      </c>
      <c r="AO116" s="4794">
        <f t="shared" si="137"/>
        <v>0</v>
      </c>
      <c r="AP116" s="4794">
        <f t="shared" si="138"/>
        <v>0</v>
      </c>
      <c r="AQ116" s="4794">
        <f t="shared" si="152"/>
        <v>0</v>
      </c>
      <c r="AR116" s="4794">
        <f t="shared" si="153"/>
        <v>0</v>
      </c>
      <c r="AS116" s="4794">
        <f t="shared" si="139"/>
        <v>0</v>
      </c>
    </row>
    <row r="117" spans="1:45" ht="36">
      <c r="A117" s="2683">
        <v>6</v>
      </c>
      <c r="B117" s="2684">
        <v>2030502</v>
      </c>
      <c r="C117" s="2690">
        <v>0.1</v>
      </c>
      <c r="D117" s="2720" t="s">
        <v>695</v>
      </c>
      <c r="E117" s="414">
        <v>100</v>
      </c>
      <c r="F117" s="414">
        <v>35</v>
      </c>
      <c r="G117" s="414"/>
      <c r="H117" s="4738">
        <f t="shared" si="162"/>
        <v>135</v>
      </c>
      <c r="I117" s="414"/>
      <c r="J117" s="414"/>
      <c r="K117" s="414"/>
      <c r="L117" s="4738">
        <f t="shared" si="163"/>
        <v>0</v>
      </c>
      <c r="M117" s="414"/>
      <c r="N117" s="414"/>
      <c r="O117" s="414"/>
      <c r="P117" s="4738">
        <f t="shared" si="164"/>
        <v>0</v>
      </c>
      <c r="Q117" s="414"/>
      <c r="R117" s="414"/>
      <c r="S117" s="414"/>
      <c r="T117" s="4738">
        <f t="shared" si="165"/>
        <v>0</v>
      </c>
      <c r="U117" s="414"/>
      <c r="V117" s="414"/>
      <c r="W117" s="414"/>
      <c r="X117" s="4738">
        <f t="shared" si="166"/>
        <v>0</v>
      </c>
      <c r="Y117" s="4775"/>
      <c r="Z117" s="4794">
        <f t="shared" si="130"/>
        <v>51.129188119621851</v>
      </c>
      <c r="AA117" s="4794">
        <f t="shared" si="144"/>
        <v>17.895215841867646</v>
      </c>
      <c r="AB117" s="4794">
        <f t="shared" si="145"/>
        <v>0</v>
      </c>
      <c r="AC117" s="4794">
        <f t="shared" si="131"/>
        <v>69.024403961489497</v>
      </c>
      <c r="AD117" s="4794">
        <f t="shared" si="132"/>
        <v>0</v>
      </c>
      <c r="AE117" s="4794">
        <f t="shared" si="146"/>
        <v>0</v>
      </c>
      <c r="AF117" s="4794">
        <f t="shared" si="147"/>
        <v>0</v>
      </c>
      <c r="AG117" s="4794">
        <f t="shared" si="133"/>
        <v>0</v>
      </c>
      <c r="AH117" s="4794">
        <f t="shared" si="134"/>
        <v>0</v>
      </c>
      <c r="AI117" s="4794">
        <f t="shared" si="148"/>
        <v>0</v>
      </c>
      <c r="AJ117" s="4794">
        <f t="shared" si="149"/>
        <v>0</v>
      </c>
      <c r="AK117" s="4794">
        <f t="shared" si="135"/>
        <v>0</v>
      </c>
      <c r="AL117" s="4794">
        <f t="shared" si="136"/>
        <v>0</v>
      </c>
      <c r="AM117" s="4794">
        <f t="shared" si="150"/>
        <v>0</v>
      </c>
      <c r="AN117" s="4794">
        <f t="shared" si="151"/>
        <v>0</v>
      </c>
      <c r="AO117" s="4794">
        <f t="shared" si="137"/>
        <v>0</v>
      </c>
      <c r="AP117" s="4794">
        <f t="shared" si="138"/>
        <v>0</v>
      </c>
      <c r="AQ117" s="4794">
        <f t="shared" si="152"/>
        <v>0</v>
      </c>
      <c r="AR117" s="4794">
        <f t="shared" si="153"/>
        <v>0</v>
      </c>
      <c r="AS117" s="4794">
        <f t="shared" si="139"/>
        <v>0</v>
      </c>
    </row>
    <row r="118" spans="1:45">
      <c r="A118" s="2683">
        <v>7</v>
      </c>
      <c r="B118" s="2684">
        <v>2030503</v>
      </c>
      <c r="C118" s="2690">
        <v>0.1</v>
      </c>
      <c r="D118" s="2720" t="s">
        <v>713</v>
      </c>
      <c r="E118" s="414">
        <v>24</v>
      </c>
      <c r="F118" s="414">
        <v>11</v>
      </c>
      <c r="G118" s="414"/>
      <c r="H118" s="4738">
        <f t="shared" si="162"/>
        <v>35</v>
      </c>
      <c r="I118" s="414"/>
      <c r="J118" s="414"/>
      <c r="K118" s="414"/>
      <c r="L118" s="4738">
        <f t="shared" si="163"/>
        <v>0</v>
      </c>
      <c r="M118" s="414"/>
      <c r="N118" s="414"/>
      <c r="O118" s="414"/>
      <c r="P118" s="4738">
        <f t="shared" si="164"/>
        <v>0</v>
      </c>
      <c r="Q118" s="414"/>
      <c r="R118" s="414"/>
      <c r="S118" s="414"/>
      <c r="T118" s="4738">
        <f t="shared" si="165"/>
        <v>0</v>
      </c>
      <c r="U118" s="414"/>
      <c r="V118" s="414"/>
      <c r="W118" s="414"/>
      <c r="X118" s="4738">
        <f t="shared" si="166"/>
        <v>0</v>
      </c>
      <c r="Y118" s="4775"/>
      <c r="Z118" s="4794">
        <f t="shared" si="130"/>
        <v>12.271005148709245</v>
      </c>
      <c r="AA118" s="4794">
        <f t="shared" si="144"/>
        <v>5.6242106931584033</v>
      </c>
      <c r="AB118" s="4794">
        <f t="shared" si="145"/>
        <v>0</v>
      </c>
      <c r="AC118" s="4794">
        <f t="shared" si="131"/>
        <v>17.895215841867646</v>
      </c>
      <c r="AD118" s="4794">
        <f t="shared" si="132"/>
        <v>0</v>
      </c>
      <c r="AE118" s="4794">
        <f t="shared" si="146"/>
        <v>0</v>
      </c>
      <c r="AF118" s="4794">
        <f t="shared" si="147"/>
        <v>0</v>
      </c>
      <c r="AG118" s="4794">
        <f t="shared" si="133"/>
        <v>0</v>
      </c>
      <c r="AH118" s="4794">
        <f t="shared" si="134"/>
        <v>0</v>
      </c>
      <c r="AI118" s="4794">
        <f t="shared" si="148"/>
        <v>0</v>
      </c>
      <c r="AJ118" s="4794">
        <f t="shared" si="149"/>
        <v>0</v>
      </c>
      <c r="AK118" s="4794">
        <f t="shared" si="135"/>
        <v>0</v>
      </c>
      <c r="AL118" s="4794">
        <f t="shared" si="136"/>
        <v>0</v>
      </c>
      <c r="AM118" s="4794">
        <f t="shared" si="150"/>
        <v>0</v>
      </c>
      <c r="AN118" s="4794">
        <f t="shared" si="151"/>
        <v>0</v>
      </c>
      <c r="AO118" s="4794">
        <f t="shared" si="137"/>
        <v>0</v>
      </c>
      <c r="AP118" s="4794">
        <f t="shared" si="138"/>
        <v>0</v>
      </c>
      <c r="AQ118" s="4794">
        <f t="shared" si="152"/>
        <v>0</v>
      </c>
      <c r="AR118" s="4794">
        <f t="shared" si="153"/>
        <v>0</v>
      </c>
      <c r="AS118" s="4794">
        <f t="shared" si="139"/>
        <v>0</v>
      </c>
    </row>
    <row r="119" spans="1:45">
      <c r="A119" s="2683">
        <v>8</v>
      </c>
      <c r="B119" s="2684">
        <v>2040101</v>
      </c>
      <c r="C119" s="2740">
        <v>0.1</v>
      </c>
      <c r="D119" s="2714" t="s">
        <v>1016</v>
      </c>
      <c r="E119" s="414"/>
      <c r="F119" s="414"/>
      <c r="G119" s="414"/>
      <c r="H119" s="4738">
        <f t="shared" si="162"/>
        <v>0</v>
      </c>
      <c r="I119" s="414"/>
      <c r="J119" s="414"/>
      <c r="K119" s="414"/>
      <c r="L119" s="4738">
        <f t="shared" si="163"/>
        <v>0</v>
      </c>
      <c r="M119" s="414"/>
      <c r="N119" s="414"/>
      <c r="O119" s="414"/>
      <c r="P119" s="4738">
        <f t="shared" si="164"/>
        <v>0</v>
      </c>
      <c r="Q119" s="414"/>
      <c r="R119" s="414"/>
      <c r="S119" s="414"/>
      <c r="T119" s="4738">
        <f t="shared" si="165"/>
        <v>0</v>
      </c>
      <c r="U119" s="414"/>
      <c r="V119" s="414"/>
      <c r="W119" s="414"/>
      <c r="X119" s="4738">
        <f t="shared" si="166"/>
        <v>0</v>
      </c>
      <c r="Y119" s="4775"/>
      <c r="Z119" s="4794">
        <f t="shared" si="130"/>
        <v>0</v>
      </c>
      <c r="AA119" s="4794">
        <f t="shared" si="144"/>
        <v>0</v>
      </c>
      <c r="AB119" s="4794">
        <f t="shared" si="145"/>
        <v>0</v>
      </c>
      <c r="AC119" s="4794">
        <f t="shared" si="131"/>
        <v>0</v>
      </c>
      <c r="AD119" s="4794">
        <f t="shared" si="132"/>
        <v>0</v>
      </c>
      <c r="AE119" s="4794">
        <f t="shared" si="146"/>
        <v>0</v>
      </c>
      <c r="AF119" s="4794">
        <f t="shared" si="147"/>
        <v>0</v>
      </c>
      <c r="AG119" s="4794">
        <f t="shared" si="133"/>
        <v>0</v>
      </c>
      <c r="AH119" s="4794">
        <f t="shared" si="134"/>
        <v>0</v>
      </c>
      <c r="AI119" s="4794">
        <f t="shared" si="148"/>
        <v>0</v>
      </c>
      <c r="AJ119" s="4794">
        <f t="shared" si="149"/>
        <v>0</v>
      </c>
      <c r="AK119" s="4794">
        <f t="shared" si="135"/>
        <v>0</v>
      </c>
      <c r="AL119" s="4794">
        <f t="shared" si="136"/>
        <v>0</v>
      </c>
      <c r="AM119" s="4794">
        <f t="shared" si="150"/>
        <v>0</v>
      </c>
      <c r="AN119" s="4794">
        <f t="shared" si="151"/>
        <v>0</v>
      </c>
      <c r="AO119" s="4794">
        <f t="shared" si="137"/>
        <v>0</v>
      </c>
      <c r="AP119" s="4794">
        <f t="shared" si="138"/>
        <v>0</v>
      </c>
      <c r="AQ119" s="4794">
        <f t="shared" si="152"/>
        <v>0</v>
      </c>
      <c r="AR119" s="4794">
        <f t="shared" si="153"/>
        <v>0</v>
      </c>
      <c r="AS119" s="4794">
        <f t="shared" si="139"/>
        <v>0</v>
      </c>
    </row>
    <row r="120" spans="1:45">
      <c r="A120" s="2741">
        <v>9</v>
      </c>
      <c r="B120" s="2684">
        <v>2040102</v>
      </c>
      <c r="C120" s="2740">
        <v>0.04</v>
      </c>
      <c r="D120" s="2714" t="s">
        <v>432</v>
      </c>
      <c r="E120" s="414"/>
      <c r="F120" s="414"/>
      <c r="G120" s="414"/>
      <c r="H120" s="4738">
        <f t="shared" si="162"/>
        <v>0</v>
      </c>
      <c r="I120" s="414"/>
      <c r="J120" s="414"/>
      <c r="K120" s="414"/>
      <c r="L120" s="4738">
        <f t="shared" si="163"/>
        <v>0</v>
      </c>
      <c r="M120" s="414"/>
      <c r="N120" s="414"/>
      <c r="O120" s="414"/>
      <c r="P120" s="4738">
        <f t="shared" si="164"/>
        <v>0</v>
      </c>
      <c r="Q120" s="414"/>
      <c r="R120" s="414"/>
      <c r="S120" s="414"/>
      <c r="T120" s="4738">
        <f t="shared" si="165"/>
        <v>0</v>
      </c>
      <c r="U120" s="414"/>
      <c r="V120" s="414"/>
      <c r="W120" s="414"/>
      <c r="X120" s="4738">
        <f t="shared" si="166"/>
        <v>0</v>
      </c>
      <c r="Y120" s="4775"/>
      <c r="Z120" s="4794">
        <f t="shared" si="130"/>
        <v>0</v>
      </c>
      <c r="AA120" s="4794">
        <f t="shared" si="144"/>
        <v>0</v>
      </c>
      <c r="AB120" s="4794">
        <f t="shared" si="145"/>
        <v>0</v>
      </c>
      <c r="AC120" s="4794">
        <f t="shared" si="131"/>
        <v>0</v>
      </c>
      <c r="AD120" s="4794">
        <f t="shared" si="132"/>
        <v>0</v>
      </c>
      <c r="AE120" s="4794">
        <f t="shared" si="146"/>
        <v>0</v>
      </c>
      <c r="AF120" s="4794">
        <f t="shared" si="147"/>
        <v>0</v>
      </c>
      <c r="AG120" s="4794">
        <f t="shared" si="133"/>
        <v>0</v>
      </c>
      <c r="AH120" s="4794">
        <f t="shared" si="134"/>
        <v>0</v>
      </c>
      <c r="AI120" s="4794">
        <f t="shared" si="148"/>
        <v>0</v>
      </c>
      <c r="AJ120" s="4794">
        <f t="shared" si="149"/>
        <v>0</v>
      </c>
      <c r="AK120" s="4794">
        <f t="shared" si="135"/>
        <v>0</v>
      </c>
      <c r="AL120" s="4794">
        <f t="shared" si="136"/>
        <v>0</v>
      </c>
      <c r="AM120" s="4794">
        <f t="shared" si="150"/>
        <v>0</v>
      </c>
      <c r="AN120" s="4794">
        <f t="shared" si="151"/>
        <v>0</v>
      </c>
      <c r="AO120" s="4794">
        <f t="shared" si="137"/>
        <v>0</v>
      </c>
      <c r="AP120" s="4794">
        <f t="shared" si="138"/>
        <v>0</v>
      </c>
      <c r="AQ120" s="4794">
        <f t="shared" si="152"/>
        <v>0</v>
      </c>
      <c r="AR120" s="4794">
        <f t="shared" si="153"/>
        <v>0</v>
      </c>
      <c r="AS120" s="4794">
        <f t="shared" si="139"/>
        <v>0</v>
      </c>
    </row>
    <row r="121" spans="1:45">
      <c r="A121" s="2741">
        <v>10</v>
      </c>
      <c r="B121" s="2684">
        <v>2040201</v>
      </c>
      <c r="C121" s="2685">
        <v>0.02</v>
      </c>
      <c r="D121" s="2715" t="s">
        <v>738</v>
      </c>
      <c r="E121" s="414"/>
      <c r="F121" s="414"/>
      <c r="G121" s="414"/>
      <c r="H121" s="4738">
        <f t="shared" si="162"/>
        <v>0</v>
      </c>
      <c r="I121" s="414"/>
      <c r="J121" s="414"/>
      <c r="K121" s="414"/>
      <c r="L121" s="4738">
        <f t="shared" si="163"/>
        <v>0</v>
      </c>
      <c r="M121" s="414"/>
      <c r="N121" s="414"/>
      <c r="O121" s="414"/>
      <c r="P121" s="4738">
        <f t="shared" si="164"/>
        <v>0</v>
      </c>
      <c r="Q121" s="414"/>
      <c r="R121" s="414"/>
      <c r="S121" s="414"/>
      <c r="T121" s="4738">
        <f t="shared" si="165"/>
        <v>0</v>
      </c>
      <c r="U121" s="414"/>
      <c r="V121" s="414"/>
      <c r="W121" s="414"/>
      <c r="X121" s="4738">
        <f t="shared" si="166"/>
        <v>0</v>
      </c>
      <c r="Y121" s="4775"/>
      <c r="Z121" s="4794">
        <f t="shared" si="130"/>
        <v>0</v>
      </c>
      <c r="AA121" s="4794">
        <f t="shared" si="144"/>
        <v>0</v>
      </c>
      <c r="AB121" s="4794">
        <f t="shared" si="145"/>
        <v>0</v>
      </c>
      <c r="AC121" s="4794">
        <f t="shared" si="131"/>
        <v>0</v>
      </c>
      <c r="AD121" s="4794">
        <f t="shared" si="132"/>
        <v>0</v>
      </c>
      <c r="AE121" s="4794">
        <f t="shared" si="146"/>
        <v>0</v>
      </c>
      <c r="AF121" s="4794">
        <f t="shared" si="147"/>
        <v>0</v>
      </c>
      <c r="AG121" s="4794">
        <f t="shared" si="133"/>
        <v>0</v>
      </c>
      <c r="AH121" s="4794">
        <f t="shared" si="134"/>
        <v>0</v>
      </c>
      <c r="AI121" s="4794">
        <f t="shared" si="148"/>
        <v>0</v>
      </c>
      <c r="AJ121" s="4794">
        <f t="shared" si="149"/>
        <v>0</v>
      </c>
      <c r="AK121" s="4794">
        <f t="shared" si="135"/>
        <v>0</v>
      </c>
      <c r="AL121" s="4794">
        <f t="shared" si="136"/>
        <v>0</v>
      </c>
      <c r="AM121" s="4794">
        <f t="shared" si="150"/>
        <v>0</v>
      </c>
      <c r="AN121" s="4794">
        <f t="shared" si="151"/>
        <v>0</v>
      </c>
      <c r="AO121" s="4794">
        <f t="shared" si="137"/>
        <v>0</v>
      </c>
      <c r="AP121" s="4794">
        <f t="shared" si="138"/>
        <v>0</v>
      </c>
      <c r="AQ121" s="4794">
        <f t="shared" si="152"/>
        <v>0</v>
      </c>
      <c r="AR121" s="4794">
        <f t="shared" si="153"/>
        <v>0</v>
      </c>
      <c r="AS121" s="4794">
        <f t="shared" si="139"/>
        <v>0</v>
      </c>
    </row>
    <row r="122" spans="1:45">
      <c r="A122" s="2741">
        <v>11</v>
      </c>
      <c r="B122" s="2684">
        <v>2040202</v>
      </c>
      <c r="C122" s="2685">
        <v>0.02</v>
      </c>
      <c r="D122" s="2715" t="s">
        <v>739</v>
      </c>
      <c r="E122" s="414">
        <v>8</v>
      </c>
      <c r="F122" s="414">
        <v>5</v>
      </c>
      <c r="G122" s="414"/>
      <c r="H122" s="4738">
        <f t="shared" si="162"/>
        <v>13</v>
      </c>
      <c r="I122" s="414"/>
      <c r="J122" s="414"/>
      <c r="K122" s="414"/>
      <c r="L122" s="4738">
        <f t="shared" si="163"/>
        <v>0</v>
      </c>
      <c r="M122" s="414"/>
      <c r="N122" s="414"/>
      <c r="O122" s="414"/>
      <c r="P122" s="4738">
        <f t="shared" si="164"/>
        <v>0</v>
      </c>
      <c r="Q122" s="414"/>
      <c r="R122" s="414"/>
      <c r="S122" s="414"/>
      <c r="T122" s="4738">
        <f t="shared" si="165"/>
        <v>0</v>
      </c>
      <c r="U122" s="414"/>
      <c r="V122" s="414"/>
      <c r="W122" s="414"/>
      <c r="X122" s="4738">
        <f t="shared" si="166"/>
        <v>0</v>
      </c>
      <c r="Y122" s="4775"/>
      <c r="Z122" s="4794">
        <f t="shared" si="130"/>
        <v>4.0903350495697479</v>
      </c>
      <c r="AA122" s="4794">
        <f t="shared" si="144"/>
        <v>2.5564594059810926</v>
      </c>
      <c r="AB122" s="4794">
        <f t="shared" si="145"/>
        <v>0</v>
      </c>
      <c r="AC122" s="4794">
        <f t="shared" si="131"/>
        <v>6.6467944555508405</v>
      </c>
      <c r="AD122" s="4794">
        <f t="shared" si="132"/>
        <v>0</v>
      </c>
      <c r="AE122" s="4794">
        <f t="shared" si="146"/>
        <v>0</v>
      </c>
      <c r="AF122" s="4794">
        <f t="shared" si="147"/>
        <v>0</v>
      </c>
      <c r="AG122" s="4794">
        <f t="shared" si="133"/>
        <v>0</v>
      </c>
      <c r="AH122" s="4794">
        <f t="shared" si="134"/>
        <v>0</v>
      </c>
      <c r="AI122" s="4794">
        <f t="shared" si="148"/>
        <v>0</v>
      </c>
      <c r="AJ122" s="4794">
        <f t="shared" si="149"/>
        <v>0</v>
      </c>
      <c r="AK122" s="4794">
        <f t="shared" si="135"/>
        <v>0</v>
      </c>
      <c r="AL122" s="4794">
        <f t="shared" si="136"/>
        <v>0</v>
      </c>
      <c r="AM122" s="4794">
        <f t="shared" si="150"/>
        <v>0</v>
      </c>
      <c r="AN122" s="4794">
        <f t="shared" si="151"/>
        <v>0</v>
      </c>
      <c r="AO122" s="4794">
        <f t="shared" si="137"/>
        <v>0</v>
      </c>
      <c r="AP122" s="4794">
        <f t="shared" si="138"/>
        <v>0</v>
      </c>
      <c r="AQ122" s="4794">
        <f t="shared" si="152"/>
        <v>0</v>
      </c>
      <c r="AR122" s="4794">
        <f t="shared" si="153"/>
        <v>0</v>
      </c>
      <c r="AS122" s="4794">
        <f t="shared" si="139"/>
        <v>0</v>
      </c>
    </row>
    <row r="123" spans="1:45">
      <c r="A123" s="2741">
        <v>12</v>
      </c>
      <c r="B123" s="2684">
        <v>2040203</v>
      </c>
      <c r="C123" s="2685">
        <v>0.02</v>
      </c>
      <c r="D123" s="2715" t="s">
        <v>418</v>
      </c>
      <c r="E123" s="414"/>
      <c r="F123" s="414"/>
      <c r="G123" s="414"/>
      <c r="H123" s="4738">
        <f t="shared" si="162"/>
        <v>0</v>
      </c>
      <c r="I123" s="414"/>
      <c r="J123" s="414"/>
      <c r="K123" s="414"/>
      <c r="L123" s="4738">
        <f t="shared" si="163"/>
        <v>0</v>
      </c>
      <c r="M123" s="414"/>
      <c r="N123" s="414"/>
      <c r="O123" s="414"/>
      <c r="P123" s="4738">
        <f t="shared" si="164"/>
        <v>0</v>
      </c>
      <c r="Q123" s="414"/>
      <c r="R123" s="414"/>
      <c r="S123" s="414"/>
      <c r="T123" s="4738">
        <f t="shared" si="165"/>
        <v>0</v>
      </c>
      <c r="U123" s="414"/>
      <c r="V123" s="414"/>
      <c r="W123" s="414"/>
      <c r="X123" s="4738">
        <f t="shared" si="166"/>
        <v>0</v>
      </c>
      <c r="Y123" s="4775"/>
      <c r="Z123" s="4794">
        <f t="shared" si="130"/>
        <v>0</v>
      </c>
      <c r="AA123" s="4794">
        <f t="shared" si="144"/>
        <v>0</v>
      </c>
      <c r="AB123" s="4794">
        <f t="shared" si="145"/>
        <v>0</v>
      </c>
      <c r="AC123" s="4794">
        <f t="shared" si="131"/>
        <v>0</v>
      </c>
      <c r="AD123" s="4794">
        <f t="shared" si="132"/>
        <v>0</v>
      </c>
      <c r="AE123" s="4794">
        <f t="shared" si="146"/>
        <v>0</v>
      </c>
      <c r="AF123" s="4794">
        <f t="shared" si="147"/>
        <v>0</v>
      </c>
      <c r="AG123" s="4794">
        <f t="shared" si="133"/>
        <v>0</v>
      </c>
      <c r="AH123" s="4794">
        <f t="shared" si="134"/>
        <v>0</v>
      </c>
      <c r="AI123" s="4794">
        <f t="shared" si="148"/>
        <v>0</v>
      </c>
      <c r="AJ123" s="4794">
        <f t="shared" si="149"/>
        <v>0</v>
      </c>
      <c r="AK123" s="4794">
        <f t="shared" si="135"/>
        <v>0</v>
      </c>
      <c r="AL123" s="4794">
        <f t="shared" si="136"/>
        <v>0</v>
      </c>
      <c r="AM123" s="4794">
        <f t="shared" si="150"/>
        <v>0</v>
      </c>
      <c r="AN123" s="4794">
        <f t="shared" si="151"/>
        <v>0</v>
      </c>
      <c r="AO123" s="4794">
        <f t="shared" si="137"/>
        <v>0</v>
      </c>
      <c r="AP123" s="4794">
        <f t="shared" si="138"/>
        <v>0</v>
      </c>
      <c r="AQ123" s="4794">
        <f t="shared" si="152"/>
        <v>0</v>
      </c>
      <c r="AR123" s="4794">
        <f t="shared" si="153"/>
        <v>0</v>
      </c>
      <c r="AS123" s="4794">
        <f t="shared" si="139"/>
        <v>0</v>
      </c>
    </row>
    <row r="124" spans="1:45" ht="24">
      <c r="A124" s="2741">
        <v>13</v>
      </c>
      <c r="B124" s="2684">
        <v>2040204</v>
      </c>
      <c r="C124" s="2685">
        <v>0.02</v>
      </c>
      <c r="D124" s="2714" t="s">
        <v>419</v>
      </c>
      <c r="E124" s="414">
        <v>5</v>
      </c>
      <c r="F124" s="414">
        <v>1</v>
      </c>
      <c r="G124" s="414"/>
      <c r="H124" s="4738">
        <f t="shared" si="162"/>
        <v>6</v>
      </c>
      <c r="I124" s="414"/>
      <c r="J124" s="414"/>
      <c r="K124" s="414"/>
      <c r="L124" s="4738">
        <f t="shared" si="163"/>
        <v>0</v>
      </c>
      <c r="M124" s="414"/>
      <c r="N124" s="414"/>
      <c r="O124" s="414"/>
      <c r="P124" s="4738">
        <f t="shared" si="164"/>
        <v>0</v>
      </c>
      <c r="Q124" s="414"/>
      <c r="R124" s="414"/>
      <c r="S124" s="414"/>
      <c r="T124" s="4738">
        <f t="shared" si="165"/>
        <v>0</v>
      </c>
      <c r="U124" s="414"/>
      <c r="V124" s="414"/>
      <c r="W124" s="414"/>
      <c r="X124" s="4738">
        <f t="shared" si="166"/>
        <v>0</v>
      </c>
      <c r="Y124" s="4775"/>
      <c r="Z124" s="4794">
        <f t="shared" si="130"/>
        <v>2.5564594059810926</v>
      </c>
      <c r="AA124" s="4794">
        <f t="shared" si="144"/>
        <v>0.51129188119621849</v>
      </c>
      <c r="AB124" s="4794">
        <f t="shared" si="145"/>
        <v>0</v>
      </c>
      <c r="AC124" s="4794">
        <f t="shared" si="131"/>
        <v>3.0677512871773112</v>
      </c>
      <c r="AD124" s="4794">
        <f t="shared" si="132"/>
        <v>0</v>
      </c>
      <c r="AE124" s="4794">
        <f t="shared" si="146"/>
        <v>0</v>
      </c>
      <c r="AF124" s="4794">
        <f t="shared" si="147"/>
        <v>0</v>
      </c>
      <c r="AG124" s="4794">
        <f t="shared" si="133"/>
        <v>0</v>
      </c>
      <c r="AH124" s="4794">
        <f t="shared" si="134"/>
        <v>0</v>
      </c>
      <c r="AI124" s="4794">
        <f t="shared" si="148"/>
        <v>0</v>
      </c>
      <c r="AJ124" s="4794">
        <f t="shared" si="149"/>
        <v>0</v>
      </c>
      <c r="AK124" s="4794">
        <f t="shared" si="135"/>
        <v>0</v>
      </c>
      <c r="AL124" s="4794">
        <f t="shared" si="136"/>
        <v>0</v>
      </c>
      <c r="AM124" s="4794">
        <f t="shared" si="150"/>
        <v>0</v>
      </c>
      <c r="AN124" s="4794">
        <f t="shared" si="151"/>
        <v>0</v>
      </c>
      <c r="AO124" s="4794">
        <f t="shared" si="137"/>
        <v>0</v>
      </c>
      <c r="AP124" s="4794">
        <f t="shared" si="138"/>
        <v>0</v>
      </c>
      <c r="AQ124" s="4794">
        <f t="shared" si="152"/>
        <v>0</v>
      </c>
      <c r="AR124" s="4794">
        <f t="shared" si="153"/>
        <v>0</v>
      </c>
      <c r="AS124" s="4794">
        <f t="shared" si="139"/>
        <v>0</v>
      </c>
    </row>
    <row r="125" spans="1:45">
      <c r="A125" s="2741">
        <v>14</v>
      </c>
      <c r="B125" s="2684">
        <v>2040205</v>
      </c>
      <c r="C125" s="2685">
        <v>0.02</v>
      </c>
      <c r="D125" s="2715" t="s">
        <v>420</v>
      </c>
      <c r="E125" s="414">
        <v>703</v>
      </c>
      <c r="F125" s="414">
        <v>325</v>
      </c>
      <c r="G125" s="414"/>
      <c r="H125" s="4738">
        <f t="shared" si="162"/>
        <v>1028</v>
      </c>
      <c r="I125" s="414"/>
      <c r="J125" s="414"/>
      <c r="K125" s="414"/>
      <c r="L125" s="4738">
        <f t="shared" si="163"/>
        <v>0</v>
      </c>
      <c r="M125" s="414"/>
      <c r="N125" s="414"/>
      <c r="O125" s="414"/>
      <c r="P125" s="4738">
        <f t="shared" si="164"/>
        <v>0</v>
      </c>
      <c r="Q125" s="414"/>
      <c r="R125" s="414"/>
      <c r="S125" s="414"/>
      <c r="T125" s="4738">
        <f t="shared" si="165"/>
        <v>0</v>
      </c>
      <c r="U125" s="414"/>
      <c r="V125" s="414"/>
      <c r="W125" s="414"/>
      <c r="X125" s="4738">
        <f t="shared" si="166"/>
        <v>0</v>
      </c>
      <c r="Y125" s="4775"/>
      <c r="Z125" s="4794">
        <f t="shared" si="130"/>
        <v>359.43819248094161</v>
      </c>
      <c r="AA125" s="4794">
        <f t="shared" si="144"/>
        <v>166.16986138877101</v>
      </c>
      <c r="AB125" s="4794">
        <f t="shared" si="145"/>
        <v>0</v>
      </c>
      <c r="AC125" s="4794">
        <f t="shared" si="131"/>
        <v>525.60805386971265</v>
      </c>
      <c r="AD125" s="4794">
        <f t="shared" si="132"/>
        <v>0</v>
      </c>
      <c r="AE125" s="4794">
        <f t="shared" si="146"/>
        <v>0</v>
      </c>
      <c r="AF125" s="4794">
        <f t="shared" si="147"/>
        <v>0</v>
      </c>
      <c r="AG125" s="4794">
        <f t="shared" si="133"/>
        <v>0</v>
      </c>
      <c r="AH125" s="4794">
        <f t="shared" si="134"/>
        <v>0</v>
      </c>
      <c r="AI125" s="4794">
        <f t="shared" si="148"/>
        <v>0</v>
      </c>
      <c r="AJ125" s="4794">
        <f t="shared" si="149"/>
        <v>0</v>
      </c>
      <c r="AK125" s="4794">
        <f t="shared" si="135"/>
        <v>0</v>
      </c>
      <c r="AL125" s="4794">
        <f t="shared" si="136"/>
        <v>0</v>
      </c>
      <c r="AM125" s="4794">
        <f t="shared" si="150"/>
        <v>0</v>
      </c>
      <c r="AN125" s="4794">
        <f t="shared" si="151"/>
        <v>0</v>
      </c>
      <c r="AO125" s="4794">
        <f t="shared" si="137"/>
        <v>0</v>
      </c>
      <c r="AP125" s="4794">
        <f t="shared" si="138"/>
        <v>0</v>
      </c>
      <c r="AQ125" s="4794">
        <f t="shared" si="152"/>
        <v>0</v>
      </c>
      <c r="AR125" s="4794">
        <f t="shared" si="153"/>
        <v>0</v>
      </c>
      <c r="AS125" s="4794">
        <f t="shared" si="139"/>
        <v>0</v>
      </c>
    </row>
    <row r="126" spans="1:45">
      <c r="A126" s="2741">
        <v>15</v>
      </c>
      <c r="B126" s="2684">
        <v>2040206</v>
      </c>
      <c r="C126" s="2685">
        <v>0.02</v>
      </c>
      <c r="D126" s="2720" t="s">
        <v>421</v>
      </c>
      <c r="E126" s="414"/>
      <c r="F126" s="414"/>
      <c r="G126" s="414"/>
      <c r="H126" s="4738">
        <f t="shared" si="162"/>
        <v>0</v>
      </c>
      <c r="I126" s="414">
        <v>48</v>
      </c>
      <c r="J126" s="414">
        <v>28</v>
      </c>
      <c r="K126" s="414"/>
      <c r="L126" s="4738">
        <f t="shared" si="163"/>
        <v>76</v>
      </c>
      <c r="M126" s="414"/>
      <c r="N126" s="414"/>
      <c r="O126" s="414"/>
      <c r="P126" s="4738">
        <f t="shared" si="164"/>
        <v>0</v>
      </c>
      <c r="Q126" s="414"/>
      <c r="R126" s="414"/>
      <c r="S126" s="414"/>
      <c r="T126" s="4738">
        <f t="shared" si="165"/>
        <v>0</v>
      </c>
      <c r="U126" s="414"/>
      <c r="V126" s="414"/>
      <c r="W126" s="414"/>
      <c r="X126" s="4738">
        <f t="shared" si="166"/>
        <v>0</v>
      </c>
      <c r="Y126" s="4775"/>
      <c r="Z126" s="4794">
        <f t="shared" si="130"/>
        <v>0</v>
      </c>
      <c r="AA126" s="4794">
        <f t="shared" si="144"/>
        <v>0</v>
      </c>
      <c r="AB126" s="4794">
        <f t="shared" si="145"/>
        <v>0</v>
      </c>
      <c r="AC126" s="4794">
        <f t="shared" si="131"/>
        <v>0</v>
      </c>
      <c r="AD126" s="4794">
        <f t="shared" si="132"/>
        <v>24.542010297418489</v>
      </c>
      <c r="AE126" s="4794">
        <f t="shared" si="146"/>
        <v>14.316172673494117</v>
      </c>
      <c r="AF126" s="4794">
        <f t="shared" si="147"/>
        <v>0</v>
      </c>
      <c r="AG126" s="4794">
        <f t="shared" si="133"/>
        <v>38.858182970912608</v>
      </c>
      <c r="AH126" s="4794">
        <f t="shared" si="134"/>
        <v>0</v>
      </c>
      <c r="AI126" s="4794">
        <f t="shared" si="148"/>
        <v>0</v>
      </c>
      <c r="AJ126" s="4794">
        <f t="shared" si="149"/>
        <v>0</v>
      </c>
      <c r="AK126" s="4794">
        <f t="shared" si="135"/>
        <v>0</v>
      </c>
      <c r="AL126" s="4794">
        <f t="shared" si="136"/>
        <v>0</v>
      </c>
      <c r="AM126" s="4794">
        <f t="shared" si="150"/>
        <v>0</v>
      </c>
      <c r="AN126" s="4794">
        <f t="shared" si="151"/>
        <v>0</v>
      </c>
      <c r="AO126" s="4794">
        <f t="shared" si="137"/>
        <v>0</v>
      </c>
      <c r="AP126" s="4794">
        <f t="shared" si="138"/>
        <v>0</v>
      </c>
      <c r="AQ126" s="4794">
        <f t="shared" si="152"/>
        <v>0</v>
      </c>
      <c r="AR126" s="4794">
        <f t="shared" si="153"/>
        <v>0</v>
      </c>
      <c r="AS126" s="4794">
        <f t="shared" si="139"/>
        <v>0</v>
      </c>
    </row>
    <row r="127" spans="1:45" ht="48">
      <c r="A127" s="2741">
        <v>16</v>
      </c>
      <c r="B127" s="2684">
        <v>2040207</v>
      </c>
      <c r="C127" s="2685">
        <v>0.04</v>
      </c>
      <c r="D127" s="2720" t="s">
        <v>422</v>
      </c>
      <c r="E127" s="414">
        <v>285</v>
      </c>
      <c r="F127" s="414">
        <v>101</v>
      </c>
      <c r="G127" s="414"/>
      <c r="H127" s="4738">
        <f t="shared" si="162"/>
        <v>386</v>
      </c>
      <c r="I127" s="414"/>
      <c r="J127" s="414"/>
      <c r="K127" s="414"/>
      <c r="L127" s="4738">
        <f t="shared" si="163"/>
        <v>0</v>
      </c>
      <c r="M127" s="414">
        <v>91</v>
      </c>
      <c r="N127" s="414">
        <v>35</v>
      </c>
      <c r="O127" s="414"/>
      <c r="P127" s="4738">
        <f t="shared" si="164"/>
        <v>126</v>
      </c>
      <c r="Q127" s="414"/>
      <c r="R127" s="414"/>
      <c r="S127" s="414"/>
      <c r="T127" s="4738">
        <f t="shared" si="165"/>
        <v>0</v>
      </c>
      <c r="U127" s="414"/>
      <c r="V127" s="414"/>
      <c r="W127" s="414"/>
      <c r="X127" s="4738">
        <f t="shared" si="166"/>
        <v>0</v>
      </c>
      <c r="Y127" s="4775"/>
      <c r="Z127" s="4794">
        <f t="shared" si="130"/>
        <v>145.71818614092228</v>
      </c>
      <c r="AA127" s="4794">
        <f t="shared" si="144"/>
        <v>51.640480000818066</v>
      </c>
      <c r="AB127" s="4794">
        <f t="shared" si="145"/>
        <v>0</v>
      </c>
      <c r="AC127" s="4794">
        <f t="shared" si="131"/>
        <v>197.35866614174034</v>
      </c>
      <c r="AD127" s="4794">
        <f t="shared" si="132"/>
        <v>0</v>
      </c>
      <c r="AE127" s="4794">
        <f t="shared" si="146"/>
        <v>0</v>
      </c>
      <c r="AF127" s="4794">
        <f t="shared" si="147"/>
        <v>0</v>
      </c>
      <c r="AG127" s="4794">
        <f t="shared" si="133"/>
        <v>0</v>
      </c>
      <c r="AH127" s="4794">
        <f t="shared" si="134"/>
        <v>46.527561188855884</v>
      </c>
      <c r="AI127" s="4794">
        <f t="shared" si="148"/>
        <v>17.895215841867646</v>
      </c>
      <c r="AJ127" s="4794">
        <f t="shared" si="149"/>
        <v>0</v>
      </c>
      <c r="AK127" s="4794">
        <f t="shared" si="135"/>
        <v>64.422777030723537</v>
      </c>
      <c r="AL127" s="4794">
        <f t="shared" si="136"/>
        <v>0</v>
      </c>
      <c r="AM127" s="4794">
        <f t="shared" si="150"/>
        <v>0</v>
      </c>
      <c r="AN127" s="4794">
        <f t="shared" si="151"/>
        <v>0</v>
      </c>
      <c r="AO127" s="4794">
        <f t="shared" si="137"/>
        <v>0</v>
      </c>
      <c r="AP127" s="4794">
        <f t="shared" si="138"/>
        <v>0</v>
      </c>
      <c r="AQ127" s="4794">
        <f t="shared" si="152"/>
        <v>0</v>
      </c>
      <c r="AR127" s="4794">
        <f t="shared" si="153"/>
        <v>0</v>
      </c>
      <c r="AS127" s="4794">
        <f t="shared" si="139"/>
        <v>0</v>
      </c>
    </row>
    <row r="128" spans="1:45">
      <c r="A128" s="2741">
        <v>17</v>
      </c>
      <c r="B128" s="2684">
        <v>2040208</v>
      </c>
      <c r="C128" s="2685">
        <v>0.04</v>
      </c>
      <c r="D128" s="2720" t="s">
        <v>423</v>
      </c>
      <c r="E128" s="414">
        <v>7</v>
      </c>
      <c r="F128" s="414">
        <v>2</v>
      </c>
      <c r="G128" s="414"/>
      <c r="H128" s="4738">
        <f t="shared" si="162"/>
        <v>9</v>
      </c>
      <c r="I128" s="414"/>
      <c r="J128" s="414"/>
      <c r="K128" s="414"/>
      <c r="L128" s="4738">
        <f t="shared" si="163"/>
        <v>0</v>
      </c>
      <c r="M128" s="414"/>
      <c r="N128" s="414"/>
      <c r="O128" s="414"/>
      <c r="P128" s="4738">
        <f t="shared" si="164"/>
        <v>0</v>
      </c>
      <c r="Q128" s="414"/>
      <c r="R128" s="414"/>
      <c r="S128" s="414"/>
      <c r="T128" s="4738">
        <f t="shared" si="165"/>
        <v>0</v>
      </c>
      <c r="U128" s="414"/>
      <c r="V128" s="414"/>
      <c r="W128" s="414"/>
      <c r="X128" s="4738">
        <f t="shared" si="166"/>
        <v>0</v>
      </c>
      <c r="Y128" s="4775"/>
      <c r="Z128" s="4794">
        <f t="shared" si="130"/>
        <v>3.5790431683735293</v>
      </c>
      <c r="AA128" s="4794">
        <f t="shared" si="144"/>
        <v>1.022583762392437</v>
      </c>
      <c r="AB128" s="4794">
        <f t="shared" si="145"/>
        <v>0</v>
      </c>
      <c r="AC128" s="4794">
        <f t="shared" si="131"/>
        <v>4.6016269307659661</v>
      </c>
      <c r="AD128" s="4794">
        <f t="shared" si="132"/>
        <v>0</v>
      </c>
      <c r="AE128" s="4794">
        <f t="shared" si="146"/>
        <v>0</v>
      </c>
      <c r="AF128" s="4794">
        <f t="shared" si="147"/>
        <v>0</v>
      </c>
      <c r="AG128" s="4794">
        <f t="shared" si="133"/>
        <v>0</v>
      </c>
      <c r="AH128" s="4794">
        <f t="shared" si="134"/>
        <v>0</v>
      </c>
      <c r="AI128" s="4794">
        <f t="shared" si="148"/>
        <v>0</v>
      </c>
      <c r="AJ128" s="4794">
        <f t="shared" si="149"/>
        <v>0</v>
      </c>
      <c r="AK128" s="4794">
        <f t="shared" si="135"/>
        <v>0</v>
      </c>
      <c r="AL128" s="4794">
        <f t="shared" si="136"/>
        <v>0</v>
      </c>
      <c r="AM128" s="4794">
        <f t="shared" si="150"/>
        <v>0</v>
      </c>
      <c r="AN128" s="4794">
        <f t="shared" si="151"/>
        <v>0</v>
      </c>
      <c r="AO128" s="4794">
        <f t="shared" si="137"/>
        <v>0</v>
      </c>
      <c r="AP128" s="4794">
        <f t="shared" si="138"/>
        <v>0</v>
      </c>
      <c r="AQ128" s="4794">
        <f t="shared" si="152"/>
        <v>0</v>
      </c>
      <c r="AR128" s="4794">
        <f t="shared" si="153"/>
        <v>0</v>
      </c>
      <c r="AS128" s="4794">
        <f t="shared" si="139"/>
        <v>0</v>
      </c>
    </row>
    <row r="129" spans="1:45">
      <c r="A129" s="2741">
        <v>18</v>
      </c>
      <c r="B129" s="2742" t="s">
        <v>1051</v>
      </c>
      <c r="C129" s="2685">
        <v>0.04</v>
      </c>
      <c r="D129" s="2739" t="s">
        <v>434</v>
      </c>
      <c r="E129" s="414"/>
      <c r="F129" s="414"/>
      <c r="G129" s="414"/>
      <c r="H129" s="4738">
        <f t="shared" si="162"/>
        <v>0</v>
      </c>
      <c r="I129" s="414"/>
      <c r="J129" s="414"/>
      <c r="K129" s="414"/>
      <c r="L129" s="4738">
        <f t="shared" si="163"/>
        <v>0</v>
      </c>
      <c r="M129" s="414"/>
      <c r="N129" s="414"/>
      <c r="O129" s="414"/>
      <c r="P129" s="4738">
        <f t="shared" si="164"/>
        <v>0</v>
      </c>
      <c r="Q129" s="414"/>
      <c r="R129" s="414"/>
      <c r="S129" s="414"/>
      <c r="T129" s="4738">
        <f t="shared" si="165"/>
        <v>0</v>
      </c>
      <c r="U129" s="414"/>
      <c r="V129" s="414"/>
      <c r="W129" s="414"/>
      <c r="X129" s="4738">
        <f t="shared" si="166"/>
        <v>0</v>
      </c>
      <c r="Y129" s="4775"/>
      <c r="Z129" s="4794">
        <f t="shared" si="130"/>
        <v>0</v>
      </c>
      <c r="AA129" s="4794">
        <f t="shared" si="144"/>
        <v>0</v>
      </c>
      <c r="AB129" s="4794">
        <f t="shared" si="145"/>
        <v>0</v>
      </c>
      <c r="AC129" s="4794">
        <f t="shared" si="131"/>
        <v>0</v>
      </c>
      <c r="AD129" s="4794">
        <f t="shared" si="132"/>
        <v>0</v>
      </c>
      <c r="AE129" s="4794">
        <f t="shared" si="146"/>
        <v>0</v>
      </c>
      <c r="AF129" s="4794">
        <f t="shared" si="147"/>
        <v>0</v>
      </c>
      <c r="AG129" s="4794">
        <f t="shared" si="133"/>
        <v>0</v>
      </c>
      <c r="AH129" s="4794">
        <f t="shared" si="134"/>
        <v>0</v>
      </c>
      <c r="AI129" s="4794">
        <f t="shared" si="148"/>
        <v>0</v>
      </c>
      <c r="AJ129" s="4794">
        <f t="shared" si="149"/>
        <v>0</v>
      </c>
      <c r="AK129" s="4794">
        <f t="shared" si="135"/>
        <v>0</v>
      </c>
      <c r="AL129" s="4794">
        <f t="shared" si="136"/>
        <v>0</v>
      </c>
      <c r="AM129" s="4794">
        <f t="shared" si="150"/>
        <v>0</v>
      </c>
      <c r="AN129" s="4794">
        <f t="shared" si="151"/>
        <v>0</v>
      </c>
      <c r="AO129" s="4794">
        <f t="shared" si="137"/>
        <v>0</v>
      </c>
      <c r="AP129" s="4794">
        <f t="shared" si="138"/>
        <v>0</v>
      </c>
      <c r="AQ129" s="4794">
        <f t="shared" si="152"/>
        <v>0</v>
      </c>
      <c r="AR129" s="4794">
        <f t="shared" si="153"/>
        <v>0</v>
      </c>
      <c r="AS129" s="4794">
        <f t="shared" si="139"/>
        <v>0</v>
      </c>
    </row>
    <row r="130" spans="1:45" ht="48.75" thickBot="1">
      <c r="A130" s="2741">
        <v>19</v>
      </c>
      <c r="B130" s="2684">
        <v>215</v>
      </c>
      <c r="C130" s="2690">
        <v>0.2</v>
      </c>
      <c r="D130" s="2720" t="s">
        <v>679</v>
      </c>
      <c r="E130" s="414">
        <v>75</v>
      </c>
      <c r="F130" s="414"/>
      <c r="G130" s="414"/>
      <c r="H130" s="4738">
        <f t="shared" si="162"/>
        <v>75</v>
      </c>
      <c r="I130" s="414"/>
      <c r="J130" s="414"/>
      <c r="K130" s="414"/>
      <c r="L130" s="4738">
        <f t="shared" si="163"/>
        <v>0</v>
      </c>
      <c r="M130" s="414"/>
      <c r="N130" s="414"/>
      <c r="O130" s="414"/>
      <c r="P130" s="4738">
        <f t="shared" si="164"/>
        <v>0</v>
      </c>
      <c r="Q130" s="414"/>
      <c r="R130" s="414"/>
      <c r="S130" s="414"/>
      <c r="T130" s="4738">
        <f t="shared" si="165"/>
        <v>0</v>
      </c>
      <c r="U130" s="414"/>
      <c r="V130" s="414"/>
      <c r="W130" s="414"/>
      <c r="X130" s="4738">
        <f t="shared" si="166"/>
        <v>0</v>
      </c>
      <c r="Y130" s="4775"/>
      <c r="Z130" s="4794">
        <f t="shared" si="130"/>
        <v>38.346891089716387</v>
      </c>
      <c r="AA130" s="4794">
        <f t="shared" si="144"/>
        <v>0</v>
      </c>
      <c r="AB130" s="4794">
        <f t="shared" si="145"/>
        <v>0</v>
      </c>
      <c r="AC130" s="4794">
        <f t="shared" si="131"/>
        <v>38.346891089716387</v>
      </c>
      <c r="AD130" s="4794">
        <f t="shared" si="132"/>
        <v>0</v>
      </c>
      <c r="AE130" s="4794">
        <f t="shared" si="146"/>
        <v>0</v>
      </c>
      <c r="AF130" s="4794">
        <f t="shared" si="147"/>
        <v>0</v>
      </c>
      <c r="AG130" s="4794">
        <f t="shared" si="133"/>
        <v>0</v>
      </c>
      <c r="AH130" s="4794">
        <f t="shared" si="134"/>
        <v>0</v>
      </c>
      <c r="AI130" s="4794">
        <f t="shared" si="148"/>
        <v>0</v>
      </c>
      <c r="AJ130" s="4794">
        <f t="shared" si="149"/>
        <v>0</v>
      </c>
      <c r="AK130" s="4794">
        <f t="shared" si="135"/>
        <v>0</v>
      </c>
      <c r="AL130" s="4794">
        <f t="shared" si="136"/>
        <v>0</v>
      </c>
      <c r="AM130" s="4794">
        <f t="shared" si="150"/>
        <v>0</v>
      </c>
      <c r="AN130" s="4794">
        <f t="shared" si="151"/>
        <v>0</v>
      </c>
      <c r="AO130" s="4794">
        <f t="shared" si="137"/>
        <v>0</v>
      </c>
      <c r="AP130" s="4794">
        <f t="shared" si="138"/>
        <v>0</v>
      </c>
      <c r="AQ130" s="4794">
        <f t="shared" si="152"/>
        <v>0</v>
      </c>
      <c r="AR130" s="4794">
        <f t="shared" si="153"/>
        <v>0</v>
      </c>
      <c r="AS130" s="4794">
        <f t="shared" si="139"/>
        <v>0</v>
      </c>
    </row>
    <row r="131" spans="1:45" ht="13.5" thickBot="1">
      <c r="A131" s="4690" t="s">
        <v>219</v>
      </c>
      <c r="B131" s="5423" t="s">
        <v>222</v>
      </c>
      <c r="C131" s="5424"/>
      <c r="D131" s="5425"/>
      <c r="E131" s="1265">
        <f t="shared" ref="E131:H131" si="167">SUM(E132:E150)</f>
        <v>17349</v>
      </c>
      <c r="F131" s="1265">
        <f t="shared" si="167"/>
        <v>0</v>
      </c>
      <c r="G131" s="1265">
        <f t="shared" si="167"/>
        <v>0</v>
      </c>
      <c r="H131" s="1265">
        <f t="shared" si="167"/>
        <v>21417</v>
      </c>
      <c r="I131" s="1265">
        <f t="shared" ref="I131:X131" si="168">SUM(I132:I150)</f>
        <v>1370</v>
      </c>
      <c r="J131" s="1265">
        <f t="shared" si="168"/>
        <v>0</v>
      </c>
      <c r="K131" s="1265">
        <f t="shared" si="168"/>
        <v>0</v>
      </c>
      <c r="L131" s="1265">
        <f t="shared" si="168"/>
        <v>1436</v>
      </c>
      <c r="M131" s="1265">
        <f t="shared" si="168"/>
        <v>819</v>
      </c>
      <c r="N131" s="1265">
        <f t="shared" si="168"/>
        <v>0</v>
      </c>
      <c r="O131" s="1265">
        <f t="shared" si="168"/>
        <v>0</v>
      </c>
      <c r="P131" s="1265">
        <f t="shared" si="168"/>
        <v>877</v>
      </c>
      <c r="Q131" s="1265">
        <f t="shared" si="168"/>
        <v>0</v>
      </c>
      <c r="R131" s="1265">
        <f t="shared" si="168"/>
        <v>0</v>
      </c>
      <c r="S131" s="1265">
        <f t="shared" si="168"/>
        <v>0</v>
      </c>
      <c r="T131" s="1265">
        <f t="shared" si="168"/>
        <v>0</v>
      </c>
      <c r="U131" s="1265">
        <f t="shared" si="168"/>
        <v>0</v>
      </c>
      <c r="V131" s="1265">
        <f t="shared" si="168"/>
        <v>0</v>
      </c>
      <c r="W131" s="1265">
        <f t="shared" si="168"/>
        <v>0</v>
      </c>
      <c r="X131" s="1129">
        <f t="shared" si="168"/>
        <v>0</v>
      </c>
      <c r="Y131" s="4775"/>
      <c r="Z131" s="4794">
        <f t="shared" si="130"/>
        <v>8870.402846873194</v>
      </c>
      <c r="AA131" s="4794">
        <f t="shared" si="144"/>
        <v>0</v>
      </c>
      <c r="AB131" s="4794">
        <f t="shared" si="145"/>
        <v>0</v>
      </c>
      <c r="AC131" s="4794">
        <f t="shared" si="131"/>
        <v>10950.338219579411</v>
      </c>
      <c r="AD131" s="4794">
        <f t="shared" si="132"/>
        <v>700.46987723881932</v>
      </c>
      <c r="AE131" s="4794">
        <f t="shared" si="146"/>
        <v>0</v>
      </c>
      <c r="AF131" s="4794">
        <f t="shared" si="147"/>
        <v>0</v>
      </c>
      <c r="AG131" s="4794">
        <f t="shared" si="133"/>
        <v>734.2151413977698</v>
      </c>
      <c r="AH131" s="4794">
        <f t="shared" si="134"/>
        <v>418.74805069970296</v>
      </c>
      <c r="AI131" s="4794">
        <f t="shared" si="148"/>
        <v>0</v>
      </c>
      <c r="AJ131" s="4794">
        <f t="shared" si="149"/>
        <v>0</v>
      </c>
      <c r="AK131" s="4794">
        <f t="shared" si="135"/>
        <v>448.4029798090836</v>
      </c>
      <c r="AL131" s="4794">
        <f t="shared" si="136"/>
        <v>0</v>
      </c>
      <c r="AM131" s="4794">
        <f t="shared" si="150"/>
        <v>0</v>
      </c>
      <c r="AN131" s="4794">
        <f t="shared" si="151"/>
        <v>0</v>
      </c>
      <c r="AO131" s="4794">
        <f t="shared" si="137"/>
        <v>0</v>
      </c>
      <c r="AP131" s="4794">
        <f t="shared" si="138"/>
        <v>0</v>
      </c>
      <c r="AQ131" s="4794">
        <f t="shared" si="152"/>
        <v>0</v>
      </c>
      <c r="AR131" s="4794">
        <f t="shared" si="153"/>
        <v>0</v>
      </c>
      <c r="AS131" s="4794">
        <f t="shared" si="139"/>
        <v>0</v>
      </c>
    </row>
    <row r="132" spans="1:45">
      <c r="A132" s="2683">
        <v>1</v>
      </c>
      <c r="B132" s="2677">
        <v>20102</v>
      </c>
      <c r="C132" s="2701">
        <v>0</v>
      </c>
      <c r="D132" s="2731" t="s">
        <v>558</v>
      </c>
      <c r="E132" s="2814">
        <f t="shared" ref="E132:E150" si="169">E92-E112</f>
        <v>0</v>
      </c>
      <c r="F132" s="5415"/>
      <c r="G132" s="5416"/>
      <c r="H132" s="4738">
        <f t="shared" ref="H132:I147" si="170">H92-H112</f>
        <v>0</v>
      </c>
      <c r="I132" s="2814">
        <f t="shared" si="170"/>
        <v>0</v>
      </c>
      <c r="J132" s="5415"/>
      <c r="K132" s="5416"/>
      <c r="L132" s="4738">
        <f t="shared" ref="L132:M147" si="171">L92-L112</f>
        <v>0</v>
      </c>
      <c r="M132" s="2814">
        <f t="shared" si="171"/>
        <v>0</v>
      </c>
      <c r="N132" s="5415"/>
      <c r="O132" s="5416"/>
      <c r="P132" s="4738">
        <f t="shared" ref="P132:Q147" si="172">P92-P112</f>
        <v>0</v>
      </c>
      <c r="Q132" s="2814">
        <f t="shared" si="172"/>
        <v>0</v>
      </c>
      <c r="R132" s="5415"/>
      <c r="S132" s="5416"/>
      <c r="T132" s="4738">
        <f t="shared" ref="T132:U147" si="173">T92-T112</f>
        <v>0</v>
      </c>
      <c r="U132" s="2814">
        <f t="shared" si="173"/>
        <v>0</v>
      </c>
      <c r="V132" s="5415"/>
      <c r="W132" s="5416"/>
      <c r="X132" s="4738">
        <f t="shared" ref="X132:X150" si="174">X92-X112</f>
        <v>0</v>
      </c>
      <c r="Y132" s="4775"/>
      <c r="Z132" s="4794">
        <f t="shared" si="130"/>
        <v>0</v>
      </c>
      <c r="AA132" s="4802"/>
      <c r="AB132" s="4803"/>
      <c r="AC132" s="4794">
        <f t="shared" si="131"/>
        <v>0</v>
      </c>
      <c r="AD132" s="4794">
        <f t="shared" si="132"/>
        <v>0</v>
      </c>
      <c r="AE132" s="4802"/>
      <c r="AF132" s="4803"/>
      <c r="AG132" s="4794">
        <f t="shared" si="133"/>
        <v>0</v>
      </c>
      <c r="AH132" s="4794">
        <f t="shared" si="134"/>
        <v>0</v>
      </c>
      <c r="AI132" s="4802"/>
      <c r="AJ132" s="4803"/>
      <c r="AK132" s="4794">
        <f t="shared" si="135"/>
        <v>0</v>
      </c>
      <c r="AL132" s="4794">
        <f t="shared" si="136"/>
        <v>0</v>
      </c>
      <c r="AM132" s="4802"/>
      <c r="AN132" s="4803"/>
      <c r="AO132" s="4794">
        <f t="shared" si="137"/>
        <v>0</v>
      </c>
      <c r="AP132" s="4794">
        <f t="shared" si="138"/>
        <v>0</v>
      </c>
      <c r="AQ132" s="4802"/>
      <c r="AR132" s="4803"/>
      <c r="AS132" s="4794">
        <f t="shared" si="139"/>
        <v>0</v>
      </c>
    </row>
    <row r="133" spans="1:45">
      <c r="A133" s="2683">
        <v>2</v>
      </c>
      <c r="B133" s="2684">
        <v>20202</v>
      </c>
      <c r="C133" s="2685">
        <v>0.03</v>
      </c>
      <c r="D133" s="2739" t="s">
        <v>426</v>
      </c>
      <c r="E133" s="2815">
        <f t="shared" si="169"/>
        <v>108</v>
      </c>
      <c r="F133" s="5417"/>
      <c r="G133" s="5418"/>
      <c r="H133" s="4738">
        <f t="shared" si="170"/>
        <v>104</v>
      </c>
      <c r="I133" s="2815">
        <f t="shared" si="170"/>
        <v>0</v>
      </c>
      <c r="J133" s="5417"/>
      <c r="K133" s="5418"/>
      <c r="L133" s="4738">
        <f t="shared" si="171"/>
        <v>0</v>
      </c>
      <c r="M133" s="2815">
        <f t="shared" si="171"/>
        <v>0</v>
      </c>
      <c r="N133" s="5417"/>
      <c r="O133" s="5418"/>
      <c r="P133" s="4738">
        <f t="shared" si="172"/>
        <v>0</v>
      </c>
      <c r="Q133" s="2815">
        <f t="shared" si="172"/>
        <v>0</v>
      </c>
      <c r="R133" s="5417"/>
      <c r="S133" s="5418"/>
      <c r="T133" s="4738">
        <f t="shared" si="173"/>
        <v>0</v>
      </c>
      <c r="U133" s="2815">
        <f t="shared" si="173"/>
        <v>0</v>
      </c>
      <c r="V133" s="5417"/>
      <c r="W133" s="5418"/>
      <c r="X133" s="4738">
        <f t="shared" si="174"/>
        <v>0</v>
      </c>
      <c r="Y133" s="4775"/>
      <c r="Z133" s="4794">
        <f t="shared" si="130"/>
        <v>55.219523169191596</v>
      </c>
      <c r="AA133" s="4809"/>
      <c r="AB133" s="4810"/>
      <c r="AC133" s="4794">
        <f t="shared" si="131"/>
        <v>53.174355644406724</v>
      </c>
      <c r="AD133" s="4794">
        <f t="shared" si="132"/>
        <v>0</v>
      </c>
      <c r="AE133" s="4809"/>
      <c r="AF133" s="4810"/>
      <c r="AG133" s="4794">
        <f t="shared" si="133"/>
        <v>0</v>
      </c>
      <c r="AH133" s="4794">
        <f t="shared" si="134"/>
        <v>0</v>
      </c>
      <c r="AI133" s="4809"/>
      <c r="AJ133" s="4810"/>
      <c r="AK133" s="4794">
        <f t="shared" si="135"/>
        <v>0</v>
      </c>
      <c r="AL133" s="4794">
        <f t="shared" si="136"/>
        <v>0</v>
      </c>
      <c r="AM133" s="4809"/>
      <c r="AN133" s="4810"/>
      <c r="AO133" s="4794">
        <f t="shared" si="137"/>
        <v>0</v>
      </c>
      <c r="AP133" s="4794">
        <f t="shared" si="138"/>
        <v>0</v>
      </c>
      <c r="AQ133" s="4809"/>
      <c r="AR133" s="4810"/>
      <c r="AS133" s="4794">
        <f t="shared" si="139"/>
        <v>0</v>
      </c>
    </row>
    <row r="134" spans="1:45" ht="24">
      <c r="A134" s="2683">
        <v>3</v>
      </c>
      <c r="B134" s="2684">
        <v>2030401</v>
      </c>
      <c r="C134" s="2690">
        <v>0.1</v>
      </c>
      <c r="D134" s="2720" t="s">
        <v>1031</v>
      </c>
      <c r="E134" s="2815">
        <f t="shared" si="169"/>
        <v>225</v>
      </c>
      <c r="F134" s="5417"/>
      <c r="G134" s="5418"/>
      <c r="H134" s="4738">
        <f t="shared" si="170"/>
        <v>222</v>
      </c>
      <c r="I134" s="2815">
        <f t="shared" si="170"/>
        <v>0</v>
      </c>
      <c r="J134" s="5417"/>
      <c r="K134" s="5418"/>
      <c r="L134" s="4738">
        <f t="shared" si="171"/>
        <v>0</v>
      </c>
      <c r="M134" s="2815">
        <f t="shared" si="171"/>
        <v>0</v>
      </c>
      <c r="N134" s="5417"/>
      <c r="O134" s="5418"/>
      <c r="P134" s="4738">
        <f t="shared" si="172"/>
        <v>0</v>
      </c>
      <c r="Q134" s="2815">
        <f t="shared" si="172"/>
        <v>0</v>
      </c>
      <c r="R134" s="5417"/>
      <c r="S134" s="5418"/>
      <c r="T134" s="4738">
        <f t="shared" si="173"/>
        <v>0</v>
      </c>
      <c r="U134" s="2815">
        <f t="shared" si="173"/>
        <v>0</v>
      </c>
      <c r="V134" s="5417"/>
      <c r="W134" s="5418"/>
      <c r="X134" s="4738">
        <f t="shared" si="174"/>
        <v>0</v>
      </c>
      <c r="Y134" s="4775"/>
      <c r="Z134" s="4794">
        <f t="shared" si="130"/>
        <v>115.04067326914917</v>
      </c>
      <c r="AA134" s="4809"/>
      <c r="AB134" s="4810"/>
      <c r="AC134" s="4794">
        <f t="shared" si="131"/>
        <v>113.50679762556051</v>
      </c>
      <c r="AD134" s="4794">
        <f t="shared" si="132"/>
        <v>0</v>
      </c>
      <c r="AE134" s="4809"/>
      <c r="AF134" s="4810"/>
      <c r="AG134" s="4794">
        <f t="shared" si="133"/>
        <v>0</v>
      </c>
      <c r="AH134" s="4794">
        <f t="shared" si="134"/>
        <v>0</v>
      </c>
      <c r="AI134" s="4809"/>
      <c r="AJ134" s="4810"/>
      <c r="AK134" s="4794">
        <f t="shared" si="135"/>
        <v>0</v>
      </c>
      <c r="AL134" s="4794">
        <f t="shared" si="136"/>
        <v>0</v>
      </c>
      <c r="AM134" s="4809"/>
      <c r="AN134" s="4810"/>
      <c r="AO134" s="4794">
        <f t="shared" si="137"/>
        <v>0</v>
      </c>
      <c r="AP134" s="4794">
        <f t="shared" si="138"/>
        <v>0</v>
      </c>
      <c r="AQ134" s="4809"/>
      <c r="AR134" s="4810"/>
      <c r="AS134" s="4794">
        <f t="shared" si="139"/>
        <v>0</v>
      </c>
    </row>
    <row r="135" spans="1:45">
      <c r="A135" s="2683">
        <v>4</v>
      </c>
      <c r="B135" s="2684">
        <v>2030402</v>
      </c>
      <c r="C135" s="2690">
        <v>0.1</v>
      </c>
      <c r="D135" s="2720" t="s">
        <v>429</v>
      </c>
      <c r="E135" s="2815">
        <f t="shared" si="169"/>
        <v>0</v>
      </c>
      <c r="F135" s="5417"/>
      <c r="G135" s="5418"/>
      <c r="H135" s="4738">
        <f t="shared" si="170"/>
        <v>0</v>
      </c>
      <c r="I135" s="2815">
        <f t="shared" si="170"/>
        <v>0</v>
      </c>
      <c r="J135" s="5417"/>
      <c r="K135" s="5418"/>
      <c r="L135" s="4738">
        <f t="shared" si="171"/>
        <v>0</v>
      </c>
      <c r="M135" s="2815">
        <f t="shared" si="171"/>
        <v>0</v>
      </c>
      <c r="N135" s="5417"/>
      <c r="O135" s="5418"/>
      <c r="P135" s="4738">
        <f t="shared" si="172"/>
        <v>0</v>
      </c>
      <c r="Q135" s="2815">
        <f t="shared" si="172"/>
        <v>0</v>
      </c>
      <c r="R135" s="5417"/>
      <c r="S135" s="5418"/>
      <c r="T135" s="4738">
        <f t="shared" si="173"/>
        <v>0</v>
      </c>
      <c r="U135" s="2815">
        <f t="shared" si="173"/>
        <v>0</v>
      </c>
      <c r="V135" s="5417"/>
      <c r="W135" s="5418"/>
      <c r="X135" s="4738">
        <f t="shared" si="174"/>
        <v>0</v>
      </c>
      <c r="Y135" s="4775"/>
      <c r="Z135" s="4794">
        <f t="shared" si="130"/>
        <v>0</v>
      </c>
      <c r="AA135" s="4809"/>
      <c r="AB135" s="4810"/>
      <c r="AC135" s="4794">
        <f t="shared" si="131"/>
        <v>0</v>
      </c>
      <c r="AD135" s="4794">
        <f t="shared" si="132"/>
        <v>0</v>
      </c>
      <c r="AE135" s="4809"/>
      <c r="AF135" s="4810"/>
      <c r="AG135" s="4794">
        <f t="shared" si="133"/>
        <v>0</v>
      </c>
      <c r="AH135" s="4794">
        <f t="shared" si="134"/>
        <v>0</v>
      </c>
      <c r="AI135" s="4809"/>
      <c r="AJ135" s="4810"/>
      <c r="AK135" s="4794">
        <f t="shared" si="135"/>
        <v>0</v>
      </c>
      <c r="AL135" s="4794">
        <f t="shared" si="136"/>
        <v>0</v>
      </c>
      <c r="AM135" s="4809"/>
      <c r="AN135" s="4810"/>
      <c r="AO135" s="4794">
        <f t="shared" si="137"/>
        <v>0</v>
      </c>
      <c r="AP135" s="4794">
        <f t="shared" si="138"/>
        <v>0</v>
      </c>
      <c r="AQ135" s="4809"/>
      <c r="AR135" s="4810"/>
      <c r="AS135" s="4794">
        <f t="shared" si="139"/>
        <v>0</v>
      </c>
    </row>
    <row r="136" spans="1:45">
      <c r="A136" s="2683">
        <v>5</v>
      </c>
      <c r="B136" s="2684">
        <v>2030501</v>
      </c>
      <c r="C136" s="2690">
        <v>0.1</v>
      </c>
      <c r="D136" s="2720" t="s">
        <v>408</v>
      </c>
      <c r="E136" s="2815">
        <f t="shared" si="169"/>
        <v>507</v>
      </c>
      <c r="F136" s="5417"/>
      <c r="G136" s="5418"/>
      <c r="H136" s="4738">
        <f t="shared" si="170"/>
        <v>764</v>
      </c>
      <c r="I136" s="2815">
        <f t="shared" si="170"/>
        <v>0</v>
      </c>
      <c r="J136" s="5417"/>
      <c r="K136" s="5418"/>
      <c r="L136" s="4738">
        <f t="shared" si="171"/>
        <v>0</v>
      </c>
      <c r="M136" s="2815">
        <f t="shared" si="171"/>
        <v>49</v>
      </c>
      <c r="N136" s="5417"/>
      <c r="O136" s="5418"/>
      <c r="P136" s="4738">
        <f t="shared" si="172"/>
        <v>49</v>
      </c>
      <c r="Q136" s="2815">
        <f t="shared" si="172"/>
        <v>0</v>
      </c>
      <c r="R136" s="5417"/>
      <c r="S136" s="5418"/>
      <c r="T136" s="4738">
        <f t="shared" si="173"/>
        <v>0</v>
      </c>
      <c r="U136" s="2815">
        <f t="shared" si="173"/>
        <v>0</v>
      </c>
      <c r="V136" s="5417"/>
      <c r="W136" s="5418"/>
      <c r="X136" s="4738">
        <f t="shared" si="174"/>
        <v>0</v>
      </c>
      <c r="Y136" s="4775"/>
      <c r="Z136" s="4794">
        <f t="shared" si="130"/>
        <v>259.22498376648275</v>
      </c>
      <c r="AA136" s="4809"/>
      <c r="AB136" s="4810"/>
      <c r="AC136" s="4794">
        <f t="shared" si="131"/>
        <v>390.62699723391091</v>
      </c>
      <c r="AD136" s="4794">
        <f t="shared" si="132"/>
        <v>0</v>
      </c>
      <c r="AE136" s="4809"/>
      <c r="AF136" s="4810"/>
      <c r="AG136" s="4794">
        <f t="shared" si="133"/>
        <v>0</v>
      </c>
      <c r="AH136" s="4794">
        <f t="shared" si="134"/>
        <v>25.053302178614707</v>
      </c>
      <c r="AI136" s="4809"/>
      <c r="AJ136" s="4810"/>
      <c r="AK136" s="4794">
        <f t="shared" si="135"/>
        <v>25.053302178614707</v>
      </c>
      <c r="AL136" s="4794">
        <f t="shared" si="136"/>
        <v>0</v>
      </c>
      <c r="AM136" s="4809"/>
      <c r="AN136" s="4810"/>
      <c r="AO136" s="4794">
        <f t="shared" si="137"/>
        <v>0</v>
      </c>
      <c r="AP136" s="4794">
        <f t="shared" si="138"/>
        <v>0</v>
      </c>
      <c r="AQ136" s="4809"/>
      <c r="AR136" s="4810"/>
      <c r="AS136" s="4794">
        <f t="shared" si="139"/>
        <v>0</v>
      </c>
    </row>
    <row r="137" spans="1:45" ht="36">
      <c r="A137" s="2683">
        <v>6</v>
      </c>
      <c r="B137" s="2684">
        <v>2030502</v>
      </c>
      <c r="C137" s="2690">
        <v>0.1</v>
      </c>
      <c r="D137" s="2720" t="s">
        <v>695</v>
      </c>
      <c r="E137" s="2815">
        <f t="shared" si="169"/>
        <v>132</v>
      </c>
      <c r="F137" s="5417"/>
      <c r="G137" s="5418"/>
      <c r="H137" s="4738">
        <f t="shared" si="170"/>
        <v>217</v>
      </c>
      <c r="I137" s="2815">
        <f t="shared" si="170"/>
        <v>0</v>
      </c>
      <c r="J137" s="5417"/>
      <c r="K137" s="5418"/>
      <c r="L137" s="4738">
        <f t="shared" si="171"/>
        <v>0</v>
      </c>
      <c r="M137" s="2815">
        <f t="shared" si="171"/>
        <v>0</v>
      </c>
      <c r="N137" s="5417"/>
      <c r="O137" s="5418"/>
      <c r="P137" s="4738">
        <f t="shared" si="172"/>
        <v>0</v>
      </c>
      <c r="Q137" s="2815">
        <f t="shared" si="172"/>
        <v>0</v>
      </c>
      <c r="R137" s="5417"/>
      <c r="S137" s="5418"/>
      <c r="T137" s="4738">
        <f t="shared" si="173"/>
        <v>0</v>
      </c>
      <c r="U137" s="2815">
        <f t="shared" si="173"/>
        <v>0</v>
      </c>
      <c r="V137" s="5417"/>
      <c r="W137" s="5418"/>
      <c r="X137" s="4738">
        <f t="shared" si="174"/>
        <v>0</v>
      </c>
      <c r="Y137" s="4775"/>
      <c r="Z137" s="4794">
        <f t="shared" si="130"/>
        <v>67.490528317900839</v>
      </c>
      <c r="AA137" s="4809"/>
      <c r="AB137" s="4810"/>
      <c r="AC137" s="4794">
        <f t="shared" si="131"/>
        <v>110.95033821957941</v>
      </c>
      <c r="AD137" s="4794">
        <f t="shared" si="132"/>
        <v>0</v>
      </c>
      <c r="AE137" s="4809"/>
      <c r="AF137" s="4810"/>
      <c r="AG137" s="4794">
        <f t="shared" si="133"/>
        <v>0</v>
      </c>
      <c r="AH137" s="4794">
        <f t="shared" si="134"/>
        <v>0</v>
      </c>
      <c r="AI137" s="4809"/>
      <c r="AJ137" s="4810"/>
      <c r="AK137" s="4794">
        <f t="shared" si="135"/>
        <v>0</v>
      </c>
      <c r="AL137" s="4794">
        <f t="shared" si="136"/>
        <v>0</v>
      </c>
      <c r="AM137" s="4809"/>
      <c r="AN137" s="4810"/>
      <c r="AO137" s="4794">
        <f t="shared" si="137"/>
        <v>0</v>
      </c>
      <c r="AP137" s="4794">
        <f t="shared" si="138"/>
        <v>0</v>
      </c>
      <c r="AQ137" s="4809"/>
      <c r="AR137" s="4810"/>
      <c r="AS137" s="4794">
        <f t="shared" si="139"/>
        <v>0</v>
      </c>
    </row>
    <row r="138" spans="1:45">
      <c r="A138" s="2683">
        <v>7</v>
      </c>
      <c r="B138" s="2684">
        <v>2030503</v>
      </c>
      <c r="C138" s="2690">
        <v>0.1</v>
      </c>
      <c r="D138" s="2720" t="s">
        <v>713</v>
      </c>
      <c r="E138" s="2815">
        <f t="shared" si="169"/>
        <v>88</v>
      </c>
      <c r="F138" s="5417"/>
      <c r="G138" s="5418"/>
      <c r="H138" s="4738">
        <f t="shared" si="170"/>
        <v>77</v>
      </c>
      <c r="I138" s="2815">
        <f t="shared" si="170"/>
        <v>0</v>
      </c>
      <c r="J138" s="5417"/>
      <c r="K138" s="5418"/>
      <c r="L138" s="4738">
        <f t="shared" si="171"/>
        <v>0</v>
      </c>
      <c r="M138" s="2815">
        <f t="shared" si="171"/>
        <v>0</v>
      </c>
      <c r="N138" s="5417"/>
      <c r="O138" s="5418"/>
      <c r="P138" s="4738">
        <f t="shared" si="172"/>
        <v>0</v>
      </c>
      <c r="Q138" s="2815">
        <f t="shared" si="172"/>
        <v>0</v>
      </c>
      <c r="R138" s="5417"/>
      <c r="S138" s="5418"/>
      <c r="T138" s="4738">
        <f t="shared" si="173"/>
        <v>0</v>
      </c>
      <c r="U138" s="2815">
        <f t="shared" si="173"/>
        <v>0</v>
      </c>
      <c r="V138" s="5417"/>
      <c r="W138" s="5418"/>
      <c r="X138" s="4738">
        <f t="shared" si="174"/>
        <v>0</v>
      </c>
      <c r="Y138" s="4775"/>
      <c r="Z138" s="4794">
        <f t="shared" si="130"/>
        <v>44.993685545267226</v>
      </c>
      <c r="AA138" s="4809"/>
      <c r="AB138" s="4810"/>
      <c r="AC138" s="4794">
        <f t="shared" si="131"/>
        <v>39.369474852108823</v>
      </c>
      <c r="AD138" s="4794">
        <f t="shared" si="132"/>
        <v>0</v>
      </c>
      <c r="AE138" s="4809"/>
      <c r="AF138" s="4810"/>
      <c r="AG138" s="4794">
        <f t="shared" si="133"/>
        <v>0</v>
      </c>
      <c r="AH138" s="4794">
        <f t="shared" si="134"/>
        <v>0</v>
      </c>
      <c r="AI138" s="4809"/>
      <c r="AJ138" s="4810"/>
      <c r="AK138" s="4794">
        <f t="shared" si="135"/>
        <v>0</v>
      </c>
      <c r="AL138" s="4794">
        <f t="shared" si="136"/>
        <v>0</v>
      </c>
      <c r="AM138" s="4809"/>
      <c r="AN138" s="4810"/>
      <c r="AO138" s="4794">
        <f t="shared" si="137"/>
        <v>0</v>
      </c>
      <c r="AP138" s="4794">
        <f t="shared" si="138"/>
        <v>0</v>
      </c>
      <c r="AQ138" s="4809"/>
      <c r="AR138" s="4810"/>
      <c r="AS138" s="4794">
        <f t="shared" si="139"/>
        <v>0</v>
      </c>
    </row>
    <row r="139" spans="1:45">
      <c r="A139" s="2683">
        <v>8</v>
      </c>
      <c r="B139" s="2684">
        <v>2040101</v>
      </c>
      <c r="C139" s="2740">
        <v>0.1</v>
      </c>
      <c r="D139" s="2714" t="s">
        <v>1016</v>
      </c>
      <c r="E139" s="2815">
        <f t="shared" si="169"/>
        <v>0</v>
      </c>
      <c r="F139" s="5417"/>
      <c r="G139" s="5418"/>
      <c r="H139" s="4738">
        <f t="shared" si="170"/>
        <v>0</v>
      </c>
      <c r="I139" s="2815">
        <f t="shared" si="170"/>
        <v>0</v>
      </c>
      <c r="J139" s="5417"/>
      <c r="K139" s="5418"/>
      <c r="L139" s="4738">
        <f t="shared" si="171"/>
        <v>0</v>
      </c>
      <c r="M139" s="2815">
        <f t="shared" si="171"/>
        <v>0</v>
      </c>
      <c r="N139" s="5417"/>
      <c r="O139" s="5418"/>
      <c r="P139" s="4738">
        <f t="shared" si="172"/>
        <v>0</v>
      </c>
      <c r="Q139" s="2815">
        <f t="shared" si="172"/>
        <v>0</v>
      </c>
      <c r="R139" s="5417"/>
      <c r="S139" s="5418"/>
      <c r="T139" s="4738">
        <f t="shared" si="173"/>
        <v>0</v>
      </c>
      <c r="U139" s="2815">
        <f t="shared" si="173"/>
        <v>0</v>
      </c>
      <c r="V139" s="5417"/>
      <c r="W139" s="5418"/>
      <c r="X139" s="4738">
        <f t="shared" si="174"/>
        <v>0</v>
      </c>
      <c r="Y139" s="4775"/>
      <c r="Z139" s="4794">
        <f t="shared" si="130"/>
        <v>0</v>
      </c>
      <c r="AA139" s="4809"/>
      <c r="AB139" s="4810"/>
      <c r="AC139" s="4794">
        <f t="shared" si="131"/>
        <v>0</v>
      </c>
      <c r="AD139" s="4794">
        <f t="shared" si="132"/>
        <v>0</v>
      </c>
      <c r="AE139" s="4809"/>
      <c r="AF139" s="4810"/>
      <c r="AG139" s="4794">
        <f t="shared" si="133"/>
        <v>0</v>
      </c>
      <c r="AH139" s="4794">
        <f t="shared" si="134"/>
        <v>0</v>
      </c>
      <c r="AI139" s="4809"/>
      <c r="AJ139" s="4810"/>
      <c r="AK139" s="4794">
        <f t="shared" si="135"/>
        <v>0</v>
      </c>
      <c r="AL139" s="4794">
        <f t="shared" si="136"/>
        <v>0</v>
      </c>
      <c r="AM139" s="4809"/>
      <c r="AN139" s="4810"/>
      <c r="AO139" s="4794">
        <f t="shared" si="137"/>
        <v>0</v>
      </c>
      <c r="AP139" s="4794">
        <f t="shared" si="138"/>
        <v>0</v>
      </c>
      <c r="AQ139" s="4809"/>
      <c r="AR139" s="4810"/>
      <c r="AS139" s="4794">
        <f t="shared" si="139"/>
        <v>0</v>
      </c>
    </row>
    <row r="140" spans="1:45">
      <c r="A140" s="2741">
        <v>9</v>
      </c>
      <c r="B140" s="2684">
        <v>2040102</v>
      </c>
      <c r="C140" s="2740">
        <v>0.04</v>
      </c>
      <c r="D140" s="2714" t="s">
        <v>432</v>
      </c>
      <c r="E140" s="2815">
        <f t="shared" si="169"/>
        <v>0</v>
      </c>
      <c r="F140" s="5417"/>
      <c r="G140" s="5418"/>
      <c r="H140" s="4738">
        <f t="shared" si="170"/>
        <v>0</v>
      </c>
      <c r="I140" s="2815">
        <f t="shared" si="170"/>
        <v>0</v>
      </c>
      <c r="J140" s="5417"/>
      <c r="K140" s="5418"/>
      <c r="L140" s="4738">
        <f t="shared" si="171"/>
        <v>0</v>
      </c>
      <c r="M140" s="2815">
        <f t="shared" si="171"/>
        <v>0</v>
      </c>
      <c r="N140" s="5417"/>
      <c r="O140" s="5418"/>
      <c r="P140" s="4738">
        <f t="shared" si="172"/>
        <v>0</v>
      </c>
      <c r="Q140" s="2815">
        <f t="shared" si="172"/>
        <v>0</v>
      </c>
      <c r="R140" s="5417"/>
      <c r="S140" s="5418"/>
      <c r="T140" s="4738">
        <f t="shared" si="173"/>
        <v>0</v>
      </c>
      <c r="U140" s="2815">
        <f t="shared" si="173"/>
        <v>0</v>
      </c>
      <c r="V140" s="5417"/>
      <c r="W140" s="5418"/>
      <c r="X140" s="4738">
        <f t="shared" si="174"/>
        <v>0</v>
      </c>
      <c r="Y140" s="4775"/>
      <c r="Z140" s="4794">
        <f t="shared" ref="Z140:Z203" si="175">IFERROR(E140/$D$1,0)</f>
        <v>0</v>
      </c>
      <c r="AA140" s="4809"/>
      <c r="AB140" s="4810"/>
      <c r="AC140" s="4794">
        <f t="shared" ref="AC140:AC203" si="176">IFERROR(H140/$D$1,0)</f>
        <v>0</v>
      </c>
      <c r="AD140" s="4794">
        <f t="shared" ref="AD140:AD203" si="177">IFERROR(I140/$D$1,0)</f>
        <v>0</v>
      </c>
      <c r="AE140" s="4809"/>
      <c r="AF140" s="4810"/>
      <c r="AG140" s="4794">
        <f t="shared" ref="AG140:AG203" si="178">IFERROR(L140/$D$1,0)</f>
        <v>0</v>
      </c>
      <c r="AH140" s="4794">
        <f t="shared" ref="AH140:AH203" si="179">IFERROR(M140/$D$1,0)</f>
        <v>0</v>
      </c>
      <c r="AI140" s="4809"/>
      <c r="AJ140" s="4810"/>
      <c r="AK140" s="4794">
        <f t="shared" ref="AK140:AK203" si="180">IFERROR(P140/$D$1,0)</f>
        <v>0</v>
      </c>
      <c r="AL140" s="4794">
        <f t="shared" ref="AL140:AL203" si="181">IFERROR(Q140/$D$1,0)</f>
        <v>0</v>
      </c>
      <c r="AM140" s="4809"/>
      <c r="AN140" s="4810"/>
      <c r="AO140" s="4794">
        <f t="shared" ref="AO140:AO203" si="182">IFERROR(T140/$D$1,0)</f>
        <v>0</v>
      </c>
      <c r="AP140" s="4794">
        <f t="shared" ref="AP140:AP203" si="183">IFERROR(U140/$D$1,0)</f>
        <v>0</v>
      </c>
      <c r="AQ140" s="4809"/>
      <c r="AR140" s="4810"/>
      <c r="AS140" s="4794">
        <f t="shared" ref="AS140:AS203" si="184">IFERROR(X140/$D$1,0)</f>
        <v>0</v>
      </c>
    </row>
    <row r="141" spans="1:45">
      <c r="A141" s="2741">
        <v>10</v>
      </c>
      <c r="B141" s="2684">
        <v>2040201</v>
      </c>
      <c r="C141" s="2685">
        <v>0.02</v>
      </c>
      <c r="D141" s="2715" t="s">
        <v>738</v>
      </c>
      <c r="E141" s="2815">
        <f t="shared" si="169"/>
        <v>0</v>
      </c>
      <c r="F141" s="5417"/>
      <c r="G141" s="5418"/>
      <c r="H141" s="4738">
        <f t="shared" si="170"/>
        <v>0</v>
      </c>
      <c r="I141" s="2815">
        <f t="shared" si="170"/>
        <v>0</v>
      </c>
      <c r="J141" s="5417"/>
      <c r="K141" s="5418"/>
      <c r="L141" s="4738">
        <f t="shared" si="171"/>
        <v>0</v>
      </c>
      <c r="M141" s="2815">
        <f t="shared" si="171"/>
        <v>0</v>
      </c>
      <c r="N141" s="5417"/>
      <c r="O141" s="5418"/>
      <c r="P141" s="4738">
        <f t="shared" si="172"/>
        <v>0</v>
      </c>
      <c r="Q141" s="2815">
        <f t="shared" si="172"/>
        <v>0</v>
      </c>
      <c r="R141" s="5417"/>
      <c r="S141" s="5418"/>
      <c r="T141" s="4738">
        <f t="shared" si="173"/>
        <v>0</v>
      </c>
      <c r="U141" s="2815">
        <f t="shared" si="173"/>
        <v>0</v>
      </c>
      <c r="V141" s="5417"/>
      <c r="W141" s="5418"/>
      <c r="X141" s="4738">
        <f t="shared" si="174"/>
        <v>0</v>
      </c>
      <c r="Y141" s="4775"/>
      <c r="Z141" s="4794">
        <f t="shared" si="175"/>
        <v>0</v>
      </c>
      <c r="AA141" s="4809"/>
      <c r="AB141" s="4810"/>
      <c r="AC141" s="4794">
        <f t="shared" si="176"/>
        <v>0</v>
      </c>
      <c r="AD141" s="4794">
        <f t="shared" si="177"/>
        <v>0</v>
      </c>
      <c r="AE141" s="4809"/>
      <c r="AF141" s="4810"/>
      <c r="AG141" s="4794">
        <f t="shared" si="178"/>
        <v>0</v>
      </c>
      <c r="AH141" s="4794">
        <f t="shared" si="179"/>
        <v>0</v>
      </c>
      <c r="AI141" s="4809"/>
      <c r="AJ141" s="4810"/>
      <c r="AK141" s="4794">
        <f t="shared" si="180"/>
        <v>0</v>
      </c>
      <c r="AL141" s="4794">
        <f t="shared" si="181"/>
        <v>0</v>
      </c>
      <c r="AM141" s="4809"/>
      <c r="AN141" s="4810"/>
      <c r="AO141" s="4794">
        <f t="shared" si="182"/>
        <v>0</v>
      </c>
      <c r="AP141" s="4794">
        <f t="shared" si="183"/>
        <v>0</v>
      </c>
      <c r="AQ141" s="4809"/>
      <c r="AR141" s="4810"/>
      <c r="AS141" s="4794">
        <f t="shared" si="184"/>
        <v>0</v>
      </c>
    </row>
    <row r="142" spans="1:45">
      <c r="A142" s="2741">
        <v>11</v>
      </c>
      <c r="B142" s="2684">
        <v>2040202</v>
      </c>
      <c r="C142" s="2685">
        <v>0.02</v>
      </c>
      <c r="D142" s="2715" t="s">
        <v>739</v>
      </c>
      <c r="E142" s="2815">
        <f t="shared" si="169"/>
        <v>223</v>
      </c>
      <c r="F142" s="5417"/>
      <c r="G142" s="5418"/>
      <c r="H142" s="4738">
        <f t="shared" si="170"/>
        <v>218</v>
      </c>
      <c r="I142" s="2815">
        <f t="shared" si="170"/>
        <v>0</v>
      </c>
      <c r="J142" s="5417"/>
      <c r="K142" s="5418"/>
      <c r="L142" s="4738">
        <f t="shared" si="171"/>
        <v>0</v>
      </c>
      <c r="M142" s="2815">
        <f t="shared" si="171"/>
        <v>0</v>
      </c>
      <c r="N142" s="5417"/>
      <c r="O142" s="5418"/>
      <c r="P142" s="4738">
        <f t="shared" si="172"/>
        <v>0</v>
      </c>
      <c r="Q142" s="2815">
        <f t="shared" si="172"/>
        <v>0</v>
      </c>
      <c r="R142" s="5417"/>
      <c r="S142" s="5418"/>
      <c r="T142" s="4738">
        <f t="shared" si="173"/>
        <v>0</v>
      </c>
      <c r="U142" s="2815">
        <f t="shared" si="173"/>
        <v>0</v>
      </c>
      <c r="V142" s="5417"/>
      <c r="W142" s="5418"/>
      <c r="X142" s="4738">
        <f t="shared" si="174"/>
        <v>0</v>
      </c>
      <c r="Y142" s="4775"/>
      <c r="Z142" s="4794">
        <f t="shared" si="175"/>
        <v>114.01808950675672</v>
      </c>
      <c r="AA142" s="4809"/>
      <c r="AB142" s="4810"/>
      <c r="AC142" s="4794">
        <f t="shared" si="176"/>
        <v>111.46163010077564</v>
      </c>
      <c r="AD142" s="4794">
        <f t="shared" si="177"/>
        <v>0</v>
      </c>
      <c r="AE142" s="4809"/>
      <c r="AF142" s="4810"/>
      <c r="AG142" s="4794">
        <f t="shared" si="178"/>
        <v>0</v>
      </c>
      <c r="AH142" s="4794">
        <f t="shared" si="179"/>
        <v>0</v>
      </c>
      <c r="AI142" s="4809"/>
      <c r="AJ142" s="4810"/>
      <c r="AK142" s="4794">
        <f t="shared" si="180"/>
        <v>0</v>
      </c>
      <c r="AL142" s="4794">
        <f t="shared" si="181"/>
        <v>0</v>
      </c>
      <c r="AM142" s="4809"/>
      <c r="AN142" s="4810"/>
      <c r="AO142" s="4794">
        <f t="shared" si="182"/>
        <v>0</v>
      </c>
      <c r="AP142" s="4794">
        <f t="shared" si="183"/>
        <v>0</v>
      </c>
      <c r="AQ142" s="4809"/>
      <c r="AR142" s="4810"/>
      <c r="AS142" s="4794">
        <f t="shared" si="184"/>
        <v>0</v>
      </c>
    </row>
    <row r="143" spans="1:45">
      <c r="A143" s="2741">
        <v>12</v>
      </c>
      <c r="B143" s="2684">
        <v>2040203</v>
      </c>
      <c r="C143" s="2685">
        <v>0.02</v>
      </c>
      <c r="D143" s="2715" t="s">
        <v>418</v>
      </c>
      <c r="E143" s="2815">
        <f t="shared" si="169"/>
        <v>0</v>
      </c>
      <c r="F143" s="5417"/>
      <c r="G143" s="5418"/>
      <c r="H143" s="4738">
        <f t="shared" si="170"/>
        <v>0</v>
      </c>
      <c r="I143" s="2815">
        <f t="shared" si="170"/>
        <v>0</v>
      </c>
      <c r="J143" s="5417"/>
      <c r="K143" s="5418"/>
      <c r="L143" s="4738">
        <f t="shared" si="171"/>
        <v>0</v>
      </c>
      <c r="M143" s="2815">
        <f t="shared" si="171"/>
        <v>0</v>
      </c>
      <c r="N143" s="5417"/>
      <c r="O143" s="5418"/>
      <c r="P143" s="4738">
        <f t="shared" si="172"/>
        <v>0</v>
      </c>
      <c r="Q143" s="2815">
        <f t="shared" si="172"/>
        <v>0</v>
      </c>
      <c r="R143" s="5417"/>
      <c r="S143" s="5418"/>
      <c r="T143" s="4738">
        <f t="shared" si="173"/>
        <v>0</v>
      </c>
      <c r="U143" s="2815">
        <f t="shared" si="173"/>
        <v>0</v>
      </c>
      <c r="V143" s="5417"/>
      <c r="W143" s="5418"/>
      <c r="X143" s="4738">
        <f t="shared" si="174"/>
        <v>0</v>
      </c>
      <c r="Y143" s="4775"/>
      <c r="Z143" s="4794">
        <f t="shared" si="175"/>
        <v>0</v>
      </c>
      <c r="AA143" s="4809"/>
      <c r="AB143" s="4810"/>
      <c r="AC143" s="4794">
        <f t="shared" si="176"/>
        <v>0</v>
      </c>
      <c r="AD143" s="4794">
        <f t="shared" si="177"/>
        <v>0</v>
      </c>
      <c r="AE143" s="4809"/>
      <c r="AF143" s="4810"/>
      <c r="AG143" s="4794">
        <f t="shared" si="178"/>
        <v>0</v>
      </c>
      <c r="AH143" s="4794">
        <f t="shared" si="179"/>
        <v>0</v>
      </c>
      <c r="AI143" s="4809"/>
      <c r="AJ143" s="4810"/>
      <c r="AK143" s="4794">
        <f t="shared" si="180"/>
        <v>0</v>
      </c>
      <c r="AL143" s="4794">
        <f t="shared" si="181"/>
        <v>0</v>
      </c>
      <c r="AM143" s="4809"/>
      <c r="AN143" s="4810"/>
      <c r="AO143" s="4794">
        <f t="shared" si="182"/>
        <v>0</v>
      </c>
      <c r="AP143" s="4794">
        <f t="shared" si="183"/>
        <v>0</v>
      </c>
      <c r="AQ143" s="4809"/>
      <c r="AR143" s="4810"/>
      <c r="AS143" s="4794">
        <f t="shared" si="184"/>
        <v>0</v>
      </c>
    </row>
    <row r="144" spans="1:45" ht="24">
      <c r="A144" s="2741">
        <v>13</v>
      </c>
      <c r="B144" s="2684">
        <v>2040204</v>
      </c>
      <c r="C144" s="2685">
        <v>0.02</v>
      </c>
      <c r="D144" s="2714" t="s">
        <v>419</v>
      </c>
      <c r="E144" s="2815">
        <f t="shared" si="169"/>
        <v>41</v>
      </c>
      <c r="F144" s="5417"/>
      <c r="G144" s="5418"/>
      <c r="H144" s="4738">
        <f t="shared" si="170"/>
        <v>40</v>
      </c>
      <c r="I144" s="2815">
        <f t="shared" si="170"/>
        <v>0</v>
      </c>
      <c r="J144" s="5417"/>
      <c r="K144" s="5418"/>
      <c r="L144" s="4738">
        <f t="shared" si="171"/>
        <v>0</v>
      </c>
      <c r="M144" s="2815">
        <f t="shared" si="171"/>
        <v>0</v>
      </c>
      <c r="N144" s="5417"/>
      <c r="O144" s="5418"/>
      <c r="P144" s="4738">
        <f t="shared" si="172"/>
        <v>0</v>
      </c>
      <c r="Q144" s="2815">
        <f t="shared" si="172"/>
        <v>0</v>
      </c>
      <c r="R144" s="5417"/>
      <c r="S144" s="5418"/>
      <c r="T144" s="4738">
        <f t="shared" si="173"/>
        <v>0</v>
      </c>
      <c r="U144" s="2815">
        <f t="shared" si="173"/>
        <v>0</v>
      </c>
      <c r="V144" s="5417"/>
      <c r="W144" s="5418"/>
      <c r="X144" s="4738">
        <f t="shared" si="174"/>
        <v>0</v>
      </c>
      <c r="Y144" s="4775"/>
      <c r="Z144" s="4794">
        <f t="shared" si="175"/>
        <v>20.962967129044959</v>
      </c>
      <c r="AA144" s="4809"/>
      <c r="AB144" s="4810"/>
      <c r="AC144" s="4794">
        <f t="shared" si="176"/>
        <v>20.45167524784874</v>
      </c>
      <c r="AD144" s="4794">
        <f t="shared" si="177"/>
        <v>0</v>
      </c>
      <c r="AE144" s="4809"/>
      <c r="AF144" s="4810"/>
      <c r="AG144" s="4794">
        <f t="shared" si="178"/>
        <v>0</v>
      </c>
      <c r="AH144" s="4794">
        <f t="shared" si="179"/>
        <v>0</v>
      </c>
      <c r="AI144" s="4809"/>
      <c r="AJ144" s="4810"/>
      <c r="AK144" s="4794">
        <f t="shared" si="180"/>
        <v>0</v>
      </c>
      <c r="AL144" s="4794">
        <f t="shared" si="181"/>
        <v>0</v>
      </c>
      <c r="AM144" s="4809"/>
      <c r="AN144" s="4810"/>
      <c r="AO144" s="4794">
        <f t="shared" si="182"/>
        <v>0</v>
      </c>
      <c r="AP144" s="4794">
        <f t="shared" si="183"/>
        <v>0</v>
      </c>
      <c r="AQ144" s="4809"/>
      <c r="AR144" s="4810"/>
      <c r="AS144" s="4794">
        <f t="shared" si="184"/>
        <v>0</v>
      </c>
    </row>
    <row r="145" spans="1:45">
      <c r="A145" s="2741">
        <v>14</v>
      </c>
      <c r="B145" s="2684">
        <v>2040205</v>
      </c>
      <c r="C145" s="2685">
        <v>0.02</v>
      </c>
      <c r="D145" s="2715" t="s">
        <v>420</v>
      </c>
      <c r="E145" s="2815">
        <f t="shared" si="169"/>
        <v>14474</v>
      </c>
      <c r="F145" s="5417"/>
      <c r="G145" s="5418"/>
      <c r="H145" s="4738">
        <f t="shared" si="170"/>
        <v>18066</v>
      </c>
      <c r="I145" s="2815">
        <f t="shared" si="170"/>
        <v>0</v>
      </c>
      <c r="J145" s="5417"/>
      <c r="K145" s="5418"/>
      <c r="L145" s="4738">
        <f t="shared" si="171"/>
        <v>0</v>
      </c>
      <c r="M145" s="2815">
        <f t="shared" si="171"/>
        <v>0</v>
      </c>
      <c r="N145" s="5417"/>
      <c r="O145" s="5418"/>
      <c r="P145" s="4738">
        <f t="shared" si="172"/>
        <v>0</v>
      </c>
      <c r="Q145" s="2815">
        <f t="shared" si="172"/>
        <v>0</v>
      </c>
      <c r="R145" s="5417"/>
      <c r="S145" s="5418"/>
      <c r="T145" s="4738">
        <f t="shared" si="173"/>
        <v>0</v>
      </c>
      <c r="U145" s="2815">
        <f t="shared" si="173"/>
        <v>0</v>
      </c>
      <c r="V145" s="5417"/>
      <c r="W145" s="5418"/>
      <c r="X145" s="4738">
        <f t="shared" si="174"/>
        <v>0</v>
      </c>
      <c r="Y145" s="4775"/>
      <c r="Z145" s="4794">
        <f t="shared" si="175"/>
        <v>7400.4386884340665</v>
      </c>
      <c r="AA145" s="4809"/>
      <c r="AB145" s="4810"/>
      <c r="AC145" s="4794">
        <f t="shared" si="176"/>
        <v>9236.9991256908834</v>
      </c>
      <c r="AD145" s="4794">
        <f t="shared" si="177"/>
        <v>0</v>
      </c>
      <c r="AE145" s="4809"/>
      <c r="AF145" s="4810"/>
      <c r="AG145" s="4794">
        <f t="shared" si="178"/>
        <v>0</v>
      </c>
      <c r="AH145" s="4794">
        <f t="shared" si="179"/>
        <v>0</v>
      </c>
      <c r="AI145" s="4809"/>
      <c r="AJ145" s="4810"/>
      <c r="AK145" s="4794">
        <f t="shared" si="180"/>
        <v>0</v>
      </c>
      <c r="AL145" s="4794">
        <f t="shared" si="181"/>
        <v>0</v>
      </c>
      <c r="AM145" s="4809"/>
      <c r="AN145" s="4810"/>
      <c r="AO145" s="4794">
        <f t="shared" si="182"/>
        <v>0</v>
      </c>
      <c r="AP145" s="4794">
        <f t="shared" si="183"/>
        <v>0</v>
      </c>
      <c r="AQ145" s="4809"/>
      <c r="AR145" s="4810"/>
      <c r="AS145" s="4794">
        <f t="shared" si="184"/>
        <v>0</v>
      </c>
    </row>
    <row r="146" spans="1:45">
      <c r="A146" s="2741">
        <v>15</v>
      </c>
      <c r="B146" s="2684">
        <v>2040206</v>
      </c>
      <c r="C146" s="2685">
        <v>0.02</v>
      </c>
      <c r="D146" s="2720" t="s">
        <v>421</v>
      </c>
      <c r="E146" s="2815">
        <f t="shared" si="169"/>
        <v>0</v>
      </c>
      <c r="F146" s="5417"/>
      <c r="G146" s="5418"/>
      <c r="H146" s="4738">
        <f t="shared" si="170"/>
        <v>0</v>
      </c>
      <c r="I146" s="2815">
        <f t="shared" si="170"/>
        <v>1367</v>
      </c>
      <c r="J146" s="5417"/>
      <c r="K146" s="5418"/>
      <c r="L146" s="4738">
        <f t="shared" si="171"/>
        <v>1433</v>
      </c>
      <c r="M146" s="2815">
        <f t="shared" si="171"/>
        <v>0</v>
      </c>
      <c r="N146" s="5417"/>
      <c r="O146" s="5418"/>
      <c r="P146" s="4738">
        <f t="shared" si="172"/>
        <v>0</v>
      </c>
      <c r="Q146" s="2815">
        <f t="shared" si="172"/>
        <v>0</v>
      </c>
      <c r="R146" s="5417"/>
      <c r="S146" s="5418"/>
      <c r="T146" s="4738">
        <f t="shared" si="173"/>
        <v>0</v>
      </c>
      <c r="U146" s="2815">
        <f t="shared" si="173"/>
        <v>0</v>
      </c>
      <c r="V146" s="5417"/>
      <c r="W146" s="5418"/>
      <c r="X146" s="4738">
        <f t="shared" si="174"/>
        <v>0</v>
      </c>
      <c r="Y146" s="4775"/>
      <c r="Z146" s="4794">
        <f t="shared" si="175"/>
        <v>0</v>
      </c>
      <c r="AA146" s="4809"/>
      <c r="AB146" s="4810"/>
      <c r="AC146" s="4794">
        <f t="shared" si="176"/>
        <v>0</v>
      </c>
      <c r="AD146" s="4794">
        <f t="shared" si="177"/>
        <v>698.93600159523066</v>
      </c>
      <c r="AE146" s="4809"/>
      <c r="AF146" s="4810"/>
      <c r="AG146" s="4794">
        <f t="shared" si="178"/>
        <v>732.68126575418114</v>
      </c>
      <c r="AH146" s="4794">
        <f t="shared" si="179"/>
        <v>0</v>
      </c>
      <c r="AI146" s="4809"/>
      <c r="AJ146" s="4810"/>
      <c r="AK146" s="4794">
        <f t="shared" si="180"/>
        <v>0</v>
      </c>
      <c r="AL146" s="4794">
        <f t="shared" si="181"/>
        <v>0</v>
      </c>
      <c r="AM146" s="4809"/>
      <c r="AN146" s="4810"/>
      <c r="AO146" s="4794">
        <f t="shared" si="182"/>
        <v>0</v>
      </c>
      <c r="AP146" s="4794">
        <f t="shared" si="183"/>
        <v>0</v>
      </c>
      <c r="AQ146" s="4809"/>
      <c r="AR146" s="4810"/>
      <c r="AS146" s="4794">
        <f t="shared" si="184"/>
        <v>0</v>
      </c>
    </row>
    <row r="147" spans="1:45" ht="48">
      <c r="A147" s="2741">
        <v>16</v>
      </c>
      <c r="B147" s="2684">
        <v>2040207</v>
      </c>
      <c r="C147" s="2685">
        <v>0.04</v>
      </c>
      <c r="D147" s="2720" t="s">
        <v>422</v>
      </c>
      <c r="E147" s="2815">
        <f t="shared" si="169"/>
        <v>1518</v>
      </c>
      <c r="F147" s="5417"/>
      <c r="G147" s="5418"/>
      <c r="H147" s="4738">
        <f t="shared" si="170"/>
        <v>1678</v>
      </c>
      <c r="I147" s="2815">
        <f t="shared" si="170"/>
        <v>0</v>
      </c>
      <c r="J147" s="5417"/>
      <c r="K147" s="5418"/>
      <c r="L147" s="4738">
        <f t="shared" si="171"/>
        <v>0</v>
      </c>
      <c r="M147" s="2815">
        <f t="shared" si="171"/>
        <v>770</v>
      </c>
      <c r="N147" s="5417"/>
      <c r="O147" s="5418"/>
      <c r="P147" s="4738">
        <f t="shared" si="172"/>
        <v>828</v>
      </c>
      <c r="Q147" s="2815">
        <f t="shared" si="172"/>
        <v>0</v>
      </c>
      <c r="R147" s="5417"/>
      <c r="S147" s="5418"/>
      <c r="T147" s="4738">
        <f t="shared" si="173"/>
        <v>0</v>
      </c>
      <c r="U147" s="2815">
        <f t="shared" si="173"/>
        <v>0</v>
      </c>
      <c r="V147" s="5417"/>
      <c r="W147" s="5418"/>
      <c r="X147" s="4738">
        <f t="shared" si="174"/>
        <v>0</v>
      </c>
      <c r="Y147" s="4775"/>
      <c r="Z147" s="4794">
        <f t="shared" si="175"/>
        <v>776.14107565585971</v>
      </c>
      <c r="AA147" s="4809"/>
      <c r="AB147" s="4810"/>
      <c r="AC147" s="4794">
        <f t="shared" si="176"/>
        <v>857.94777664725461</v>
      </c>
      <c r="AD147" s="4794">
        <f t="shared" si="177"/>
        <v>0</v>
      </c>
      <c r="AE147" s="4809"/>
      <c r="AF147" s="4810"/>
      <c r="AG147" s="4794">
        <f t="shared" si="178"/>
        <v>0</v>
      </c>
      <c r="AH147" s="4794">
        <f t="shared" si="179"/>
        <v>393.69474852108823</v>
      </c>
      <c r="AI147" s="4809"/>
      <c r="AJ147" s="4810"/>
      <c r="AK147" s="4794">
        <f t="shared" si="180"/>
        <v>423.34967763046893</v>
      </c>
      <c r="AL147" s="4794">
        <f t="shared" si="181"/>
        <v>0</v>
      </c>
      <c r="AM147" s="4809"/>
      <c r="AN147" s="4810"/>
      <c r="AO147" s="4794">
        <f t="shared" si="182"/>
        <v>0</v>
      </c>
      <c r="AP147" s="4794">
        <f t="shared" si="183"/>
        <v>0</v>
      </c>
      <c r="AQ147" s="4809"/>
      <c r="AR147" s="4810"/>
      <c r="AS147" s="4794">
        <f t="shared" si="184"/>
        <v>0</v>
      </c>
    </row>
    <row r="148" spans="1:45">
      <c r="A148" s="2741">
        <v>17</v>
      </c>
      <c r="B148" s="2684">
        <v>2040208</v>
      </c>
      <c r="C148" s="2685">
        <v>0.04</v>
      </c>
      <c r="D148" s="2720" t="s">
        <v>423</v>
      </c>
      <c r="E148" s="2815">
        <f t="shared" si="169"/>
        <v>32</v>
      </c>
      <c r="F148" s="5417"/>
      <c r="G148" s="5418"/>
      <c r="H148" s="4738">
        <f t="shared" ref="H148:I150" si="185">H108-H128</f>
        <v>30</v>
      </c>
      <c r="I148" s="2815">
        <f t="shared" si="185"/>
        <v>3</v>
      </c>
      <c r="J148" s="5417"/>
      <c r="K148" s="5418"/>
      <c r="L148" s="4738">
        <f t="shared" ref="L148:M150" si="186">L108-L128</f>
        <v>3</v>
      </c>
      <c r="M148" s="2815">
        <f t="shared" si="186"/>
        <v>0</v>
      </c>
      <c r="N148" s="5417"/>
      <c r="O148" s="5418"/>
      <c r="P148" s="4738">
        <f t="shared" ref="P148:Q150" si="187">P108-P128</f>
        <v>0</v>
      </c>
      <c r="Q148" s="2815">
        <f t="shared" si="187"/>
        <v>0</v>
      </c>
      <c r="R148" s="5417"/>
      <c r="S148" s="5418"/>
      <c r="T148" s="4738">
        <f t="shared" ref="T148:U150" si="188">T108-T128</f>
        <v>0</v>
      </c>
      <c r="U148" s="2815">
        <f t="shared" si="188"/>
        <v>0</v>
      </c>
      <c r="V148" s="5417"/>
      <c r="W148" s="5418"/>
      <c r="X148" s="4738">
        <f t="shared" si="174"/>
        <v>0</v>
      </c>
      <c r="Y148" s="4775"/>
      <c r="Z148" s="4794">
        <f t="shared" si="175"/>
        <v>16.361340198278992</v>
      </c>
      <c r="AA148" s="4809"/>
      <c r="AB148" s="4810"/>
      <c r="AC148" s="4794">
        <f t="shared" si="176"/>
        <v>15.338756435886555</v>
      </c>
      <c r="AD148" s="4794">
        <f t="shared" si="177"/>
        <v>1.5338756435886556</v>
      </c>
      <c r="AE148" s="4809"/>
      <c r="AF148" s="4810"/>
      <c r="AG148" s="4794">
        <f t="shared" si="178"/>
        <v>1.5338756435886556</v>
      </c>
      <c r="AH148" s="4794">
        <f t="shared" si="179"/>
        <v>0</v>
      </c>
      <c r="AI148" s="4809"/>
      <c r="AJ148" s="4810"/>
      <c r="AK148" s="4794">
        <f t="shared" si="180"/>
        <v>0</v>
      </c>
      <c r="AL148" s="4794">
        <f t="shared" si="181"/>
        <v>0</v>
      </c>
      <c r="AM148" s="4809"/>
      <c r="AN148" s="4810"/>
      <c r="AO148" s="4794">
        <f t="shared" si="182"/>
        <v>0</v>
      </c>
      <c r="AP148" s="4794">
        <f t="shared" si="183"/>
        <v>0</v>
      </c>
      <c r="AQ148" s="4809"/>
      <c r="AR148" s="4810"/>
      <c r="AS148" s="4794">
        <f t="shared" si="184"/>
        <v>0</v>
      </c>
    </row>
    <row r="149" spans="1:45">
      <c r="A149" s="2741">
        <v>18</v>
      </c>
      <c r="B149" s="2742" t="s">
        <v>1051</v>
      </c>
      <c r="C149" s="2685">
        <v>0.04</v>
      </c>
      <c r="D149" s="2739" t="s">
        <v>434</v>
      </c>
      <c r="E149" s="2815">
        <f t="shared" si="169"/>
        <v>0</v>
      </c>
      <c r="F149" s="5417"/>
      <c r="G149" s="5418"/>
      <c r="H149" s="4738">
        <f t="shared" si="185"/>
        <v>0</v>
      </c>
      <c r="I149" s="2815">
        <f t="shared" si="185"/>
        <v>0</v>
      </c>
      <c r="J149" s="5417"/>
      <c r="K149" s="5418"/>
      <c r="L149" s="4738">
        <f t="shared" si="186"/>
        <v>0</v>
      </c>
      <c r="M149" s="2815">
        <f t="shared" si="186"/>
        <v>0</v>
      </c>
      <c r="N149" s="5417"/>
      <c r="O149" s="5418"/>
      <c r="P149" s="4738">
        <f t="shared" si="187"/>
        <v>0</v>
      </c>
      <c r="Q149" s="2815">
        <f t="shared" si="187"/>
        <v>0</v>
      </c>
      <c r="R149" s="5417"/>
      <c r="S149" s="5418"/>
      <c r="T149" s="4738">
        <f t="shared" si="188"/>
        <v>0</v>
      </c>
      <c r="U149" s="2815">
        <f t="shared" si="188"/>
        <v>0</v>
      </c>
      <c r="V149" s="5417"/>
      <c r="W149" s="5418"/>
      <c r="X149" s="4738">
        <f t="shared" si="174"/>
        <v>0</v>
      </c>
      <c r="Y149" s="4775"/>
      <c r="Z149" s="4794">
        <f t="shared" si="175"/>
        <v>0</v>
      </c>
      <c r="AA149" s="4809"/>
      <c r="AB149" s="4810"/>
      <c r="AC149" s="4794">
        <f t="shared" si="176"/>
        <v>0</v>
      </c>
      <c r="AD149" s="4794">
        <f t="shared" si="177"/>
        <v>0</v>
      </c>
      <c r="AE149" s="4809"/>
      <c r="AF149" s="4810"/>
      <c r="AG149" s="4794">
        <f t="shared" si="178"/>
        <v>0</v>
      </c>
      <c r="AH149" s="4794">
        <f t="shared" si="179"/>
        <v>0</v>
      </c>
      <c r="AI149" s="4809"/>
      <c r="AJ149" s="4810"/>
      <c r="AK149" s="4794">
        <f t="shared" si="180"/>
        <v>0</v>
      </c>
      <c r="AL149" s="4794">
        <f t="shared" si="181"/>
        <v>0</v>
      </c>
      <c r="AM149" s="4809"/>
      <c r="AN149" s="4810"/>
      <c r="AO149" s="4794">
        <f t="shared" si="182"/>
        <v>0</v>
      </c>
      <c r="AP149" s="4794">
        <f t="shared" si="183"/>
        <v>0</v>
      </c>
      <c r="AQ149" s="4809"/>
      <c r="AR149" s="4810"/>
      <c r="AS149" s="4794">
        <f t="shared" si="184"/>
        <v>0</v>
      </c>
    </row>
    <row r="150" spans="1:45" ht="48.75" thickBot="1">
      <c r="A150" s="2741">
        <v>19</v>
      </c>
      <c r="B150" s="2684">
        <v>215</v>
      </c>
      <c r="C150" s="2690">
        <v>0.2</v>
      </c>
      <c r="D150" s="2720" t="s">
        <v>679</v>
      </c>
      <c r="E150" s="2815">
        <f t="shared" si="169"/>
        <v>1</v>
      </c>
      <c r="F150" s="5419"/>
      <c r="G150" s="5420"/>
      <c r="H150" s="4738">
        <f t="shared" si="185"/>
        <v>1</v>
      </c>
      <c r="I150" s="2815">
        <f t="shared" si="185"/>
        <v>0</v>
      </c>
      <c r="J150" s="5419"/>
      <c r="K150" s="5420"/>
      <c r="L150" s="4738">
        <f t="shared" si="186"/>
        <v>0</v>
      </c>
      <c r="M150" s="2815">
        <f t="shared" si="186"/>
        <v>0</v>
      </c>
      <c r="N150" s="5419"/>
      <c r="O150" s="5420"/>
      <c r="P150" s="4738">
        <f t="shared" si="187"/>
        <v>0</v>
      </c>
      <c r="Q150" s="2815">
        <f t="shared" si="187"/>
        <v>0</v>
      </c>
      <c r="R150" s="5419"/>
      <c r="S150" s="5420"/>
      <c r="T150" s="4738">
        <f t="shared" si="188"/>
        <v>0</v>
      </c>
      <c r="U150" s="2815">
        <f t="shared" si="188"/>
        <v>0</v>
      </c>
      <c r="V150" s="5419"/>
      <c r="W150" s="5420"/>
      <c r="X150" s="4738">
        <f t="shared" si="174"/>
        <v>0</v>
      </c>
      <c r="Y150" s="4775"/>
      <c r="Z150" s="4794">
        <f t="shared" si="175"/>
        <v>0.51129188119621849</v>
      </c>
      <c r="AA150" s="4804"/>
      <c r="AB150" s="4805"/>
      <c r="AC150" s="4794">
        <f t="shared" si="176"/>
        <v>0.51129188119621849</v>
      </c>
      <c r="AD150" s="4794">
        <f t="shared" si="177"/>
        <v>0</v>
      </c>
      <c r="AE150" s="4804"/>
      <c r="AF150" s="4805"/>
      <c r="AG150" s="4794">
        <f t="shared" si="178"/>
        <v>0</v>
      </c>
      <c r="AH150" s="4794">
        <f t="shared" si="179"/>
        <v>0</v>
      </c>
      <c r="AI150" s="4804"/>
      <c r="AJ150" s="4805"/>
      <c r="AK150" s="4794">
        <f t="shared" si="180"/>
        <v>0</v>
      </c>
      <c r="AL150" s="4794">
        <f t="shared" si="181"/>
        <v>0</v>
      </c>
      <c r="AM150" s="4804"/>
      <c r="AN150" s="4805"/>
      <c r="AO150" s="4794">
        <f t="shared" si="182"/>
        <v>0</v>
      </c>
      <c r="AP150" s="4794">
        <f t="shared" si="183"/>
        <v>0</v>
      </c>
      <c r="AQ150" s="4804"/>
      <c r="AR150" s="4805"/>
      <c r="AS150" s="4794">
        <f t="shared" si="184"/>
        <v>0</v>
      </c>
    </row>
    <row r="151" spans="1:45" ht="13.5" thickBot="1">
      <c r="A151" s="5426" t="s">
        <v>1793</v>
      </c>
      <c r="B151" s="5427"/>
      <c r="C151" s="5427"/>
      <c r="D151" s="5427"/>
      <c r="E151" s="5428"/>
      <c r="F151" s="4365">
        <f>SUM(F92:F110,F12:F13,F15:F19,F21:F29,F32,F33:F35,F38:F39)</f>
        <v>0</v>
      </c>
      <c r="G151" s="5421"/>
      <c r="H151" s="5422"/>
      <c r="I151" s="4740"/>
      <c r="J151" s="4365">
        <f>SUM(J92:J110,J12:J13,J15:J19,J21:J29,J32,J33:J35,J38:J39)</f>
        <v>0</v>
      </c>
      <c r="K151" s="5421"/>
      <c r="L151" s="5422"/>
      <c r="M151" s="4740"/>
      <c r="N151" s="4365">
        <f>SUM(N92:N110,N12:N13,N15:N19,N21:N29,N32,N33:N35,N38:N39)</f>
        <v>0</v>
      </c>
      <c r="O151" s="5421"/>
      <c r="P151" s="5422"/>
      <c r="Q151" s="4740"/>
      <c r="R151" s="4365">
        <f>SUM(R92:R110,R12:R13,R15:R19,R21:R29,R32,R33:R35,R38:R39)</f>
        <v>0</v>
      </c>
      <c r="S151" s="5421"/>
      <c r="T151" s="5422"/>
      <c r="U151" s="4740"/>
      <c r="V151" s="4365">
        <f>SUM(V92:V110,V12:V13,V15:V19,V21:V29,V32,V33:V35,V38:V39)</f>
        <v>0</v>
      </c>
      <c r="W151" s="5421"/>
      <c r="X151" s="5422"/>
      <c r="Y151" s="4775"/>
      <c r="Z151" s="4869"/>
      <c r="AA151" s="4800">
        <f>IFERROR(F151/$D$1,0)</f>
        <v>0</v>
      </c>
      <c r="AB151" s="4869"/>
      <c r="AC151" s="4869"/>
      <c r="AD151" s="4869"/>
      <c r="AE151" s="4800">
        <f>IFERROR(J151/$D$1,0)</f>
        <v>0</v>
      </c>
      <c r="AF151" s="4869"/>
      <c r="AG151" s="4869"/>
      <c r="AH151" s="4869"/>
      <c r="AI151" s="4800">
        <f>IFERROR(N151/$D$1,0)</f>
        <v>0</v>
      </c>
      <c r="AJ151" s="4869"/>
      <c r="AK151" s="4869"/>
      <c r="AL151" s="4869"/>
      <c r="AM151" s="4800">
        <f>IFERROR(R151/$D$1,0)</f>
        <v>0</v>
      </c>
      <c r="AN151" s="4869"/>
      <c r="AO151" s="4869"/>
      <c r="AP151" s="4869"/>
      <c r="AQ151" s="4800">
        <f>IFERROR(V151/$D$1,0)</f>
        <v>0</v>
      </c>
      <c r="AR151" s="4869"/>
      <c r="AS151" s="4869"/>
    </row>
    <row r="152" spans="1:45" ht="13.5" customHeight="1" thickBot="1">
      <c r="A152" s="2736" t="s">
        <v>424</v>
      </c>
      <c r="B152" s="5407" t="s">
        <v>645</v>
      </c>
      <c r="C152" s="5408"/>
      <c r="D152" s="5408"/>
      <c r="E152" s="5408"/>
      <c r="F152" s="5408"/>
      <c r="G152" s="5408"/>
      <c r="H152" s="5408"/>
      <c r="I152" s="5408"/>
      <c r="J152" s="5408"/>
      <c r="K152" s="5408"/>
      <c r="L152" s="5408"/>
      <c r="M152" s="5408"/>
      <c r="N152" s="5408"/>
      <c r="O152" s="5408"/>
      <c r="P152" s="5408"/>
      <c r="Q152" s="5408"/>
      <c r="R152" s="5408"/>
      <c r="S152" s="5408"/>
      <c r="T152" s="5408"/>
      <c r="U152" s="5408"/>
      <c r="V152" s="5408"/>
      <c r="W152" s="5408"/>
      <c r="X152" s="5409"/>
      <c r="Y152" s="4775"/>
      <c r="Z152" s="4870"/>
      <c r="AA152" s="4870"/>
      <c r="AB152" s="4870"/>
      <c r="AC152" s="4870"/>
      <c r="AD152" s="4870"/>
      <c r="AE152" s="4870"/>
      <c r="AF152" s="4870"/>
      <c r="AG152" s="4870"/>
      <c r="AH152" s="4870"/>
      <c r="AI152" s="4870"/>
      <c r="AJ152" s="4870"/>
      <c r="AK152" s="4870"/>
      <c r="AL152" s="4870"/>
      <c r="AM152" s="4870"/>
      <c r="AN152" s="4870"/>
      <c r="AO152" s="4870"/>
      <c r="AP152" s="4870"/>
      <c r="AQ152" s="4870"/>
      <c r="AR152" s="4870"/>
      <c r="AS152" s="4870"/>
    </row>
    <row r="153" spans="1:45" ht="13.5" thickBot="1">
      <c r="A153" s="2669" t="s">
        <v>205</v>
      </c>
      <c r="B153" s="5410" t="s">
        <v>334</v>
      </c>
      <c r="C153" s="5411"/>
      <c r="D153" s="5412"/>
      <c r="E153" s="1265">
        <f t="shared" ref="E153:X153" si="189">SUM(E154:E174)</f>
        <v>91248</v>
      </c>
      <c r="F153" s="1265">
        <f t="shared" si="189"/>
        <v>58</v>
      </c>
      <c r="G153" s="1265">
        <f t="shared" si="189"/>
        <v>0</v>
      </c>
      <c r="H153" s="1265">
        <f t="shared" si="189"/>
        <v>91306</v>
      </c>
      <c r="I153" s="1265">
        <f t="shared" si="189"/>
        <v>81397</v>
      </c>
      <c r="J153" s="1265">
        <f t="shared" si="189"/>
        <v>0</v>
      </c>
      <c r="K153" s="1265">
        <f t="shared" si="189"/>
        <v>0</v>
      </c>
      <c r="L153" s="1265">
        <f t="shared" si="189"/>
        <v>81397</v>
      </c>
      <c r="M153" s="1265">
        <f t="shared" si="189"/>
        <v>39365</v>
      </c>
      <c r="N153" s="1265">
        <f t="shared" si="189"/>
        <v>0</v>
      </c>
      <c r="O153" s="1265">
        <f t="shared" si="189"/>
        <v>0</v>
      </c>
      <c r="P153" s="1265">
        <f t="shared" si="189"/>
        <v>39365</v>
      </c>
      <c r="Q153" s="1265">
        <f t="shared" si="189"/>
        <v>0</v>
      </c>
      <c r="R153" s="1265">
        <f t="shared" si="189"/>
        <v>0</v>
      </c>
      <c r="S153" s="1265">
        <f t="shared" si="189"/>
        <v>0</v>
      </c>
      <c r="T153" s="1265">
        <f t="shared" si="189"/>
        <v>0</v>
      </c>
      <c r="U153" s="1265">
        <f t="shared" si="189"/>
        <v>0</v>
      </c>
      <c r="V153" s="1265">
        <f t="shared" si="189"/>
        <v>0</v>
      </c>
      <c r="W153" s="1265">
        <f t="shared" si="189"/>
        <v>0</v>
      </c>
      <c r="X153" s="1129">
        <f t="shared" si="189"/>
        <v>0</v>
      </c>
      <c r="Y153" s="4775"/>
      <c r="Z153" s="4794">
        <f t="shared" si="175"/>
        <v>46654.361575392548</v>
      </c>
      <c r="AA153" s="4794">
        <f t="shared" ref="AA153:AA197" si="190">IFERROR(F153/$D$1,0)</f>
        <v>29.654929109380674</v>
      </c>
      <c r="AB153" s="4794">
        <f t="shared" ref="AB153:AB197" si="191">IFERROR(G153/$D$1,0)</f>
        <v>0</v>
      </c>
      <c r="AC153" s="4794">
        <f t="shared" si="176"/>
        <v>46684.016504501924</v>
      </c>
      <c r="AD153" s="4794">
        <f t="shared" si="177"/>
        <v>41617.625253728598</v>
      </c>
      <c r="AE153" s="4794">
        <f t="shared" ref="AE153:AE197" si="192">IFERROR(J153/$D$1,0)</f>
        <v>0</v>
      </c>
      <c r="AF153" s="4794">
        <f t="shared" ref="AF153:AF197" si="193">IFERROR(K153/$D$1,0)</f>
        <v>0</v>
      </c>
      <c r="AG153" s="4794">
        <f t="shared" si="178"/>
        <v>41617.625253728598</v>
      </c>
      <c r="AH153" s="4794">
        <f t="shared" si="179"/>
        <v>20127.00490328914</v>
      </c>
      <c r="AI153" s="4794">
        <f t="shared" ref="AI153:AI197" si="194">IFERROR(N153/$D$1,0)</f>
        <v>0</v>
      </c>
      <c r="AJ153" s="4794">
        <f t="shared" ref="AJ153:AJ197" si="195">IFERROR(O153/$D$1,0)</f>
        <v>0</v>
      </c>
      <c r="AK153" s="4794">
        <f t="shared" si="180"/>
        <v>20127.00490328914</v>
      </c>
      <c r="AL153" s="4794">
        <f t="shared" si="181"/>
        <v>0</v>
      </c>
      <c r="AM153" s="4794">
        <f t="shared" ref="AM153:AM197" si="196">IFERROR(R153/$D$1,0)</f>
        <v>0</v>
      </c>
      <c r="AN153" s="4794">
        <f t="shared" ref="AN153:AN197" si="197">IFERROR(S153/$D$1,0)</f>
        <v>0</v>
      </c>
      <c r="AO153" s="4794">
        <f t="shared" si="182"/>
        <v>0</v>
      </c>
      <c r="AP153" s="4794">
        <f t="shared" si="183"/>
        <v>0</v>
      </c>
      <c r="AQ153" s="4794">
        <f t="shared" ref="AQ153:AQ197" si="198">IFERROR(V153/$D$1,0)</f>
        <v>0</v>
      </c>
      <c r="AR153" s="4794">
        <f t="shared" ref="AR153:AR197" si="199">IFERROR(W153/$D$1,0)</f>
        <v>0</v>
      </c>
      <c r="AS153" s="4794">
        <f t="shared" si="184"/>
        <v>0</v>
      </c>
    </row>
    <row r="154" spans="1:45">
      <c r="A154" s="2683">
        <v>1</v>
      </c>
      <c r="B154" s="2744" t="s">
        <v>696</v>
      </c>
      <c r="C154" s="2701">
        <v>0</v>
      </c>
      <c r="D154" s="2731" t="s">
        <v>558</v>
      </c>
      <c r="E154" s="414">
        <v>27</v>
      </c>
      <c r="F154" s="414"/>
      <c r="G154" s="414"/>
      <c r="H154" s="4738">
        <f t="shared" ref="H154:H196" si="200">+E154+F154-G154</f>
        <v>27</v>
      </c>
      <c r="I154" s="414"/>
      <c r="J154" s="414"/>
      <c r="K154" s="414"/>
      <c r="L154" s="4738">
        <f t="shared" ref="L154:L174" si="201">+I154+J154-K154</f>
        <v>0</v>
      </c>
      <c r="M154" s="414"/>
      <c r="N154" s="414"/>
      <c r="O154" s="414"/>
      <c r="P154" s="4738">
        <f t="shared" ref="P154:P174" si="202">+M154+N154-O154</f>
        <v>0</v>
      </c>
      <c r="Q154" s="414"/>
      <c r="R154" s="414"/>
      <c r="S154" s="414"/>
      <c r="T154" s="4738">
        <f t="shared" ref="T154:T174" si="203">+Q154+R154-S154</f>
        <v>0</v>
      </c>
      <c r="U154" s="414"/>
      <c r="V154" s="414"/>
      <c r="W154" s="414"/>
      <c r="X154" s="4738">
        <f t="shared" ref="X154:X174" si="204">+U154+V154-W154</f>
        <v>0</v>
      </c>
      <c r="Y154" s="4775"/>
      <c r="Z154" s="4794">
        <f t="shared" si="175"/>
        <v>13.804880792297899</v>
      </c>
      <c r="AA154" s="4794">
        <f t="shared" si="190"/>
        <v>0</v>
      </c>
      <c r="AB154" s="4794">
        <f t="shared" si="191"/>
        <v>0</v>
      </c>
      <c r="AC154" s="4794">
        <f t="shared" si="176"/>
        <v>13.804880792297899</v>
      </c>
      <c r="AD154" s="4794">
        <f t="shared" si="177"/>
        <v>0</v>
      </c>
      <c r="AE154" s="4794">
        <f t="shared" si="192"/>
        <v>0</v>
      </c>
      <c r="AF154" s="4794">
        <f t="shared" si="193"/>
        <v>0</v>
      </c>
      <c r="AG154" s="4794">
        <f t="shared" si="178"/>
        <v>0</v>
      </c>
      <c r="AH154" s="4794">
        <f t="shared" si="179"/>
        <v>0</v>
      </c>
      <c r="AI154" s="4794">
        <f t="shared" si="194"/>
        <v>0</v>
      </c>
      <c r="AJ154" s="4794">
        <f t="shared" si="195"/>
        <v>0</v>
      </c>
      <c r="AK154" s="4794">
        <f t="shared" si="180"/>
        <v>0</v>
      </c>
      <c r="AL154" s="4794">
        <f t="shared" si="181"/>
        <v>0</v>
      </c>
      <c r="AM154" s="4794">
        <f t="shared" si="196"/>
        <v>0</v>
      </c>
      <c r="AN154" s="4794">
        <f t="shared" si="197"/>
        <v>0</v>
      </c>
      <c r="AO154" s="4794">
        <f t="shared" si="182"/>
        <v>0</v>
      </c>
      <c r="AP154" s="4794">
        <f t="shared" si="183"/>
        <v>0</v>
      </c>
      <c r="AQ154" s="4794">
        <f t="shared" si="198"/>
        <v>0</v>
      </c>
      <c r="AR154" s="4794">
        <f t="shared" si="199"/>
        <v>0</v>
      </c>
      <c r="AS154" s="4794">
        <f t="shared" si="184"/>
        <v>0</v>
      </c>
    </row>
    <row r="155" spans="1:45">
      <c r="A155" s="2683">
        <v>2</v>
      </c>
      <c r="B155" s="2684" t="s">
        <v>697</v>
      </c>
      <c r="C155" s="2685">
        <v>0.03</v>
      </c>
      <c r="D155" s="2739" t="s">
        <v>426</v>
      </c>
      <c r="E155" s="414">
        <v>286</v>
      </c>
      <c r="F155" s="414"/>
      <c r="G155" s="414"/>
      <c r="H155" s="4738">
        <f t="shared" si="200"/>
        <v>286</v>
      </c>
      <c r="I155" s="414"/>
      <c r="J155" s="414"/>
      <c r="K155" s="414"/>
      <c r="L155" s="4738">
        <f t="shared" si="201"/>
        <v>0</v>
      </c>
      <c r="M155" s="414">
        <v>12360</v>
      </c>
      <c r="N155" s="414"/>
      <c r="O155" s="414"/>
      <c r="P155" s="4738">
        <f t="shared" si="202"/>
        <v>12360</v>
      </c>
      <c r="Q155" s="414"/>
      <c r="R155" s="414"/>
      <c r="S155" s="414"/>
      <c r="T155" s="4738">
        <f t="shared" si="203"/>
        <v>0</v>
      </c>
      <c r="U155" s="414"/>
      <c r="V155" s="414"/>
      <c r="W155" s="414"/>
      <c r="X155" s="4738">
        <f t="shared" si="204"/>
        <v>0</v>
      </c>
      <c r="Y155" s="4775"/>
      <c r="Z155" s="4794">
        <f t="shared" si="175"/>
        <v>146.22947802211849</v>
      </c>
      <c r="AA155" s="4794">
        <f t="shared" si="190"/>
        <v>0</v>
      </c>
      <c r="AB155" s="4794">
        <f t="shared" si="191"/>
        <v>0</v>
      </c>
      <c r="AC155" s="4794">
        <f t="shared" si="176"/>
        <v>146.22947802211849</v>
      </c>
      <c r="AD155" s="4794">
        <f t="shared" si="177"/>
        <v>0</v>
      </c>
      <c r="AE155" s="4794">
        <f t="shared" si="192"/>
        <v>0</v>
      </c>
      <c r="AF155" s="4794">
        <f t="shared" si="193"/>
        <v>0</v>
      </c>
      <c r="AG155" s="4794">
        <f t="shared" si="178"/>
        <v>0</v>
      </c>
      <c r="AH155" s="4794">
        <f t="shared" si="179"/>
        <v>6319.567651585261</v>
      </c>
      <c r="AI155" s="4794">
        <f t="shared" si="194"/>
        <v>0</v>
      </c>
      <c r="AJ155" s="4794">
        <f t="shared" si="195"/>
        <v>0</v>
      </c>
      <c r="AK155" s="4794">
        <f t="shared" si="180"/>
        <v>6319.567651585261</v>
      </c>
      <c r="AL155" s="4794">
        <f t="shared" si="181"/>
        <v>0</v>
      </c>
      <c r="AM155" s="4794">
        <f t="shared" si="196"/>
        <v>0</v>
      </c>
      <c r="AN155" s="4794">
        <f t="shared" si="197"/>
        <v>0</v>
      </c>
      <c r="AO155" s="4794">
        <f t="shared" si="182"/>
        <v>0</v>
      </c>
      <c r="AP155" s="4794">
        <f t="shared" si="183"/>
        <v>0</v>
      </c>
      <c r="AQ155" s="4794">
        <f t="shared" si="198"/>
        <v>0</v>
      </c>
      <c r="AR155" s="4794">
        <f t="shared" si="199"/>
        <v>0</v>
      </c>
      <c r="AS155" s="4794">
        <f t="shared" si="184"/>
        <v>0</v>
      </c>
    </row>
    <row r="156" spans="1:45">
      <c r="A156" s="2683">
        <v>3</v>
      </c>
      <c r="B156" s="2684">
        <v>911301</v>
      </c>
      <c r="C156" s="2685">
        <v>0.1</v>
      </c>
      <c r="D156" s="2739" t="s">
        <v>427</v>
      </c>
      <c r="E156" s="414"/>
      <c r="F156" s="414"/>
      <c r="G156" s="414"/>
      <c r="H156" s="4738">
        <f t="shared" si="200"/>
        <v>0</v>
      </c>
      <c r="I156" s="414"/>
      <c r="J156" s="414"/>
      <c r="K156" s="414"/>
      <c r="L156" s="4738">
        <f t="shared" si="201"/>
        <v>0</v>
      </c>
      <c r="M156" s="414"/>
      <c r="N156" s="414"/>
      <c r="O156" s="414"/>
      <c r="P156" s="4738">
        <f t="shared" si="202"/>
        <v>0</v>
      </c>
      <c r="Q156" s="414"/>
      <c r="R156" s="414"/>
      <c r="S156" s="414"/>
      <c r="T156" s="4738">
        <f t="shared" si="203"/>
        <v>0</v>
      </c>
      <c r="U156" s="414"/>
      <c r="V156" s="414"/>
      <c r="W156" s="414"/>
      <c r="X156" s="4738">
        <f t="shared" si="204"/>
        <v>0</v>
      </c>
      <c r="Y156" s="4775"/>
      <c r="Z156" s="4794">
        <f t="shared" si="175"/>
        <v>0</v>
      </c>
      <c r="AA156" s="4794">
        <f t="shared" si="190"/>
        <v>0</v>
      </c>
      <c r="AB156" s="4794">
        <f t="shared" si="191"/>
        <v>0</v>
      </c>
      <c r="AC156" s="4794">
        <f t="shared" si="176"/>
        <v>0</v>
      </c>
      <c r="AD156" s="4794">
        <f t="shared" si="177"/>
        <v>0</v>
      </c>
      <c r="AE156" s="4794">
        <f t="shared" si="192"/>
        <v>0</v>
      </c>
      <c r="AF156" s="4794">
        <f t="shared" si="193"/>
        <v>0</v>
      </c>
      <c r="AG156" s="4794">
        <f t="shared" si="178"/>
        <v>0</v>
      </c>
      <c r="AH156" s="4794">
        <f t="shared" si="179"/>
        <v>0</v>
      </c>
      <c r="AI156" s="4794">
        <f t="shared" si="194"/>
        <v>0</v>
      </c>
      <c r="AJ156" s="4794">
        <f t="shared" si="195"/>
        <v>0</v>
      </c>
      <c r="AK156" s="4794">
        <f t="shared" si="180"/>
        <v>0</v>
      </c>
      <c r="AL156" s="4794">
        <f t="shared" si="181"/>
        <v>0</v>
      </c>
      <c r="AM156" s="4794">
        <f t="shared" si="196"/>
        <v>0</v>
      </c>
      <c r="AN156" s="4794">
        <f t="shared" si="197"/>
        <v>0</v>
      </c>
      <c r="AO156" s="4794">
        <f t="shared" si="182"/>
        <v>0</v>
      </c>
      <c r="AP156" s="4794">
        <f t="shared" si="183"/>
        <v>0</v>
      </c>
      <c r="AQ156" s="4794">
        <f t="shared" si="198"/>
        <v>0</v>
      </c>
      <c r="AR156" s="4794">
        <f t="shared" si="199"/>
        <v>0</v>
      </c>
      <c r="AS156" s="4794">
        <f t="shared" si="184"/>
        <v>0</v>
      </c>
    </row>
    <row r="157" spans="1:45">
      <c r="A157" s="2683">
        <v>4</v>
      </c>
      <c r="B157" s="2684">
        <v>911302</v>
      </c>
      <c r="C157" s="2685">
        <v>0.1</v>
      </c>
      <c r="D157" s="2739" t="s">
        <v>428</v>
      </c>
      <c r="E157" s="414"/>
      <c r="F157" s="414"/>
      <c r="G157" s="414"/>
      <c r="H157" s="4738">
        <f t="shared" si="200"/>
        <v>0</v>
      </c>
      <c r="I157" s="414"/>
      <c r="J157" s="414"/>
      <c r="K157" s="414"/>
      <c r="L157" s="4738">
        <f t="shared" si="201"/>
        <v>0</v>
      </c>
      <c r="M157" s="414"/>
      <c r="N157" s="414"/>
      <c r="O157" s="414"/>
      <c r="P157" s="4738">
        <f t="shared" si="202"/>
        <v>0</v>
      </c>
      <c r="Q157" s="414"/>
      <c r="R157" s="414"/>
      <c r="S157" s="414"/>
      <c r="T157" s="4738">
        <f t="shared" si="203"/>
        <v>0</v>
      </c>
      <c r="U157" s="414"/>
      <c r="V157" s="414"/>
      <c r="W157" s="414"/>
      <c r="X157" s="4738">
        <f t="shared" si="204"/>
        <v>0</v>
      </c>
      <c r="Y157" s="4775"/>
      <c r="Z157" s="4794">
        <f t="shared" si="175"/>
        <v>0</v>
      </c>
      <c r="AA157" s="4794">
        <f t="shared" si="190"/>
        <v>0</v>
      </c>
      <c r="AB157" s="4794">
        <f t="shared" si="191"/>
        <v>0</v>
      </c>
      <c r="AC157" s="4794">
        <f t="shared" si="176"/>
        <v>0</v>
      </c>
      <c r="AD157" s="4794">
        <f t="shared" si="177"/>
        <v>0</v>
      </c>
      <c r="AE157" s="4794">
        <f t="shared" si="192"/>
        <v>0</v>
      </c>
      <c r="AF157" s="4794">
        <f t="shared" si="193"/>
        <v>0</v>
      </c>
      <c r="AG157" s="4794">
        <f t="shared" si="178"/>
        <v>0</v>
      </c>
      <c r="AH157" s="4794">
        <f t="shared" si="179"/>
        <v>0</v>
      </c>
      <c r="AI157" s="4794">
        <f t="shared" si="194"/>
        <v>0</v>
      </c>
      <c r="AJ157" s="4794">
        <f t="shared" si="195"/>
        <v>0</v>
      </c>
      <c r="AK157" s="4794">
        <f t="shared" si="180"/>
        <v>0</v>
      </c>
      <c r="AL157" s="4794">
        <f t="shared" si="181"/>
        <v>0</v>
      </c>
      <c r="AM157" s="4794">
        <f t="shared" si="196"/>
        <v>0</v>
      </c>
      <c r="AN157" s="4794">
        <f t="shared" si="197"/>
        <v>0</v>
      </c>
      <c r="AO157" s="4794">
        <f t="shared" si="182"/>
        <v>0</v>
      </c>
      <c r="AP157" s="4794">
        <f t="shared" si="183"/>
        <v>0</v>
      </c>
      <c r="AQ157" s="4794">
        <f t="shared" si="198"/>
        <v>0</v>
      </c>
      <c r="AR157" s="4794">
        <f t="shared" si="199"/>
        <v>0</v>
      </c>
      <c r="AS157" s="4794">
        <f t="shared" si="184"/>
        <v>0</v>
      </c>
    </row>
    <row r="158" spans="1:45">
      <c r="A158" s="2683">
        <v>5</v>
      </c>
      <c r="B158" s="2684" t="s">
        <v>714</v>
      </c>
      <c r="C158" s="2685">
        <v>0.1</v>
      </c>
      <c r="D158" s="2720" t="s">
        <v>407</v>
      </c>
      <c r="E158" s="414">
        <v>23</v>
      </c>
      <c r="F158" s="414"/>
      <c r="G158" s="414"/>
      <c r="H158" s="4738">
        <f t="shared" si="200"/>
        <v>23</v>
      </c>
      <c r="I158" s="414"/>
      <c r="J158" s="414"/>
      <c r="K158" s="414"/>
      <c r="L158" s="4738">
        <f t="shared" si="201"/>
        <v>0</v>
      </c>
      <c r="M158" s="414">
        <v>2</v>
      </c>
      <c r="N158" s="414"/>
      <c r="O158" s="414"/>
      <c r="P158" s="4738">
        <f t="shared" si="202"/>
        <v>2</v>
      </c>
      <c r="Q158" s="414"/>
      <c r="R158" s="414"/>
      <c r="S158" s="414"/>
      <c r="T158" s="4738">
        <f t="shared" si="203"/>
        <v>0</v>
      </c>
      <c r="U158" s="414"/>
      <c r="V158" s="414"/>
      <c r="W158" s="414"/>
      <c r="X158" s="4738">
        <f t="shared" si="204"/>
        <v>0</v>
      </c>
      <c r="Y158" s="4775"/>
      <c r="Z158" s="4794">
        <f t="shared" si="175"/>
        <v>11.759713267513025</v>
      </c>
      <c r="AA158" s="4794">
        <f t="shared" si="190"/>
        <v>0</v>
      </c>
      <c r="AB158" s="4794">
        <f t="shared" si="191"/>
        <v>0</v>
      </c>
      <c r="AC158" s="4794">
        <f t="shared" si="176"/>
        <v>11.759713267513025</v>
      </c>
      <c r="AD158" s="4794">
        <f t="shared" si="177"/>
        <v>0</v>
      </c>
      <c r="AE158" s="4794">
        <f t="shared" si="192"/>
        <v>0</v>
      </c>
      <c r="AF158" s="4794">
        <f t="shared" si="193"/>
        <v>0</v>
      </c>
      <c r="AG158" s="4794">
        <f t="shared" si="178"/>
        <v>0</v>
      </c>
      <c r="AH158" s="4794">
        <f t="shared" si="179"/>
        <v>1.022583762392437</v>
      </c>
      <c r="AI158" s="4794">
        <f t="shared" si="194"/>
        <v>0</v>
      </c>
      <c r="AJ158" s="4794">
        <f t="shared" si="195"/>
        <v>0</v>
      </c>
      <c r="AK158" s="4794">
        <f t="shared" si="180"/>
        <v>1.022583762392437</v>
      </c>
      <c r="AL158" s="4794">
        <f t="shared" si="181"/>
        <v>0</v>
      </c>
      <c r="AM158" s="4794">
        <f t="shared" si="196"/>
        <v>0</v>
      </c>
      <c r="AN158" s="4794">
        <f t="shared" si="197"/>
        <v>0</v>
      </c>
      <c r="AO158" s="4794">
        <f t="shared" si="182"/>
        <v>0</v>
      </c>
      <c r="AP158" s="4794">
        <f t="shared" si="183"/>
        <v>0</v>
      </c>
      <c r="AQ158" s="4794">
        <f t="shared" si="198"/>
        <v>0</v>
      </c>
      <c r="AR158" s="4794">
        <f t="shared" si="199"/>
        <v>0</v>
      </c>
      <c r="AS158" s="4794">
        <f t="shared" si="184"/>
        <v>0</v>
      </c>
    </row>
    <row r="159" spans="1:45">
      <c r="A159" s="2683">
        <v>6</v>
      </c>
      <c r="B159" s="2684" t="s">
        <v>715</v>
      </c>
      <c r="C159" s="2685">
        <v>0.1</v>
      </c>
      <c r="D159" s="2720" t="s">
        <v>1001</v>
      </c>
      <c r="E159" s="414">
        <v>71</v>
      </c>
      <c r="F159" s="414"/>
      <c r="G159" s="414"/>
      <c r="H159" s="4738">
        <f t="shared" si="200"/>
        <v>71</v>
      </c>
      <c r="I159" s="414"/>
      <c r="J159" s="414"/>
      <c r="K159" s="414"/>
      <c r="L159" s="4738">
        <f t="shared" si="201"/>
        <v>0</v>
      </c>
      <c r="M159" s="414"/>
      <c r="N159" s="414"/>
      <c r="O159" s="414"/>
      <c r="P159" s="4738">
        <f t="shared" si="202"/>
        <v>0</v>
      </c>
      <c r="Q159" s="414"/>
      <c r="R159" s="414"/>
      <c r="S159" s="414"/>
      <c r="T159" s="4738">
        <f t="shared" si="203"/>
        <v>0</v>
      </c>
      <c r="U159" s="414"/>
      <c r="V159" s="414"/>
      <c r="W159" s="414"/>
      <c r="X159" s="4738">
        <f t="shared" si="204"/>
        <v>0</v>
      </c>
      <c r="Y159" s="4775"/>
      <c r="Z159" s="4794">
        <f t="shared" si="175"/>
        <v>36.301723564931514</v>
      </c>
      <c r="AA159" s="4794">
        <f t="shared" si="190"/>
        <v>0</v>
      </c>
      <c r="AB159" s="4794">
        <f t="shared" si="191"/>
        <v>0</v>
      </c>
      <c r="AC159" s="4794">
        <f t="shared" si="176"/>
        <v>36.301723564931514</v>
      </c>
      <c r="AD159" s="4794">
        <f t="shared" si="177"/>
        <v>0</v>
      </c>
      <c r="AE159" s="4794">
        <f t="shared" si="192"/>
        <v>0</v>
      </c>
      <c r="AF159" s="4794">
        <f t="shared" si="193"/>
        <v>0</v>
      </c>
      <c r="AG159" s="4794">
        <f t="shared" si="178"/>
        <v>0</v>
      </c>
      <c r="AH159" s="4794">
        <f t="shared" si="179"/>
        <v>0</v>
      </c>
      <c r="AI159" s="4794">
        <f t="shared" si="194"/>
        <v>0</v>
      </c>
      <c r="AJ159" s="4794">
        <f t="shared" si="195"/>
        <v>0</v>
      </c>
      <c r="AK159" s="4794">
        <f t="shared" si="180"/>
        <v>0</v>
      </c>
      <c r="AL159" s="4794">
        <f t="shared" si="181"/>
        <v>0</v>
      </c>
      <c r="AM159" s="4794">
        <f t="shared" si="196"/>
        <v>0</v>
      </c>
      <c r="AN159" s="4794">
        <f t="shared" si="197"/>
        <v>0</v>
      </c>
      <c r="AO159" s="4794">
        <f t="shared" si="182"/>
        <v>0</v>
      </c>
      <c r="AP159" s="4794">
        <f t="shared" si="183"/>
        <v>0</v>
      </c>
      <c r="AQ159" s="4794">
        <f t="shared" si="198"/>
        <v>0</v>
      </c>
      <c r="AR159" s="4794">
        <f t="shared" si="199"/>
        <v>0</v>
      </c>
      <c r="AS159" s="4794">
        <f t="shared" si="184"/>
        <v>0</v>
      </c>
    </row>
    <row r="160" spans="1:45" ht="36">
      <c r="A160" s="2683">
        <v>7</v>
      </c>
      <c r="B160" s="2684" t="s">
        <v>706</v>
      </c>
      <c r="C160" s="2685">
        <v>0.1</v>
      </c>
      <c r="D160" s="2720" t="s">
        <v>695</v>
      </c>
      <c r="E160" s="414">
        <v>79</v>
      </c>
      <c r="F160" s="414"/>
      <c r="G160" s="414"/>
      <c r="H160" s="4738">
        <f t="shared" si="200"/>
        <v>79</v>
      </c>
      <c r="I160" s="414"/>
      <c r="J160" s="414"/>
      <c r="K160" s="414"/>
      <c r="L160" s="4738">
        <f t="shared" si="201"/>
        <v>0</v>
      </c>
      <c r="M160" s="414"/>
      <c r="N160" s="414"/>
      <c r="O160" s="414"/>
      <c r="P160" s="4738">
        <f t="shared" si="202"/>
        <v>0</v>
      </c>
      <c r="Q160" s="414"/>
      <c r="R160" s="414"/>
      <c r="S160" s="414"/>
      <c r="T160" s="4738">
        <f t="shared" si="203"/>
        <v>0</v>
      </c>
      <c r="U160" s="414"/>
      <c r="V160" s="414"/>
      <c r="W160" s="414"/>
      <c r="X160" s="4738">
        <f t="shared" si="204"/>
        <v>0</v>
      </c>
      <c r="Y160" s="4775"/>
      <c r="Z160" s="4794">
        <f t="shared" si="175"/>
        <v>40.392058614501259</v>
      </c>
      <c r="AA160" s="4794">
        <f t="shared" si="190"/>
        <v>0</v>
      </c>
      <c r="AB160" s="4794">
        <f t="shared" si="191"/>
        <v>0</v>
      </c>
      <c r="AC160" s="4794">
        <f t="shared" si="176"/>
        <v>40.392058614501259</v>
      </c>
      <c r="AD160" s="4794">
        <f t="shared" si="177"/>
        <v>0</v>
      </c>
      <c r="AE160" s="4794">
        <f t="shared" si="192"/>
        <v>0</v>
      </c>
      <c r="AF160" s="4794">
        <f t="shared" si="193"/>
        <v>0</v>
      </c>
      <c r="AG160" s="4794">
        <f t="shared" si="178"/>
        <v>0</v>
      </c>
      <c r="AH160" s="4794">
        <f t="shared" si="179"/>
        <v>0</v>
      </c>
      <c r="AI160" s="4794">
        <f t="shared" si="194"/>
        <v>0</v>
      </c>
      <c r="AJ160" s="4794">
        <f t="shared" si="195"/>
        <v>0</v>
      </c>
      <c r="AK160" s="4794">
        <f t="shared" si="180"/>
        <v>0</v>
      </c>
      <c r="AL160" s="4794">
        <f t="shared" si="181"/>
        <v>0</v>
      </c>
      <c r="AM160" s="4794">
        <f t="shared" si="196"/>
        <v>0</v>
      </c>
      <c r="AN160" s="4794">
        <f t="shared" si="197"/>
        <v>0</v>
      </c>
      <c r="AO160" s="4794">
        <f t="shared" si="182"/>
        <v>0</v>
      </c>
      <c r="AP160" s="4794">
        <f t="shared" si="183"/>
        <v>0</v>
      </c>
      <c r="AQ160" s="4794">
        <f t="shared" si="198"/>
        <v>0</v>
      </c>
      <c r="AR160" s="4794">
        <f t="shared" si="199"/>
        <v>0</v>
      </c>
      <c r="AS160" s="4794">
        <f t="shared" si="184"/>
        <v>0</v>
      </c>
    </row>
    <row r="161" spans="1:45">
      <c r="A161" s="2683">
        <v>8</v>
      </c>
      <c r="B161" s="2684" t="s">
        <v>716</v>
      </c>
      <c r="C161" s="2685">
        <v>0.1</v>
      </c>
      <c r="D161" s="2720" t="s">
        <v>713</v>
      </c>
      <c r="E161" s="414">
        <v>1280</v>
      </c>
      <c r="F161" s="414"/>
      <c r="G161" s="414"/>
      <c r="H161" s="4738">
        <f t="shared" si="200"/>
        <v>1280</v>
      </c>
      <c r="I161" s="414"/>
      <c r="J161" s="414"/>
      <c r="K161" s="414"/>
      <c r="L161" s="4738">
        <f t="shared" si="201"/>
        <v>0</v>
      </c>
      <c r="M161" s="414"/>
      <c r="N161" s="414"/>
      <c r="O161" s="414"/>
      <c r="P161" s="4738">
        <f t="shared" si="202"/>
        <v>0</v>
      </c>
      <c r="Q161" s="414"/>
      <c r="R161" s="414"/>
      <c r="S161" s="414"/>
      <c r="T161" s="4738">
        <f t="shared" si="203"/>
        <v>0</v>
      </c>
      <c r="U161" s="414"/>
      <c r="V161" s="414"/>
      <c r="W161" s="414"/>
      <c r="X161" s="4738">
        <f t="shared" si="204"/>
        <v>0</v>
      </c>
      <c r="Y161" s="4775"/>
      <c r="Z161" s="4794">
        <f t="shared" si="175"/>
        <v>654.45360793115969</v>
      </c>
      <c r="AA161" s="4794">
        <f t="shared" si="190"/>
        <v>0</v>
      </c>
      <c r="AB161" s="4794">
        <f t="shared" si="191"/>
        <v>0</v>
      </c>
      <c r="AC161" s="4794">
        <f t="shared" si="176"/>
        <v>654.45360793115969</v>
      </c>
      <c r="AD161" s="4794">
        <f t="shared" si="177"/>
        <v>0</v>
      </c>
      <c r="AE161" s="4794">
        <f t="shared" si="192"/>
        <v>0</v>
      </c>
      <c r="AF161" s="4794">
        <f t="shared" si="193"/>
        <v>0</v>
      </c>
      <c r="AG161" s="4794">
        <f t="shared" si="178"/>
        <v>0</v>
      </c>
      <c r="AH161" s="4794">
        <f t="shared" si="179"/>
        <v>0</v>
      </c>
      <c r="AI161" s="4794">
        <f t="shared" si="194"/>
        <v>0</v>
      </c>
      <c r="AJ161" s="4794">
        <f t="shared" si="195"/>
        <v>0</v>
      </c>
      <c r="AK161" s="4794">
        <f t="shared" si="180"/>
        <v>0</v>
      </c>
      <c r="AL161" s="4794">
        <f t="shared" si="181"/>
        <v>0</v>
      </c>
      <c r="AM161" s="4794">
        <f t="shared" si="196"/>
        <v>0</v>
      </c>
      <c r="AN161" s="4794">
        <f t="shared" si="197"/>
        <v>0</v>
      </c>
      <c r="AO161" s="4794">
        <f t="shared" si="182"/>
        <v>0</v>
      </c>
      <c r="AP161" s="4794">
        <f t="shared" si="183"/>
        <v>0</v>
      </c>
      <c r="AQ161" s="4794">
        <f t="shared" si="198"/>
        <v>0</v>
      </c>
      <c r="AR161" s="4794">
        <f t="shared" si="199"/>
        <v>0</v>
      </c>
      <c r="AS161" s="4794">
        <f t="shared" si="184"/>
        <v>0</v>
      </c>
    </row>
    <row r="162" spans="1:45" ht="24">
      <c r="A162" s="2741">
        <v>9</v>
      </c>
      <c r="B162" s="2684">
        <v>911306</v>
      </c>
      <c r="C162" s="2685">
        <v>0.1</v>
      </c>
      <c r="D162" s="2720" t="s">
        <v>1032</v>
      </c>
      <c r="E162" s="414">
        <v>80</v>
      </c>
      <c r="F162" s="414"/>
      <c r="G162" s="414"/>
      <c r="H162" s="4738">
        <f t="shared" si="200"/>
        <v>80</v>
      </c>
      <c r="I162" s="414"/>
      <c r="J162" s="414"/>
      <c r="K162" s="414"/>
      <c r="L162" s="4738">
        <f t="shared" si="201"/>
        <v>0</v>
      </c>
      <c r="M162" s="414">
        <v>279</v>
      </c>
      <c r="N162" s="414"/>
      <c r="O162" s="414"/>
      <c r="P162" s="4738">
        <f t="shared" si="202"/>
        <v>279</v>
      </c>
      <c r="Q162" s="414"/>
      <c r="R162" s="414"/>
      <c r="S162" s="414"/>
      <c r="T162" s="4738">
        <f t="shared" si="203"/>
        <v>0</v>
      </c>
      <c r="U162" s="414"/>
      <c r="V162" s="414"/>
      <c r="W162" s="414"/>
      <c r="X162" s="4738">
        <f t="shared" si="204"/>
        <v>0</v>
      </c>
      <c r="Y162" s="4775"/>
      <c r="Z162" s="4794">
        <f t="shared" si="175"/>
        <v>40.903350495697481</v>
      </c>
      <c r="AA162" s="4794">
        <f t="shared" si="190"/>
        <v>0</v>
      </c>
      <c r="AB162" s="4794">
        <f t="shared" si="191"/>
        <v>0</v>
      </c>
      <c r="AC162" s="4794">
        <f t="shared" si="176"/>
        <v>40.903350495697481</v>
      </c>
      <c r="AD162" s="4794">
        <f t="shared" si="177"/>
        <v>0</v>
      </c>
      <c r="AE162" s="4794">
        <f t="shared" si="192"/>
        <v>0</v>
      </c>
      <c r="AF162" s="4794">
        <f t="shared" si="193"/>
        <v>0</v>
      </c>
      <c r="AG162" s="4794">
        <f t="shared" si="178"/>
        <v>0</v>
      </c>
      <c r="AH162" s="4794">
        <f t="shared" si="179"/>
        <v>142.65043485374497</v>
      </c>
      <c r="AI162" s="4794">
        <f t="shared" si="194"/>
        <v>0</v>
      </c>
      <c r="AJ162" s="4794">
        <f t="shared" si="195"/>
        <v>0</v>
      </c>
      <c r="AK162" s="4794">
        <f t="shared" si="180"/>
        <v>142.65043485374497</v>
      </c>
      <c r="AL162" s="4794">
        <f t="shared" si="181"/>
        <v>0</v>
      </c>
      <c r="AM162" s="4794">
        <f t="shared" si="196"/>
        <v>0</v>
      </c>
      <c r="AN162" s="4794">
        <f t="shared" si="197"/>
        <v>0</v>
      </c>
      <c r="AO162" s="4794">
        <f t="shared" si="182"/>
        <v>0</v>
      </c>
      <c r="AP162" s="4794">
        <f t="shared" si="183"/>
        <v>0</v>
      </c>
      <c r="AQ162" s="4794">
        <f t="shared" si="198"/>
        <v>0</v>
      </c>
      <c r="AR162" s="4794">
        <f t="shared" si="199"/>
        <v>0</v>
      </c>
      <c r="AS162" s="4794">
        <f t="shared" si="184"/>
        <v>0</v>
      </c>
    </row>
    <row r="163" spans="1:45">
      <c r="A163" s="2741">
        <v>10</v>
      </c>
      <c r="B163" s="2684">
        <v>91140101</v>
      </c>
      <c r="C163" s="2740">
        <v>0.1</v>
      </c>
      <c r="D163" s="2714" t="s">
        <v>1016</v>
      </c>
      <c r="E163" s="414">
        <v>8</v>
      </c>
      <c r="F163" s="414"/>
      <c r="G163" s="414"/>
      <c r="H163" s="4738">
        <f t="shared" si="200"/>
        <v>8</v>
      </c>
      <c r="I163" s="414"/>
      <c r="J163" s="414"/>
      <c r="K163" s="414"/>
      <c r="L163" s="4738">
        <f t="shared" si="201"/>
        <v>0</v>
      </c>
      <c r="M163" s="414"/>
      <c r="N163" s="414"/>
      <c r="O163" s="414"/>
      <c r="P163" s="4738">
        <f t="shared" si="202"/>
        <v>0</v>
      </c>
      <c r="Q163" s="414"/>
      <c r="R163" s="414"/>
      <c r="S163" s="414"/>
      <c r="T163" s="4738">
        <f t="shared" si="203"/>
        <v>0</v>
      </c>
      <c r="U163" s="414"/>
      <c r="V163" s="414"/>
      <c r="W163" s="414"/>
      <c r="X163" s="4738">
        <f t="shared" si="204"/>
        <v>0</v>
      </c>
      <c r="Y163" s="4775"/>
      <c r="Z163" s="4794">
        <f t="shared" si="175"/>
        <v>4.0903350495697479</v>
      </c>
      <c r="AA163" s="4794">
        <f t="shared" si="190"/>
        <v>0</v>
      </c>
      <c r="AB163" s="4794">
        <f t="shared" si="191"/>
        <v>0</v>
      </c>
      <c r="AC163" s="4794">
        <f t="shared" si="176"/>
        <v>4.0903350495697479</v>
      </c>
      <c r="AD163" s="4794">
        <f t="shared" si="177"/>
        <v>0</v>
      </c>
      <c r="AE163" s="4794">
        <f t="shared" si="192"/>
        <v>0</v>
      </c>
      <c r="AF163" s="4794">
        <f t="shared" si="193"/>
        <v>0</v>
      </c>
      <c r="AG163" s="4794">
        <f t="shared" si="178"/>
        <v>0</v>
      </c>
      <c r="AH163" s="4794">
        <f t="shared" si="179"/>
        <v>0</v>
      </c>
      <c r="AI163" s="4794">
        <f t="shared" si="194"/>
        <v>0</v>
      </c>
      <c r="AJ163" s="4794">
        <f t="shared" si="195"/>
        <v>0</v>
      </c>
      <c r="AK163" s="4794">
        <f t="shared" si="180"/>
        <v>0</v>
      </c>
      <c r="AL163" s="4794">
        <f t="shared" si="181"/>
        <v>0</v>
      </c>
      <c r="AM163" s="4794">
        <f t="shared" si="196"/>
        <v>0</v>
      </c>
      <c r="AN163" s="4794">
        <f t="shared" si="197"/>
        <v>0</v>
      </c>
      <c r="AO163" s="4794">
        <f t="shared" si="182"/>
        <v>0</v>
      </c>
      <c r="AP163" s="4794">
        <f t="shared" si="183"/>
        <v>0</v>
      </c>
      <c r="AQ163" s="4794">
        <f t="shared" si="198"/>
        <v>0</v>
      </c>
      <c r="AR163" s="4794">
        <f t="shared" si="199"/>
        <v>0</v>
      </c>
      <c r="AS163" s="4794">
        <f t="shared" si="184"/>
        <v>0</v>
      </c>
    </row>
    <row r="164" spans="1:45">
      <c r="A164" s="2741">
        <v>11</v>
      </c>
      <c r="B164" s="2684">
        <v>91140102</v>
      </c>
      <c r="C164" s="2740">
        <v>0.04</v>
      </c>
      <c r="D164" s="2714" t="s">
        <v>432</v>
      </c>
      <c r="E164" s="414"/>
      <c r="F164" s="414"/>
      <c r="G164" s="414"/>
      <c r="H164" s="4738">
        <f t="shared" si="200"/>
        <v>0</v>
      </c>
      <c r="I164" s="414"/>
      <c r="J164" s="414"/>
      <c r="K164" s="414"/>
      <c r="L164" s="4738">
        <f t="shared" si="201"/>
        <v>0</v>
      </c>
      <c r="M164" s="414"/>
      <c r="N164" s="414"/>
      <c r="O164" s="414"/>
      <c r="P164" s="4738">
        <f t="shared" si="202"/>
        <v>0</v>
      </c>
      <c r="Q164" s="414"/>
      <c r="R164" s="414"/>
      <c r="S164" s="414"/>
      <c r="T164" s="4738">
        <f t="shared" si="203"/>
        <v>0</v>
      </c>
      <c r="U164" s="414"/>
      <c r="V164" s="414"/>
      <c r="W164" s="414"/>
      <c r="X164" s="4738">
        <f t="shared" si="204"/>
        <v>0</v>
      </c>
      <c r="Y164" s="4775"/>
      <c r="Z164" s="4794">
        <f t="shared" si="175"/>
        <v>0</v>
      </c>
      <c r="AA164" s="4794">
        <f t="shared" si="190"/>
        <v>0</v>
      </c>
      <c r="AB164" s="4794">
        <f t="shared" si="191"/>
        <v>0</v>
      </c>
      <c r="AC164" s="4794">
        <f t="shared" si="176"/>
        <v>0</v>
      </c>
      <c r="AD164" s="4794">
        <f t="shared" si="177"/>
        <v>0</v>
      </c>
      <c r="AE164" s="4794">
        <f t="shared" si="192"/>
        <v>0</v>
      </c>
      <c r="AF164" s="4794">
        <f t="shared" si="193"/>
        <v>0</v>
      </c>
      <c r="AG164" s="4794">
        <f t="shared" si="178"/>
        <v>0</v>
      </c>
      <c r="AH164" s="4794">
        <f t="shared" si="179"/>
        <v>0</v>
      </c>
      <c r="AI164" s="4794">
        <f t="shared" si="194"/>
        <v>0</v>
      </c>
      <c r="AJ164" s="4794">
        <f t="shared" si="195"/>
        <v>0</v>
      </c>
      <c r="AK164" s="4794">
        <f t="shared" si="180"/>
        <v>0</v>
      </c>
      <c r="AL164" s="4794">
        <f t="shared" si="181"/>
        <v>0</v>
      </c>
      <c r="AM164" s="4794">
        <f t="shared" si="196"/>
        <v>0</v>
      </c>
      <c r="AN164" s="4794">
        <f t="shared" si="197"/>
        <v>0</v>
      </c>
      <c r="AO164" s="4794">
        <f t="shared" si="182"/>
        <v>0</v>
      </c>
      <c r="AP164" s="4794">
        <f t="shared" si="183"/>
        <v>0</v>
      </c>
      <c r="AQ164" s="4794">
        <f t="shared" si="198"/>
        <v>0</v>
      </c>
      <c r="AR164" s="4794">
        <f t="shared" si="199"/>
        <v>0</v>
      </c>
      <c r="AS164" s="4794">
        <f t="shared" si="184"/>
        <v>0</v>
      </c>
    </row>
    <row r="165" spans="1:45">
      <c r="A165" s="2741">
        <v>12</v>
      </c>
      <c r="B165" s="2684" t="s">
        <v>698</v>
      </c>
      <c r="C165" s="2685">
        <v>0.02</v>
      </c>
      <c r="D165" s="2715" t="s">
        <v>738</v>
      </c>
      <c r="E165" s="414"/>
      <c r="F165" s="414"/>
      <c r="G165" s="414"/>
      <c r="H165" s="4738">
        <f t="shared" si="200"/>
        <v>0</v>
      </c>
      <c r="I165" s="414"/>
      <c r="J165" s="414"/>
      <c r="K165" s="414"/>
      <c r="L165" s="4738">
        <f t="shared" si="201"/>
        <v>0</v>
      </c>
      <c r="M165" s="414"/>
      <c r="N165" s="414"/>
      <c r="O165" s="414"/>
      <c r="P165" s="4738">
        <f t="shared" si="202"/>
        <v>0</v>
      </c>
      <c r="Q165" s="414"/>
      <c r="R165" s="414"/>
      <c r="S165" s="414"/>
      <c r="T165" s="4738">
        <f t="shared" si="203"/>
        <v>0</v>
      </c>
      <c r="U165" s="414"/>
      <c r="V165" s="414"/>
      <c r="W165" s="414"/>
      <c r="X165" s="4738">
        <f t="shared" si="204"/>
        <v>0</v>
      </c>
      <c r="Y165" s="4775"/>
      <c r="Z165" s="4794">
        <f t="shared" si="175"/>
        <v>0</v>
      </c>
      <c r="AA165" s="4794">
        <f t="shared" si="190"/>
        <v>0</v>
      </c>
      <c r="AB165" s="4794">
        <f t="shared" si="191"/>
        <v>0</v>
      </c>
      <c r="AC165" s="4794">
        <f t="shared" si="176"/>
        <v>0</v>
      </c>
      <c r="AD165" s="4794">
        <f t="shared" si="177"/>
        <v>0</v>
      </c>
      <c r="AE165" s="4794">
        <f t="shared" si="192"/>
        <v>0</v>
      </c>
      <c r="AF165" s="4794">
        <f t="shared" si="193"/>
        <v>0</v>
      </c>
      <c r="AG165" s="4794">
        <f t="shared" si="178"/>
        <v>0</v>
      </c>
      <c r="AH165" s="4794">
        <f t="shared" si="179"/>
        <v>0</v>
      </c>
      <c r="AI165" s="4794">
        <f t="shared" si="194"/>
        <v>0</v>
      </c>
      <c r="AJ165" s="4794">
        <f t="shared" si="195"/>
        <v>0</v>
      </c>
      <c r="AK165" s="4794">
        <f t="shared" si="180"/>
        <v>0</v>
      </c>
      <c r="AL165" s="4794">
        <f t="shared" si="181"/>
        <v>0</v>
      </c>
      <c r="AM165" s="4794">
        <f t="shared" si="196"/>
        <v>0</v>
      </c>
      <c r="AN165" s="4794">
        <f t="shared" si="197"/>
        <v>0</v>
      </c>
      <c r="AO165" s="4794">
        <f t="shared" si="182"/>
        <v>0</v>
      </c>
      <c r="AP165" s="4794">
        <f t="shared" si="183"/>
        <v>0</v>
      </c>
      <c r="AQ165" s="4794">
        <f t="shared" si="198"/>
        <v>0</v>
      </c>
      <c r="AR165" s="4794">
        <f t="shared" si="199"/>
        <v>0</v>
      </c>
      <c r="AS165" s="4794">
        <f t="shared" si="184"/>
        <v>0</v>
      </c>
    </row>
    <row r="166" spans="1:45">
      <c r="A166" s="2741">
        <v>13</v>
      </c>
      <c r="B166" s="2684" t="s">
        <v>699</v>
      </c>
      <c r="C166" s="2685">
        <v>0.02</v>
      </c>
      <c r="D166" s="2715" t="s">
        <v>739</v>
      </c>
      <c r="E166" s="414">
        <v>3276</v>
      </c>
      <c r="F166" s="414"/>
      <c r="G166" s="414"/>
      <c r="H166" s="4738">
        <f t="shared" si="200"/>
        <v>3276</v>
      </c>
      <c r="I166" s="414"/>
      <c r="J166" s="414"/>
      <c r="K166" s="414"/>
      <c r="L166" s="4738">
        <f t="shared" si="201"/>
        <v>0</v>
      </c>
      <c r="M166" s="414"/>
      <c r="N166" s="414"/>
      <c r="O166" s="414"/>
      <c r="P166" s="4738">
        <f t="shared" si="202"/>
        <v>0</v>
      </c>
      <c r="Q166" s="414"/>
      <c r="R166" s="414"/>
      <c r="S166" s="414"/>
      <c r="T166" s="4738">
        <f t="shared" si="203"/>
        <v>0</v>
      </c>
      <c r="U166" s="414"/>
      <c r="V166" s="414"/>
      <c r="W166" s="414"/>
      <c r="X166" s="4738">
        <f t="shared" si="204"/>
        <v>0</v>
      </c>
      <c r="Y166" s="4775"/>
      <c r="Z166" s="4794">
        <f t="shared" si="175"/>
        <v>1674.9922027988118</v>
      </c>
      <c r="AA166" s="4794">
        <f t="shared" si="190"/>
        <v>0</v>
      </c>
      <c r="AB166" s="4794">
        <f t="shared" si="191"/>
        <v>0</v>
      </c>
      <c r="AC166" s="4794">
        <f t="shared" si="176"/>
        <v>1674.9922027988118</v>
      </c>
      <c r="AD166" s="4794">
        <f t="shared" si="177"/>
        <v>0</v>
      </c>
      <c r="AE166" s="4794">
        <f t="shared" si="192"/>
        <v>0</v>
      </c>
      <c r="AF166" s="4794">
        <f t="shared" si="193"/>
        <v>0</v>
      </c>
      <c r="AG166" s="4794">
        <f t="shared" si="178"/>
        <v>0</v>
      </c>
      <c r="AH166" s="4794">
        <f t="shared" si="179"/>
        <v>0</v>
      </c>
      <c r="AI166" s="4794">
        <f t="shared" si="194"/>
        <v>0</v>
      </c>
      <c r="AJ166" s="4794">
        <f t="shared" si="195"/>
        <v>0</v>
      </c>
      <c r="AK166" s="4794">
        <f t="shared" si="180"/>
        <v>0</v>
      </c>
      <c r="AL166" s="4794">
        <f t="shared" si="181"/>
        <v>0</v>
      </c>
      <c r="AM166" s="4794">
        <f t="shared" si="196"/>
        <v>0</v>
      </c>
      <c r="AN166" s="4794">
        <f t="shared" si="197"/>
        <v>0</v>
      </c>
      <c r="AO166" s="4794">
        <f t="shared" si="182"/>
        <v>0</v>
      </c>
      <c r="AP166" s="4794">
        <f t="shared" si="183"/>
        <v>0</v>
      </c>
      <c r="AQ166" s="4794">
        <f t="shared" si="198"/>
        <v>0</v>
      </c>
      <c r="AR166" s="4794">
        <f t="shared" si="199"/>
        <v>0</v>
      </c>
      <c r="AS166" s="4794">
        <f t="shared" si="184"/>
        <v>0</v>
      </c>
    </row>
    <row r="167" spans="1:45">
      <c r="A167" s="2741">
        <v>14</v>
      </c>
      <c r="B167" s="2684" t="s">
        <v>700</v>
      </c>
      <c r="C167" s="2685">
        <v>0.02</v>
      </c>
      <c r="D167" s="2715" t="s">
        <v>418</v>
      </c>
      <c r="E167" s="414">
        <v>204</v>
      </c>
      <c r="F167" s="414"/>
      <c r="G167" s="414"/>
      <c r="H167" s="4738">
        <f t="shared" si="200"/>
        <v>204</v>
      </c>
      <c r="I167" s="414"/>
      <c r="J167" s="414"/>
      <c r="K167" s="414"/>
      <c r="L167" s="4738">
        <f t="shared" si="201"/>
        <v>0</v>
      </c>
      <c r="M167" s="414"/>
      <c r="N167" s="414"/>
      <c r="O167" s="414"/>
      <c r="P167" s="4738">
        <f t="shared" si="202"/>
        <v>0</v>
      </c>
      <c r="Q167" s="414"/>
      <c r="R167" s="414"/>
      <c r="S167" s="414"/>
      <c r="T167" s="4738">
        <f t="shared" si="203"/>
        <v>0</v>
      </c>
      <c r="U167" s="414"/>
      <c r="V167" s="414"/>
      <c r="W167" s="414"/>
      <c r="X167" s="4738">
        <f t="shared" si="204"/>
        <v>0</v>
      </c>
      <c r="Y167" s="4775"/>
      <c r="Z167" s="4794">
        <f t="shared" si="175"/>
        <v>104.30354376402857</v>
      </c>
      <c r="AA167" s="4794">
        <f t="shared" si="190"/>
        <v>0</v>
      </c>
      <c r="AB167" s="4794">
        <f t="shared" si="191"/>
        <v>0</v>
      </c>
      <c r="AC167" s="4794">
        <f t="shared" si="176"/>
        <v>104.30354376402857</v>
      </c>
      <c r="AD167" s="4794">
        <f t="shared" si="177"/>
        <v>0</v>
      </c>
      <c r="AE167" s="4794">
        <f t="shared" si="192"/>
        <v>0</v>
      </c>
      <c r="AF167" s="4794">
        <f t="shared" si="193"/>
        <v>0</v>
      </c>
      <c r="AG167" s="4794">
        <f t="shared" si="178"/>
        <v>0</v>
      </c>
      <c r="AH167" s="4794">
        <f t="shared" si="179"/>
        <v>0</v>
      </c>
      <c r="AI167" s="4794">
        <f t="shared" si="194"/>
        <v>0</v>
      </c>
      <c r="AJ167" s="4794">
        <f t="shared" si="195"/>
        <v>0</v>
      </c>
      <c r="AK167" s="4794">
        <f t="shared" si="180"/>
        <v>0</v>
      </c>
      <c r="AL167" s="4794">
        <f t="shared" si="181"/>
        <v>0</v>
      </c>
      <c r="AM167" s="4794">
        <f t="shared" si="196"/>
        <v>0</v>
      </c>
      <c r="AN167" s="4794">
        <f t="shared" si="197"/>
        <v>0</v>
      </c>
      <c r="AO167" s="4794">
        <f t="shared" si="182"/>
        <v>0</v>
      </c>
      <c r="AP167" s="4794">
        <f t="shared" si="183"/>
        <v>0</v>
      </c>
      <c r="AQ167" s="4794">
        <f t="shared" si="198"/>
        <v>0</v>
      </c>
      <c r="AR167" s="4794">
        <f t="shared" si="199"/>
        <v>0</v>
      </c>
      <c r="AS167" s="4794">
        <f t="shared" si="184"/>
        <v>0</v>
      </c>
    </row>
    <row r="168" spans="1:45" ht="24">
      <c r="A168" s="2741">
        <v>15</v>
      </c>
      <c r="B168" s="2684" t="s">
        <v>701</v>
      </c>
      <c r="C168" s="2685">
        <v>0.02</v>
      </c>
      <c r="D168" s="2714" t="s">
        <v>419</v>
      </c>
      <c r="E168" s="414">
        <v>14</v>
      </c>
      <c r="F168" s="414"/>
      <c r="G168" s="414"/>
      <c r="H168" s="4738">
        <f t="shared" si="200"/>
        <v>14</v>
      </c>
      <c r="I168" s="414"/>
      <c r="J168" s="414"/>
      <c r="K168" s="414"/>
      <c r="L168" s="4738">
        <f t="shared" si="201"/>
        <v>0</v>
      </c>
      <c r="M168" s="414"/>
      <c r="N168" s="414"/>
      <c r="O168" s="414"/>
      <c r="P168" s="4738">
        <f t="shared" si="202"/>
        <v>0</v>
      </c>
      <c r="Q168" s="414"/>
      <c r="R168" s="414"/>
      <c r="S168" s="414"/>
      <c r="T168" s="4738">
        <f t="shared" si="203"/>
        <v>0</v>
      </c>
      <c r="U168" s="414"/>
      <c r="V168" s="414"/>
      <c r="W168" s="414"/>
      <c r="X168" s="4738">
        <f t="shared" si="204"/>
        <v>0</v>
      </c>
      <c r="Y168" s="4775"/>
      <c r="Z168" s="4794">
        <f t="shared" si="175"/>
        <v>7.1580863367470586</v>
      </c>
      <c r="AA168" s="4794">
        <f t="shared" si="190"/>
        <v>0</v>
      </c>
      <c r="AB168" s="4794">
        <f t="shared" si="191"/>
        <v>0</v>
      </c>
      <c r="AC168" s="4794">
        <f t="shared" si="176"/>
        <v>7.1580863367470586</v>
      </c>
      <c r="AD168" s="4794">
        <f t="shared" si="177"/>
        <v>0</v>
      </c>
      <c r="AE168" s="4794">
        <f t="shared" si="192"/>
        <v>0</v>
      </c>
      <c r="AF168" s="4794">
        <f t="shared" si="193"/>
        <v>0</v>
      </c>
      <c r="AG168" s="4794">
        <f t="shared" si="178"/>
        <v>0</v>
      </c>
      <c r="AH168" s="4794">
        <f t="shared" si="179"/>
        <v>0</v>
      </c>
      <c r="AI168" s="4794">
        <f t="shared" si="194"/>
        <v>0</v>
      </c>
      <c r="AJ168" s="4794">
        <f t="shared" si="195"/>
        <v>0</v>
      </c>
      <c r="AK168" s="4794">
        <f t="shared" si="180"/>
        <v>0</v>
      </c>
      <c r="AL168" s="4794">
        <f t="shared" si="181"/>
        <v>0</v>
      </c>
      <c r="AM168" s="4794">
        <f t="shared" si="196"/>
        <v>0</v>
      </c>
      <c r="AN168" s="4794">
        <f t="shared" si="197"/>
        <v>0</v>
      </c>
      <c r="AO168" s="4794">
        <f t="shared" si="182"/>
        <v>0</v>
      </c>
      <c r="AP168" s="4794">
        <f t="shared" si="183"/>
        <v>0</v>
      </c>
      <c r="AQ168" s="4794">
        <f t="shared" si="198"/>
        <v>0</v>
      </c>
      <c r="AR168" s="4794">
        <f t="shared" si="199"/>
        <v>0</v>
      </c>
      <c r="AS168" s="4794">
        <f t="shared" si="184"/>
        <v>0</v>
      </c>
    </row>
    <row r="169" spans="1:45">
      <c r="A169" s="2741">
        <v>16</v>
      </c>
      <c r="B169" s="2684" t="s">
        <v>702</v>
      </c>
      <c r="C169" s="2685">
        <v>0.02</v>
      </c>
      <c r="D169" s="2715" t="s">
        <v>420</v>
      </c>
      <c r="E169" s="414">
        <v>81869</v>
      </c>
      <c r="F169" s="414">
        <v>58</v>
      </c>
      <c r="G169" s="414"/>
      <c r="H169" s="4738">
        <f t="shared" si="200"/>
        <v>81927</v>
      </c>
      <c r="I169" s="414"/>
      <c r="J169" s="414"/>
      <c r="K169" s="414"/>
      <c r="L169" s="4738">
        <f t="shared" si="201"/>
        <v>0</v>
      </c>
      <c r="M169" s="414"/>
      <c r="N169" s="414"/>
      <c r="O169" s="414"/>
      <c r="P169" s="4738">
        <f t="shared" si="202"/>
        <v>0</v>
      </c>
      <c r="Q169" s="414"/>
      <c r="R169" s="414"/>
      <c r="S169" s="414"/>
      <c r="T169" s="4738">
        <f t="shared" si="203"/>
        <v>0</v>
      </c>
      <c r="U169" s="414"/>
      <c r="V169" s="414"/>
      <c r="W169" s="414"/>
      <c r="X169" s="4738">
        <f t="shared" si="204"/>
        <v>0</v>
      </c>
      <c r="Y169" s="4775"/>
      <c r="Z169" s="4794">
        <f t="shared" si="175"/>
        <v>41858.955021653215</v>
      </c>
      <c r="AA169" s="4794">
        <f t="shared" si="190"/>
        <v>29.654929109380674</v>
      </c>
      <c r="AB169" s="4794">
        <f t="shared" si="191"/>
        <v>0</v>
      </c>
      <c r="AC169" s="4794">
        <f t="shared" si="176"/>
        <v>41888.609950762591</v>
      </c>
      <c r="AD169" s="4794">
        <f t="shared" si="177"/>
        <v>0</v>
      </c>
      <c r="AE169" s="4794">
        <f t="shared" si="192"/>
        <v>0</v>
      </c>
      <c r="AF169" s="4794">
        <f t="shared" si="193"/>
        <v>0</v>
      </c>
      <c r="AG169" s="4794">
        <f t="shared" si="178"/>
        <v>0</v>
      </c>
      <c r="AH169" s="4794">
        <f t="shared" si="179"/>
        <v>0</v>
      </c>
      <c r="AI169" s="4794">
        <f t="shared" si="194"/>
        <v>0</v>
      </c>
      <c r="AJ169" s="4794">
        <f t="shared" si="195"/>
        <v>0</v>
      </c>
      <c r="AK169" s="4794">
        <f t="shared" si="180"/>
        <v>0</v>
      </c>
      <c r="AL169" s="4794">
        <f t="shared" si="181"/>
        <v>0</v>
      </c>
      <c r="AM169" s="4794">
        <f t="shared" si="196"/>
        <v>0</v>
      </c>
      <c r="AN169" s="4794">
        <f t="shared" si="197"/>
        <v>0</v>
      </c>
      <c r="AO169" s="4794">
        <f t="shared" si="182"/>
        <v>0</v>
      </c>
      <c r="AP169" s="4794">
        <f t="shared" si="183"/>
        <v>0</v>
      </c>
      <c r="AQ169" s="4794">
        <f t="shared" si="198"/>
        <v>0</v>
      </c>
      <c r="AR169" s="4794">
        <f t="shared" si="199"/>
        <v>0</v>
      </c>
      <c r="AS169" s="4794">
        <f t="shared" si="184"/>
        <v>0</v>
      </c>
    </row>
    <row r="170" spans="1:45">
      <c r="A170" s="2741">
        <v>17</v>
      </c>
      <c r="B170" s="2684" t="s">
        <v>703</v>
      </c>
      <c r="C170" s="2685">
        <v>0.02</v>
      </c>
      <c r="D170" s="2720" t="s">
        <v>421</v>
      </c>
      <c r="E170" s="414"/>
      <c r="F170" s="414"/>
      <c r="G170" s="414"/>
      <c r="H170" s="4738">
        <f t="shared" si="200"/>
        <v>0</v>
      </c>
      <c r="I170" s="414">
        <v>81361</v>
      </c>
      <c r="J170" s="414"/>
      <c r="K170" s="414"/>
      <c r="L170" s="4738">
        <f t="shared" si="201"/>
        <v>81361</v>
      </c>
      <c r="M170" s="414"/>
      <c r="N170" s="414"/>
      <c r="O170" s="414"/>
      <c r="P170" s="4738">
        <f t="shared" si="202"/>
        <v>0</v>
      </c>
      <c r="Q170" s="414"/>
      <c r="R170" s="414"/>
      <c r="S170" s="414"/>
      <c r="T170" s="4738">
        <f t="shared" si="203"/>
        <v>0</v>
      </c>
      <c r="U170" s="414"/>
      <c r="V170" s="414"/>
      <c r="W170" s="414"/>
      <c r="X170" s="4738">
        <f t="shared" si="204"/>
        <v>0</v>
      </c>
      <c r="Y170" s="4775"/>
      <c r="Z170" s="4794">
        <f t="shared" si="175"/>
        <v>0</v>
      </c>
      <c r="AA170" s="4794">
        <f t="shared" si="190"/>
        <v>0</v>
      </c>
      <c r="AB170" s="4794">
        <f t="shared" si="191"/>
        <v>0</v>
      </c>
      <c r="AC170" s="4794">
        <f t="shared" si="176"/>
        <v>0</v>
      </c>
      <c r="AD170" s="4794">
        <f t="shared" si="177"/>
        <v>41599.218746005536</v>
      </c>
      <c r="AE170" s="4794">
        <f t="shared" si="192"/>
        <v>0</v>
      </c>
      <c r="AF170" s="4794">
        <f t="shared" si="193"/>
        <v>0</v>
      </c>
      <c r="AG170" s="4794">
        <f t="shared" si="178"/>
        <v>41599.218746005536</v>
      </c>
      <c r="AH170" s="4794">
        <f t="shared" si="179"/>
        <v>0</v>
      </c>
      <c r="AI170" s="4794">
        <f t="shared" si="194"/>
        <v>0</v>
      </c>
      <c r="AJ170" s="4794">
        <f t="shared" si="195"/>
        <v>0</v>
      </c>
      <c r="AK170" s="4794">
        <f t="shared" si="180"/>
        <v>0</v>
      </c>
      <c r="AL170" s="4794">
        <f t="shared" si="181"/>
        <v>0</v>
      </c>
      <c r="AM170" s="4794">
        <f t="shared" si="196"/>
        <v>0</v>
      </c>
      <c r="AN170" s="4794">
        <f t="shared" si="197"/>
        <v>0</v>
      </c>
      <c r="AO170" s="4794">
        <f t="shared" si="182"/>
        <v>0</v>
      </c>
      <c r="AP170" s="4794">
        <f t="shared" si="183"/>
        <v>0</v>
      </c>
      <c r="AQ170" s="4794">
        <f t="shared" si="198"/>
        <v>0</v>
      </c>
      <c r="AR170" s="4794">
        <f t="shared" si="199"/>
        <v>0</v>
      </c>
      <c r="AS170" s="4794">
        <f t="shared" si="184"/>
        <v>0</v>
      </c>
    </row>
    <row r="171" spans="1:45" ht="48">
      <c r="A171" s="2741">
        <v>18</v>
      </c>
      <c r="B171" s="2684" t="s">
        <v>704</v>
      </c>
      <c r="C171" s="2685">
        <v>0.04</v>
      </c>
      <c r="D171" s="2720" t="s">
        <v>422</v>
      </c>
      <c r="E171" s="414">
        <v>3938</v>
      </c>
      <c r="F171" s="414"/>
      <c r="G171" s="414"/>
      <c r="H171" s="4738">
        <f t="shared" si="200"/>
        <v>3938</v>
      </c>
      <c r="I171" s="414">
        <v>31</v>
      </c>
      <c r="J171" s="414"/>
      <c r="K171" s="414"/>
      <c r="L171" s="4738">
        <f t="shared" si="201"/>
        <v>31</v>
      </c>
      <c r="M171" s="414">
        <v>23867</v>
      </c>
      <c r="N171" s="414"/>
      <c r="O171" s="414"/>
      <c r="P171" s="4738">
        <f t="shared" si="202"/>
        <v>23867</v>
      </c>
      <c r="Q171" s="414"/>
      <c r="R171" s="414"/>
      <c r="S171" s="414"/>
      <c r="T171" s="4738">
        <f t="shared" si="203"/>
        <v>0</v>
      </c>
      <c r="U171" s="414"/>
      <c r="V171" s="414"/>
      <c r="W171" s="414"/>
      <c r="X171" s="4738">
        <f t="shared" si="204"/>
        <v>0</v>
      </c>
      <c r="Y171" s="4775"/>
      <c r="Z171" s="4794">
        <f t="shared" si="175"/>
        <v>2013.4674281507084</v>
      </c>
      <c r="AA171" s="4794">
        <f t="shared" si="190"/>
        <v>0</v>
      </c>
      <c r="AB171" s="4794">
        <f t="shared" si="191"/>
        <v>0</v>
      </c>
      <c r="AC171" s="4794">
        <f t="shared" si="176"/>
        <v>2013.4674281507084</v>
      </c>
      <c r="AD171" s="4794">
        <f t="shared" si="177"/>
        <v>15.850048317082774</v>
      </c>
      <c r="AE171" s="4794">
        <f t="shared" si="192"/>
        <v>0</v>
      </c>
      <c r="AF171" s="4794">
        <f t="shared" si="193"/>
        <v>0</v>
      </c>
      <c r="AG171" s="4794">
        <f t="shared" si="178"/>
        <v>15.850048317082774</v>
      </c>
      <c r="AH171" s="4794">
        <f t="shared" si="179"/>
        <v>12203.003328510147</v>
      </c>
      <c r="AI171" s="4794">
        <f t="shared" si="194"/>
        <v>0</v>
      </c>
      <c r="AJ171" s="4794">
        <f t="shared" si="195"/>
        <v>0</v>
      </c>
      <c r="AK171" s="4794">
        <f t="shared" si="180"/>
        <v>12203.003328510147</v>
      </c>
      <c r="AL171" s="4794">
        <f t="shared" si="181"/>
        <v>0</v>
      </c>
      <c r="AM171" s="4794">
        <f t="shared" si="196"/>
        <v>0</v>
      </c>
      <c r="AN171" s="4794">
        <f t="shared" si="197"/>
        <v>0</v>
      </c>
      <c r="AO171" s="4794">
        <f t="shared" si="182"/>
        <v>0</v>
      </c>
      <c r="AP171" s="4794">
        <f t="shared" si="183"/>
        <v>0</v>
      </c>
      <c r="AQ171" s="4794">
        <f t="shared" si="198"/>
        <v>0</v>
      </c>
      <c r="AR171" s="4794">
        <f t="shared" si="199"/>
        <v>0</v>
      </c>
      <c r="AS171" s="4794">
        <f t="shared" si="184"/>
        <v>0</v>
      </c>
    </row>
    <row r="172" spans="1:45">
      <c r="A172" s="2741">
        <v>19</v>
      </c>
      <c r="B172" s="2684" t="s">
        <v>705</v>
      </c>
      <c r="C172" s="2685">
        <v>0.04</v>
      </c>
      <c r="D172" s="2720" t="s">
        <v>423</v>
      </c>
      <c r="E172" s="414">
        <v>38</v>
      </c>
      <c r="F172" s="414"/>
      <c r="G172" s="414"/>
      <c r="H172" s="4738">
        <f t="shared" si="200"/>
        <v>38</v>
      </c>
      <c r="I172" s="414"/>
      <c r="J172" s="414"/>
      <c r="K172" s="414"/>
      <c r="L172" s="4738">
        <f t="shared" si="201"/>
        <v>0</v>
      </c>
      <c r="M172" s="414">
        <v>10</v>
      </c>
      <c r="N172" s="414"/>
      <c r="O172" s="414"/>
      <c r="P172" s="4738">
        <f t="shared" si="202"/>
        <v>10</v>
      </c>
      <c r="Q172" s="414"/>
      <c r="R172" s="414"/>
      <c r="S172" s="414"/>
      <c r="T172" s="4738">
        <f t="shared" si="203"/>
        <v>0</v>
      </c>
      <c r="U172" s="414"/>
      <c r="V172" s="414"/>
      <c r="W172" s="414"/>
      <c r="X172" s="4738">
        <f t="shared" si="204"/>
        <v>0</v>
      </c>
      <c r="Y172" s="4775"/>
      <c r="Z172" s="4794">
        <f t="shared" si="175"/>
        <v>19.429091485456304</v>
      </c>
      <c r="AA172" s="4794">
        <f t="shared" si="190"/>
        <v>0</v>
      </c>
      <c r="AB172" s="4794">
        <f t="shared" si="191"/>
        <v>0</v>
      </c>
      <c r="AC172" s="4794">
        <f t="shared" si="176"/>
        <v>19.429091485456304</v>
      </c>
      <c r="AD172" s="4794">
        <f t="shared" si="177"/>
        <v>0</v>
      </c>
      <c r="AE172" s="4794">
        <f t="shared" si="192"/>
        <v>0</v>
      </c>
      <c r="AF172" s="4794">
        <f t="shared" si="193"/>
        <v>0</v>
      </c>
      <c r="AG172" s="4794">
        <f t="shared" si="178"/>
        <v>0</v>
      </c>
      <c r="AH172" s="4794">
        <f t="shared" si="179"/>
        <v>5.1129188119621851</v>
      </c>
      <c r="AI172" s="4794">
        <f t="shared" si="194"/>
        <v>0</v>
      </c>
      <c r="AJ172" s="4794">
        <f t="shared" si="195"/>
        <v>0</v>
      </c>
      <c r="AK172" s="4794">
        <f t="shared" si="180"/>
        <v>5.1129188119621851</v>
      </c>
      <c r="AL172" s="4794">
        <f t="shared" si="181"/>
        <v>0</v>
      </c>
      <c r="AM172" s="4794">
        <f t="shared" si="196"/>
        <v>0</v>
      </c>
      <c r="AN172" s="4794">
        <f t="shared" si="197"/>
        <v>0</v>
      </c>
      <c r="AO172" s="4794">
        <f t="shared" si="182"/>
        <v>0</v>
      </c>
      <c r="AP172" s="4794">
        <f t="shared" si="183"/>
        <v>0</v>
      </c>
      <c r="AQ172" s="4794">
        <f t="shared" si="198"/>
        <v>0</v>
      </c>
      <c r="AR172" s="4794">
        <f t="shared" si="199"/>
        <v>0</v>
      </c>
      <c r="AS172" s="4794">
        <f t="shared" si="184"/>
        <v>0</v>
      </c>
    </row>
    <row r="173" spans="1:45">
      <c r="A173" s="2741">
        <v>20</v>
      </c>
      <c r="B173" s="2684" t="s">
        <v>717</v>
      </c>
      <c r="C173" s="2685">
        <v>0.04</v>
      </c>
      <c r="D173" s="2739" t="s">
        <v>434</v>
      </c>
      <c r="E173" s="414">
        <v>55</v>
      </c>
      <c r="F173" s="414"/>
      <c r="G173" s="414"/>
      <c r="H173" s="4738">
        <f t="shared" si="200"/>
        <v>55</v>
      </c>
      <c r="I173" s="414">
        <v>5</v>
      </c>
      <c r="J173" s="414"/>
      <c r="K173" s="414"/>
      <c r="L173" s="4738">
        <f t="shared" si="201"/>
        <v>5</v>
      </c>
      <c r="M173" s="414">
        <v>5</v>
      </c>
      <c r="N173" s="414"/>
      <c r="O173" s="414"/>
      <c r="P173" s="4738">
        <f t="shared" si="202"/>
        <v>5</v>
      </c>
      <c r="Q173" s="414"/>
      <c r="R173" s="414"/>
      <c r="S173" s="414"/>
      <c r="T173" s="4738">
        <f t="shared" si="203"/>
        <v>0</v>
      </c>
      <c r="U173" s="414"/>
      <c r="V173" s="414"/>
      <c r="W173" s="414"/>
      <c r="X173" s="4738">
        <f t="shared" si="204"/>
        <v>0</v>
      </c>
      <c r="Y173" s="4775"/>
      <c r="Z173" s="4794">
        <f t="shared" si="175"/>
        <v>28.121053465792016</v>
      </c>
      <c r="AA173" s="4794">
        <f t="shared" si="190"/>
        <v>0</v>
      </c>
      <c r="AB173" s="4794">
        <f t="shared" si="191"/>
        <v>0</v>
      </c>
      <c r="AC173" s="4794">
        <f t="shared" si="176"/>
        <v>28.121053465792016</v>
      </c>
      <c r="AD173" s="4794">
        <f t="shared" si="177"/>
        <v>2.5564594059810926</v>
      </c>
      <c r="AE173" s="4794">
        <f t="shared" si="192"/>
        <v>0</v>
      </c>
      <c r="AF173" s="4794">
        <f t="shared" si="193"/>
        <v>0</v>
      </c>
      <c r="AG173" s="4794">
        <f t="shared" si="178"/>
        <v>2.5564594059810926</v>
      </c>
      <c r="AH173" s="4794">
        <f t="shared" si="179"/>
        <v>2.5564594059810926</v>
      </c>
      <c r="AI173" s="4794">
        <f t="shared" si="194"/>
        <v>0</v>
      </c>
      <c r="AJ173" s="4794">
        <f t="shared" si="195"/>
        <v>0</v>
      </c>
      <c r="AK173" s="4794">
        <f t="shared" si="180"/>
        <v>2.5564594059810926</v>
      </c>
      <c r="AL173" s="4794">
        <f t="shared" si="181"/>
        <v>0</v>
      </c>
      <c r="AM173" s="4794">
        <f t="shared" si="196"/>
        <v>0</v>
      </c>
      <c r="AN173" s="4794">
        <f t="shared" si="197"/>
        <v>0</v>
      </c>
      <c r="AO173" s="4794">
        <f t="shared" si="182"/>
        <v>0</v>
      </c>
      <c r="AP173" s="4794">
        <f t="shared" si="183"/>
        <v>0</v>
      </c>
      <c r="AQ173" s="4794">
        <f t="shared" si="198"/>
        <v>0</v>
      </c>
      <c r="AR173" s="4794">
        <f t="shared" si="199"/>
        <v>0</v>
      </c>
      <c r="AS173" s="4794">
        <f t="shared" si="184"/>
        <v>0</v>
      </c>
    </row>
    <row r="174" spans="1:45" ht="48.75" thickBot="1">
      <c r="A174" s="2741">
        <v>21</v>
      </c>
      <c r="B174" s="2684" t="s">
        <v>707</v>
      </c>
      <c r="C174" s="2690">
        <v>0.2</v>
      </c>
      <c r="D174" s="2720" t="s">
        <v>679</v>
      </c>
      <c r="E174" s="414"/>
      <c r="F174" s="414"/>
      <c r="G174" s="414"/>
      <c r="H174" s="4738">
        <f t="shared" si="200"/>
        <v>0</v>
      </c>
      <c r="I174" s="414"/>
      <c r="J174" s="414"/>
      <c r="K174" s="414"/>
      <c r="L174" s="4738">
        <f t="shared" si="201"/>
        <v>0</v>
      </c>
      <c r="M174" s="414">
        <v>2842</v>
      </c>
      <c r="N174" s="414"/>
      <c r="O174" s="414"/>
      <c r="P174" s="4738">
        <f t="shared" si="202"/>
        <v>2842</v>
      </c>
      <c r="Q174" s="414"/>
      <c r="R174" s="414"/>
      <c r="S174" s="414"/>
      <c r="T174" s="4738">
        <f t="shared" si="203"/>
        <v>0</v>
      </c>
      <c r="U174" s="414"/>
      <c r="V174" s="414"/>
      <c r="W174" s="414"/>
      <c r="X174" s="4738">
        <f t="shared" si="204"/>
        <v>0</v>
      </c>
      <c r="Y174" s="4775"/>
      <c r="Z174" s="4794">
        <f t="shared" si="175"/>
        <v>0</v>
      </c>
      <c r="AA174" s="4794">
        <f t="shared" si="190"/>
        <v>0</v>
      </c>
      <c r="AB174" s="4794">
        <f t="shared" si="191"/>
        <v>0</v>
      </c>
      <c r="AC174" s="4794">
        <f t="shared" si="176"/>
        <v>0</v>
      </c>
      <c r="AD174" s="4794">
        <f t="shared" si="177"/>
        <v>0</v>
      </c>
      <c r="AE174" s="4794">
        <f t="shared" si="192"/>
        <v>0</v>
      </c>
      <c r="AF174" s="4794">
        <f t="shared" si="193"/>
        <v>0</v>
      </c>
      <c r="AG174" s="4794">
        <f t="shared" si="178"/>
        <v>0</v>
      </c>
      <c r="AH174" s="4794">
        <f t="shared" si="179"/>
        <v>1453.091526359653</v>
      </c>
      <c r="AI174" s="4794">
        <f t="shared" si="194"/>
        <v>0</v>
      </c>
      <c r="AJ174" s="4794">
        <f t="shared" si="195"/>
        <v>0</v>
      </c>
      <c r="AK174" s="4794">
        <f t="shared" si="180"/>
        <v>1453.091526359653</v>
      </c>
      <c r="AL174" s="4794">
        <f t="shared" si="181"/>
        <v>0</v>
      </c>
      <c r="AM174" s="4794">
        <f t="shared" si="196"/>
        <v>0</v>
      </c>
      <c r="AN174" s="4794">
        <f t="shared" si="197"/>
        <v>0</v>
      </c>
      <c r="AO174" s="4794">
        <f t="shared" si="182"/>
        <v>0</v>
      </c>
      <c r="AP174" s="4794">
        <f t="shared" si="183"/>
        <v>0</v>
      </c>
      <c r="AQ174" s="4794">
        <f t="shared" si="198"/>
        <v>0</v>
      </c>
      <c r="AR174" s="4794">
        <f t="shared" si="199"/>
        <v>0</v>
      </c>
      <c r="AS174" s="4794">
        <f t="shared" si="184"/>
        <v>0</v>
      </c>
    </row>
    <row r="175" spans="1:45" ht="13.5" thickBot="1">
      <c r="A175" s="4342" t="s">
        <v>206</v>
      </c>
      <c r="B175" s="5410" t="s">
        <v>220</v>
      </c>
      <c r="C175" s="5411"/>
      <c r="D175" s="5412"/>
      <c r="E175" s="1265">
        <f t="shared" ref="E175:H175" si="205">SUM(E176:E196)</f>
        <v>14586</v>
      </c>
      <c r="F175" s="1265">
        <f t="shared" si="205"/>
        <v>2056</v>
      </c>
      <c r="G175" s="1265">
        <f t="shared" si="205"/>
        <v>0</v>
      </c>
      <c r="H175" s="1265">
        <f t="shared" si="205"/>
        <v>16642</v>
      </c>
      <c r="I175" s="1265">
        <f t="shared" ref="I175:X175" si="206">SUM(I176:I196)</f>
        <v>12125</v>
      </c>
      <c r="J175" s="1265">
        <f t="shared" si="206"/>
        <v>1628</v>
      </c>
      <c r="K175" s="1265">
        <f t="shared" si="206"/>
        <v>0</v>
      </c>
      <c r="L175" s="1265">
        <f t="shared" si="206"/>
        <v>13753</v>
      </c>
      <c r="M175" s="1265">
        <f t="shared" si="206"/>
        <v>11152</v>
      </c>
      <c r="N175" s="1265">
        <f t="shared" si="206"/>
        <v>1440</v>
      </c>
      <c r="O175" s="1265">
        <f t="shared" si="206"/>
        <v>0</v>
      </c>
      <c r="P175" s="1265">
        <f t="shared" si="206"/>
        <v>12592</v>
      </c>
      <c r="Q175" s="1265">
        <f t="shared" si="206"/>
        <v>0</v>
      </c>
      <c r="R175" s="1265">
        <f t="shared" si="206"/>
        <v>0</v>
      </c>
      <c r="S175" s="1265">
        <f t="shared" si="206"/>
        <v>0</v>
      </c>
      <c r="T175" s="1265">
        <f t="shared" si="206"/>
        <v>0</v>
      </c>
      <c r="U175" s="1265">
        <f t="shared" si="206"/>
        <v>0</v>
      </c>
      <c r="V175" s="1265">
        <f t="shared" si="206"/>
        <v>0</v>
      </c>
      <c r="W175" s="1265">
        <f t="shared" si="206"/>
        <v>0</v>
      </c>
      <c r="X175" s="1129">
        <f t="shared" si="206"/>
        <v>0</v>
      </c>
      <c r="Y175" s="4775"/>
      <c r="Z175" s="4794">
        <f t="shared" si="175"/>
        <v>7457.7033791280428</v>
      </c>
      <c r="AA175" s="4794">
        <f t="shared" si="190"/>
        <v>1051.2161077394253</v>
      </c>
      <c r="AB175" s="4794">
        <f t="shared" si="191"/>
        <v>0</v>
      </c>
      <c r="AC175" s="4794">
        <f t="shared" si="176"/>
        <v>8508.9194868674676</v>
      </c>
      <c r="AD175" s="4794">
        <f t="shared" si="177"/>
        <v>6199.414059504149</v>
      </c>
      <c r="AE175" s="4794">
        <f t="shared" si="192"/>
        <v>832.38318258744368</v>
      </c>
      <c r="AF175" s="4794">
        <f t="shared" si="193"/>
        <v>0</v>
      </c>
      <c r="AG175" s="4794">
        <f t="shared" si="178"/>
        <v>7031.797242091593</v>
      </c>
      <c r="AH175" s="4794">
        <f t="shared" si="179"/>
        <v>5701.9270591002287</v>
      </c>
      <c r="AI175" s="4794">
        <f t="shared" si="194"/>
        <v>736.2603089225546</v>
      </c>
      <c r="AJ175" s="4794">
        <f t="shared" si="195"/>
        <v>0</v>
      </c>
      <c r="AK175" s="4794">
        <f t="shared" si="180"/>
        <v>6438.1873680227836</v>
      </c>
      <c r="AL175" s="4794">
        <f t="shared" si="181"/>
        <v>0</v>
      </c>
      <c r="AM175" s="4794">
        <f t="shared" si="196"/>
        <v>0</v>
      </c>
      <c r="AN175" s="4794">
        <f t="shared" si="197"/>
        <v>0</v>
      </c>
      <c r="AO175" s="4794">
        <f t="shared" si="182"/>
        <v>0</v>
      </c>
      <c r="AP175" s="4794">
        <f t="shared" si="183"/>
        <v>0</v>
      </c>
      <c r="AQ175" s="4794">
        <f t="shared" si="198"/>
        <v>0</v>
      </c>
      <c r="AR175" s="4794">
        <f t="shared" si="199"/>
        <v>0</v>
      </c>
      <c r="AS175" s="4794">
        <f t="shared" si="184"/>
        <v>0</v>
      </c>
    </row>
    <row r="176" spans="1:45">
      <c r="A176" s="2683">
        <v>1</v>
      </c>
      <c r="B176" s="2744" t="s">
        <v>696</v>
      </c>
      <c r="C176" s="2701">
        <v>0</v>
      </c>
      <c r="D176" s="2731" t="s">
        <v>558</v>
      </c>
      <c r="E176" s="414"/>
      <c r="F176" s="414"/>
      <c r="G176" s="414"/>
      <c r="H176" s="4738">
        <f t="shared" si="200"/>
        <v>0</v>
      </c>
      <c r="I176" s="414"/>
      <c r="J176" s="414"/>
      <c r="K176" s="414"/>
      <c r="L176" s="4738">
        <f t="shared" ref="L176:L196" si="207">+I176+J176-K176</f>
        <v>0</v>
      </c>
      <c r="M176" s="414"/>
      <c r="N176" s="414"/>
      <c r="O176" s="414"/>
      <c r="P176" s="4738">
        <f t="shared" ref="P176:P196" si="208">+M176+N176-O176</f>
        <v>0</v>
      </c>
      <c r="Q176" s="414"/>
      <c r="R176" s="414"/>
      <c r="S176" s="414"/>
      <c r="T176" s="4738">
        <f t="shared" ref="T176:T196" si="209">+Q176+R176-S176</f>
        <v>0</v>
      </c>
      <c r="U176" s="414"/>
      <c r="V176" s="414"/>
      <c r="W176" s="414"/>
      <c r="X176" s="4738">
        <f t="shared" ref="X176:X196" si="210">+U176+V176-W176</f>
        <v>0</v>
      </c>
      <c r="Y176" s="4775"/>
      <c r="Z176" s="4794">
        <f t="shared" si="175"/>
        <v>0</v>
      </c>
      <c r="AA176" s="4794">
        <f t="shared" si="190"/>
        <v>0</v>
      </c>
      <c r="AB176" s="4794">
        <f t="shared" si="191"/>
        <v>0</v>
      </c>
      <c r="AC176" s="4794">
        <f t="shared" si="176"/>
        <v>0</v>
      </c>
      <c r="AD176" s="4794">
        <f t="shared" si="177"/>
        <v>0</v>
      </c>
      <c r="AE176" s="4794">
        <f t="shared" si="192"/>
        <v>0</v>
      </c>
      <c r="AF176" s="4794">
        <f t="shared" si="193"/>
        <v>0</v>
      </c>
      <c r="AG176" s="4794">
        <f t="shared" si="178"/>
        <v>0</v>
      </c>
      <c r="AH176" s="4794">
        <f t="shared" si="179"/>
        <v>0</v>
      </c>
      <c r="AI176" s="4794">
        <f t="shared" si="194"/>
        <v>0</v>
      </c>
      <c r="AJ176" s="4794">
        <f t="shared" si="195"/>
        <v>0</v>
      </c>
      <c r="AK176" s="4794">
        <f t="shared" si="180"/>
        <v>0</v>
      </c>
      <c r="AL176" s="4794">
        <f t="shared" si="181"/>
        <v>0</v>
      </c>
      <c r="AM176" s="4794">
        <f t="shared" si="196"/>
        <v>0</v>
      </c>
      <c r="AN176" s="4794">
        <f t="shared" si="197"/>
        <v>0</v>
      </c>
      <c r="AO176" s="4794">
        <f t="shared" si="182"/>
        <v>0</v>
      </c>
      <c r="AP176" s="4794">
        <f t="shared" si="183"/>
        <v>0</v>
      </c>
      <c r="AQ176" s="4794">
        <f t="shared" si="198"/>
        <v>0</v>
      </c>
      <c r="AR176" s="4794">
        <f t="shared" si="199"/>
        <v>0</v>
      </c>
      <c r="AS176" s="4794">
        <f t="shared" si="184"/>
        <v>0</v>
      </c>
    </row>
    <row r="177" spans="1:45">
      <c r="A177" s="2683">
        <v>2</v>
      </c>
      <c r="B177" s="2684" t="s">
        <v>697</v>
      </c>
      <c r="C177" s="2685">
        <v>0.03</v>
      </c>
      <c r="D177" s="2739" t="s">
        <v>426</v>
      </c>
      <c r="E177" s="414">
        <v>74</v>
      </c>
      <c r="F177" s="414">
        <v>9</v>
      </c>
      <c r="G177" s="414"/>
      <c r="H177" s="4738">
        <f t="shared" si="200"/>
        <v>83</v>
      </c>
      <c r="I177" s="414"/>
      <c r="J177" s="414"/>
      <c r="K177" s="414"/>
      <c r="L177" s="4738">
        <f t="shared" si="207"/>
        <v>0</v>
      </c>
      <c r="M177" s="414">
        <v>2706</v>
      </c>
      <c r="N177" s="414">
        <v>371</v>
      </c>
      <c r="O177" s="414"/>
      <c r="P177" s="4738">
        <f t="shared" si="208"/>
        <v>3077</v>
      </c>
      <c r="Q177" s="414"/>
      <c r="R177" s="414"/>
      <c r="S177" s="414"/>
      <c r="T177" s="4738">
        <f t="shared" si="209"/>
        <v>0</v>
      </c>
      <c r="U177" s="414"/>
      <c r="V177" s="414"/>
      <c r="W177" s="414"/>
      <c r="X177" s="4738">
        <f t="shared" si="210"/>
        <v>0</v>
      </c>
      <c r="Y177" s="4775"/>
      <c r="Z177" s="4794">
        <f t="shared" si="175"/>
        <v>37.835599208520172</v>
      </c>
      <c r="AA177" s="4794">
        <f t="shared" si="190"/>
        <v>4.6016269307659661</v>
      </c>
      <c r="AB177" s="4794">
        <f t="shared" si="191"/>
        <v>0</v>
      </c>
      <c r="AC177" s="4794">
        <f t="shared" si="176"/>
        <v>42.437226139286132</v>
      </c>
      <c r="AD177" s="4794">
        <f t="shared" si="177"/>
        <v>0</v>
      </c>
      <c r="AE177" s="4794">
        <f t="shared" si="192"/>
        <v>0</v>
      </c>
      <c r="AF177" s="4794">
        <f t="shared" si="193"/>
        <v>0</v>
      </c>
      <c r="AG177" s="4794">
        <f t="shared" si="178"/>
        <v>0</v>
      </c>
      <c r="AH177" s="4794">
        <f t="shared" si="179"/>
        <v>1383.5558305169673</v>
      </c>
      <c r="AI177" s="4794">
        <f t="shared" si="194"/>
        <v>189.68928792379705</v>
      </c>
      <c r="AJ177" s="4794">
        <f t="shared" si="195"/>
        <v>0</v>
      </c>
      <c r="AK177" s="4794">
        <f t="shared" si="180"/>
        <v>1573.2451184407644</v>
      </c>
      <c r="AL177" s="4794">
        <f t="shared" si="181"/>
        <v>0</v>
      </c>
      <c r="AM177" s="4794">
        <f t="shared" si="196"/>
        <v>0</v>
      </c>
      <c r="AN177" s="4794">
        <f t="shared" si="197"/>
        <v>0</v>
      </c>
      <c r="AO177" s="4794">
        <f t="shared" si="182"/>
        <v>0</v>
      </c>
      <c r="AP177" s="4794">
        <f t="shared" si="183"/>
        <v>0</v>
      </c>
      <c r="AQ177" s="4794">
        <f t="shared" si="198"/>
        <v>0</v>
      </c>
      <c r="AR177" s="4794">
        <f t="shared" si="199"/>
        <v>0</v>
      </c>
      <c r="AS177" s="4794">
        <f t="shared" si="184"/>
        <v>0</v>
      </c>
    </row>
    <row r="178" spans="1:45">
      <c r="A178" s="2683">
        <v>3</v>
      </c>
      <c r="B178" s="2684">
        <v>911301</v>
      </c>
      <c r="C178" s="2685">
        <v>0.1</v>
      </c>
      <c r="D178" s="2739" t="s">
        <v>427</v>
      </c>
      <c r="E178" s="414"/>
      <c r="F178" s="414"/>
      <c r="G178" s="414"/>
      <c r="H178" s="4738">
        <f t="shared" si="200"/>
        <v>0</v>
      </c>
      <c r="I178" s="414"/>
      <c r="J178" s="414"/>
      <c r="K178" s="414"/>
      <c r="L178" s="4738">
        <f t="shared" si="207"/>
        <v>0</v>
      </c>
      <c r="M178" s="414"/>
      <c r="N178" s="414"/>
      <c r="O178" s="414"/>
      <c r="P178" s="4738">
        <f t="shared" si="208"/>
        <v>0</v>
      </c>
      <c r="Q178" s="414"/>
      <c r="R178" s="414"/>
      <c r="S178" s="414"/>
      <c r="T178" s="4738">
        <f t="shared" si="209"/>
        <v>0</v>
      </c>
      <c r="U178" s="414"/>
      <c r="V178" s="414"/>
      <c r="W178" s="414"/>
      <c r="X178" s="4738">
        <f t="shared" si="210"/>
        <v>0</v>
      </c>
      <c r="Y178" s="4775"/>
      <c r="Z178" s="4794">
        <f t="shared" si="175"/>
        <v>0</v>
      </c>
      <c r="AA178" s="4794">
        <f t="shared" si="190"/>
        <v>0</v>
      </c>
      <c r="AB178" s="4794">
        <f t="shared" si="191"/>
        <v>0</v>
      </c>
      <c r="AC178" s="4794">
        <f t="shared" si="176"/>
        <v>0</v>
      </c>
      <c r="AD178" s="4794">
        <f t="shared" si="177"/>
        <v>0</v>
      </c>
      <c r="AE178" s="4794">
        <f t="shared" si="192"/>
        <v>0</v>
      </c>
      <c r="AF178" s="4794">
        <f t="shared" si="193"/>
        <v>0</v>
      </c>
      <c r="AG178" s="4794">
        <f t="shared" si="178"/>
        <v>0</v>
      </c>
      <c r="AH178" s="4794">
        <f t="shared" si="179"/>
        <v>0</v>
      </c>
      <c r="AI178" s="4794">
        <f t="shared" si="194"/>
        <v>0</v>
      </c>
      <c r="AJ178" s="4794">
        <f t="shared" si="195"/>
        <v>0</v>
      </c>
      <c r="AK178" s="4794">
        <f t="shared" si="180"/>
        <v>0</v>
      </c>
      <c r="AL178" s="4794">
        <f t="shared" si="181"/>
        <v>0</v>
      </c>
      <c r="AM178" s="4794">
        <f t="shared" si="196"/>
        <v>0</v>
      </c>
      <c r="AN178" s="4794">
        <f t="shared" si="197"/>
        <v>0</v>
      </c>
      <c r="AO178" s="4794">
        <f t="shared" si="182"/>
        <v>0</v>
      </c>
      <c r="AP178" s="4794">
        <f t="shared" si="183"/>
        <v>0</v>
      </c>
      <c r="AQ178" s="4794">
        <f t="shared" si="198"/>
        <v>0</v>
      </c>
      <c r="AR178" s="4794">
        <f t="shared" si="199"/>
        <v>0</v>
      </c>
      <c r="AS178" s="4794">
        <f t="shared" si="184"/>
        <v>0</v>
      </c>
    </row>
    <row r="179" spans="1:45">
      <c r="A179" s="2683">
        <v>4</v>
      </c>
      <c r="B179" s="2684">
        <v>911302</v>
      </c>
      <c r="C179" s="2685">
        <v>0.1</v>
      </c>
      <c r="D179" s="2739" t="s">
        <v>428</v>
      </c>
      <c r="E179" s="414"/>
      <c r="F179" s="414"/>
      <c r="G179" s="414"/>
      <c r="H179" s="4738">
        <f t="shared" si="200"/>
        <v>0</v>
      </c>
      <c r="I179" s="414"/>
      <c r="J179" s="414"/>
      <c r="K179" s="414"/>
      <c r="L179" s="4738">
        <f t="shared" si="207"/>
        <v>0</v>
      </c>
      <c r="M179" s="414"/>
      <c r="N179" s="414"/>
      <c r="O179" s="414"/>
      <c r="P179" s="4738">
        <f t="shared" si="208"/>
        <v>0</v>
      </c>
      <c r="Q179" s="414"/>
      <c r="R179" s="414"/>
      <c r="S179" s="414"/>
      <c r="T179" s="4738">
        <f t="shared" si="209"/>
        <v>0</v>
      </c>
      <c r="U179" s="414"/>
      <c r="V179" s="414"/>
      <c r="W179" s="414"/>
      <c r="X179" s="4738">
        <f t="shared" si="210"/>
        <v>0</v>
      </c>
      <c r="Y179" s="4775"/>
      <c r="Z179" s="4794">
        <f t="shared" si="175"/>
        <v>0</v>
      </c>
      <c r="AA179" s="4794">
        <f t="shared" si="190"/>
        <v>0</v>
      </c>
      <c r="AB179" s="4794">
        <f t="shared" si="191"/>
        <v>0</v>
      </c>
      <c r="AC179" s="4794">
        <f t="shared" si="176"/>
        <v>0</v>
      </c>
      <c r="AD179" s="4794">
        <f t="shared" si="177"/>
        <v>0</v>
      </c>
      <c r="AE179" s="4794">
        <f t="shared" si="192"/>
        <v>0</v>
      </c>
      <c r="AF179" s="4794">
        <f t="shared" si="193"/>
        <v>0</v>
      </c>
      <c r="AG179" s="4794">
        <f t="shared" si="178"/>
        <v>0</v>
      </c>
      <c r="AH179" s="4794">
        <f t="shared" si="179"/>
        <v>0</v>
      </c>
      <c r="AI179" s="4794">
        <f t="shared" si="194"/>
        <v>0</v>
      </c>
      <c r="AJ179" s="4794">
        <f t="shared" si="195"/>
        <v>0</v>
      </c>
      <c r="AK179" s="4794">
        <f t="shared" si="180"/>
        <v>0</v>
      </c>
      <c r="AL179" s="4794">
        <f t="shared" si="181"/>
        <v>0</v>
      </c>
      <c r="AM179" s="4794">
        <f t="shared" si="196"/>
        <v>0</v>
      </c>
      <c r="AN179" s="4794">
        <f t="shared" si="197"/>
        <v>0</v>
      </c>
      <c r="AO179" s="4794">
        <f t="shared" si="182"/>
        <v>0</v>
      </c>
      <c r="AP179" s="4794">
        <f t="shared" si="183"/>
        <v>0</v>
      </c>
      <c r="AQ179" s="4794">
        <f t="shared" si="198"/>
        <v>0</v>
      </c>
      <c r="AR179" s="4794">
        <f t="shared" si="199"/>
        <v>0</v>
      </c>
      <c r="AS179" s="4794">
        <f t="shared" si="184"/>
        <v>0</v>
      </c>
    </row>
    <row r="180" spans="1:45">
      <c r="A180" s="2683">
        <v>5</v>
      </c>
      <c r="B180" s="2684" t="s">
        <v>714</v>
      </c>
      <c r="C180" s="2685">
        <v>0.1</v>
      </c>
      <c r="D180" s="2720" t="s">
        <v>407</v>
      </c>
      <c r="E180" s="414">
        <v>19</v>
      </c>
      <c r="F180" s="414">
        <v>1</v>
      </c>
      <c r="G180" s="414"/>
      <c r="H180" s="4738">
        <f t="shared" si="200"/>
        <v>20</v>
      </c>
      <c r="I180" s="414"/>
      <c r="J180" s="414"/>
      <c r="K180" s="414"/>
      <c r="L180" s="4738">
        <f t="shared" si="207"/>
        <v>0</v>
      </c>
      <c r="M180" s="414"/>
      <c r="N180" s="414"/>
      <c r="O180" s="414"/>
      <c r="P180" s="4738">
        <f t="shared" si="208"/>
        <v>0</v>
      </c>
      <c r="Q180" s="414"/>
      <c r="R180" s="414"/>
      <c r="S180" s="414"/>
      <c r="T180" s="4738">
        <f t="shared" si="209"/>
        <v>0</v>
      </c>
      <c r="U180" s="414"/>
      <c r="V180" s="414"/>
      <c r="W180" s="414"/>
      <c r="X180" s="4738">
        <f t="shared" si="210"/>
        <v>0</v>
      </c>
      <c r="Y180" s="4775"/>
      <c r="Z180" s="4794">
        <f t="shared" si="175"/>
        <v>9.7145457427281521</v>
      </c>
      <c r="AA180" s="4794">
        <f t="shared" si="190"/>
        <v>0.51129188119621849</v>
      </c>
      <c r="AB180" s="4794">
        <f t="shared" si="191"/>
        <v>0</v>
      </c>
      <c r="AC180" s="4794">
        <f t="shared" si="176"/>
        <v>10.22583762392437</v>
      </c>
      <c r="AD180" s="4794">
        <f t="shared" si="177"/>
        <v>0</v>
      </c>
      <c r="AE180" s="4794">
        <f t="shared" si="192"/>
        <v>0</v>
      </c>
      <c r="AF180" s="4794">
        <f t="shared" si="193"/>
        <v>0</v>
      </c>
      <c r="AG180" s="4794">
        <f t="shared" si="178"/>
        <v>0</v>
      </c>
      <c r="AH180" s="4794">
        <f t="shared" si="179"/>
        <v>0</v>
      </c>
      <c r="AI180" s="4794">
        <f t="shared" si="194"/>
        <v>0</v>
      </c>
      <c r="AJ180" s="4794">
        <f t="shared" si="195"/>
        <v>0</v>
      </c>
      <c r="AK180" s="4794">
        <f t="shared" si="180"/>
        <v>0</v>
      </c>
      <c r="AL180" s="4794">
        <f t="shared" si="181"/>
        <v>0</v>
      </c>
      <c r="AM180" s="4794">
        <f t="shared" si="196"/>
        <v>0</v>
      </c>
      <c r="AN180" s="4794">
        <f t="shared" si="197"/>
        <v>0</v>
      </c>
      <c r="AO180" s="4794">
        <f t="shared" si="182"/>
        <v>0</v>
      </c>
      <c r="AP180" s="4794">
        <f t="shared" si="183"/>
        <v>0</v>
      </c>
      <c r="AQ180" s="4794">
        <f t="shared" si="198"/>
        <v>0</v>
      </c>
      <c r="AR180" s="4794">
        <f t="shared" si="199"/>
        <v>0</v>
      </c>
      <c r="AS180" s="4794">
        <f t="shared" si="184"/>
        <v>0</v>
      </c>
    </row>
    <row r="181" spans="1:45">
      <c r="A181" s="2683">
        <v>6</v>
      </c>
      <c r="B181" s="2684" t="s">
        <v>715</v>
      </c>
      <c r="C181" s="2685">
        <v>0.1</v>
      </c>
      <c r="D181" s="2720" t="s">
        <v>1001</v>
      </c>
      <c r="E181" s="414">
        <v>56</v>
      </c>
      <c r="F181" s="414">
        <v>5</v>
      </c>
      <c r="G181" s="414"/>
      <c r="H181" s="4738">
        <f t="shared" si="200"/>
        <v>61</v>
      </c>
      <c r="I181" s="414"/>
      <c r="J181" s="414"/>
      <c r="K181" s="414"/>
      <c r="L181" s="4738">
        <f t="shared" si="207"/>
        <v>0</v>
      </c>
      <c r="M181" s="414"/>
      <c r="N181" s="414"/>
      <c r="O181" s="414"/>
      <c r="P181" s="4738">
        <f t="shared" si="208"/>
        <v>0</v>
      </c>
      <c r="Q181" s="414"/>
      <c r="R181" s="414"/>
      <c r="S181" s="414"/>
      <c r="T181" s="4738">
        <f t="shared" si="209"/>
        <v>0</v>
      </c>
      <c r="U181" s="414"/>
      <c r="V181" s="414"/>
      <c r="W181" s="414"/>
      <c r="X181" s="4738">
        <f t="shared" si="210"/>
        <v>0</v>
      </c>
      <c r="Y181" s="4775"/>
      <c r="Z181" s="4794">
        <f t="shared" si="175"/>
        <v>28.632345346988235</v>
      </c>
      <c r="AA181" s="4794">
        <f t="shared" si="190"/>
        <v>2.5564594059810926</v>
      </c>
      <c r="AB181" s="4794">
        <f t="shared" si="191"/>
        <v>0</v>
      </c>
      <c r="AC181" s="4794">
        <f t="shared" si="176"/>
        <v>31.188804752969329</v>
      </c>
      <c r="AD181" s="4794">
        <f t="shared" si="177"/>
        <v>0</v>
      </c>
      <c r="AE181" s="4794">
        <f t="shared" si="192"/>
        <v>0</v>
      </c>
      <c r="AF181" s="4794">
        <f t="shared" si="193"/>
        <v>0</v>
      </c>
      <c r="AG181" s="4794">
        <f t="shared" si="178"/>
        <v>0</v>
      </c>
      <c r="AH181" s="4794">
        <f t="shared" si="179"/>
        <v>0</v>
      </c>
      <c r="AI181" s="4794">
        <f t="shared" si="194"/>
        <v>0</v>
      </c>
      <c r="AJ181" s="4794">
        <f t="shared" si="195"/>
        <v>0</v>
      </c>
      <c r="AK181" s="4794">
        <f t="shared" si="180"/>
        <v>0</v>
      </c>
      <c r="AL181" s="4794">
        <f t="shared" si="181"/>
        <v>0</v>
      </c>
      <c r="AM181" s="4794">
        <f t="shared" si="196"/>
        <v>0</v>
      </c>
      <c r="AN181" s="4794">
        <f t="shared" si="197"/>
        <v>0</v>
      </c>
      <c r="AO181" s="4794">
        <f t="shared" si="182"/>
        <v>0</v>
      </c>
      <c r="AP181" s="4794">
        <f t="shared" si="183"/>
        <v>0</v>
      </c>
      <c r="AQ181" s="4794">
        <f t="shared" si="198"/>
        <v>0</v>
      </c>
      <c r="AR181" s="4794">
        <f t="shared" si="199"/>
        <v>0</v>
      </c>
      <c r="AS181" s="4794">
        <f t="shared" si="184"/>
        <v>0</v>
      </c>
    </row>
    <row r="182" spans="1:45" ht="36">
      <c r="A182" s="2683">
        <v>7</v>
      </c>
      <c r="B182" s="2684" t="s">
        <v>706</v>
      </c>
      <c r="C182" s="2685">
        <v>0.1</v>
      </c>
      <c r="D182" s="2720" t="s">
        <v>695</v>
      </c>
      <c r="E182" s="414">
        <v>60</v>
      </c>
      <c r="F182" s="414">
        <v>7</v>
      </c>
      <c r="G182" s="414"/>
      <c r="H182" s="4738">
        <f t="shared" si="200"/>
        <v>67</v>
      </c>
      <c r="I182" s="414"/>
      <c r="J182" s="414"/>
      <c r="K182" s="414"/>
      <c r="L182" s="4738">
        <f t="shared" si="207"/>
        <v>0</v>
      </c>
      <c r="M182" s="414"/>
      <c r="N182" s="414"/>
      <c r="O182" s="414"/>
      <c r="P182" s="4738">
        <f t="shared" si="208"/>
        <v>0</v>
      </c>
      <c r="Q182" s="414"/>
      <c r="R182" s="414"/>
      <c r="S182" s="414"/>
      <c r="T182" s="4738">
        <f t="shared" si="209"/>
        <v>0</v>
      </c>
      <c r="U182" s="414"/>
      <c r="V182" s="414"/>
      <c r="W182" s="414"/>
      <c r="X182" s="4738">
        <f t="shared" si="210"/>
        <v>0</v>
      </c>
      <c r="Y182" s="4775"/>
      <c r="Z182" s="4794">
        <f t="shared" si="175"/>
        <v>30.677512871773111</v>
      </c>
      <c r="AA182" s="4794">
        <f t="shared" si="190"/>
        <v>3.5790431683735293</v>
      </c>
      <c r="AB182" s="4794">
        <f t="shared" si="191"/>
        <v>0</v>
      </c>
      <c r="AC182" s="4794">
        <f t="shared" si="176"/>
        <v>34.256556040146641</v>
      </c>
      <c r="AD182" s="4794">
        <f t="shared" si="177"/>
        <v>0</v>
      </c>
      <c r="AE182" s="4794">
        <f t="shared" si="192"/>
        <v>0</v>
      </c>
      <c r="AF182" s="4794">
        <f t="shared" si="193"/>
        <v>0</v>
      </c>
      <c r="AG182" s="4794">
        <f t="shared" si="178"/>
        <v>0</v>
      </c>
      <c r="AH182" s="4794">
        <f t="shared" si="179"/>
        <v>0</v>
      </c>
      <c r="AI182" s="4794">
        <f t="shared" si="194"/>
        <v>0</v>
      </c>
      <c r="AJ182" s="4794">
        <f t="shared" si="195"/>
        <v>0</v>
      </c>
      <c r="AK182" s="4794">
        <f t="shared" si="180"/>
        <v>0</v>
      </c>
      <c r="AL182" s="4794">
        <f t="shared" si="181"/>
        <v>0</v>
      </c>
      <c r="AM182" s="4794">
        <f t="shared" si="196"/>
        <v>0</v>
      </c>
      <c r="AN182" s="4794">
        <f t="shared" si="197"/>
        <v>0</v>
      </c>
      <c r="AO182" s="4794">
        <f t="shared" si="182"/>
        <v>0</v>
      </c>
      <c r="AP182" s="4794">
        <f t="shared" si="183"/>
        <v>0</v>
      </c>
      <c r="AQ182" s="4794">
        <f t="shared" si="198"/>
        <v>0</v>
      </c>
      <c r="AR182" s="4794">
        <f t="shared" si="199"/>
        <v>0</v>
      </c>
      <c r="AS182" s="4794">
        <f t="shared" si="184"/>
        <v>0</v>
      </c>
    </row>
    <row r="183" spans="1:45">
      <c r="A183" s="2683">
        <v>8</v>
      </c>
      <c r="B183" s="2684" t="s">
        <v>716</v>
      </c>
      <c r="C183" s="2685">
        <v>0.1</v>
      </c>
      <c r="D183" s="2720" t="s">
        <v>713</v>
      </c>
      <c r="E183" s="414">
        <v>873</v>
      </c>
      <c r="F183" s="414">
        <v>134</v>
      </c>
      <c r="G183" s="414"/>
      <c r="H183" s="4738">
        <f t="shared" si="200"/>
        <v>1007</v>
      </c>
      <c r="I183" s="414"/>
      <c r="J183" s="414"/>
      <c r="K183" s="414"/>
      <c r="L183" s="4738">
        <f t="shared" si="207"/>
        <v>0</v>
      </c>
      <c r="M183" s="414"/>
      <c r="N183" s="414"/>
      <c r="O183" s="414"/>
      <c r="P183" s="4738">
        <f t="shared" si="208"/>
        <v>0</v>
      </c>
      <c r="Q183" s="414"/>
      <c r="R183" s="414"/>
      <c r="S183" s="414"/>
      <c r="T183" s="4738">
        <f t="shared" si="209"/>
        <v>0</v>
      </c>
      <c r="U183" s="414"/>
      <c r="V183" s="414"/>
      <c r="W183" s="414"/>
      <c r="X183" s="4738">
        <f t="shared" si="210"/>
        <v>0</v>
      </c>
      <c r="Y183" s="4775"/>
      <c r="Z183" s="4794">
        <f t="shared" si="175"/>
        <v>446.35781228429875</v>
      </c>
      <c r="AA183" s="4794">
        <f t="shared" si="190"/>
        <v>68.513112080293283</v>
      </c>
      <c r="AB183" s="4794">
        <f t="shared" si="191"/>
        <v>0</v>
      </c>
      <c r="AC183" s="4794">
        <f t="shared" si="176"/>
        <v>514.87092436459204</v>
      </c>
      <c r="AD183" s="4794">
        <f t="shared" si="177"/>
        <v>0</v>
      </c>
      <c r="AE183" s="4794">
        <f t="shared" si="192"/>
        <v>0</v>
      </c>
      <c r="AF183" s="4794">
        <f t="shared" si="193"/>
        <v>0</v>
      </c>
      <c r="AG183" s="4794">
        <f t="shared" si="178"/>
        <v>0</v>
      </c>
      <c r="AH183" s="4794">
        <f t="shared" si="179"/>
        <v>0</v>
      </c>
      <c r="AI183" s="4794">
        <f t="shared" si="194"/>
        <v>0</v>
      </c>
      <c r="AJ183" s="4794">
        <f t="shared" si="195"/>
        <v>0</v>
      </c>
      <c r="AK183" s="4794">
        <f t="shared" si="180"/>
        <v>0</v>
      </c>
      <c r="AL183" s="4794">
        <f t="shared" si="181"/>
        <v>0</v>
      </c>
      <c r="AM183" s="4794">
        <f t="shared" si="196"/>
        <v>0</v>
      </c>
      <c r="AN183" s="4794">
        <f t="shared" si="197"/>
        <v>0</v>
      </c>
      <c r="AO183" s="4794">
        <f t="shared" si="182"/>
        <v>0</v>
      </c>
      <c r="AP183" s="4794">
        <f t="shared" si="183"/>
        <v>0</v>
      </c>
      <c r="AQ183" s="4794">
        <f t="shared" si="198"/>
        <v>0</v>
      </c>
      <c r="AR183" s="4794">
        <f t="shared" si="199"/>
        <v>0</v>
      </c>
      <c r="AS183" s="4794">
        <f t="shared" si="184"/>
        <v>0</v>
      </c>
    </row>
    <row r="184" spans="1:45" ht="24">
      <c r="A184" s="2741">
        <v>9</v>
      </c>
      <c r="B184" s="2684">
        <v>911306</v>
      </c>
      <c r="C184" s="2685">
        <v>0.1</v>
      </c>
      <c r="D184" s="2720" t="s">
        <v>1032</v>
      </c>
      <c r="E184" s="414">
        <v>80</v>
      </c>
      <c r="F184" s="414">
        <v>36</v>
      </c>
      <c r="G184" s="414"/>
      <c r="H184" s="4738">
        <f t="shared" si="200"/>
        <v>116</v>
      </c>
      <c r="I184" s="414"/>
      <c r="J184" s="414"/>
      <c r="K184" s="414"/>
      <c r="L184" s="4738">
        <f t="shared" si="207"/>
        <v>0</v>
      </c>
      <c r="M184" s="414">
        <v>149</v>
      </c>
      <c r="N184" s="414">
        <v>1</v>
      </c>
      <c r="O184" s="414"/>
      <c r="P184" s="4738">
        <f t="shared" si="208"/>
        <v>150</v>
      </c>
      <c r="Q184" s="414"/>
      <c r="R184" s="414"/>
      <c r="S184" s="414"/>
      <c r="T184" s="4738">
        <f t="shared" si="209"/>
        <v>0</v>
      </c>
      <c r="U184" s="414"/>
      <c r="V184" s="414"/>
      <c r="W184" s="414"/>
      <c r="X184" s="4738">
        <f t="shared" si="210"/>
        <v>0</v>
      </c>
      <c r="Y184" s="4775"/>
      <c r="Z184" s="4794">
        <f t="shared" si="175"/>
        <v>40.903350495697481</v>
      </c>
      <c r="AA184" s="4794">
        <f t="shared" si="190"/>
        <v>18.406507723063864</v>
      </c>
      <c r="AB184" s="4794">
        <f t="shared" si="191"/>
        <v>0</v>
      </c>
      <c r="AC184" s="4794">
        <f t="shared" si="176"/>
        <v>59.309858218761349</v>
      </c>
      <c r="AD184" s="4794">
        <f t="shared" si="177"/>
        <v>0</v>
      </c>
      <c r="AE184" s="4794">
        <f t="shared" si="192"/>
        <v>0</v>
      </c>
      <c r="AF184" s="4794">
        <f t="shared" si="193"/>
        <v>0</v>
      </c>
      <c r="AG184" s="4794">
        <f t="shared" si="178"/>
        <v>0</v>
      </c>
      <c r="AH184" s="4794">
        <f t="shared" si="179"/>
        <v>76.182490298236559</v>
      </c>
      <c r="AI184" s="4794">
        <f t="shared" si="194"/>
        <v>0.51129188119621849</v>
      </c>
      <c r="AJ184" s="4794">
        <f t="shared" si="195"/>
        <v>0</v>
      </c>
      <c r="AK184" s="4794">
        <f t="shared" si="180"/>
        <v>76.693782179432773</v>
      </c>
      <c r="AL184" s="4794">
        <f t="shared" si="181"/>
        <v>0</v>
      </c>
      <c r="AM184" s="4794">
        <f t="shared" si="196"/>
        <v>0</v>
      </c>
      <c r="AN184" s="4794">
        <f t="shared" si="197"/>
        <v>0</v>
      </c>
      <c r="AO184" s="4794">
        <f t="shared" si="182"/>
        <v>0</v>
      </c>
      <c r="AP184" s="4794">
        <f t="shared" si="183"/>
        <v>0</v>
      </c>
      <c r="AQ184" s="4794">
        <f t="shared" si="198"/>
        <v>0</v>
      </c>
      <c r="AR184" s="4794">
        <f t="shared" si="199"/>
        <v>0</v>
      </c>
      <c r="AS184" s="4794">
        <f t="shared" si="184"/>
        <v>0</v>
      </c>
    </row>
    <row r="185" spans="1:45">
      <c r="A185" s="2741">
        <v>10</v>
      </c>
      <c r="B185" s="2684">
        <v>91140101</v>
      </c>
      <c r="C185" s="2740">
        <v>0.1</v>
      </c>
      <c r="D185" s="2714" t="s">
        <v>1016</v>
      </c>
      <c r="E185" s="414">
        <v>6</v>
      </c>
      <c r="F185" s="414">
        <v>1</v>
      </c>
      <c r="G185" s="414"/>
      <c r="H185" s="4738">
        <f t="shared" si="200"/>
        <v>7</v>
      </c>
      <c r="I185" s="414"/>
      <c r="J185" s="414"/>
      <c r="K185" s="414"/>
      <c r="L185" s="4738">
        <f t="shared" si="207"/>
        <v>0</v>
      </c>
      <c r="M185" s="414"/>
      <c r="N185" s="414"/>
      <c r="O185" s="414"/>
      <c r="P185" s="4738">
        <f t="shared" si="208"/>
        <v>0</v>
      </c>
      <c r="Q185" s="414"/>
      <c r="R185" s="414"/>
      <c r="S185" s="414"/>
      <c r="T185" s="4738">
        <f t="shared" si="209"/>
        <v>0</v>
      </c>
      <c r="U185" s="414"/>
      <c r="V185" s="414"/>
      <c r="W185" s="414"/>
      <c r="X185" s="4738">
        <f t="shared" si="210"/>
        <v>0</v>
      </c>
      <c r="Y185" s="4775"/>
      <c r="Z185" s="4794">
        <f t="shared" si="175"/>
        <v>3.0677512871773112</v>
      </c>
      <c r="AA185" s="4794">
        <f t="shared" si="190"/>
        <v>0.51129188119621849</v>
      </c>
      <c r="AB185" s="4794">
        <f t="shared" si="191"/>
        <v>0</v>
      </c>
      <c r="AC185" s="4794">
        <f t="shared" si="176"/>
        <v>3.5790431683735293</v>
      </c>
      <c r="AD185" s="4794">
        <f t="shared" si="177"/>
        <v>0</v>
      </c>
      <c r="AE185" s="4794">
        <f t="shared" si="192"/>
        <v>0</v>
      </c>
      <c r="AF185" s="4794">
        <f t="shared" si="193"/>
        <v>0</v>
      </c>
      <c r="AG185" s="4794">
        <f t="shared" si="178"/>
        <v>0</v>
      </c>
      <c r="AH185" s="4794">
        <f t="shared" si="179"/>
        <v>0</v>
      </c>
      <c r="AI185" s="4794">
        <f t="shared" si="194"/>
        <v>0</v>
      </c>
      <c r="AJ185" s="4794">
        <f t="shared" si="195"/>
        <v>0</v>
      </c>
      <c r="AK185" s="4794">
        <f t="shared" si="180"/>
        <v>0</v>
      </c>
      <c r="AL185" s="4794">
        <f t="shared" si="181"/>
        <v>0</v>
      </c>
      <c r="AM185" s="4794">
        <f t="shared" si="196"/>
        <v>0</v>
      </c>
      <c r="AN185" s="4794">
        <f t="shared" si="197"/>
        <v>0</v>
      </c>
      <c r="AO185" s="4794">
        <f t="shared" si="182"/>
        <v>0</v>
      </c>
      <c r="AP185" s="4794">
        <f t="shared" si="183"/>
        <v>0</v>
      </c>
      <c r="AQ185" s="4794">
        <f t="shared" si="198"/>
        <v>0</v>
      </c>
      <c r="AR185" s="4794">
        <f t="shared" si="199"/>
        <v>0</v>
      </c>
      <c r="AS185" s="4794">
        <f t="shared" si="184"/>
        <v>0</v>
      </c>
    </row>
    <row r="186" spans="1:45">
      <c r="A186" s="2741">
        <v>11</v>
      </c>
      <c r="B186" s="2684">
        <v>91140102</v>
      </c>
      <c r="C186" s="2740">
        <v>0.04</v>
      </c>
      <c r="D186" s="2714" t="s">
        <v>432</v>
      </c>
      <c r="E186" s="414"/>
      <c r="F186" s="414"/>
      <c r="G186" s="414"/>
      <c r="H186" s="4738">
        <f t="shared" si="200"/>
        <v>0</v>
      </c>
      <c r="I186" s="414"/>
      <c r="J186" s="414"/>
      <c r="K186" s="414"/>
      <c r="L186" s="4738">
        <f t="shared" si="207"/>
        <v>0</v>
      </c>
      <c r="M186" s="414"/>
      <c r="N186" s="414"/>
      <c r="O186" s="414"/>
      <c r="P186" s="4738">
        <f t="shared" si="208"/>
        <v>0</v>
      </c>
      <c r="Q186" s="414"/>
      <c r="R186" s="414"/>
      <c r="S186" s="414"/>
      <c r="T186" s="4738">
        <f t="shared" si="209"/>
        <v>0</v>
      </c>
      <c r="U186" s="414"/>
      <c r="V186" s="414"/>
      <c r="W186" s="414"/>
      <c r="X186" s="4738">
        <f t="shared" si="210"/>
        <v>0</v>
      </c>
      <c r="Y186" s="4775"/>
      <c r="Z186" s="4794">
        <f t="shared" si="175"/>
        <v>0</v>
      </c>
      <c r="AA186" s="4794">
        <f t="shared" si="190"/>
        <v>0</v>
      </c>
      <c r="AB186" s="4794">
        <f t="shared" si="191"/>
        <v>0</v>
      </c>
      <c r="AC186" s="4794">
        <f t="shared" si="176"/>
        <v>0</v>
      </c>
      <c r="AD186" s="4794">
        <f t="shared" si="177"/>
        <v>0</v>
      </c>
      <c r="AE186" s="4794">
        <f t="shared" si="192"/>
        <v>0</v>
      </c>
      <c r="AF186" s="4794">
        <f t="shared" si="193"/>
        <v>0</v>
      </c>
      <c r="AG186" s="4794">
        <f t="shared" si="178"/>
        <v>0</v>
      </c>
      <c r="AH186" s="4794">
        <f t="shared" si="179"/>
        <v>0</v>
      </c>
      <c r="AI186" s="4794">
        <f t="shared" si="194"/>
        <v>0</v>
      </c>
      <c r="AJ186" s="4794">
        <f t="shared" si="195"/>
        <v>0</v>
      </c>
      <c r="AK186" s="4794">
        <f t="shared" si="180"/>
        <v>0</v>
      </c>
      <c r="AL186" s="4794">
        <f t="shared" si="181"/>
        <v>0</v>
      </c>
      <c r="AM186" s="4794">
        <f t="shared" si="196"/>
        <v>0</v>
      </c>
      <c r="AN186" s="4794">
        <f t="shared" si="197"/>
        <v>0</v>
      </c>
      <c r="AO186" s="4794">
        <f t="shared" si="182"/>
        <v>0</v>
      </c>
      <c r="AP186" s="4794">
        <f t="shared" si="183"/>
        <v>0</v>
      </c>
      <c r="AQ186" s="4794">
        <f t="shared" si="198"/>
        <v>0</v>
      </c>
      <c r="AR186" s="4794">
        <f t="shared" si="199"/>
        <v>0</v>
      </c>
      <c r="AS186" s="4794">
        <f t="shared" si="184"/>
        <v>0</v>
      </c>
    </row>
    <row r="187" spans="1:45">
      <c r="A187" s="2741">
        <v>12</v>
      </c>
      <c r="B187" s="2684" t="s">
        <v>698</v>
      </c>
      <c r="C187" s="2685">
        <v>0.02</v>
      </c>
      <c r="D187" s="2715" t="s">
        <v>738</v>
      </c>
      <c r="E187" s="414"/>
      <c r="F187" s="414"/>
      <c r="G187" s="414"/>
      <c r="H187" s="4738">
        <f t="shared" si="200"/>
        <v>0</v>
      </c>
      <c r="I187" s="414"/>
      <c r="J187" s="414"/>
      <c r="K187" s="414"/>
      <c r="L187" s="4738">
        <f t="shared" si="207"/>
        <v>0</v>
      </c>
      <c r="M187" s="414"/>
      <c r="N187" s="414"/>
      <c r="O187" s="414"/>
      <c r="P187" s="4738">
        <f t="shared" si="208"/>
        <v>0</v>
      </c>
      <c r="Q187" s="414"/>
      <c r="R187" s="414"/>
      <c r="S187" s="414"/>
      <c r="T187" s="4738">
        <f t="shared" si="209"/>
        <v>0</v>
      </c>
      <c r="U187" s="414"/>
      <c r="V187" s="414"/>
      <c r="W187" s="414"/>
      <c r="X187" s="4738">
        <f t="shared" si="210"/>
        <v>0</v>
      </c>
      <c r="Y187" s="4775"/>
      <c r="Z187" s="4794">
        <f t="shared" si="175"/>
        <v>0</v>
      </c>
      <c r="AA187" s="4794">
        <f t="shared" si="190"/>
        <v>0</v>
      </c>
      <c r="AB187" s="4794">
        <f t="shared" si="191"/>
        <v>0</v>
      </c>
      <c r="AC187" s="4794">
        <f t="shared" si="176"/>
        <v>0</v>
      </c>
      <c r="AD187" s="4794">
        <f t="shared" si="177"/>
        <v>0</v>
      </c>
      <c r="AE187" s="4794">
        <f t="shared" si="192"/>
        <v>0</v>
      </c>
      <c r="AF187" s="4794">
        <f t="shared" si="193"/>
        <v>0</v>
      </c>
      <c r="AG187" s="4794">
        <f t="shared" si="178"/>
        <v>0</v>
      </c>
      <c r="AH187" s="4794">
        <f t="shared" si="179"/>
        <v>0</v>
      </c>
      <c r="AI187" s="4794">
        <f t="shared" si="194"/>
        <v>0</v>
      </c>
      <c r="AJ187" s="4794">
        <f t="shared" si="195"/>
        <v>0</v>
      </c>
      <c r="AK187" s="4794">
        <f t="shared" si="180"/>
        <v>0</v>
      </c>
      <c r="AL187" s="4794">
        <f t="shared" si="181"/>
        <v>0</v>
      </c>
      <c r="AM187" s="4794">
        <f t="shared" si="196"/>
        <v>0</v>
      </c>
      <c r="AN187" s="4794">
        <f t="shared" si="197"/>
        <v>0</v>
      </c>
      <c r="AO187" s="4794">
        <f t="shared" si="182"/>
        <v>0</v>
      </c>
      <c r="AP187" s="4794">
        <f t="shared" si="183"/>
        <v>0</v>
      </c>
      <c r="AQ187" s="4794">
        <f t="shared" si="198"/>
        <v>0</v>
      </c>
      <c r="AR187" s="4794">
        <f t="shared" si="199"/>
        <v>0</v>
      </c>
      <c r="AS187" s="4794">
        <f t="shared" si="184"/>
        <v>0</v>
      </c>
    </row>
    <row r="188" spans="1:45">
      <c r="A188" s="2741">
        <v>13</v>
      </c>
      <c r="B188" s="2684" t="s">
        <v>699</v>
      </c>
      <c r="C188" s="2685">
        <v>0.02</v>
      </c>
      <c r="D188" s="2715" t="s">
        <v>739</v>
      </c>
      <c r="E188" s="414">
        <v>513</v>
      </c>
      <c r="F188" s="414">
        <v>66</v>
      </c>
      <c r="G188" s="414"/>
      <c r="H188" s="4738">
        <f t="shared" si="200"/>
        <v>579</v>
      </c>
      <c r="I188" s="414"/>
      <c r="J188" s="414"/>
      <c r="K188" s="414"/>
      <c r="L188" s="4738">
        <f t="shared" si="207"/>
        <v>0</v>
      </c>
      <c r="M188" s="414"/>
      <c r="N188" s="414"/>
      <c r="O188" s="414"/>
      <c r="P188" s="4738">
        <f t="shared" si="208"/>
        <v>0</v>
      </c>
      <c r="Q188" s="414"/>
      <c r="R188" s="414"/>
      <c r="S188" s="414"/>
      <c r="T188" s="4738">
        <f t="shared" si="209"/>
        <v>0</v>
      </c>
      <c r="U188" s="414"/>
      <c r="V188" s="414"/>
      <c r="W188" s="414"/>
      <c r="X188" s="4738">
        <f t="shared" si="210"/>
        <v>0</v>
      </c>
      <c r="Y188" s="4775"/>
      <c r="Z188" s="4794">
        <f t="shared" si="175"/>
        <v>262.29273505366007</v>
      </c>
      <c r="AA188" s="4794">
        <f t="shared" si="190"/>
        <v>33.74526415895042</v>
      </c>
      <c r="AB188" s="4794">
        <f t="shared" si="191"/>
        <v>0</v>
      </c>
      <c r="AC188" s="4794">
        <f t="shared" si="176"/>
        <v>296.03799921261049</v>
      </c>
      <c r="AD188" s="4794">
        <f t="shared" si="177"/>
        <v>0</v>
      </c>
      <c r="AE188" s="4794">
        <f t="shared" si="192"/>
        <v>0</v>
      </c>
      <c r="AF188" s="4794">
        <f t="shared" si="193"/>
        <v>0</v>
      </c>
      <c r="AG188" s="4794">
        <f t="shared" si="178"/>
        <v>0</v>
      </c>
      <c r="AH188" s="4794">
        <f t="shared" si="179"/>
        <v>0</v>
      </c>
      <c r="AI188" s="4794">
        <f t="shared" si="194"/>
        <v>0</v>
      </c>
      <c r="AJ188" s="4794">
        <f t="shared" si="195"/>
        <v>0</v>
      </c>
      <c r="AK188" s="4794">
        <f t="shared" si="180"/>
        <v>0</v>
      </c>
      <c r="AL188" s="4794">
        <f t="shared" si="181"/>
        <v>0</v>
      </c>
      <c r="AM188" s="4794">
        <f t="shared" si="196"/>
        <v>0</v>
      </c>
      <c r="AN188" s="4794">
        <f t="shared" si="197"/>
        <v>0</v>
      </c>
      <c r="AO188" s="4794">
        <f t="shared" si="182"/>
        <v>0</v>
      </c>
      <c r="AP188" s="4794">
        <f t="shared" si="183"/>
        <v>0</v>
      </c>
      <c r="AQ188" s="4794">
        <f t="shared" si="198"/>
        <v>0</v>
      </c>
      <c r="AR188" s="4794">
        <f t="shared" si="199"/>
        <v>0</v>
      </c>
      <c r="AS188" s="4794">
        <f t="shared" si="184"/>
        <v>0</v>
      </c>
    </row>
    <row r="189" spans="1:45">
      <c r="A189" s="2741">
        <v>14</v>
      </c>
      <c r="B189" s="2684" t="s">
        <v>700</v>
      </c>
      <c r="C189" s="2685">
        <v>0.02</v>
      </c>
      <c r="D189" s="2715" t="s">
        <v>418</v>
      </c>
      <c r="E189" s="414">
        <v>23</v>
      </c>
      <c r="F189" s="414">
        <v>4</v>
      </c>
      <c r="G189" s="414"/>
      <c r="H189" s="4738">
        <f t="shared" si="200"/>
        <v>27</v>
      </c>
      <c r="I189" s="414"/>
      <c r="J189" s="414"/>
      <c r="K189" s="414"/>
      <c r="L189" s="4738">
        <f t="shared" si="207"/>
        <v>0</v>
      </c>
      <c r="M189" s="414"/>
      <c r="N189" s="414"/>
      <c r="O189" s="414"/>
      <c r="P189" s="4738">
        <f t="shared" si="208"/>
        <v>0</v>
      </c>
      <c r="Q189" s="414"/>
      <c r="R189" s="414"/>
      <c r="S189" s="414"/>
      <c r="T189" s="4738">
        <f t="shared" si="209"/>
        <v>0</v>
      </c>
      <c r="U189" s="414"/>
      <c r="V189" s="414"/>
      <c r="W189" s="414"/>
      <c r="X189" s="4738">
        <f t="shared" si="210"/>
        <v>0</v>
      </c>
      <c r="Y189" s="4775"/>
      <c r="Z189" s="4794">
        <f t="shared" si="175"/>
        <v>11.759713267513025</v>
      </c>
      <c r="AA189" s="4794">
        <f t="shared" si="190"/>
        <v>2.045167524784874</v>
      </c>
      <c r="AB189" s="4794">
        <f t="shared" si="191"/>
        <v>0</v>
      </c>
      <c r="AC189" s="4794">
        <f t="shared" si="176"/>
        <v>13.804880792297899</v>
      </c>
      <c r="AD189" s="4794">
        <f t="shared" si="177"/>
        <v>0</v>
      </c>
      <c r="AE189" s="4794">
        <f t="shared" si="192"/>
        <v>0</v>
      </c>
      <c r="AF189" s="4794">
        <f t="shared" si="193"/>
        <v>0</v>
      </c>
      <c r="AG189" s="4794">
        <f t="shared" si="178"/>
        <v>0</v>
      </c>
      <c r="AH189" s="4794">
        <f t="shared" si="179"/>
        <v>0</v>
      </c>
      <c r="AI189" s="4794">
        <f t="shared" si="194"/>
        <v>0</v>
      </c>
      <c r="AJ189" s="4794">
        <f t="shared" si="195"/>
        <v>0</v>
      </c>
      <c r="AK189" s="4794">
        <f t="shared" si="180"/>
        <v>0</v>
      </c>
      <c r="AL189" s="4794">
        <f t="shared" si="181"/>
        <v>0</v>
      </c>
      <c r="AM189" s="4794">
        <f t="shared" si="196"/>
        <v>0</v>
      </c>
      <c r="AN189" s="4794">
        <f t="shared" si="197"/>
        <v>0</v>
      </c>
      <c r="AO189" s="4794">
        <f t="shared" si="182"/>
        <v>0</v>
      </c>
      <c r="AP189" s="4794">
        <f t="shared" si="183"/>
        <v>0</v>
      </c>
      <c r="AQ189" s="4794">
        <f t="shared" si="198"/>
        <v>0</v>
      </c>
      <c r="AR189" s="4794">
        <f t="shared" si="199"/>
        <v>0</v>
      </c>
      <c r="AS189" s="4794">
        <f t="shared" si="184"/>
        <v>0</v>
      </c>
    </row>
    <row r="190" spans="1:45" ht="24">
      <c r="A190" s="2741">
        <v>15</v>
      </c>
      <c r="B190" s="2684" t="s">
        <v>701</v>
      </c>
      <c r="C190" s="2685">
        <v>0.02</v>
      </c>
      <c r="D190" s="2714" t="s">
        <v>419</v>
      </c>
      <c r="E190" s="414">
        <v>2</v>
      </c>
      <c r="F190" s="414"/>
      <c r="G190" s="414"/>
      <c r="H190" s="4738">
        <f t="shared" si="200"/>
        <v>2</v>
      </c>
      <c r="I190" s="414"/>
      <c r="J190" s="414"/>
      <c r="K190" s="414"/>
      <c r="L190" s="4738">
        <f t="shared" si="207"/>
        <v>0</v>
      </c>
      <c r="M190" s="414"/>
      <c r="N190" s="414"/>
      <c r="O190" s="414"/>
      <c r="P190" s="4738">
        <f t="shared" si="208"/>
        <v>0</v>
      </c>
      <c r="Q190" s="414"/>
      <c r="R190" s="414"/>
      <c r="S190" s="414"/>
      <c r="T190" s="4738">
        <f t="shared" si="209"/>
        <v>0</v>
      </c>
      <c r="U190" s="414"/>
      <c r="V190" s="414"/>
      <c r="W190" s="414"/>
      <c r="X190" s="4738">
        <f t="shared" si="210"/>
        <v>0</v>
      </c>
      <c r="Y190" s="4775"/>
      <c r="Z190" s="4794">
        <f t="shared" si="175"/>
        <v>1.022583762392437</v>
      </c>
      <c r="AA190" s="4794">
        <f t="shared" si="190"/>
        <v>0</v>
      </c>
      <c r="AB190" s="4794">
        <f t="shared" si="191"/>
        <v>0</v>
      </c>
      <c r="AC190" s="4794">
        <f t="shared" si="176"/>
        <v>1.022583762392437</v>
      </c>
      <c r="AD190" s="4794">
        <f t="shared" si="177"/>
        <v>0</v>
      </c>
      <c r="AE190" s="4794">
        <f t="shared" si="192"/>
        <v>0</v>
      </c>
      <c r="AF190" s="4794">
        <f t="shared" si="193"/>
        <v>0</v>
      </c>
      <c r="AG190" s="4794">
        <f t="shared" si="178"/>
        <v>0</v>
      </c>
      <c r="AH190" s="4794">
        <f t="shared" si="179"/>
        <v>0</v>
      </c>
      <c r="AI190" s="4794">
        <f t="shared" si="194"/>
        <v>0</v>
      </c>
      <c r="AJ190" s="4794">
        <f t="shared" si="195"/>
        <v>0</v>
      </c>
      <c r="AK190" s="4794">
        <f t="shared" si="180"/>
        <v>0</v>
      </c>
      <c r="AL190" s="4794">
        <f t="shared" si="181"/>
        <v>0</v>
      </c>
      <c r="AM190" s="4794">
        <f t="shared" si="196"/>
        <v>0</v>
      </c>
      <c r="AN190" s="4794">
        <f t="shared" si="197"/>
        <v>0</v>
      </c>
      <c r="AO190" s="4794">
        <f t="shared" si="182"/>
        <v>0</v>
      </c>
      <c r="AP190" s="4794">
        <f t="shared" si="183"/>
        <v>0</v>
      </c>
      <c r="AQ190" s="4794">
        <f t="shared" si="198"/>
        <v>0</v>
      </c>
      <c r="AR190" s="4794">
        <f t="shared" si="199"/>
        <v>0</v>
      </c>
      <c r="AS190" s="4794">
        <f t="shared" si="184"/>
        <v>0</v>
      </c>
    </row>
    <row r="191" spans="1:45">
      <c r="A191" s="2741">
        <v>16</v>
      </c>
      <c r="B191" s="2684" t="s">
        <v>702</v>
      </c>
      <c r="C191" s="2685">
        <v>0.02</v>
      </c>
      <c r="D191" s="2715" t="s">
        <v>420</v>
      </c>
      <c r="E191" s="414">
        <v>11638</v>
      </c>
      <c r="F191" s="414">
        <v>1637</v>
      </c>
      <c r="G191" s="414"/>
      <c r="H191" s="4738">
        <f t="shared" si="200"/>
        <v>13275</v>
      </c>
      <c r="I191" s="414"/>
      <c r="J191" s="414"/>
      <c r="K191" s="414"/>
      <c r="L191" s="4738">
        <f t="shared" si="207"/>
        <v>0</v>
      </c>
      <c r="M191" s="414"/>
      <c r="N191" s="414"/>
      <c r="O191" s="414"/>
      <c r="P191" s="4738">
        <f t="shared" si="208"/>
        <v>0</v>
      </c>
      <c r="Q191" s="414"/>
      <c r="R191" s="414"/>
      <c r="S191" s="414"/>
      <c r="T191" s="4738">
        <f t="shared" si="209"/>
        <v>0</v>
      </c>
      <c r="U191" s="414"/>
      <c r="V191" s="414"/>
      <c r="W191" s="414"/>
      <c r="X191" s="4738">
        <f t="shared" si="210"/>
        <v>0</v>
      </c>
      <c r="Y191" s="4775"/>
      <c r="Z191" s="4794">
        <f t="shared" si="175"/>
        <v>5950.4149133615911</v>
      </c>
      <c r="AA191" s="4794">
        <f t="shared" si="190"/>
        <v>836.98480951820966</v>
      </c>
      <c r="AB191" s="4794">
        <f t="shared" si="191"/>
        <v>0</v>
      </c>
      <c r="AC191" s="4794">
        <f t="shared" si="176"/>
        <v>6787.3997228798007</v>
      </c>
      <c r="AD191" s="4794">
        <f t="shared" si="177"/>
        <v>0</v>
      </c>
      <c r="AE191" s="4794">
        <f t="shared" si="192"/>
        <v>0</v>
      </c>
      <c r="AF191" s="4794">
        <f t="shared" si="193"/>
        <v>0</v>
      </c>
      <c r="AG191" s="4794">
        <f t="shared" si="178"/>
        <v>0</v>
      </c>
      <c r="AH191" s="4794">
        <f t="shared" si="179"/>
        <v>0</v>
      </c>
      <c r="AI191" s="4794">
        <f t="shared" si="194"/>
        <v>0</v>
      </c>
      <c r="AJ191" s="4794">
        <f t="shared" si="195"/>
        <v>0</v>
      </c>
      <c r="AK191" s="4794">
        <f t="shared" si="180"/>
        <v>0</v>
      </c>
      <c r="AL191" s="4794">
        <f t="shared" si="181"/>
        <v>0</v>
      </c>
      <c r="AM191" s="4794">
        <f t="shared" si="196"/>
        <v>0</v>
      </c>
      <c r="AN191" s="4794">
        <f t="shared" si="197"/>
        <v>0</v>
      </c>
      <c r="AO191" s="4794">
        <f t="shared" si="182"/>
        <v>0</v>
      </c>
      <c r="AP191" s="4794">
        <f t="shared" si="183"/>
        <v>0</v>
      </c>
      <c r="AQ191" s="4794">
        <f t="shared" si="198"/>
        <v>0</v>
      </c>
      <c r="AR191" s="4794">
        <f t="shared" si="199"/>
        <v>0</v>
      </c>
      <c r="AS191" s="4794">
        <f t="shared" si="184"/>
        <v>0</v>
      </c>
    </row>
    <row r="192" spans="1:45">
      <c r="A192" s="2741">
        <v>17</v>
      </c>
      <c r="B192" s="2684" t="s">
        <v>703</v>
      </c>
      <c r="C192" s="2685">
        <v>0.02</v>
      </c>
      <c r="D192" s="2720" t="s">
        <v>421</v>
      </c>
      <c r="E192" s="414"/>
      <c r="F192" s="414"/>
      <c r="G192" s="414"/>
      <c r="H192" s="4738">
        <f t="shared" si="200"/>
        <v>0</v>
      </c>
      <c r="I192" s="414">
        <v>12113</v>
      </c>
      <c r="J192" s="414">
        <v>1627</v>
      </c>
      <c r="K192" s="414"/>
      <c r="L192" s="4738">
        <f t="shared" si="207"/>
        <v>13740</v>
      </c>
      <c r="M192" s="414"/>
      <c r="N192" s="414"/>
      <c r="O192" s="414"/>
      <c r="P192" s="4738">
        <f t="shared" si="208"/>
        <v>0</v>
      </c>
      <c r="Q192" s="414"/>
      <c r="R192" s="414"/>
      <c r="S192" s="414"/>
      <c r="T192" s="4738">
        <f t="shared" si="209"/>
        <v>0</v>
      </c>
      <c r="U192" s="414"/>
      <c r="V192" s="414"/>
      <c r="W192" s="414"/>
      <c r="X192" s="4738">
        <f t="shared" si="210"/>
        <v>0</v>
      </c>
      <c r="Y192" s="4775"/>
      <c r="Z192" s="4794">
        <f t="shared" si="175"/>
        <v>0</v>
      </c>
      <c r="AA192" s="4794">
        <f t="shared" si="190"/>
        <v>0</v>
      </c>
      <c r="AB192" s="4794">
        <f t="shared" si="191"/>
        <v>0</v>
      </c>
      <c r="AC192" s="4794">
        <f t="shared" si="176"/>
        <v>0</v>
      </c>
      <c r="AD192" s="4794">
        <f t="shared" si="177"/>
        <v>6193.2785569297948</v>
      </c>
      <c r="AE192" s="4794">
        <f t="shared" si="192"/>
        <v>831.87189070624754</v>
      </c>
      <c r="AF192" s="4794">
        <f t="shared" si="193"/>
        <v>0</v>
      </c>
      <c r="AG192" s="4794">
        <f t="shared" si="178"/>
        <v>7025.1504476360424</v>
      </c>
      <c r="AH192" s="4794">
        <f t="shared" si="179"/>
        <v>0</v>
      </c>
      <c r="AI192" s="4794">
        <f t="shared" si="194"/>
        <v>0</v>
      </c>
      <c r="AJ192" s="4794">
        <f t="shared" si="195"/>
        <v>0</v>
      </c>
      <c r="AK192" s="4794">
        <f t="shared" si="180"/>
        <v>0</v>
      </c>
      <c r="AL192" s="4794">
        <f t="shared" si="181"/>
        <v>0</v>
      </c>
      <c r="AM192" s="4794">
        <f t="shared" si="196"/>
        <v>0</v>
      </c>
      <c r="AN192" s="4794">
        <f t="shared" si="197"/>
        <v>0</v>
      </c>
      <c r="AO192" s="4794">
        <f t="shared" si="182"/>
        <v>0</v>
      </c>
      <c r="AP192" s="4794">
        <f t="shared" si="183"/>
        <v>0</v>
      </c>
      <c r="AQ192" s="4794">
        <f t="shared" si="198"/>
        <v>0</v>
      </c>
      <c r="AR192" s="4794">
        <f t="shared" si="199"/>
        <v>0</v>
      </c>
      <c r="AS192" s="4794">
        <f t="shared" si="184"/>
        <v>0</v>
      </c>
    </row>
    <row r="193" spans="1:45" ht="48">
      <c r="A193" s="2741">
        <v>18</v>
      </c>
      <c r="B193" s="2684" t="s">
        <v>704</v>
      </c>
      <c r="C193" s="2685">
        <v>0.04</v>
      </c>
      <c r="D193" s="2720" t="s">
        <v>422</v>
      </c>
      <c r="E193" s="414">
        <v>1215</v>
      </c>
      <c r="F193" s="414">
        <v>153</v>
      </c>
      <c r="G193" s="414"/>
      <c r="H193" s="4738">
        <f t="shared" si="200"/>
        <v>1368</v>
      </c>
      <c r="I193" s="414">
        <v>10</v>
      </c>
      <c r="J193" s="414">
        <v>1</v>
      </c>
      <c r="K193" s="414"/>
      <c r="L193" s="4738">
        <f t="shared" si="207"/>
        <v>11</v>
      </c>
      <c r="M193" s="414">
        <v>7572</v>
      </c>
      <c r="N193" s="414">
        <v>954</v>
      </c>
      <c r="O193" s="414"/>
      <c r="P193" s="4738">
        <f t="shared" si="208"/>
        <v>8526</v>
      </c>
      <c r="Q193" s="414"/>
      <c r="R193" s="414"/>
      <c r="S193" s="414"/>
      <c r="T193" s="4738">
        <f t="shared" si="209"/>
        <v>0</v>
      </c>
      <c r="U193" s="414"/>
      <c r="V193" s="414"/>
      <c r="W193" s="414"/>
      <c r="X193" s="4738">
        <f t="shared" si="210"/>
        <v>0</v>
      </c>
      <c r="Y193" s="4775"/>
      <c r="Z193" s="4794">
        <f t="shared" si="175"/>
        <v>621.21963565340548</v>
      </c>
      <c r="AA193" s="4794">
        <f t="shared" si="190"/>
        <v>78.227657823021431</v>
      </c>
      <c r="AB193" s="4794">
        <f t="shared" si="191"/>
        <v>0</v>
      </c>
      <c r="AC193" s="4794">
        <f t="shared" si="176"/>
        <v>699.44729347642692</v>
      </c>
      <c r="AD193" s="4794">
        <f t="shared" si="177"/>
        <v>5.1129188119621851</v>
      </c>
      <c r="AE193" s="4794">
        <f t="shared" si="192"/>
        <v>0.51129188119621849</v>
      </c>
      <c r="AF193" s="4794">
        <f t="shared" si="193"/>
        <v>0</v>
      </c>
      <c r="AG193" s="4794">
        <f t="shared" si="178"/>
        <v>5.6242106931584033</v>
      </c>
      <c r="AH193" s="4794">
        <f t="shared" si="179"/>
        <v>3871.5021244177665</v>
      </c>
      <c r="AI193" s="4794">
        <f t="shared" si="194"/>
        <v>487.77245466119246</v>
      </c>
      <c r="AJ193" s="4794">
        <f t="shared" si="195"/>
        <v>0</v>
      </c>
      <c r="AK193" s="4794">
        <f t="shared" si="180"/>
        <v>4359.2745790789586</v>
      </c>
      <c r="AL193" s="4794">
        <f t="shared" si="181"/>
        <v>0</v>
      </c>
      <c r="AM193" s="4794">
        <f t="shared" si="196"/>
        <v>0</v>
      </c>
      <c r="AN193" s="4794">
        <f t="shared" si="197"/>
        <v>0</v>
      </c>
      <c r="AO193" s="4794">
        <f t="shared" si="182"/>
        <v>0</v>
      </c>
      <c r="AP193" s="4794">
        <f t="shared" si="183"/>
        <v>0</v>
      </c>
      <c r="AQ193" s="4794">
        <f t="shared" si="198"/>
        <v>0</v>
      </c>
      <c r="AR193" s="4794">
        <f t="shared" si="199"/>
        <v>0</v>
      </c>
      <c r="AS193" s="4794">
        <f t="shared" si="184"/>
        <v>0</v>
      </c>
    </row>
    <row r="194" spans="1:45">
      <c r="A194" s="2741">
        <v>19</v>
      </c>
      <c r="B194" s="2684" t="s">
        <v>705</v>
      </c>
      <c r="C194" s="2685">
        <v>0.04</v>
      </c>
      <c r="D194" s="2720" t="s">
        <v>423</v>
      </c>
      <c r="E194" s="414">
        <v>11</v>
      </c>
      <c r="F194" s="414">
        <v>1</v>
      </c>
      <c r="G194" s="414"/>
      <c r="H194" s="4738">
        <f t="shared" si="200"/>
        <v>12</v>
      </c>
      <c r="I194" s="414"/>
      <c r="J194" s="414"/>
      <c r="K194" s="414"/>
      <c r="L194" s="4738">
        <f t="shared" si="207"/>
        <v>0</v>
      </c>
      <c r="M194" s="414">
        <v>2</v>
      </c>
      <c r="N194" s="414"/>
      <c r="O194" s="414"/>
      <c r="P194" s="4738">
        <f t="shared" si="208"/>
        <v>2</v>
      </c>
      <c r="Q194" s="414"/>
      <c r="R194" s="414"/>
      <c r="S194" s="414"/>
      <c r="T194" s="4738">
        <f t="shared" si="209"/>
        <v>0</v>
      </c>
      <c r="U194" s="414"/>
      <c r="V194" s="414"/>
      <c r="W194" s="414"/>
      <c r="X194" s="4738">
        <f t="shared" si="210"/>
        <v>0</v>
      </c>
      <c r="Y194" s="4775"/>
      <c r="Z194" s="4794">
        <f t="shared" si="175"/>
        <v>5.6242106931584033</v>
      </c>
      <c r="AA194" s="4794">
        <f t="shared" si="190"/>
        <v>0.51129188119621849</v>
      </c>
      <c r="AB194" s="4794">
        <f t="shared" si="191"/>
        <v>0</v>
      </c>
      <c r="AC194" s="4794">
        <f t="shared" si="176"/>
        <v>6.1355025743546223</v>
      </c>
      <c r="AD194" s="4794">
        <f t="shared" si="177"/>
        <v>0</v>
      </c>
      <c r="AE194" s="4794">
        <f t="shared" si="192"/>
        <v>0</v>
      </c>
      <c r="AF194" s="4794">
        <f t="shared" si="193"/>
        <v>0</v>
      </c>
      <c r="AG194" s="4794">
        <f t="shared" si="178"/>
        <v>0</v>
      </c>
      <c r="AH194" s="4794">
        <f t="shared" si="179"/>
        <v>1.022583762392437</v>
      </c>
      <c r="AI194" s="4794">
        <f t="shared" si="194"/>
        <v>0</v>
      </c>
      <c r="AJ194" s="4794">
        <f t="shared" si="195"/>
        <v>0</v>
      </c>
      <c r="AK194" s="4794">
        <f t="shared" si="180"/>
        <v>1.022583762392437</v>
      </c>
      <c r="AL194" s="4794">
        <f t="shared" si="181"/>
        <v>0</v>
      </c>
      <c r="AM194" s="4794">
        <f t="shared" si="196"/>
        <v>0</v>
      </c>
      <c r="AN194" s="4794">
        <f t="shared" si="197"/>
        <v>0</v>
      </c>
      <c r="AO194" s="4794">
        <f t="shared" si="182"/>
        <v>0</v>
      </c>
      <c r="AP194" s="4794">
        <f t="shared" si="183"/>
        <v>0</v>
      </c>
      <c r="AQ194" s="4794">
        <f t="shared" si="198"/>
        <v>0</v>
      </c>
      <c r="AR194" s="4794">
        <f t="shared" si="199"/>
        <v>0</v>
      </c>
      <c r="AS194" s="4794">
        <f t="shared" si="184"/>
        <v>0</v>
      </c>
    </row>
    <row r="195" spans="1:45">
      <c r="A195" s="2741">
        <v>20</v>
      </c>
      <c r="B195" s="2684" t="s">
        <v>717</v>
      </c>
      <c r="C195" s="2685">
        <v>0.04</v>
      </c>
      <c r="D195" s="2739" t="s">
        <v>434</v>
      </c>
      <c r="E195" s="414">
        <v>16</v>
      </c>
      <c r="F195" s="414">
        <v>2</v>
      </c>
      <c r="G195" s="414"/>
      <c r="H195" s="4738">
        <f t="shared" si="200"/>
        <v>18</v>
      </c>
      <c r="I195" s="414">
        <v>2</v>
      </c>
      <c r="J195" s="414"/>
      <c r="K195" s="414"/>
      <c r="L195" s="4738">
        <f t="shared" si="207"/>
        <v>2</v>
      </c>
      <c r="M195" s="414">
        <v>2</v>
      </c>
      <c r="N195" s="414"/>
      <c r="O195" s="414"/>
      <c r="P195" s="4738">
        <f t="shared" si="208"/>
        <v>2</v>
      </c>
      <c r="Q195" s="414"/>
      <c r="R195" s="414"/>
      <c r="S195" s="414"/>
      <c r="T195" s="4738">
        <f t="shared" si="209"/>
        <v>0</v>
      </c>
      <c r="U195" s="414"/>
      <c r="V195" s="414"/>
      <c r="W195" s="414"/>
      <c r="X195" s="4738">
        <f t="shared" si="210"/>
        <v>0</v>
      </c>
      <c r="Y195" s="4775"/>
      <c r="Z195" s="4794">
        <f t="shared" si="175"/>
        <v>8.1806700991394958</v>
      </c>
      <c r="AA195" s="4794">
        <f t="shared" si="190"/>
        <v>1.022583762392437</v>
      </c>
      <c r="AB195" s="4794">
        <f t="shared" si="191"/>
        <v>0</v>
      </c>
      <c r="AC195" s="4794">
        <f t="shared" si="176"/>
        <v>9.2032538615319321</v>
      </c>
      <c r="AD195" s="4794">
        <f t="shared" si="177"/>
        <v>1.022583762392437</v>
      </c>
      <c r="AE195" s="4794">
        <f t="shared" si="192"/>
        <v>0</v>
      </c>
      <c r="AF195" s="4794">
        <f t="shared" si="193"/>
        <v>0</v>
      </c>
      <c r="AG195" s="4794">
        <f t="shared" si="178"/>
        <v>1.022583762392437</v>
      </c>
      <c r="AH195" s="4794">
        <f t="shared" si="179"/>
        <v>1.022583762392437</v>
      </c>
      <c r="AI195" s="4794">
        <f t="shared" si="194"/>
        <v>0</v>
      </c>
      <c r="AJ195" s="4794">
        <f t="shared" si="195"/>
        <v>0</v>
      </c>
      <c r="AK195" s="4794">
        <f t="shared" si="180"/>
        <v>1.022583762392437</v>
      </c>
      <c r="AL195" s="4794">
        <f t="shared" si="181"/>
        <v>0</v>
      </c>
      <c r="AM195" s="4794">
        <f t="shared" si="196"/>
        <v>0</v>
      </c>
      <c r="AN195" s="4794">
        <f t="shared" si="197"/>
        <v>0</v>
      </c>
      <c r="AO195" s="4794">
        <f t="shared" si="182"/>
        <v>0</v>
      </c>
      <c r="AP195" s="4794">
        <f t="shared" si="183"/>
        <v>0</v>
      </c>
      <c r="AQ195" s="4794">
        <f t="shared" si="198"/>
        <v>0</v>
      </c>
      <c r="AR195" s="4794">
        <f t="shared" si="199"/>
        <v>0</v>
      </c>
      <c r="AS195" s="4794">
        <f t="shared" si="184"/>
        <v>0</v>
      </c>
    </row>
    <row r="196" spans="1:45" ht="48.75" thickBot="1">
      <c r="A196" s="2741">
        <v>21</v>
      </c>
      <c r="B196" s="2684" t="s">
        <v>707</v>
      </c>
      <c r="C196" s="2690">
        <v>0.2</v>
      </c>
      <c r="D196" s="2720" t="s">
        <v>679</v>
      </c>
      <c r="E196" s="414"/>
      <c r="F196" s="414"/>
      <c r="G196" s="414"/>
      <c r="H196" s="4738">
        <f t="shared" si="200"/>
        <v>0</v>
      </c>
      <c r="I196" s="414"/>
      <c r="J196" s="414"/>
      <c r="K196" s="414"/>
      <c r="L196" s="4738">
        <f t="shared" si="207"/>
        <v>0</v>
      </c>
      <c r="M196" s="414">
        <v>721</v>
      </c>
      <c r="N196" s="414">
        <v>114</v>
      </c>
      <c r="O196" s="414"/>
      <c r="P196" s="4738">
        <f t="shared" si="208"/>
        <v>835</v>
      </c>
      <c r="Q196" s="414"/>
      <c r="R196" s="414"/>
      <c r="S196" s="414"/>
      <c r="T196" s="4738">
        <f t="shared" si="209"/>
        <v>0</v>
      </c>
      <c r="U196" s="414"/>
      <c r="V196" s="414"/>
      <c r="W196" s="414"/>
      <c r="X196" s="4738">
        <f t="shared" si="210"/>
        <v>0</v>
      </c>
      <c r="Y196" s="4775"/>
      <c r="Z196" s="4794">
        <f t="shared" si="175"/>
        <v>0</v>
      </c>
      <c r="AA196" s="4794">
        <f t="shared" si="190"/>
        <v>0</v>
      </c>
      <c r="AB196" s="4794">
        <f t="shared" si="191"/>
        <v>0</v>
      </c>
      <c r="AC196" s="4794">
        <f t="shared" si="176"/>
        <v>0</v>
      </c>
      <c r="AD196" s="4794">
        <f t="shared" si="177"/>
        <v>0</v>
      </c>
      <c r="AE196" s="4794">
        <f t="shared" si="192"/>
        <v>0</v>
      </c>
      <c r="AF196" s="4794">
        <f t="shared" si="193"/>
        <v>0</v>
      </c>
      <c r="AG196" s="4794">
        <f t="shared" si="178"/>
        <v>0</v>
      </c>
      <c r="AH196" s="4794">
        <f t="shared" si="179"/>
        <v>368.64144634247356</v>
      </c>
      <c r="AI196" s="4794">
        <f t="shared" si="194"/>
        <v>58.287274456368905</v>
      </c>
      <c r="AJ196" s="4794">
        <f t="shared" si="195"/>
        <v>0</v>
      </c>
      <c r="AK196" s="4794">
        <f t="shared" si="180"/>
        <v>426.92872079884245</v>
      </c>
      <c r="AL196" s="4794">
        <f t="shared" si="181"/>
        <v>0</v>
      </c>
      <c r="AM196" s="4794">
        <f t="shared" si="196"/>
        <v>0</v>
      </c>
      <c r="AN196" s="4794">
        <f t="shared" si="197"/>
        <v>0</v>
      </c>
      <c r="AO196" s="4794">
        <f t="shared" si="182"/>
        <v>0</v>
      </c>
      <c r="AP196" s="4794">
        <f t="shared" si="183"/>
        <v>0</v>
      </c>
      <c r="AQ196" s="4794">
        <f t="shared" si="198"/>
        <v>0</v>
      </c>
      <c r="AR196" s="4794">
        <f t="shared" si="199"/>
        <v>0</v>
      </c>
      <c r="AS196" s="4794">
        <f t="shared" si="184"/>
        <v>0</v>
      </c>
    </row>
    <row r="197" spans="1:45" ht="13.5" thickBot="1">
      <c r="A197" s="4342" t="s">
        <v>219</v>
      </c>
      <c r="B197" s="5410" t="s">
        <v>222</v>
      </c>
      <c r="C197" s="5411"/>
      <c r="D197" s="5412"/>
      <c r="E197" s="1265">
        <f t="shared" ref="E197:H197" si="211">SUM(E198:E218)</f>
        <v>76662</v>
      </c>
      <c r="F197" s="1265"/>
      <c r="G197" s="1265"/>
      <c r="H197" s="1265">
        <f t="shared" si="211"/>
        <v>74664</v>
      </c>
      <c r="I197" s="1265">
        <f t="shared" ref="I197" si="212">SUM(I198:I218)</f>
        <v>69272</v>
      </c>
      <c r="J197" s="1265"/>
      <c r="K197" s="1265"/>
      <c r="L197" s="1265">
        <f t="shared" ref="L197:M197" si="213">SUM(L198:L218)</f>
        <v>67644</v>
      </c>
      <c r="M197" s="1265">
        <f t="shared" si="213"/>
        <v>28213</v>
      </c>
      <c r="N197" s="1265"/>
      <c r="O197" s="1265"/>
      <c r="P197" s="1265">
        <f t="shared" ref="P197:Q197" si="214">SUM(P198:P218)</f>
        <v>26773</v>
      </c>
      <c r="Q197" s="1265">
        <f t="shared" si="214"/>
        <v>0</v>
      </c>
      <c r="R197" s="1265"/>
      <c r="S197" s="1265"/>
      <c r="T197" s="1265">
        <f t="shared" ref="T197:U197" si="215">SUM(T198:T218)</f>
        <v>0</v>
      </c>
      <c r="U197" s="1265">
        <f t="shared" si="215"/>
        <v>0</v>
      </c>
      <c r="V197" s="1265"/>
      <c r="W197" s="1265"/>
      <c r="X197" s="1129">
        <f t="shared" ref="X197" si="216">SUM(X198:X218)</f>
        <v>0</v>
      </c>
      <c r="Y197" s="4775"/>
      <c r="Z197" s="4794">
        <f t="shared" si="175"/>
        <v>39196.6581962645</v>
      </c>
      <c r="AA197" s="4794">
        <f t="shared" si="190"/>
        <v>0</v>
      </c>
      <c r="AB197" s="4794">
        <f t="shared" si="191"/>
        <v>0</v>
      </c>
      <c r="AC197" s="4794">
        <f t="shared" si="176"/>
        <v>38175.097017634456</v>
      </c>
      <c r="AD197" s="4794">
        <f t="shared" si="177"/>
        <v>35418.211194224445</v>
      </c>
      <c r="AE197" s="4794">
        <f t="shared" si="192"/>
        <v>0</v>
      </c>
      <c r="AF197" s="4794">
        <f t="shared" si="193"/>
        <v>0</v>
      </c>
      <c r="AG197" s="4794">
        <f t="shared" si="178"/>
        <v>34585.828011637001</v>
      </c>
      <c r="AH197" s="4794">
        <f t="shared" si="179"/>
        <v>14425.077844188912</v>
      </c>
      <c r="AI197" s="4794">
        <f t="shared" si="194"/>
        <v>0</v>
      </c>
      <c r="AJ197" s="4794">
        <f t="shared" si="195"/>
        <v>0</v>
      </c>
      <c r="AK197" s="4794">
        <f t="shared" si="180"/>
        <v>13688.817535266358</v>
      </c>
      <c r="AL197" s="4794">
        <f t="shared" si="181"/>
        <v>0</v>
      </c>
      <c r="AM197" s="4794">
        <f t="shared" si="196"/>
        <v>0</v>
      </c>
      <c r="AN197" s="4794">
        <f t="shared" si="197"/>
        <v>0</v>
      </c>
      <c r="AO197" s="4794">
        <f t="shared" si="182"/>
        <v>0</v>
      </c>
      <c r="AP197" s="4794">
        <f t="shared" si="183"/>
        <v>0</v>
      </c>
      <c r="AQ197" s="4794">
        <f t="shared" si="198"/>
        <v>0</v>
      </c>
      <c r="AR197" s="4794">
        <f t="shared" si="199"/>
        <v>0</v>
      </c>
      <c r="AS197" s="4794">
        <f t="shared" si="184"/>
        <v>0</v>
      </c>
    </row>
    <row r="198" spans="1:45">
      <c r="A198" s="2683">
        <v>1</v>
      </c>
      <c r="B198" s="2744" t="s">
        <v>696</v>
      </c>
      <c r="C198" s="2701">
        <v>0</v>
      </c>
      <c r="D198" s="2731" t="s">
        <v>558</v>
      </c>
      <c r="E198" s="1268">
        <f t="shared" ref="E198:E218" si="217">E154-E176</f>
        <v>27</v>
      </c>
      <c r="F198" s="5415"/>
      <c r="G198" s="5416"/>
      <c r="H198" s="1268">
        <f t="shared" ref="H198:I213" si="218">H154-H176</f>
        <v>27</v>
      </c>
      <c r="I198" s="1268">
        <f t="shared" si="218"/>
        <v>0</v>
      </c>
      <c r="J198" s="5415"/>
      <c r="K198" s="5416"/>
      <c r="L198" s="1268">
        <f t="shared" ref="L198:M213" si="219">L154-L176</f>
        <v>0</v>
      </c>
      <c r="M198" s="1268">
        <f t="shared" si="219"/>
        <v>0</v>
      </c>
      <c r="N198" s="5415"/>
      <c r="O198" s="5416"/>
      <c r="P198" s="1268">
        <f t="shared" ref="P198:Q213" si="220">P154-P176</f>
        <v>0</v>
      </c>
      <c r="Q198" s="1268">
        <f t="shared" si="220"/>
        <v>0</v>
      </c>
      <c r="R198" s="5415"/>
      <c r="S198" s="5416"/>
      <c r="T198" s="1268">
        <f t="shared" ref="T198:U213" si="221">T154-T176</f>
        <v>0</v>
      </c>
      <c r="U198" s="1268">
        <f t="shared" si="221"/>
        <v>0</v>
      </c>
      <c r="V198" s="5415"/>
      <c r="W198" s="5416"/>
      <c r="X198" s="2816">
        <f t="shared" ref="X198:X218" si="222">X154-X176</f>
        <v>0</v>
      </c>
      <c r="Y198" s="4775"/>
      <c r="Z198" s="4794">
        <f t="shared" si="175"/>
        <v>13.804880792297899</v>
      </c>
      <c r="AA198" s="4802"/>
      <c r="AB198" s="4803"/>
      <c r="AC198" s="4794">
        <f t="shared" si="176"/>
        <v>13.804880792297899</v>
      </c>
      <c r="AD198" s="4794">
        <f t="shared" si="177"/>
        <v>0</v>
      </c>
      <c r="AE198" s="4802"/>
      <c r="AF198" s="4803"/>
      <c r="AG198" s="4794">
        <f t="shared" si="178"/>
        <v>0</v>
      </c>
      <c r="AH198" s="4794">
        <f t="shared" si="179"/>
        <v>0</v>
      </c>
      <c r="AI198" s="4802"/>
      <c r="AJ198" s="4803"/>
      <c r="AK198" s="4794">
        <f t="shared" si="180"/>
        <v>0</v>
      </c>
      <c r="AL198" s="4794">
        <f t="shared" si="181"/>
        <v>0</v>
      </c>
      <c r="AM198" s="4802"/>
      <c r="AN198" s="4803"/>
      <c r="AO198" s="4794">
        <f t="shared" si="182"/>
        <v>0</v>
      </c>
      <c r="AP198" s="4794">
        <f t="shared" si="183"/>
        <v>0</v>
      </c>
      <c r="AQ198" s="4802"/>
      <c r="AR198" s="4803"/>
      <c r="AS198" s="4794">
        <f t="shared" si="184"/>
        <v>0</v>
      </c>
    </row>
    <row r="199" spans="1:45">
      <c r="A199" s="2683">
        <v>2</v>
      </c>
      <c r="B199" s="2684" t="s">
        <v>697</v>
      </c>
      <c r="C199" s="2685">
        <v>0.03</v>
      </c>
      <c r="D199" s="2739" t="s">
        <v>426</v>
      </c>
      <c r="E199" s="1268">
        <f t="shared" si="217"/>
        <v>212</v>
      </c>
      <c r="F199" s="5417"/>
      <c r="G199" s="5418"/>
      <c r="H199" s="1268">
        <f t="shared" si="218"/>
        <v>203</v>
      </c>
      <c r="I199" s="1268">
        <f t="shared" si="218"/>
        <v>0</v>
      </c>
      <c r="J199" s="5417"/>
      <c r="K199" s="5418"/>
      <c r="L199" s="1268">
        <f t="shared" si="219"/>
        <v>0</v>
      </c>
      <c r="M199" s="1268">
        <f t="shared" si="219"/>
        <v>9654</v>
      </c>
      <c r="N199" s="5417"/>
      <c r="O199" s="5418"/>
      <c r="P199" s="1268">
        <f t="shared" si="220"/>
        <v>9283</v>
      </c>
      <c r="Q199" s="1268">
        <f t="shared" si="220"/>
        <v>0</v>
      </c>
      <c r="R199" s="5417"/>
      <c r="S199" s="5418"/>
      <c r="T199" s="1268">
        <f t="shared" si="221"/>
        <v>0</v>
      </c>
      <c r="U199" s="1268">
        <f t="shared" si="221"/>
        <v>0</v>
      </c>
      <c r="V199" s="5417"/>
      <c r="W199" s="5418"/>
      <c r="X199" s="2816">
        <f t="shared" si="222"/>
        <v>0</v>
      </c>
      <c r="Y199" s="4775"/>
      <c r="Z199" s="4794">
        <f t="shared" si="175"/>
        <v>108.39387881359832</v>
      </c>
      <c r="AA199" s="4809"/>
      <c r="AB199" s="4810"/>
      <c r="AC199" s="4794">
        <f t="shared" si="176"/>
        <v>103.79225188283236</v>
      </c>
      <c r="AD199" s="4794">
        <f t="shared" si="177"/>
        <v>0</v>
      </c>
      <c r="AE199" s="4809"/>
      <c r="AF199" s="4810"/>
      <c r="AG199" s="4794">
        <f t="shared" si="178"/>
        <v>0</v>
      </c>
      <c r="AH199" s="4794">
        <f t="shared" si="179"/>
        <v>4936.0118210682931</v>
      </c>
      <c r="AI199" s="4809"/>
      <c r="AJ199" s="4810"/>
      <c r="AK199" s="4794">
        <f t="shared" si="180"/>
        <v>4746.3225331444964</v>
      </c>
      <c r="AL199" s="4794">
        <f t="shared" si="181"/>
        <v>0</v>
      </c>
      <c r="AM199" s="4809"/>
      <c r="AN199" s="4810"/>
      <c r="AO199" s="4794">
        <f t="shared" si="182"/>
        <v>0</v>
      </c>
      <c r="AP199" s="4794">
        <f t="shared" si="183"/>
        <v>0</v>
      </c>
      <c r="AQ199" s="4809"/>
      <c r="AR199" s="4810"/>
      <c r="AS199" s="4794">
        <f t="shared" si="184"/>
        <v>0</v>
      </c>
    </row>
    <row r="200" spans="1:45">
      <c r="A200" s="2683">
        <v>3</v>
      </c>
      <c r="B200" s="2684">
        <v>911301</v>
      </c>
      <c r="C200" s="2685">
        <v>0.1</v>
      </c>
      <c r="D200" s="2739" t="s">
        <v>427</v>
      </c>
      <c r="E200" s="1268">
        <f t="shared" si="217"/>
        <v>0</v>
      </c>
      <c r="F200" s="5417"/>
      <c r="G200" s="5418"/>
      <c r="H200" s="1268">
        <f t="shared" si="218"/>
        <v>0</v>
      </c>
      <c r="I200" s="1268">
        <f t="shared" si="218"/>
        <v>0</v>
      </c>
      <c r="J200" s="5417"/>
      <c r="K200" s="5418"/>
      <c r="L200" s="1268">
        <f t="shared" si="219"/>
        <v>0</v>
      </c>
      <c r="M200" s="1268">
        <f t="shared" si="219"/>
        <v>0</v>
      </c>
      <c r="N200" s="5417"/>
      <c r="O200" s="5418"/>
      <c r="P200" s="1268">
        <f t="shared" si="220"/>
        <v>0</v>
      </c>
      <c r="Q200" s="1268">
        <f t="shared" si="220"/>
        <v>0</v>
      </c>
      <c r="R200" s="5417"/>
      <c r="S200" s="5418"/>
      <c r="T200" s="1268">
        <f t="shared" si="221"/>
        <v>0</v>
      </c>
      <c r="U200" s="1268">
        <f t="shared" si="221"/>
        <v>0</v>
      </c>
      <c r="V200" s="5417"/>
      <c r="W200" s="5418"/>
      <c r="X200" s="2816">
        <f t="shared" si="222"/>
        <v>0</v>
      </c>
      <c r="Y200" s="4775"/>
      <c r="Z200" s="4794">
        <f t="shared" si="175"/>
        <v>0</v>
      </c>
      <c r="AA200" s="4809"/>
      <c r="AB200" s="4810"/>
      <c r="AC200" s="4794">
        <f t="shared" si="176"/>
        <v>0</v>
      </c>
      <c r="AD200" s="4794">
        <f t="shared" si="177"/>
        <v>0</v>
      </c>
      <c r="AE200" s="4809"/>
      <c r="AF200" s="4810"/>
      <c r="AG200" s="4794">
        <f t="shared" si="178"/>
        <v>0</v>
      </c>
      <c r="AH200" s="4794">
        <f t="shared" si="179"/>
        <v>0</v>
      </c>
      <c r="AI200" s="4809"/>
      <c r="AJ200" s="4810"/>
      <c r="AK200" s="4794">
        <f t="shared" si="180"/>
        <v>0</v>
      </c>
      <c r="AL200" s="4794">
        <f t="shared" si="181"/>
        <v>0</v>
      </c>
      <c r="AM200" s="4809"/>
      <c r="AN200" s="4810"/>
      <c r="AO200" s="4794">
        <f t="shared" si="182"/>
        <v>0</v>
      </c>
      <c r="AP200" s="4794">
        <f t="shared" si="183"/>
        <v>0</v>
      </c>
      <c r="AQ200" s="4809"/>
      <c r="AR200" s="4810"/>
      <c r="AS200" s="4794">
        <f t="shared" si="184"/>
        <v>0</v>
      </c>
    </row>
    <row r="201" spans="1:45">
      <c r="A201" s="2683">
        <v>4</v>
      </c>
      <c r="B201" s="2684">
        <v>911302</v>
      </c>
      <c r="C201" s="2685">
        <v>0.1</v>
      </c>
      <c r="D201" s="2739" t="s">
        <v>428</v>
      </c>
      <c r="E201" s="1268">
        <f t="shared" si="217"/>
        <v>0</v>
      </c>
      <c r="F201" s="5417"/>
      <c r="G201" s="5418"/>
      <c r="H201" s="1268">
        <f t="shared" si="218"/>
        <v>0</v>
      </c>
      <c r="I201" s="1268">
        <f t="shared" si="218"/>
        <v>0</v>
      </c>
      <c r="J201" s="5417"/>
      <c r="K201" s="5418"/>
      <c r="L201" s="1268">
        <f t="shared" si="219"/>
        <v>0</v>
      </c>
      <c r="M201" s="1268">
        <f t="shared" si="219"/>
        <v>0</v>
      </c>
      <c r="N201" s="5417"/>
      <c r="O201" s="5418"/>
      <c r="P201" s="1268">
        <f t="shared" si="220"/>
        <v>0</v>
      </c>
      <c r="Q201" s="1268">
        <f t="shared" si="220"/>
        <v>0</v>
      </c>
      <c r="R201" s="5417"/>
      <c r="S201" s="5418"/>
      <c r="T201" s="1268">
        <f t="shared" si="221"/>
        <v>0</v>
      </c>
      <c r="U201" s="1268">
        <f t="shared" si="221"/>
        <v>0</v>
      </c>
      <c r="V201" s="5417"/>
      <c r="W201" s="5418"/>
      <c r="X201" s="2816">
        <f t="shared" si="222"/>
        <v>0</v>
      </c>
      <c r="Y201" s="4775"/>
      <c r="Z201" s="4794">
        <f t="shared" si="175"/>
        <v>0</v>
      </c>
      <c r="AA201" s="4809"/>
      <c r="AB201" s="4810"/>
      <c r="AC201" s="4794">
        <f t="shared" si="176"/>
        <v>0</v>
      </c>
      <c r="AD201" s="4794">
        <f t="shared" si="177"/>
        <v>0</v>
      </c>
      <c r="AE201" s="4809"/>
      <c r="AF201" s="4810"/>
      <c r="AG201" s="4794">
        <f t="shared" si="178"/>
        <v>0</v>
      </c>
      <c r="AH201" s="4794">
        <f t="shared" si="179"/>
        <v>0</v>
      </c>
      <c r="AI201" s="4809"/>
      <c r="AJ201" s="4810"/>
      <c r="AK201" s="4794">
        <f t="shared" si="180"/>
        <v>0</v>
      </c>
      <c r="AL201" s="4794">
        <f t="shared" si="181"/>
        <v>0</v>
      </c>
      <c r="AM201" s="4809"/>
      <c r="AN201" s="4810"/>
      <c r="AO201" s="4794">
        <f t="shared" si="182"/>
        <v>0</v>
      </c>
      <c r="AP201" s="4794">
        <f t="shared" si="183"/>
        <v>0</v>
      </c>
      <c r="AQ201" s="4809"/>
      <c r="AR201" s="4810"/>
      <c r="AS201" s="4794">
        <f t="shared" si="184"/>
        <v>0</v>
      </c>
    </row>
    <row r="202" spans="1:45">
      <c r="A202" s="2683">
        <v>5</v>
      </c>
      <c r="B202" s="2684" t="s">
        <v>714</v>
      </c>
      <c r="C202" s="2685">
        <v>0.1</v>
      </c>
      <c r="D202" s="2720" t="s">
        <v>407</v>
      </c>
      <c r="E202" s="1268">
        <f t="shared" si="217"/>
        <v>4</v>
      </c>
      <c r="F202" s="5417"/>
      <c r="G202" s="5418"/>
      <c r="H202" s="1268">
        <f t="shared" si="218"/>
        <v>3</v>
      </c>
      <c r="I202" s="1268">
        <f t="shared" si="218"/>
        <v>0</v>
      </c>
      <c r="J202" s="5417"/>
      <c r="K202" s="5418"/>
      <c r="L202" s="1268">
        <f t="shared" si="219"/>
        <v>0</v>
      </c>
      <c r="M202" s="1268">
        <f t="shared" si="219"/>
        <v>2</v>
      </c>
      <c r="N202" s="5417"/>
      <c r="O202" s="5418"/>
      <c r="P202" s="1268">
        <f t="shared" si="220"/>
        <v>2</v>
      </c>
      <c r="Q202" s="1268">
        <f t="shared" si="220"/>
        <v>0</v>
      </c>
      <c r="R202" s="5417"/>
      <c r="S202" s="5418"/>
      <c r="T202" s="1268">
        <f t="shared" si="221"/>
        <v>0</v>
      </c>
      <c r="U202" s="1268">
        <f t="shared" si="221"/>
        <v>0</v>
      </c>
      <c r="V202" s="5417"/>
      <c r="W202" s="5418"/>
      <c r="X202" s="2816">
        <f t="shared" si="222"/>
        <v>0</v>
      </c>
      <c r="Y202" s="4775"/>
      <c r="Z202" s="4794">
        <f t="shared" si="175"/>
        <v>2.045167524784874</v>
      </c>
      <c r="AA202" s="4809"/>
      <c r="AB202" s="4810"/>
      <c r="AC202" s="4794">
        <f t="shared" si="176"/>
        <v>1.5338756435886556</v>
      </c>
      <c r="AD202" s="4794">
        <f t="shared" si="177"/>
        <v>0</v>
      </c>
      <c r="AE202" s="4809"/>
      <c r="AF202" s="4810"/>
      <c r="AG202" s="4794">
        <f t="shared" si="178"/>
        <v>0</v>
      </c>
      <c r="AH202" s="4794">
        <f t="shared" si="179"/>
        <v>1.022583762392437</v>
      </c>
      <c r="AI202" s="4809"/>
      <c r="AJ202" s="4810"/>
      <c r="AK202" s="4794">
        <f t="shared" si="180"/>
        <v>1.022583762392437</v>
      </c>
      <c r="AL202" s="4794">
        <f t="shared" si="181"/>
        <v>0</v>
      </c>
      <c r="AM202" s="4809"/>
      <c r="AN202" s="4810"/>
      <c r="AO202" s="4794">
        <f t="shared" si="182"/>
        <v>0</v>
      </c>
      <c r="AP202" s="4794">
        <f t="shared" si="183"/>
        <v>0</v>
      </c>
      <c r="AQ202" s="4809"/>
      <c r="AR202" s="4810"/>
      <c r="AS202" s="4794">
        <f t="shared" si="184"/>
        <v>0</v>
      </c>
    </row>
    <row r="203" spans="1:45">
      <c r="A203" s="2683">
        <v>6</v>
      </c>
      <c r="B203" s="2684" t="s">
        <v>715</v>
      </c>
      <c r="C203" s="2685">
        <v>0.1</v>
      </c>
      <c r="D203" s="2720" t="s">
        <v>1001</v>
      </c>
      <c r="E203" s="1268">
        <f t="shared" si="217"/>
        <v>15</v>
      </c>
      <c r="F203" s="5417"/>
      <c r="G203" s="5418"/>
      <c r="H203" s="1268">
        <f t="shared" si="218"/>
        <v>10</v>
      </c>
      <c r="I203" s="1268">
        <f t="shared" si="218"/>
        <v>0</v>
      </c>
      <c r="J203" s="5417"/>
      <c r="K203" s="5418"/>
      <c r="L203" s="1268">
        <f t="shared" si="219"/>
        <v>0</v>
      </c>
      <c r="M203" s="1268">
        <f t="shared" si="219"/>
        <v>0</v>
      </c>
      <c r="N203" s="5417"/>
      <c r="O203" s="5418"/>
      <c r="P203" s="1268">
        <f t="shared" si="220"/>
        <v>0</v>
      </c>
      <c r="Q203" s="1268">
        <f t="shared" si="220"/>
        <v>0</v>
      </c>
      <c r="R203" s="5417"/>
      <c r="S203" s="5418"/>
      <c r="T203" s="1268">
        <f t="shared" si="221"/>
        <v>0</v>
      </c>
      <c r="U203" s="1268">
        <f t="shared" si="221"/>
        <v>0</v>
      </c>
      <c r="V203" s="5417"/>
      <c r="W203" s="5418"/>
      <c r="X203" s="2816">
        <f t="shared" si="222"/>
        <v>0</v>
      </c>
      <c r="Y203" s="4775"/>
      <c r="Z203" s="4794">
        <f t="shared" si="175"/>
        <v>7.6693782179432777</v>
      </c>
      <c r="AA203" s="4809"/>
      <c r="AB203" s="4810"/>
      <c r="AC203" s="4794">
        <f t="shared" si="176"/>
        <v>5.1129188119621851</v>
      </c>
      <c r="AD203" s="4794">
        <f t="shared" si="177"/>
        <v>0</v>
      </c>
      <c r="AE203" s="4809"/>
      <c r="AF203" s="4810"/>
      <c r="AG203" s="4794">
        <f t="shared" si="178"/>
        <v>0</v>
      </c>
      <c r="AH203" s="4794">
        <f t="shared" si="179"/>
        <v>0</v>
      </c>
      <c r="AI203" s="4809"/>
      <c r="AJ203" s="4810"/>
      <c r="AK203" s="4794">
        <f t="shared" si="180"/>
        <v>0</v>
      </c>
      <c r="AL203" s="4794">
        <f t="shared" si="181"/>
        <v>0</v>
      </c>
      <c r="AM203" s="4809"/>
      <c r="AN203" s="4810"/>
      <c r="AO203" s="4794">
        <f t="shared" si="182"/>
        <v>0</v>
      </c>
      <c r="AP203" s="4794">
        <f t="shared" si="183"/>
        <v>0</v>
      </c>
      <c r="AQ203" s="4809"/>
      <c r="AR203" s="4810"/>
      <c r="AS203" s="4794">
        <f t="shared" si="184"/>
        <v>0</v>
      </c>
    </row>
    <row r="204" spans="1:45" ht="36">
      <c r="A204" s="2683">
        <v>7</v>
      </c>
      <c r="B204" s="2684" t="s">
        <v>706</v>
      </c>
      <c r="C204" s="2685">
        <v>0.1</v>
      </c>
      <c r="D204" s="2720" t="s">
        <v>695</v>
      </c>
      <c r="E204" s="1268">
        <f t="shared" si="217"/>
        <v>19</v>
      </c>
      <c r="F204" s="5417"/>
      <c r="G204" s="5418"/>
      <c r="H204" s="1268">
        <f t="shared" si="218"/>
        <v>12</v>
      </c>
      <c r="I204" s="1268">
        <f t="shared" si="218"/>
        <v>0</v>
      </c>
      <c r="J204" s="5417"/>
      <c r="K204" s="5418"/>
      <c r="L204" s="1268">
        <f t="shared" si="219"/>
        <v>0</v>
      </c>
      <c r="M204" s="1268">
        <f t="shared" si="219"/>
        <v>0</v>
      </c>
      <c r="N204" s="5417"/>
      <c r="O204" s="5418"/>
      <c r="P204" s="1268">
        <f t="shared" si="220"/>
        <v>0</v>
      </c>
      <c r="Q204" s="1268">
        <f t="shared" si="220"/>
        <v>0</v>
      </c>
      <c r="R204" s="5417"/>
      <c r="S204" s="5418"/>
      <c r="T204" s="1268">
        <f t="shared" si="221"/>
        <v>0</v>
      </c>
      <c r="U204" s="1268">
        <f t="shared" si="221"/>
        <v>0</v>
      </c>
      <c r="V204" s="5417"/>
      <c r="W204" s="5418"/>
      <c r="X204" s="2816">
        <f t="shared" si="222"/>
        <v>0</v>
      </c>
      <c r="Y204" s="4775"/>
      <c r="Z204" s="4794">
        <f t="shared" ref="Z204:Z221" si="223">IFERROR(E204/$D$1,0)</f>
        <v>9.7145457427281521</v>
      </c>
      <c r="AA204" s="4809"/>
      <c r="AB204" s="4810"/>
      <c r="AC204" s="4794">
        <f t="shared" ref="AC204:AC221" si="224">IFERROR(H204/$D$1,0)</f>
        <v>6.1355025743546223</v>
      </c>
      <c r="AD204" s="4794">
        <f t="shared" ref="AD204:AD221" si="225">IFERROR(I204/$D$1,0)</f>
        <v>0</v>
      </c>
      <c r="AE204" s="4809"/>
      <c r="AF204" s="4810"/>
      <c r="AG204" s="4794">
        <f t="shared" ref="AG204:AG221" si="226">IFERROR(L204/$D$1,0)</f>
        <v>0</v>
      </c>
      <c r="AH204" s="4794">
        <f t="shared" ref="AH204:AH221" si="227">IFERROR(M204/$D$1,0)</f>
        <v>0</v>
      </c>
      <c r="AI204" s="4809"/>
      <c r="AJ204" s="4810"/>
      <c r="AK204" s="4794">
        <f t="shared" ref="AK204:AK221" si="228">IFERROR(P204/$D$1,0)</f>
        <v>0</v>
      </c>
      <c r="AL204" s="4794">
        <f t="shared" ref="AL204:AL221" si="229">IFERROR(Q204/$D$1,0)</f>
        <v>0</v>
      </c>
      <c r="AM204" s="4809"/>
      <c r="AN204" s="4810"/>
      <c r="AO204" s="4794">
        <f t="shared" ref="AO204:AO221" si="230">IFERROR(T204/$D$1,0)</f>
        <v>0</v>
      </c>
      <c r="AP204" s="4794">
        <f t="shared" ref="AP204:AP221" si="231">IFERROR(U204/$D$1,0)</f>
        <v>0</v>
      </c>
      <c r="AQ204" s="4809"/>
      <c r="AR204" s="4810"/>
      <c r="AS204" s="4794">
        <f t="shared" ref="AS204:AS221" si="232">IFERROR(X204/$D$1,0)</f>
        <v>0</v>
      </c>
    </row>
    <row r="205" spans="1:45">
      <c r="A205" s="2683">
        <v>8</v>
      </c>
      <c r="B205" s="2684" t="s">
        <v>716</v>
      </c>
      <c r="C205" s="2685">
        <v>0.1</v>
      </c>
      <c r="D205" s="2720" t="s">
        <v>713</v>
      </c>
      <c r="E205" s="1268">
        <f t="shared" si="217"/>
        <v>407</v>
      </c>
      <c r="F205" s="5417"/>
      <c r="G205" s="5418"/>
      <c r="H205" s="1268">
        <f t="shared" si="218"/>
        <v>273</v>
      </c>
      <c r="I205" s="1268">
        <f t="shared" si="218"/>
        <v>0</v>
      </c>
      <c r="J205" s="5417"/>
      <c r="K205" s="5418"/>
      <c r="L205" s="1268">
        <f t="shared" si="219"/>
        <v>0</v>
      </c>
      <c r="M205" s="1268">
        <f t="shared" si="219"/>
        <v>0</v>
      </c>
      <c r="N205" s="5417"/>
      <c r="O205" s="5418"/>
      <c r="P205" s="1268">
        <f t="shared" si="220"/>
        <v>0</v>
      </c>
      <c r="Q205" s="1268">
        <f t="shared" si="220"/>
        <v>0</v>
      </c>
      <c r="R205" s="5417"/>
      <c r="S205" s="5418"/>
      <c r="T205" s="1268">
        <f t="shared" si="221"/>
        <v>0</v>
      </c>
      <c r="U205" s="1268">
        <f t="shared" si="221"/>
        <v>0</v>
      </c>
      <c r="V205" s="5417"/>
      <c r="W205" s="5418"/>
      <c r="X205" s="2816">
        <f t="shared" si="222"/>
        <v>0</v>
      </c>
      <c r="Y205" s="4775"/>
      <c r="Z205" s="4794">
        <f t="shared" si="223"/>
        <v>208.09579564686092</v>
      </c>
      <c r="AA205" s="4809"/>
      <c r="AB205" s="4810"/>
      <c r="AC205" s="4794">
        <f t="shared" si="224"/>
        <v>139.58268356656765</v>
      </c>
      <c r="AD205" s="4794">
        <f t="shared" si="225"/>
        <v>0</v>
      </c>
      <c r="AE205" s="4809"/>
      <c r="AF205" s="4810"/>
      <c r="AG205" s="4794">
        <f t="shared" si="226"/>
        <v>0</v>
      </c>
      <c r="AH205" s="4794">
        <f t="shared" si="227"/>
        <v>0</v>
      </c>
      <c r="AI205" s="4809"/>
      <c r="AJ205" s="4810"/>
      <c r="AK205" s="4794">
        <f t="shared" si="228"/>
        <v>0</v>
      </c>
      <c r="AL205" s="4794">
        <f t="shared" si="229"/>
        <v>0</v>
      </c>
      <c r="AM205" s="4809"/>
      <c r="AN205" s="4810"/>
      <c r="AO205" s="4794">
        <f t="shared" si="230"/>
        <v>0</v>
      </c>
      <c r="AP205" s="4794">
        <f t="shared" si="231"/>
        <v>0</v>
      </c>
      <c r="AQ205" s="4809"/>
      <c r="AR205" s="4810"/>
      <c r="AS205" s="4794">
        <f t="shared" si="232"/>
        <v>0</v>
      </c>
    </row>
    <row r="206" spans="1:45" ht="24">
      <c r="A206" s="2741">
        <v>9</v>
      </c>
      <c r="B206" s="2684">
        <v>911306</v>
      </c>
      <c r="C206" s="2685">
        <v>0.1</v>
      </c>
      <c r="D206" s="2720" t="s">
        <v>1032</v>
      </c>
      <c r="E206" s="1268">
        <f t="shared" si="217"/>
        <v>0</v>
      </c>
      <c r="F206" s="5417"/>
      <c r="G206" s="5418"/>
      <c r="H206" s="1268">
        <f t="shared" si="218"/>
        <v>-36</v>
      </c>
      <c r="I206" s="1268">
        <f t="shared" si="218"/>
        <v>0</v>
      </c>
      <c r="J206" s="5417"/>
      <c r="K206" s="5418"/>
      <c r="L206" s="1268">
        <f t="shared" si="219"/>
        <v>0</v>
      </c>
      <c r="M206" s="1268">
        <f t="shared" si="219"/>
        <v>130</v>
      </c>
      <c r="N206" s="5417"/>
      <c r="O206" s="5418"/>
      <c r="P206" s="1268">
        <f t="shared" si="220"/>
        <v>129</v>
      </c>
      <c r="Q206" s="1268">
        <f t="shared" si="220"/>
        <v>0</v>
      </c>
      <c r="R206" s="5417"/>
      <c r="S206" s="5418"/>
      <c r="T206" s="1268">
        <f t="shared" si="221"/>
        <v>0</v>
      </c>
      <c r="U206" s="1268">
        <f t="shared" si="221"/>
        <v>0</v>
      </c>
      <c r="V206" s="5417"/>
      <c r="W206" s="5418"/>
      <c r="X206" s="2816">
        <f t="shared" si="222"/>
        <v>0</v>
      </c>
      <c r="Y206" s="4775"/>
      <c r="Z206" s="4794">
        <f t="shared" si="223"/>
        <v>0</v>
      </c>
      <c r="AA206" s="4809"/>
      <c r="AB206" s="4810"/>
      <c r="AC206" s="4794">
        <f t="shared" si="224"/>
        <v>-18.406507723063864</v>
      </c>
      <c r="AD206" s="4794">
        <f t="shared" si="225"/>
        <v>0</v>
      </c>
      <c r="AE206" s="4809"/>
      <c r="AF206" s="4810"/>
      <c r="AG206" s="4794">
        <f t="shared" si="226"/>
        <v>0</v>
      </c>
      <c r="AH206" s="4794">
        <f t="shared" si="227"/>
        <v>66.46794455550841</v>
      </c>
      <c r="AI206" s="4809"/>
      <c r="AJ206" s="4810"/>
      <c r="AK206" s="4794">
        <f t="shared" si="228"/>
        <v>65.956652674312181</v>
      </c>
      <c r="AL206" s="4794">
        <f t="shared" si="229"/>
        <v>0</v>
      </c>
      <c r="AM206" s="4809"/>
      <c r="AN206" s="4810"/>
      <c r="AO206" s="4794">
        <f t="shared" si="230"/>
        <v>0</v>
      </c>
      <c r="AP206" s="4794">
        <f t="shared" si="231"/>
        <v>0</v>
      </c>
      <c r="AQ206" s="4809"/>
      <c r="AR206" s="4810"/>
      <c r="AS206" s="4794">
        <f t="shared" si="232"/>
        <v>0</v>
      </c>
    </row>
    <row r="207" spans="1:45">
      <c r="A207" s="2741">
        <v>10</v>
      </c>
      <c r="B207" s="2684">
        <v>91140101</v>
      </c>
      <c r="C207" s="2740">
        <v>0.1</v>
      </c>
      <c r="D207" s="2714" t="s">
        <v>1016</v>
      </c>
      <c r="E207" s="1268">
        <f t="shared" si="217"/>
        <v>2</v>
      </c>
      <c r="F207" s="5417"/>
      <c r="G207" s="5418"/>
      <c r="H207" s="1268">
        <f t="shared" si="218"/>
        <v>1</v>
      </c>
      <c r="I207" s="1268">
        <f t="shared" si="218"/>
        <v>0</v>
      </c>
      <c r="J207" s="5417"/>
      <c r="K207" s="5418"/>
      <c r="L207" s="1268">
        <f t="shared" si="219"/>
        <v>0</v>
      </c>
      <c r="M207" s="1268">
        <f t="shared" si="219"/>
        <v>0</v>
      </c>
      <c r="N207" s="5417"/>
      <c r="O207" s="5418"/>
      <c r="P207" s="1268">
        <f t="shared" si="220"/>
        <v>0</v>
      </c>
      <c r="Q207" s="1268">
        <f t="shared" si="220"/>
        <v>0</v>
      </c>
      <c r="R207" s="5417"/>
      <c r="S207" s="5418"/>
      <c r="T207" s="1268">
        <f t="shared" si="221"/>
        <v>0</v>
      </c>
      <c r="U207" s="1268">
        <f t="shared" si="221"/>
        <v>0</v>
      </c>
      <c r="V207" s="5417"/>
      <c r="W207" s="5418"/>
      <c r="X207" s="2816">
        <f t="shared" si="222"/>
        <v>0</v>
      </c>
      <c r="Y207" s="4775"/>
      <c r="Z207" s="4794">
        <f t="shared" si="223"/>
        <v>1.022583762392437</v>
      </c>
      <c r="AA207" s="4809"/>
      <c r="AB207" s="4810"/>
      <c r="AC207" s="4794">
        <f t="shared" si="224"/>
        <v>0.51129188119621849</v>
      </c>
      <c r="AD207" s="4794">
        <f t="shared" si="225"/>
        <v>0</v>
      </c>
      <c r="AE207" s="4809"/>
      <c r="AF207" s="4810"/>
      <c r="AG207" s="4794">
        <f t="shared" si="226"/>
        <v>0</v>
      </c>
      <c r="AH207" s="4794">
        <f t="shared" si="227"/>
        <v>0</v>
      </c>
      <c r="AI207" s="4809"/>
      <c r="AJ207" s="4810"/>
      <c r="AK207" s="4794">
        <f t="shared" si="228"/>
        <v>0</v>
      </c>
      <c r="AL207" s="4794">
        <f t="shared" si="229"/>
        <v>0</v>
      </c>
      <c r="AM207" s="4809"/>
      <c r="AN207" s="4810"/>
      <c r="AO207" s="4794">
        <f t="shared" si="230"/>
        <v>0</v>
      </c>
      <c r="AP207" s="4794">
        <f t="shared" si="231"/>
        <v>0</v>
      </c>
      <c r="AQ207" s="4809"/>
      <c r="AR207" s="4810"/>
      <c r="AS207" s="4794">
        <f t="shared" si="232"/>
        <v>0</v>
      </c>
    </row>
    <row r="208" spans="1:45">
      <c r="A208" s="2741">
        <v>11</v>
      </c>
      <c r="B208" s="2684">
        <v>91140102</v>
      </c>
      <c r="C208" s="2740">
        <v>0.04</v>
      </c>
      <c r="D208" s="2714" t="s">
        <v>432</v>
      </c>
      <c r="E208" s="1268">
        <f t="shared" si="217"/>
        <v>0</v>
      </c>
      <c r="F208" s="5417"/>
      <c r="G208" s="5418"/>
      <c r="H208" s="1268">
        <f t="shared" si="218"/>
        <v>0</v>
      </c>
      <c r="I208" s="1268">
        <f t="shared" si="218"/>
        <v>0</v>
      </c>
      <c r="J208" s="5417"/>
      <c r="K208" s="5418"/>
      <c r="L208" s="1268">
        <f t="shared" si="219"/>
        <v>0</v>
      </c>
      <c r="M208" s="1268">
        <f t="shared" si="219"/>
        <v>0</v>
      </c>
      <c r="N208" s="5417"/>
      <c r="O208" s="5418"/>
      <c r="P208" s="1268">
        <f t="shared" si="220"/>
        <v>0</v>
      </c>
      <c r="Q208" s="1268">
        <f t="shared" si="220"/>
        <v>0</v>
      </c>
      <c r="R208" s="5417"/>
      <c r="S208" s="5418"/>
      <c r="T208" s="1268">
        <f t="shared" si="221"/>
        <v>0</v>
      </c>
      <c r="U208" s="1268">
        <f t="shared" si="221"/>
        <v>0</v>
      </c>
      <c r="V208" s="5417"/>
      <c r="W208" s="5418"/>
      <c r="X208" s="2816">
        <f t="shared" si="222"/>
        <v>0</v>
      </c>
      <c r="Y208" s="4775"/>
      <c r="Z208" s="4794">
        <f t="shared" si="223"/>
        <v>0</v>
      </c>
      <c r="AA208" s="4809"/>
      <c r="AB208" s="4810"/>
      <c r="AC208" s="4794">
        <f t="shared" si="224"/>
        <v>0</v>
      </c>
      <c r="AD208" s="4794">
        <f t="shared" si="225"/>
        <v>0</v>
      </c>
      <c r="AE208" s="4809"/>
      <c r="AF208" s="4810"/>
      <c r="AG208" s="4794">
        <f t="shared" si="226"/>
        <v>0</v>
      </c>
      <c r="AH208" s="4794">
        <f t="shared" si="227"/>
        <v>0</v>
      </c>
      <c r="AI208" s="4809"/>
      <c r="AJ208" s="4810"/>
      <c r="AK208" s="4794">
        <f t="shared" si="228"/>
        <v>0</v>
      </c>
      <c r="AL208" s="4794">
        <f t="shared" si="229"/>
        <v>0</v>
      </c>
      <c r="AM208" s="4809"/>
      <c r="AN208" s="4810"/>
      <c r="AO208" s="4794">
        <f t="shared" si="230"/>
        <v>0</v>
      </c>
      <c r="AP208" s="4794">
        <f t="shared" si="231"/>
        <v>0</v>
      </c>
      <c r="AQ208" s="4809"/>
      <c r="AR208" s="4810"/>
      <c r="AS208" s="4794">
        <f t="shared" si="232"/>
        <v>0</v>
      </c>
    </row>
    <row r="209" spans="1:45">
      <c r="A209" s="2741">
        <v>12</v>
      </c>
      <c r="B209" s="2684" t="s">
        <v>698</v>
      </c>
      <c r="C209" s="2685">
        <v>0.02</v>
      </c>
      <c r="D209" s="2715" t="s">
        <v>738</v>
      </c>
      <c r="E209" s="1268">
        <f t="shared" si="217"/>
        <v>0</v>
      </c>
      <c r="F209" s="5417"/>
      <c r="G209" s="5418"/>
      <c r="H209" s="1268">
        <f t="shared" si="218"/>
        <v>0</v>
      </c>
      <c r="I209" s="1268">
        <f t="shared" si="218"/>
        <v>0</v>
      </c>
      <c r="J209" s="5417"/>
      <c r="K209" s="5418"/>
      <c r="L209" s="1268">
        <f t="shared" si="219"/>
        <v>0</v>
      </c>
      <c r="M209" s="1268">
        <f t="shared" si="219"/>
        <v>0</v>
      </c>
      <c r="N209" s="5417"/>
      <c r="O209" s="5418"/>
      <c r="P209" s="1268">
        <f t="shared" si="220"/>
        <v>0</v>
      </c>
      <c r="Q209" s="1268">
        <f t="shared" si="220"/>
        <v>0</v>
      </c>
      <c r="R209" s="5417"/>
      <c r="S209" s="5418"/>
      <c r="T209" s="1268">
        <f t="shared" si="221"/>
        <v>0</v>
      </c>
      <c r="U209" s="1268">
        <f t="shared" si="221"/>
        <v>0</v>
      </c>
      <c r="V209" s="5417"/>
      <c r="W209" s="5418"/>
      <c r="X209" s="2816">
        <f t="shared" si="222"/>
        <v>0</v>
      </c>
      <c r="Y209" s="4775"/>
      <c r="Z209" s="4794">
        <f t="shared" si="223"/>
        <v>0</v>
      </c>
      <c r="AA209" s="4809"/>
      <c r="AB209" s="4810"/>
      <c r="AC209" s="4794">
        <f t="shared" si="224"/>
        <v>0</v>
      </c>
      <c r="AD209" s="4794">
        <f t="shared" si="225"/>
        <v>0</v>
      </c>
      <c r="AE209" s="4809"/>
      <c r="AF209" s="4810"/>
      <c r="AG209" s="4794">
        <f t="shared" si="226"/>
        <v>0</v>
      </c>
      <c r="AH209" s="4794">
        <f t="shared" si="227"/>
        <v>0</v>
      </c>
      <c r="AI209" s="4809"/>
      <c r="AJ209" s="4810"/>
      <c r="AK209" s="4794">
        <f t="shared" si="228"/>
        <v>0</v>
      </c>
      <c r="AL209" s="4794">
        <f t="shared" si="229"/>
        <v>0</v>
      </c>
      <c r="AM209" s="4809"/>
      <c r="AN209" s="4810"/>
      <c r="AO209" s="4794">
        <f t="shared" si="230"/>
        <v>0</v>
      </c>
      <c r="AP209" s="4794">
        <f t="shared" si="231"/>
        <v>0</v>
      </c>
      <c r="AQ209" s="4809"/>
      <c r="AR209" s="4810"/>
      <c r="AS209" s="4794">
        <f t="shared" si="232"/>
        <v>0</v>
      </c>
    </row>
    <row r="210" spans="1:45">
      <c r="A210" s="2741">
        <v>13</v>
      </c>
      <c r="B210" s="2684" t="s">
        <v>699</v>
      </c>
      <c r="C210" s="2685">
        <v>0.02</v>
      </c>
      <c r="D210" s="2715" t="s">
        <v>739</v>
      </c>
      <c r="E210" s="1268">
        <f t="shared" si="217"/>
        <v>2763</v>
      </c>
      <c r="F210" s="5417"/>
      <c r="G210" s="5418"/>
      <c r="H210" s="1268">
        <f t="shared" si="218"/>
        <v>2697</v>
      </c>
      <c r="I210" s="1268">
        <f t="shared" si="218"/>
        <v>0</v>
      </c>
      <c r="J210" s="5417"/>
      <c r="K210" s="5418"/>
      <c r="L210" s="1268">
        <f t="shared" si="219"/>
        <v>0</v>
      </c>
      <c r="M210" s="1268">
        <f t="shared" si="219"/>
        <v>0</v>
      </c>
      <c r="N210" s="5417"/>
      <c r="O210" s="5418"/>
      <c r="P210" s="1268">
        <f t="shared" si="220"/>
        <v>0</v>
      </c>
      <c r="Q210" s="1268">
        <f t="shared" si="220"/>
        <v>0</v>
      </c>
      <c r="R210" s="5417"/>
      <c r="S210" s="5418"/>
      <c r="T210" s="1268">
        <f t="shared" si="221"/>
        <v>0</v>
      </c>
      <c r="U210" s="1268">
        <f t="shared" si="221"/>
        <v>0</v>
      </c>
      <c r="V210" s="5417"/>
      <c r="W210" s="5418"/>
      <c r="X210" s="2816">
        <f t="shared" si="222"/>
        <v>0</v>
      </c>
      <c r="Y210" s="4775"/>
      <c r="Z210" s="4794">
        <f t="shared" si="223"/>
        <v>1412.6994677451517</v>
      </c>
      <c r="AA210" s="4809"/>
      <c r="AB210" s="4810"/>
      <c r="AC210" s="4794">
        <f t="shared" si="224"/>
        <v>1378.9542035862012</v>
      </c>
      <c r="AD210" s="4794">
        <f t="shared" si="225"/>
        <v>0</v>
      </c>
      <c r="AE210" s="4809"/>
      <c r="AF210" s="4810"/>
      <c r="AG210" s="4794">
        <f t="shared" si="226"/>
        <v>0</v>
      </c>
      <c r="AH210" s="4794">
        <f t="shared" si="227"/>
        <v>0</v>
      </c>
      <c r="AI210" s="4809"/>
      <c r="AJ210" s="4810"/>
      <c r="AK210" s="4794">
        <f t="shared" si="228"/>
        <v>0</v>
      </c>
      <c r="AL210" s="4794">
        <f t="shared" si="229"/>
        <v>0</v>
      </c>
      <c r="AM210" s="4809"/>
      <c r="AN210" s="4810"/>
      <c r="AO210" s="4794">
        <f t="shared" si="230"/>
        <v>0</v>
      </c>
      <c r="AP210" s="4794">
        <f t="shared" si="231"/>
        <v>0</v>
      </c>
      <c r="AQ210" s="4809"/>
      <c r="AR210" s="4810"/>
      <c r="AS210" s="4794">
        <f t="shared" si="232"/>
        <v>0</v>
      </c>
    </row>
    <row r="211" spans="1:45">
      <c r="A211" s="2741">
        <v>14</v>
      </c>
      <c r="B211" s="2684" t="s">
        <v>700</v>
      </c>
      <c r="C211" s="2685">
        <v>0.02</v>
      </c>
      <c r="D211" s="2715" t="s">
        <v>418</v>
      </c>
      <c r="E211" s="1268">
        <f t="shared" si="217"/>
        <v>181</v>
      </c>
      <c r="F211" s="5417"/>
      <c r="G211" s="5418"/>
      <c r="H211" s="1268">
        <f t="shared" si="218"/>
        <v>177</v>
      </c>
      <c r="I211" s="1268">
        <f t="shared" si="218"/>
        <v>0</v>
      </c>
      <c r="J211" s="5417"/>
      <c r="K211" s="5418"/>
      <c r="L211" s="1268">
        <f t="shared" si="219"/>
        <v>0</v>
      </c>
      <c r="M211" s="1268">
        <f t="shared" si="219"/>
        <v>0</v>
      </c>
      <c r="N211" s="5417"/>
      <c r="O211" s="5418"/>
      <c r="P211" s="1268">
        <f t="shared" si="220"/>
        <v>0</v>
      </c>
      <c r="Q211" s="1268">
        <f t="shared" si="220"/>
        <v>0</v>
      </c>
      <c r="R211" s="5417"/>
      <c r="S211" s="5418"/>
      <c r="T211" s="1268">
        <f t="shared" si="221"/>
        <v>0</v>
      </c>
      <c r="U211" s="1268">
        <f t="shared" si="221"/>
        <v>0</v>
      </c>
      <c r="V211" s="5417"/>
      <c r="W211" s="5418"/>
      <c r="X211" s="2816">
        <f t="shared" si="222"/>
        <v>0</v>
      </c>
      <c r="Y211" s="4775"/>
      <c r="Z211" s="4794">
        <f t="shared" si="223"/>
        <v>92.543830496515554</v>
      </c>
      <c r="AA211" s="4809"/>
      <c r="AB211" s="4810"/>
      <c r="AC211" s="4794">
        <f t="shared" si="224"/>
        <v>90.498662971730667</v>
      </c>
      <c r="AD211" s="4794">
        <f t="shared" si="225"/>
        <v>0</v>
      </c>
      <c r="AE211" s="4809"/>
      <c r="AF211" s="4810"/>
      <c r="AG211" s="4794">
        <f t="shared" si="226"/>
        <v>0</v>
      </c>
      <c r="AH211" s="4794">
        <f t="shared" si="227"/>
        <v>0</v>
      </c>
      <c r="AI211" s="4809"/>
      <c r="AJ211" s="4810"/>
      <c r="AK211" s="4794">
        <f t="shared" si="228"/>
        <v>0</v>
      </c>
      <c r="AL211" s="4794">
        <f t="shared" si="229"/>
        <v>0</v>
      </c>
      <c r="AM211" s="4809"/>
      <c r="AN211" s="4810"/>
      <c r="AO211" s="4794">
        <f t="shared" si="230"/>
        <v>0</v>
      </c>
      <c r="AP211" s="4794">
        <f t="shared" si="231"/>
        <v>0</v>
      </c>
      <c r="AQ211" s="4809"/>
      <c r="AR211" s="4810"/>
      <c r="AS211" s="4794">
        <f t="shared" si="232"/>
        <v>0</v>
      </c>
    </row>
    <row r="212" spans="1:45" ht="24">
      <c r="A212" s="2741">
        <v>15</v>
      </c>
      <c r="B212" s="2684" t="s">
        <v>701</v>
      </c>
      <c r="C212" s="2685">
        <v>0.02</v>
      </c>
      <c r="D212" s="2714" t="s">
        <v>419</v>
      </c>
      <c r="E212" s="1268">
        <f t="shared" si="217"/>
        <v>12</v>
      </c>
      <c r="F212" s="5417"/>
      <c r="G212" s="5418"/>
      <c r="H212" s="1268">
        <f t="shared" si="218"/>
        <v>12</v>
      </c>
      <c r="I212" s="1268">
        <f t="shared" si="218"/>
        <v>0</v>
      </c>
      <c r="J212" s="5417"/>
      <c r="K212" s="5418"/>
      <c r="L212" s="1268">
        <f t="shared" si="219"/>
        <v>0</v>
      </c>
      <c r="M212" s="1268">
        <f t="shared" si="219"/>
        <v>0</v>
      </c>
      <c r="N212" s="5417"/>
      <c r="O212" s="5418"/>
      <c r="P212" s="1268">
        <f t="shared" si="220"/>
        <v>0</v>
      </c>
      <c r="Q212" s="1268">
        <f t="shared" si="220"/>
        <v>0</v>
      </c>
      <c r="R212" s="5417"/>
      <c r="S212" s="5418"/>
      <c r="T212" s="1268">
        <f t="shared" si="221"/>
        <v>0</v>
      </c>
      <c r="U212" s="1268">
        <f t="shared" si="221"/>
        <v>0</v>
      </c>
      <c r="V212" s="5417"/>
      <c r="W212" s="5418"/>
      <c r="X212" s="2816">
        <f t="shared" si="222"/>
        <v>0</v>
      </c>
      <c r="Y212" s="4775"/>
      <c r="Z212" s="4794">
        <f t="shared" si="223"/>
        <v>6.1355025743546223</v>
      </c>
      <c r="AA212" s="4809"/>
      <c r="AB212" s="4810"/>
      <c r="AC212" s="4794">
        <f t="shared" si="224"/>
        <v>6.1355025743546223</v>
      </c>
      <c r="AD212" s="4794">
        <f t="shared" si="225"/>
        <v>0</v>
      </c>
      <c r="AE212" s="4809"/>
      <c r="AF212" s="4810"/>
      <c r="AG212" s="4794">
        <f t="shared" si="226"/>
        <v>0</v>
      </c>
      <c r="AH212" s="4794">
        <f t="shared" si="227"/>
        <v>0</v>
      </c>
      <c r="AI212" s="4809"/>
      <c r="AJ212" s="4810"/>
      <c r="AK212" s="4794">
        <f t="shared" si="228"/>
        <v>0</v>
      </c>
      <c r="AL212" s="4794">
        <f t="shared" si="229"/>
        <v>0</v>
      </c>
      <c r="AM212" s="4809"/>
      <c r="AN212" s="4810"/>
      <c r="AO212" s="4794">
        <f t="shared" si="230"/>
        <v>0</v>
      </c>
      <c r="AP212" s="4794">
        <f t="shared" si="231"/>
        <v>0</v>
      </c>
      <c r="AQ212" s="4809"/>
      <c r="AR212" s="4810"/>
      <c r="AS212" s="4794">
        <f t="shared" si="232"/>
        <v>0</v>
      </c>
    </row>
    <row r="213" spans="1:45">
      <c r="A213" s="2741">
        <v>16</v>
      </c>
      <c r="B213" s="2684" t="s">
        <v>702</v>
      </c>
      <c r="C213" s="2685">
        <v>0.02</v>
      </c>
      <c r="D213" s="2715" t="s">
        <v>420</v>
      </c>
      <c r="E213" s="1268">
        <f t="shared" si="217"/>
        <v>70231</v>
      </c>
      <c r="F213" s="5417"/>
      <c r="G213" s="5418"/>
      <c r="H213" s="1268">
        <f t="shared" si="218"/>
        <v>68652</v>
      </c>
      <c r="I213" s="1268">
        <f t="shared" si="218"/>
        <v>0</v>
      </c>
      <c r="J213" s="5417"/>
      <c r="K213" s="5418"/>
      <c r="L213" s="1268">
        <f t="shared" si="219"/>
        <v>0</v>
      </c>
      <c r="M213" s="1268">
        <f t="shared" si="219"/>
        <v>0</v>
      </c>
      <c r="N213" s="5417"/>
      <c r="O213" s="5418"/>
      <c r="P213" s="1268">
        <f t="shared" si="220"/>
        <v>0</v>
      </c>
      <c r="Q213" s="1268">
        <f t="shared" si="220"/>
        <v>0</v>
      </c>
      <c r="R213" s="5417"/>
      <c r="S213" s="5418"/>
      <c r="T213" s="1268">
        <f t="shared" si="221"/>
        <v>0</v>
      </c>
      <c r="U213" s="1268">
        <f t="shared" si="221"/>
        <v>0</v>
      </c>
      <c r="V213" s="5417"/>
      <c r="W213" s="5418"/>
      <c r="X213" s="2816">
        <f t="shared" si="222"/>
        <v>0</v>
      </c>
      <c r="Y213" s="4775"/>
      <c r="Z213" s="4794">
        <f t="shared" si="223"/>
        <v>35908.540108291621</v>
      </c>
      <c r="AA213" s="4809"/>
      <c r="AB213" s="4810"/>
      <c r="AC213" s="4794">
        <f t="shared" si="224"/>
        <v>35101.210227882795</v>
      </c>
      <c r="AD213" s="4794">
        <f t="shared" si="225"/>
        <v>0</v>
      </c>
      <c r="AE213" s="4809"/>
      <c r="AF213" s="4810"/>
      <c r="AG213" s="4794">
        <f t="shared" si="226"/>
        <v>0</v>
      </c>
      <c r="AH213" s="4794">
        <f t="shared" si="227"/>
        <v>0</v>
      </c>
      <c r="AI213" s="4809"/>
      <c r="AJ213" s="4810"/>
      <c r="AK213" s="4794">
        <f t="shared" si="228"/>
        <v>0</v>
      </c>
      <c r="AL213" s="4794">
        <f t="shared" si="229"/>
        <v>0</v>
      </c>
      <c r="AM213" s="4809"/>
      <c r="AN213" s="4810"/>
      <c r="AO213" s="4794">
        <f t="shared" si="230"/>
        <v>0</v>
      </c>
      <c r="AP213" s="4794">
        <f t="shared" si="231"/>
        <v>0</v>
      </c>
      <c r="AQ213" s="4809"/>
      <c r="AR213" s="4810"/>
      <c r="AS213" s="4794">
        <f t="shared" si="232"/>
        <v>0</v>
      </c>
    </row>
    <row r="214" spans="1:45">
      <c r="A214" s="2741">
        <v>17</v>
      </c>
      <c r="B214" s="2684" t="s">
        <v>703</v>
      </c>
      <c r="C214" s="2685">
        <v>0.02</v>
      </c>
      <c r="D214" s="2720" t="s">
        <v>421</v>
      </c>
      <c r="E214" s="1268">
        <f t="shared" si="217"/>
        <v>0</v>
      </c>
      <c r="F214" s="5417"/>
      <c r="G214" s="5418"/>
      <c r="H214" s="1268">
        <f t="shared" ref="H214:I218" si="233">H170-H192</f>
        <v>0</v>
      </c>
      <c r="I214" s="1268">
        <f t="shared" si="233"/>
        <v>69248</v>
      </c>
      <c r="J214" s="5417"/>
      <c r="K214" s="5418"/>
      <c r="L214" s="1268">
        <f t="shared" ref="L214:M218" si="234">L170-L192</f>
        <v>67621</v>
      </c>
      <c r="M214" s="1268">
        <f t="shared" si="234"/>
        <v>0</v>
      </c>
      <c r="N214" s="5417"/>
      <c r="O214" s="5418"/>
      <c r="P214" s="1268">
        <f t="shared" ref="P214:Q218" si="235">P170-P192</f>
        <v>0</v>
      </c>
      <c r="Q214" s="1268">
        <f t="shared" si="235"/>
        <v>0</v>
      </c>
      <c r="R214" s="5417"/>
      <c r="S214" s="5418"/>
      <c r="T214" s="1268">
        <f t="shared" ref="T214:U218" si="236">T170-T192</f>
        <v>0</v>
      </c>
      <c r="U214" s="1268">
        <f t="shared" si="236"/>
        <v>0</v>
      </c>
      <c r="V214" s="5417"/>
      <c r="W214" s="5418"/>
      <c r="X214" s="2816">
        <f t="shared" si="222"/>
        <v>0</v>
      </c>
      <c r="Y214" s="4775"/>
      <c r="Z214" s="4794">
        <f t="shared" si="223"/>
        <v>0</v>
      </c>
      <c r="AA214" s="4809"/>
      <c r="AB214" s="4810"/>
      <c r="AC214" s="4794">
        <f t="shared" si="224"/>
        <v>0</v>
      </c>
      <c r="AD214" s="4794">
        <f t="shared" si="225"/>
        <v>35405.940189075736</v>
      </c>
      <c r="AE214" s="4809"/>
      <c r="AF214" s="4810"/>
      <c r="AG214" s="4794">
        <f t="shared" si="226"/>
        <v>34574.068298369493</v>
      </c>
      <c r="AH214" s="4794">
        <f t="shared" si="227"/>
        <v>0</v>
      </c>
      <c r="AI214" s="4809"/>
      <c r="AJ214" s="4810"/>
      <c r="AK214" s="4794">
        <f t="shared" si="228"/>
        <v>0</v>
      </c>
      <c r="AL214" s="4794">
        <f t="shared" si="229"/>
        <v>0</v>
      </c>
      <c r="AM214" s="4809"/>
      <c r="AN214" s="4810"/>
      <c r="AO214" s="4794">
        <f t="shared" si="230"/>
        <v>0</v>
      </c>
      <c r="AP214" s="4794">
        <f t="shared" si="231"/>
        <v>0</v>
      </c>
      <c r="AQ214" s="4809"/>
      <c r="AR214" s="4810"/>
      <c r="AS214" s="4794">
        <f t="shared" si="232"/>
        <v>0</v>
      </c>
    </row>
    <row r="215" spans="1:45" ht="48">
      <c r="A215" s="2741">
        <v>18</v>
      </c>
      <c r="B215" s="2684" t="s">
        <v>704</v>
      </c>
      <c r="C215" s="2685">
        <v>0.04</v>
      </c>
      <c r="D215" s="2720" t="s">
        <v>422</v>
      </c>
      <c r="E215" s="1268">
        <f t="shared" si="217"/>
        <v>2723</v>
      </c>
      <c r="F215" s="5417"/>
      <c r="G215" s="5418"/>
      <c r="H215" s="1268">
        <f t="shared" si="233"/>
        <v>2570</v>
      </c>
      <c r="I215" s="1268">
        <f t="shared" si="233"/>
        <v>21</v>
      </c>
      <c r="J215" s="5417"/>
      <c r="K215" s="5418"/>
      <c r="L215" s="1268">
        <f t="shared" si="234"/>
        <v>20</v>
      </c>
      <c r="M215" s="1268">
        <f t="shared" si="234"/>
        <v>16295</v>
      </c>
      <c r="N215" s="5417"/>
      <c r="O215" s="5418"/>
      <c r="P215" s="1268">
        <f t="shared" si="235"/>
        <v>15341</v>
      </c>
      <c r="Q215" s="1268">
        <f t="shared" si="235"/>
        <v>0</v>
      </c>
      <c r="R215" s="5417"/>
      <c r="S215" s="5418"/>
      <c r="T215" s="1268">
        <f t="shared" si="236"/>
        <v>0</v>
      </c>
      <c r="U215" s="1268">
        <f t="shared" si="236"/>
        <v>0</v>
      </c>
      <c r="V215" s="5417"/>
      <c r="W215" s="5418"/>
      <c r="X215" s="2816">
        <f t="shared" si="222"/>
        <v>0</v>
      </c>
      <c r="Y215" s="4775"/>
      <c r="Z215" s="4794">
        <f t="shared" si="223"/>
        <v>1392.247792497303</v>
      </c>
      <c r="AA215" s="4809"/>
      <c r="AB215" s="4810"/>
      <c r="AC215" s="4794">
        <f t="shared" si="224"/>
        <v>1314.0201346742815</v>
      </c>
      <c r="AD215" s="4794">
        <f t="shared" si="225"/>
        <v>10.737129505120588</v>
      </c>
      <c r="AE215" s="4809"/>
      <c r="AF215" s="4810"/>
      <c r="AG215" s="4794">
        <f t="shared" si="226"/>
        <v>10.22583762392437</v>
      </c>
      <c r="AH215" s="4794">
        <f t="shared" si="227"/>
        <v>8331.5012040923812</v>
      </c>
      <c r="AI215" s="4809"/>
      <c r="AJ215" s="4810"/>
      <c r="AK215" s="4794">
        <f t="shared" si="228"/>
        <v>7843.7287494311877</v>
      </c>
      <c r="AL215" s="4794">
        <f t="shared" si="229"/>
        <v>0</v>
      </c>
      <c r="AM215" s="4809"/>
      <c r="AN215" s="4810"/>
      <c r="AO215" s="4794">
        <f t="shared" si="230"/>
        <v>0</v>
      </c>
      <c r="AP215" s="4794">
        <f t="shared" si="231"/>
        <v>0</v>
      </c>
      <c r="AQ215" s="4809"/>
      <c r="AR215" s="4810"/>
      <c r="AS215" s="4794">
        <f t="shared" si="232"/>
        <v>0</v>
      </c>
    </row>
    <row r="216" spans="1:45">
      <c r="A216" s="2741">
        <v>19</v>
      </c>
      <c r="B216" s="2684" t="s">
        <v>705</v>
      </c>
      <c r="C216" s="2685">
        <v>0.04</v>
      </c>
      <c r="D216" s="2720" t="s">
        <v>423</v>
      </c>
      <c r="E216" s="1268">
        <f t="shared" si="217"/>
        <v>27</v>
      </c>
      <c r="F216" s="5417"/>
      <c r="G216" s="5418"/>
      <c r="H216" s="1268">
        <f t="shared" si="233"/>
        <v>26</v>
      </c>
      <c r="I216" s="1268">
        <f t="shared" si="233"/>
        <v>0</v>
      </c>
      <c r="J216" s="5417"/>
      <c r="K216" s="5418"/>
      <c r="L216" s="1268">
        <f t="shared" si="234"/>
        <v>0</v>
      </c>
      <c r="M216" s="1268">
        <f t="shared" si="234"/>
        <v>8</v>
      </c>
      <c r="N216" s="5417"/>
      <c r="O216" s="5418"/>
      <c r="P216" s="1268">
        <f t="shared" si="235"/>
        <v>8</v>
      </c>
      <c r="Q216" s="1268">
        <f t="shared" si="235"/>
        <v>0</v>
      </c>
      <c r="R216" s="5417"/>
      <c r="S216" s="5418"/>
      <c r="T216" s="1268">
        <f t="shared" si="236"/>
        <v>0</v>
      </c>
      <c r="U216" s="1268">
        <f t="shared" si="236"/>
        <v>0</v>
      </c>
      <c r="V216" s="5417"/>
      <c r="W216" s="5418"/>
      <c r="X216" s="2816">
        <f t="shared" si="222"/>
        <v>0</v>
      </c>
      <c r="Y216" s="4775"/>
      <c r="Z216" s="4794">
        <f t="shared" si="223"/>
        <v>13.804880792297899</v>
      </c>
      <c r="AA216" s="4809"/>
      <c r="AB216" s="4810"/>
      <c r="AC216" s="4794">
        <f t="shared" si="224"/>
        <v>13.293588911101681</v>
      </c>
      <c r="AD216" s="4794">
        <f t="shared" si="225"/>
        <v>0</v>
      </c>
      <c r="AE216" s="4809"/>
      <c r="AF216" s="4810"/>
      <c r="AG216" s="4794">
        <f t="shared" si="226"/>
        <v>0</v>
      </c>
      <c r="AH216" s="4794">
        <f t="shared" si="227"/>
        <v>4.0903350495697479</v>
      </c>
      <c r="AI216" s="4809"/>
      <c r="AJ216" s="4810"/>
      <c r="AK216" s="4794">
        <f t="shared" si="228"/>
        <v>4.0903350495697479</v>
      </c>
      <c r="AL216" s="4794">
        <f t="shared" si="229"/>
        <v>0</v>
      </c>
      <c r="AM216" s="4809"/>
      <c r="AN216" s="4810"/>
      <c r="AO216" s="4794">
        <f t="shared" si="230"/>
        <v>0</v>
      </c>
      <c r="AP216" s="4794">
        <f t="shared" si="231"/>
        <v>0</v>
      </c>
      <c r="AQ216" s="4809"/>
      <c r="AR216" s="4810"/>
      <c r="AS216" s="4794">
        <f t="shared" si="232"/>
        <v>0</v>
      </c>
    </row>
    <row r="217" spans="1:45">
      <c r="A217" s="2741">
        <v>20</v>
      </c>
      <c r="B217" s="2684" t="s">
        <v>717</v>
      </c>
      <c r="C217" s="2685">
        <v>0.04</v>
      </c>
      <c r="D217" s="2739" t="s">
        <v>434</v>
      </c>
      <c r="E217" s="1268">
        <f t="shared" si="217"/>
        <v>39</v>
      </c>
      <c r="F217" s="5417"/>
      <c r="G217" s="5418"/>
      <c r="H217" s="1268">
        <f t="shared" si="233"/>
        <v>37</v>
      </c>
      <c r="I217" s="1268">
        <f t="shared" si="233"/>
        <v>3</v>
      </c>
      <c r="J217" s="5417"/>
      <c r="K217" s="5418"/>
      <c r="L217" s="1268">
        <f t="shared" si="234"/>
        <v>3</v>
      </c>
      <c r="M217" s="1268">
        <f t="shared" si="234"/>
        <v>3</v>
      </c>
      <c r="N217" s="5417"/>
      <c r="O217" s="5418"/>
      <c r="P217" s="1268">
        <f t="shared" si="235"/>
        <v>3</v>
      </c>
      <c r="Q217" s="1268">
        <f t="shared" si="235"/>
        <v>0</v>
      </c>
      <c r="R217" s="5417"/>
      <c r="S217" s="5418"/>
      <c r="T217" s="1268">
        <f t="shared" si="236"/>
        <v>0</v>
      </c>
      <c r="U217" s="1268">
        <f t="shared" si="236"/>
        <v>0</v>
      </c>
      <c r="V217" s="5417"/>
      <c r="W217" s="5418"/>
      <c r="X217" s="2816">
        <f t="shared" si="222"/>
        <v>0</v>
      </c>
      <c r="Y217" s="4775"/>
      <c r="Z217" s="4794">
        <f t="shared" si="223"/>
        <v>19.940383366652522</v>
      </c>
      <c r="AA217" s="4809"/>
      <c r="AB217" s="4810"/>
      <c r="AC217" s="4794">
        <f t="shared" si="224"/>
        <v>18.917799604260086</v>
      </c>
      <c r="AD217" s="4794">
        <f t="shared" si="225"/>
        <v>1.5338756435886556</v>
      </c>
      <c r="AE217" s="4809"/>
      <c r="AF217" s="4810"/>
      <c r="AG217" s="4794">
        <f t="shared" si="226"/>
        <v>1.5338756435886556</v>
      </c>
      <c r="AH217" s="4794">
        <f t="shared" si="227"/>
        <v>1.5338756435886556</v>
      </c>
      <c r="AI217" s="4809"/>
      <c r="AJ217" s="4810"/>
      <c r="AK217" s="4794">
        <f t="shared" si="228"/>
        <v>1.5338756435886556</v>
      </c>
      <c r="AL217" s="4794">
        <f t="shared" si="229"/>
        <v>0</v>
      </c>
      <c r="AM217" s="4809"/>
      <c r="AN217" s="4810"/>
      <c r="AO217" s="4794">
        <f t="shared" si="230"/>
        <v>0</v>
      </c>
      <c r="AP217" s="4794">
        <f t="shared" si="231"/>
        <v>0</v>
      </c>
      <c r="AQ217" s="4809"/>
      <c r="AR217" s="4810"/>
      <c r="AS217" s="4794">
        <f t="shared" si="232"/>
        <v>0</v>
      </c>
    </row>
    <row r="218" spans="1:45" ht="48.75" thickBot="1">
      <c r="A218" s="2741">
        <v>21</v>
      </c>
      <c r="B218" s="2684" t="s">
        <v>707</v>
      </c>
      <c r="C218" s="2690">
        <v>0.2</v>
      </c>
      <c r="D218" s="2720" t="s">
        <v>679</v>
      </c>
      <c r="E218" s="1268">
        <f t="shared" si="217"/>
        <v>0</v>
      </c>
      <c r="F218" s="5419"/>
      <c r="G218" s="5420"/>
      <c r="H218" s="1268">
        <f t="shared" si="233"/>
        <v>0</v>
      </c>
      <c r="I218" s="1268">
        <f t="shared" si="233"/>
        <v>0</v>
      </c>
      <c r="J218" s="5419"/>
      <c r="K218" s="5420"/>
      <c r="L218" s="1268">
        <f t="shared" si="234"/>
        <v>0</v>
      </c>
      <c r="M218" s="1268">
        <f t="shared" si="234"/>
        <v>2121</v>
      </c>
      <c r="N218" s="5419"/>
      <c r="O218" s="5420"/>
      <c r="P218" s="1268">
        <f t="shared" si="235"/>
        <v>2007</v>
      </c>
      <c r="Q218" s="1268">
        <f t="shared" si="235"/>
        <v>0</v>
      </c>
      <c r="R218" s="5419"/>
      <c r="S218" s="5420"/>
      <c r="T218" s="1268">
        <f t="shared" si="236"/>
        <v>0</v>
      </c>
      <c r="U218" s="1268">
        <f t="shared" si="236"/>
        <v>0</v>
      </c>
      <c r="V218" s="5419"/>
      <c r="W218" s="5420"/>
      <c r="X218" s="2816">
        <f t="shared" si="222"/>
        <v>0</v>
      </c>
      <c r="Y218" s="4775"/>
      <c r="Z218" s="4794">
        <f t="shared" si="223"/>
        <v>0</v>
      </c>
      <c r="AA218" s="4804"/>
      <c r="AB218" s="4805"/>
      <c r="AC218" s="4794">
        <f t="shared" si="224"/>
        <v>0</v>
      </c>
      <c r="AD218" s="4794">
        <f t="shared" si="225"/>
        <v>0</v>
      </c>
      <c r="AE218" s="4804"/>
      <c r="AF218" s="4805"/>
      <c r="AG218" s="4794">
        <f t="shared" si="226"/>
        <v>0</v>
      </c>
      <c r="AH218" s="4794">
        <f t="shared" si="227"/>
        <v>1084.4500800171795</v>
      </c>
      <c r="AI218" s="4804"/>
      <c r="AJ218" s="4805"/>
      <c r="AK218" s="4794">
        <f t="shared" si="228"/>
        <v>1026.1628055608105</v>
      </c>
      <c r="AL218" s="4794">
        <f t="shared" si="229"/>
        <v>0</v>
      </c>
      <c r="AM218" s="4804"/>
      <c r="AN218" s="4805"/>
      <c r="AO218" s="4794">
        <f t="shared" si="230"/>
        <v>0</v>
      </c>
      <c r="AP218" s="4794">
        <f t="shared" si="231"/>
        <v>0</v>
      </c>
      <c r="AQ218" s="4804"/>
      <c r="AR218" s="4805"/>
      <c r="AS218" s="4794">
        <f t="shared" si="232"/>
        <v>0</v>
      </c>
    </row>
    <row r="219" spans="1:45" ht="13.5" thickBot="1">
      <c r="A219" s="5430" t="s">
        <v>559</v>
      </c>
      <c r="B219" s="5431"/>
      <c r="C219" s="5431"/>
      <c r="D219" s="5432"/>
      <c r="E219" s="2817">
        <f t="shared" ref="E219:X219" si="237">E11+E91+E153</f>
        <v>121920</v>
      </c>
      <c r="F219" s="2817">
        <f t="shared" si="237"/>
        <v>10154</v>
      </c>
      <c r="G219" s="2817">
        <f t="shared" si="237"/>
        <v>14</v>
      </c>
      <c r="H219" s="2817">
        <f t="shared" si="237"/>
        <v>132060</v>
      </c>
      <c r="I219" s="2817">
        <f t="shared" si="237"/>
        <v>86527</v>
      </c>
      <c r="J219" s="2817">
        <f t="shared" si="237"/>
        <v>511</v>
      </c>
      <c r="K219" s="2817">
        <f t="shared" si="237"/>
        <v>0</v>
      </c>
      <c r="L219" s="2817">
        <f t="shared" si="237"/>
        <v>87038</v>
      </c>
      <c r="M219" s="2817">
        <f t="shared" si="237"/>
        <v>43525</v>
      </c>
      <c r="N219" s="2817">
        <f t="shared" si="237"/>
        <v>127</v>
      </c>
      <c r="O219" s="2817">
        <f t="shared" si="237"/>
        <v>0</v>
      </c>
      <c r="P219" s="2817">
        <f t="shared" si="237"/>
        <v>43652</v>
      </c>
      <c r="Q219" s="2817">
        <f t="shared" si="237"/>
        <v>0</v>
      </c>
      <c r="R219" s="2817">
        <f t="shared" si="237"/>
        <v>0</v>
      </c>
      <c r="S219" s="2817">
        <f t="shared" si="237"/>
        <v>0</v>
      </c>
      <c r="T219" s="2817">
        <f t="shared" si="237"/>
        <v>0</v>
      </c>
      <c r="U219" s="2817">
        <f t="shared" si="237"/>
        <v>0</v>
      </c>
      <c r="V219" s="2817">
        <f t="shared" si="237"/>
        <v>0</v>
      </c>
      <c r="W219" s="2817">
        <f t="shared" si="237"/>
        <v>0</v>
      </c>
      <c r="X219" s="2817">
        <f t="shared" si="237"/>
        <v>0</v>
      </c>
      <c r="Y219" s="4775"/>
      <c r="Z219" s="4794">
        <f t="shared" si="223"/>
        <v>62336.70615544296</v>
      </c>
      <c r="AA219" s="4794">
        <f t="shared" ref="AA219:AA221" si="238">IFERROR(F219/$D$1,0)</f>
        <v>5191.6577616664026</v>
      </c>
      <c r="AB219" s="4794">
        <f t="shared" ref="AB219:AB221" si="239">IFERROR(G219/$D$1,0)</f>
        <v>7.1580863367470586</v>
      </c>
      <c r="AC219" s="4794">
        <f t="shared" si="224"/>
        <v>67521.205830772611</v>
      </c>
      <c r="AD219" s="4794">
        <f t="shared" si="225"/>
        <v>44240.552604265198</v>
      </c>
      <c r="AE219" s="4794">
        <f t="shared" ref="AE219:AE221" si="240">IFERROR(J219/$D$1,0)</f>
        <v>261.27015129126767</v>
      </c>
      <c r="AF219" s="4794">
        <f t="shared" ref="AF219:AF221" si="241">IFERROR(K219/$D$1,0)</f>
        <v>0</v>
      </c>
      <c r="AG219" s="4794">
        <f t="shared" si="226"/>
        <v>44501.822755556466</v>
      </c>
      <c r="AH219" s="4794">
        <f t="shared" si="227"/>
        <v>22253.97912906541</v>
      </c>
      <c r="AI219" s="4794">
        <f t="shared" ref="AI219:AI221" si="242">IFERROR(N219/$D$1,0)</f>
        <v>64.934068911919752</v>
      </c>
      <c r="AJ219" s="4794">
        <f t="shared" ref="AJ219:AJ221" si="243">IFERROR(O219/$D$1,0)</f>
        <v>0</v>
      </c>
      <c r="AK219" s="4794">
        <f t="shared" si="228"/>
        <v>22318.91319797733</v>
      </c>
      <c r="AL219" s="4794">
        <f t="shared" si="229"/>
        <v>0</v>
      </c>
      <c r="AM219" s="4794">
        <f t="shared" ref="AM219:AM221" si="244">IFERROR(R219/$D$1,0)</f>
        <v>0</v>
      </c>
      <c r="AN219" s="4794">
        <f t="shared" ref="AN219:AN221" si="245">IFERROR(S219/$D$1,0)</f>
        <v>0</v>
      </c>
      <c r="AO219" s="4794">
        <f t="shared" si="230"/>
        <v>0</v>
      </c>
      <c r="AP219" s="4794">
        <f t="shared" si="231"/>
        <v>0</v>
      </c>
      <c r="AQ219" s="4794">
        <f t="shared" ref="AQ219:AQ221" si="246">IFERROR(V219/$D$1,0)</f>
        <v>0</v>
      </c>
      <c r="AR219" s="4794">
        <f t="shared" ref="AR219:AR221" si="247">IFERROR(W219/$D$1,0)</f>
        <v>0</v>
      </c>
      <c r="AS219" s="4794">
        <f t="shared" si="232"/>
        <v>0</v>
      </c>
    </row>
    <row r="220" spans="1:45" ht="13.5" thickBot="1">
      <c r="A220" s="5430" t="s">
        <v>561</v>
      </c>
      <c r="B220" s="5431"/>
      <c r="C220" s="5431"/>
      <c r="D220" s="5432"/>
      <c r="E220" s="2817">
        <f t="shared" ref="E220:X220" si="248">E40+E111+E175</f>
        <v>22181.5</v>
      </c>
      <c r="F220" s="2817">
        <f t="shared" si="248"/>
        <v>3157</v>
      </c>
      <c r="G220" s="2817">
        <f t="shared" si="248"/>
        <v>7</v>
      </c>
      <c r="H220" s="2817">
        <f t="shared" si="248"/>
        <v>25331.5</v>
      </c>
      <c r="I220" s="2817">
        <f t="shared" si="248"/>
        <v>14733</v>
      </c>
      <c r="J220" s="2817">
        <f t="shared" si="248"/>
        <v>1838</v>
      </c>
      <c r="K220" s="2817">
        <f t="shared" si="248"/>
        <v>0</v>
      </c>
      <c r="L220" s="2817">
        <f t="shared" si="248"/>
        <v>16571</v>
      </c>
      <c r="M220" s="2817">
        <f t="shared" si="248"/>
        <v>13490</v>
      </c>
      <c r="N220" s="2817">
        <f t="shared" si="248"/>
        <v>1558</v>
      </c>
      <c r="O220" s="2817">
        <f t="shared" si="248"/>
        <v>0</v>
      </c>
      <c r="P220" s="2817">
        <f t="shared" si="248"/>
        <v>15048</v>
      </c>
      <c r="Q220" s="2817">
        <f t="shared" si="248"/>
        <v>0</v>
      </c>
      <c r="R220" s="2817">
        <f t="shared" si="248"/>
        <v>0</v>
      </c>
      <c r="S220" s="2817">
        <f t="shared" si="248"/>
        <v>0</v>
      </c>
      <c r="T220" s="2817">
        <f t="shared" si="248"/>
        <v>0</v>
      </c>
      <c r="U220" s="2817">
        <f t="shared" si="248"/>
        <v>0</v>
      </c>
      <c r="V220" s="2817">
        <f t="shared" si="248"/>
        <v>0</v>
      </c>
      <c r="W220" s="2817">
        <f t="shared" si="248"/>
        <v>0</v>
      </c>
      <c r="X220" s="2817">
        <f t="shared" si="248"/>
        <v>0</v>
      </c>
      <c r="Y220" s="4775"/>
      <c r="Z220" s="4794">
        <f t="shared" si="223"/>
        <v>11341.22086275392</v>
      </c>
      <c r="AA220" s="4794">
        <f t="shared" si="238"/>
        <v>1614.1484689364618</v>
      </c>
      <c r="AB220" s="4794">
        <f t="shared" si="239"/>
        <v>3.5790431683735293</v>
      </c>
      <c r="AC220" s="4794">
        <f t="shared" si="224"/>
        <v>12951.790288522008</v>
      </c>
      <c r="AD220" s="4794">
        <f t="shared" si="225"/>
        <v>7532.8632856638869</v>
      </c>
      <c r="AE220" s="4794">
        <f t="shared" si="240"/>
        <v>939.75447763864963</v>
      </c>
      <c r="AF220" s="4794">
        <f t="shared" si="241"/>
        <v>0</v>
      </c>
      <c r="AG220" s="4794">
        <f t="shared" si="226"/>
        <v>8472.6177633025363</v>
      </c>
      <c r="AH220" s="4794">
        <f t="shared" si="227"/>
        <v>6897.3274773369876</v>
      </c>
      <c r="AI220" s="4794">
        <f t="shared" si="242"/>
        <v>796.59275090370841</v>
      </c>
      <c r="AJ220" s="4794">
        <f t="shared" si="243"/>
        <v>0</v>
      </c>
      <c r="AK220" s="4794">
        <f t="shared" si="228"/>
        <v>7693.9202282406959</v>
      </c>
      <c r="AL220" s="4794">
        <f t="shared" si="229"/>
        <v>0</v>
      </c>
      <c r="AM220" s="4794">
        <f t="shared" si="244"/>
        <v>0</v>
      </c>
      <c r="AN220" s="4794">
        <f t="shared" si="245"/>
        <v>0</v>
      </c>
      <c r="AO220" s="4794">
        <f t="shared" si="230"/>
        <v>0</v>
      </c>
      <c r="AP220" s="4794">
        <f t="shared" si="231"/>
        <v>0</v>
      </c>
      <c r="AQ220" s="4794">
        <f t="shared" si="246"/>
        <v>0</v>
      </c>
      <c r="AR220" s="4794">
        <f t="shared" si="247"/>
        <v>0</v>
      </c>
      <c r="AS220" s="4794">
        <f t="shared" si="232"/>
        <v>0</v>
      </c>
    </row>
    <row r="221" spans="1:45" ht="13.5" thickBot="1">
      <c r="A221" s="5430" t="s">
        <v>562</v>
      </c>
      <c r="B221" s="5431"/>
      <c r="C221" s="5431"/>
      <c r="D221" s="5432"/>
      <c r="E221" s="2817">
        <f>E65+E131+E197</f>
        <v>99738.5</v>
      </c>
      <c r="F221" s="2817"/>
      <c r="G221" s="2817"/>
      <c r="H221" s="2817">
        <f>H65+H131+H197</f>
        <v>106728.5</v>
      </c>
      <c r="I221" s="2817">
        <f>I65+I131+I197</f>
        <v>71794</v>
      </c>
      <c r="J221" s="2817"/>
      <c r="K221" s="2817"/>
      <c r="L221" s="2817">
        <f>L65+L131+L197</f>
        <v>70467</v>
      </c>
      <c r="M221" s="2817">
        <f>M65+M131+M197</f>
        <v>30035</v>
      </c>
      <c r="N221" s="2817"/>
      <c r="O221" s="2817"/>
      <c r="P221" s="2817">
        <f>P65+P131+P197</f>
        <v>28604</v>
      </c>
      <c r="Q221" s="2817">
        <f>Q65+Q131+Q197</f>
        <v>0</v>
      </c>
      <c r="R221" s="2817"/>
      <c r="S221" s="2817"/>
      <c r="T221" s="2817">
        <f>T65+T131+T197</f>
        <v>0</v>
      </c>
      <c r="U221" s="2817">
        <f>U65+U131+U197</f>
        <v>0</v>
      </c>
      <c r="V221" s="2817"/>
      <c r="W221" s="2817"/>
      <c r="X221" s="2817">
        <f>X65+X131+X197</f>
        <v>0</v>
      </c>
      <c r="Y221" s="4775"/>
      <c r="Z221" s="4794">
        <f t="shared" si="223"/>
        <v>50995.485292689038</v>
      </c>
      <c r="AA221" s="4794">
        <f t="shared" si="238"/>
        <v>0</v>
      </c>
      <c r="AB221" s="4794">
        <f t="shared" si="239"/>
        <v>0</v>
      </c>
      <c r="AC221" s="4794">
        <f t="shared" si="224"/>
        <v>54569.415542250608</v>
      </c>
      <c r="AD221" s="4794">
        <f t="shared" si="225"/>
        <v>36707.689318601311</v>
      </c>
      <c r="AE221" s="4794">
        <f t="shared" si="240"/>
        <v>0</v>
      </c>
      <c r="AF221" s="4794">
        <f t="shared" si="241"/>
        <v>0</v>
      </c>
      <c r="AG221" s="4794">
        <f t="shared" si="226"/>
        <v>36029.20499225393</v>
      </c>
      <c r="AH221" s="4794">
        <f t="shared" si="227"/>
        <v>15356.651651728422</v>
      </c>
      <c r="AI221" s="4794">
        <f t="shared" si="242"/>
        <v>0</v>
      </c>
      <c r="AJ221" s="4794">
        <f t="shared" si="243"/>
        <v>0</v>
      </c>
      <c r="AK221" s="4794">
        <f t="shared" si="228"/>
        <v>14624.992969736633</v>
      </c>
      <c r="AL221" s="4794">
        <f t="shared" si="229"/>
        <v>0</v>
      </c>
      <c r="AM221" s="4794">
        <f t="shared" si="244"/>
        <v>0</v>
      </c>
      <c r="AN221" s="4794">
        <f t="shared" si="245"/>
        <v>0</v>
      </c>
      <c r="AO221" s="4794">
        <f t="shared" si="230"/>
        <v>0</v>
      </c>
      <c r="AP221" s="4794">
        <f t="shared" si="231"/>
        <v>0</v>
      </c>
      <c r="AQ221" s="4794">
        <f t="shared" si="246"/>
        <v>0</v>
      </c>
      <c r="AR221" s="4794">
        <f t="shared" si="247"/>
        <v>0</v>
      </c>
      <c r="AS221" s="4794">
        <f t="shared" si="232"/>
        <v>0</v>
      </c>
    </row>
    <row r="222" spans="1:45" ht="13.5" thickBot="1">
      <c r="A222" s="183"/>
      <c r="B222" s="35"/>
      <c r="C222" s="35"/>
      <c r="D222" s="2749"/>
      <c r="E222" s="360"/>
      <c r="F222" s="360"/>
      <c r="G222" s="360"/>
      <c r="H222" s="360"/>
      <c r="I222" s="360"/>
      <c r="J222" s="360"/>
      <c r="K222" s="360"/>
      <c r="L222" s="360"/>
      <c r="M222" s="360"/>
      <c r="N222" s="360"/>
      <c r="O222" s="360"/>
      <c r="P222" s="360"/>
      <c r="Q222" s="360"/>
      <c r="R222" s="360"/>
      <c r="S222" s="360"/>
      <c r="T222" s="360"/>
      <c r="U222" s="360"/>
      <c r="V222" s="360"/>
      <c r="W222" s="360"/>
      <c r="X222" s="360"/>
      <c r="Y222" s="4775"/>
    </row>
    <row r="223" spans="1:45" ht="24.75" thickBot="1">
      <c r="A223" s="2644"/>
      <c r="B223" s="2645"/>
      <c r="C223" s="2645"/>
      <c r="D223" s="272" t="s">
        <v>1039</v>
      </c>
      <c r="E223" s="273">
        <f>E219-E220-E221</f>
        <v>0</v>
      </c>
      <c r="F223" s="273"/>
      <c r="G223" s="273"/>
      <c r="H223" s="273">
        <f>H219-H220-H221</f>
        <v>0</v>
      </c>
      <c r="I223" s="273">
        <f>I219-I220-I221</f>
        <v>0</v>
      </c>
      <c r="J223" s="273"/>
      <c r="K223" s="273"/>
      <c r="L223" s="273">
        <f>L219-L220-L221</f>
        <v>0</v>
      </c>
      <c r="M223" s="273">
        <f>M219-M220-M221</f>
        <v>0</v>
      </c>
      <c r="N223" s="273"/>
      <c r="O223" s="273"/>
      <c r="P223" s="273">
        <f>P219-P220-P221</f>
        <v>0</v>
      </c>
      <c r="Q223" s="273">
        <f>Q219-Q220-Q221</f>
        <v>0</v>
      </c>
      <c r="R223" s="273"/>
      <c r="S223" s="273"/>
      <c r="T223" s="273">
        <f>T219-T220-T221</f>
        <v>0</v>
      </c>
      <c r="U223" s="273">
        <f>U219-U220-U221</f>
        <v>0</v>
      </c>
      <c r="V223" s="273"/>
      <c r="W223" s="273"/>
      <c r="X223" s="273">
        <f>X219-X220-X221</f>
        <v>0</v>
      </c>
      <c r="Y223" s="4775"/>
      <c r="Z223" s="4800">
        <f t="shared" ref="Z223" si="249">IFERROR(E223/$D$1,0)</f>
        <v>0</v>
      </c>
      <c r="AA223" s="4800"/>
      <c r="AB223" s="4800"/>
      <c r="AC223" s="4800">
        <f t="shared" ref="AC223" si="250">IFERROR(H223/$D$1,0)</f>
        <v>0</v>
      </c>
      <c r="AD223" s="4800">
        <f t="shared" ref="AD223" si="251">IFERROR(I223/$D$1,0)</f>
        <v>0</v>
      </c>
      <c r="AE223" s="4800"/>
      <c r="AF223" s="4800"/>
      <c r="AG223" s="4800">
        <f t="shared" ref="AG223" si="252">IFERROR(L223/$D$1,0)</f>
        <v>0</v>
      </c>
      <c r="AH223" s="4800">
        <f t="shared" ref="AH223" si="253">IFERROR(M223/$D$1,0)</f>
        <v>0</v>
      </c>
      <c r="AI223" s="4800"/>
      <c r="AJ223" s="4800"/>
      <c r="AK223" s="4800">
        <f t="shared" ref="AK223" si="254">IFERROR(P223/$D$1,0)</f>
        <v>0</v>
      </c>
      <c r="AL223" s="4800">
        <f t="shared" ref="AL223" si="255">IFERROR(Q223/$D$1,0)</f>
        <v>0</v>
      </c>
      <c r="AM223" s="4800"/>
      <c r="AN223" s="4800"/>
      <c r="AO223" s="4800">
        <f t="shared" ref="AO223" si="256">IFERROR(T223/$D$1,0)</f>
        <v>0</v>
      </c>
      <c r="AP223" s="4800">
        <f t="shared" ref="AP223" si="257">IFERROR(U223/$D$1,0)</f>
        <v>0</v>
      </c>
      <c r="AQ223" s="4800"/>
      <c r="AR223" s="4800"/>
      <c r="AS223" s="4800">
        <f t="shared" ref="AS223" si="258">IFERROR(X223/$D$1,0)</f>
        <v>0</v>
      </c>
    </row>
    <row r="224" spans="1:45">
      <c r="A224" s="2644"/>
      <c r="B224" s="2645"/>
      <c r="C224" s="2645"/>
      <c r="D224" s="1466"/>
      <c r="E224" s="1467"/>
      <c r="F224" s="1467"/>
      <c r="G224" s="1467"/>
      <c r="H224" s="1467"/>
      <c r="I224" s="1467"/>
      <c r="J224" s="1467"/>
      <c r="K224" s="1467"/>
      <c r="L224" s="1467"/>
      <c r="M224" s="1467"/>
      <c r="N224" s="1467"/>
      <c r="O224" s="1467"/>
      <c r="P224" s="1467"/>
      <c r="Q224" s="1467"/>
      <c r="R224" s="1467"/>
      <c r="S224" s="1467"/>
      <c r="T224" s="1467"/>
      <c r="U224" s="1467"/>
      <c r="V224" s="1467"/>
      <c r="W224" s="1467"/>
      <c r="X224" s="1467"/>
    </row>
    <row r="225" spans="1:24">
      <c r="A225" s="2644"/>
      <c r="B225" s="2754" t="str">
        <f>'Приложение '!$B$82</f>
        <v>Дата: 15.04.2026 г.</v>
      </c>
      <c r="C225" s="2645"/>
      <c r="D225" s="1466"/>
      <c r="E225" s="1467"/>
      <c r="F225" s="1467"/>
      <c r="G225" s="1467"/>
      <c r="H225" s="1467"/>
      <c r="I225" s="1467"/>
      <c r="J225" s="1467"/>
      <c r="K225" s="1467"/>
      <c r="L225" s="1467"/>
      <c r="M225" s="1467"/>
      <c r="N225" s="1467"/>
      <c r="O225" s="1467"/>
      <c r="P225" s="1467"/>
      <c r="Q225" s="1467"/>
      <c r="R225" s="1467"/>
      <c r="S225" s="1467"/>
      <c r="T225" s="1467"/>
      <c r="U225" s="1467"/>
      <c r="V225" s="1467"/>
      <c r="W225" s="1467"/>
      <c r="X225" s="1467"/>
    </row>
    <row r="226" spans="1:24">
      <c r="A226" s="2644"/>
      <c r="B226" s="2645"/>
      <c r="C226" s="2645"/>
      <c r="D226" s="1466"/>
      <c r="E226" s="1467"/>
      <c r="F226" s="1467"/>
      <c r="G226" s="1467"/>
      <c r="H226" s="1467"/>
      <c r="I226" s="1467"/>
      <c r="J226" s="1467"/>
      <c r="K226" s="1467"/>
      <c r="L226" s="1467"/>
      <c r="M226" s="1467"/>
      <c r="N226" s="1467"/>
      <c r="O226" s="1467"/>
      <c r="P226" s="1467"/>
      <c r="Q226" s="1467"/>
      <c r="R226" s="1467"/>
      <c r="S226" s="1467"/>
      <c r="T226" s="1467"/>
      <c r="U226" s="1467"/>
      <c r="V226" s="1467"/>
      <c r="W226" s="1467"/>
      <c r="X226" s="1467"/>
    </row>
    <row r="227" spans="1:24">
      <c r="A227" s="2644"/>
      <c r="B227" s="2645"/>
      <c r="C227" s="2645"/>
      <c r="D227" s="1466"/>
      <c r="E227" s="1467"/>
      <c r="F227" s="1467"/>
      <c r="G227" s="1467"/>
      <c r="H227" s="1467"/>
      <c r="I227" s="1467"/>
      <c r="J227" s="1467"/>
      <c r="K227" s="1467"/>
      <c r="L227" s="1467"/>
      <c r="M227" s="1467"/>
      <c r="N227" s="1467"/>
      <c r="O227" s="1467"/>
      <c r="P227" s="1467"/>
      <c r="Q227" s="1467"/>
      <c r="R227" s="1467"/>
      <c r="S227" s="1467"/>
      <c r="T227" s="1467"/>
      <c r="U227" s="1467"/>
      <c r="V227" s="1467"/>
      <c r="W227" s="1467"/>
      <c r="X227" s="1467"/>
    </row>
    <row r="228" spans="1:24">
      <c r="A228" s="4115" t="s">
        <v>187</v>
      </c>
      <c r="B228" s="359"/>
      <c r="C228" s="359"/>
      <c r="D228" s="359"/>
      <c r="E228" s="359"/>
      <c r="F228" s="359"/>
      <c r="G228" s="359"/>
      <c r="H228" s="360"/>
      <c r="I228" s="359"/>
      <c r="J228" s="359"/>
      <c r="K228" s="359"/>
      <c r="L228" s="359"/>
      <c r="M228" s="359"/>
      <c r="N228" s="359"/>
      <c r="O228" s="360"/>
      <c r="P228" s="359"/>
      <c r="Q228" s="359"/>
      <c r="R228" s="359"/>
      <c r="S228" s="359"/>
      <c r="T228" s="359"/>
      <c r="U228" s="359"/>
      <c r="V228" s="2763"/>
      <c r="W228" s="2763"/>
      <c r="X228" s="2763"/>
    </row>
    <row r="229" spans="1:24">
      <c r="A229" s="4465" t="s">
        <v>188</v>
      </c>
      <c r="B229" s="4466"/>
      <c r="C229" s="4466"/>
      <c r="D229" s="4466"/>
      <c r="E229" s="4466"/>
      <c r="F229" s="4466"/>
      <c r="G229" s="4467"/>
      <c r="H229" s="1194"/>
      <c r="I229" s="4467"/>
      <c r="J229" s="4468"/>
      <c r="K229" s="4468"/>
      <c r="L229" s="4468"/>
      <c r="M229" s="4468"/>
      <c r="N229" s="4468"/>
      <c r="O229" s="1194"/>
      <c r="P229" s="4468"/>
      <c r="Q229" s="4468"/>
      <c r="R229" s="4468"/>
      <c r="S229" s="4468"/>
      <c r="T229" s="4468"/>
      <c r="U229" s="4468"/>
      <c r="V229"/>
      <c r="W229"/>
      <c r="X229"/>
    </row>
    <row r="230" spans="1:24" ht="12.75" customHeight="1">
      <c r="A230" s="5429" t="str">
        <f>"2. В Група 1 Собствени дълготрайни активи за отчетната "&amp;$E$8&amp;" се попълват ДА, които са собственост на ВиК оператора през отчетната година и няма да бъдат извадени от капитала му при реализиране разпоредбите на ЗВ."</f>
        <v>2. В Група 1 Собствени дълготрайни активи за отчетната 2024 г. се попълват ДА, които са собственост на ВиК оператора през отчетната година и няма да бъдат извадени от капитала му при реализиране разпоредбите на ЗВ.</v>
      </c>
      <c r="B230" s="5429"/>
      <c r="C230" s="5429"/>
      <c r="D230" s="5429"/>
      <c r="E230" s="5429"/>
      <c r="F230" s="5429"/>
      <c r="G230" s="5429"/>
      <c r="H230" s="5429"/>
      <c r="I230" s="5429"/>
      <c r="J230" s="5429"/>
      <c r="K230" s="5429"/>
      <c r="L230" s="5429"/>
      <c r="M230" s="5429"/>
      <c r="N230" s="5429"/>
      <c r="O230" s="5429"/>
      <c r="P230" s="5429"/>
      <c r="Q230" s="5429"/>
      <c r="R230" s="5429"/>
      <c r="S230" s="5429"/>
      <c r="T230" s="5429"/>
      <c r="U230" s="5429"/>
      <c r="V230"/>
      <c r="W230"/>
      <c r="X230"/>
    </row>
    <row r="231" spans="1:24" ht="12.75" customHeight="1">
      <c r="A231" s="5429" t="str">
        <f>"3. В Група 2 Публични Дълготрайни Активи, изградени със собствени средства за отчетната "&amp;$E$8&amp;"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f>
        <v>3. В Група 2 Публични Дълготрайни Активи, изградени със собствени средства за отчетната 2024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v>
      </c>
      <c r="B231" s="5429"/>
      <c r="C231" s="5429"/>
      <c r="D231" s="5429"/>
      <c r="E231" s="5429"/>
      <c r="F231" s="5429"/>
      <c r="G231" s="5429"/>
      <c r="H231" s="5429"/>
      <c r="I231" s="5429"/>
      <c r="J231" s="5429"/>
      <c r="K231" s="5429"/>
      <c r="L231" s="5429"/>
      <c r="M231" s="5429"/>
      <c r="N231" s="5429"/>
      <c r="O231" s="5429"/>
      <c r="P231" s="5429"/>
      <c r="Q231" s="5429"/>
      <c r="R231" s="5429"/>
      <c r="S231" s="5429"/>
      <c r="T231" s="5429"/>
      <c r="U231" s="5429"/>
      <c r="V231"/>
      <c r="W231"/>
      <c r="X231"/>
    </row>
    <row r="232" spans="1:24" ht="12.75" customHeight="1">
      <c r="A232" s="5429" t="str">
        <f>"4. В Група 3 Публични Дълготрайни Активи, предоставени на ВиК оператора за експлоатация и поддръжка за отчетната "&amp;$E$8&amp;"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f>
        <v>4. В Група 3 Публични Дълготрайни Активи, предоставени на ВиК оператора за експлоатация и поддръжка за отчетната 2024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v>
      </c>
      <c r="B232" s="5429"/>
      <c r="C232" s="5429"/>
      <c r="D232" s="5429"/>
      <c r="E232" s="5429"/>
      <c r="F232" s="5429"/>
      <c r="G232" s="5429"/>
      <c r="H232" s="5429"/>
      <c r="I232" s="5429"/>
      <c r="J232" s="5429"/>
      <c r="K232" s="5429"/>
      <c r="L232" s="5429"/>
      <c r="M232" s="5429"/>
      <c r="N232" s="5429"/>
      <c r="O232" s="5429"/>
      <c r="P232" s="5429"/>
      <c r="Q232" s="5429"/>
      <c r="R232" s="5429"/>
      <c r="S232" s="5429"/>
      <c r="T232" s="5429"/>
      <c r="U232" s="5429"/>
      <c r="V232"/>
      <c r="W232"/>
      <c r="X232"/>
    </row>
    <row r="233" spans="1:24" ht="12.75" customHeight="1">
      <c r="A233" s="5429" t="s">
        <v>1849</v>
      </c>
      <c r="B233" s="5429"/>
      <c r="C233" s="5429"/>
      <c r="D233" s="5429"/>
      <c r="E233" s="5429"/>
      <c r="F233" s="5429"/>
      <c r="G233" s="5429"/>
      <c r="H233" s="5429"/>
      <c r="I233" s="5429"/>
      <c r="J233" s="5429"/>
      <c r="K233" s="5429"/>
      <c r="L233" s="5429"/>
      <c r="M233" s="5429"/>
      <c r="N233" s="5429"/>
      <c r="O233" s="5429"/>
      <c r="P233" s="5429"/>
      <c r="Q233" s="5429"/>
      <c r="R233" s="5429"/>
      <c r="S233" s="5429"/>
      <c r="T233" s="5429"/>
      <c r="U233" s="5429"/>
      <c r="V233" s="4114"/>
      <c r="W233" s="4114"/>
      <c r="X233" s="4114"/>
    </row>
    <row r="234" spans="1:24">
      <c r="B234" s="4341"/>
      <c r="C234" s="4341"/>
      <c r="D234" s="4341"/>
      <c r="E234" s="4341"/>
      <c r="F234" s="4341"/>
      <c r="G234" s="4341"/>
      <c r="H234" s="4341"/>
      <c r="I234" s="4341"/>
      <c r="J234" s="4341"/>
      <c r="K234" s="4341"/>
      <c r="L234" s="4341"/>
      <c r="M234" s="4341"/>
      <c r="N234" s="4341"/>
      <c r="O234" s="4341"/>
      <c r="P234" s="4341"/>
      <c r="Q234" s="4341"/>
      <c r="R234" s="4341"/>
      <c r="S234" s="4341"/>
      <c r="T234" s="4341"/>
      <c r="U234" s="4341"/>
      <c r="V234" s="4341"/>
      <c r="W234" s="4341"/>
      <c r="X234" s="4341"/>
    </row>
    <row r="235" spans="1:24">
      <c r="B235" s="4341"/>
      <c r="C235" s="4341"/>
      <c r="D235" s="4341"/>
      <c r="E235" s="4341"/>
      <c r="F235" s="4341"/>
      <c r="G235" s="4341"/>
      <c r="H235" s="4341"/>
      <c r="I235" s="4341"/>
      <c r="J235" s="4341"/>
      <c r="K235" s="4341"/>
      <c r="L235" s="4341"/>
      <c r="M235" s="4341"/>
      <c r="N235" s="4341"/>
      <c r="O235" s="4341"/>
      <c r="P235" s="4341"/>
      <c r="Q235" s="4341"/>
      <c r="R235" s="4341"/>
      <c r="S235" s="4341"/>
      <c r="T235" s="4341"/>
      <c r="U235" s="4341"/>
      <c r="V235" s="4341"/>
      <c r="W235" s="4341"/>
      <c r="X235" s="4341"/>
    </row>
    <row r="236" spans="1:24">
      <c r="B236" s="4341"/>
      <c r="C236" s="4341"/>
      <c r="D236" s="4341"/>
      <c r="E236" s="4341"/>
      <c r="F236" s="4341"/>
      <c r="G236" s="4341"/>
      <c r="H236" s="4341"/>
      <c r="I236" s="4341"/>
      <c r="J236" s="4341"/>
      <c r="K236" s="4341"/>
      <c r="L236" s="4341"/>
      <c r="M236" s="4341"/>
      <c r="N236" s="4341"/>
      <c r="O236" s="4341"/>
      <c r="P236" s="4341"/>
      <c r="Q236" s="4341"/>
      <c r="R236" s="4341"/>
      <c r="S236" s="4341"/>
      <c r="T236" s="4341"/>
      <c r="U236" s="4341"/>
      <c r="V236" s="4341"/>
      <c r="W236" s="4341"/>
      <c r="X236" s="4341"/>
    </row>
    <row r="237" spans="1:24">
      <c r="B237" s="4341"/>
      <c r="C237" s="4341"/>
      <c r="D237" s="4341"/>
      <c r="E237" s="4341"/>
      <c r="F237" s="4341"/>
      <c r="G237" s="4341"/>
      <c r="H237" s="4341"/>
      <c r="I237" s="4341"/>
      <c r="J237" s="4341"/>
      <c r="W237" s="4341"/>
      <c r="X237" s="4341"/>
    </row>
    <row r="238" spans="1:24">
      <c r="B238" s="4341"/>
      <c r="C238" s="4341"/>
      <c r="D238" s="4341"/>
      <c r="E238" s="4341"/>
      <c r="F238" s="4341"/>
      <c r="G238" s="4341"/>
      <c r="H238" s="4341"/>
      <c r="I238" s="4341"/>
      <c r="J238" s="4341"/>
      <c r="W238" s="4341"/>
      <c r="X238" s="4341"/>
    </row>
    <row r="239" spans="1:24">
      <c r="M239" s="2645"/>
      <c r="N239" s="2645"/>
      <c r="O239" s="2757"/>
      <c r="P239" s="2761"/>
      <c r="Q239" s="2764"/>
      <c r="R239" s="2762"/>
      <c r="S239" s="2753"/>
      <c r="T239" s="2651"/>
      <c r="U239" s="2651"/>
      <c r="V239" s="2645"/>
      <c r="W239" s="2765"/>
      <c r="X239" s="2645"/>
    </row>
    <row r="240" spans="1:24">
      <c r="M240" s="2645"/>
      <c r="N240" s="2645"/>
      <c r="O240" s="2766"/>
      <c r="P240" s="2767"/>
      <c r="Q240" s="2768"/>
      <c r="R240" s="2769"/>
      <c r="S240" s="2753"/>
      <c r="T240" s="2651"/>
      <c r="U240" s="2651"/>
      <c r="V240" s="2759"/>
      <c r="W240" s="2760"/>
      <c r="X240" s="2645"/>
    </row>
    <row r="241" spans="13:24">
      <c r="M241" s="2645"/>
      <c r="N241" s="2645"/>
      <c r="O241" s="2757"/>
      <c r="P241" s="2771"/>
      <c r="Q241" s="2756"/>
      <c r="R241" s="2772"/>
      <c r="S241" s="2770"/>
      <c r="T241" s="2645"/>
      <c r="U241" s="2645"/>
      <c r="V241" s="2645"/>
      <c r="W241" s="2763"/>
      <c r="X241" s="2645"/>
    </row>
  </sheetData>
  <sheetProtection algorithmName="SHA-512" hashValue="7vRJRJt1JBC6gWaqFusDDNGxKCSDbKDSvEP5d4CIDhs8EpbCb/K9euEnoo7BaIZxPZHBwtvc2ePof7mziUTtQA==" saltValue="IOWiFJV0Qbbj6K0LJwxUnw==" spinCount="100000" sheet="1" objects="1" scenarios="1"/>
  <mergeCells count="78">
    <mergeCell ref="AP7:AS7"/>
    <mergeCell ref="A1:C1"/>
    <mergeCell ref="Z7:AC7"/>
    <mergeCell ref="AD7:AG7"/>
    <mergeCell ref="AH7:AK7"/>
    <mergeCell ref="A233:U233"/>
    <mergeCell ref="A219:D219"/>
    <mergeCell ref="A220:D220"/>
    <mergeCell ref="A221:D221"/>
    <mergeCell ref="A230:U230"/>
    <mergeCell ref="A231:U231"/>
    <mergeCell ref="A232:U232"/>
    <mergeCell ref="B152:X152"/>
    <mergeCell ref="B153:D153"/>
    <mergeCell ref="B175:D175"/>
    <mergeCell ref="B197:D197"/>
    <mergeCell ref="F198:G218"/>
    <mergeCell ref="J198:K218"/>
    <mergeCell ref="N198:O218"/>
    <mergeCell ref="R198:S218"/>
    <mergeCell ref="V198:W218"/>
    <mergeCell ref="W151:X151"/>
    <mergeCell ref="B90:X90"/>
    <mergeCell ref="B91:D91"/>
    <mergeCell ref="B111:D111"/>
    <mergeCell ref="B131:D131"/>
    <mergeCell ref="F132:G150"/>
    <mergeCell ref="J132:K150"/>
    <mergeCell ref="N132:O150"/>
    <mergeCell ref="R132:S150"/>
    <mergeCell ref="V132:W150"/>
    <mergeCell ref="A151:E151"/>
    <mergeCell ref="G151:H151"/>
    <mergeCell ref="K151:L151"/>
    <mergeCell ref="O151:P151"/>
    <mergeCell ref="S151:T151"/>
    <mergeCell ref="B65:D65"/>
    <mergeCell ref="F66:G89"/>
    <mergeCell ref="J66:K89"/>
    <mergeCell ref="N66:O89"/>
    <mergeCell ref="R66:S89"/>
    <mergeCell ref="V66:W89"/>
    <mergeCell ref="P37:P38"/>
    <mergeCell ref="Q37:Q38"/>
    <mergeCell ref="T37:T38"/>
    <mergeCell ref="U37:U38"/>
    <mergeCell ref="X37:X38"/>
    <mergeCell ref="B40:D40"/>
    <mergeCell ref="P31:P32"/>
    <mergeCell ref="Q31:Q32"/>
    <mergeCell ref="T31:T32"/>
    <mergeCell ref="U31:U32"/>
    <mergeCell ref="X31:X32"/>
    <mergeCell ref="E37:E38"/>
    <mergeCell ref="H37:H38"/>
    <mergeCell ref="I37:I38"/>
    <mergeCell ref="L37:L38"/>
    <mergeCell ref="M37:M38"/>
    <mergeCell ref="E31:E32"/>
    <mergeCell ref="H31:H32"/>
    <mergeCell ref="I31:I32"/>
    <mergeCell ref="L31:L32"/>
    <mergeCell ref="M31:M32"/>
    <mergeCell ref="A2:X2"/>
    <mergeCell ref="A3:X3"/>
    <mergeCell ref="A4:X4"/>
    <mergeCell ref="A5:X5"/>
    <mergeCell ref="A7:A9"/>
    <mergeCell ref="B7:B9"/>
    <mergeCell ref="C7:C9"/>
    <mergeCell ref="D7:D9"/>
    <mergeCell ref="E7:H7"/>
    <mergeCell ref="I7:L7"/>
    <mergeCell ref="M7:P7"/>
    <mergeCell ref="Q7:T7"/>
    <mergeCell ref="U7:X7"/>
    <mergeCell ref="B10:X10"/>
    <mergeCell ref="B11:D11"/>
  </mergeCells>
  <pageMargins left="0" right="0" top="0.55118110236220474" bottom="0.15748031496062992" header="0.31496062992125984" footer="0"/>
  <pageSetup paperSize="9" scale="65" orientation="landscape" r:id="rId1"/>
  <rowBreaks count="1" manualBreakCount="1">
    <brk id="39"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DJ501"/>
  <sheetViews>
    <sheetView showGridLines="0" zoomScale="90" zoomScaleNormal="90" zoomScaleSheetLayoutView="100" workbookViewId="0">
      <pane xSplit="2" ySplit="10" topLeftCell="C50" activePane="bottomRight" state="frozen"/>
      <selection pane="topRight" activeCell="C1" sqref="C1"/>
      <selection pane="bottomLeft" activeCell="A11" sqref="A11"/>
      <selection pane="bottomRight" activeCell="H32" sqref="H32"/>
    </sheetView>
  </sheetViews>
  <sheetFormatPr defaultColWidth="9.140625" defaultRowHeight="15"/>
  <cols>
    <col min="1" max="1" width="5.85546875" style="48" customWidth="1"/>
    <col min="2" max="2" width="40" style="48" customWidth="1"/>
    <col min="3" max="3" width="6.85546875" style="49" customWidth="1"/>
    <col min="4" max="8" width="7" style="49" customWidth="1"/>
    <col min="9" max="9" width="8.140625" style="860" customWidth="1"/>
    <col min="10" max="10" width="8.7109375" style="49" customWidth="1"/>
    <col min="11" max="16" width="7" style="49" customWidth="1"/>
    <col min="17" max="17" width="8.28515625" style="860" customWidth="1"/>
    <col min="18" max="18" width="9.140625" style="49" customWidth="1"/>
    <col min="19" max="24" width="7" style="49" customWidth="1"/>
    <col min="25" max="25" width="8" style="860" customWidth="1"/>
    <col min="26" max="26" width="9.140625" style="49" customWidth="1"/>
    <col min="27" max="32" width="6.85546875" style="49" customWidth="1"/>
    <col min="33" max="33" width="8.28515625" style="860" customWidth="1"/>
    <col min="34" max="34" width="9.140625" style="49" customWidth="1"/>
    <col min="35" max="40" width="7" style="49" customWidth="1"/>
    <col min="41" max="41" width="7.7109375" style="860" customWidth="1"/>
    <col min="42" max="42" width="9.140625" style="49" customWidth="1"/>
    <col min="43" max="60" width="7" style="49" customWidth="1"/>
    <col min="61" max="61" width="2.28515625" style="675" customWidth="1"/>
    <col min="62" max="16384" width="9.140625" style="675"/>
  </cols>
  <sheetData>
    <row r="1" spans="1:114" ht="16.5" thickBot="1">
      <c r="A1" s="5338" t="str">
        <f>+'1. Обща информация'!B40</f>
        <v>Фиксиран курс на лева към 1 евро</v>
      </c>
      <c r="B1" s="5339"/>
      <c r="C1" s="5340"/>
      <c r="D1" s="5455">
        <f>+'1. Обща информация'!$C$40</f>
        <v>1.95583</v>
      </c>
      <c r="E1" s="5456"/>
      <c r="F1" s="3196"/>
      <c r="G1" s="3196"/>
      <c r="H1" s="3196"/>
      <c r="I1" s="3197"/>
      <c r="J1" s="3196"/>
      <c r="K1" s="3196"/>
      <c r="L1" s="3196"/>
      <c r="M1" s="3196"/>
      <c r="N1" s="3196"/>
      <c r="O1" s="3196"/>
      <c r="P1" s="3196"/>
      <c r="Q1" s="3197"/>
      <c r="R1" s="3196"/>
      <c r="S1" s="3196"/>
      <c r="T1" s="3196"/>
      <c r="U1" s="3196"/>
      <c r="V1" s="3196"/>
      <c r="W1" s="3196"/>
      <c r="X1" s="3196"/>
      <c r="Y1" s="2993" t="s">
        <v>189</v>
      </c>
      <c r="Z1" s="3196"/>
      <c r="AA1" s="3196"/>
      <c r="AB1" s="3196"/>
      <c r="AC1" s="3196"/>
      <c r="AD1" s="3196"/>
      <c r="AE1" s="3196"/>
      <c r="AF1" s="3196"/>
      <c r="AG1" s="3197"/>
      <c r="AH1" s="3196"/>
      <c r="AI1" s="3196"/>
      <c r="AJ1" s="3196"/>
      <c r="AK1" s="3196"/>
      <c r="AL1" s="3196"/>
      <c r="AM1" s="3196"/>
      <c r="AN1" s="3196"/>
      <c r="AO1" s="3197"/>
      <c r="AP1" s="3196"/>
      <c r="AQ1" s="3196"/>
      <c r="AR1" s="3196"/>
      <c r="AS1" s="3196"/>
      <c r="AT1" s="3196"/>
      <c r="AU1" s="3198"/>
      <c r="AV1" s="3199"/>
      <c r="AW1" s="3196"/>
      <c r="AX1" s="3196"/>
      <c r="AY1" s="3196"/>
      <c r="AZ1" s="3196"/>
      <c r="BA1" s="3196"/>
      <c r="BB1" s="3196"/>
      <c r="BC1" s="3196"/>
      <c r="BD1" s="3196"/>
      <c r="BE1" s="3196"/>
      <c r="BF1" s="3196"/>
      <c r="BG1" s="3196"/>
      <c r="BH1" s="3196"/>
    </row>
    <row r="2" spans="1:114" ht="18.75">
      <c r="A2" s="5373" t="s">
        <v>1376</v>
      </c>
      <c r="B2" s="5373"/>
      <c r="C2" s="5373"/>
      <c r="D2" s="5373"/>
      <c r="E2" s="5373"/>
      <c r="F2" s="5373"/>
      <c r="G2" s="5373"/>
      <c r="H2" s="5373"/>
      <c r="I2" s="5373"/>
      <c r="J2" s="5373"/>
      <c r="K2" s="5373"/>
      <c r="L2" s="5373"/>
      <c r="M2" s="5373"/>
      <c r="N2" s="5373"/>
      <c r="O2" s="5373"/>
      <c r="P2" s="5373"/>
      <c r="Q2" s="5373"/>
      <c r="R2" s="5373"/>
      <c r="S2" s="5373"/>
      <c r="T2" s="5373"/>
      <c r="U2" s="5373"/>
      <c r="V2" s="5373"/>
      <c r="W2" s="5373"/>
      <c r="X2" s="5373"/>
      <c r="Y2" s="5373"/>
      <c r="Z2" s="5373"/>
      <c r="AA2" s="676"/>
      <c r="AB2" s="676"/>
      <c r="AC2" s="676"/>
      <c r="AD2" s="676"/>
      <c r="AE2" s="676"/>
      <c r="AF2" s="676"/>
      <c r="AG2" s="878"/>
      <c r="AH2" s="676"/>
      <c r="AI2" s="676"/>
      <c r="AJ2" s="676"/>
      <c r="AK2" s="676"/>
      <c r="AL2" s="676"/>
      <c r="AM2" s="676"/>
      <c r="AN2" s="676"/>
      <c r="AO2" s="878"/>
      <c r="AP2" s="676"/>
      <c r="AQ2" s="676"/>
      <c r="AR2" s="676"/>
      <c r="AS2" s="676"/>
      <c r="AT2" s="676"/>
      <c r="AU2" s="676"/>
      <c r="AV2" s="676"/>
      <c r="AW2" s="676"/>
      <c r="AX2" s="676"/>
      <c r="AY2" s="676"/>
      <c r="AZ2" s="676"/>
      <c r="BA2" s="676"/>
      <c r="BB2" s="676"/>
      <c r="BC2" s="676"/>
      <c r="BD2" s="676"/>
      <c r="BE2" s="676"/>
      <c r="BF2" s="676"/>
      <c r="BG2" s="676"/>
      <c r="BH2" s="676"/>
    </row>
    <row r="3" spans="1:114" ht="18.75">
      <c r="A3" s="5373" t="s">
        <v>1377</v>
      </c>
      <c r="B3" s="5373"/>
      <c r="C3" s="5373"/>
      <c r="D3" s="5373"/>
      <c r="E3" s="5373"/>
      <c r="F3" s="5373"/>
      <c r="G3" s="5373"/>
      <c r="H3" s="5373"/>
      <c r="I3" s="5373"/>
      <c r="J3" s="5373"/>
      <c r="K3" s="5373"/>
      <c r="L3" s="5373"/>
      <c r="M3" s="5373"/>
      <c r="N3" s="5373"/>
      <c r="O3" s="5373"/>
      <c r="P3" s="5373"/>
      <c r="Q3" s="5373"/>
      <c r="R3" s="5373"/>
      <c r="S3" s="5373"/>
      <c r="T3" s="5373"/>
      <c r="U3" s="5373"/>
      <c r="V3" s="5373"/>
      <c r="W3" s="5373"/>
      <c r="X3" s="5373"/>
      <c r="Y3" s="5373"/>
      <c r="Z3" s="5373"/>
      <c r="AA3" s="3200"/>
      <c r="AB3" s="3200"/>
      <c r="AC3" s="3200"/>
      <c r="AD3" s="3200"/>
      <c r="AE3" s="3200"/>
      <c r="AF3" s="3200"/>
      <c r="AG3" s="3201"/>
      <c r="AH3" s="3200"/>
      <c r="AI3" s="3200"/>
      <c r="AJ3" s="3200"/>
      <c r="AK3" s="3200"/>
      <c r="AL3" s="3200"/>
      <c r="AM3" s="3200"/>
      <c r="AN3" s="3200"/>
      <c r="AO3" s="3201"/>
      <c r="AP3" s="3200"/>
      <c r="AQ3" s="3200"/>
      <c r="AR3" s="3200"/>
      <c r="AS3" s="3200"/>
      <c r="AT3" s="3200"/>
      <c r="AU3" s="3200"/>
      <c r="AV3" s="3200"/>
      <c r="AW3" s="3200"/>
      <c r="AX3" s="3200"/>
      <c r="AY3" s="3200"/>
      <c r="AZ3" s="3200"/>
      <c r="BA3" s="3200"/>
      <c r="BB3" s="3200"/>
      <c r="BC3" s="3200"/>
      <c r="BD3" s="3200"/>
      <c r="BE3" s="3200"/>
      <c r="BF3" s="3200"/>
      <c r="BG3" s="3200"/>
      <c r="BH3" s="3200"/>
    </row>
    <row r="4" spans="1:114" ht="15.75">
      <c r="A4" s="5393" t="str">
        <f>'1. Обща информация'!A4:D4</f>
        <v>на "ВОДОСНАБДЯВАНЕ И КАНАЛИЗАЦИЯ" ЕООД, гр. БЛАГОЕВГРАД</v>
      </c>
      <c r="B4" s="5393"/>
      <c r="C4" s="5393"/>
      <c r="D4" s="5393"/>
      <c r="E4" s="5393"/>
      <c r="F4" s="5393"/>
      <c r="G4" s="5393"/>
      <c r="H4" s="5393"/>
      <c r="I4" s="5393"/>
      <c r="J4" s="5393"/>
      <c r="K4" s="5393"/>
      <c r="L4" s="5393"/>
      <c r="M4" s="5393"/>
      <c r="N4" s="5393"/>
      <c r="O4" s="5393"/>
      <c r="P4" s="5393"/>
      <c r="Q4" s="5393"/>
      <c r="R4" s="5393"/>
      <c r="S4" s="5393"/>
      <c r="T4" s="5393"/>
      <c r="U4" s="5393"/>
      <c r="V4" s="5393"/>
      <c r="W4" s="5393"/>
      <c r="X4" s="5393"/>
      <c r="Y4" s="5393"/>
      <c r="Z4" s="5393"/>
      <c r="AA4" s="3200"/>
      <c r="AB4" s="3200"/>
      <c r="AC4" s="3200"/>
      <c r="AD4" s="3200"/>
      <c r="AE4" s="3200"/>
      <c r="AF4" s="3200"/>
      <c r="AG4" s="3201"/>
      <c r="AH4" s="3200"/>
      <c r="AI4" s="3202"/>
      <c r="AJ4" s="3202"/>
      <c r="AK4" s="3202"/>
      <c r="AL4" s="3202"/>
      <c r="AM4" s="3202"/>
      <c r="AN4" s="3202"/>
      <c r="AO4" s="3201"/>
      <c r="AP4" s="3200"/>
      <c r="AQ4" s="3200"/>
      <c r="AR4" s="3200"/>
      <c r="AS4" s="3200"/>
      <c r="AT4" s="3200"/>
      <c r="AU4" s="3200"/>
      <c r="AV4" s="3200"/>
      <c r="AW4" s="3202"/>
      <c r="AX4" s="3202"/>
      <c r="AY4" s="3202"/>
      <c r="AZ4" s="3202"/>
      <c r="BA4" s="3202"/>
      <c r="BB4" s="3202"/>
      <c r="BC4" s="3202"/>
      <c r="BD4" s="3202"/>
      <c r="BE4" s="3202"/>
      <c r="BF4" s="3202"/>
      <c r="BG4" s="3202"/>
      <c r="BH4" s="3202"/>
    </row>
    <row r="5" spans="1:114" ht="15.75">
      <c r="A5" s="5393" t="str">
        <f>'1. Обща информация'!A5:D5</f>
        <v>ЕИК по БУЛСТАТ: 811047831</v>
      </c>
      <c r="B5" s="5393"/>
      <c r="C5" s="5393"/>
      <c r="D5" s="5393"/>
      <c r="E5" s="5393"/>
      <c r="F5" s="5393"/>
      <c r="G5" s="5393"/>
      <c r="H5" s="5393"/>
      <c r="I5" s="5393"/>
      <c r="J5" s="5393"/>
      <c r="K5" s="5393"/>
      <c r="L5" s="5393"/>
      <c r="M5" s="5393"/>
      <c r="N5" s="5393"/>
      <c r="O5" s="5393"/>
      <c r="P5" s="5393"/>
      <c r="Q5" s="5393"/>
      <c r="R5" s="5393"/>
      <c r="S5" s="5393"/>
      <c r="T5" s="5393"/>
      <c r="U5" s="5393"/>
      <c r="V5" s="5393"/>
      <c r="W5" s="5393"/>
      <c r="X5" s="5393"/>
      <c r="Y5" s="5393"/>
      <c r="Z5" s="5393"/>
      <c r="AA5" s="2994"/>
      <c r="AB5" s="2994"/>
      <c r="AC5" s="2994"/>
      <c r="AD5" s="2994"/>
      <c r="AE5" s="2994"/>
      <c r="AF5" s="2994"/>
      <c r="AG5" s="3203"/>
      <c r="AH5" s="2994"/>
      <c r="AI5" s="3204"/>
      <c r="AJ5" s="3204"/>
      <c r="AK5" s="3204"/>
      <c r="AL5" s="3204"/>
      <c r="AM5" s="3204"/>
      <c r="AN5" s="3204"/>
      <c r="AO5" s="3203"/>
      <c r="AP5" s="2994"/>
      <c r="AQ5" s="2994"/>
      <c r="AR5" s="2994"/>
      <c r="AS5" s="2994"/>
      <c r="AT5" s="2994"/>
      <c r="AU5" s="2994"/>
      <c r="AV5" s="2994"/>
      <c r="AW5" s="3204"/>
      <c r="AX5" s="3204"/>
      <c r="AY5" s="3204"/>
      <c r="AZ5" s="3204"/>
      <c r="BA5" s="3204"/>
      <c r="BB5" s="3204"/>
      <c r="BC5" s="3204"/>
      <c r="BD5" s="3204"/>
      <c r="BE5" s="3204"/>
      <c r="BF5" s="3204"/>
      <c r="BG5" s="3204"/>
      <c r="BH5" s="3204"/>
    </row>
    <row r="6" spans="1:114">
      <c r="A6" s="679"/>
      <c r="B6" s="679"/>
      <c r="C6" s="679"/>
      <c r="D6" s="679"/>
      <c r="E6" s="679"/>
      <c r="F6" s="679"/>
      <c r="G6" s="679"/>
      <c r="H6" s="679"/>
      <c r="I6" s="3205"/>
      <c r="J6" s="3206"/>
      <c r="K6" s="679"/>
      <c r="L6" s="3206"/>
      <c r="M6" s="3206"/>
      <c r="N6" s="3206"/>
      <c r="O6" s="3206"/>
      <c r="P6" s="3206"/>
      <c r="Q6" s="3205"/>
      <c r="R6" s="3206"/>
      <c r="S6" s="3206"/>
      <c r="T6" s="3206"/>
      <c r="U6" s="3206"/>
      <c r="V6" s="3206"/>
      <c r="W6" s="3206"/>
      <c r="X6" s="3206"/>
      <c r="Y6" s="3205"/>
      <c r="Z6" s="3206"/>
      <c r="AA6" s="3206"/>
      <c r="AB6" s="3206"/>
      <c r="AC6" s="3206"/>
      <c r="AD6" s="3206"/>
      <c r="AE6" s="3206"/>
      <c r="AF6" s="3206"/>
      <c r="AG6" s="3205"/>
      <c r="AH6" s="3206"/>
      <c r="AI6" s="3207"/>
      <c r="AJ6" s="3207"/>
      <c r="AK6" s="3207"/>
      <c r="AL6" s="3207"/>
      <c r="AM6" s="3207"/>
      <c r="AN6" s="3207"/>
      <c r="AO6" s="3205"/>
      <c r="AP6" s="3206"/>
      <c r="AQ6" s="3206"/>
      <c r="AR6" s="3206"/>
      <c r="AS6" s="3206"/>
      <c r="AT6" s="3206"/>
      <c r="AU6" s="3206"/>
      <c r="AV6" s="3206"/>
      <c r="AW6" s="3207"/>
      <c r="AX6" s="3207"/>
      <c r="AY6" s="3207"/>
      <c r="AZ6" s="3207"/>
      <c r="BA6" s="3207"/>
      <c r="BB6" s="3207"/>
      <c r="BC6" s="3207"/>
      <c r="BD6" s="3207"/>
      <c r="BE6" s="3207"/>
      <c r="BF6" s="3207"/>
      <c r="BG6" s="3207"/>
      <c r="BH6" s="3207"/>
    </row>
    <row r="7" spans="1:114" ht="15.75" thickBot="1">
      <c r="A7" s="680"/>
      <c r="B7" s="680"/>
      <c r="C7" s="681"/>
      <c r="D7" s="682"/>
      <c r="E7" s="682"/>
      <c r="F7" s="683"/>
      <c r="G7" s="679"/>
      <c r="H7" s="679"/>
      <c r="I7" s="3197"/>
      <c r="J7" s="3196"/>
      <c r="K7" s="679"/>
      <c r="L7" s="682"/>
      <c r="M7" s="682"/>
      <c r="N7" s="682"/>
      <c r="O7" s="682"/>
      <c r="P7" s="3196"/>
      <c r="Q7" s="3197"/>
      <c r="R7" s="3196"/>
      <c r="S7" s="3196"/>
      <c r="T7" s="3196"/>
      <c r="U7" s="3196"/>
      <c r="V7" s="3196"/>
      <c r="W7" s="3196"/>
      <c r="X7" s="682"/>
      <c r="Y7" s="3208"/>
      <c r="Z7" s="3196"/>
      <c r="AA7" s="3196"/>
      <c r="AB7" s="3196"/>
      <c r="AC7" s="3196"/>
      <c r="AD7" s="3196"/>
      <c r="AE7" s="3196"/>
      <c r="AF7" s="682"/>
      <c r="AG7" s="3197"/>
      <c r="AH7" s="3196"/>
      <c r="AI7" s="3209"/>
      <c r="AJ7" s="3209"/>
      <c r="AK7" s="3209"/>
      <c r="AL7" s="3209"/>
      <c r="AM7" s="3209"/>
      <c r="AN7" s="684"/>
      <c r="AO7" s="3197"/>
      <c r="AP7" s="3196"/>
      <c r="AQ7" s="682"/>
      <c r="AR7" s="682"/>
      <c r="AS7" s="682"/>
      <c r="AT7" s="682"/>
      <c r="AU7" s="685"/>
      <c r="AV7" s="3196"/>
      <c r="AW7" s="3209"/>
      <c r="AX7" s="3209"/>
      <c r="AY7" s="3209"/>
      <c r="AZ7" s="3209"/>
      <c r="BA7" s="3209"/>
      <c r="BB7" s="684"/>
      <c r="BC7" s="3209"/>
      <c r="BD7" s="3209"/>
      <c r="BE7" s="3209"/>
      <c r="BF7" s="3209"/>
      <c r="BG7" s="3209"/>
      <c r="BH7" s="3208" t="s">
        <v>190</v>
      </c>
      <c r="DJ7" s="2558" t="s">
        <v>1891</v>
      </c>
    </row>
    <row r="8" spans="1:114" ht="15.75" customHeight="1" thickBot="1">
      <c r="A8" s="5444" t="s">
        <v>1</v>
      </c>
      <c r="B8" s="5443" t="s">
        <v>223</v>
      </c>
      <c r="C8" s="5447" t="s">
        <v>224</v>
      </c>
      <c r="D8" s="5448"/>
      <c r="E8" s="5448"/>
      <c r="F8" s="5448"/>
      <c r="G8" s="5448"/>
      <c r="H8" s="5448"/>
      <c r="I8" s="5448"/>
      <c r="J8" s="5448"/>
      <c r="K8" s="5448"/>
      <c r="L8" s="5448"/>
      <c r="M8" s="5448"/>
      <c r="N8" s="5448"/>
      <c r="O8" s="5448"/>
      <c r="P8" s="5448"/>
      <c r="Q8" s="5448"/>
      <c r="R8" s="5448"/>
      <c r="S8" s="5448"/>
      <c r="T8" s="5448"/>
      <c r="U8" s="5448"/>
      <c r="V8" s="5448"/>
      <c r="W8" s="5448"/>
      <c r="X8" s="5448"/>
      <c r="Y8" s="5448"/>
      <c r="Z8" s="5448"/>
      <c r="AA8" s="5448"/>
      <c r="AB8" s="5448"/>
      <c r="AC8" s="5448"/>
      <c r="AD8" s="5448"/>
      <c r="AE8" s="5448"/>
      <c r="AF8" s="5448"/>
      <c r="AG8" s="5448"/>
      <c r="AH8" s="5448"/>
      <c r="AI8" s="5448"/>
      <c r="AJ8" s="5448"/>
      <c r="AK8" s="5448"/>
      <c r="AL8" s="5448"/>
      <c r="AM8" s="5448"/>
      <c r="AN8" s="5448"/>
      <c r="AO8" s="5448"/>
      <c r="AP8" s="5449"/>
      <c r="AQ8" s="5370" t="s">
        <v>225</v>
      </c>
      <c r="AR8" s="5371"/>
      <c r="AS8" s="5371"/>
      <c r="AT8" s="5371"/>
      <c r="AU8" s="5371"/>
      <c r="AV8" s="5372"/>
      <c r="AW8" s="5370" t="s">
        <v>1251</v>
      </c>
      <c r="AX8" s="5371"/>
      <c r="AY8" s="5371"/>
      <c r="AZ8" s="5371"/>
      <c r="BA8" s="5371"/>
      <c r="BB8" s="5372"/>
      <c r="BC8" s="5370" t="s">
        <v>1252</v>
      </c>
      <c r="BD8" s="5371"/>
      <c r="BE8" s="5371"/>
      <c r="BF8" s="5371"/>
      <c r="BG8" s="5371"/>
      <c r="BH8" s="5372"/>
      <c r="BI8" s="4775"/>
      <c r="BJ8" s="5459" t="s">
        <v>224</v>
      </c>
      <c r="BK8" s="5459"/>
      <c r="BL8" s="5459"/>
      <c r="BM8" s="5459"/>
      <c r="BN8" s="5459"/>
      <c r="BO8" s="5459"/>
      <c r="BP8" s="5459"/>
      <c r="BQ8" s="5459"/>
      <c r="BR8" s="5459"/>
      <c r="BS8" s="5459"/>
      <c r="BT8" s="5459"/>
      <c r="BU8" s="5459"/>
      <c r="BV8" s="5459"/>
      <c r="BW8" s="5459"/>
      <c r="BX8" s="5459"/>
      <c r="BY8" s="5459"/>
      <c r="BZ8" s="5459"/>
      <c r="CA8" s="5459"/>
      <c r="CB8" s="5459"/>
      <c r="CC8" s="5459"/>
      <c r="CD8" s="5459"/>
      <c r="CE8" s="5459"/>
      <c r="CF8" s="5459"/>
      <c r="CG8" s="5459"/>
      <c r="CH8" s="5459"/>
      <c r="CI8" s="5459"/>
      <c r="CJ8" s="5459"/>
      <c r="CK8" s="5459"/>
      <c r="CL8" s="5459"/>
      <c r="CM8" s="5459"/>
      <c r="CN8" s="5459"/>
      <c r="CO8" s="5459"/>
      <c r="CP8" s="5459"/>
      <c r="CQ8" s="5459"/>
      <c r="CR8" s="5459"/>
      <c r="CS8" s="5459" t="s">
        <v>225</v>
      </c>
      <c r="CT8" s="5459"/>
      <c r="CU8" s="5459"/>
      <c r="CV8" s="5459"/>
      <c r="CW8" s="5459"/>
      <c r="CX8" s="5459"/>
      <c r="CY8" s="5459" t="s">
        <v>1251</v>
      </c>
      <c r="CZ8" s="5459"/>
      <c r="DA8" s="5459"/>
      <c r="DB8" s="5459"/>
      <c r="DC8" s="5459"/>
      <c r="DD8" s="5459"/>
      <c r="DE8" s="5459" t="s">
        <v>1252</v>
      </c>
      <c r="DF8" s="5459"/>
      <c r="DG8" s="5459"/>
      <c r="DH8" s="5459"/>
      <c r="DI8" s="5459"/>
      <c r="DJ8" s="5459"/>
    </row>
    <row r="9" spans="1:114" ht="15.75" customHeight="1" thickBot="1">
      <c r="A9" s="5453"/>
      <c r="B9" s="5457"/>
      <c r="C9" s="5450" t="s">
        <v>207</v>
      </c>
      <c r="D9" s="5451"/>
      <c r="E9" s="5451"/>
      <c r="F9" s="5451"/>
      <c r="G9" s="5451"/>
      <c r="H9" s="5451"/>
      <c r="I9" s="5451"/>
      <c r="J9" s="5452"/>
      <c r="K9" s="5447" t="s">
        <v>208</v>
      </c>
      <c r="L9" s="5448"/>
      <c r="M9" s="5448"/>
      <c r="N9" s="5448"/>
      <c r="O9" s="5448"/>
      <c r="P9" s="5448"/>
      <c r="Q9" s="5448"/>
      <c r="R9" s="5449"/>
      <c r="S9" s="5447" t="s">
        <v>209</v>
      </c>
      <c r="T9" s="5448"/>
      <c r="U9" s="5448"/>
      <c r="V9" s="5448"/>
      <c r="W9" s="5448"/>
      <c r="X9" s="5448"/>
      <c r="Y9" s="5448"/>
      <c r="Z9" s="5449"/>
      <c r="AA9" s="5447" t="s">
        <v>1216</v>
      </c>
      <c r="AB9" s="5448"/>
      <c r="AC9" s="5448"/>
      <c r="AD9" s="5448"/>
      <c r="AE9" s="5448"/>
      <c r="AF9" s="5448"/>
      <c r="AG9" s="5448"/>
      <c r="AH9" s="5449"/>
      <c r="AI9" s="5447" t="s">
        <v>1217</v>
      </c>
      <c r="AJ9" s="5448"/>
      <c r="AK9" s="5448"/>
      <c r="AL9" s="5448"/>
      <c r="AM9" s="5448"/>
      <c r="AN9" s="5448"/>
      <c r="AO9" s="5448"/>
      <c r="AP9" s="5449"/>
      <c r="AQ9" s="5374"/>
      <c r="AR9" s="5433"/>
      <c r="AS9" s="5433"/>
      <c r="AT9" s="5433"/>
      <c r="AU9" s="5433"/>
      <c r="AV9" s="5434"/>
      <c r="AW9" s="5374"/>
      <c r="AX9" s="5433"/>
      <c r="AY9" s="5433"/>
      <c r="AZ9" s="5433"/>
      <c r="BA9" s="5433"/>
      <c r="BB9" s="5434"/>
      <c r="BC9" s="5374"/>
      <c r="BD9" s="5433"/>
      <c r="BE9" s="5433"/>
      <c r="BF9" s="5433"/>
      <c r="BG9" s="5433"/>
      <c r="BH9" s="5434"/>
      <c r="BI9" s="4775"/>
      <c r="BJ9" s="5460" t="s">
        <v>207</v>
      </c>
      <c r="BK9" s="5460"/>
      <c r="BL9" s="5460"/>
      <c r="BM9" s="5460"/>
      <c r="BN9" s="5460"/>
      <c r="BO9" s="5460"/>
      <c r="BP9" s="5460"/>
      <c r="BQ9" s="5459" t="s">
        <v>208</v>
      </c>
      <c r="BR9" s="5459"/>
      <c r="BS9" s="5459"/>
      <c r="BT9" s="5459"/>
      <c r="BU9" s="5459"/>
      <c r="BV9" s="5459"/>
      <c r="BW9" s="5459"/>
      <c r="BX9" s="5459" t="s">
        <v>209</v>
      </c>
      <c r="BY9" s="5459"/>
      <c r="BZ9" s="5459"/>
      <c r="CA9" s="5459"/>
      <c r="CB9" s="5459"/>
      <c r="CC9" s="5459"/>
      <c r="CD9" s="5459"/>
      <c r="CE9" s="5459" t="s">
        <v>1216</v>
      </c>
      <c r="CF9" s="5459"/>
      <c r="CG9" s="5459"/>
      <c r="CH9" s="5459"/>
      <c r="CI9" s="5459"/>
      <c r="CJ9" s="5459"/>
      <c r="CK9" s="5459"/>
      <c r="CL9" s="5459" t="s">
        <v>1217</v>
      </c>
      <c r="CM9" s="5459"/>
      <c r="CN9" s="5459"/>
      <c r="CO9" s="5459"/>
      <c r="CP9" s="5459"/>
      <c r="CQ9" s="5459"/>
      <c r="CR9" s="5459"/>
      <c r="CS9" s="5459"/>
      <c r="CT9" s="5459"/>
      <c r="CU9" s="5459"/>
      <c r="CV9" s="5459"/>
      <c r="CW9" s="5459"/>
      <c r="CX9" s="5459"/>
      <c r="CY9" s="5459"/>
      <c r="CZ9" s="5459"/>
      <c r="DA9" s="5459"/>
      <c r="DB9" s="5459"/>
      <c r="DC9" s="5459"/>
      <c r="DD9" s="5459"/>
      <c r="DE9" s="5459"/>
      <c r="DF9" s="5459"/>
      <c r="DG9" s="5459"/>
      <c r="DH9" s="5459"/>
      <c r="DI9" s="5459"/>
      <c r="DJ9" s="5459"/>
    </row>
    <row r="10" spans="1:114" ht="60.75" thickBot="1">
      <c r="A10" s="5454"/>
      <c r="B10" s="5458"/>
      <c r="C10" s="686" t="str">
        <f>'Приложение '!C12</f>
        <v>2024 г.</v>
      </c>
      <c r="D10" s="687" t="str">
        <f>'Приложение '!C14</f>
        <v>2027 г.</v>
      </c>
      <c r="E10" s="688" t="str">
        <f>'Приложение '!C15</f>
        <v>2028 г.</v>
      </c>
      <c r="F10" s="688" t="str">
        <f>'Приложение '!C16</f>
        <v>2029 г.</v>
      </c>
      <c r="G10" s="688" t="str">
        <f>'Приложение '!C17</f>
        <v>2030 г.</v>
      </c>
      <c r="H10" s="713" t="str">
        <f>'Приложение '!C18</f>
        <v>2031 г.</v>
      </c>
      <c r="I10" s="4509" t="str">
        <f>CONCATENATE("разлика ",$D$10," спрямо ",$C$10)</f>
        <v>разлика 2027 г. спрямо 2024 г.</v>
      </c>
      <c r="J10" s="4510" t="str">
        <f>CONCATENATE("изменение в % ",$D$10," спрямо ",$C$10)</f>
        <v>изменение в % 2027 г. спрямо 2024 г.</v>
      </c>
      <c r="K10" s="686" t="str">
        <f t="shared" ref="K10:P10" si="0">C10</f>
        <v>2024 г.</v>
      </c>
      <c r="L10" s="687" t="str">
        <f t="shared" si="0"/>
        <v>2027 г.</v>
      </c>
      <c r="M10" s="687" t="str">
        <f t="shared" si="0"/>
        <v>2028 г.</v>
      </c>
      <c r="N10" s="687" t="str">
        <f t="shared" si="0"/>
        <v>2029 г.</v>
      </c>
      <c r="O10" s="687" t="str">
        <f t="shared" si="0"/>
        <v>2030 г.</v>
      </c>
      <c r="P10" s="714" t="str">
        <f t="shared" si="0"/>
        <v>2031 г.</v>
      </c>
      <c r="Q10" s="4509" t="str">
        <f>+I10</f>
        <v>разлика 2027 г. спрямо 2024 г.</v>
      </c>
      <c r="R10" s="4510" t="str">
        <f>+J10</f>
        <v>изменение в % 2027 г. спрямо 2024 г.</v>
      </c>
      <c r="S10" s="686" t="str">
        <f t="shared" ref="S10:X10" si="1">K10</f>
        <v>2024 г.</v>
      </c>
      <c r="T10" s="4030" t="str">
        <f t="shared" si="1"/>
        <v>2027 г.</v>
      </c>
      <c r="U10" s="4030" t="str">
        <f t="shared" si="1"/>
        <v>2028 г.</v>
      </c>
      <c r="V10" s="4030" t="str">
        <f t="shared" si="1"/>
        <v>2029 г.</v>
      </c>
      <c r="W10" s="4030" t="str">
        <f t="shared" si="1"/>
        <v>2030 г.</v>
      </c>
      <c r="X10" s="715" t="str">
        <f t="shared" si="1"/>
        <v>2031 г.</v>
      </c>
      <c r="Y10" s="4509" t="str">
        <f>+Q10</f>
        <v>разлика 2027 г. спрямо 2024 г.</v>
      </c>
      <c r="Z10" s="4510" t="str">
        <f>+R10</f>
        <v>изменение в % 2027 г. спрямо 2024 г.</v>
      </c>
      <c r="AA10" s="686" t="str">
        <f t="shared" ref="AA10:AF10" si="2">S10</f>
        <v>2024 г.</v>
      </c>
      <c r="AB10" s="4030" t="str">
        <f t="shared" si="2"/>
        <v>2027 г.</v>
      </c>
      <c r="AC10" s="4030" t="str">
        <f t="shared" si="2"/>
        <v>2028 г.</v>
      </c>
      <c r="AD10" s="4030" t="str">
        <f t="shared" si="2"/>
        <v>2029 г.</v>
      </c>
      <c r="AE10" s="4030" t="str">
        <f t="shared" si="2"/>
        <v>2030 г.</v>
      </c>
      <c r="AF10" s="715" t="str">
        <f t="shared" si="2"/>
        <v>2031 г.</v>
      </c>
      <c r="AG10" s="4509" t="str">
        <f>+Y10</f>
        <v>разлика 2027 г. спрямо 2024 г.</v>
      </c>
      <c r="AH10" s="4510" t="str">
        <f>+Z10</f>
        <v>изменение в % 2027 г. спрямо 2024 г.</v>
      </c>
      <c r="AI10" s="686" t="str">
        <f t="shared" ref="AI10:AN10" si="3">AA10</f>
        <v>2024 г.</v>
      </c>
      <c r="AJ10" s="4030" t="str">
        <f t="shared" si="3"/>
        <v>2027 г.</v>
      </c>
      <c r="AK10" s="4030" t="str">
        <f t="shared" si="3"/>
        <v>2028 г.</v>
      </c>
      <c r="AL10" s="4030" t="str">
        <f t="shared" si="3"/>
        <v>2029 г.</v>
      </c>
      <c r="AM10" s="4030" t="str">
        <f t="shared" si="3"/>
        <v>2030 г.</v>
      </c>
      <c r="AN10" s="689" t="str">
        <f t="shared" si="3"/>
        <v>2031 г.</v>
      </c>
      <c r="AO10" s="4509" t="str">
        <f>+AG10</f>
        <v>разлика 2027 г. спрямо 2024 г.</v>
      </c>
      <c r="AP10" s="4510" t="str">
        <f>+AH10</f>
        <v>изменение в % 2027 г. спрямо 2024 г.</v>
      </c>
      <c r="AQ10" s="686" t="str">
        <f t="shared" ref="AQ10:AV10" si="4">S10</f>
        <v>2024 г.</v>
      </c>
      <c r="AR10" s="4030" t="str">
        <f t="shared" si="4"/>
        <v>2027 г.</v>
      </c>
      <c r="AS10" s="4030" t="str">
        <f t="shared" si="4"/>
        <v>2028 г.</v>
      </c>
      <c r="AT10" s="4030" t="str">
        <f t="shared" si="4"/>
        <v>2029 г.</v>
      </c>
      <c r="AU10" s="4030" t="str">
        <f t="shared" si="4"/>
        <v>2030 г.</v>
      </c>
      <c r="AV10" s="689" t="str">
        <f t="shared" si="4"/>
        <v>2031 г.</v>
      </c>
      <c r="AW10" s="686" t="str">
        <f>+AQ10</f>
        <v>2024 г.</v>
      </c>
      <c r="AX10" s="4030" t="str">
        <f t="shared" ref="AX10:BH10" si="5">+AR10</f>
        <v>2027 г.</v>
      </c>
      <c r="AY10" s="4030" t="str">
        <f t="shared" si="5"/>
        <v>2028 г.</v>
      </c>
      <c r="AZ10" s="4030" t="str">
        <f t="shared" si="5"/>
        <v>2029 г.</v>
      </c>
      <c r="BA10" s="4030" t="str">
        <f t="shared" si="5"/>
        <v>2030 г.</v>
      </c>
      <c r="BB10" s="689" t="str">
        <f t="shared" si="5"/>
        <v>2031 г.</v>
      </c>
      <c r="BC10" s="686" t="str">
        <f t="shared" si="5"/>
        <v>2024 г.</v>
      </c>
      <c r="BD10" s="4030" t="str">
        <f t="shared" si="5"/>
        <v>2027 г.</v>
      </c>
      <c r="BE10" s="4030" t="str">
        <f t="shared" si="5"/>
        <v>2028 г.</v>
      </c>
      <c r="BF10" s="4030" t="str">
        <f t="shared" si="5"/>
        <v>2029 г.</v>
      </c>
      <c r="BG10" s="4030" t="str">
        <f t="shared" si="5"/>
        <v>2030 г.</v>
      </c>
      <c r="BH10" s="689" t="str">
        <f t="shared" si="5"/>
        <v>2031 г.</v>
      </c>
      <c r="BI10" s="4775"/>
      <c r="BJ10" s="4814" t="str">
        <f>+C10</f>
        <v>2024 г.</v>
      </c>
      <c r="BK10" s="4814" t="str">
        <f t="shared" ref="BK10:BO10" si="6">+D10</f>
        <v>2027 г.</v>
      </c>
      <c r="BL10" s="4814" t="str">
        <f t="shared" si="6"/>
        <v>2028 г.</v>
      </c>
      <c r="BM10" s="4814" t="str">
        <f t="shared" si="6"/>
        <v>2029 г.</v>
      </c>
      <c r="BN10" s="4814" t="str">
        <f t="shared" si="6"/>
        <v>2030 г.</v>
      </c>
      <c r="BO10" s="4814" t="str">
        <f t="shared" si="6"/>
        <v>2031 г.</v>
      </c>
      <c r="BP10" s="4815" t="str">
        <f>CONCATENATE("разлика ",$D$10," спрямо ",$C$10)</f>
        <v>разлика 2027 г. спрямо 2024 г.</v>
      </c>
      <c r="BQ10" s="4814" t="str">
        <f t="shared" ref="BQ10:BV10" si="7">BJ10</f>
        <v>2024 г.</v>
      </c>
      <c r="BR10" s="4814" t="str">
        <f t="shared" si="7"/>
        <v>2027 г.</v>
      </c>
      <c r="BS10" s="4814" t="str">
        <f t="shared" si="7"/>
        <v>2028 г.</v>
      </c>
      <c r="BT10" s="4814" t="str">
        <f t="shared" si="7"/>
        <v>2029 г.</v>
      </c>
      <c r="BU10" s="4814" t="str">
        <f t="shared" si="7"/>
        <v>2030 г.</v>
      </c>
      <c r="BV10" s="4814" t="str">
        <f t="shared" si="7"/>
        <v>2031 г.</v>
      </c>
      <c r="BW10" s="4815" t="str">
        <f>+BP10</f>
        <v>разлика 2027 г. спрямо 2024 г.</v>
      </c>
      <c r="BX10" s="4814" t="str">
        <f t="shared" ref="BX10:CC10" si="8">BQ10</f>
        <v>2024 г.</v>
      </c>
      <c r="BY10" s="4814" t="str">
        <f t="shared" si="8"/>
        <v>2027 г.</v>
      </c>
      <c r="BZ10" s="4814" t="str">
        <f t="shared" si="8"/>
        <v>2028 г.</v>
      </c>
      <c r="CA10" s="4814" t="str">
        <f t="shared" si="8"/>
        <v>2029 г.</v>
      </c>
      <c r="CB10" s="4814" t="str">
        <f t="shared" si="8"/>
        <v>2030 г.</v>
      </c>
      <c r="CC10" s="4814" t="str">
        <f t="shared" si="8"/>
        <v>2031 г.</v>
      </c>
      <c r="CD10" s="4815" t="str">
        <f>+BW10</f>
        <v>разлика 2027 г. спрямо 2024 г.</v>
      </c>
      <c r="CE10" s="4814" t="str">
        <f t="shared" ref="CE10:CJ10" si="9">BX10</f>
        <v>2024 г.</v>
      </c>
      <c r="CF10" s="4814" t="str">
        <f t="shared" si="9"/>
        <v>2027 г.</v>
      </c>
      <c r="CG10" s="4814" t="str">
        <f t="shared" si="9"/>
        <v>2028 г.</v>
      </c>
      <c r="CH10" s="4814" t="str">
        <f t="shared" si="9"/>
        <v>2029 г.</v>
      </c>
      <c r="CI10" s="4814" t="str">
        <f t="shared" si="9"/>
        <v>2030 г.</v>
      </c>
      <c r="CJ10" s="4814" t="str">
        <f t="shared" si="9"/>
        <v>2031 г.</v>
      </c>
      <c r="CK10" s="4815" t="str">
        <f>+CD10</f>
        <v>разлика 2027 г. спрямо 2024 г.</v>
      </c>
      <c r="CL10" s="4814" t="str">
        <f t="shared" ref="CL10:CQ10" si="10">CE10</f>
        <v>2024 г.</v>
      </c>
      <c r="CM10" s="4814" t="str">
        <f t="shared" si="10"/>
        <v>2027 г.</v>
      </c>
      <c r="CN10" s="4814" t="str">
        <f t="shared" si="10"/>
        <v>2028 г.</v>
      </c>
      <c r="CO10" s="4814" t="str">
        <f t="shared" si="10"/>
        <v>2029 г.</v>
      </c>
      <c r="CP10" s="4814" t="str">
        <f t="shared" si="10"/>
        <v>2030 г.</v>
      </c>
      <c r="CQ10" s="4814" t="str">
        <f t="shared" si="10"/>
        <v>2031 г.</v>
      </c>
      <c r="CR10" s="4815" t="str">
        <f>+CK10</f>
        <v>разлика 2027 г. спрямо 2024 г.</v>
      </c>
      <c r="CS10" s="4814" t="str">
        <f t="shared" ref="CS10:CX10" si="11">BX10</f>
        <v>2024 г.</v>
      </c>
      <c r="CT10" s="4814" t="str">
        <f t="shared" si="11"/>
        <v>2027 г.</v>
      </c>
      <c r="CU10" s="4814" t="str">
        <f t="shared" si="11"/>
        <v>2028 г.</v>
      </c>
      <c r="CV10" s="4814" t="str">
        <f t="shared" si="11"/>
        <v>2029 г.</v>
      </c>
      <c r="CW10" s="4814" t="str">
        <f t="shared" si="11"/>
        <v>2030 г.</v>
      </c>
      <c r="CX10" s="4814" t="str">
        <f t="shared" si="11"/>
        <v>2031 г.</v>
      </c>
      <c r="CY10" s="4814" t="str">
        <f>+CS10</f>
        <v>2024 г.</v>
      </c>
      <c r="CZ10" s="4814" t="str">
        <f t="shared" ref="CZ10" si="12">+CT10</f>
        <v>2027 г.</v>
      </c>
      <c r="DA10" s="4814" t="str">
        <f t="shared" ref="DA10" si="13">+CU10</f>
        <v>2028 г.</v>
      </c>
      <c r="DB10" s="4814" t="str">
        <f t="shared" ref="DB10" si="14">+CV10</f>
        <v>2029 г.</v>
      </c>
      <c r="DC10" s="4814" t="str">
        <f t="shared" ref="DC10" si="15">+CW10</f>
        <v>2030 г.</v>
      </c>
      <c r="DD10" s="4814" t="str">
        <f t="shared" ref="DD10" si="16">+CX10</f>
        <v>2031 г.</v>
      </c>
      <c r="DE10" s="4814" t="str">
        <f t="shared" ref="DE10" si="17">+CY10</f>
        <v>2024 г.</v>
      </c>
      <c r="DF10" s="4814" t="str">
        <f t="shared" ref="DF10" si="18">+CZ10</f>
        <v>2027 г.</v>
      </c>
      <c r="DG10" s="4814" t="str">
        <f t="shared" ref="DG10" si="19">+DA10</f>
        <v>2028 г.</v>
      </c>
      <c r="DH10" s="4814" t="str">
        <f t="shared" ref="DH10" si="20">+DB10</f>
        <v>2029 г.</v>
      </c>
      <c r="DI10" s="4814" t="str">
        <f t="shared" ref="DI10" si="21">+DC10</f>
        <v>2030 г.</v>
      </c>
      <c r="DJ10" s="4814" t="str">
        <f t="shared" ref="DJ10" si="22">+DD10</f>
        <v>2031 г.</v>
      </c>
    </row>
    <row r="11" spans="1:114" ht="13.5" thickBot="1">
      <c r="A11" s="114" t="s">
        <v>141</v>
      </c>
      <c r="B11" s="913" t="s">
        <v>226</v>
      </c>
      <c r="C11" s="1129">
        <f>SUM(C12:C28)-C12-C18-C25</f>
        <v>1630.5693504379997</v>
      </c>
      <c r="D11" s="924">
        <f t="shared" ref="D11:AV11" si="23">SUM(D12:D28)-D12-D18-D25</f>
        <v>1642.5518099999999</v>
      </c>
      <c r="E11" s="1166">
        <f t="shared" si="23"/>
        <v>1625.3645000000001</v>
      </c>
      <c r="F11" s="1166">
        <f t="shared" si="23"/>
        <v>1611.1467299999999</v>
      </c>
      <c r="G11" s="1166">
        <f t="shared" si="23"/>
        <v>1596.9289600000002</v>
      </c>
      <c r="H11" s="1169">
        <f t="shared" si="23"/>
        <v>1580.0437499999998</v>
      </c>
      <c r="I11" s="1265">
        <f>D11-C11</f>
        <v>11.982459562000258</v>
      </c>
      <c r="J11" s="836">
        <f>IFERROR((D11-C11)/C11,0)</f>
        <v>7.3486353455506559E-3</v>
      </c>
      <c r="K11" s="1129">
        <f t="shared" si="23"/>
        <v>193.06883987499998</v>
      </c>
      <c r="L11" s="924">
        <f t="shared" si="23"/>
        <v>193.13748199999998</v>
      </c>
      <c r="M11" s="1166">
        <f t="shared" si="23"/>
        <v>193.13748199999998</v>
      </c>
      <c r="N11" s="1166">
        <f t="shared" si="23"/>
        <v>193.10998560000002</v>
      </c>
      <c r="O11" s="1166">
        <f t="shared" si="23"/>
        <v>193.10998560000002</v>
      </c>
      <c r="P11" s="1169">
        <f t="shared" si="23"/>
        <v>193.10998560000002</v>
      </c>
      <c r="Q11" s="1265">
        <f>L11-K11</f>
        <v>6.8642124999996668E-2</v>
      </c>
      <c r="R11" s="894">
        <f>IFERROR((L11-K11)/K11,0)</f>
        <v>3.5553186648056804E-4</v>
      </c>
      <c r="S11" s="1129">
        <f t="shared" si="23"/>
        <v>917.17692304999991</v>
      </c>
      <c r="T11" s="924">
        <f t="shared" si="23"/>
        <v>972.40874600000006</v>
      </c>
      <c r="U11" s="1166">
        <f t="shared" si="23"/>
        <v>963.03909999999996</v>
      </c>
      <c r="V11" s="1166">
        <f t="shared" si="23"/>
        <v>951.23765000000003</v>
      </c>
      <c r="W11" s="1166">
        <f t="shared" si="23"/>
        <v>946.51706999999988</v>
      </c>
      <c r="X11" s="1169">
        <f t="shared" si="23"/>
        <v>941.79648999999995</v>
      </c>
      <c r="Y11" s="1265">
        <f>T11-S11</f>
        <v>55.231822950000151</v>
      </c>
      <c r="Z11" s="894">
        <f>IFERROR((T11-S11)/S11,0)</f>
        <v>6.0219377049229562E-2</v>
      </c>
      <c r="AA11" s="1129">
        <f t="shared" ref="AA11:AN11" si="24">SUM(AA12:AA28)-AA12-AA18-AA25</f>
        <v>0</v>
      </c>
      <c r="AB11" s="924">
        <f t="shared" si="24"/>
        <v>0</v>
      </c>
      <c r="AC11" s="1166">
        <f t="shared" si="24"/>
        <v>0</v>
      </c>
      <c r="AD11" s="1166">
        <f t="shared" si="24"/>
        <v>0</v>
      </c>
      <c r="AE11" s="1166">
        <f t="shared" si="24"/>
        <v>0</v>
      </c>
      <c r="AF11" s="1169">
        <f t="shared" si="24"/>
        <v>0</v>
      </c>
      <c r="AG11" s="1265">
        <f>AB11-AA11</f>
        <v>0</v>
      </c>
      <c r="AH11" s="894">
        <f>IFERROR((AB11-AA11)/AA11,0)</f>
        <v>0</v>
      </c>
      <c r="AI11" s="1129">
        <f t="shared" si="24"/>
        <v>0</v>
      </c>
      <c r="AJ11" s="924">
        <f t="shared" si="24"/>
        <v>0</v>
      </c>
      <c r="AK11" s="1166">
        <f t="shared" si="24"/>
        <v>0</v>
      </c>
      <c r="AL11" s="1166">
        <f t="shared" si="24"/>
        <v>0</v>
      </c>
      <c r="AM11" s="1166">
        <f t="shared" si="24"/>
        <v>0</v>
      </c>
      <c r="AN11" s="2808">
        <f t="shared" si="24"/>
        <v>0</v>
      </c>
      <c r="AO11" s="1265">
        <f>AJ11-AI11</f>
        <v>0</v>
      </c>
      <c r="AP11" s="894">
        <f>IFERROR((AJ11-AI11)/AI11,0)</f>
        <v>0</v>
      </c>
      <c r="AQ11" s="1129">
        <f t="shared" si="23"/>
        <v>324.46480738299999</v>
      </c>
      <c r="AR11" s="924">
        <f t="shared" si="23"/>
        <v>0</v>
      </c>
      <c r="AS11" s="1166">
        <f t="shared" si="23"/>
        <v>0</v>
      </c>
      <c r="AT11" s="1166">
        <f t="shared" si="23"/>
        <v>0</v>
      </c>
      <c r="AU11" s="1166">
        <f t="shared" si="23"/>
        <v>0</v>
      </c>
      <c r="AV11" s="2808">
        <f t="shared" si="23"/>
        <v>0</v>
      </c>
      <c r="AW11" s="1129">
        <f t="shared" ref="AW11:BB11" si="25">SUM(AW12:AW28)-AW12-AW18-AW25</f>
        <v>2740.8151133629999</v>
      </c>
      <c r="AX11" s="924">
        <f t="shared" si="25"/>
        <v>2808.0980380000001</v>
      </c>
      <c r="AY11" s="1166">
        <f t="shared" si="25"/>
        <v>2781.5410819999997</v>
      </c>
      <c r="AZ11" s="1166">
        <f t="shared" si="25"/>
        <v>2755.4943656</v>
      </c>
      <c r="BA11" s="1166">
        <f t="shared" si="25"/>
        <v>2736.5560156000001</v>
      </c>
      <c r="BB11" s="2808">
        <f t="shared" si="25"/>
        <v>2714.9502256000001</v>
      </c>
      <c r="BC11" s="1129">
        <f t="shared" ref="BC11:BH11" si="26">SUM(BC12:BC28)-BC12-BC18-BC25</f>
        <v>1630.5693504379997</v>
      </c>
      <c r="BD11" s="924">
        <f t="shared" si="26"/>
        <v>1642.5518099999999</v>
      </c>
      <c r="BE11" s="1166">
        <f t="shared" si="26"/>
        <v>1625.3645000000001</v>
      </c>
      <c r="BF11" s="1166">
        <f t="shared" si="26"/>
        <v>1611.1467299999999</v>
      </c>
      <c r="BG11" s="1166">
        <f t="shared" si="26"/>
        <v>1596.9289600000002</v>
      </c>
      <c r="BH11" s="2808">
        <f t="shared" si="26"/>
        <v>1580.0437499999998</v>
      </c>
      <c r="BI11" s="4775"/>
      <c r="BJ11" s="4794">
        <f>IFERROR(C11/$D$1,0)</f>
        <v>833.69687060634089</v>
      </c>
      <c r="BK11" s="4794">
        <f t="shared" ref="BK11:BP11" si="27">IFERROR(D11/$D$1,0)</f>
        <v>839.82340489715364</v>
      </c>
      <c r="BL11" s="4794">
        <f t="shared" si="27"/>
        <v>831.03567283455118</v>
      </c>
      <c r="BM11" s="4794">
        <f t="shared" si="27"/>
        <v>823.76624246483584</v>
      </c>
      <c r="BN11" s="4794">
        <f t="shared" si="27"/>
        <v>816.49681209512084</v>
      </c>
      <c r="BO11" s="4794">
        <f t="shared" si="27"/>
        <v>807.8635413098275</v>
      </c>
      <c r="BP11" s="4794">
        <f t="shared" si="27"/>
        <v>6.126534290812728</v>
      </c>
      <c r="BQ11" s="4794">
        <f t="shared" ref="BQ11:BW11" si="28">IFERROR(K11/$D$1,0)</f>
        <v>98.714530340060222</v>
      </c>
      <c r="BR11" s="4794">
        <f t="shared" si="28"/>
        <v>98.749626501280773</v>
      </c>
      <c r="BS11" s="4794">
        <f t="shared" si="28"/>
        <v>98.749626501280773</v>
      </c>
      <c r="BT11" s="4794">
        <f t="shared" si="28"/>
        <v>98.735567815198678</v>
      </c>
      <c r="BU11" s="4794">
        <f t="shared" si="28"/>
        <v>98.735567815198678</v>
      </c>
      <c r="BV11" s="4794">
        <f t="shared" si="28"/>
        <v>98.735567815198678</v>
      </c>
      <c r="BW11" s="4794">
        <f t="shared" si="28"/>
        <v>3.5096161220554277E-2</v>
      </c>
      <c r="BX11" s="4794">
        <f t="shared" ref="BX11:CD11" si="29">IFERROR(S11/$D$1,0)</f>
        <v>468.9451143759938</v>
      </c>
      <c r="BY11" s="4794">
        <f t="shared" si="29"/>
        <v>497.18469703399586</v>
      </c>
      <c r="BZ11" s="4794">
        <f t="shared" si="29"/>
        <v>492.39407310451315</v>
      </c>
      <c r="CA11" s="4794">
        <f t="shared" si="29"/>
        <v>486.36008753317009</v>
      </c>
      <c r="CB11" s="4794">
        <f t="shared" si="29"/>
        <v>483.94649330463278</v>
      </c>
      <c r="CC11" s="4794">
        <f t="shared" si="29"/>
        <v>481.53289907609553</v>
      </c>
      <c r="CD11" s="4794">
        <f t="shared" si="29"/>
        <v>28.23958265800205</v>
      </c>
      <c r="CE11" s="4794">
        <f t="shared" ref="CE11:CK11" si="30">IFERROR(AA11/$D$1,0)</f>
        <v>0</v>
      </c>
      <c r="CF11" s="4794">
        <f t="shared" si="30"/>
        <v>0</v>
      </c>
      <c r="CG11" s="4794">
        <f t="shared" si="30"/>
        <v>0</v>
      </c>
      <c r="CH11" s="4794">
        <f t="shared" si="30"/>
        <v>0</v>
      </c>
      <c r="CI11" s="4794">
        <f t="shared" si="30"/>
        <v>0</v>
      </c>
      <c r="CJ11" s="4794">
        <f t="shared" si="30"/>
        <v>0</v>
      </c>
      <c r="CK11" s="4794">
        <f t="shared" si="30"/>
        <v>0</v>
      </c>
      <c r="CL11" s="4794">
        <f t="shared" ref="CL11:CR11" si="31">IFERROR(AI11/$D$1,0)</f>
        <v>0</v>
      </c>
      <c r="CM11" s="4794">
        <f t="shared" si="31"/>
        <v>0</v>
      </c>
      <c r="CN11" s="4794">
        <f t="shared" si="31"/>
        <v>0</v>
      </c>
      <c r="CO11" s="4794">
        <f t="shared" si="31"/>
        <v>0</v>
      </c>
      <c r="CP11" s="4794">
        <f t="shared" si="31"/>
        <v>0</v>
      </c>
      <c r="CQ11" s="4794">
        <f t="shared" si="31"/>
        <v>0</v>
      </c>
      <c r="CR11" s="4794">
        <f t="shared" si="31"/>
        <v>0</v>
      </c>
      <c r="CS11" s="4794">
        <f t="shared" ref="CS11:DJ11" si="32">IFERROR(AQ11/$D$1,0)</f>
        <v>165.89622174882274</v>
      </c>
      <c r="CT11" s="4794">
        <f t="shared" si="32"/>
        <v>0</v>
      </c>
      <c r="CU11" s="4794">
        <f t="shared" si="32"/>
        <v>0</v>
      </c>
      <c r="CV11" s="4794">
        <f t="shared" si="32"/>
        <v>0</v>
      </c>
      <c r="CW11" s="4794">
        <f t="shared" si="32"/>
        <v>0</v>
      </c>
      <c r="CX11" s="4794">
        <f t="shared" si="32"/>
        <v>0</v>
      </c>
      <c r="CY11" s="4794">
        <f t="shared" si="32"/>
        <v>1401.3565153223951</v>
      </c>
      <c r="CZ11" s="4794">
        <f t="shared" si="32"/>
        <v>1435.7577284324302</v>
      </c>
      <c r="DA11" s="4794">
        <f t="shared" si="32"/>
        <v>1422.1793724403449</v>
      </c>
      <c r="DB11" s="4794">
        <f t="shared" si="32"/>
        <v>1408.8618978132047</v>
      </c>
      <c r="DC11" s="4794">
        <f t="shared" si="32"/>
        <v>1399.1788732149523</v>
      </c>
      <c r="DD11" s="4794">
        <f t="shared" si="32"/>
        <v>1388.1320082011218</v>
      </c>
      <c r="DE11" s="4794">
        <f t="shared" si="32"/>
        <v>833.69687060634089</v>
      </c>
      <c r="DF11" s="4794">
        <f t="shared" si="32"/>
        <v>839.82340489715364</v>
      </c>
      <c r="DG11" s="4794">
        <f t="shared" si="32"/>
        <v>831.03567283455118</v>
      </c>
      <c r="DH11" s="4794">
        <f t="shared" si="32"/>
        <v>823.76624246483584</v>
      </c>
      <c r="DI11" s="4794">
        <f t="shared" si="32"/>
        <v>816.49681209512084</v>
      </c>
      <c r="DJ11" s="4794">
        <f t="shared" si="32"/>
        <v>807.8635413098275</v>
      </c>
    </row>
    <row r="12" spans="1:114" ht="12.75">
      <c r="A12" s="113" t="s">
        <v>90</v>
      </c>
      <c r="B12" s="914" t="s">
        <v>227</v>
      </c>
      <c r="C12" s="1205">
        <f>SUM(C13:C16)</f>
        <v>176.3</v>
      </c>
      <c r="D12" s="1149">
        <f t="shared" ref="D12:AV12" si="33">SUM(D13:D16)</f>
        <v>176</v>
      </c>
      <c r="E12" s="1150">
        <f t="shared" si="33"/>
        <v>176</v>
      </c>
      <c r="F12" s="1150">
        <f t="shared" si="33"/>
        <v>176</v>
      </c>
      <c r="G12" s="1150">
        <f t="shared" si="33"/>
        <v>176</v>
      </c>
      <c r="H12" s="1163">
        <f t="shared" si="33"/>
        <v>176</v>
      </c>
      <c r="I12" s="1266">
        <f t="shared" ref="I12:I48" si="34">D12-C12</f>
        <v>-0.30000000000001137</v>
      </c>
      <c r="J12" s="837">
        <f t="shared" ref="J12:J48" si="35">IFERROR((D12-C12)/C12,0)</f>
        <v>-1.7016449234260429E-3</v>
      </c>
      <c r="K12" s="1205">
        <f t="shared" si="33"/>
        <v>0</v>
      </c>
      <c r="L12" s="1149">
        <f t="shared" si="33"/>
        <v>0</v>
      </c>
      <c r="M12" s="1150">
        <f t="shared" si="33"/>
        <v>0</v>
      </c>
      <c r="N12" s="1150">
        <f t="shared" si="33"/>
        <v>0</v>
      </c>
      <c r="O12" s="1150">
        <f t="shared" si="33"/>
        <v>0</v>
      </c>
      <c r="P12" s="1163">
        <f t="shared" si="33"/>
        <v>0</v>
      </c>
      <c r="Q12" s="1266">
        <f t="shared" ref="Q12:Q30" si="36">L12-K12</f>
        <v>0</v>
      </c>
      <c r="R12" s="895">
        <f t="shared" ref="R12:R30" si="37">IFERROR((L12-K12)/K12,0)</f>
        <v>0</v>
      </c>
      <c r="S12" s="1205">
        <f t="shared" si="33"/>
        <v>59</v>
      </c>
      <c r="T12" s="1149">
        <f t="shared" si="33"/>
        <v>59</v>
      </c>
      <c r="U12" s="1150">
        <f t="shared" si="33"/>
        <v>59</v>
      </c>
      <c r="V12" s="1150">
        <f t="shared" si="33"/>
        <v>59</v>
      </c>
      <c r="W12" s="1150">
        <f t="shared" si="33"/>
        <v>59</v>
      </c>
      <c r="X12" s="1163">
        <f t="shared" si="33"/>
        <v>59</v>
      </c>
      <c r="Y12" s="1266">
        <f t="shared" ref="Y12:Y30" si="38">T12-S12</f>
        <v>0</v>
      </c>
      <c r="Z12" s="895">
        <f t="shared" ref="Z12:Z30" si="39">IFERROR((T12-S12)/S12,0)</f>
        <v>0</v>
      </c>
      <c r="AA12" s="1205">
        <f t="shared" si="33"/>
        <v>0</v>
      </c>
      <c r="AB12" s="1149">
        <f t="shared" si="33"/>
        <v>0</v>
      </c>
      <c r="AC12" s="1150">
        <f t="shared" si="33"/>
        <v>0</v>
      </c>
      <c r="AD12" s="1150">
        <f t="shared" si="33"/>
        <v>0</v>
      </c>
      <c r="AE12" s="1150">
        <f t="shared" si="33"/>
        <v>0</v>
      </c>
      <c r="AF12" s="1163">
        <f t="shared" si="33"/>
        <v>0</v>
      </c>
      <c r="AG12" s="1266">
        <f t="shared" ref="AG12:AG48" si="40">AB12-AA12</f>
        <v>0</v>
      </c>
      <c r="AH12" s="837">
        <f t="shared" ref="AH12:AH48" si="41">IFERROR((AB12-AA12)/AA12,0)</f>
        <v>0</v>
      </c>
      <c r="AI12" s="1205">
        <f t="shared" si="33"/>
        <v>0</v>
      </c>
      <c r="AJ12" s="1149">
        <f t="shared" si="33"/>
        <v>0</v>
      </c>
      <c r="AK12" s="1150">
        <f t="shared" si="33"/>
        <v>0</v>
      </c>
      <c r="AL12" s="1150">
        <f t="shared" si="33"/>
        <v>0</v>
      </c>
      <c r="AM12" s="1150">
        <f t="shared" si="33"/>
        <v>0</v>
      </c>
      <c r="AN12" s="1163">
        <f t="shared" si="33"/>
        <v>0</v>
      </c>
      <c r="AO12" s="1266">
        <f t="shared" ref="AO12:AO48" si="42">AJ12-AI12</f>
        <v>0</v>
      </c>
      <c r="AP12" s="837">
        <f t="shared" ref="AP12:AP48" si="43">IFERROR((AJ12-AI12)/AI12,0)</f>
        <v>0</v>
      </c>
      <c r="AQ12" s="1205">
        <f t="shared" si="33"/>
        <v>0</v>
      </c>
      <c r="AR12" s="1149">
        <f t="shared" si="33"/>
        <v>0</v>
      </c>
      <c r="AS12" s="1150">
        <f t="shared" si="33"/>
        <v>0</v>
      </c>
      <c r="AT12" s="1150">
        <f t="shared" si="33"/>
        <v>0</v>
      </c>
      <c r="AU12" s="1150">
        <f t="shared" si="33"/>
        <v>0</v>
      </c>
      <c r="AV12" s="3265">
        <f t="shared" si="33"/>
        <v>0</v>
      </c>
      <c r="AW12" s="1205">
        <f t="shared" ref="AW12:BB12" si="44">SUM(AW13:AW16)</f>
        <v>235.3</v>
      </c>
      <c r="AX12" s="1149">
        <f t="shared" si="44"/>
        <v>235</v>
      </c>
      <c r="AY12" s="1150">
        <f t="shared" si="44"/>
        <v>235</v>
      </c>
      <c r="AZ12" s="1150">
        <f t="shared" si="44"/>
        <v>235</v>
      </c>
      <c r="BA12" s="1150">
        <f t="shared" si="44"/>
        <v>235</v>
      </c>
      <c r="BB12" s="1163">
        <f t="shared" si="44"/>
        <v>235</v>
      </c>
      <c r="BC12" s="1205">
        <f t="shared" ref="BC12:BH12" si="45">SUM(BC13:BC16)</f>
        <v>176.3</v>
      </c>
      <c r="BD12" s="1149">
        <f t="shared" si="45"/>
        <v>176</v>
      </c>
      <c r="BE12" s="1150">
        <f t="shared" si="45"/>
        <v>176</v>
      </c>
      <c r="BF12" s="1150">
        <f t="shared" si="45"/>
        <v>176</v>
      </c>
      <c r="BG12" s="1150">
        <f t="shared" si="45"/>
        <v>176</v>
      </c>
      <c r="BH12" s="3265">
        <f t="shared" si="45"/>
        <v>176</v>
      </c>
      <c r="BI12" s="4775"/>
      <c r="BJ12" s="4794">
        <f t="shared" ref="BJ12:BJ75" si="46">IFERROR(C12/$D$1,0)</f>
        <v>90.140758654893332</v>
      </c>
      <c r="BK12" s="4794">
        <f t="shared" ref="BK12:BK75" si="47">IFERROR(D12/$D$1,0)</f>
        <v>89.987371090534452</v>
      </c>
      <c r="BL12" s="4794">
        <f t="shared" ref="BL12:BL75" si="48">IFERROR(E12/$D$1,0)</f>
        <v>89.987371090534452</v>
      </c>
      <c r="BM12" s="4794">
        <f t="shared" ref="BM12:BM75" si="49">IFERROR(F12/$D$1,0)</f>
        <v>89.987371090534452</v>
      </c>
      <c r="BN12" s="4794">
        <f t="shared" ref="BN12:BN75" si="50">IFERROR(G12/$D$1,0)</f>
        <v>89.987371090534452</v>
      </c>
      <c r="BO12" s="4794">
        <f t="shared" ref="BO12:BO75" si="51">IFERROR(H12/$D$1,0)</f>
        <v>89.987371090534452</v>
      </c>
      <c r="BP12" s="4794">
        <f t="shared" ref="BP12:BP75" si="52">IFERROR(I12/$D$1,0)</f>
        <v>-0.15338756435887135</v>
      </c>
      <c r="BQ12" s="4794">
        <f t="shared" ref="BQ12:BQ75" si="53">IFERROR(K12/$D$1,0)</f>
        <v>0</v>
      </c>
      <c r="BR12" s="4794">
        <f t="shared" ref="BR12:BR75" si="54">IFERROR(L12/$D$1,0)</f>
        <v>0</v>
      </c>
      <c r="BS12" s="4794">
        <f t="shared" ref="BS12:BS75" si="55">IFERROR(M12/$D$1,0)</f>
        <v>0</v>
      </c>
      <c r="BT12" s="4794">
        <f t="shared" ref="BT12:BT75" si="56">IFERROR(N12/$D$1,0)</f>
        <v>0</v>
      </c>
      <c r="BU12" s="4794">
        <f t="shared" ref="BU12:BU75" si="57">IFERROR(O12/$D$1,0)</f>
        <v>0</v>
      </c>
      <c r="BV12" s="4794">
        <f t="shared" ref="BV12:BV75" si="58">IFERROR(P12/$D$1,0)</f>
        <v>0</v>
      </c>
      <c r="BW12" s="4794">
        <f t="shared" ref="BW12:BW75" si="59">IFERROR(Q12/$D$1,0)</f>
        <v>0</v>
      </c>
      <c r="BX12" s="4794">
        <f t="shared" ref="BX12:BX75" si="60">IFERROR(S12/$D$1,0)</f>
        <v>30.166220990576893</v>
      </c>
      <c r="BY12" s="4794">
        <f t="shared" ref="BY12:BY75" si="61">IFERROR(T12/$D$1,0)</f>
        <v>30.166220990576893</v>
      </c>
      <c r="BZ12" s="4794">
        <f t="shared" ref="BZ12:BZ75" si="62">IFERROR(U12/$D$1,0)</f>
        <v>30.166220990576893</v>
      </c>
      <c r="CA12" s="4794">
        <f t="shared" ref="CA12:CA75" si="63">IFERROR(V12/$D$1,0)</f>
        <v>30.166220990576893</v>
      </c>
      <c r="CB12" s="4794">
        <f t="shared" ref="CB12:CB75" si="64">IFERROR(W12/$D$1,0)</f>
        <v>30.166220990576893</v>
      </c>
      <c r="CC12" s="4794">
        <f t="shared" ref="CC12:CC75" si="65">IFERROR(X12/$D$1,0)</f>
        <v>30.166220990576893</v>
      </c>
      <c r="CD12" s="4794">
        <f t="shared" ref="CD12:CD75" si="66">IFERROR(Y12/$D$1,0)</f>
        <v>0</v>
      </c>
      <c r="CE12" s="4794">
        <f t="shared" ref="CE12:CE75" si="67">IFERROR(AA12/$D$1,0)</f>
        <v>0</v>
      </c>
      <c r="CF12" s="4794">
        <f t="shared" ref="CF12:CF75" si="68">IFERROR(AB12/$D$1,0)</f>
        <v>0</v>
      </c>
      <c r="CG12" s="4794">
        <f t="shared" ref="CG12:CG75" si="69">IFERROR(AC12/$D$1,0)</f>
        <v>0</v>
      </c>
      <c r="CH12" s="4794">
        <f t="shared" ref="CH12:CH75" si="70">IFERROR(AD12/$D$1,0)</f>
        <v>0</v>
      </c>
      <c r="CI12" s="4794">
        <f t="shared" ref="CI12:CI75" si="71">IFERROR(AE12/$D$1,0)</f>
        <v>0</v>
      </c>
      <c r="CJ12" s="4794">
        <f t="shared" ref="CJ12:CJ75" si="72">IFERROR(AF12/$D$1,0)</f>
        <v>0</v>
      </c>
      <c r="CK12" s="4794">
        <f t="shared" ref="CK12:CK75" si="73">IFERROR(AG12/$D$1,0)</f>
        <v>0</v>
      </c>
      <c r="CL12" s="4794">
        <f t="shared" ref="CL12:CL75" si="74">IFERROR(AI12/$D$1,0)</f>
        <v>0</v>
      </c>
      <c r="CM12" s="4794">
        <f t="shared" ref="CM12:CM75" si="75">IFERROR(AJ12/$D$1,0)</f>
        <v>0</v>
      </c>
      <c r="CN12" s="4794">
        <f t="shared" ref="CN12:CN75" si="76">IFERROR(AK12/$D$1,0)</f>
        <v>0</v>
      </c>
      <c r="CO12" s="4794">
        <f t="shared" ref="CO12:CO75" si="77">IFERROR(AL12/$D$1,0)</f>
        <v>0</v>
      </c>
      <c r="CP12" s="4794">
        <f t="shared" ref="CP12:CP75" si="78">IFERROR(AM12/$D$1,0)</f>
        <v>0</v>
      </c>
      <c r="CQ12" s="4794">
        <f t="shared" ref="CQ12:CQ75" si="79">IFERROR(AN12/$D$1,0)</f>
        <v>0</v>
      </c>
      <c r="CR12" s="4794">
        <f t="shared" ref="CR12:CR75" si="80">IFERROR(AO12/$D$1,0)</f>
        <v>0</v>
      </c>
      <c r="CS12" s="4794">
        <f t="shared" ref="CS12:CS75" si="81">IFERROR(AQ12/$D$1,0)</f>
        <v>0</v>
      </c>
      <c r="CT12" s="4794">
        <f t="shared" ref="CT12:CT75" si="82">IFERROR(AR12/$D$1,0)</f>
        <v>0</v>
      </c>
      <c r="CU12" s="4794">
        <f t="shared" ref="CU12:CU75" si="83">IFERROR(AS12/$D$1,0)</f>
        <v>0</v>
      </c>
      <c r="CV12" s="4794">
        <f t="shared" ref="CV12:CV75" si="84">IFERROR(AT12/$D$1,0)</f>
        <v>0</v>
      </c>
      <c r="CW12" s="4794">
        <f t="shared" ref="CW12:CW75" si="85">IFERROR(AU12/$D$1,0)</f>
        <v>0</v>
      </c>
      <c r="CX12" s="4794">
        <f t="shared" ref="CX12:CX75" si="86">IFERROR(AV12/$D$1,0)</f>
        <v>0</v>
      </c>
      <c r="CY12" s="4794">
        <f t="shared" ref="CY12:CY75" si="87">IFERROR(AW12/$D$1,0)</f>
        <v>120.30697964547022</v>
      </c>
      <c r="CZ12" s="4794">
        <f t="shared" ref="CZ12:CZ75" si="88">IFERROR(AX12/$D$1,0)</f>
        <v>120.15359208111134</v>
      </c>
      <c r="DA12" s="4794">
        <f t="shared" ref="DA12:DA75" si="89">IFERROR(AY12/$D$1,0)</f>
        <v>120.15359208111134</v>
      </c>
      <c r="DB12" s="4794">
        <f t="shared" ref="DB12:DB75" si="90">IFERROR(AZ12/$D$1,0)</f>
        <v>120.15359208111134</v>
      </c>
      <c r="DC12" s="4794">
        <f t="shared" ref="DC12:DC75" si="91">IFERROR(BA12/$D$1,0)</f>
        <v>120.15359208111134</v>
      </c>
      <c r="DD12" s="4794">
        <f t="shared" ref="DD12:DD75" si="92">IFERROR(BB12/$D$1,0)</f>
        <v>120.15359208111134</v>
      </c>
      <c r="DE12" s="4794">
        <f t="shared" ref="DE12:DE75" si="93">IFERROR(BC12/$D$1,0)</f>
        <v>90.140758654893332</v>
      </c>
      <c r="DF12" s="4794">
        <f t="shared" ref="DF12:DF75" si="94">IFERROR(BD12/$D$1,0)</f>
        <v>89.987371090534452</v>
      </c>
      <c r="DG12" s="4794">
        <f t="shared" ref="DG12:DG75" si="95">IFERROR(BE12/$D$1,0)</f>
        <v>89.987371090534452</v>
      </c>
      <c r="DH12" s="4794">
        <f t="shared" ref="DH12:DH75" si="96">IFERROR(BF12/$D$1,0)</f>
        <v>89.987371090534452</v>
      </c>
      <c r="DI12" s="4794">
        <f t="shared" ref="DI12:DI75" si="97">IFERROR(BG12/$D$1,0)</f>
        <v>89.987371090534452</v>
      </c>
      <c r="DJ12" s="4794">
        <f t="shared" ref="DJ12:DJ75" si="98">IFERROR(BH12/$D$1,0)</f>
        <v>89.987371090534452</v>
      </c>
    </row>
    <row r="13" spans="1:114" s="690" customFormat="1" ht="12.75">
      <c r="A13" s="856" t="s">
        <v>335</v>
      </c>
      <c r="B13" s="4130" t="s">
        <v>228</v>
      </c>
      <c r="C13" s="414">
        <v>85</v>
      </c>
      <c r="D13" s="418">
        <v>85</v>
      </c>
      <c r="E13" s="416">
        <v>85</v>
      </c>
      <c r="F13" s="416">
        <v>85</v>
      </c>
      <c r="G13" s="416">
        <v>85</v>
      </c>
      <c r="H13" s="276">
        <v>85</v>
      </c>
      <c r="I13" s="1267">
        <f t="shared" si="34"/>
        <v>0</v>
      </c>
      <c r="J13" s="1215">
        <f t="shared" si="35"/>
        <v>0</v>
      </c>
      <c r="K13" s="414"/>
      <c r="L13" s="418"/>
      <c r="M13" s="416"/>
      <c r="N13" s="416"/>
      <c r="O13" s="416"/>
      <c r="P13" s="276"/>
      <c r="Q13" s="1267">
        <f t="shared" si="36"/>
        <v>0</v>
      </c>
      <c r="R13" s="1211">
        <f t="shared" si="37"/>
        <v>0</v>
      </c>
      <c r="S13" s="414">
        <v>12</v>
      </c>
      <c r="T13" s="418">
        <v>12</v>
      </c>
      <c r="U13" s="416">
        <v>12</v>
      </c>
      <c r="V13" s="416">
        <v>12</v>
      </c>
      <c r="W13" s="416">
        <v>12</v>
      </c>
      <c r="X13" s="276">
        <v>12</v>
      </c>
      <c r="Y13" s="1267">
        <f t="shared" si="38"/>
        <v>0</v>
      </c>
      <c r="Z13" s="1211">
        <f t="shared" si="39"/>
        <v>0</v>
      </c>
      <c r="AA13" s="414"/>
      <c r="AB13" s="418"/>
      <c r="AC13" s="416"/>
      <c r="AD13" s="416"/>
      <c r="AE13" s="416"/>
      <c r="AF13" s="276"/>
      <c r="AG13" s="1267">
        <f t="shared" si="40"/>
        <v>0</v>
      </c>
      <c r="AH13" s="1215">
        <f t="shared" si="41"/>
        <v>0</v>
      </c>
      <c r="AI13" s="414"/>
      <c r="AJ13" s="418"/>
      <c r="AK13" s="416"/>
      <c r="AL13" s="416"/>
      <c r="AM13" s="416"/>
      <c r="AN13" s="276"/>
      <c r="AO13" s="1267">
        <f t="shared" si="42"/>
        <v>0</v>
      </c>
      <c r="AP13" s="1215">
        <f t="shared" si="43"/>
        <v>0</v>
      </c>
      <c r="AQ13" s="414"/>
      <c r="AR13" s="418"/>
      <c r="AS13" s="416"/>
      <c r="AT13" s="416"/>
      <c r="AU13" s="416"/>
      <c r="AV13" s="417"/>
      <c r="AW13" s="3266">
        <f>C13+K13+S13+AA13+AI13</f>
        <v>97</v>
      </c>
      <c r="AX13" s="3267">
        <f t="shared" ref="AX13:BB13" si="99">D13+L13+T13+AB13+AJ13</f>
        <v>97</v>
      </c>
      <c r="AY13" s="3268">
        <f t="shared" si="99"/>
        <v>97</v>
      </c>
      <c r="AZ13" s="3268">
        <f t="shared" si="99"/>
        <v>97</v>
      </c>
      <c r="BA13" s="3268">
        <f t="shared" si="99"/>
        <v>97</v>
      </c>
      <c r="BB13" s="3269">
        <f t="shared" si="99"/>
        <v>97</v>
      </c>
      <c r="BC13" s="3266">
        <f>C13+AA13+AI13</f>
        <v>85</v>
      </c>
      <c r="BD13" s="3267">
        <f t="shared" ref="BD13:BG13" si="100">D13+AB13+AJ13</f>
        <v>85</v>
      </c>
      <c r="BE13" s="3268">
        <f t="shared" si="100"/>
        <v>85</v>
      </c>
      <c r="BF13" s="3268">
        <f t="shared" si="100"/>
        <v>85</v>
      </c>
      <c r="BG13" s="3268">
        <f t="shared" si="100"/>
        <v>85</v>
      </c>
      <c r="BH13" s="3270">
        <f>H13+AF13+AN13</f>
        <v>85</v>
      </c>
      <c r="BI13" s="4775"/>
      <c r="BJ13" s="4794">
        <f t="shared" si="46"/>
        <v>43.459809901678575</v>
      </c>
      <c r="BK13" s="4794">
        <f t="shared" si="47"/>
        <v>43.459809901678575</v>
      </c>
      <c r="BL13" s="4794">
        <f t="shared" si="48"/>
        <v>43.459809901678575</v>
      </c>
      <c r="BM13" s="4794">
        <f t="shared" si="49"/>
        <v>43.459809901678575</v>
      </c>
      <c r="BN13" s="4794">
        <f t="shared" si="50"/>
        <v>43.459809901678575</v>
      </c>
      <c r="BO13" s="4794">
        <f t="shared" si="51"/>
        <v>43.459809901678575</v>
      </c>
      <c r="BP13" s="4794">
        <f t="shared" si="52"/>
        <v>0</v>
      </c>
      <c r="BQ13" s="4794">
        <f t="shared" si="53"/>
        <v>0</v>
      </c>
      <c r="BR13" s="4794">
        <f t="shared" si="54"/>
        <v>0</v>
      </c>
      <c r="BS13" s="4794">
        <f t="shared" si="55"/>
        <v>0</v>
      </c>
      <c r="BT13" s="4794">
        <f t="shared" si="56"/>
        <v>0</v>
      </c>
      <c r="BU13" s="4794">
        <f t="shared" si="57"/>
        <v>0</v>
      </c>
      <c r="BV13" s="4794">
        <f t="shared" si="58"/>
        <v>0</v>
      </c>
      <c r="BW13" s="4794">
        <f t="shared" si="59"/>
        <v>0</v>
      </c>
      <c r="BX13" s="4794">
        <f t="shared" si="60"/>
        <v>6.1355025743546223</v>
      </c>
      <c r="BY13" s="4794">
        <f t="shared" si="61"/>
        <v>6.1355025743546223</v>
      </c>
      <c r="BZ13" s="4794">
        <f t="shared" si="62"/>
        <v>6.1355025743546223</v>
      </c>
      <c r="CA13" s="4794">
        <f t="shared" si="63"/>
        <v>6.1355025743546223</v>
      </c>
      <c r="CB13" s="4794">
        <f t="shared" si="64"/>
        <v>6.1355025743546223</v>
      </c>
      <c r="CC13" s="4794">
        <f t="shared" si="65"/>
        <v>6.1355025743546223</v>
      </c>
      <c r="CD13" s="4794">
        <f t="shared" si="66"/>
        <v>0</v>
      </c>
      <c r="CE13" s="4794">
        <f t="shared" si="67"/>
        <v>0</v>
      </c>
      <c r="CF13" s="4794">
        <f t="shared" si="68"/>
        <v>0</v>
      </c>
      <c r="CG13" s="4794">
        <f t="shared" si="69"/>
        <v>0</v>
      </c>
      <c r="CH13" s="4794">
        <f t="shared" si="70"/>
        <v>0</v>
      </c>
      <c r="CI13" s="4794">
        <f t="shared" si="71"/>
        <v>0</v>
      </c>
      <c r="CJ13" s="4794">
        <f t="shared" si="72"/>
        <v>0</v>
      </c>
      <c r="CK13" s="4794">
        <f t="shared" si="73"/>
        <v>0</v>
      </c>
      <c r="CL13" s="4794">
        <f t="shared" si="74"/>
        <v>0</v>
      </c>
      <c r="CM13" s="4794">
        <f t="shared" si="75"/>
        <v>0</v>
      </c>
      <c r="CN13" s="4794">
        <f t="shared" si="76"/>
        <v>0</v>
      </c>
      <c r="CO13" s="4794">
        <f t="shared" si="77"/>
        <v>0</v>
      </c>
      <c r="CP13" s="4794">
        <f t="shared" si="78"/>
        <v>0</v>
      </c>
      <c r="CQ13" s="4794">
        <f t="shared" si="79"/>
        <v>0</v>
      </c>
      <c r="CR13" s="4794">
        <f t="shared" si="80"/>
        <v>0</v>
      </c>
      <c r="CS13" s="4794">
        <f t="shared" si="81"/>
        <v>0</v>
      </c>
      <c r="CT13" s="4794">
        <f t="shared" si="82"/>
        <v>0</v>
      </c>
      <c r="CU13" s="4794">
        <f t="shared" si="83"/>
        <v>0</v>
      </c>
      <c r="CV13" s="4794">
        <f t="shared" si="84"/>
        <v>0</v>
      </c>
      <c r="CW13" s="4794">
        <f t="shared" si="85"/>
        <v>0</v>
      </c>
      <c r="CX13" s="4794">
        <f t="shared" si="86"/>
        <v>0</v>
      </c>
      <c r="CY13" s="4794">
        <f t="shared" si="87"/>
        <v>49.595312476033193</v>
      </c>
      <c r="CZ13" s="4794">
        <f t="shared" si="88"/>
        <v>49.595312476033193</v>
      </c>
      <c r="DA13" s="4794">
        <f t="shared" si="89"/>
        <v>49.595312476033193</v>
      </c>
      <c r="DB13" s="4794">
        <f t="shared" si="90"/>
        <v>49.595312476033193</v>
      </c>
      <c r="DC13" s="4794">
        <f t="shared" si="91"/>
        <v>49.595312476033193</v>
      </c>
      <c r="DD13" s="4794">
        <f t="shared" si="92"/>
        <v>49.595312476033193</v>
      </c>
      <c r="DE13" s="4794">
        <f t="shared" si="93"/>
        <v>43.459809901678575</v>
      </c>
      <c r="DF13" s="4794">
        <f t="shared" si="94"/>
        <v>43.459809901678575</v>
      </c>
      <c r="DG13" s="4794">
        <f t="shared" si="95"/>
        <v>43.459809901678575</v>
      </c>
      <c r="DH13" s="4794">
        <f t="shared" si="96"/>
        <v>43.459809901678575</v>
      </c>
      <c r="DI13" s="4794">
        <f t="shared" si="97"/>
        <v>43.459809901678575</v>
      </c>
      <c r="DJ13" s="4794">
        <f t="shared" si="98"/>
        <v>43.459809901678575</v>
      </c>
    </row>
    <row r="14" spans="1:114" s="690" customFormat="1" ht="12.75">
      <c r="A14" s="856" t="s">
        <v>336</v>
      </c>
      <c r="B14" s="4130" t="s">
        <v>229</v>
      </c>
      <c r="C14" s="414">
        <v>34.299999999999997</v>
      </c>
      <c r="D14" s="418">
        <v>34</v>
      </c>
      <c r="E14" s="416">
        <v>34</v>
      </c>
      <c r="F14" s="416">
        <v>34</v>
      </c>
      <c r="G14" s="416">
        <v>34</v>
      </c>
      <c r="H14" s="276">
        <v>34</v>
      </c>
      <c r="I14" s="1267">
        <f t="shared" si="34"/>
        <v>-0.29999999999999716</v>
      </c>
      <c r="J14" s="1215">
        <f t="shared" si="35"/>
        <v>-8.7463556851311124E-3</v>
      </c>
      <c r="K14" s="414"/>
      <c r="L14" s="418"/>
      <c r="M14" s="416"/>
      <c r="N14" s="416"/>
      <c r="O14" s="416"/>
      <c r="P14" s="276"/>
      <c r="Q14" s="1267">
        <f t="shared" si="36"/>
        <v>0</v>
      </c>
      <c r="R14" s="1211">
        <f t="shared" si="37"/>
        <v>0</v>
      </c>
      <c r="S14" s="414"/>
      <c r="T14" s="418"/>
      <c r="U14" s="416"/>
      <c r="V14" s="416"/>
      <c r="W14" s="416"/>
      <c r="X14" s="276"/>
      <c r="Y14" s="1267">
        <f t="shared" si="38"/>
        <v>0</v>
      </c>
      <c r="Z14" s="1211">
        <f t="shared" si="39"/>
        <v>0</v>
      </c>
      <c r="AA14" s="414"/>
      <c r="AB14" s="418"/>
      <c r="AC14" s="416"/>
      <c r="AD14" s="416"/>
      <c r="AE14" s="416"/>
      <c r="AF14" s="276"/>
      <c r="AG14" s="1267">
        <f t="shared" si="40"/>
        <v>0</v>
      </c>
      <c r="AH14" s="1215">
        <f t="shared" si="41"/>
        <v>0</v>
      </c>
      <c r="AI14" s="414"/>
      <c r="AJ14" s="418"/>
      <c r="AK14" s="416"/>
      <c r="AL14" s="416"/>
      <c r="AM14" s="416"/>
      <c r="AN14" s="276"/>
      <c r="AO14" s="1267">
        <f t="shared" si="42"/>
        <v>0</v>
      </c>
      <c r="AP14" s="1215">
        <f t="shared" si="43"/>
        <v>0</v>
      </c>
      <c r="AQ14" s="414"/>
      <c r="AR14" s="418"/>
      <c r="AS14" s="416"/>
      <c r="AT14" s="416"/>
      <c r="AU14" s="416"/>
      <c r="AV14" s="417"/>
      <c r="AW14" s="3266">
        <f t="shared" ref="AW14:AW17" si="101">C14+K14+S14+AA14+AI14</f>
        <v>34.299999999999997</v>
      </c>
      <c r="AX14" s="3267">
        <f t="shared" ref="AX14:AX17" si="102">D14+L14+T14+AB14+AJ14</f>
        <v>34</v>
      </c>
      <c r="AY14" s="3268">
        <f t="shared" ref="AY14:AY17" si="103">E14+M14+U14+AC14+AK14</f>
        <v>34</v>
      </c>
      <c r="AZ14" s="3268">
        <f t="shared" ref="AZ14:AZ17" si="104">F14+N14+V14+AD14+AL14</f>
        <v>34</v>
      </c>
      <c r="BA14" s="3268">
        <f t="shared" ref="BA14:BA17" si="105">G14+O14+W14+AE14+AM14</f>
        <v>34</v>
      </c>
      <c r="BB14" s="3269">
        <f t="shared" ref="BB14:BB17" si="106">H14+P14+X14+AF14+AN14</f>
        <v>34</v>
      </c>
      <c r="BC14" s="3266">
        <f t="shared" ref="BC14:BC17" si="107">C14+AA14+AI14</f>
        <v>34.299999999999997</v>
      </c>
      <c r="BD14" s="3267">
        <f t="shared" ref="BD14:BD17" si="108">D14+AB14+AJ14</f>
        <v>34</v>
      </c>
      <c r="BE14" s="3268">
        <f t="shared" ref="BE14:BE17" si="109">E14+AC14+AK14</f>
        <v>34</v>
      </c>
      <c r="BF14" s="3268">
        <f t="shared" ref="BF14:BF17" si="110">F14+AD14+AL14</f>
        <v>34</v>
      </c>
      <c r="BG14" s="3268">
        <f t="shared" ref="BG14:BG17" si="111">G14+AE14+AM14</f>
        <v>34</v>
      </c>
      <c r="BH14" s="3270">
        <f t="shared" ref="BH14:BH17" si="112">H14+AF14+AN14</f>
        <v>34</v>
      </c>
      <c r="BI14" s="4775"/>
      <c r="BJ14" s="4794">
        <f t="shared" si="46"/>
        <v>17.537311525030294</v>
      </c>
      <c r="BK14" s="4794">
        <f t="shared" si="47"/>
        <v>17.383923960671428</v>
      </c>
      <c r="BL14" s="4794">
        <f t="shared" si="48"/>
        <v>17.383923960671428</v>
      </c>
      <c r="BM14" s="4794">
        <f t="shared" si="49"/>
        <v>17.383923960671428</v>
      </c>
      <c r="BN14" s="4794">
        <f t="shared" si="50"/>
        <v>17.383923960671428</v>
      </c>
      <c r="BO14" s="4794">
        <f t="shared" si="51"/>
        <v>17.383923960671428</v>
      </c>
      <c r="BP14" s="4794">
        <f t="shared" si="52"/>
        <v>-0.15338756435886411</v>
      </c>
      <c r="BQ14" s="4794">
        <f t="shared" si="53"/>
        <v>0</v>
      </c>
      <c r="BR14" s="4794">
        <f t="shared" si="54"/>
        <v>0</v>
      </c>
      <c r="BS14" s="4794">
        <f t="shared" si="55"/>
        <v>0</v>
      </c>
      <c r="BT14" s="4794">
        <f t="shared" si="56"/>
        <v>0</v>
      </c>
      <c r="BU14" s="4794">
        <f t="shared" si="57"/>
        <v>0</v>
      </c>
      <c r="BV14" s="4794">
        <f t="shared" si="58"/>
        <v>0</v>
      </c>
      <c r="BW14" s="4794">
        <f t="shared" si="59"/>
        <v>0</v>
      </c>
      <c r="BX14" s="4794">
        <f t="shared" si="60"/>
        <v>0</v>
      </c>
      <c r="BY14" s="4794">
        <f t="shared" si="61"/>
        <v>0</v>
      </c>
      <c r="BZ14" s="4794">
        <f t="shared" si="62"/>
        <v>0</v>
      </c>
      <c r="CA14" s="4794">
        <f t="shared" si="63"/>
        <v>0</v>
      </c>
      <c r="CB14" s="4794">
        <f t="shared" si="64"/>
        <v>0</v>
      </c>
      <c r="CC14" s="4794">
        <f t="shared" si="65"/>
        <v>0</v>
      </c>
      <c r="CD14" s="4794">
        <f t="shared" si="66"/>
        <v>0</v>
      </c>
      <c r="CE14" s="4794">
        <f t="shared" si="67"/>
        <v>0</v>
      </c>
      <c r="CF14" s="4794">
        <f t="shared" si="68"/>
        <v>0</v>
      </c>
      <c r="CG14" s="4794">
        <f t="shared" si="69"/>
        <v>0</v>
      </c>
      <c r="CH14" s="4794">
        <f t="shared" si="70"/>
        <v>0</v>
      </c>
      <c r="CI14" s="4794">
        <f t="shared" si="71"/>
        <v>0</v>
      </c>
      <c r="CJ14" s="4794">
        <f t="shared" si="72"/>
        <v>0</v>
      </c>
      <c r="CK14" s="4794">
        <f t="shared" si="73"/>
        <v>0</v>
      </c>
      <c r="CL14" s="4794">
        <f t="shared" si="74"/>
        <v>0</v>
      </c>
      <c r="CM14" s="4794">
        <f t="shared" si="75"/>
        <v>0</v>
      </c>
      <c r="CN14" s="4794">
        <f t="shared" si="76"/>
        <v>0</v>
      </c>
      <c r="CO14" s="4794">
        <f t="shared" si="77"/>
        <v>0</v>
      </c>
      <c r="CP14" s="4794">
        <f t="shared" si="78"/>
        <v>0</v>
      </c>
      <c r="CQ14" s="4794">
        <f t="shared" si="79"/>
        <v>0</v>
      </c>
      <c r="CR14" s="4794">
        <f t="shared" si="80"/>
        <v>0</v>
      </c>
      <c r="CS14" s="4794">
        <f t="shared" si="81"/>
        <v>0</v>
      </c>
      <c r="CT14" s="4794">
        <f t="shared" si="82"/>
        <v>0</v>
      </c>
      <c r="CU14" s="4794">
        <f t="shared" si="83"/>
        <v>0</v>
      </c>
      <c r="CV14" s="4794">
        <f t="shared" si="84"/>
        <v>0</v>
      </c>
      <c r="CW14" s="4794">
        <f t="shared" si="85"/>
        <v>0</v>
      </c>
      <c r="CX14" s="4794">
        <f t="shared" si="86"/>
        <v>0</v>
      </c>
      <c r="CY14" s="4794">
        <f t="shared" si="87"/>
        <v>17.537311525030294</v>
      </c>
      <c r="CZ14" s="4794">
        <f t="shared" si="88"/>
        <v>17.383923960671428</v>
      </c>
      <c r="DA14" s="4794">
        <f t="shared" si="89"/>
        <v>17.383923960671428</v>
      </c>
      <c r="DB14" s="4794">
        <f t="shared" si="90"/>
        <v>17.383923960671428</v>
      </c>
      <c r="DC14" s="4794">
        <f t="shared" si="91"/>
        <v>17.383923960671428</v>
      </c>
      <c r="DD14" s="4794">
        <f t="shared" si="92"/>
        <v>17.383923960671428</v>
      </c>
      <c r="DE14" s="4794">
        <f t="shared" si="93"/>
        <v>17.537311525030294</v>
      </c>
      <c r="DF14" s="4794">
        <f t="shared" si="94"/>
        <v>17.383923960671428</v>
      </c>
      <c r="DG14" s="4794">
        <f t="shared" si="95"/>
        <v>17.383923960671428</v>
      </c>
      <c r="DH14" s="4794">
        <f t="shared" si="96"/>
        <v>17.383923960671428</v>
      </c>
      <c r="DI14" s="4794">
        <f t="shared" si="97"/>
        <v>17.383923960671428</v>
      </c>
      <c r="DJ14" s="4794">
        <f t="shared" si="98"/>
        <v>17.383923960671428</v>
      </c>
    </row>
    <row r="15" spans="1:114" s="690" customFormat="1" ht="12.75">
      <c r="A15" s="856" t="s">
        <v>337</v>
      </c>
      <c r="B15" s="4131" t="s">
        <v>230</v>
      </c>
      <c r="C15" s="414"/>
      <c r="D15" s="418"/>
      <c r="E15" s="416"/>
      <c r="F15" s="416"/>
      <c r="G15" s="416"/>
      <c r="H15" s="276"/>
      <c r="I15" s="1267">
        <f t="shared" si="34"/>
        <v>0</v>
      </c>
      <c r="J15" s="1215">
        <f t="shared" si="35"/>
        <v>0</v>
      </c>
      <c r="K15" s="414"/>
      <c r="L15" s="418"/>
      <c r="M15" s="416"/>
      <c r="N15" s="416"/>
      <c r="O15" s="416"/>
      <c r="P15" s="276"/>
      <c r="Q15" s="1267">
        <f t="shared" si="36"/>
        <v>0</v>
      </c>
      <c r="R15" s="1211">
        <f t="shared" si="37"/>
        <v>0</v>
      </c>
      <c r="S15" s="414">
        <v>42</v>
      </c>
      <c r="T15" s="418">
        <v>42</v>
      </c>
      <c r="U15" s="416">
        <v>42</v>
      </c>
      <c r="V15" s="416">
        <v>42</v>
      </c>
      <c r="W15" s="416">
        <v>42</v>
      </c>
      <c r="X15" s="276">
        <v>42</v>
      </c>
      <c r="Y15" s="1267">
        <f t="shared" si="38"/>
        <v>0</v>
      </c>
      <c r="Z15" s="1211">
        <f t="shared" si="39"/>
        <v>0</v>
      </c>
      <c r="AA15" s="414"/>
      <c r="AB15" s="418"/>
      <c r="AC15" s="416"/>
      <c r="AD15" s="416"/>
      <c r="AE15" s="416"/>
      <c r="AF15" s="276"/>
      <c r="AG15" s="1267">
        <f t="shared" si="40"/>
        <v>0</v>
      </c>
      <c r="AH15" s="1215">
        <f t="shared" si="41"/>
        <v>0</v>
      </c>
      <c r="AI15" s="414"/>
      <c r="AJ15" s="418"/>
      <c r="AK15" s="416"/>
      <c r="AL15" s="416"/>
      <c r="AM15" s="416"/>
      <c r="AN15" s="276"/>
      <c r="AO15" s="1267">
        <f t="shared" si="42"/>
        <v>0</v>
      </c>
      <c r="AP15" s="1215">
        <f t="shared" si="43"/>
        <v>0</v>
      </c>
      <c r="AQ15" s="414"/>
      <c r="AR15" s="418"/>
      <c r="AS15" s="416"/>
      <c r="AT15" s="416"/>
      <c r="AU15" s="416"/>
      <c r="AV15" s="417"/>
      <c r="AW15" s="3266">
        <f t="shared" si="101"/>
        <v>42</v>
      </c>
      <c r="AX15" s="3267">
        <f t="shared" si="102"/>
        <v>42</v>
      </c>
      <c r="AY15" s="3268">
        <f t="shared" si="103"/>
        <v>42</v>
      </c>
      <c r="AZ15" s="3268">
        <f t="shared" si="104"/>
        <v>42</v>
      </c>
      <c r="BA15" s="3268">
        <f t="shared" si="105"/>
        <v>42</v>
      </c>
      <c r="BB15" s="3269">
        <f t="shared" si="106"/>
        <v>42</v>
      </c>
      <c r="BC15" s="3266">
        <f t="shared" si="107"/>
        <v>0</v>
      </c>
      <c r="BD15" s="3267">
        <f t="shared" si="108"/>
        <v>0</v>
      </c>
      <c r="BE15" s="3268">
        <f t="shared" si="109"/>
        <v>0</v>
      </c>
      <c r="BF15" s="3268">
        <f t="shared" si="110"/>
        <v>0</v>
      </c>
      <c r="BG15" s="3268">
        <f t="shared" si="111"/>
        <v>0</v>
      </c>
      <c r="BH15" s="3270">
        <f t="shared" si="112"/>
        <v>0</v>
      </c>
      <c r="BI15" s="4775"/>
      <c r="BJ15" s="4794">
        <f t="shared" si="46"/>
        <v>0</v>
      </c>
      <c r="BK15" s="4794">
        <f t="shared" si="47"/>
        <v>0</v>
      </c>
      <c r="BL15" s="4794">
        <f t="shared" si="48"/>
        <v>0</v>
      </c>
      <c r="BM15" s="4794">
        <f t="shared" si="49"/>
        <v>0</v>
      </c>
      <c r="BN15" s="4794">
        <f t="shared" si="50"/>
        <v>0</v>
      </c>
      <c r="BO15" s="4794">
        <f t="shared" si="51"/>
        <v>0</v>
      </c>
      <c r="BP15" s="4794">
        <f t="shared" si="52"/>
        <v>0</v>
      </c>
      <c r="BQ15" s="4794">
        <f t="shared" si="53"/>
        <v>0</v>
      </c>
      <c r="BR15" s="4794">
        <f t="shared" si="54"/>
        <v>0</v>
      </c>
      <c r="BS15" s="4794">
        <f t="shared" si="55"/>
        <v>0</v>
      </c>
      <c r="BT15" s="4794">
        <f t="shared" si="56"/>
        <v>0</v>
      </c>
      <c r="BU15" s="4794">
        <f t="shared" si="57"/>
        <v>0</v>
      </c>
      <c r="BV15" s="4794">
        <f t="shared" si="58"/>
        <v>0</v>
      </c>
      <c r="BW15" s="4794">
        <f t="shared" si="59"/>
        <v>0</v>
      </c>
      <c r="BX15" s="4794">
        <f t="shared" si="60"/>
        <v>21.474259010241177</v>
      </c>
      <c r="BY15" s="4794">
        <f t="shared" si="61"/>
        <v>21.474259010241177</v>
      </c>
      <c r="BZ15" s="4794">
        <f t="shared" si="62"/>
        <v>21.474259010241177</v>
      </c>
      <c r="CA15" s="4794">
        <f t="shared" si="63"/>
        <v>21.474259010241177</v>
      </c>
      <c r="CB15" s="4794">
        <f t="shared" si="64"/>
        <v>21.474259010241177</v>
      </c>
      <c r="CC15" s="4794">
        <f t="shared" si="65"/>
        <v>21.474259010241177</v>
      </c>
      <c r="CD15" s="4794">
        <f t="shared" si="66"/>
        <v>0</v>
      </c>
      <c r="CE15" s="4794">
        <f t="shared" si="67"/>
        <v>0</v>
      </c>
      <c r="CF15" s="4794">
        <f t="shared" si="68"/>
        <v>0</v>
      </c>
      <c r="CG15" s="4794">
        <f t="shared" si="69"/>
        <v>0</v>
      </c>
      <c r="CH15" s="4794">
        <f t="shared" si="70"/>
        <v>0</v>
      </c>
      <c r="CI15" s="4794">
        <f t="shared" si="71"/>
        <v>0</v>
      </c>
      <c r="CJ15" s="4794">
        <f t="shared" si="72"/>
        <v>0</v>
      </c>
      <c r="CK15" s="4794">
        <f t="shared" si="73"/>
        <v>0</v>
      </c>
      <c r="CL15" s="4794">
        <f t="shared" si="74"/>
        <v>0</v>
      </c>
      <c r="CM15" s="4794">
        <f t="shared" si="75"/>
        <v>0</v>
      </c>
      <c r="CN15" s="4794">
        <f t="shared" si="76"/>
        <v>0</v>
      </c>
      <c r="CO15" s="4794">
        <f t="shared" si="77"/>
        <v>0</v>
      </c>
      <c r="CP15" s="4794">
        <f t="shared" si="78"/>
        <v>0</v>
      </c>
      <c r="CQ15" s="4794">
        <f t="shared" si="79"/>
        <v>0</v>
      </c>
      <c r="CR15" s="4794">
        <f t="shared" si="80"/>
        <v>0</v>
      </c>
      <c r="CS15" s="4794">
        <f t="shared" si="81"/>
        <v>0</v>
      </c>
      <c r="CT15" s="4794">
        <f t="shared" si="82"/>
        <v>0</v>
      </c>
      <c r="CU15" s="4794">
        <f t="shared" si="83"/>
        <v>0</v>
      </c>
      <c r="CV15" s="4794">
        <f t="shared" si="84"/>
        <v>0</v>
      </c>
      <c r="CW15" s="4794">
        <f t="shared" si="85"/>
        <v>0</v>
      </c>
      <c r="CX15" s="4794">
        <f t="shared" si="86"/>
        <v>0</v>
      </c>
      <c r="CY15" s="4794">
        <f t="shared" si="87"/>
        <v>21.474259010241177</v>
      </c>
      <c r="CZ15" s="4794">
        <f t="shared" si="88"/>
        <v>21.474259010241177</v>
      </c>
      <c r="DA15" s="4794">
        <f t="shared" si="89"/>
        <v>21.474259010241177</v>
      </c>
      <c r="DB15" s="4794">
        <f t="shared" si="90"/>
        <v>21.474259010241177</v>
      </c>
      <c r="DC15" s="4794">
        <f t="shared" si="91"/>
        <v>21.474259010241177</v>
      </c>
      <c r="DD15" s="4794">
        <f t="shared" si="92"/>
        <v>21.474259010241177</v>
      </c>
      <c r="DE15" s="4794">
        <f t="shared" si="93"/>
        <v>0</v>
      </c>
      <c r="DF15" s="4794">
        <f t="shared" si="94"/>
        <v>0</v>
      </c>
      <c r="DG15" s="4794">
        <f t="shared" si="95"/>
        <v>0</v>
      </c>
      <c r="DH15" s="4794">
        <f t="shared" si="96"/>
        <v>0</v>
      </c>
      <c r="DI15" s="4794">
        <f t="shared" si="97"/>
        <v>0</v>
      </c>
      <c r="DJ15" s="4794">
        <f t="shared" si="98"/>
        <v>0</v>
      </c>
    </row>
    <row r="16" spans="1:114" s="690" customFormat="1" ht="12.75">
      <c r="A16" s="856" t="s">
        <v>338</v>
      </c>
      <c r="B16" s="4131" t="s">
        <v>231</v>
      </c>
      <c r="C16" s="414">
        <v>57</v>
      </c>
      <c r="D16" s="418">
        <v>57</v>
      </c>
      <c r="E16" s="416">
        <v>57</v>
      </c>
      <c r="F16" s="416">
        <v>57</v>
      </c>
      <c r="G16" s="416">
        <v>57</v>
      </c>
      <c r="H16" s="276">
        <v>57</v>
      </c>
      <c r="I16" s="1267">
        <f t="shared" si="34"/>
        <v>0</v>
      </c>
      <c r="J16" s="1215">
        <f t="shared" si="35"/>
        <v>0</v>
      </c>
      <c r="K16" s="414"/>
      <c r="L16" s="418"/>
      <c r="M16" s="416"/>
      <c r="N16" s="416"/>
      <c r="O16" s="416"/>
      <c r="P16" s="276"/>
      <c r="Q16" s="1267">
        <f t="shared" si="36"/>
        <v>0</v>
      </c>
      <c r="R16" s="1211">
        <f t="shared" si="37"/>
        <v>0</v>
      </c>
      <c r="S16" s="414">
        <v>5</v>
      </c>
      <c r="T16" s="418">
        <v>5</v>
      </c>
      <c r="U16" s="416">
        <v>5</v>
      </c>
      <c r="V16" s="416">
        <v>5</v>
      </c>
      <c r="W16" s="416">
        <v>5</v>
      </c>
      <c r="X16" s="276">
        <v>5</v>
      </c>
      <c r="Y16" s="1267">
        <f t="shared" si="38"/>
        <v>0</v>
      </c>
      <c r="Z16" s="1211">
        <f t="shared" si="39"/>
        <v>0</v>
      </c>
      <c r="AA16" s="414"/>
      <c r="AB16" s="418"/>
      <c r="AC16" s="416"/>
      <c r="AD16" s="416"/>
      <c r="AE16" s="416"/>
      <c r="AF16" s="276"/>
      <c r="AG16" s="1267">
        <f t="shared" si="40"/>
        <v>0</v>
      </c>
      <c r="AH16" s="1215">
        <f t="shared" si="41"/>
        <v>0</v>
      </c>
      <c r="AI16" s="414"/>
      <c r="AJ16" s="418"/>
      <c r="AK16" s="416"/>
      <c r="AL16" s="416"/>
      <c r="AM16" s="416"/>
      <c r="AN16" s="276"/>
      <c r="AO16" s="1267">
        <f t="shared" si="42"/>
        <v>0</v>
      </c>
      <c r="AP16" s="1215">
        <f t="shared" si="43"/>
        <v>0</v>
      </c>
      <c r="AQ16" s="414"/>
      <c r="AR16" s="418"/>
      <c r="AS16" s="416"/>
      <c r="AT16" s="416"/>
      <c r="AU16" s="416"/>
      <c r="AV16" s="417"/>
      <c r="AW16" s="3266">
        <f t="shared" si="101"/>
        <v>62</v>
      </c>
      <c r="AX16" s="3267">
        <f t="shared" si="102"/>
        <v>62</v>
      </c>
      <c r="AY16" s="3268">
        <f t="shared" si="103"/>
        <v>62</v>
      </c>
      <c r="AZ16" s="3268">
        <f t="shared" si="104"/>
        <v>62</v>
      </c>
      <c r="BA16" s="3268">
        <f t="shared" si="105"/>
        <v>62</v>
      </c>
      <c r="BB16" s="3269">
        <f t="shared" si="106"/>
        <v>62</v>
      </c>
      <c r="BC16" s="3266">
        <f t="shared" si="107"/>
        <v>57</v>
      </c>
      <c r="BD16" s="3267">
        <f t="shared" si="108"/>
        <v>57</v>
      </c>
      <c r="BE16" s="3268">
        <f t="shared" si="109"/>
        <v>57</v>
      </c>
      <c r="BF16" s="3268">
        <f t="shared" si="110"/>
        <v>57</v>
      </c>
      <c r="BG16" s="3268">
        <f t="shared" si="111"/>
        <v>57</v>
      </c>
      <c r="BH16" s="3270">
        <f t="shared" si="112"/>
        <v>57</v>
      </c>
      <c r="BI16" s="4775"/>
      <c r="BJ16" s="4794">
        <f t="shared" si="46"/>
        <v>29.143637228184453</v>
      </c>
      <c r="BK16" s="4794">
        <f t="shared" si="47"/>
        <v>29.143637228184453</v>
      </c>
      <c r="BL16" s="4794">
        <f t="shared" si="48"/>
        <v>29.143637228184453</v>
      </c>
      <c r="BM16" s="4794">
        <f t="shared" si="49"/>
        <v>29.143637228184453</v>
      </c>
      <c r="BN16" s="4794">
        <f t="shared" si="50"/>
        <v>29.143637228184453</v>
      </c>
      <c r="BO16" s="4794">
        <f t="shared" si="51"/>
        <v>29.143637228184453</v>
      </c>
      <c r="BP16" s="4794">
        <f t="shared" si="52"/>
        <v>0</v>
      </c>
      <c r="BQ16" s="4794">
        <f t="shared" si="53"/>
        <v>0</v>
      </c>
      <c r="BR16" s="4794">
        <f t="shared" si="54"/>
        <v>0</v>
      </c>
      <c r="BS16" s="4794">
        <f t="shared" si="55"/>
        <v>0</v>
      </c>
      <c r="BT16" s="4794">
        <f t="shared" si="56"/>
        <v>0</v>
      </c>
      <c r="BU16" s="4794">
        <f t="shared" si="57"/>
        <v>0</v>
      </c>
      <c r="BV16" s="4794">
        <f t="shared" si="58"/>
        <v>0</v>
      </c>
      <c r="BW16" s="4794">
        <f t="shared" si="59"/>
        <v>0</v>
      </c>
      <c r="BX16" s="4794">
        <f t="shared" si="60"/>
        <v>2.5564594059810926</v>
      </c>
      <c r="BY16" s="4794">
        <f t="shared" si="61"/>
        <v>2.5564594059810926</v>
      </c>
      <c r="BZ16" s="4794">
        <f t="shared" si="62"/>
        <v>2.5564594059810926</v>
      </c>
      <c r="CA16" s="4794">
        <f t="shared" si="63"/>
        <v>2.5564594059810926</v>
      </c>
      <c r="CB16" s="4794">
        <f t="shared" si="64"/>
        <v>2.5564594059810926</v>
      </c>
      <c r="CC16" s="4794">
        <f t="shared" si="65"/>
        <v>2.5564594059810926</v>
      </c>
      <c r="CD16" s="4794">
        <f t="shared" si="66"/>
        <v>0</v>
      </c>
      <c r="CE16" s="4794">
        <f t="shared" si="67"/>
        <v>0</v>
      </c>
      <c r="CF16" s="4794">
        <f t="shared" si="68"/>
        <v>0</v>
      </c>
      <c r="CG16" s="4794">
        <f t="shared" si="69"/>
        <v>0</v>
      </c>
      <c r="CH16" s="4794">
        <f t="shared" si="70"/>
        <v>0</v>
      </c>
      <c r="CI16" s="4794">
        <f t="shared" si="71"/>
        <v>0</v>
      </c>
      <c r="CJ16" s="4794">
        <f t="shared" si="72"/>
        <v>0</v>
      </c>
      <c r="CK16" s="4794">
        <f t="shared" si="73"/>
        <v>0</v>
      </c>
      <c r="CL16" s="4794">
        <f t="shared" si="74"/>
        <v>0</v>
      </c>
      <c r="CM16" s="4794">
        <f t="shared" si="75"/>
        <v>0</v>
      </c>
      <c r="CN16" s="4794">
        <f t="shared" si="76"/>
        <v>0</v>
      </c>
      <c r="CO16" s="4794">
        <f t="shared" si="77"/>
        <v>0</v>
      </c>
      <c r="CP16" s="4794">
        <f t="shared" si="78"/>
        <v>0</v>
      </c>
      <c r="CQ16" s="4794">
        <f t="shared" si="79"/>
        <v>0</v>
      </c>
      <c r="CR16" s="4794">
        <f t="shared" si="80"/>
        <v>0</v>
      </c>
      <c r="CS16" s="4794">
        <f t="shared" si="81"/>
        <v>0</v>
      </c>
      <c r="CT16" s="4794">
        <f t="shared" si="82"/>
        <v>0</v>
      </c>
      <c r="CU16" s="4794">
        <f t="shared" si="83"/>
        <v>0</v>
      </c>
      <c r="CV16" s="4794">
        <f t="shared" si="84"/>
        <v>0</v>
      </c>
      <c r="CW16" s="4794">
        <f t="shared" si="85"/>
        <v>0</v>
      </c>
      <c r="CX16" s="4794">
        <f t="shared" si="86"/>
        <v>0</v>
      </c>
      <c r="CY16" s="4794">
        <f t="shared" si="87"/>
        <v>31.700096634165547</v>
      </c>
      <c r="CZ16" s="4794">
        <f t="shared" si="88"/>
        <v>31.700096634165547</v>
      </c>
      <c r="DA16" s="4794">
        <f t="shared" si="89"/>
        <v>31.700096634165547</v>
      </c>
      <c r="DB16" s="4794">
        <f t="shared" si="90"/>
        <v>31.700096634165547</v>
      </c>
      <c r="DC16" s="4794">
        <f t="shared" si="91"/>
        <v>31.700096634165547</v>
      </c>
      <c r="DD16" s="4794">
        <f t="shared" si="92"/>
        <v>31.700096634165547</v>
      </c>
      <c r="DE16" s="4794">
        <f t="shared" si="93"/>
        <v>29.143637228184453</v>
      </c>
      <c r="DF16" s="4794">
        <f t="shared" si="94"/>
        <v>29.143637228184453</v>
      </c>
      <c r="DG16" s="4794">
        <f t="shared" si="95"/>
        <v>29.143637228184453</v>
      </c>
      <c r="DH16" s="4794">
        <f t="shared" si="96"/>
        <v>29.143637228184453</v>
      </c>
      <c r="DI16" s="4794">
        <f t="shared" si="97"/>
        <v>29.143637228184453</v>
      </c>
      <c r="DJ16" s="4794">
        <f t="shared" si="98"/>
        <v>29.143637228184453</v>
      </c>
    </row>
    <row r="17" spans="1:114" s="691" customFormat="1" ht="12.75">
      <c r="A17" s="113" t="s">
        <v>91</v>
      </c>
      <c r="B17" s="915" t="s">
        <v>232</v>
      </c>
      <c r="C17" s="1538">
        <f>'6. Ел.Енергия'!I18</f>
        <v>359.26935043799995</v>
      </c>
      <c r="D17" s="1162">
        <f>'6. Ел.Енергия'!J18</f>
        <v>371.55181000000005</v>
      </c>
      <c r="E17" s="1152">
        <f>'6. Ел.Енергия'!K18</f>
        <v>354.36450000000002</v>
      </c>
      <c r="F17" s="1152">
        <f>'6. Ел.Енергия'!L18</f>
        <v>340.14673000000005</v>
      </c>
      <c r="G17" s="1152">
        <f>'6. Ел.Енергия'!M18</f>
        <v>325.92896000000002</v>
      </c>
      <c r="H17" s="1162">
        <f>'6. Ел.Енергия'!N18</f>
        <v>309.04375000000005</v>
      </c>
      <c r="I17" s="1268">
        <f t="shared" si="34"/>
        <v>12.282459562000099</v>
      </c>
      <c r="J17" s="838">
        <f t="shared" si="35"/>
        <v>3.4187329219779121E-2</v>
      </c>
      <c r="K17" s="2816">
        <f>'6. Ел.Енергия'!I34</f>
        <v>6.8839874999999995E-2</v>
      </c>
      <c r="L17" s="1162">
        <f>'6. Ел.Енергия'!J34</f>
        <v>0.13748199999999999</v>
      </c>
      <c r="M17" s="1152">
        <f>'6. Ел.Енергия'!K34</f>
        <v>0.13748199999999999</v>
      </c>
      <c r="N17" s="1152">
        <f>'6. Ел.Енергия'!L34</f>
        <v>0.1099856</v>
      </c>
      <c r="O17" s="1152">
        <f>'6. Ел.Енергия'!M34</f>
        <v>0.1099856</v>
      </c>
      <c r="P17" s="1162">
        <f>'6. Ел.Енергия'!N34</f>
        <v>0.1099856</v>
      </c>
      <c r="Q17" s="1268">
        <f t="shared" si="36"/>
        <v>6.8642124999999998E-2</v>
      </c>
      <c r="R17" s="896">
        <f t="shared" si="37"/>
        <v>0.99712739164619346</v>
      </c>
      <c r="S17" s="2816">
        <f>'6. Ел.Енергия'!I49</f>
        <v>619.17692304999991</v>
      </c>
      <c r="T17" s="1162">
        <f>'6. Ел.Енергия'!J49</f>
        <v>674.40874600000006</v>
      </c>
      <c r="U17" s="1152">
        <f>'6. Ел.Енергия'!K49</f>
        <v>665.03909999999996</v>
      </c>
      <c r="V17" s="1152">
        <f>'6. Ел.Енергия'!L49</f>
        <v>653.23765000000003</v>
      </c>
      <c r="W17" s="1152">
        <f>'6. Ел.Енергия'!M49</f>
        <v>648.51706999999999</v>
      </c>
      <c r="X17" s="1162">
        <f>'6. Ел.Енергия'!N49</f>
        <v>643.79648999999995</v>
      </c>
      <c r="Y17" s="1274">
        <f t="shared" si="38"/>
        <v>55.231822950000151</v>
      </c>
      <c r="Z17" s="896">
        <f t="shared" si="39"/>
        <v>8.9202004942196558E-2</v>
      </c>
      <c r="AA17" s="2816">
        <f>'6. Ел.Енергия'!I65</f>
        <v>0</v>
      </c>
      <c r="AB17" s="1162">
        <f>'6. Ел.Енергия'!J65</f>
        <v>0</v>
      </c>
      <c r="AC17" s="1152">
        <f>'6. Ел.Енергия'!K65</f>
        <v>0</v>
      </c>
      <c r="AD17" s="1152">
        <f>'6. Ел.Енергия'!L65</f>
        <v>0</v>
      </c>
      <c r="AE17" s="1152">
        <f>'6. Ел.Енергия'!M65</f>
        <v>0</v>
      </c>
      <c r="AF17" s="1162">
        <f>'6. Ел.Енергия'!N65</f>
        <v>0</v>
      </c>
      <c r="AG17" s="1268">
        <f t="shared" si="40"/>
        <v>0</v>
      </c>
      <c r="AH17" s="838">
        <f t="shared" si="41"/>
        <v>0</v>
      </c>
      <c r="AI17" s="1131">
        <f>'6. Ел.Енергия'!I81</f>
        <v>0</v>
      </c>
      <c r="AJ17" s="1160">
        <f>'6. Ел.Енергия'!J81</f>
        <v>0</v>
      </c>
      <c r="AK17" s="1155">
        <f>'6. Ел.Енергия'!K81</f>
        <v>0</v>
      </c>
      <c r="AL17" s="1155">
        <f>'6. Ел.Енергия'!L81</f>
        <v>0</v>
      </c>
      <c r="AM17" s="1155">
        <f>'6. Ел.Енергия'!M81</f>
        <v>0</v>
      </c>
      <c r="AN17" s="1160">
        <f>'6. Ел.Енергия'!N81</f>
        <v>0</v>
      </c>
      <c r="AO17" s="1268">
        <f t="shared" si="42"/>
        <v>0</v>
      </c>
      <c r="AP17" s="838">
        <f t="shared" si="43"/>
        <v>0</v>
      </c>
      <c r="AQ17" s="2816">
        <f>'6. Ел.Енергия'!I95</f>
        <v>7.464807383000001</v>
      </c>
      <c r="AR17" s="1162">
        <f>'6. Ел.Енергия'!J95</f>
        <v>0</v>
      </c>
      <c r="AS17" s="1152">
        <f>'6. Ел.Енергия'!K95</f>
        <v>0</v>
      </c>
      <c r="AT17" s="1152">
        <f>'6. Ел.Енергия'!L95</f>
        <v>0</v>
      </c>
      <c r="AU17" s="1152">
        <f>'6. Ел.Енергия'!M95</f>
        <v>0</v>
      </c>
      <c r="AV17" s="3271">
        <f>'6. Ел.Енергия'!N95</f>
        <v>0</v>
      </c>
      <c r="AW17" s="1131">
        <f t="shared" si="101"/>
        <v>978.51511336299984</v>
      </c>
      <c r="AX17" s="1160">
        <f t="shared" si="102"/>
        <v>1046.0980380000001</v>
      </c>
      <c r="AY17" s="1155">
        <f t="shared" si="103"/>
        <v>1019.541082</v>
      </c>
      <c r="AZ17" s="1155">
        <f t="shared" si="104"/>
        <v>993.49436560000004</v>
      </c>
      <c r="BA17" s="1155">
        <f t="shared" si="105"/>
        <v>974.55601560000002</v>
      </c>
      <c r="BB17" s="1160">
        <f t="shared" si="106"/>
        <v>952.95022560000007</v>
      </c>
      <c r="BC17" s="3266">
        <f t="shared" si="107"/>
        <v>359.26935043799995</v>
      </c>
      <c r="BD17" s="3267">
        <f t="shared" si="108"/>
        <v>371.55181000000005</v>
      </c>
      <c r="BE17" s="3268">
        <f t="shared" si="109"/>
        <v>354.36450000000002</v>
      </c>
      <c r="BF17" s="3268">
        <f t="shared" si="110"/>
        <v>340.14673000000005</v>
      </c>
      <c r="BG17" s="3268">
        <f t="shared" si="111"/>
        <v>325.92896000000002</v>
      </c>
      <c r="BH17" s="3270">
        <f t="shared" si="112"/>
        <v>309.04375000000005</v>
      </c>
      <c r="BI17" s="4775"/>
      <c r="BJ17" s="4794">
        <f t="shared" si="46"/>
        <v>183.69150204158845</v>
      </c>
      <c r="BK17" s="4794">
        <f t="shared" si="47"/>
        <v>189.97142389675997</v>
      </c>
      <c r="BL17" s="4794">
        <f t="shared" si="48"/>
        <v>181.18369183415737</v>
      </c>
      <c r="BM17" s="4794">
        <f t="shared" si="49"/>
        <v>173.91426146444223</v>
      </c>
      <c r="BN17" s="4794">
        <f t="shared" si="50"/>
        <v>166.64483109472707</v>
      </c>
      <c r="BO17" s="4794">
        <f t="shared" si="51"/>
        <v>158.01156030943386</v>
      </c>
      <c r="BP17" s="4794">
        <f t="shared" si="52"/>
        <v>6.2799218551715121</v>
      </c>
      <c r="BQ17" s="4794">
        <f t="shared" si="53"/>
        <v>3.5197269190062531E-2</v>
      </c>
      <c r="BR17" s="4794">
        <f t="shared" si="54"/>
        <v>7.0293430410618502E-2</v>
      </c>
      <c r="BS17" s="4794">
        <f t="shared" si="55"/>
        <v>7.0293430410618502E-2</v>
      </c>
      <c r="BT17" s="4794">
        <f t="shared" si="56"/>
        <v>5.6234744328494811E-2</v>
      </c>
      <c r="BU17" s="4794">
        <f t="shared" si="57"/>
        <v>5.6234744328494811E-2</v>
      </c>
      <c r="BV17" s="4794">
        <f t="shared" si="58"/>
        <v>5.6234744328494811E-2</v>
      </c>
      <c r="BW17" s="4794">
        <f t="shared" si="59"/>
        <v>3.5096161220555977E-2</v>
      </c>
      <c r="BX17" s="4794">
        <f t="shared" si="60"/>
        <v>316.58013377952068</v>
      </c>
      <c r="BY17" s="4794">
        <f t="shared" si="61"/>
        <v>344.81971643752274</v>
      </c>
      <c r="BZ17" s="4794">
        <f t="shared" si="62"/>
        <v>340.02909250804004</v>
      </c>
      <c r="CA17" s="4794">
        <f t="shared" si="63"/>
        <v>333.99510693669697</v>
      </c>
      <c r="CB17" s="4794">
        <f t="shared" si="64"/>
        <v>331.58151270815972</v>
      </c>
      <c r="CC17" s="4794">
        <f t="shared" si="65"/>
        <v>329.16791847962241</v>
      </c>
      <c r="CD17" s="4794">
        <f t="shared" si="66"/>
        <v>28.23958265800205</v>
      </c>
      <c r="CE17" s="4794">
        <f t="shared" si="67"/>
        <v>0</v>
      </c>
      <c r="CF17" s="4794">
        <f t="shared" si="68"/>
        <v>0</v>
      </c>
      <c r="CG17" s="4794">
        <f t="shared" si="69"/>
        <v>0</v>
      </c>
      <c r="CH17" s="4794">
        <f t="shared" si="70"/>
        <v>0</v>
      </c>
      <c r="CI17" s="4794">
        <f t="shared" si="71"/>
        <v>0</v>
      </c>
      <c r="CJ17" s="4794">
        <f t="shared" si="72"/>
        <v>0</v>
      </c>
      <c r="CK17" s="4794">
        <f t="shared" si="73"/>
        <v>0</v>
      </c>
      <c r="CL17" s="4794">
        <f t="shared" si="74"/>
        <v>0</v>
      </c>
      <c r="CM17" s="4794">
        <f t="shared" si="75"/>
        <v>0</v>
      </c>
      <c r="CN17" s="4794">
        <f t="shared" si="76"/>
        <v>0</v>
      </c>
      <c r="CO17" s="4794">
        <f t="shared" si="77"/>
        <v>0</v>
      </c>
      <c r="CP17" s="4794">
        <f t="shared" si="78"/>
        <v>0</v>
      </c>
      <c r="CQ17" s="4794">
        <f t="shared" si="79"/>
        <v>0</v>
      </c>
      <c r="CR17" s="4794">
        <f t="shared" si="80"/>
        <v>0</v>
      </c>
      <c r="CS17" s="4794">
        <f t="shared" si="81"/>
        <v>3.8166954096214911</v>
      </c>
      <c r="CT17" s="4794">
        <f t="shared" si="82"/>
        <v>0</v>
      </c>
      <c r="CU17" s="4794">
        <f t="shared" si="83"/>
        <v>0</v>
      </c>
      <c r="CV17" s="4794">
        <f t="shared" si="84"/>
        <v>0</v>
      </c>
      <c r="CW17" s="4794">
        <f t="shared" si="85"/>
        <v>0</v>
      </c>
      <c r="CX17" s="4794">
        <f t="shared" si="86"/>
        <v>0</v>
      </c>
      <c r="CY17" s="4794">
        <f t="shared" si="87"/>
        <v>500.30683309029916</v>
      </c>
      <c r="CZ17" s="4794">
        <f t="shared" si="88"/>
        <v>534.86143376469329</v>
      </c>
      <c r="DA17" s="4794">
        <f t="shared" si="89"/>
        <v>521.28307777260807</v>
      </c>
      <c r="DB17" s="4794">
        <f t="shared" si="90"/>
        <v>507.9656031454677</v>
      </c>
      <c r="DC17" s="4794">
        <f t="shared" si="91"/>
        <v>498.28257854721528</v>
      </c>
      <c r="DD17" s="4794">
        <f t="shared" si="92"/>
        <v>487.23571353338485</v>
      </c>
      <c r="DE17" s="4794">
        <f t="shared" si="93"/>
        <v>183.69150204158845</v>
      </c>
      <c r="DF17" s="4794">
        <f t="shared" si="94"/>
        <v>189.97142389675997</v>
      </c>
      <c r="DG17" s="4794">
        <f t="shared" si="95"/>
        <v>181.18369183415737</v>
      </c>
      <c r="DH17" s="4794">
        <f t="shared" si="96"/>
        <v>173.91426146444223</v>
      </c>
      <c r="DI17" s="4794">
        <f t="shared" si="97"/>
        <v>166.64483109472707</v>
      </c>
      <c r="DJ17" s="4794">
        <f t="shared" si="98"/>
        <v>158.01156030943386</v>
      </c>
    </row>
    <row r="18" spans="1:114" ht="12.75">
      <c r="A18" s="854" t="s">
        <v>93</v>
      </c>
      <c r="B18" s="915" t="s">
        <v>233</v>
      </c>
      <c r="C18" s="1204">
        <f t="shared" ref="C18:X18" si="113">SUM(C19:C21)</f>
        <v>433</v>
      </c>
      <c r="D18" s="1153">
        <f t="shared" si="113"/>
        <v>433</v>
      </c>
      <c r="E18" s="1154">
        <f t="shared" si="113"/>
        <v>433</v>
      </c>
      <c r="F18" s="1154">
        <f t="shared" si="113"/>
        <v>433</v>
      </c>
      <c r="G18" s="1168">
        <f t="shared" si="113"/>
        <v>433</v>
      </c>
      <c r="H18" s="1168">
        <f t="shared" si="113"/>
        <v>433</v>
      </c>
      <c r="I18" s="1269">
        <f t="shared" si="34"/>
        <v>0</v>
      </c>
      <c r="J18" s="725">
        <f t="shared" si="35"/>
        <v>0</v>
      </c>
      <c r="K18" s="1204">
        <f t="shared" si="113"/>
        <v>84</v>
      </c>
      <c r="L18" s="1153">
        <f t="shared" si="113"/>
        <v>84</v>
      </c>
      <c r="M18" s="1154">
        <f t="shared" si="113"/>
        <v>84</v>
      </c>
      <c r="N18" s="1154">
        <f t="shared" si="113"/>
        <v>84</v>
      </c>
      <c r="O18" s="1168">
        <f t="shared" si="113"/>
        <v>84</v>
      </c>
      <c r="P18" s="1168">
        <f t="shared" si="113"/>
        <v>84</v>
      </c>
      <c r="Q18" s="1269">
        <f t="shared" si="36"/>
        <v>0</v>
      </c>
      <c r="R18" s="897">
        <f t="shared" si="37"/>
        <v>0</v>
      </c>
      <c r="S18" s="1204">
        <f t="shared" si="113"/>
        <v>33</v>
      </c>
      <c r="T18" s="1153">
        <f t="shared" si="113"/>
        <v>33</v>
      </c>
      <c r="U18" s="1154">
        <f t="shared" si="113"/>
        <v>33</v>
      </c>
      <c r="V18" s="1154">
        <f t="shared" si="113"/>
        <v>33</v>
      </c>
      <c r="W18" s="1168">
        <f t="shared" si="113"/>
        <v>33</v>
      </c>
      <c r="X18" s="1168">
        <f t="shared" si="113"/>
        <v>33</v>
      </c>
      <c r="Y18" s="1269">
        <f t="shared" si="38"/>
        <v>0</v>
      </c>
      <c r="Z18" s="897">
        <f t="shared" si="39"/>
        <v>0</v>
      </c>
      <c r="AA18" s="1204">
        <f>SUM(AA19:AA21)</f>
        <v>0</v>
      </c>
      <c r="AB18" s="1153">
        <f t="shared" ref="AB18:AV18" si="114">SUM(AB19:AB21)</f>
        <v>0</v>
      </c>
      <c r="AC18" s="1154">
        <f t="shared" si="114"/>
        <v>0</v>
      </c>
      <c r="AD18" s="1154">
        <f t="shared" si="114"/>
        <v>0</v>
      </c>
      <c r="AE18" s="1168">
        <f t="shared" si="114"/>
        <v>0</v>
      </c>
      <c r="AF18" s="1168">
        <f t="shared" si="114"/>
        <v>0</v>
      </c>
      <c r="AG18" s="1269">
        <f t="shared" si="40"/>
        <v>0</v>
      </c>
      <c r="AH18" s="725">
        <f t="shared" si="41"/>
        <v>0</v>
      </c>
      <c r="AI18" s="1204">
        <f t="shared" si="114"/>
        <v>0</v>
      </c>
      <c r="AJ18" s="1153">
        <f t="shared" si="114"/>
        <v>0</v>
      </c>
      <c r="AK18" s="1154">
        <f t="shared" si="114"/>
        <v>0</v>
      </c>
      <c r="AL18" s="1154">
        <f t="shared" si="114"/>
        <v>0</v>
      </c>
      <c r="AM18" s="1168">
        <f t="shared" si="114"/>
        <v>0</v>
      </c>
      <c r="AN18" s="1168">
        <f t="shared" si="114"/>
        <v>0</v>
      </c>
      <c r="AO18" s="1269">
        <f t="shared" si="42"/>
        <v>0</v>
      </c>
      <c r="AP18" s="725">
        <f t="shared" si="43"/>
        <v>0</v>
      </c>
      <c r="AQ18" s="1204">
        <f t="shared" si="114"/>
        <v>0</v>
      </c>
      <c r="AR18" s="1153">
        <f t="shared" si="114"/>
        <v>0</v>
      </c>
      <c r="AS18" s="1154">
        <f t="shared" si="114"/>
        <v>0</v>
      </c>
      <c r="AT18" s="1154">
        <f t="shared" si="114"/>
        <v>0</v>
      </c>
      <c r="AU18" s="1168">
        <f t="shared" si="114"/>
        <v>0</v>
      </c>
      <c r="AV18" s="3256">
        <f t="shared" si="114"/>
        <v>0</v>
      </c>
      <c r="AW18" s="1204">
        <f t="shared" ref="AW18:BB18" si="115">SUM(AW19:AW21)</f>
        <v>550</v>
      </c>
      <c r="AX18" s="1153">
        <f t="shared" si="115"/>
        <v>550</v>
      </c>
      <c r="AY18" s="1154">
        <f t="shared" si="115"/>
        <v>550</v>
      </c>
      <c r="AZ18" s="1154">
        <f t="shared" si="115"/>
        <v>550</v>
      </c>
      <c r="BA18" s="1168">
        <f t="shared" si="115"/>
        <v>550</v>
      </c>
      <c r="BB18" s="1168">
        <f t="shared" si="115"/>
        <v>550</v>
      </c>
      <c r="BC18" s="1204">
        <f t="shared" ref="BC18:BH18" si="116">SUM(BC19:BC21)</f>
        <v>433</v>
      </c>
      <c r="BD18" s="1153">
        <f t="shared" si="116"/>
        <v>433</v>
      </c>
      <c r="BE18" s="1154">
        <f t="shared" si="116"/>
        <v>433</v>
      </c>
      <c r="BF18" s="1154">
        <f t="shared" si="116"/>
        <v>433</v>
      </c>
      <c r="BG18" s="1168">
        <f t="shared" si="116"/>
        <v>433</v>
      </c>
      <c r="BH18" s="3256">
        <f t="shared" si="116"/>
        <v>433</v>
      </c>
      <c r="BI18" s="4775"/>
      <c r="BJ18" s="4794">
        <f t="shared" si="46"/>
        <v>221.38938455796261</v>
      </c>
      <c r="BK18" s="4794">
        <f t="shared" si="47"/>
        <v>221.38938455796261</v>
      </c>
      <c r="BL18" s="4794">
        <f t="shared" si="48"/>
        <v>221.38938455796261</v>
      </c>
      <c r="BM18" s="4794">
        <f t="shared" si="49"/>
        <v>221.38938455796261</v>
      </c>
      <c r="BN18" s="4794">
        <f t="shared" si="50"/>
        <v>221.38938455796261</v>
      </c>
      <c r="BO18" s="4794">
        <f t="shared" si="51"/>
        <v>221.38938455796261</v>
      </c>
      <c r="BP18" s="4794">
        <f t="shared" si="52"/>
        <v>0</v>
      </c>
      <c r="BQ18" s="4794">
        <f t="shared" si="53"/>
        <v>42.948518020482354</v>
      </c>
      <c r="BR18" s="4794">
        <f t="shared" si="54"/>
        <v>42.948518020482354</v>
      </c>
      <c r="BS18" s="4794">
        <f t="shared" si="55"/>
        <v>42.948518020482354</v>
      </c>
      <c r="BT18" s="4794">
        <f t="shared" si="56"/>
        <v>42.948518020482354</v>
      </c>
      <c r="BU18" s="4794">
        <f t="shared" si="57"/>
        <v>42.948518020482354</v>
      </c>
      <c r="BV18" s="4794">
        <f t="shared" si="58"/>
        <v>42.948518020482354</v>
      </c>
      <c r="BW18" s="4794">
        <f t="shared" si="59"/>
        <v>0</v>
      </c>
      <c r="BX18" s="4794">
        <f t="shared" si="60"/>
        <v>16.87263207947521</v>
      </c>
      <c r="BY18" s="4794">
        <f t="shared" si="61"/>
        <v>16.87263207947521</v>
      </c>
      <c r="BZ18" s="4794">
        <f t="shared" si="62"/>
        <v>16.87263207947521</v>
      </c>
      <c r="CA18" s="4794">
        <f t="shared" si="63"/>
        <v>16.87263207947521</v>
      </c>
      <c r="CB18" s="4794">
        <f t="shared" si="64"/>
        <v>16.87263207947521</v>
      </c>
      <c r="CC18" s="4794">
        <f t="shared" si="65"/>
        <v>16.87263207947521</v>
      </c>
      <c r="CD18" s="4794">
        <f t="shared" si="66"/>
        <v>0</v>
      </c>
      <c r="CE18" s="4794">
        <f t="shared" si="67"/>
        <v>0</v>
      </c>
      <c r="CF18" s="4794">
        <f t="shared" si="68"/>
        <v>0</v>
      </c>
      <c r="CG18" s="4794">
        <f t="shared" si="69"/>
        <v>0</v>
      </c>
      <c r="CH18" s="4794">
        <f t="shared" si="70"/>
        <v>0</v>
      </c>
      <c r="CI18" s="4794">
        <f t="shared" si="71"/>
        <v>0</v>
      </c>
      <c r="CJ18" s="4794">
        <f t="shared" si="72"/>
        <v>0</v>
      </c>
      <c r="CK18" s="4794">
        <f t="shared" si="73"/>
        <v>0</v>
      </c>
      <c r="CL18" s="4794">
        <f t="shared" si="74"/>
        <v>0</v>
      </c>
      <c r="CM18" s="4794">
        <f t="shared" si="75"/>
        <v>0</v>
      </c>
      <c r="CN18" s="4794">
        <f t="shared" si="76"/>
        <v>0</v>
      </c>
      <c r="CO18" s="4794">
        <f t="shared" si="77"/>
        <v>0</v>
      </c>
      <c r="CP18" s="4794">
        <f t="shared" si="78"/>
        <v>0</v>
      </c>
      <c r="CQ18" s="4794">
        <f t="shared" si="79"/>
        <v>0</v>
      </c>
      <c r="CR18" s="4794">
        <f t="shared" si="80"/>
        <v>0</v>
      </c>
      <c r="CS18" s="4794">
        <f t="shared" si="81"/>
        <v>0</v>
      </c>
      <c r="CT18" s="4794">
        <f t="shared" si="82"/>
        <v>0</v>
      </c>
      <c r="CU18" s="4794">
        <f t="shared" si="83"/>
        <v>0</v>
      </c>
      <c r="CV18" s="4794">
        <f t="shared" si="84"/>
        <v>0</v>
      </c>
      <c r="CW18" s="4794">
        <f t="shared" si="85"/>
        <v>0</v>
      </c>
      <c r="CX18" s="4794">
        <f t="shared" si="86"/>
        <v>0</v>
      </c>
      <c r="CY18" s="4794">
        <f t="shared" si="87"/>
        <v>281.21053465792016</v>
      </c>
      <c r="CZ18" s="4794">
        <f t="shared" si="88"/>
        <v>281.21053465792016</v>
      </c>
      <c r="DA18" s="4794">
        <f t="shared" si="89"/>
        <v>281.21053465792016</v>
      </c>
      <c r="DB18" s="4794">
        <f t="shared" si="90"/>
        <v>281.21053465792016</v>
      </c>
      <c r="DC18" s="4794">
        <f t="shared" si="91"/>
        <v>281.21053465792016</v>
      </c>
      <c r="DD18" s="4794">
        <f t="shared" si="92"/>
        <v>281.21053465792016</v>
      </c>
      <c r="DE18" s="4794">
        <f t="shared" si="93"/>
        <v>221.38938455796261</v>
      </c>
      <c r="DF18" s="4794">
        <f t="shared" si="94"/>
        <v>221.38938455796261</v>
      </c>
      <c r="DG18" s="4794">
        <f t="shared" si="95"/>
        <v>221.38938455796261</v>
      </c>
      <c r="DH18" s="4794">
        <f t="shared" si="96"/>
        <v>221.38938455796261</v>
      </c>
      <c r="DI18" s="4794">
        <f t="shared" si="97"/>
        <v>221.38938455796261</v>
      </c>
      <c r="DJ18" s="4794">
        <f t="shared" si="98"/>
        <v>221.38938455796261</v>
      </c>
    </row>
    <row r="19" spans="1:114" s="690" customFormat="1" ht="12.75">
      <c r="A19" s="855" t="s">
        <v>234</v>
      </c>
      <c r="B19" s="4132" t="s">
        <v>235</v>
      </c>
      <c r="C19" s="3225"/>
      <c r="D19" s="3226"/>
      <c r="E19" s="3226"/>
      <c r="F19" s="3226"/>
      <c r="G19" s="3226"/>
      <c r="H19" s="3227"/>
      <c r="I19" s="1270">
        <f t="shared" si="34"/>
        <v>0</v>
      </c>
      <c r="J19" s="1228">
        <f t="shared" si="35"/>
        <v>0</v>
      </c>
      <c r="K19" s="3225"/>
      <c r="L19" s="3226"/>
      <c r="M19" s="3226"/>
      <c r="N19" s="3226"/>
      <c r="O19" s="3226"/>
      <c r="P19" s="3227"/>
      <c r="Q19" s="1270">
        <f t="shared" si="36"/>
        <v>0</v>
      </c>
      <c r="R19" s="1224">
        <f t="shared" si="37"/>
        <v>0</v>
      </c>
      <c r="S19" s="3225"/>
      <c r="T19" s="3226"/>
      <c r="U19" s="3226"/>
      <c r="V19" s="3226"/>
      <c r="W19" s="3226"/>
      <c r="X19" s="3227"/>
      <c r="Y19" s="1270">
        <f t="shared" si="38"/>
        <v>0</v>
      </c>
      <c r="Z19" s="1224">
        <f t="shared" si="39"/>
        <v>0</v>
      </c>
      <c r="AA19" s="3225"/>
      <c r="AB19" s="3226"/>
      <c r="AC19" s="3226"/>
      <c r="AD19" s="3226"/>
      <c r="AE19" s="3226"/>
      <c r="AF19" s="3227"/>
      <c r="AG19" s="1270">
        <f t="shared" si="40"/>
        <v>0</v>
      </c>
      <c r="AH19" s="1228">
        <f t="shared" si="41"/>
        <v>0</v>
      </c>
      <c r="AI19" s="3225"/>
      <c r="AJ19" s="3226"/>
      <c r="AK19" s="3226"/>
      <c r="AL19" s="3226"/>
      <c r="AM19" s="3226"/>
      <c r="AN19" s="3227"/>
      <c r="AO19" s="1270">
        <f t="shared" si="42"/>
        <v>0</v>
      </c>
      <c r="AP19" s="1228">
        <f t="shared" si="43"/>
        <v>0</v>
      </c>
      <c r="AQ19" s="3225"/>
      <c r="AR19" s="3226"/>
      <c r="AS19" s="3226"/>
      <c r="AT19" s="3226"/>
      <c r="AU19" s="3226"/>
      <c r="AV19" s="3255"/>
      <c r="AW19" s="1131">
        <f t="shared" ref="AW19:AW24" si="117">C19+K19+S19+AA19+AI19</f>
        <v>0</v>
      </c>
      <c r="AX19" s="3245">
        <f t="shared" ref="AX19:AX24" si="118">D19+L19+T19+AB19+AJ19</f>
        <v>0</v>
      </c>
      <c r="AY19" s="3245">
        <f t="shared" ref="AY19:AY24" si="119">E19+M19+U19+AC19+AK19</f>
        <v>0</v>
      </c>
      <c r="AZ19" s="3245">
        <f t="shared" ref="AZ19:AZ24" si="120">F19+N19+V19+AD19+AL19</f>
        <v>0</v>
      </c>
      <c r="BA19" s="3245">
        <f t="shared" ref="BA19:BA24" si="121">G19+O19+W19+AE19+AM19</f>
        <v>0</v>
      </c>
      <c r="BB19" s="3246">
        <f t="shared" ref="BB19:BB24" si="122">H19+P19+X19+AF19+AN19</f>
        <v>0</v>
      </c>
      <c r="BC19" s="3266">
        <f t="shared" ref="BC19:BC24" si="123">C19+AA19+AI19</f>
        <v>0</v>
      </c>
      <c r="BD19" s="3267">
        <f t="shared" ref="BD19:BD24" si="124">D19+AB19+AJ19</f>
        <v>0</v>
      </c>
      <c r="BE19" s="3268">
        <f t="shared" ref="BE19:BE24" si="125">E19+AC19+AK19</f>
        <v>0</v>
      </c>
      <c r="BF19" s="3268">
        <f t="shared" ref="BF19:BF24" si="126">F19+AD19+AL19</f>
        <v>0</v>
      </c>
      <c r="BG19" s="3268">
        <f t="shared" ref="BG19:BG24" si="127">G19+AE19+AM19</f>
        <v>0</v>
      </c>
      <c r="BH19" s="3270">
        <f t="shared" ref="BH19:BH24" si="128">H19+AF19+AN19</f>
        <v>0</v>
      </c>
      <c r="BI19" s="4775"/>
      <c r="BJ19" s="4794">
        <f t="shared" si="46"/>
        <v>0</v>
      </c>
      <c r="BK19" s="4794">
        <f t="shared" si="47"/>
        <v>0</v>
      </c>
      <c r="BL19" s="4794">
        <f t="shared" si="48"/>
        <v>0</v>
      </c>
      <c r="BM19" s="4794">
        <f t="shared" si="49"/>
        <v>0</v>
      </c>
      <c r="BN19" s="4794">
        <f t="shared" si="50"/>
        <v>0</v>
      </c>
      <c r="BO19" s="4794">
        <f t="shared" si="51"/>
        <v>0</v>
      </c>
      <c r="BP19" s="4794">
        <f t="shared" si="52"/>
        <v>0</v>
      </c>
      <c r="BQ19" s="4794">
        <f t="shared" si="53"/>
        <v>0</v>
      </c>
      <c r="BR19" s="4794">
        <f t="shared" si="54"/>
        <v>0</v>
      </c>
      <c r="BS19" s="4794">
        <f t="shared" si="55"/>
        <v>0</v>
      </c>
      <c r="BT19" s="4794">
        <f t="shared" si="56"/>
        <v>0</v>
      </c>
      <c r="BU19" s="4794">
        <f t="shared" si="57"/>
        <v>0</v>
      </c>
      <c r="BV19" s="4794">
        <f t="shared" si="58"/>
        <v>0</v>
      </c>
      <c r="BW19" s="4794">
        <f t="shared" si="59"/>
        <v>0</v>
      </c>
      <c r="BX19" s="4794">
        <f t="shared" si="60"/>
        <v>0</v>
      </c>
      <c r="BY19" s="4794">
        <f t="shared" si="61"/>
        <v>0</v>
      </c>
      <c r="BZ19" s="4794">
        <f t="shared" si="62"/>
        <v>0</v>
      </c>
      <c r="CA19" s="4794">
        <f t="shared" si="63"/>
        <v>0</v>
      </c>
      <c r="CB19" s="4794">
        <f t="shared" si="64"/>
        <v>0</v>
      </c>
      <c r="CC19" s="4794">
        <f t="shared" si="65"/>
        <v>0</v>
      </c>
      <c r="CD19" s="4794">
        <f t="shared" si="66"/>
        <v>0</v>
      </c>
      <c r="CE19" s="4794">
        <f t="shared" si="67"/>
        <v>0</v>
      </c>
      <c r="CF19" s="4794">
        <f t="shared" si="68"/>
        <v>0</v>
      </c>
      <c r="CG19" s="4794">
        <f t="shared" si="69"/>
        <v>0</v>
      </c>
      <c r="CH19" s="4794">
        <f t="shared" si="70"/>
        <v>0</v>
      </c>
      <c r="CI19" s="4794">
        <f t="shared" si="71"/>
        <v>0</v>
      </c>
      <c r="CJ19" s="4794">
        <f t="shared" si="72"/>
        <v>0</v>
      </c>
      <c r="CK19" s="4794">
        <f t="shared" si="73"/>
        <v>0</v>
      </c>
      <c r="CL19" s="4794">
        <f t="shared" si="74"/>
        <v>0</v>
      </c>
      <c r="CM19" s="4794">
        <f t="shared" si="75"/>
        <v>0</v>
      </c>
      <c r="CN19" s="4794">
        <f t="shared" si="76"/>
        <v>0</v>
      </c>
      <c r="CO19" s="4794">
        <f t="shared" si="77"/>
        <v>0</v>
      </c>
      <c r="CP19" s="4794">
        <f t="shared" si="78"/>
        <v>0</v>
      </c>
      <c r="CQ19" s="4794">
        <f t="shared" si="79"/>
        <v>0</v>
      </c>
      <c r="CR19" s="4794">
        <f t="shared" si="80"/>
        <v>0</v>
      </c>
      <c r="CS19" s="4794">
        <f t="shared" si="81"/>
        <v>0</v>
      </c>
      <c r="CT19" s="4794">
        <f t="shared" si="82"/>
        <v>0</v>
      </c>
      <c r="CU19" s="4794">
        <f t="shared" si="83"/>
        <v>0</v>
      </c>
      <c r="CV19" s="4794">
        <f t="shared" si="84"/>
        <v>0</v>
      </c>
      <c r="CW19" s="4794">
        <f t="shared" si="85"/>
        <v>0</v>
      </c>
      <c r="CX19" s="4794">
        <f t="shared" si="86"/>
        <v>0</v>
      </c>
      <c r="CY19" s="4794">
        <f t="shared" si="87"/>
        <v>0</v>
      </c>
      <c r="CZ19" s="4794">
        <f t="shared" si="88"/>
        <v>0</v>
      </c>
      <c r="DA19" s="4794">
        <f t="shared" si="89"/>
        <v>0</v>
      </c>
      <c r="DB19" s="4794">
        <f t="shared" si="90"/>
        <v>0</v>
      </c>
      <c r="DC19" s="4794">
        <f t="shared" si="91"/>
        <v>0</v>
      </c>
      <c r="DD19" s="4794">
        <f t="shared" si="92"/>
        <v>0</v>
      </c>
      <c r="DE19" s="4794">
        <f t="shared" si="93"/>
        <v>0</v>
      </c>
      <c r="DF19" s="4794">
        <f t="shared" si="94"/>
        <v>0</v>
      </c>
      <c r="DG19" s="4794">
        <f t="shared" si="95"/>
        <v>0</v>
      </c>
      <c r="DH19" s="4794">
        <f t="shared" si="96"/>
        <v>0</v>
      </c>
      <c r="DI19" s="4794">
        <f t="shared" si="97"/>
        <v>0</v>
      </c>
      <c r="DJ19" s="4794">
        <f t="shared" si="98"/>
        <v>0</v>
      </c>
    </row>
    <row r="20" spans="1:114" s="690" customFormat="1" ht="12.75">
      <c r="A20" s="855" t="s">
        <v>436</v>
      </c>
      <c r="B20" s="4132" t="s">
        <v>1220</v>
      </c>
      <c r="C20" s="3225">
        <v>77</v>
      </c>
      <c r="D20" s="3226">
        <v>77</v>
      </c>
      <c r="E20" s="3226">
        <v>77</v>
      </c>
      <c r="F20" s="3226">
        <v>77</v>
      </c>
      <c r="G20" s="3226">
        <v>77</v>
      </c>
      <c r="H20" s="3227">
        <v>77</v>
      </c>
      <c r="I20" s="1270">
        <f t="shared" si="34"/>
        <v>0</v>
      </c>
      <c r="J20" s="1228">
        <f t="shared" si="35"/>
        <v>0</v>
      </c>
      <c r="K20" s="3225">
        <v>18</v>
      </c>
      <c r="L20" s="3226">
        <v>18</v>
      </c>
      <c r="M20" s="3226">
        <v>18</v>
      </c>
      <c r="N20" s="3226">
        <v>18</v>
      </c>
      <c r="O20" s="3226">
        <v>18</v>
      </c>
      <c r="P20" s="3227">
        <v>18</v>
      </c>
      <c r="Q20" s="1270">
        <f t="shared" si="36"/>
        <v>0</v>
      </c>
      <c r="R20" s="1224">
        <f t="shared" si="37"/>
        <v>0</v>
      </c>
      <c r="S20" s="3225">
        <v>32</v>
      </c>
      <c r="T20" s="3226">
        <v>32</v>
      </c>
      <c r="U20" s="3226">
        <v>32</v>
      </c>
      <c r="V20" s="3226">
        <v>32</v>
      </c>
      <c r="W20" s="3226">
        <v>32</v>
      </c>
      <c r="X20" s="3227">
        <v>32</v>
      </c>
      <c r="Y20" s="1270">
        <f t="shared" si="38"/>
        <v>0</v>
      </c>
      <c r="Z20" s="1224">
        <f t="shared" si="39"/>
        <v>0</v>
      </c>
      <c r="AA20" s="3225"/>
      <c r="AB20" s="3226"/>
      <c r="AC20" s="3226"/>
      <c r="AD20" s="3226"/>
      <c r="AE20" s="3226"/>
      <c r="AF20" s="3227"/>
      <c r="AG20" s="1270">
        <f t="shared" si="40"/>
        <v>0</v>
      </c>
      <c r="AH20" s="1228">
        <f t="shared" si="41"/>
        <v>0</v>
      </c>
      <c r="AI20" s="3225"/>
      <c r="AJ20" s="3226"/>
      <c r="AK20" s="3226"/>
      <c r="AL20" s="3226"/>
      <c r="AM20" s="3226"/>
      <c r="AN20" s="3227"/>
      <c r="AO20" s="1270">
        <f t="shared" si="42"/>
        <v>0</v>
      </c>
      <c r="AP20" s="1228">
        <f t="shared" si="43"/>
        <v>0</v>
      </c>
      <c r="AQ20" s="3225"/>
      <c r="AR20" s="3226"/>
      <c r="AS20" s="3226"/>
      <c r="AT20" s="3226"/>
      <c r="AU20" s="3226"/>
      <c r="AV20" s="3255"/>
      <c r="AW20" s="1131">
        <f t="shared" si="117"/>
        <v>127</v>
      </c>
      <c r="AX20" s="3245">
        <f t="shared" si="118"/>
        <v>127</v>
      </c>
      <c r="AY20" s="3245">
        <f t="shared" si="119"/>
        <v>127</v>
      </c>
      <c r="AZ20" s="3245">
        <f t="shared" si="120"/>
        <v>127</v>
      </c>
      <c r="BA20" s="3245">
        <f t="shared" si="121"/>
        <v>127</v>
      </c>
      <c r="BB20" s="3246">
        <f t="shared" si="122"/>
        <v>127</v>
      </c>
      <c r="BC20" s="3266">
        <f t="shared" si="123"/>
        <v>77</v>
      </c>
      <c r="BD20" s="3267">
        <f t="shared" si="124"/>
        <v>77</v>
      </c>
      <c r="BE20" s="3268">
        <f t="shared" si="125"/>
        <v>77</v>
      </c>
      <c r="BF20" s="3268">
        <f t="shared" si="126"/>
        <v>77</v>
      </c>
      <c r="BG20" s="3268">
        <f t="shared" si="127"/>
        <v>77</v>
      </c>
      <c r="BH20" s="3270">
        <f t="shared" si="128"/>
        <v>77</v>
      </c>
      <c r="BI20" s="4775"/>
      <c r="BJ20" s="4794">
        <f t="shared" si="46"/>
        <v>39.369474852108823</v>
      </c>
      <c r="BK20" s="4794">
        <f t="shared" si="47"/>
        <v>39.369474852108823</v>
      </c>
      <c r="BL20" s="4794">
        <f t="shared" si="48"/>
        <v>39.369474852108823</v>
      </c>
      <c r="BM20" s="4794">
        <f t="shared" si="49"/>
        <v>39.369474852108823</v>
      </c>
      <c r="BN20" s="4794">
        <f t="shared" si="50"/>
        <v>39.369474852108823</v>
      </c>
      <c r="BO20" s="4794">
        <f t="shared" si="51"/>
        <v>39.369474852108823</v>
      </c>
      <c r="BP20" s="4794">
        <f t="shared" si="52"/>
        <v>0</v>
      </c>
      <c r="BQ20" s="4794">
        <f t="shared" si="53"/>
        <v>9.2032538615319321</v>
      </c>
      <c r="BR20" s="4794">
        <f t="shared" si="54"/>
        <v>9.2032538615319321</v>
      </c>
      <c r="BS20" s="4794">
        <f t="shared" si="55"/>
        <v>9.2032538615319321</v>
      </c>
      <c r="BT20" s="4794">
        <f t="shared" si="56"/>
        <v>9.2032538615319321</v>
      </c>
      <c r="BU20" s="4794">
        <f t="shared" si="57"/>
        <v>9.2032538615319321</v>
      </c>
      <c r="BV20" s="4794">
        <f t="shared" si="58"/>
        <v>9.2032538615319321</v>
      </c>
      <c r="BW20" s="4794">
        <f t="shared" si="59"/>
        <v>0</v>
      </c>
      <c r="BX20" s="4794">
        <f t="shared" si="60"/>
        <v>16.361340198278992</v>
      </c>
      <c r="BY20" s="4794">
        <f t="shared" si="61"/>
        <v>16.361340198278992</v>
      </c>
      <c r="BZ20" s="4794">
        <f t="shared" si="62"/>
        <v>16.361340198278992</v>
      </c>
      <c r="CA20" s="4794">
        <f t="shared" si="63"/>
        <v>16.361340198278992</v>
      </c>
      <c r="CB20" s="4794">
        <f t="shared" si="64"/>
        <v>16.361340198278992</v>
      </c>
      <c r="CC20" s="4794">
        <f t="shared" si="65"/>
        <v>16.361340198278992</v>
      </c>
      <c r="CD20" s="4794">
        <f t="shared" si="66"/>
        <v>0</v>
      </c>
      <c r="CE20" s="4794">
        <f t="shared" si="67"/>
        <v>0</v>
      </c>
      <c r="CF20" s="4794">
        <f t="shared" si="68"/>
        <v>0</v>
      </c>
      <c r="CG20" s="4794">
        <f t="shared" si="69"/>
        <v>0</v>
      </c>
      <c r="CH20" s="4794">
        <f t="shared" si="70"/>
        <v>0</v>
      </c>
      <c r="CI20" s="4794">
        <f t="shared" si="71"/>
        <v>0</v>
      </c>
      <c r="CJ20" s="4794">
        <f t="shared" si="72"/>
        <v>0</v>
      </c>
      <c r="CK20" s="4794">
        <f t="shared" si="73"/>
        <v>0</v>
      </c>
      <c r="CL20" s="4794">
        <f t="shared" si="74"/>
        <v>0</v>
      </c>
      <c r="CM20" s="4794">
        <f t="shared" si="75"/>
        <v>0</v>
      </c>
      <c r="CN20" s="4794">
        <f t="shared" si="76"/>
        <v>0</v>
      </c>
      <c r="CO20" s="4794">
        <f t="shared" si="77"/>
        <v>0</v>
      </c>
      <c r="CP20" s="4794">
        <f t="shared" si="78"/>
        <v>0</v>
      </c>
      <c r="CQ20" s="4794">
        <f t="shared" si="79"/>
        <v>0</v>
      </c>
      <c r="CR20" s="4794">
        <f t="shared" si="80"/>
        <v>0</v>
      </c>
      <c r="CS20" s="4794">
        <f t="shared" si="81"/>
        <v>0</v>
      </c>
      <c r="CT20" s="4794">
        <f t="shared" si="82"/>
        <v>0</v>
      </c>
      <c r="CU20" s="4794">
        <f t="shared" si="83"/>
        <v>0</v>
      </c>
      <c r="CV20" s="4794">
        <f t="shared" si="84"/>
        <v>0</v>
      </c>
      <c r="CW20" s="4794">
        <f t="shared" si="85"/>
        <v>0</v>
      </c>
      <c r="CX20" s="4794">
        <f t="shared" si="86"/>
        <v>0</v>
      </c>
      <c r="CY20" s="4794">
        <f t="shared" si="87"/>
        <v>64.934068911919752</v>
      </c>
      <c r="CZ20" s="4794">
        <f t="shared" si="88"/>
        <v>64.934068911919752</v>
      </c>
      <c r="DA20" s="4794">
        <f t="shared" si="89"/>
        <v>64.934068911919752</v>
      </c>
      <c r="DB20" s="4794">
        <f t="shared" si="90"/>
        <v>64.934068911919752</v>
      </c>
      <c r="DC20" s="4794">
        <f t="shared" si="91"/>
        <v>64.934068911919752</v>
      </c>
      <c r="DD20" s="4794">
        <f t="shared" si="92"/>
        <v>64.934068911919752</v>
      </c>
      <c r="DE20" s="4794">
        <f t="shared" si="93"/>
        <v>39.369474852108823</v>
      </c>
      <c r="DF20" s="4794">
        <f t="shared" si="94"/>
        <v>39.369474852108823</v>
      </c>
      <c r="DG20" s="4794">
        <f t="shared" si="95"/>
        <v>39.369474852108823</v>
      </c>
      <c r="DH20" s="4794">
        <f t="shared" si="96"/>
        <v>39.369474852108823</v>
      </c>
      <c r="DI20" s="4794">
        <f t="shared" si="97"/>
        <v>39.369474852108823</v>
      </c>
      <c r="DJ20" s="4794">
        <f t="shared" si="98"/>
        <v>39.369474852108823</v>
      </c>
    </row>
    <row r="21" spans="1:114" s="690" customFormat="1" ht="12.75">
      <c r="A21" s="855" t="s">
        <v>1221</v>
      </c>
      <c r="B21" s="3210" t="s">
        <v>1218</v>
      </c>
      <c r="C21" s="3228">
        <f>'8. Ремонтна програма'!J27</f>
        <v>356</v>
      </c>
      <c r="D21" s="3894">
        <f>'8. Ремонтна програма'!K27</f>
        <v>356</v>
      </c>
      <c r="E21" s="3229">
        <f>'8. Ремонтна програма'!L27</f>
        <v>356</v>
      </c>
      <c r="F21" s="3229">
        <f>'8. Ремонтна програма'!M27</f>
        <v>356</v>
      </c>
      <c r="G21" s="3229">
        <f>'8. Ремонтна програма'!N27</f>
        <v>356</v>
      </c>
      <c r="H21" s="3229">
        <f>'8. Ремонтна програма'!O27</f>
        <v>356</v>
      </c>
      <c r="I21" s="3246">
        <f t="shared" si="34"/>
        <v>0</v>
      </c>
      <c r="J21" s="1228">
        <f t="shared" si="35"/>
        <v>0</v>
      </c>
      <c r="K21" s="3228">
        <f>'8. Ремонтна програма'!J56</f>
        <v>66</v>
      </c>
      <c r="L21" s="1277">
        <f>'8. Ремонтна програма'!K56</f>
        <v>66</v>
      </c>
      <c r="M21" s="3229">
        <f>'8. Ремонтна програма'!L56</f>
        <v>66</v>
      </c>
      <c r="N21" s="3229">
        <f>'8. Ремонтна програма'!M56</f>
        <v>66</v>
      </c>
      <c r="O21" s="3229">
        <f>'8. Ремонтна програма'!N56</f>
        <v>66</v>
      </c>
      <c r="P21" s="3895">
        <f>'8. Ремонтна програма'!O56</f>
        <v>66</v>
      </c>
      <c r="Q21" s="1270">
        <f t="shared" si="36"/>
        <v>0</v>
      </c>
      <c r="R21" s="1224">
        <f t="shared" si="37"/>
        <v>0</v>
      </c>
      <c r="S21" s="3228">
        <f>'8. Ремонтна програма'!J82</f>
        <v>1</v>
      </c>
      <c r="T21" s="1277">
        <f>'8. Ремонтна програма'!K82</f>
        <v>1</v>
      </c>
      <c r="U21" s="3229">
        <f>'8. Ремонтна програма'!L82</f>
        <v>1</v>
      </c>
      <c r="V21" s="3229">
        <f>'8. Ремонтна програма'!M82</f>
        <v>1</v>
      </c>
      <c r="W21" s="3229">
        <f>'8. Ремонтна програма'!N82</f>
        <v>1</v>
      </c>
      <c r="X21" s="3895">
        <f>'8. Ремонтна програма'!O82</f>
        <v>1</v>
      </c>
      <c r="Y21" s="1277">
        <f t="shared" si="38"/>
        <v>0</v>
      </c>
      <c r="Z21" s="1224">
        <f t="shared" si="39"/>
        <v>0</v>
      </c>
      <c r="AA21" s="3228">
        <f>'8. Ремонтна програма'!J113</f>
        <v>0</v>
      </c>
      <c r="AB21" s="1277">
        <f>'8. Ремонтна програма'!K113</f>
        <v>0</v>
      </c>
      <c r="AC21" s="3229">
        <f>'8. Ремонтна програма'!L113</f>
        <v>0</v>
      </c>
      <c r="AD21" s="3229">
        <f>'8. Ремонтна програма'!M113</f>
        <v>0</v>
      </c>
      <c r="AE21" s="3229">
        <f>'8. Ремонтна програма'!N113</f>
        <v>0</v>
      </c>
      <c r="AF21" s="3895">
        <f>'8. Ремонтна програма'!O113</f>
        <v>0</v>
      </c>
      <c r="AG21" s="1277">
        <f t="shared" si="40"/>
        <v>0</v>
      </c>
      <c r="AH21" s="1228">
        <f t="shared" si="41"/>
        <v>0</v>
      </c>
      <c r="AI21" s="3228">
        <f>'8. Ремонтна програма'!J144</f>
        <v>0</v>
      </c>
      <c r="AJ21" s="1277">
        <f>'8. Ремонтна програма'!K144</f>
        <v>0</v>
      </c>
      <c r="AK21" s="3229">
        <f>'8. Ремонтна програма'!L144</f>
        <v>0</v>
      </c>
      <c r="AL21" s="3229">
        <f>'8. Ремонтна програма'!M144</f>
        <v>0</v>
      </c>
      <c r="AM21" s="3229">
        <f>'8. Ремонтна програма'!N144</f>
        <v>0</v>
      </c>
      <c r="AN21" s="3895">
        <f>'8. Ремонтна програма'!O144</f>
        <v>0</v>
      </c>
      <c r="AO21" s="1277">
        <f t="shared" si="42"/>
        <v>0</v>
      </c>
      <c r="AP21" s="1228">
        <f t="shared" si="43"/>
        <v>0</v>
      </c>
      <c r="AQ21" s="3225"/>
      <c r="AR21" s="3226"/>
      <c r="AS21" s="3226"/>
      <c r="AT21" s="3226"/>
      <c r="AU21" s="3226"/>
      <c r="AV21" s="3255"/>
      <c r="AW21" s="3272">
        <f t="shared" si="117"/>
        <v>423</v>
      </c>
      <c r="AX21" s="3246">
        <f t="shared" si="118"/>
        <v>423</v>
      </c>
      <c r="AY21" s="3273">
        <f t="shared" si="119"/>
        <v>423</v>
      </c>
      <c r="AZ21" s="3273">
        <f t="shared" si="120"/>
        <v>423</v>
      </c>
      <c r="BA21" s="3273">
        <f t="shared" si="121"/>
        <v>423</v>
      </c>
      <c r="BB21" s="3246">
        <f t="shared" si="122"/>
        <v>423</v>
      </c>
      <c r="BC21" s="3266">
        <f t="shared" si="123"/>
        <v>356</v>
      </c>
      <c r="BD21" s="3267">
        <f t="shared" si="124"/>
        <v>356</v>
      </c>
      <c r="BE21" s="3268">
        <f t="shared" si="125"/>
        <v>356</v>
      </c>
      <c r="BF21" s="3268">
        <f t="shared" si="126"/>
        <v>356</v>
      </c>
      <c r="BG21" s="3268">
        <f t="shared" si="127"/>
        <v>356</v>
      </c>
      <c r="BH21" s="3270">
        <f t="shared" si="128"/>
        <v>356</v>
      </c>
      <c r="BI21" s="4775"/>
      <c r="BJ21" s="4794">
        <f t="shared" si="46"/>
        <v>182.01990970585379</v>
      </c>
      <c r="BK21" s="4794">
        <f t="shared" si="47"/>
        <v>182.01990970585379</v>
      </c>
      <c r="BL21" s="4794">
        <f t="shared" si="48"/>
        <v>182.01990970585379</v>
      </c>
      <c r="BM21" s="4794">
        <f t="shared" si="49"/>
        <v>182.01990970585379</v>
      </c>
      <c r="BN21" s="4794">
        <f t="shared" si="50"/>
        <v>182.01990970585379</v>
      </c>
      <c r="BO21" s="4794">
        <f t="shared" si="51"/>
        <v>182.01990970585379</v>
      </c>
      <c r="BP21" s="4794">
        <f t="shared" si="52"/>
        <v>0</v>
      </c>
      <c r="BQ21" s="4794">
        <f t="shared" si="53"/>
        <v>33.74526415895042</v>
      </c>
      <c r="BR21" s="4794">
        <f t="shared" si="54"/>
        <v>33.74526415895042</v>
      </c>
      <c r="BS21" s="4794">
        <f t="shared" si="55"/>
        <v>33.74526415895042</v>
      </c>
      <c r="BT21" s="4794">
        <f t="shared" si="56"/>
        <v>33.74526415895042</v>
      </c>
      <c r="BU21" s="4794">
        <f t="shared" si="57"/>
        <v>33.74526415895042</v>
      </c>
      <c r="BV21" s="4794">
        <f t="shared" si="58"/>
        <v>33.74526415895042</v>
      </c>
      <c r="BW21" s="4794">
        <f t="shared" si="59"/>
        <v>0</v>
      </c>
      <c r="BX21" s="4794">
        <f t="shared" si="60"/>
        <v>0.51129188119621849</v>
      </c>
      <c r="BY21" s="4794">
        <f t="shared" si="61"/>
        <v>0.51129188119621849</v>
      </c>
      <c r="BZ21" s="4794">
        <f t="shared" si="62"/>
        <v>0.51129188119621849</v>
      </c>
      <c r="CA21" s="4794">
        <f t="shared" si="63"/>
        <v>0.51129188119621849</v>
      </c>
      <c r="CB21" s="4794">
        <f t="shared" si="64"/>
        <v>0.51129188119621849</v>
      </c>
      <c r="CC21" s="4794">
        <f t="shared" si="65"/>
        <v>0.51129188119621849</v>
      </c>
      <c r="CD21" s="4794">
        <f t="shared" si="66"/>
        <v>0</v>
      </c>
      <c r="CE21" s="4794">
        <f t="shared" si="67"/>
        <v>0</v>
      </c>
      <c r="CF21" s="4794">
        <f t="shared" si="68"/>
        <v>0</v>
      </c>
      <c r="CG21" s="4794">
        <f t="shared" si="69"/>
        <v>0</v>
      </c>
      <c r="CH21" s="4794">
        <f t="shared" si="70"/>
        <v>0</v>
      </c>
      <c r="CI21" s="4794">
        <f t="shared" si="71"/>
        <v>0</v>
      </c>
      <c r="CJ21" s="4794">
        <f t="shared" si="72"/>
        <v>0</v>
      </c>
      <c r="CK21" s="4794">
        <f t="shared" si="73"/>
        <v>0</v>
      </c>
      <c r="CL21" s="4794">
        <f t="shared" si="74"/>
        <v>0</v>
      </c>
      <c r="CM21" s="4794">
        <f t="shared" si="75"/>
        <v>0</v>
      </c>
      <c r="CN21" s="4794">
        <f t="shared" si="76"/>
        <v>0</v>
      </c>
      <c r="CO21" s="4794">
        <f t="shared" si="77"/>
        <v>0</v>
      </c>
      <c r="CP21" s="4794">
        <f t="shared" si="78"/>
        <v>0</v>
      </c>
      <c r="CQ21" s="4794">
        <f t="shared" si="79"/>
        <v>0</v>
      </c>
      <c r="CR21" s="4794">
        <f t="shared" si="80"/>
        <v>0</v>
      </c>
      <c r="CS21" s="4794">
        <f t="shared" si="81"/>
        <v>0</v>
      </c>
      <c r="CT21" s="4794">
        <f t="shared" si="82"/>
        <v>0</v>
      </c>
      <c r="CU21" s="4794">
        <f t="shared" si="83"/>
        <v>0</v>
      </c>
      <c r="CV21" s="4794">
        <f t="shared" si="84"/>
        <v>0</v>
      </c>
      <c r="CW21" s="4794">
        <f t="shared" si="85"/>
        <v>0</v>
      </c>
      <c r="CX21" s="4794">
        <f t="shared" si="86"/>
        <v>0</v>
      </c>
      <c r="CY21" s="4794">
        <f t="shared" si="87"/>
        <v>216.27646574600041</v>
      </c>
      <c r="CZ21" s="4794">
        <f t="shared" si="88"/>
        <v>216.27646574600041</v>
      </c>
      <c r="DA21" s="4794">
        <f t="shared" si="89"/>
        <v>216.27646574600041</v>
      </c>
      <c r="DB21" s="4794">
        <f t="shared" si="90"/>
        <v>216.27646574600041</v>
      </c>
      <c r="DC21" s="4794">
        <f t="shared" si="91"/>
        <v>216.27646574600041</v>
      </c>
      <c r="DD21" s="4794">
        <f t="shared" si="92"/>
        <v>216.27646574600041</v>
      </c>
      <c r="DE21" s="4794">
        <f t="shared" si="93"/>
        <v>182.01990970585379</v>
      </c>
      <c r="DF21" s="4794">
        <f t="shared" si="94"/>
        <v>182.01990970585379</v>
      </c>
      <c r="DG21" s="4794">
        <f t="shared" si="95"/>
        <v>182.01990970585379</v>
      </c>
      <c r="DH21" s="4794">
        <f t="shared" si="96"/>
        <v>182.01990970585379</v>
      </c>
      <c r="DI21" s="4794">
        <f t="shared" si="97"/>
        <v>182.01990970585379</v>
      </c>
      <c r="DJ21" s="4794">
        <f t="shared" si="98"/>
        <v>182.01990970585379</v>
      </c>
    </row>
    <row r="22" spans="1:114" ht="12.75">
      <c r="A22" s="854" t="s">
        <v>145</v>
      </c>
      <c r="B22" s="915" t="s">
        <v>236</v>
      </c>
      <c r="C22" s="3225">
        <v>50</v>
      </c>
      <c r="D22" s="3226">
        <v>50</v>
      </c>
      <c r="E22" s="3226">
        <v>50</v>
      </c>
      <c r="F22" s="3226">
        <v>50</v>
      </c>
      <c r="G22" s="3226">
        <v>50</v>
      </c>
      <c r="H22" s="3227">
        <v>50</v>
      </c>
      <c r="I22" s="1270">
        <f t="shared" si="34"/>
        <v>0</v>
      </c>
      <c r="J22" s="842">
        <f t="shared" si="35"/>
        <v>0</v>
      </c>
      <c r="K22" s="3225">
        <v>10</v>
      </c>
      <c r="L22" s="3226">
        <v>10</v>
      </c>
      <c r="M22" s="3226">
        <v>10</v>
      </c>
      <c r="N22" s="3226">
        <v>10</v>
      </c>
      <c r="O22" s="3226">
        <v>10</v>
      </c>
      <c r="P22" s="3227">
        <v>10</v>
      </c>
      <c r="Q22" s="1270">
        <f t="shared" si="36"/>
        <v>0</v>
      </c>
      <c r="R22" s="1140">
        <f t="shared" si="37"/>
        <v>0</v>
      </c>
      <c r="S22" s="3225">
        <v>14</v>
      </c>
      <c r="T22" s="3226">
        <v>14</v>
      </c>
      <c r="U22" s="3226">
        <v>14</v>
      </c>
      <c r="V22" s="3226">
        <v>14</v>
      </c>
      <c r="W22" s="3226">
        <v>14</v>
      </c>
      <c r="X22" s="3227">
        <v>14</v>
      </c>
      <c r="Y22" s="1270">
        <f t="shared" si="38"/>
        <v>0</v>
      </c>
      <c r="Z22" s="1140">
        <f t="shared" si="39"/>
        <v>0</v>
      </c>
      <c r="AA22" s="3225"/>
      <c r="AB22" s="3226"/>
      <c r="AC22" s="3226"/>
      <c r="AD22" s="3226"/>
      <c r="AE22" s="3226"/>
      <c r="AF22" s="3227"/>
      <c r="AG22" s="1270">
        <f t="shared" si="40"/>
        <v>0</v>
      </c>
      <c r="AH22" s="842">
        <f t="shared" si="41"/>
        <v>0</v>
      </c>
      <c r="AI22" s="3225"/>
      <c r="AJ22" s="3226"/>
      <c r="AK22" s="3226"/>
      <c r="AL22" s="3226"/>
      <c r="AM22" s="3226"/>
      <c r="AN22" s="3227"/>
      <c r="AO22" s="1270">
        <f t="shared" si="42"/>
        <v>0</v>
      </c>
      <c r="AP22" s="842">
        <f t="shared" si="43"/>
        <v>0</v>
      </c>
      <c r="AQ22" s="3225"/>
      <c r="AR22" s="3226"/>
      <c r="AS22" s="3226"/>
      <c r="AT22" s="3226"/>
      <c r="AU22" s="3226"/>
      <c r="AV22" s="3255"/>
      <c r="AW22" s="1131">
        <f t="shared" si="117"/>
        <v>74</v>
      </c>
      <c r="AX22" s="3245">
        <f t="shared" si="118"/>
        <v>74</v>
      </c>
      <c r="AY22" s="3245">
        <f t="shared" si="119"/>
        <v>74</v>
      </c>
      <c r="AZ22" s="3245">
        <f t="shared" si="120"/>
        <v>74</v>
      </c>
      <c r="BA22" s="3245">
        <f t="shared" si="121"/>
        <v>74</v>
      </c>
      <c r="BB22" s="3246">
        <f t="shared" si="122"/>
        <v>74</v>
      </c>
      <c r="BC22" s="3266">
        <f t="shared" si="123"/>
        <v>50</v>
      </c>
      <c r="BD22" s="3267">
        <f t="shared" si="124"/>
        <v>50</v>
      </c>
      <c r="BE22" s="3268">
        <f t="shared" si="125"/>
        <v>50</v>
      </c>
      <c r="BF22" s="3268">
        <f t="shared" si="126"/>
        <v>50</v>
      </c>
      <c r="BG22" s="3268">
        <f t="shared" si="127"/>
        <v>50</v>
      </c>
      <c r="BH22" s="3270">
        <f t="shared" si="128"/>
        <v>50</v>
      </c>
      <c r="BI22" s="4775"/>
      <c r="BJ22" s="4794">
        <f t="shared" si="46"/>
        <v>25.564594059810926</v>
      </c>
      <c r="BK22" s="4794">
        <f t="shared" si="47"/>
        <v>25.564594059810926</v>
      </c>
      <c r="BL22" s="4794">
        <f t="shared" si="48"/>
        <v>25.564594059810926</v>
      </c>
      <c r="BM22" s="4794">
        <f t="shared" si="49"/>
        <v>25.564594059810926</v>
      </c>
      <c r="BN22" s="4794">
        <f t="shared" si="50"/>
        <v>25.564594059810926</v>
      </c>
      <c r="BO22" s="4794">
        <f t="shared" si="51"/>
        <v>25.564594059810926</v>
      </c>
      <c r="BP22" s="4794">
        <f t="shared" si="52"/>
        <v>0</v>
      </c>
      <c r="BQ22" s="4794">
        <f t="shared" si="53"/>
        <v>5.1129188119621851</v>
      </c>
      <c r="BR22" s="4794">
        <f t="shared" si="54"/>
        <v>5.1129188119621851</v>
      </c>
      <c r="BS22" s="4794">
        <f t="shared" si="55"/>
        <v>5.1129188119621851</v>
      </c>
      <c r="BT22" s="4794">
        <f t="shared" si="56"/>
        <v>5.1129188119621851</v>
      </c>
      <c r="BU22" s="4794">
        <f t="shared" si="57"/>
        <v>5.1129188119621851</v>
      </c>
      <c r="BV22" s="4794">
        <f t="shared" si="58"/>
        <v>5.1129188119621851</v>
      </c>
      <c r="BW22" s="4794">
        <f t="shared" si="59"/>
        <v>0</v>
      </c>
      <c r="BX22" s="4794">
        <f t="shared" si="60"/>
        <v>7.1580863367470586</v>
      </c>
      <c r="BY22" s="4794">
        <f t="shared" si="61"/>
        <v>7.1580863367470586</v>
      </c>
      <c r="BZ22" s="4794">
        <f t="shared" si="62"/>
        <v>7.1580863367470586</v>
      </c>
      <c r="CA22" s="4794">
        <f t="shared" si="63"/>
        <v>7.1580863367470586</v>
      </c>
      <c r="CB22" s="4794">
        <f t="shared" si="64"/>
        <v>7.1580863367470586</v>
      </c>
      <c r="CC22" s="4794">
        <f t="shared" si="65"/>
        <v>7.1580863367470586</v>
      </c>
      <c r="CD22" s="4794">
        <f t="shared" si="66"/>
        <v>0</v>
      </c>
      <c r="CE22" s="4794">
        <f t="shared" si="67"/>
        <v>0</v>
      </c>
      <c r="CF22" s="4794">
        <f t="shared" si="68"/>
        <v>0</v>
      </c>
      <c r="CG22" s="4794">
        <f t="shared" si="69"/>
        <v>0</v>
      </c>
      <c r="CH22" s="4794">
        <f t="shared" si="70"/>
        <v>0</v>
      </c>
      <c r="CI22" s="4794">
        <f t="shared" si="71"/>
        <v>0</v>
      </c>
      <c r="CJ22" s="4794">
        <f t="shared" si="72"/>
        <v>0</v>
      </c>
      <c r="CK22" s="4794">
        <f t="shared" si="73"/>
        <v>0</v>
      </c>
      <c r="CL22" s="4794">
        <f t="shared" si="74"/>
        <v>0</v>
      </c>
      <c r="CM22" s="4794">
        <f t="shared" si="75"/>
        <v>0</v>
      </c>
      <c r="CN22" s="4794">
        <f t="shared" si="76"/>
        <v>0</v>
      </c>
      <c r="CO22" s="4794">
        <f t="shared" si="77"/>
        <v>0</v>
      </c>
      <c r="CP22" s="4794">
        <f t="shared" si="78"/>
        <v>0</v>
      </c>
      <c r="CQ22" s="4794">
        <f t="shared" si="79"/>
        <v>0</v>
      </c>
      <c r="CR22" s="4794">
        <f t="shared" si="80"/>
        <v>0</v>
      </c>
      <c r="CS22" s="4794">
        <f t="shared" si="81"/>
        <v>0</v>
      </c>
      <c r="CT22" s="4794">
        <f t="shared" si="82"/>
        <v>0</v>
      </c>
      <c r="CU22" s="4794">
        <f t="shared" si="83"/>
        <v>0</v>
      </c>
      <c r="CV22" s="4794">
        <f t="shared" si="84"/>
        <v>0</v>
      </c>
      <c r="CW22" s="4794">
        <f t="shared" si="85"/>
        <v>0</v>
      </c>
      <c r="CX22" s="4794">
        <f t="shared" si="86"/>
        <v>0</v>
      </c>
      <c r="CY22" s="4794">
        <f t="shared" si="87"/>
        <v>37.835599208520172</v>
      </c>
      <c r="CZ22" s="4794">
        <f t="shared" si="88"/>
        <v>37.835599208520172</v>
      </c>
      <c r="DA22" s="4794">
        <f t="shared" si="89"/>
        <v>37.835599208520172</v>
      </c>
      <c r="DB22" s="4794">
        <f t="shared" si="90"/>
        <v>37.835599208520172</v>
      </c>
      <c r="DC22" s="4794">
        <f t="shared" si="91"/>
        <v>37.835599208520172</v>
      </c>
      <c r="DD22" s="4794">
        <f t="shared" si="92"/>
        <v>37.835599208520172</v>
      </c>
      <c r="DE22" s="4794">
        <f t="shared" si="93"/>
        <v>25.564594059810926</v>
      </c>
      <c r="DF22" s="4794">
        <f t="shared" si="94"/>
        <v>25.564594059810926</v>
      </c>
      <c r="DG22" s="4794">
        <f t="shared" si="95"/>
        <v>25.564594059810926</v>
      </c>
      <c r="DH22" s="4794">
        <f t="shared" si="96"/>
        <v>25.564594059810926</v>
      </c>
      <c r="DI22" s="4794">
        <f t="shared" si="97"/>
        <v>25.564594059810926</v>
      </c>
      <c r="DJ22" s="4794">
        <f t="shared" si="98"/>
        <v>25.564594059810926</v>
      </c>
    </row>
    <row r="23" spans="1:114" ht="12.75">
      <c r="A23" s="854" t="s">
        <v>147</v>
      </c>
      <c r="B23" s="915" t="s">
        <v>237</v>
      </c>
      <c r="C23" s="3225">
        <v>30</v>
      </c>
      <c r="D23" s="3226">
        <v>30</v>
      </c>
      <c r="E23" s="3226">
        <v>30</v>
      </c>
      <c r="F23" s="3226">
        <v>30</v>
      </c>
      <c r="G23" s="3226">
        <v>30</v>
      </c>
      <c r="H23" s="3227">
        <v>30</v>
      </c>
      <c r="I23" s="1270">
        <f t="shared" si="34"/>
        <v>0</v>
      </c>
      <c r="J23" s="842">
        <f t="shared" si="35"/>
        <v>0</v>
      </c>
      <c r="K23" s="3225">
        <v>5</v>
      </c>
      <c r="L23" s="3226">
        <v>5</v>
      </c>
      <c r="M23" s="3226">
        <v>5</v>
      </c>
      <c r="N23" s="3226">
        <v>5</v>
      </c>
      <c r="O23" s="3226">
        <v>5</v>
      </c>
      <c r="P23" s="3227">
        <v>5</v>
      </c>
      <c r="Q23" s="1270">
        <f t="shared" si="36"/>
        <v>0</v>
      </c>
      <c r="R23" s="1140">
        <f t="shared" si="37"/>
        <v>0</v>
      </c>
      <c r="S23" s="3225">
        <v>6</v>
      </c>
      <c r="T23" s="3226">
        <v>6</v>
      </c>
      <c r="U23" s="3226">
        <v>6</v>
      </c>
      <c r="V23" s="3226">
        <v>6</v>
      </c>
      <c r="W23" s="3226">
        <v>6</v>
      </c>
      <c r="X23" s="3227">
        <v>6</v>
      </c>
      <c r="Y23" s="1270">
        <f t="shared" si="38"/>
        <v>0</v>
      </c>
      <c r="Z23" s="1140">
        <f t="shared" si="39"/>
        <v>0</v>
      </c>
      <c r="AA23" s="3225"/>
      <c r="AB23" s="3226"/>
      <c r="AC23" s="3226"/>
      <c r="AD23" s="3226"/>
      <c r="AE23" s="3226"/>
      <c r="AF23" s="3227"/>
      <c r="AG23" s="1270">
        <f t="shared" si="40"/>
        <v>0</v>
      </c>
      <c r="AH23" s="842">
        <f t="shared" si="41"/>
        <v>0</v>
      </c>
      <c r="AI23" s="3225"/>
      <c r="AJ23" s="3226"/>
      <c r="AK23" s="3226"/>
      <c r="AL23" s="3226"/>
      <c r="AM23" s="3226"/>
      <c r="AN23" s="3227"/>
      <c r="AO23" s="1270">
        <f t="shared" si="42"/>
        <v>0</v>
      </c>
      <c r="AP23" s="842">
        <f t="shared" si="43"/>
        <v>0</v>
      </c>
      <c r="AQ23" s="3225"/>
      <c r="AR23" s="3226"/>
      <c r="AS23" s="3226"/>
      <c r="AT23" s="3226"/>
      <c r="AU23" s="3226"/>
      <c r="AV23" s="3255"/>
      <c r="AW23" s="1131">
        <f t="shared" si="117"/>
        <v>41</v>
      </c>
      <c r="AX23" s="3245">
        <f t="shared" si="118"/>
        <v>41</v>
      </c>
      <c r="AY23" s="3245">
        <f t="shared" si="119"/>
        <v>41</v>
      </c>
      <c r="AZ23" s="3245">
        <f t="shared" si="120"/>
        <v>41</v>
      </c>
      <c r="BA23" s="3245">
        <f t="shared" si="121"/>
        <v>41</v>
      </c>
      <c r="BB23" s="3246">
        <f t="shared" si="122"/>
        <v>41</v>
      </c>
      <c r="BC23" s="3266">
        <f t="shared" si="123"/>
        <v>30</v>
      </c>
      <c r="BD23" s="3267">
        <f t="shared" si="124"/>
        <v>30</v>
      </c>
      <c r="BE23" s="3268">
        <f t="shared" si="125"/>
        <v>30</v>
      </c>
      <c r="BF23" s="3268">
        <f t="shared" si="126"/>
        <v>30</v>
      </c>
      <c r="BG23" s="3268">
        <f t="shared" si="127"/>
        <v>30</v>
      </c>
      <c r="BH23" s="3270">
        <f t="shared" si="128"/>
        <v>30</v>
      </c>
      <c r="BI23" s="4775"/>
      <c r="BJ23" s="4794">
        <f t="shared" si="46"/>
        <v>15.338756435886555</v>
      </c>
      <c r="BK23" s="4794">
        <f t="shared" si="47"/>
        <v>15.338756435886555</v>
      </c>
      <c r="BL23" s="4794">
        <f t="shared" si="48"/>
        <v>15.338756435886555</v>
      </c>
      <c r="BM23" s="4794">
        <f t="shared" si="49"/>
        <v>15.338756435886555</v>
      </c>
      <c r="BN23" s="4794">
        <f t="shared" si="50"/>
        <v>15.338756435886555</v>
      </c>
      <c r="BO23" s="4794">
        <f t="shared" si="51"/>
        <v>15.338756435886555</v>
      </c>
      <c r="BP23" s="4794">
        <f t="shared" si="52"/>
        <v>0</v>
      </c>
      <c r="BQ23" s="4794">
        <f t="shared" si="53"/>
        <v>2.5564594059810926</v>
      </c>
      <c r="BR23" s="4794">
        <f t="shared" si="54"/>
        <v>2.5564594059810926</v>
      </c>
      <c r="BS23" s="4794">
        <f t="shared" si="55"/>
        <v>2.5564594059810926</v>
      </c>
      <c r="BT23" s="4794">
        <f t="shared" si="56"/>
        <v>2.5564594059810926</v>
      </c>
      <c r="BU23" s="4794">
        <f t="shared" si="57"/>
        <v>2.5564594059810926</v>
      </c>
      <c r="BV23" s="4794">
        <f t="shared" si="58"/>
        <v>2.5564594059810926</v>
      </c>
      <c r="BW23" s="4794">
        <f t="shared" si="59"/>
        <v>0</v>
      </c>
      <c r="BX23" s="4794">
        <f t="shared" si="60"/>
        <v>3.0677512871773112</v>
      </c>
      <c r="BY23" s="4794">
        <f t="shared" si="61"/>
        <v>3.0677512871773112</v>
      </c>
      <c r="BZ23" s="4794">
        <f t="shared" si="62"/>
        <v>3.0677512871773112</v>
      </c>
      <c r="CA23" s="4794">
        <f t="shared" si="63"/>
        <v>3.0677512871773112</v>
      </c>
      <c r="CB23" s="4794">
        <f t="shared" si="64"/>
        <v>3.0677512871773112</v>
      </c>
      <c r="CC23" s="4794">
        <f t="shared" si="65"/>
        <v>3.0677512871773112</v>
      </c>
      <c r="CD23" s="4794">
        <f t="shared" si="66"/>
        <v>0</v>
      </c>
      <c r="CE23" s="4794">
        <f t="shared" si="67"/>
        <v>0</v>
      </c>
      <c r="CF23" s="4794">
        <f t="shared" si="68"/>
        <v>0</v>
      </c>
      <c r="CG23" s="4794">
        <f t="shared" si="69"/>
        <v>0</v>
      </c>
      <c r="CH23" s="4794">
        <f t="shared" si="70"/>
        <v>0</v>
      </c>
      <c r="CI23" s="4794">
        <f t="shared" si="71"/>
        <v>0</v>
      </c>
      <c r="CJ23" s="4794">
        <f t="shared" si="72"/>
        <v>0</v>
      </c>
      <c r="CK23" s="4794">
        <f t="shared" si="73"/>
        <v>0</v>
      </c>
      <c r="CL23" s="4794">
        <f t="shared" si="74"/>
        <v>0</v>
      </c>
      <c r="CM23" s="4794">
        <f t="shared" si="75"/>
        <v>0</v>
      </c>
      <c r="CN23" s="4794">
        <f t="shared" si="76"/>
        <v>0</v>
      </c>
      <c r="CO23" s="4794">
        <f t="shared" si="77"/>
        <v>0</v>
      </c>
      <c r="CP23" s="4794">
        <f t="shared" si="78"/>
        <v>0</v>
      </c>
      <c r="CQ23" s="4794">
        <f t="shared" si="79"/>
        <v>0</v>
      </c>
      <c r="CR23" s="4794">
        <f t="shared" si="80"/>
        <v>0</v>
      </c>
      <c r="CS23" s="4794">
        <f t="shared" si="81"/>
        <v>0</v>
      </c>
      <c r="CT23" s="4794">
        <f t="shared" si="82"/>
        <v>0</v>
      </c>
      <c r="CU23" s="4794">
        <f t="shared" si="83"/>
        <v>0</v>
      </c>
      <c r="CV23" s="4794">
        <f t="shared" si="84"/>
        <v>0</v>
      </c>
      <c r="CW23" s="4794">
        <f t="shared" si="85"/>
        <v>0</v>
      </c>
      <c r="CX23" s="4794">
        <f t="shared" si="86"/>
        <v>0</v>
      </c>
      <c r="CY23" s="4794">
        <f t="shared" si="87"/>
        <v>20.962967129044959</v>
      </c>
      <c r="CZ23" s="4794">
        <f t="shared" si="88"/>
        <v>20.962967129044959</v>
      </c>
      <c r="DA23" s="4794">
        <f t="shared" si="89"/>
        <v>20.962967129044959</v>
      </c>
      <c r="DB23" s="4794">
        <f t="shared" si="90"/>
        <v>20.962967129044959</v>
      </c>
      <c r="DC23" s="4794">
        <f t="shared" si="91"/>
        <v>20.962967129044959</v>
      </c>
      <c r="DD23" s="4794">
        <f t="shared" si="92"/>
        <v>20.962967129044959</v>
      </c>
      <c r="DE23" s="4794">
        <f t="shared" si="93"/>
        <v>15.338756435886555</v>
      </c>
      <c r="DF23" s="4794">
        <f t="shared" si="94"/>
        <v>15.338756435886555</v>
      </c>
      <c r="DG23" s="4794">
        <f t="shared" si="95"/>
        <v>15.338756435886555</v>
      </c>
      <c r="DH23" s="4794">
        <f t="shared" si="96"/>
        <v>15.338756435886555</v>
      </c>
      <c r="DI23" s="4794">
        <f t="shared" si="97"/>
        <v>15.338756435886555</v>
      </c>
      <c r="DJ23" s="4794">
        <f t="shared" si="98"/>
        <v>15.338756435886555</v>
      </c>
    </row>
    <row r="24" spans="1:114" s="692" customFormat="1" ht="12.75">
      <c r="A24" s="854" t="s">
        <v>149</v>
      </c>
      <c r="B24" s="915" t="s">
        <v>642</v>
      </c>
      <c r="C24" s="2816">
        <f>'8. Ремонтна програма'!J29</f>
        <v>504</v>
      </c>
      <c r="D24" s="1268">
        <f>'8. Ремонтна програма'!K29</f>
        <v>504</v>
      </c>
      <c r="E24" s="1152">
        <f>'8. Ремонтна програма'!L29</f>
        <v>504</v>
      </c>
      <c r="F24" s="1152">
        <f>'8. Ремонтна програма'!M29</f>
        <v>504</v>
      </c>
      <c r="G24" s="1152">
        <f>'8. Ремонтна програма'!N29</f>
        <v>504</v>
      </c>
      <c r="H24" s="3271">
        <f>'8. Ремонтна програма'!O29</f>
        <v>504</v>
      </c>
      <c r="I24" s="1268">
        <f t="shared" si="34"/>
        <v>0</v>
      </c>
      <c r="J24" s="838">
        <f t="shared" si="35"/>
        <v>0</v>
      </c>
      <c r="K24" s="2816">
        <f>'8. Ремонтна програма'!J58</f>
        <v>81</v>
      </c>
      <c r="L24" s="1268">
        <f>'8. Ремонтна програма'!K58</f>
        <v>81</v>
      </c>
      <c r="M24" s="1152">
        <f>'8. Ремонтна програма'!L58</f>
        <v>81</v>
      </c>
      <c r="N24" s="1152">
        <f>'8. Ремонтна програма'!M58</f>
        <v>81</v>
      </c>
      <c r="O24" s="1152">
        <f>'8. Ремонтна програма'!N58</f>
        <v>81</v>
      </c>
      <c r="P24" s="3271">
        <f>'8. Ремонтна програма'!O58</f>
        <v>81</v>
      </c>
      <c r="Q24" s="1268">
        <f t="shared" si="36"/>
        <v>0</v>
      </c>
      <c r="R24" s="896">
        <f t="shared" si="37"/>
        <v>0</v>
      </c>
      <c r="S24" s="2816">
        <f>'8. Ремонтна програма'!J84</f>
        <v>151</v>
      </c>
      <c r="T24" s="1268">
        <f>'8. Ремонтна програма'!K84</f>
        <v>151</v>
      </c>
      <c r="U24" s="1152">
        <f>'8. Ремонтна програма'!L84</f>
        <v>151</v>
      </c>
      <c r="V24" s="1152">
        <f>'8. Ремонтна програма'!M84</f>
        <v>151</v>
      </c>
      <c r="W24" s="1152">
        <f>'8. Ремонтна програма'!N84</f>
        <v>151</v>
      </c>
      <c r="X24" s="3271">
        <f>'8. Ремонтна програма'!O84</f>
        <v>151</v>
      </c>
      <c r="Y24" s="1268">
        <f t="shared" si="38"/>
        <v>0</v>
      </c>
      <c r="Z24" s="896">
        <f t="shared" si="39"/>
        <v>0</v>
      </c>
      <c r="AA24" s="2816">
        <f>'8. Ремонтна програма'!J115</f>
        <v>0</v>
      </c>
      <c r="AB24" s="1268">
        <f>'8. Ремонтна програма'!K115</f>
        <v>0</v>
      </c>
      <c r="AC24" s="1152">
        <f>'8. Ремонтна програма'!L115</f>
        <v>0</v>
      </c>
      <c r="AD24" s="1152">
        <f>'8. Ремонтна програма'!M115</f>
        <v>0</v>
      </c>
      <c r="AE24" s="1152">
        <f>'8. Ремонтна програма'!N115</f>
        <v>0</v>
      </c>
      <c r="AF24" s="3271">
        <f>'8. Ремонтна програма'!O115</f>
        <v>0</v>
      </c>
      <c r="AG24" s="1268">
        <f t="shared" si="40"/>
        <v>0</v>
      </c>
      <c r="AH24" s="838">
        <f t="shared" si="41"/>
        <v>0</v>
      </c>
      <c r="AI24" s="1131">
        <f>'8. Ремонтна програма'!J146</f>
        <v>0</v>
      </c>
      <c r="AJ24" s="1274">
        <f>'8. Ремонтна програма'!K146</f>
        <v>0</v>
      </c>
      <c r="AK24" s="1155">
        <f>'8. Ремонтна програма'!L146</f>
        <v>0</v>
      </c>
      <c r="AL24" s="1155">
        <f>'8. Ремонтна програма'!M146</f>
        <v>0</v>
      </c>
      <c r="AM24" s="1155">
        <f>'8. Ремонтна програма'!N146</f>
        <v>0</v>
      </c>
      <c r="AN24" s="3262">
        <f>'8. Ремонтна програма'!O146</f>
        <v>0</v>
      </c>
      <c r="AO24" s="1268">
        <f t="shared" si="42"/>
        <v>0</v>
      </c>
      <c r="AP24" s="838">
        <f t="shared" si="43"/>
        <v>0</v>
      </c>
      <c r="AQ24" s="3225"/>
      <c r="AR24" s="3226"/>
      <c r="AS24" s="3226"/>
      <c r="AT24" s="3226"/>
      <c r="AU24" s="3226"/>
      <c r="AV24" s="3255"/>
      <c r="AW24" s="1131">
        <f t="shared" si="117"/>
        <v>736</v>
      </c>
      <c r="AX24" s="926">
        <f t="shared" si="118"/>
        <v>736</v>
      </c>
      <c r="AY24" s="926">
        <f t="shared" si="119"/>
        <v>736</v>
      </c>
      <c r="AZ24" s="926">
        <f t="shared" si="120"/>
        <v>736</v>
      </c>
      <c r="BA24" s="926">
        <f t="shared" si="121"/>
        <v>736</v>
      </c>
      <c r="BB24" s="1160">
        <f t="shared" si="122"/>
        <v>736</v>
      </c>
      <c r="BC24" s="3266">
        <f t="shared" si="123"/>
        <v>504</v>
      </c>
      <c r="BD24" s="3267">
        <f t="shared" si="124"/>
        <v>504</v>
      </c>
      <c r="BE24" s="3268">
        <f t="shared" si="125"/>
        <v>504</v>
      </c>
      <c r="BF24" s="3268">
        <f t="shared" si="126"/>
        <v>504</v>
      </c>
      <c r="BG24" s="3268">
        <f t="shared" si="127"/>
        <v>504</v>
      </c>
      <c r="BH24" s="3270">
        <f t="shared" si="128"/>
        <v>504</v>
      </c>
      <c r="BI24" s="4775"/>
      <c r="BJ24" s="4794">
        <f t="shared" si="46"/>
        <v>257.69110812289415</v>
      </c>
      <c r="BK24" s="4794">
        <f t="shared" si="47"/>
        <v>257.69110812289415</v>
      </c>
      <c r="BL24" s="4794">
        <f t="shared" si="48"/>
        <v>257.69110812289415</v>
      </c>
      <c r="BM24" s="4794">
        <f t="shared" si="49"/>
        <v>257.69110812289415</v>
      </c>
      <c r="BN24" s="4794">
        <f t="shared" si="50"/>
        <v>257.69110812289415</v>
      </c>
      <c r="BO24" s="4794">
        <f t="shared" si="51"/>
        <v>257.69110812289415</v>
      </c>
      <c r="BP24" s="4794">
        <f t="shared" si="52"/>
        <v>0</v>
      </c>
      <c r="BQ24" s="4794">
        <f t="shared" si="53"/>
        <v>41.414642376893696</v>
      </c>
      <c r="BR24" s="4794">
        <f t="shared" si="54"/>
        <v>41.414642376893696</v>
      </c>
      <c r="BS24" s="4794">
        <f t="shared" si="55"/>
        <v>41.414642376893696</v>
      </c>
      <c r="BT24" s="4794">
        <f t="shared" si="56"/>
        <v>41.414642376893696</v>
      </c>
      <c r="BU24" s="4794">
        <f t="shared" si="57"/>
        <v>41.414642376893696</v>
      </c>
      <c r="BV24" s="4794">
        <f t="shared" si="58"/>
        <v>41.414642376893696</v>
      </c>
      <c r="BW24" s="4794">
        <f t="shared" si="59"/>
        <v>0</v>
      </c>
      <c r="BX24" s="4794">
        <f t="shared" si="60"/>
        <v>77.205074060628988</v>
      </c>
      <c r="BY24" s="4794">
        <f t="shared" si="61"/>
        <v>77.205074060628988</v>
      </c>
      <c r="BZ24" s="4794">
        <f t="shared" si="62"/>
        <v>77.205074060628988</v>
      </c>
      <c r="CA24" s="4794">
        <f t="shared" si="63"/>
        <v>77.205074060628988</v>
      </c>
      <c r="CB24" s="4794">
        <f t="shared" si="64"/>
        <v>77.205074060628988</v>
      </c>
      <c r="CC24" s="4794">
        <f t="shared" si="65"/>
        <v>77.205074060628988</v>
      </c>
      <c r="CD24" s="4794">
        <f t="shared" si="66"/>
        <v>0</v>
      </c>
      <c r="CE24" s="4794">
        <f t="shared" si="67"/>
        <v>0</v>
      </c>
      <c r="CF24" s="4794">
        <f t="shared" si="68"/>
        <v>0</v>
      </c>
      <c r="CG24" s="4794">
        <f t="shared" si="69"/>
        <v>0</v>
      </c>
      <c r="CH24" s="4794">
        <f t="shared" si="70"/>
        <v>0</v>
      </c>
      <c r="CI24" s="4794">
        <f t="shared" si="71"/>
        <v>0</v>
      </c>
      <c r="CJ24" s="4794">
        <f t="shared" si="72"/>
        <v>0</v>
      </c>
      <c r="CK24" s="4794">
        <f t="shared" si="73"/>
        <v>0</v>
      </c>
      <c r="CL24" s="4794">
        <f t="shared" si="74"/>
        <v>0</v>
      </c>
      <c r="CM24" s="4794">
        <f t="shared" si="75"/>
        <v>0</v>
      </c>
      <c r="CN24" s="4794">
        <f t="shared" si="76"/>
        <v>0</v>
      </c>
      <c r="CO24" s="4794">
        <f t="shared" si="77"/>
        <v>0</v>
      </c>
      <c r="CP24" s="4794">
        <f t="shared" si="78"/>
        <v>0</v>
      </c>
      <c r="CQ24" s="4794">
        <f t="shared" si="79"/>
        <v>0</v>
      </c>
      <c r="CR24" s="4794">
        <f t="shared" si="80"/>
        <v>0</v>
      </c>
      <c r="CS24" s="4794">
        <f t="shared" si="81"/>
        <v>0</v>
      </c>
      <c r="CT24" s="4794">
        <f t="shared" si="82"/>
        <v>0</v>
      </c>
      <c r="CU24" s="4794">
        <f t="shared" si="83"/>
        <v>0</v>
      </c>
      <c r="CV24" s="4794">
        <f t="shared" si="84"/>
        <v>0</v>
      </c>
      <c r="CW24" s="4794">
        <f t="shared" si="85"/>
        <v>0</v>
      </c>
      <c r="CX24" s="4794">
        <f t="shared" si="86"/>
        <v>0</v>
      </c>
      <c r="CY24" s="4794">
        <f t="shared" si="87"/>
        <v>376.31082456041679</v>
      </c>
      <c r="CZ24" s="4794">
        <f t="shared" si="88"/>
        <v>376.31082456041679</v>
      </c>
      <c r="DA24" s="4794">
        <f t="shared" si="89"/>
        <v>376.31082456041679</v>
      </c>
      <c r="DB24" s="4794">
        <f t="shared" si="90"/>
        <v>376.31082456041679</v>
      </c>
      <c r="DC24" s="4794">
        <f t="shared" si="91"/>
        <v>376.31082456041679</v>
      </c>
      <c r="DD24" s="4794">
        <f t="shared" si="92"/>
        <v>376.31082456041679</v>
      </c>
      <c r="DE24" s="4794">
        <f t="shared" si="93"/>
        <v>257.69110812289415</v>
      </c>
      <c r="DF24" s="4794">
        <f t="shared" si="94"/>
        <v>257.69110812289415</v>
      </c>
      <c r="DG24" s="4794">
        <f t="shared" si="95"/>
        <v>257.69110812289415</v>
      </c>
      <c r="DH24" s="4794">
        <f t="shared" si="96"/>
        <v>257.69110812289415</v>
      </c>
      <c r="DI24" s="4794">
        <f t="shared" si="97"/>
        <v>257.69110812289415</v>
      </c>
      <c r="DJ24" s="4794">
        <f t="shared" si="98"/>
        <v>257.69110812289415</v>
      </c>
    </row>
    <row r="25" spans="1:114" ht="12.75">
      <c r="A25" s="854" t="s">
        <v>151</v>
      </c>
      <c r="B25" s="915" t="s">
        <v>437</v>
      </c>
      <c r="C25" s="1204">
        <f>SUM(C26:C28)</f>
        <v>78</v>
      </c>
      <c r="D25" s="1153">
        <f t="shared" ref="D25:BB25" si="129">SUM(D26:D28)</f>
        <v>78</v>
      </c>
      <c r="E25" s="1154">
        <f t="shared" si="129"/>
        <v>78</v>
      </c>
      <c r="F25" s="1154">
        <f t="shared" si="129"/>
        <v>78</v>
      </c>
      <c r="G25" s="1154">
        <f t="shared" si="129"/>
        <v>78</v>
      </c>
      <c r="H25" s="1168">
        <f t="shared" si="129"/>
        <v>78</v>
      </c>
      <c r="I25" s="1269">
        <f t="shared" si="34"/>
        <v>0</v>
      </c>
      <c r="J25" s="725">
        <f t="shared" si="35"/>
        <v>0</v>
      </c>
      <c r="K25" s="1204">
        <f t="shared" si="129"/>
        <v>13</v>
      </c>
      <c r="L25" s="1153">
        <f t="shared" si="129"/>
        <v>13</v>
      </c>
      <c r="M25" s="1154">
        <f t="shared" si="129"/>
        <v>13</v>
      </c>
      <c r="N25" s="1154">
        <f t="shared" si="129"/>
        <v>13</v>
      </c>
      <c r="O25" s="1154">
        <f t="shared" si="129"/>
        <v>13</v>
      </c>
      <c r="P25" s="1168">
        <f t="shared" si="129"/>
        <v>13</v>
      </c>
      <c r="Q25" s="1269">
        <f t="shared" si="36"/>
        <v>0</v>
      </c>
      <c r="R25" s="897">
        <f t="shared" si="37"/>
        <v>0</v>
      </c>
      <c r="S25" s="1204">
        <f t="shared" si="129"/>
        <v>35</v>
      </c>
      <c r="T25" s="1153">
        <f t="shared" si="129"/>
        <v>35</v>
      </c>
      <c r="U25" s="1154">
        <f t="shared" si="129"/>
        <v>35</v>
      </c>
      <c r="V25" s="1154">
        <f t="shared" si="129"/>
        <v>35</v>
      </c>
      <c r="W25" s="1154">
        <f t="shared" si="129"/>
        <v>35</v>
      </c>
      <c r="X25" s="1168">
        <f t="shared" si="129"/>
        <v>35</v>
      </c>
      <c r="Y25" s="1269">
        <f t="shared" si="38"/>
        <v>0</v>
      </c>
      <c r="Z25" s="897">
        <f t="shared" si="39"/>
        <v>0</v>
      </c>
      <c r="AA25" s="1204">
        <f>SUM(AA26:AA28)</f>
        <v>0</v>
      </c>
      <c r="AB25" s="1153">
        <f t="shared" ref="AB25:AN25" si="130">SUM(AB26:AB28)</f>
        <v>0</v>
      </c>
      <c r="AC25" s="1154">
        <f t="shared" si="130"/>
        <v>0</v>
      </c>
      <c r="AD25" s="1154">
        <f t="shared" si="130"/>
        <v>0</v>
      </c>
      <c r="AE25" s="1154">
        <f t="shared" si="130"/>
        <v>0</v>
      </c>
      <c r="AF25" s="1168">
        <f t="shared" si="130"/>
        <v>0</v>
      </c>
      <c r="AG25" s="1269">
        <f t="shared" si="40"/>
        <v>0</v>
      </c>
      <c r="AH25" s="725">
        <f t="shared" si="41"/>
        <v>0</v>
      </c>
      <c r="AI25" s="1204">
        <f t="shared" si="130"/>
        <v>0</v>
      </c>
      <c r="AJ25" s="1153">
        <f t="shared" si="130"/>
        <v>0</v>
      </c>
      <c r="AK25" s="1154">
        <f t="shared" si="130"/>
        <v>0</v>
      </c>
      <c r="AL25" s="1154">
        <f t="shared" si="130"/>
        <v>0</v>
      </c>
      <c r="AM25" s="1154">
        <f t="shared" si="130"/>
        <v>0</v>
      </c>
      <c r="AN25" s="1168">
        <f t="shared" si="130"/>
        <v>0</v>
      </c>
      <c r="AO25" s="1269">
        <f t="shared" si="42"/>
        <v>0</v>
      </c>
      <c r="AP25" s="725">
        <f t="shared" si="43"/>
        <v>0</v>
      </c>
      <c r="AQ25" s="1204">
        <f>SUM(AQ26:AQ28)</f>
        <v>317</v>
      </c>
      <c r="AR25" s="1153">
        <f t="shared" si="129"/>
        <v>0</v>
      </c>
      <c r="AS25" s="1154">
        <f t="shared" si="129"/>
        <v>0</v>
      </c>
      <c r="AT25" s="1154">
        <f t="shared" si="129"/>
        <v>0</v>
      </c>
      <c r="AU25" s="1154">
        <f t="shared" si="129"/>
        <v>0</v>
      </c>
      <c r="AV25" s="3256">
        <f t="shared" si="129"/>
        <v>0</v>
      </c>
      <c r="AW25" s="1204">
        <f t="shared" si="129"/>
        <v>126</v>
      </c>
      <c r="AX25" s="1153">
        <f t="shared" si="129"/>
        <v>126</v>
      </c>
      <c r="AY25" s="1154">
        <f t="shared" si="129"/>
        <v>126</v>
      </c>
      <c r="AZ25" s="1154">
        <f t="shared" si="129"/>
        <v>126</v>
      </c>
      <c r="BA25" s="1154">
        <f t="shared" si="129"/>
        <v>126</v>
      </c>
      <c r="BB25" s="1168">
        <f t="shared" si="129"/>
        <v>126</v>
      </c>
      <c r="BC25" s="1204">
        <f t="shared" ref="BC25:BH25" si="131">SUM(BC26:BC28)</f>
        <v>78</v>
      </c>
      <c r="BD25" s="1153">
        <f t="shared" si="131"/>
        <v>78</v>
      </c>
      <c r="BE25" s="1154">
        <f t="shared" si="131"/>
        <v>78</v>
      </c>
      <c r="BF25" s="1154">
        <f t="shared" si="131"/>
        <v>78</v>
      </c>
      <c r="BG25" s="1154">
        <f t="shared" si="131"/>
        <v>78</v>
      </c>
      <c r="BH25" s="3256">
        <f t="shared" si="131"/>
        <v>78</v>
      </c>
      <c r="BI25" s="4775"/>
      <c r="BJ25" s="4794">
        <f t="shared" si="46"/>
        <v>39.880766733305045</v>
      </c>
      <c r="BK25" s="4794">
        <f t="shared" si="47"/>
        <v>39.880766733305045</v>
      </c>
      <c r="BL25" s="4794">
        <f t="shared" si="48"/>
        <v>39.880766733305045</v>
      </c>
      <c r="BM25" s="4794">
        <f t="shared" si="49"/>
        <v>39.880766733305045</v>
      </c>
      <c r="BN25" s="4794">
        <f t="shared" si="50"/>
        <v>39.880766733305045</v>
      </c>
      <c r="BO25" s="4794">
        <f t="shared" si="51"/>
        <v>39.880766733305045</v>
      </c>
      <c r="BP25" s="4794">
        <f t="shared" si="52"/>
        <v>0</v>
      </c>
      <c r="BQ25" s="4794">
        <f t="shared" si="53"/>
        <v>6.6467944555508405</v>
      </c>
      <c r="BR25" s="4794">
        <f t="shared" si="54"/>
        <v>6.6467944555508405</v>
      </c>
      <c r="BS25" s="4794">
        <f t="shared" si="55"/>
        <v>6.6467944555508405</v>
      </c>
      <c r="BT25" s="4794">
        <f t="shared" si="56"/>
        <v>6.6467944555508405</v>
      </c>
      <c r="BU25" s="4794">
        <f t="shared" si="57"/>
        <v>6.6467944555508405</v>
      </c>
      <c r="BV25" s="4794">
        <f t="shared" si="58"/>
        <v>6.6467944555508405</v>
      </c>
      <c r="BW25" s="4794">
        <f t="shared" si="59"/>
        <v>0</v>
      </c>
      <c r="BX25" s="4794">
        <f t="shared" si="60"/>
        <v>17.895215841867646</v>
      </c>
      <c r="BY25" s="4794">
        <f t="shared" si="61"/>
        <v>17.895215841867646</v>
      </c>
      <c r="BZ25" s="4794">
        <f t="shared" si="62"/>
        <v>17.895215841867646</v>
      </c>
      <c r="CA25" s="4794">
        <f t="shared" si="63"/>
        <v>17.895215841867646</v>
      </c>
      <c r="CB25" s="4794">
        <f t="shared" si="64"/>
        <v>17.895215841867646</v>
      </c>
      <c r="CC25" s="4794">
        <f t="shared" si="65"/>
        <v>17.895215841867646</v>
      </c>
      <c r="CD25" s="4794">
        <f t="shared" si="66"/>
        <v>0</v>
      </c>
      <c r="CE25" s="4794">
        <f t="shared" si="67"/>
        <v>0</v>
      </c>
      <c r="CF25" s="4794">
        <f t="shared" si="68"/>
        <v>0</v>
      </c>
      <c r="CG25" s="4794">
        <f t="shared" si="69"/>
        <v>0</v>
      </c>
      <c r="CH25" s="4794">
        <f t="shared" si="70"/>
        <v>0</v>
      </c>
      <c r="CI25" s="4794">
        <f t="shared" si="71"/>
        <v>0</v>
      </c>
      <c r="CJ25" s="4794">
        <f t="shared" si="72"/>
        <v>0</v>
      </c>
      <c r="CK25" s="4794">
        <f t="shared" si="73"/>
        <v>0</v>
      </c>
      <c r="CL25" s="4794">
        <f t="shared" si="74"/>
        <v>0</v>
      </c>
      <c r="CM25" s="4794">
        <f t="shared" si="75"/>
        <v>0</v>
      </c>
      <c r="CN25" s="4794">
        <f t="shared" si="76"/>
        <v>0</v>
      </c>
      <c r="CO25" s="4794">
        <f t="shared" si="77"/>
        <v>0</v>
      </c>
      <c r="CP25" s="4794">
        <f t="shared" si="78"/>
        <v>0</v>
      </c>
      <c r="CQ25" s="4794">
        <f t="shared" si="79"/>
        <v>0</v>
      </c>
      <c r="CR25" s="4794">
        <f t="shared" si="80"/>
        <v>0</v>
      </c>
      <c r="CS25" s="4794">
        <f t="shared" si="81"/>
        <v>162.07952633920127</v>
      </c>
      <c r="CT25" s="4794">
        <f t="shared" si="82"/>
        <v>0</v>
      </c>
      <c r="CU25" s="4794">
        <f t="shared" si="83"/>
        <v>0</v>
      </c>
      <c r="CV25" s="4794">
        <f t="shared" si="84"/>
        <v>0</v>
      </c>
      <c r="CW25" s="4794">
        <f t="shared" si="85"/>
        <v>0</v>
      </c>
      <c r="CX25" s="4794">
        <f t="shared" si="86"/>
        <v>0</v>
      </c>
      <c r="CY25" s="4794">
        <f t="shared" si="87"/>
        <v>64.422777030723537</v>
      </c>
      <c r="CZ25" s="4794">
        <f t="shared" si="88"/>
        <v>64.422777030723537</v>
      </c>
      <c r="DA25" s="4794">
        <f t="shared" si="89"/>
        <v>64.422777030723537</v>
      </c>
      <c r="DB25" s="4794">
        <f t="shared" si="90"/>
        <v>64.422777030723537</v>
      </c>
      <c r="DC25" s="4794">
        <f t="shared" si="91"/>
        <v>64.422777030723537</v>
      </c>
      <c r="DD25" s="4794">
        <f t="shared" si="92"/>
        <v>64.422777030723537</v>
      </c>
      <c r="DE25" s="4794">
        <f t="shared" si="93"/>
        <v>39.880766733305045</v>
      </c>
      <c r="DF25" s="4794">
        <f t="shared" si="94"/>
        <v>39.880766733305045</v>
      </c>
      <c r="DG25" s="4794">
        <f t="shared" si="95"/>
        <v>39.880766733305045</v>
      </c>
      <c r="DH25" s="4794">
        <f t="shared" si="96"/>
        <v>39.880766733305045</v>
      </c>
      <c r="DI25" s="4794">
        <f t="shared" si="97"/>
        <v>39.880766733305045</v>
      </c>
      <c r="DJ25" s="4794">
        <f t="shared" si="98"/>
        <v>39.880766733305045</v>
      </c>
    </row>
    <row r="26" spans="1:114" ht="12.75">
      <c r="A26" s="855" t="s">
        <v>438</v>
      </c>
      <c r="B26" s="417"/>
      <c r="C26" s="3225">
        <v>50</v>
      </c>
      <c r="D26" s="3226">
        <v>50</v>
      </c>
      <c r="E26" s="3226">
        <v>50</v>
      </c>
      <c r="F26" s="3226">
        <v>50</v>
      </c>
      <c r="G26" s="3226">
        <v>50</v>
      </c>
      <c r="H26" s="3227">
        <v>50</v>
      </c>
      <c r="I26" s="1270">
        <f t="shared" si="34"/>
        <v>0</v>
      </c>
      <c r="J26" s="842">
        <f t="shared" si="35"/>
        <v>0</v>
      </c>
      <c r="K26" s="3225">
        <v>7</v>
      </c>
      <c r="L26" s="3226">
        <v>7</v>
      </c>
      <c r="M26" s="3226">
        <v>7</v>
      </c>
      <c r="N26" s="3226">
        <v>7</v>
      </c>
      <c r="O26" s="3226">
        <v>7</v>
      </c>
      <c r="P26" s="3227">
        <v>7</v>
      </c>
      <c r="Q26" s="1270">
        <f t="shared" si="36"/>
        <v>0</v>
      </c>
      <c r="R26" s="1140">
        <f t="shared" si="37"/>
        <v>0</v>
      </c>
      <c r="S26" s="3225">
        <v>8</v>
      </c>
      <c r="T26" s="3226">
        <v>8</v>
      </c>
      <c r="U26" s="3226">
        <v>8</v>
      </c>
      <c r="V26" s="3226">
        <v>8</v>
      </c>
      <c r="W26" s="3226">
        <v>8</v>
      </c>
      <c r="X26" s="3227">
        <v>8</v>
      </c>
      <c r="Y26" s="1270">
        <f t="shared" si="38"/>
        <v>0</v>
      </c>
      <c r="Z26" s="1140">
        <f t="shared" si="39"/>
        <v>0</v>
      </c>
      <c r="AA26" s="3225"/>
      <c r="AB26" s="3226"/>
      <c r="AC26" s="3226"/>
      <c r="AD26" s="3226"/>
      <c r="AE26" s="3226"/>
      <c r="AF26" s="3227"/>
      <c r="AG26" s="1270">
        <f t="shared" si="40"/>
        <v>0</v>
      </c>
      <c r="AH26" s="842">
        <f t="shared" si="41"/>
        <v>0</v>
      </c>
      <c r="AI26" s="3225"/>
      <c r="AJ26" s="3226"/>
      <c r="AK26" s="3226"/>
      <c r="AL26" s="3226"/>
      <c r="AM26" s="3226"/>
      <c r="AN26" s="3227"/>
      <c r="AO26" s="1270">
        <f t="shared" si="42"/>
        <v>0</v>
      </c>
      <c r="AP26" s="842">
        <f t="shared" si="43"/>
        <v>0</v>
      </c>
      <c r="AQ26" s="3225">
        <v>317</v>
      </c>
      <c r="AR26" s="3226"/>
      <c r="AS26" s="3226"/>
      <c r="AT26" s="3226"/>
      <c r="AU26" s="3226"/>
      <c r="AV26" s="3255"/>
      <c r="AW26" s="1131">
        <f t="shared" ref="AW26:AW28" si="132">C26+K26+S26+AA26+AI26</f>
        <v>65</v>
      </c>
      <c r="AX26" s="3245">
        <f t="shared" ref="AX26:AX28" si="133">D26+L26+T26+AB26+AJ26</f>
        <v>65</v>
      </c>
      <c r="AY26" s="3245">
        <f t="shared" ref="AY26:AY28" si="134">E26+M26+U26+AC26+AK26</f>
        <v>65</v>
      </c>
      <c r="AZ26" s="3245">
        <f t="shared" ref="AZ26:AZ28" si="135">F26+N26+V26+AD26+AL26</f>
        <v>65</v>
      </c>
      <c r="BA26" s="3245">
        <f t="shared" ref="BA26:BA28" si="136">G26+O26+W26+AE26+AM26</f>
        <v>65</v>
      </c>
      <c r="BB26" s="3246">
        <f t="shared" ref="BB26:BB28" si="137">H26+P26+X26+AF26+AN26</f>
        <v>65</v>
      </c>
      <c r="BC26" s="3266">
        <f t="shared" ref="BC26:BC28" si="138">C26+AA26+AI26</f>
        <v>50</v>
      </c>
      <c r="BD26" s="3267">
        <f t="shared" ref="BD26:BD28" si="139">D26+AB26+AJ26</f>
        <v>50</v>
      </c>
      <c r="BE26" s="3268">
        <f t="shared" ref="BE26:BE28" si="140">E26+AC26+AK26</f>
        <v>50</v>
      </c>
      <c r="BF26" s="3268">
        <f t="shared" ref="BF26:BF28" si="141">F26+AD26+AL26</f>
        <v>50</v>
      </c>
      <c r="BG26" s="3268">
        <f t="shared" ref="BG26:BG28" si="142">G26+AE26+AM26</f>
        <v>50</v>
      </c>
      <c r="BH26" s="3270">
        <f t="shared" ref="BH26:BH28" si="143">H26+AF26+AN26</f>
        <v>50</v>
      </c>
      <c r="BI26" s="4775"/>
      <c r="BJ26" s="4794">
        <f t="shared" si="46"/>
        <v>25.564594059810926</v>
      </c>
      <c r="BK26" s="4794">
        <f t="shared" si="47"/>
        <v>25.564594059810926</v>
      </c>
      <c r="BL26" s="4794">
        <f t="shared" si="48"/>
        <v>25.564594059810926</v>
      </c>
      <c r="BM26" s="4794">
        <f t="shared" si="49"/>
        <v>25.564594059810926</v>
      </c>
      <c r="BN26" s="4794">
        <f t="shared" si="50"/>
        <v>25.564594059810926</v>
      </c>
      <c r="BO26" s="4794">
        <f t="shared" si="51"/>
        <v>25.564594059810926</v>
      </c>
      <c r="BP26" s="4794">
        <f t="shared" si="52"/>
        <v>0</v>
      </c>
      <c r="BQ26" s="4794">
        <f t="shared" si="53"/>
        <v>3.5790431683735293</v>
      </c>
      <c r="BR26" s="4794">
        <f t="shared" si="54"/>
        <v>3.5790431683735293</v>
      </c>
      <c r="BS26" s="4794">
        <f t="shared" si="55"/>
        <v>3.5790431683735293</v>
      </c>
      <c r="BT26" s="4794">
        <f t="shared" si="56"/>
        <v>3.5790431683735293</v>
      </c>
      <c r="BU26" s="4794">
        <f t="shared" si="57"/>
        <v>3.5790431683735293</v>
      </c>
      <c r="BV26" s="4794">
        <f t="shared" si="58"/>
        <v>3.5790431683735293</v>
      </c>
      <c r="BW26" s="4794">
        <f t="shared" si="59"/>
        <v>0</v>
      </c>
      <c r="BX26" s="4794">
        <f t="shared" si="60"/>
        <v>4.0903350495697479</v>
      </c>
      <c r="BY26" s="4794">
        <f t="shared" si="61"/>
        <v>4.0903350495697479</v>
      </c>
      <c r="BZ26" s="4794">
        <f t="shared" si="62"/>
        <v>4.0903350495697479</v>
      </c>
      <c r="CA26" s="4794">
        <f t="shared" si="63"/>
        <v>4.0903350495697479</v>
      </c>
      <c r="CB26" s="4794">
        <f t="shared" si="64"/>
        <v>4.0903350495697479</v>
      </c>
      <c r="CC26" s="4794">
        <f t="shared" si="65"/>
        <v>4.0903350495697479</v>
      </c>
      <c r="CD26" s="4794">
        <f t="shared" si="66"/>
        <v>0</v>
      </c>
      <c r="CE26" s="4794">
        <f t="shared" si="67"/>
        <v>0</v>
      </c>
      <c r="CF26" s="4794">
        <f t="shared" si="68"/>
        <v>0</v>
      </c>
      <c r="CG26" s="4794">
        <f t="shared" si="69"/>
        <v>0</v>
      </c>
      <c r="CH26" s="4794">
        <f t="shared" si="70"/>
        <v>0</v>
      </c>
      <c r="CI26" s="4794">
        <f t="shared" si="71"/>
        <v>0</v>
      </c>
      <c r="CJ26" s="4794">
        <f t="shared" si="72"/>
        <v>0</v>
      </c>
      <c r="CK26" s="4794">
        <f t="shared" si="73"/>
        <v>0</v>
      </c>
      <c r="CL26" s="4794">
        <f t="shared" si="74"/>
        <v>0</v>
      </c>
      <c r="CM26" s="4794">
        <f t="shared" si="75"/>
        <v>0</v>
      </c>
      <c r="CN26" s="4794">
        <f t="shared" si="76"/>
        <v>0</v>
      </c>
      <c r="CO26" s="4794">
        <f t="shared" si="77"/>
        <v>0</v>
      </c>
      <c r="CP26" s="4794">
        <f t="shared" si="78"/>
        <v>0</v>
      </c>
      <c r="CQ26" s="4794">
        <f t="shared" si="79"/>
        <v>0</v>
      </c>
      <c r="CR26" s="4794">
        <f t="shared" si="80"/>
        <v>0</v>
      </c>
      <c r="CS26" s="4794">
        <f t="shared" si="81"/>
        <v>162.07952633920127</v>
      </c>
      <c r="CT26" s="4794">
        <f t="shared" si="82"/>
        <v>0</v>
      </c>
      <c r="CU26" s="4794">
        <f t="shared" si="83"/>
        <v>0</v>
      </c>
      <c r="CV26" s="4794">
        <f t="shared" si="84"/>
        <v>0</v>
      </c>
      <c r="CW26" s="4794">
        <f t="shared" si="85"/>
        <v>0</v>
      </c>
      <c r="CX26" s="4794">
        <f t="shared" si="86"/>
        <v>0</v>
      </c>
      <c r="CY26" s="4794">
        <f t="shared" si="87"/>
        <v>33.233972277754205</v>
      </c>
      <c r="CZ26" s="4794">
        <f t="shared" si="88"/>
        <v>33.233972277754205</v>
      </c>
      <c r="DA26" s="4794">
        <f t="shared" si="89"/>
        <v>33.233972277754205</v>
      </c>
      <c r="DB26" s="4794">
        <f t="shared" si="90"/>
        <v>33.233972277754205</v>
      </c>
      <c r="DC26" s="4794">
        <f t="shared" si="91"/>
        <v>33.233972277754205</v>
      </c>
      <c r="DD26" s="4794">
        <f t="shared" si="92"/>
        <v>33.233972277754205</v>
      </c>
      <c r="DE26" s="4794">
        <f t="shared" si="93"/>
        <v>25.564594059810926</v>
      </c>
      <c r="DF26" s="4794">
        <f t="shared" si="94"/>
        <v>25.564594059810926</v>
      </c>
      <c r="DG26" s="4794">
        <f t="shared" si="95"/>
        <v>25.564594059810926</v>
      </c>
      <c r="DH26" s="4794">
        <f t="shared" si="96"/>
        <v>25.564594059810926</v>
      </c>
      <c r="DI26" s="4794">
        <f t="shared" si="97"/>
        <v>25.564594059810926</v>
      </c>
      <c r="DJ26" s="4794">
        <f t="shared" si="98"/>
        <v>25.564594059810926</v>
      </c>
    </row>
    <row r="27" spans="1:114" ht="12.75">
      <c r="A27" s="857" t="s">
        <v>439</v>
      </c>
      <c r="B27" s="417"/>
      <c r="C27" s="3225">
        <v>28</v>
      </c>
      <c r="D27" s="3226">
        <v>28</v>
      </c>
      <c r="E27" s="3226">
        <v>28</v>
      </c>
      <c r="F27" s="3226">
        <v>28</v>
      </c>
      <c r="G27" s="3226">
        <v>28</v>
      </c>
      <c r="H27" s="3227">
        <v>28</v>
      </c>
      <c r="I27" s="1270">
        <f t="shared" si="34"/>
        <v>0</v>
      </c>
      <c r="J27" s="842">
        <f t="shared" si="35"/>
        <v>0</v>
      </c>
      <c r="K27" s="3225">
        <v>6</v>
      </c>
      <c r="L27" s="3226">
        <v>6</v>
      </c>
      <c r="M27" s="3226">
        <v>6</v>
      </c>
      <c r="N27" s="3226">
        <v>6</v>
      </c>
      <c r="O27" s="3226">
        <v>6</v>
      </c>
      <c r="P27" s="3227">
        <v>6</v>
      </c>
      <c r="Q27" s="1270">
        <f t="shared" si="36"/>
        <v>0</v>
      </c>
      <c r="R27" s="1140">
        <f t="shared" si="37"/>
        <v>0</v>
      </c>
      <c r="S27" s="3225">
        <v>12</v>
      </c>
      <c r="T27" s="3226">
        <v>12</v>
      </c>
      <c r="U27" s="3226">
        <v>12</v>
      </c>
      <c r="V27" s="3226">
        <v>12</v>
      </c>
      <c r="W27" s="3226">
        <v>12</v>
      </c>
      <c r="X27" s="3227">
        <v>12</v>
      </c>
      <c r="Y27" s="1270">
        <f t="shared" si="38"/>
        <v>0</v>
      </c>
      <c r="Z27" s="1140">
        <f t="shared" si="39"/>
        <v>0</v>
      </c>
      <c r="AA27" s="3225"/>
      <c r="AB27" s="3226"/>
      <c r="AC27" s="3226"/>
      <c r="AD27" s="3226"/>
      <c r="AE27" s="3226"/>
      <c r="AF27" s="3227"/>
      <c r="AG27" s="1270">
        <f t="shared" si="40"/>
        <v>0</v>
      </c>
      <c r="AH27" s="842">
        <f t="shared" si="41"/>
        <v>0</v>
      </c>
      <c r="AI27" s="3225"/>
      <c r="AJ27" s="3226"/>
      <c r="AK27" s="3226"/>
      <c r="AL27" s="3226"/>
      <c r="AM27" s="3226"/>
      <c r="AN27" s="3227"/>
      <c r="AO27" s="1270">
        <f t="shared" si="42"/>
        <v>0</v>
      </c>
      <c r="AP27" s="842">
        <f t="shared" si="43"/>
        <v>0</v>
      </c>
      <c r="AQ27" s="3225"/>
      <c r="AR27" s="3226"/>
      <c r="AS27" s="3226"/>
      <c r="AT27" s="3226"/>
      <c r="AU27" s="3226"/>
      <c r="AV27" s="3255"/>
      <c r="AW27" s="1131">
        <f t="shared" si="132"/>
        <v>46</v>
      </c>
      <c r="AX27" s="3245">
        <f t="shared" si="133"/>
        <v>46</v>
      </c>
      <c r="AY27" s="3245">
        <f t="shared" si="134"/>
        <v>46</v>
      </c>
      <c r="AZ27" s="3245">
        <f t="shared" si="135"/>
        <v>46</v>
      </c>
      <c r="BA27" s="3245">
        <f t="shared" si="136"/>
        <v>46</v>
      </c>
      <c r="BB27" s="3246">
        <f t="shared" si="137"/>
        <v>46</v>
      </c>
      <c r="BC27" s="3266">
        <f t="shared" si="138"/>
        <v>28</v>
      </c>
      <c r="BD27" s="3267">
        <f t="shared" si="139"/>
        <v>28</v>
      </c>
      <c r="BE27" s="3268">
        <f t="shared" si="140"/>
        <v>28</v>
      </c>
      <c r="BF27" s="3268">
        <f t="shared" si="141"/>
        <v>28</v>
      </c>
      <c r="BG27" s="3268">
        <f t="shared" si="142"/>
        <v>28</v>
      </c>
      <c r="BH27" s="3270">
        <f t="shared" si="143"/>
        <v>28</v>
      </c>
      <c r="BI27" s="4775"/>
      <c r="BJ27" s="4794">
        <f t="shared" si="46"/>
        <v>14.316172673494117</v>
      </c>
      <c r="BK27" s="4794">
        <f t="shared" si="47"/>
        <v>14.316172673494117</v>
      </c>
      <c r="BL27" s="4794">
        <f t="shared" si="48"/>
        <v>14.316172673494117</v>
      </c>
      <c r="BM27" s="4794">
        <f t="shared" si="49"/>
        <v>14.316172673494117</v>
      </c>
      <c r="BN27" s="4794">
        <f t="shared" si="50"/>
        <v>14.316172673494117</v>
      </c>
      <c r="BO27" s="4794">
        <f t="shared" si="51"/>
        <v>14.316172673494117</v>
      </c>
      <c r="BP27" s="4794">
        <f t="shared" si="52"/>
        <v>0</v>
      </c>
      <c r="BQ27" s="4794">
        <f t="shared" si="53"/>
        <v>3.0677512871773112</v>
      </c>
      <c r="BR27" s="4794">
        <f t="shared" si="54"/>
        <v>3.0677512871773112</v>
      </c>
      <c r="BS27" s="4794">
        <f t="shared" si="55"/>
        <v>3.0677512871773112</v>
      </c>
      <c r="BT27" s="4794">
        <f t="shared" si="56"/>
        <v>3.0677512871773112</v>
      </c>
      <c r="BU27" s="4794">
        <f t="shared" si="57"/>
        <v>3.0677512871773112</v>
      </c>
      <c r="BV27" s="4794">
        <f t="shared" si="58"/>
        <v>3.0677512871773112</v>
      </c>
      <c r="BW27" s="4794">
        <f t="shared" si="59"/>
        <v>0</v>
      </c>
      <c r="BX27" s="4794">
        <f t="shared" si="60"/>
        <v>6.1355025743546223</v>
      </c>
      <c r="BY27" s="4794">
        <f t="shared" si="61"/>
        <v>6.1355025743546223</v>
      </c>
      <c r="BZ27" s="4794">
        <f t="shared" si="62"/>
        <v>6.1355025743546223</v>
      </c>
      <c r="CA27" s="4794">
        <f t="shared" si="63"/>
        <v>6.1355025743546223</v>
      </c>
      <c r="CB27" s="4794">
        <f t="shared" si="64"/>
        <v>6.1355025743546223</v>
      </c>
      <c r="CC27" s="4794">
        <f t="shared" si="65"/>
        <v>6.1355025743546223</v>
      </c>
      <c r="CD27" s="4794">
        <f t="shared" si="66"/>
        <v>0</v>
      </c>
      <c r="CE27" s="4794">
        <f t="shared" si="67"/>
        <v>0</v>
      </c>
      <c r="CF27" s="4794">
        <f t="shared" si="68"/>
        <v>0</v>
      </c>
      <c r="CG27" s="4794">
        <f t="shared" si="69"/>
        <v>0</v>
      </c>
      <c r="CH27" s="4794">
        <f t="shared" si="70"/>
        <v>0</v>
      </c>
      <c r="CI27" s="4794">
        <f t="shared" si="71"/>
        <v>0</v>
      </c>
      <c r="CJ27" s="4794">
        <f t="shared" si="72"/>
        <v>0</v>
      </c>
      <c r="CK27" s="4794">
        <f t="shared" si="73"/>
        <v>0</v>
      </c>
      <c r="CL27" s="4794">
        <f t="shared" si="74"/>
        <v>0</v>
      </c>
      <c r="CM27" s="4794">
        <f t="shared" si="75"/>
        <v>0</v>
      </c>
      <c r="CN27" s="4794">
        <f t="shared" si="76"/>
        <v>0</v>
      </c>
      <c r="CO27" s="4794">
        <f t="shared" si="77"/>
        <v>0</v>
      </c>
      <c r="CP27" s="4794">
        <f t="shared" si="78"/>
        <v>0</v>
      </c>
      <c r="CQ27" s="4794">
        <f t="shared" si="79"/>
        <v>0</v>
      </c>
      <c r="CR27" s="4794">
        <f t="shared" si="80"/>
        <v>0</v>
      </c>
      <c r="CS27" s="4794">
        <f t="shared" si="81"/>
        <v>0</v>
      </c>
      <c r="CT27" s="4794">
        <f t="shared" si="82"/>
        <v>0</v>
      </c>
      <c r="CU27" s="4794">
        <f t="shared" si="83"/>
        <v>0</v>
      </c>
      <c r="CV27" s="4794">
        <f t="shared" si="84"/>
        <v>0</v>
      </c>
      <c r="CW27" s="4794">
        <f t="shared" si="85"/>
        <v>0</v>
      </c>
      <c r="CX27" s="4794">
        <f t="shared" si="86"/>
        <v>0</v>
      </c>
      <c r="CY27" s="4794">
        <f t="shared" si="87"/>
        <v>23.519426535026049</v>
      </c>
      <c r="CZ27" s="4794">
        <f t="shared" si="88"/>
        <v>23.519426535026049</v>
      </c>
      <c r="DA27" s="4794">
        <f t="shared" si="89"/>
        <v>23.519426535026049</v>
      </c>
      <c r="DB27" s="4794">
        <f t="shared" si="90"/>
        <v>23.519426535026049</v>
      </c>
      <c r="DC27" s="4794">
        <f t="shared" si="91"/>
        <v>23.519426535026049</v>
      </c>
      <c r="DD27" s="4794">
        <f t="shared" si="92"/>
        <v>23.519426535026049</v>
      </c>
      <c r="DE27" s="4794">
        <f t="shared" si="93"/>
        <v>14.316172673494117</v>
      </c>
      <c r="DF27" s="4794">
        <f t="shared" si="94"/>
        <v>14.316172673494117</v>
      </c>
      <c r="DG27" s="4794">
        <f t="shared" si="95"/>
        <v>14.316172673494117</v>
      </c>
      <c r="DH27" s="4794">
        <f t="shared" si="96"/>
        <v>14.316172673494117</v>
      </c>
      <c r="DI27" s="4794">
        <f t="shared" si="97"/>
        <v>14.316172673494117</v>
      </c>
      <c r="DJ27" s="4794">
        <f t="shared" si="98"/>
        <v>14.316172673494117</v>
      </c>
    </row>
    <row r="28" spans="1:114" ht="13.5" thickBot="1">
      <c r="A28" s="857" t="s">
        <v>440</v>
      </c>
      <c r="B28" s="417"/>
      <c r="C28" s="3282"/>
      <c r="D28" s="3226"/>
      <c r="E28" s="3226"/>
      <c r="F28" s="3226"/>
      <c r="G28" s="3226"/>
      <c r="H28" s="3227"/>
      <c r="I28" s="1270">
        <f t="shared" si="34"/>
        <v>0</v>
      </c>
      <c r="J28" s="1201">
        <f t="shared" si="35"/>
        <v>0</v>
      </c>
      <c r="K28" s="3225"/>
      <c r="L28" s="3226"/>
      <c r="M28" s="3226"/>
      <c r="N28" s="3226"/>
      <c r="O28" s="3226"/>
      <c r="P28" s="3227"/>
      <c r="Q28" s="1270">
        <f t="shared" si="36"/>
        <v>0</v>
      </c>
      <c r="R28" s="1142">
        <f t="shared" si="37"/>
        <v>0</v>
      </c>
      <c r="S28" s="3225">
        <v>15</v>
      </c>
      <c r="T28" s="3226">
        <v>15</v>
      </c>
      <c r="U28" s="3226">
        <v>15</v>
      </c>
      <c r="V28" s="3226">
        <v>15</v>
      </c>
      <c r="W28" s="3226">
        <v>15</v>
      </c>
      <c r="X28" s="3227">
        <v>15</v>
      </c>
      <c r="Y28" s="1270">
        <f t="shared" si="38"/>
        <v>0</v>
      </c>
      <c r="Z28" s="1142">
        <f t="shared" si="39"/>
        <v>0</v>
      </c>
      <c r="AA28" s="3225"/>
      <c r="AB28" s="3226"/>
      <c r="AC28" s="3226"/>
      <c r="AD28" s="3226"/>
      <c r="AE28" s="3226"/>
      <c r="AF28" s="3227"/>
      <c r="AG28" s="1270">
        <f t="shared" si="40"/>
        <v>0</v>
      </c>
      <c r="AH28" s="1201">
        <f t="shared" si="41"/>
        <v>0</v>
      </c>
      <c r="AI28" s="3225"/>
      <c r="AJ28" s="3226"/>
      <c r="AK28" s="3226"/>
      <c r="AL28" s="3226"/>
      <c r="AM28" s="3226"/>
      <c r="AN28" s="3227"/>
      <c r="AO28" s="1270">
        <f t="shared" si="42"/>
        <v>0</v>
      </c>
      <c r="AP28" s="1201">
        <f t="shared" si="43"/>
        <v>0</v>
      </c>
      <c r="AQ28" s="3225"/>
      <c r="AR28" s="3226"/>
      <c r="AS28" s="3226"/>
      <c r="AT28" s="3226"/>
      <c r="AU28" s="3226"/>
      <c r="AV28" s="3255"/>
      <c r="AW28" s="1131">
        <f t="shared" si="132"/>
        <v>15</v>
      </c>
      <c r="AX28" s="3245">
        <f t="shared" si="133"/>
        <v>15</v>
      </c>
      <c r="AY28" s="3245">
        <f t="shared" si="134"/>
        <v>15</v>
      </c>
      <c r="AZ28" s="3245">
        <f t="shared" si="135"/>
        <v>15</v>
      </c>
      <c r="BA28" s="3245">
        <f t="shared" si="136"/>
        <v>15</v>
      </c>
      <c r="BB28" s="3246">
        <f t="shared" si="137"/>
        <v>15</v>
      </c>
      <c r="BC28" s="3266">
        <f t="shared" si="138"/>
        <v>0</v>
      </c>
      <c r="BD28" s="3267">
        <f t="shared" si="139"/>
        <v>0</v>
      </c>
      <c r="BE28" s="3268">
        <f t="shared" si="140"/>
        <v>0</v>
      </c>
      <c r="BF28" s="3268">
        <f t="shared" si="141"/>
        <v>0</v>
      </c>
      <c r="BG28" s="3268">
        <f t="shared" si="142"/>
        <v>0</v>
      </c>
      <c r="BH28" s="3270">
        <f t="shared" si="143"/>
        <v>0</v>
      </c>
      <c r="BI28" s="4775"/>
      <c r="BJ28" s="4794">
        <f t="shared" si="46"/>
        <v>0</v>
      </c>
      <c r="BK28" s="4794">
        <f t="shared" si="47"/>
        <v>0</v>
      </c>
      <c r="BL28" s="4794">
        <f t="shared" si="48"/>
        <v>0</v>
      </c>
      <c r="BM28" s="4794">
        <f t="shared" si="49"/>
        <v>0</v>
      </c>
      <c r="BN28" s="4794">
        <f t="shared" si="50"/>
        <v>0</v>
      </c>
      <c r="BO28" s="4794">
        <f t="shared" si="51"/>
        <v>0</v>
      </c>
      <c r="BP28" s="4794">
        <f t="shared" si="52"/>
        <v>0</v>
      </c>
      <c r="BQ28" s="4794">
        <f t="shared" si="53"/>
        <v>0</v>
      </c>
      <c r="BR28" s="4794">
        <f t="shared" si="54"/>
        <v>0</v>
      </c>
      <c r="BS28" s="4794">
        <f t="shared" si="55"/>
        <v>0</v>
      </c>
      <c r="BT28" s="4794">
        <f t="shared" si="56"/>
        <v>0</v>
      </c>
      <c r="BU28" s="4794">
        <f t="shared" si="57"/>
        <v>0</v>
      </c>
      <c r="BV28" s="4794">
        <f t="shared" si="58"/>
        <v>0</v>
      </c>
      <c r="BW28" s="4794">
        <f t="shared" si="59"/>
        <v>0</v>
      </c>
      <c r="BX28" s="4794">
        <f t="shared" si="60"/>
        <v>7.6693782179432777</v>
      </c>
      <c r="BY28" s="4794">
        <f t="shared" si="61"/>
        <v>7.6693782179432777</v>
      </c>
      <c r="BZ28" s="4794">
        <f t="shared" si="62"/>
        <v>7.6693782179432777</v>
      </c>
      <c r="CA28" s="4794">
        <f t="shared" si="63"/>
        <v>7.6693782179432777</v>
      </c>
      <c r="CB28" s="4794">
        <f t="shared" si="64"/>
        <v>7.6693782179432777</v>
      </c>
      <c r="CC28" s="4794">
        <f t="shared" si="65"/>
        <v>7.6693782179432777</v>
      </c>
      <c r="CD28" s="4794">
        <f t="shared" si="66"/>
        <v>0</v>
      </c>
      <c r="CE28" s="4794">
        <f t="shared" si="67"/>
        <v>0</v>
      </c>
      <c r="CF28" s="4794">
        <f t="shared" si="68"/>
        <v>0</v>
      </c>
      <c r="CG28" s="4794">
        <f t="shared" si="69"/>
        <v>0</v>
      </c>
      <c r="CH28" s="4794">
        <f t="shared" si="70"/>
        <v>0</v>
      </c>
      <c r="CI28" s="4794">
        <f t="shared" si="71"/>
        <v>0</v>
      </c>
      <c r="CJ28" s="4794">
        <f t="shared" si="72"/>
        <v>0</v>
      </c>
      <c r="CK28" s="4794">
        <f t="shared" si="73"/>
        <v>0</v>
      </c>
      <c r="CL28" s="4794">
        <f t="shared" si="74"/>
        <v>0</v>
      </c>
      <c r="CM28" s="4794">
        <f t="shared" si="75"/>
        <v>0</v>
      </c>
      <c r="CN28" s="4794">
        <f t="shared" si="76"/>
        <v>0</v>
      </c>
      <c r="CO28" s="4794">
        <f t="shared" si="77"/>
        <v>0</v>
      </c>
      <c r="CP28" s="4794">
        <f t="shared" si="78"/>
        <v>0</v>
      </c>
      <c r="CQ28" s="4794">
        <f t="shared" si="79"/>
        <v>0</v>
      </c>
      <c r="CR28" s="4794">
        <f t="shared" si="80"/>
        <v>0</v>
      </c>
      <c r="CS28" s="4794">
        <f t="shared" si="81"/>
        <v>0</v>
      </c>
      <c r="CT28" s="4794">
        <f t="shared" si="82"/>
        <v>0</v>
      </c>
      <c r="CU28" s="4794">
        <f t="shared" si="83"/>
        <v>0</v>
      </c>
      <c r="CV28" s="4794">
        <f t="shared" si="84"/>
        <v>0</v>
      </c>
      <c r="CW28" s="4794">
        <f t="shared" si="85"/>
        <v>0</v>
      </c>
      <c r="CX28" s="4794">
        <f t="shared" si="86"/>
        <v>0</v>
      </c>
      <c r="CY28" s="4794">
        <f t="shared" si="87"/>
        <v>7.6693782179432777</v>
      </c>
      <c r="CZ28" s="4794">
        <f t="shared" si="88"/>
        <v>7.6693782179432777</v>
      </c>
      <c r="DA28" s="4794">
        <f t="shared" si="89"/>
        <v>7.6693782179432777</v>
      </c>
      <c r="DB28" s="4794">
        <f t="shared" si="90"/>
        <v>7.6693782179432777</v>
      </c>
      <c r="DC28" s="4794">
        <f t="shared" si="91"/>
        <v>7.6693782179432777</v>
      </c>
      <c r="DD28" s="4794">
        <f t="shared" si="92"/>
        <v>7.6693782179432777</v>
      </c>
      <c r="DE28" s="4794">
        <f t="shared" si="93"/>
        <v>0</v>
      </c>
      <c r="DF28" s="4794">
        <f t="shared" si="94"/>
        <v>0</v>
      </c>
      <c r="DG28" s="4794">
        <f t="shared" si="95"/>
        <v>0</v>
      </c>
      <c r="DH28" s="4794">
        <f t="shared" si="96"/>
        <v>0</v>
      </c>
      <c r="DI28" s="4794">
        <f t="shared" si="97"/>
        <v>0</v>
      </c>
      <c r="DJ28" s="4794">
        <f t="shared" si="98"/>
        <v>0</v>
      </c>
    </row>
    <row r="29" spans="1:114" ht="13.5" thickBot="1">
      <c r="A29" s="114" t="s">
        <v>95</v>
      </c>
      <c r="B29" s="916" t="s">
        <v>239</v>
      </c>
      <c r="C29" s="1129">
        <f>SUM(C30:C54)-C38-C51</f>
        <v>1760.223</v>
      </c>
      <c r="D29" s="924">
        <f t="shared" ref="D29:X29" si="144">SUM(D30:D54)-D38-D51</f>
        <v>1761</v>
      </c>
      <c r="E29" s="1166">
        <f t="shared" si="144"/>
        <v>1761</v>
      </c>
      <c r="F29" s="1166">
        <f t="shared" si="144"/>
        <v>1761</v>
      </c>
      <c r="G29" s="1166">
        <f t="shared" si="144"/>
        <v>1761</v>
      </c>
      <c r="H29" s="1169">
        <f t="shared" si="144"/>
        <v>1761</v>
      </c>
      <c r="I29" s="1265">
        <f t="shared" si="34"/>
        <v>0.77700000000004366</v>
      </c>
      <c r="J29" s="836">
        <f t="shared" si="35"/>
        <v>4.4142134263672482E-4</v>
      </c>
      <c r="K29" s="1129">
        <f t="shared" si="144"/>
        <v>527</v>
      </c>
      <c r="L29" s="924">
        <f t="shared" si="144"/>
        <v>527</v>
      </c>
      <c r="M29" s="1166">
        <f t="shared" si="144"/>
        <v>527</v>
      </c>
      <c r="N29" s="1166">
        <f t="shared" si="144"/>
        <v>527</v>
      </c>
      <c r="O29" s="1166">
        <f t="shared" si="144"/>
        <v>527</v>
      </c>
      <c r="P29" s="1169">
        <f t="shared" si="144"/>
        <v>527</v>
      </c>
      <c r="Q29" s="1265">
        <f t="shared" si="36"/>
        <v>0</v>
      </c>
      <c r="R29" s="894">
        <f t="shared" si="37"/>
        <v>0</v>
      </c>
      <c r="S29" s="1129">
        <f t="shared" si="144"/>
        <v>503</v>
      </c>
      <c r="T29" s="924">
        <f t="shared" si="144"/>
        <v>564</v>
      </c>
      <c r="U29" s="1166">
        <f t="shared" si="144"/>
        <v>564</v>
      </c>
      <c r="V29" s="1166">
        <f t="shared" si="144"/>
        <v>564</v>
      </c>
      <c r="W29" s="1166">
        <f t="shared" si="144"/>
        <v>564</v>
      </c>
      <c r="X29" s="1169">
        <f t="shared" si="144"/>
        <v>564</v>
      </c>
      <c r="Y29" s="1265">
        <f t="shared" si="38"/>
        <v>61</v>
      </c>
      <c r="Z29" s="894">
        <f t="shared" si="39"/>
        <v>0.12127236580516898</v>
      </c>
      <c r="AA29" s="1129">
        <f t="shared" ref="AA29:AN29" si="145">SUM(AA30:AA54)-AA38-AA51</f>
        <v>0</v>
      </c>
      <c r="AB29" s="924">
        <f t="shared" si="145"/>
        <v>0</v>
      </c>
      <c r="AC29" s="1166">
        <f t="shared" si="145"/>
        <v>0</v>
      </c>
      <c r="AD29" s="1166">
        <f t="shared" si="145"/>
        <v>0</v>
      </c>
      <c r="AE29" s="1166">
        <f t="shared" si="145"/>
        <v>0</v>
      </c>
      <c r="AF29" s="1169">
        <f t="shared" si="145"/>
        <v>0</v>
      </c>
      <c r="AG29" s="1265">
        <f t="shared" si="40"/>
        <v>0</v>
      </c>
      <c r="AH29" s="836">
        <f t="shared" si="41"/>
        <v>0</v>
      </c>
      <c r="AI29" s="1129">
        <f t="shared" si="145"/>
        <v>0</v>
      </c>
      <c r="AJ29" s="924">
        <f t="shared" si="145"/>
        <v>0</v>
      </c>
      <c r="AK29" s="1166">
        <f t="shared" si="145"/>
        <v>0</v>
      </c>
      <c r="AL29" s="1166">
        <f t="shared" si="145"/>
        <v>0</v>
      </c>
      <c r="AM29" s="1166">
        <f t="shared" si="145"/>
        <v>0</v>
      </c>
      <c r="AN29" s="2808">
        <f t="shared" si="145"/>
        <v>0</v>
      </c>
      <c r="AO29" s="1265">
        <f t="shared" si="42"/>
        <v>0</v>
      </c>
      <c r="AP29" s="836">
        <f t="shared" si="43"/>
        <v>0</v>
      </c>
      <c r="AQ29" s="1129">
        <f t="shared" ref="AQ29" si="146">SUM(AQ30:AQ54)-AQ38-AQ51</f>
        <v>0</v>
      </c>
      <c r="AR29" s="924">
        <f t="shared" ref="AR29" si="147">SUM(AR30:AR54)-AR38-AR51</f>
        <v>0</v>
      </c>
      <c r="AS29" s="1166">
        <f t="shared" ref="AS29" si="148">SUM(AS30:AS54)-AS38-AS51</f>
        <v>0</v>
      </c>
      <c r="AT29" s="1166">
        <f t="shared" ref="AT29" si="149">SUM(AT30:AT54)-AT38-AT51</f>
        <v>0</v>
      </c>
      <c r="AU29" s="1166">
        <f t="shared" ref="AU29" si="150">SUM(AU30:AU54)-AU38-AU51</f>
        <v>0</v>
      </c>
      <c r="AV29" s="2808">
        <f t="shared" ref="AV29" si="151">SUM(AV30:AV54)-AV38-AV51</f>
        <v>0</v>
      </c>
      <c r="AW29" s="1129">
        <f t="shared" ref="AW29:BB29" si="152">SUM(AW30:AW54)-AW38-AW51</f>
        <v>2790.223</v>
      </c>
      <c r="AX29" s="924">
        <f t="shared" si="152"/>
        <v>2852</v>
      </c>
      <c r="AY29" s="1166">
        <f t="shared" si="152"/>
        <v>2852</v>
      </c>
      <c r="AZ29" s="1166">
        <f t="shared" si="152"/>
        <v>2852</v>
      </c>
      <c r="BA29" s="1166">
        <f t="shared" si="152"/>
        <v>2852</v>
      </c>
      <c r="BB29" s="2808">
        <f t="shared" si="152"/>
        <v>2852</v>
      </c>
      <c r="BC29" s="1129">
        <f t="shared" ref="BC29:BH29" si="153">SUM(BC30:BC54)-BC38-BC51</f>
        <v>1760.223</v>
      </c>
      <c r="BD29" s="924">
        <f t="shared" si="153"/>
        <v>1761</v>
      </c>
      <c r="BE29" s="1166">
        <f t="shared" si="153"/>
        <v>1761</v>
      </c>
      <c r="BF29" s="1166">
        <f t="shared" si="153"/>
        <v>1761</v>
      </c>
      <c r="BG29" s="1166">
        <f t="shared" si="153"/>
        <v>1761</v>
      </c>
      <c r="BH29" s="2808">
        <f t="shared" si="153"/>
        <v>1761</v>
      </c>
      <c r="BI29" s="4775"/>
      <c r="BJ29" s="4794">
        <f t="shared" si="46"/>
        <v>899.9877289948513</v>
      </c>
      <c r="BK29" s="4794">
        <f t="shared" si="47"/>
        <v>900.38500278654078</v>
      </c>
      <c r="BL29" s="4794">
        <f t="shared" si="48"/>
        <v>900.38500278654078</v>
      </c>
      <c r="BM29" s="4794">
        <f t="shared" si="49"/>
        <v>900.38500278654078</v>
      </c>
      <c r="BN29" s="4794">
        <f t="shared" si="50"/>
        <v>900.38500278654078</v>
      </c>
      <c r="BO29" s="4794">
        <f t="shared" si="51"/>
        <v>900.38500278654078</v>
      </c>
      <c r="BP29" s="4794">
        <f t="shared" si="52"/>
        <v>0.39727379168948407</v>
      </c>
      <c r="BQ29" s="4794">
        <f t="shared" si="53"/>
        <v>269.45082139040716</v>
      </c>
      <c r="BR29" s="4794">
        <f t="shared" si="54"/>
        <v>269.45082139040716</v>
      </c>
      <c r="BS29" s="4794">
        <f t="shared" si="55"/>
        <v>269.45082139040716</v>
      </c>
      <c r="BT29" s="4794">
        <f t="shared" si="56"/>
        <v>269.45082139040716</v>
      </c>
      <c r="BU29" s="4794">
        <f t="shared" si="57"/>
        <v>269.45082139040716</v>
      </c>
      <c r="BV29" s="4794">
        <f t="shared" si="58"/>
        <v>269.45082139040716</v>
      </c>
      <c r="BW29" s="4794">
        <f t="shared" si="59"/>
        <v>0</v>
      </c>
      <c r="BX29" s="4794">
        <f t="shared" si="60"/>
        <v>257.17981624169789</v>
      </c>
      <c r="BY29" s="4794">
        <f t="shared" si="61"/>
        <v>288.36862099466725</v>
      </c>
      <c r="BZ29" s="4794">
        <f t="shared" si="62"/>
        <v>288.36862099466725</v>
      </c>
      <c r="CA29" s="4794">
        <f t="shared" si="63"/>
        <v>288.36862099466725</v>
      </c>
      <c r="CB29" s="4794">
        <f t="shared" si="64"/>
        <v>288.36862099466725</v>
      </c>
      <c r="CC29" s="4794">
        <f t="shared" si="65"/>
        <v>288.36862099466725</v>
      </c>
      <c r="CD29" s="4794">
        <f t="shared" si="66"/>
        <v>31.188804752969329</v>
      </c>
      <c r="CE29" s="4794">
        <f t="shared" si="67"/>
        <v>0</v>
      </c>
      <c r="CF29" s="4794">
        <f t="shared" si="68"/>
        <v>0</v>
      </c>
      <c r="CG29" s="4794">
        <f t="shared" si="69"/>
        <v>0</v>
      </c>
      <c r="CH29" s="4794">
        <f t="shared" si="70"/>
        <v>0</v>
      </c>
      <c r="CI29" s="4794">
        <f t="shared" si="71"/>
        <v>0</v>
      </c>
      <c r="CJ29" s="4794">
        <f t="shared" si="72"/>
        <v>0</v>
      </c>
      <c r="CK29" s="4794">
        <f t="shared" si="73"/>
        <v>0</v>
      </c>
      <c r="CL29" s="4794">
        <f t="shared" si="74"/>
        <v>0</v>
      </c>
      <c r="CM29" s="4794">
        <f t="shared" si="75"/>
        <v>0</v>
      </c>
      <c r="CN29" s="4794">
        <f t="shared" si="76"/>
        <v>0</v>
      </c>
      <c r="CO29" s="4794">
        <f t="shared" si="77"/>
        <v>0</v>
      </c>
      <c r="CP29" s="4794">
        <f t="shared" si="78"/>
        <v>0</v>
      </c>
      <c r="CQ29" s="4794">
        <f t="shared" si="79"/>
        <v>0</v>
      </c>
      <c r="CR29" s="4794">
        <f t="shared" si="80"/>
        <v>0</v>
      </c>
      <c r="CS29" s="4794">
        <f t="shared" si="81"/>
        <v>0</v>
      </c>
      <c r="CT29" s="4794">
        <f t="shared" si="82"/>
        <v>0</v>
      </c>
      <c r="CU29" s="4794">
        <f t="shared" si="83"/>
        <v>0</v>
      </c>
      <c r="CV29" s="4794">
        <f t="shared" si="84"/>
        <v>0</v>
      </c>
      <c r="CW29" s="4794">
        <f t="shared" si="85"/>
        <v>0</v>
      </c>
      <c r="CX29" s="4794">
        <f t="shared" si="86"/>
        <v>0</v>
      </c>
      <c r="CY29" s="4794">
        <f t="shared" si="87"/>
        <v>1426.6183666269562</v>
      </c>
      <c r="CZ29" s="4794">
        <f t="shared" si="88"/>
        <v>1458.2044451716151</v>
      </c>
      <c r="DA29" s="4794">
        <f t="shared" si="89"/>
        <v>1458.2044451716151</v>
      </c>
      <c r="DB29" s="4794">
        <f t="shared" si="90"/>
        <v>1458.2044451716151</v>
      </c>
      <c r="DC29" s="4794">
        <f t="shared" si="91"/>
        <v>1458.2044451716151</v>
      </c>
      <c r="DD29" s="4794">
        <f t="shared" si="92"/>
        <v>1458.2044451716151</v>
      </c>
      <c r="DE29" s="4794">
        <f t="shared" si="93"/>
        <v>899.9877289948513</v>
      </c>
      <c r="DF29" s="4794">
        <f t="shared" si="94"/>
        <v>900.38500278654078</v>
      </c>
      <c r="DG29" s="4794">
        <f t="shared" si="95"/>
        <v>900.38500278654078</v>
      </c>
      <c r="DH29" s="4794">
        <f t="shared" si="96"/>
        <v>900.38500278654078</v>
      </c>
      <c r="DI29" s="4794">
        <f t="shared" si="97"/>
        <v>900.38500278654078</v>
      </c>
      <c r="DJ29" s="4794">
        <f t="shared" si="98"/>
        <v>900.38500278654078</v>
      </c>
    </row>
    <row r="30" spans="1:114" ht="12.75">
      <c r="A30" s="113" t="s">
        <v>96</v>
      </c>
      <c r="B30" s="917" t="s">
        <v>240</v>
      </c>
      <c r="C30" s="3230">
        <v>49</v>
      </c>
      <c r="D30" s="3231">
        <v>49</v>
      </c>
      <c r="E30" s="3231">
        <v>49</v>
      </c>
      <c r="F30" s="3231">
        <v>49</v>
      </c>
      <c r="G30" s="3231">
        <v>49</v>
      </c>
      <c r="H30" s="3232">
        <v>49</v>
      </c>
      <c r="I30" s="1270">
        <f t="shared" si="34"/>
        <v>0</v>
      </c>
      <c r="J30" s="1263">
        <f t="shared" si="35"/>
        <v>0</v>
      </c>
      <c r="K30" s="3225">
        <v>12</v>
      </c>
      <c r="L30" s="3226">
        <v>12</v>
      </c>
      <c r="M30" s="3226">
        <v>12</v>
      </c>
      <c r="N30" s="3226">
        <v>12</v>
      </c>
      <c r="O30" s="3226">
        <v>12</v>
      </c>
      <c r="P30" s="3227">
        <v>12</v>
      </c>
      <c r="Q30" s="1270">
        <f t="shared" si="36"/>
        <v>0</v>
      </c>
      <c r="R30" s="1144">
        <f t="shared" si="37"/>
        <v>0</v>
      </c>
      <c r="S30" s="3225">
        <v>13</v>
      </c>
      <c r="T30" s="3226">
        <v>13</v>
      </c>
      <c r="U30" s="3226">
        <v>13</v>
      </c>
      <c r="V30" s="3226">
        <v>13</v>
      </c>
      <c r="W30" s="3226">
        <v>13</v>
      </c>
      <c r="X30" s="3227">
        <v>13</v>
      </c>
      <c r="Y30" s="1270">
        <f t="shared" si="38"/>
        <v>0</v>
      </c>
      <c r="Z30" s="1144">
        <f t="shared" si="39"/>
        <v>0</v>
      </c>
      <c r="AA30" s="3225"/>
      <c r="AB30" s="3226"/>
      <c r="AC30" s="3226"/>
      <c r="AD30" s="3226"/>
      <c r="AE30" s="3226"/>
      <c r="AF30" s="3227"/>
      <c r="AG30" s="1270">
        <f t="shared" si="40"/>
        <v>0</v>
      </c>
      <c r="AH30" s="1263">
        <f t="shared" si="41"/>
        <v>0</v>
      </c>
      <c r="AI30" s="3225"/>
      <c r="AJ30" s="3226"/>
      <c r="AK30" s="3226"/>
      <c r="AL30" s="3226"/>
      <c r="AM30" s="3226"/>
      <c r="AN30" s="3255"/>
      <c r="AO30" s="1270">
        <f t="shared" si="42"/>
        <v>0</v>
      </c>
      <c r="AP30" s="1263">
        <f t="shared" si="43"/>
        <v>0</v>
      </c>
      <c r="AQ30" s="3230"/>
      <c r="AR30" s="3231"/>
      <c r="AS30" s="3231"/>
      <c r="AT30" s="3231"/>
      <c r="AU30" s="3231"/>
      <c r="AV30" s="3274"/>
      <c r="AW30" s="1131">
        <f t="shared" ref="AW30:AW37" si="154">C30+K30+S30+AA30+AI30</f>
        <v>74</v>
      </c>
      <c r="AX30" s="3245">
        <f t="shared" ref="AX30:AX37" si="155">D30+L30+T30+AB30+AJ30</f>
        <v>74</v>
      </c>
      <c r="AY30" s="3245">
        <f t="shared" ref="AY30:AY37" si="156">E30+M30+U30+AC30+AK30</f>
        <v>74</v>
      </c>
      <c r="AZ30" s="3245">
        <f t="shared" ref="AZ30:AZ37" si="157">F30+N30+V30+AD30+AL30</f>
        <v>74</v>
      </c>
      <c r="BA30" s="3245">
        <f t="shared" ref="BA30:BA37" si="158">G30+O30+W30+AE30+AM30</f>
        <v>74</v>
      </c>
      <c r="BB30" s="3246">
        <f t="shared" ref="BB30:BB37" si="159">H30+P30+X30+AF30+AN30</f>
        <v>74</v>
      </c>
      <c r="BC30" s="3266">
        <f t="shared" ref="BC30:BC37" si="160">C30+AA30+AI30</f>
        <v>49</v>
      </c>
      <c r="BD30" s="3267">
        <f t="shared" ref="BD30:BD37" si="161">D30+AB30+AJ30</f>
        <v>49</v>
      </c>
      <c r="BE30" s="3268">
        <f t="shared" ref="BE30:BE37" si="162">E30+AC30+AK30</f>
        <v>49</v>
      </c>
      <c r="BF30" s="3268">
        <f t="shared" ref="BF30:BF37" si="163">F30+AD30+AL30</f>
        <v>49</v>
      </c>
      <c r="BG30" s="3268">
        <f t="shared" ref="BG30:BG37" si="164">G30+AE30+AM30</f>
        <v>49</v>
      </c>
      <c r="BH30" s="3270">
        <f t="shared" ref="BH30:BH37" si="165">H30+AF30+AN30</f>
        <v>49</v>
      </c>
      <c r="BI30" s="4775"/>
      <c r="BJ30" s="4794">
        <f t="shared" si="46"/>
        <v>25.053302178614707</v>
      </c>
      <c r="BK30" s="4794">
        <f t="shared" si="47"/>
        <v>25.053302178614707</v>
      </c>
      <c r="BL30" s="4794">
        <f t="shared" si="48"/>
        <v>25.053302178614707</v>
      </c>
      <c r="BM30" s="4794">
        <f t="shared" si="49"/>
        <v>25.053302178614707</v>
      </c>
      <c r="BN30" s="4794">
        <f t="shared" si="50"/>
        <v>25.053302178614707</v>
      </c>
      <c r="BO30" s="4794">
        <f t="shared" si="51"/>
        <v>25.053302178614707</v>
      </c>
      <c r="BP30" s="4794">
        <f t="shared" si="52"/>
        <v>0</v>
      </c>
      <c r="BQ30" s="4794">
        <f t="shared" si="53"/>
        <v>6.1355025743546223</v>
      </c>
      <c r="BR30" s="4794">
        <f t="shared" si="54"/>
        <v>6.1355025743546223</v>
      </c>
      <c r="BS30" s="4794">
        <f t="shared" si="55"/>
        <v>6.1355025743546223</v>
      </c>
      <c r="BT30" s="4794">
        <f t="shared" si="56"/>
        <v>6.1355025743546223</v>
      </c>
      <c r="BU30" s="4794">
        <f t="shared" si="57"/>
        <v>6.1355025743546223</v>
      </c>
      <c r="BV30" s="4794">
        <f t="shared" si="58"/>
        <v>6.1355025743546223</v>
      </c>
      <c r="BW30" s="4794">
        <f t="shared" si="59"/>
        <v>0</v>
      </c>
      <c r="BX30" s="4794">
        <f t="shared" si="60"/>
        <v>6.6467944555508405</v>
      </c>
      <c r="BY30" s="4794">
        <f t="shared" si="61"/>
        <v>6.6467944555508405</v>
      </c>
      <c r="BZ30" s="4794">
        <f t="shared" si="62"/>
        <v>6.6467944555508405</v>
      </c>
      <c r="CA30" s="4794">
        <f t="shared" si="63"/>
        <v>6.6467944555508405</v>
      </c>
      <c r="CB30" s="4794">
        <f t="shared" si="64"/>
        <v>6.6467944555508405</v>
      </c>
      <c r="CC30" s="4794">
        <f t="shared" si="65"/>
        <v>6.6467944555508405</v>
      </c>
      <c r="CD30" s="4794">
        <f t="shared" si="66"/>
        <v>0</v>
      </c>
      <c r="CE30" s="4794">
        <f t="shared" si="67"/>
        <v>0</v>
      </c>
      <c r="CF30" s="4794">
        <f t="shared" si="68"/>
        <v>0</v>
      </c>
      <c r="CG30" s="4794">
        <f t="shared" si="69"/>
        <v>0</v>
      </c>
      <c r="CH30" s="4794">
        <f t="shared" si="70"/>
        <v>0</v>
      </c>
      <c r="CI30" s="4794">
        <f t="shared" si="71"/>
        <v>0</v>
      </c>
      <c r="CJ30" s="4794">
        <f t="shared" si="72"/>
        <v>0</v>
      </c>
      <c r="CK30" s="4794">
        <f t="shared" si="73"/>
        <v>0</v>
      </c>
      <c r="CL30" s="4794">
        <f t="shared" si="74"/>
        <v>0</v>
      </c>
      <c r="CM30" s="4794">
        <f t="shared" si="75"/>
        <v>0</v>
      </c>
      <c r="CN30" s="4794">
        <f t="shared" si="76"/>
        <v>0</v>
      </c>
      <c r="CO30" s="4794">
        <f t="shared" si="77"/>
        <v>0</v>
      </c>
      <c r="CP30" s="4794">
        <f t="shared" si="78"/>
        <v>0</v>
      </c>
      <c r="CQ30" s="4794">
        <f t="shared" si="79"/>
        <v>0</v>
      </c>
      <c r="CR30" s="4794">
        <f t="shared" si="80"/>
        <v>0</v>
      </c>
      <c r="CS30" s="4794">
        <f t="shared" si="81"/>
        <v>0</v>
      </c>
      <c r="CT30" s="4794">
        <f t="shared" si="82"/>
        <v>0</v>
      </c>
      <c r="CU30" s="4794">
        <f t="shared" si="83"/>
        <v>0</v>
      </c>
      <c r="CV30" s="4794">
        <f t="shared" si="84"/>
        <v>0</v>
      </c>
      <c r="CW30" s="4794">
        <f t="shared" si="85"/>
        <v>0</v>
      </c>
      <c r="CX30" s="4794">
        <f t="shared" si="86"/>
        <v>0</v>
      </c>
      <c r="CY30" s="4794">
        <f t="shared" si="87"/>
        <v>37.835599208520172</v>
      </c>
      <c r="CZ30" s="4794">
        <f t="shared" si="88"/>
        <v>37.835599208520172</v>
      </c>
      <c r="DA30" s="4794">
        <f t="shared" si="89"/>
        <v>37.835599208520172</v>
      </c>
      <c r="DB30" s="4794">
        <f t="shared" si="90"/>
        <v>37.835599208520172</v>
      </c>
      <c r="DC30" s="4794">
        <f t="shared" si="91"/>
        <v>37.835599208520172</v>
      </c>
      <c r="DD30" s="4794">
        <f t="shared" si="92"/>
        <v>37.835599208520172</v>
      </c>
      <c r="DE30" s="4794">
        <f t="shared" si="93"/>
        <v>25.053302178614707</v>
      </c>
      <c r="DF30" s="4794">
        <f t="shared" si="94"/>
        <v>25.053302178614707</v>
      </c>
      <c r="DG30" s="4794">
        <f t="shared" si="95"/>
        <v>25.053302178614707</v>
      </c>
      <c r="DH30" s="4794">
        <f t="shared" si="96"/>
        <v>25.053302178614707</v>
      </c>
      <c r="DI30" s="4794">
        <f t="shared" si="97"/>
        <v>25.053302178614707</v>
      </c>
      <c r="DJ30" s="4794">
        <f t="shared" si="98"/>
        <v>25.053302178614707</v>
      </c>
    </row>
    <row r="31" spans="1:114" ht="24">
      <c r="A31" s="854" t="s">
        <v>97</v>
      </c>
      <c r="B31" s="915" t="s">
        <v>241</v>
      </c>
      <c r="C31" s="3225">
        <v>45</v>
      </c>
      <c r="D31" s="3226">
        <v>46</v>
      </c>
      <c r="E31" s="3226">
        <v>46</v>
      </c>
      <c r="F31" s="3226">
        <v>46</v>
      </c>
      <c r="G31" s="3226">
        <v>46</v>
      </c>
      <c r="H31" s="3227">
        <v>46</v>
      </c>
      <c r="I31" s="1270">
        <f t="shared" si="34"/>
        <v>1</v>
      </c>
      <c r="J31" s="842">
        <f t="shared" si="35"/>
        <v>2.2222222222222223E-2</v>
      </c>
      <c r="K31" s="3233"/>
      <c r="L31" s="3234"/>
      <c r="M31" s="2088"/>
      <c r="N31" s="2088"/>
      <c r="O31" s="2088"/>
      <c r="P31" s="3253"/>
      <c r="Q31" s="2160"/>
      <c r="R31" s="3211"/>
      <c r="S31" s="3233"/>
      <c r="T31" s="3234"/>
      <c r="U31" s="2088"/>
      <c r="V31" s="2088"/>
      <c r="W31" s="2088"/>
      <c r="X31" s="3253"/>
      <c r="Y31" s="2160"/>
      <c r="Z31" s="3211"/>
      <c r="AA31" s="3225"/>
      <c r="AB31" s="3226"/>
      <c r="AC31" s="3226"/>
      <c r="AD31" s="3226"/>
      <c r="AE31" s="3226"/>
      <c r="AF31" s="3227"/>
      <c r="AG31" s="1270">
        <f t="shared" si="40"/>
        <v>0</v>
      </c>
      <c r="AH31" s="842">
        <f t="shared" si="41"/>
        <v>0</v>
      </c>
      <c r="AI31" s="3225"/>
      <c r="AJ31" s="3226"/>
      <c r="AK31" s="3226"/>
      <c r="AL31" s="3226"/>
      <c r="AM31" s="3226"/>
      <c r="AN31" s="3255"/>
      <c r="AO31" s="1270">
        <f t="shared" si="42"/>
        <v>0</v>
      </c>
      <c r="AP31" s="842">
        <f t="shared" si="43"/>
        <v>0</v>
      </c>
      <c r="AQ31" s="3233"/>
      <c r="AR31" s="3234"/>
      <c r="AS31" s="2088"/>
      <c r="AT31" s="2088"/>
      <c r="AU31" s="2088"/>
      <c r="AV31" s="2161"/>
      <c r="AW31" s="1131">
        <f t="shared" si="154"/>
        <v>45</v>
      </c>
      <c r="AX31" s="3245">
        <f t="shared" si="155"/>
        <v>46</v>
      </c>
      <c r="AY31" s="3245">
        <f t="shared" si="156"/>
        <v>46</v>
      </c>
      <c r="AZ31" s="3245">
        <f t="shared" si="157"/>
        <v>46</v>
      </c>
      <c r="BA31" s="3245">
        <f t="shared" si="158"/>
        <v>46</v>
      </c>
      <c r="BB31" s="3246">
        <f t="shared" si="159"/>
        <v>46</v>
      </c>
      <c r="BC31" s="3266">
        <f t="shared" si="160"/>
        <v>45</v>
      </c>
      <c r="BD31" s="3267">
        <f t="shared" si="161"/>
        <v>46</v>
      </c>
      <c r="BE31" s="3268">
        <f t="shared" si="162"/>
        <v>46</v>
      </c>
      <c r="BF31" s="3268">
        <f t="shared" si="163"/>
        <v>46</v>
      </c>
      <c r="BG31" s="3268">
        <f t="shared" si="164"/>
        <v>46</v>
      </c>
      <c r="BH31" s="3270">
        <f t="shared" si="165"/>
        <v>46</v>
      </c>
      <c r="BI31" s="4775"/>
      <c r="BJ31" s="4794">
        <f t="shared" si="46"/>
        <v>23.008134653829831</v>
      </c>
      <c r="BK31" s="4794">
        <f t="shared" si="47"/>
        <v>23.519426535026049</v>
      </c>
      <c r="BL31" s="4794">
        <f t="shared" si="48"/>
        <v>23.519426535026049</v>
      </c>
      <c r="BM31" s="4794">
        <f t="shared" si="49"/>
        <v>23.519426535026049</v>
      </c>
      <c r="BN31" s="4794">
        <f t="shared" si="50"/>
        <v>23.519426535026049</v>
      </c>
      <c r="BO31" s="4794">
        <f t="shared" si="51"/>
        <v>23.519426535026049</v>
      </c>
      <c r="BP31" s="4794">
        <f t="shared" si="52"/>
        <v>0.51129188119621849</v>
      </c>
      <c r="BQ31" s="4794">
        <f t="shared" si="53"/>
        <v>0</v>
      </c>
      <c r="BR31" s="4794">
        <f t="shared" si="54"/>
        <v>0</v>
      </c>
      <c r="BS31" s="4794">
        <f t="shared" si="55"/>
        <v>0</v>
      </c>
      <c r="BT31" s="4794">
        <f t="shared" si="56"/>
        <v>0</v>
      </c>
      <c r="BU31" s="4794">
        <f t="shared" si="57"/>
        <v>0</v>
      </c>
      <c r="BV31" s="4794">
        <f t="shared" si="58"/>
        <v>0</v>
      </c>
      <c r="BW31" s="4794">
        <f t="shared" si="59"/>
        <v>0</v>
      </c>
      <c r="BX31" s="4794">
        <f t="shared" si="60"/>
        <v>0</v>
      </c>
      <c r="BY31" s="4794">
        <f t="shared" si="61"/>
        <v>0</v>
      </c>
      <c r="BZ31" s="4794">
        <f t="shared" si="62"/>
        <v>0</v>
      </c>
      <c r="CA31" s="4794">
        <f t="shared" si="63"/>
        <v>0</v>
      </c>
      <c r="CB31" s="4794">
        <f t="shared" si="64"/>
        <v>0</v>
      </c>
      <c r="CC31" s="4794">
        <f t="shared" si="65"/>
        <v>0</v>
      </c>
      <c r="CD31" s="4794">
        <f t="shared" si="66"/>
        <v>0</v>
      </c>
      <c r="CE31" s="4794">
        <f t="shared" si="67"/>
        <v>0</v>
      </c>
      <c r="CF31" s="4794">
        <f t="shared" si="68"/>
        <v>0</v>
      </c>
      <c r="CG31" s="4794">
        <f t="shared" si="69"/>
        <v>0</v>
      </c>
      <c r="CH31" s="4794">
        <f t="shared" si="70"/>
        <v>0</v>
      </c>
      <c r="CI31" s="4794">
        <f t="shared" si="71"/>
        <v>0</v>
      </c>
      <c r="CJ31" s="4794">
        <f t="shared" si="72"/>
        <v>0</v>
      </c>
      <c r="CK31" s="4794">
        <f t="shared" si="73"/>
        <v>0</v>
      </c>
      <c r="CL31" s="4794">
        <f t="shared" si="74"/>
        <v>0</v>
      </c>
      <c r="CM31" s="4794">
        <f t="shared" si="75"/>
        <v>0</v>
      </c>
      <c r="CN31" s="4794">
        <f t="shared" si="76"/>
        <v>0</v>
      </c>
      <c r="CO31" s="4794">
        <f t="shared" si="77"/>
        <v>0</v>
      </c>
      <c r="CP31" s="4794">
        <f t="shared" si="78"/>
        <v>0</v>
      </c>
      <c r="CQ31" s="4794">
        <f t="shared" si="79"/>
        <v>0</v>
      </c>
      <c r="CR31" s="4794">
        <f t="shared" si="80"/>
        <v>0</v>
      </c>
      <c r="CS31" s="4794">
        <f t="shared" si="81"/>
        <v>0</v>
      </c>
      <c r="CT31" s="4794">
        <f t="shared" si="82"/>
        <v>0</v>
      </c>
      <c r="CU31" s="4794">
        <f t="shared" si="83"/>
        <v>0</v>
      </c>
      <c r="CV31" s="4794">
        <f t="shared" si="84"/>
        <v>0</v>
      </c>
      <c r="CW31" s="4794">
        <f t="shared" si="85"/>
        <v>0</v>
      </c>
      <c r="CX31" s="4794">
        <f t="shared" si="86"/>
        <v>0</v>
      </c>
      <c r="CY31" s="4794">
        <f t="shared" si="87"/>
        <v>23.008134653829831</v>
      </c>
      <c r="CZ31" s="4794">
        <f t="shared" si="88"/>
        <v>23.519426535026049</v>
      </c>
      <c r="DA31" s="4794">
        <f t="shared" si="89"/>
        <v>23.519426535026049</v>
      </c>
      <c r="DB31" s="4794">
        <f t="shared" si="90"/>
        <v>23.519426535026049</v>
      </c>
      <c r="DC31" s="4794">
        <f t="shared" si="91"/>
        <v>23.519426535026049</v>
      </c>
      <c r="DD31" s="4794">
        <f t="shared" si="92"/>
        <v>23.519426535026049</v>
      </c>
      <c r="DE31" s="4794">
        <f t="shared" si="93"/>
        <v>23.008134653829831</v>
      </c>
      <c r="DF31" s="4794">
        <f t="shared" si="94"/>
        <v>23.519426535026049</v>
      </c>
      <c r="DG31" s="4794">
        <f t="shared" si="95"/>
        <v>23.519426535026049</v>
      </c>
      <c r="DH31" s="4794">
        <f t="shared" si="96"/>
        <v>23.519426535026049</v>
      </c>
      <c r="DI31" s="4794">
        <f t="shared" si="97"/>
        <v>23.519426535026049</v>
      </c>
      <c r="DJ31" s="4794">
        <f t="shared" si="98"/>
        <v>23.519426535026049</v>
      </c>
    </row>
    <row r="32" spans="1:114" ht="12.75">
      <c r="A32" s="854" t="s">
        <v>169</v>
      </c>
      <c r="B32" s="4133" t="s">
        <v>1219</v>
      </c>
      <c r="C32" s="3225">
        <v>129</v>
      </c>
      <c r="D32" s="3226">
        <v>129</v>
      </c>
      <c r="E32" s="3226">
        <v>129</v>
      </c>
      <c r="F32" s="3226">
        <v>129</v>
      </c>
      <c r="G32" s="3226">
        <v>129</v>
      </c>
      <c r="H32" s="3227">
        <v>129</v>
      </c>
      <c r="I32" s="1270">
        <f t="shared" si="34"/>
        <v>0</v>
      </c>
      <c r="J32" s="842">
        <f t="shared" si="35"/>
        <v>0</v>
      </c>
      <c r="K32" s="3225">
        <v>27</v>
      </c>
      <c r="L32" s="3226">
        <v>27</v>
      </c>
      <c r="M32" s="3226">
        <v>27</v>
      </c>
      <c r="N32" s="3226">
        <v>27</v>
      </c>
      <c r="O32" s="3226">
        <v>27</v>
      </c>
      <c r="P32" s="3227">
        <v>27</v>
      </c>
      <c r="Q32" s="1270">
        <f t="shared" ref="Q32:Q48" si="166">L32-K32</f>
        <v>0</v>
      </c>
      <c r="R32" s="1140">
        <f t="shared" ref="R32:R48" si="167">IFERROR((L32-K32)/K32,0)</f>
        <v>0</v>
      </c>
      <c r="S32" s="3225">
        <v>34</v>
      </c>
      <c r="T32" s="3226">
        <v>34</v>
      </c>
      <c r="U32" s="3226">
        <v>34</v>
      </c>
      <c r="V32" s="3226">
        <v>34</v>
      </c>
      <c r="W32" s="3226">
        <v>34</v>
      </c>
      <c r="X32" s="3227">
        <v>34</v>
      </c>
      <c r="Y32" s="1270">
        <f t="shared" ref="Y32:Y72" si="168">T32-S32</f>
        <v>0</v>
      </c>
      <c r="Z32" s="1140">
        <f t="shared" ref="Z32:Z72" si="169">IFERROR((T32-S32)/S32,0)</f>
        <v>0</v>
      </c>
      <c r="AA32" s="3225"/>
      <c r="AB32" s="3226"/>
      <c r="AC32" s="3226"/>
      <c r="AD32" s="3226"/>
      <c r="AE32" s="3226"/>
      <c r="AF32" s="3227"/>
      <c r="AG32" s="1270">
        <f t="shared" si="40"/>
        <v>0</v>
      </c>
      <c r="AH32" s="842">
        <f t="shared" si="41"/>
        <v>0</v>
      </c>
      <c r="AI32" s="3225"/>
      <c r="AJ32" s="3226"/>
      <c r="AK32" s="3226"/>
      <c r="AL32" s="3226"/>
      <c r="AM32" s="3226"/>
      <c r="AN32" s="3255"/>
      <c r="AO32" s="1270">
        <f t="shared" si="42"/>
        <v>0</v>
      </c>
      <c r="AP32" s="842">
        <f t="shared" si="43"/>
        <v>0</v>
      </c>
      <c r="AQ32" s="3225"/>
      <c r="AR32" s="3226"/>
      <c r="AS32" s="3226"/>
      <c r="AT32" s="3226"/>
      <c r="AU32" s="3226"/>
      <c r="AV32" s="3255"/>
      <c r="AW32" s="1131">
        <f t="shared" si="154"/>
        <v>190</v>
      </c>
      <c r="AX32" s="3245">
        <f t="shared" si="155"/>
        <v>190</v>
      </c>
      <c r="AY32" s="3245">
        <f t="shared" si="156"/>
        <v>190</v>
      </c>
      <c r="AZ32" s="3245">
        <f t="shared" si="157"/>
        <v>190</v>
      </c>
      <c r="BA32" s="3245">
        <f t="shared" si="158"/>
        <v>190</v>
      </c>
      <c r="BB32" s="3246">
        <f t="shared" si="159"/>
        <v>190</v>
      </c>
      <c r="BC32" s="3266">
        <f t="shared" si="160"/>
        <v>129</v>
      </c>
      <c r="BD32" s="3267">
        <f t="shared" si="161"/>
        <v>129</v>
      </c>
      <c r="BE32" s="3268">
        <f t="shared" si="162"/>
        <v>129</v>
      </c>
      <c r="BF32" s="3268">
        <f t="shared" si="163"/>
        <v>129</v>
      </c>
      <c r="BG32" s="3268">
        <f t="shared" si="164"/>
        <v>129</v>
      </c>
      <c r="BH32" s="3270">
        <f t="shared" si="165"/>
        <v>129</v>
      </c>
      <c r="BI32" s="4775"/>
      <c r="BJ32" s="4794">
        <f t="shared" si="46"/>
        <v>65.956652674312181</v>
      </c>
      <c r="BK32" s="4794">
        <f t="shared" si="47"/>
        <v>65.956652674312181</v>
      </c>
      <c r="BL32" s="4794">
        <f t="shared" si="48"/>
        <v>65.956652674312181</v>
      </c>
      <c r="BM32" s="4794">
        <f t="shared" si="49"/>
        <v>65.956652674312181</v>
      </c>
      <c r="BN32" s="4794">
        <f t="shared" si="50"/>
        <v>65.956652674312181</v>
      </c>
      <c r="BO32" s="4794">
        <f t="shared" si="51"/>
        <v>65.956652674312181</v>
      </c>
      <c r="BP32" s="4794">
        <f t="shared" si="52"/>
        <v>0</v>
      </c>
      <c r="BQ32" s="4794">
        <f t="shared" si="53"/>
        <v>13.804880792297899</v>
      </c>
      <c r="BR32" s="4794">
        <f t="shared" si="54"/>
        <v>13.804880792297899</v>
      </c>
      <c r="BS32" s="4794">
        <f t="shared" si="55"/>
        <v>13.804880792297899</v>
      </c>
      <c r="BT32" s="4794">
        <f t="shared" si="56"/>
        <v>13.804880792297899</v>
      </c>
      <c r="BU32" s="4794">
        <f t="shared" si="57"/>
        <v>13.804880792297899</v>
      </c>
      <c r="BV32" s="4794">
        <f t="shared" si="58"/>
        <v>13.804880792297899</v>
      </c>
      <c r="BW32" s="4794">
        <f t="shared" si="59"/>
        <v>0</v>
      </c>
      <c r="BX32" s="4794">
        <f t="shared" si="60"/>
        <v>17.383923960671428</v>
      </c>
      <c r="BY32" s="4794">
        <f t="shared" si="61"/>
        <v>17.383923960671428</v>
      </c>
      <c r="BZ32" s="4794">
        <f t="shared" si="62"/>
        <v>17.383923960671428</v>
      </c>
      <c r="CA32" s="4794">
        <f t="shared" si="63"/>
        <v>17.383923960671428</v>
      </c>
      <c r="CB32" s="4794">
        <f t="shared" si="64"/>
        <v>17.383923960671428</v>
      </c>
      <c r="CC32" s="4794">
        <f t="shared" si="65"/>
        <v>17.383923960671428</v>
      </c>
      <c r="CD32" s="4794">
        <f t="shared" si="66"/>
        <v>0</v>
      </c>
      <c r="CE32" s="4794">
        <f t="shared" si="67"/>
        <v>0</v>
      </c>
      <c r="CF32" s="4794">
        <f t="shared" si="68"/>
        <v>0</v>
      </c>
      <c r="CG32" s="4794">
        <f t="shared" si="69"/>
        <v>0</v>
      </c>
      <c r="CH32" s="4794">
        <f t="shared" si="70"/>
        <v>0</v>
      </c>
      <c r="CI32" s="4794">
        <f t="shared" si="71"/>
        <v>0</v>
      </c>
      <c r="CJ32" s="4794">
        <f t="shared" si="72"/>
        <v>0</v>
      </c>
      <c r="CK32" s="4794">
        <f t="shared" si="73"/>
        <v>0</v>
      </c>
      <c r="CL32" s="4794">
        <f t="shared" si="74"/>
        <v>0</v>
      </c>
      <c r="CM32" s="4794">
        <f t="shared" si="75"/>
        <v>0</v>
      </c>
      <c r="CN32" s="4794">
        <f t="shared" si="76"/>
        <v>0</v>
      </c>
      <c r="CO32" s="4794">
        <f t="shared" si="77"/>
        <v>0</v>
      </c>
      <c r="CP32" s="4794">
        <f t="shared" si="78"/>
        <v>0</v>
      </c>
      <c r="CQ32" s="4794">
        <f t="shared" si="79"/>
        <v>0</v>
      </c>
      <c r="CR32" s="4794">
        <f t="shared" si="80"/>
        <v>0</v>
      </c>
      <c r="CS32" s="4794">
        <f t="shared" si="81"/>
        <v>0</v>
      </c>
      <c r="CT32" s="4794">
        <f t="shared" si="82"/>
        <v>0</v>
      </c>
      <c r="CU32" s="4794">
        <f t="shared" si="83"/>
        <v>0</v>
      </c>
      <c r="CV32" s="4794">
        <f t="shared" si="84"/>
        <v>0</v>
      </c>
      <c r="CW32" s="4794">
        <f t="shared" si="85"/>
        <v>0</v>
      </c>
      <c r="CX32" s="4794">
        <f t="shared" si="86"/>
        <v>0</v>
      </c>
      <c r="CY32" s="4794">
        <f t="shared" si="87"/>
        <v>97.145457427281514</v>
      </c>
      <c r="CZ32" s="4794">
        <f t="shared" si="88"/>
        <v>97.145457427281514</v>
      </c>
      <c r="DA32" s="4794">
        <f t="shared" si="89"/>
        <v>97.145457427281514</v>
      </c>
      <c r="DB32" s="4794">
        <f t="shared" si="90"/>
        <v>97.145457427281514</v>
      </c>
      <c r="DC32" s="4794">
        <f t="shared" si="91"/>
        <v>97.145457427281514</v>
      </c>
      <c r="DD32" s="4794">
        <f t="shared" si="92"/>
        <v>97.145457427281514</v>
      </c>
      <c r="DE32" s="4794">
        <f t="shared" si="93"/>
        <v>65.956652674312181</v>
      </c>
      <c r="DF32" s="4794">
        <f t="shared" si="94"/>
        <v>65.956652674312181</v>
      </c>
      <c r="DG32" s="4794">
        <f t="shared" si="95"/>
        <v>65.956652674312181</v>
      </c>
      <c r="DH32" s="4794">
        <f t="shared" si="96"/>
        <v>65.956652674312181</v>
      </c>
      <c r="DI32" s="4794">
        <f t="shared" si="97"/>
        <v>65.956652674312181</v>
      </c>
      <c r="DJ32" s="4794">
        <f t="shared" si="98"/>
        <v>65.956652674312181</v>
      </c>
    </row>
    <row r="33" spans="1:114" ht="12.75">
      <c r="A33" s="113" t="s">
        <v>242</v>
      </c>
      <c r="B33" s="915" t="s">
        <v>243</v>
      </c>
      <c r="C33" s="3225">
        <v>7</v>
      </c>
      <c r="D33" s="3226">
        <v>7</v>
      </c>
      <c r="E33" s="3226">
        <v>7</v>
      </c>
      <c r="F33" s="3226">
        <v>7</v>
      </c>
      <c r="G33" s="3226">
        <v>7</v>
      </c>
      <c r="H33" s="3227">
        <v>7</v>
      </c>
      <c r="I33" s="1270">
        <f t="shared" si="34"/>
        <v>0</v>
      </c>
      <c r="J33" s="842">
        <f t="shared" si="35"/>
        <v>0</v>
      </c>
      <c r="K33" s="3225">
        <v>1</v>
      </c>
      <c r="L33" s="3226">
        <v>1</v>
      </c>
      <c r="M33" s="3226">
        <v>1</v>
      </c>
      <c r="N33" s="3226">
        <v>1</v>
      </c>
      <c r="O33" s="3226">
        <v>1</v>
      </c>
      <c r="P33" s="3227">
        <v>1</v>
      </c>
      <c r="Q33" s="1270">
        <f t="shared" si="166"/>
        <v>0</v>
      </c>
      <c r="R33" s="1140">
        <f t="shared" si="167"/>
        <v>0</v>
      </c>
      <c r="S33" s="3225">
        <v>1</v>
      </c>
      <c r="T33" s="3226">
        <v>1</v>
      </c>
      <c r="U33" s="3226">
        <v>1</v>
      </c>
      <c r="V33" s="3226">
        <v>1</v>
      </c>
      <c r="W33" s="3226">
        <v>1</v>
      </c>
      <c r="X33" s="3227">
        <v>1</v>
      </c>
      <c r="Y33" s="1270">
        <f t="shared" si="168"/>
        <v>0</v>
      </c>
      <c r="Z33" s="1140">
        <f t="shared" si="169"/>
        <v>0</v>
      </c>
      <c r="AA33" s="3225"/>
      <c r="AB33" s="3226"/>
      <c r="AC33" s="3226"/>
      <c r="AD33" s="3226"/>
      <c r="AE33" s="3226"/>
      <c r="AF33" s="3227"/>
      <c r="AG33" s="1270">
        <f t="shared" si="40"/>
        <v>0</v>
      </c>
      <c r="AH33" s="842">
        <f t="shared" si="41"/>
        <v>0</v>
      </c>
      <c r="AI33" s="3225"/>
      <c r="AJ33" s="3226"/>
      <c r="AK33" s="3226"/>
      <c r="AL33" s="3226"/>
      <c r="AM33" s="3226"/>
      <c r="AN33" s="3255"/>
      <c r="AO33" s="1270">
        <f t="shared" si="42"/>
        <v>0</v>
      </c>
      <c r="AP33" s="842">
        <f t="shared" si="43"/>
        <v>0</v>
      </c>
      <c r="AQ33" s="3225"/>
      <c r="AR33" s="3226"/>
      <c r="AS33" s="3226"/>
      <c r="AT33" s="3226"/>
      <c r="AU33" s="3226"/>
      <c r="AV33" s="3255"/>
      <c r="AW33" s="1131">
        <f t="shared" si="154"/>
        <v>9</v>
      </c>
      <c r="AX33" s="3245">
        <f t="shared" si="155"/>
        <v>9</v>
      </c>
      <c r="AY33" s="3245">
        <f t="shared" si="156"/>
        <v>9</v>
      </c>
      <c r="AZ33" s="3245">
        <f t="shared" si="157"/>
        <v>9</v>
      </c>
      <c r="BA33" s="3245">
        <f t="shared" si="158"/>
        <v>9</v>
      </c>
      <c r="BB33" s="3246">
        <f t="shared" si="159"/>
        <v>9</v>
      </c>
      <c r="BC33" s="3266">
        <f t="shared" si="160"/>
        <v>7</v>
      </c>
      <c r="BD33" s="3267">
        <f t="shared" si="161"/>
        <v>7</v>
      </c>
      <c r="BE33" s="3268">
        <f t="shared" si="162"/>
        <v>7</v>
      </c>
      <c r="BF33" s="3268">
        <f t="shared" si="163"/>
        <v>7</v>
      </c>
      <c r="BG33" s="3268">
        <f t="shared" si="164"/>
        <v>7</v>
      </c>
      <c r="BH33" s="3270">
        <f t="shared" si="165"/>
        <v>7</v>
      </c>
      <c r="BI33" s="4775"/>
      <c r="BJ33" s="4794">
        <f t="shared" si="46"/>
        <v>3.5790431683735293</v>
      </c>
      <c r="BK33" s="4794">
        <f t="shared" si="47"/>
        <v>3.5790431683735293</v>
      </c>
      <c r="BL33" s="4794">
        <f t="shared" si="48"/>
        <v>3.5790431683735293</v>
      </c>
      <c r="BM33" s="4794">
        <f t="shared" si="49"/>
        <v>3.5790431683735293</v>
      </c>
      <c r="BN33" s="4794">
        <f t="shared" si="50"/>
        <v>3.5790431683735293</v>
      </c>
      <c r="BO33" s="4794">
        <f t="shared" si="51"/>
        <v>3.5790431683735293</v>
      </c>
      <c r="BP33" s="4794">
        <f t="shared" si="52"/>
        <v>0</v>
      </c>
      <c r="BQ33" s="4794">
        <f t="shared" si="53"/>
        <v>0.51129188119621849</v>
      </c>
      <c r="BR33" s="4794">
        <f t="shared" si="54"/>
        <v>0.51129188119621849</v>
      </c>
      <c r="BS33" s="4794">
        <f t="shared" si="55"/>
        <v>0.51129188119621849</v>
      </c>
      <c r="BT33" s="4794">
        <f t="shared" si="56"/>
        <v>0.51129188119621849</v>
      </c>
      <c r="BU33" s="4794">
        <f t="shared" si="57"/>
        <v>0.51129188119621849</v>
      </c>
      <c r="BV33" s="4794">
        <f t="shared" si="58"/>
        <v>0.51129188119621849</v>
      </c>
      <c r="BW33" s="4794">
        <f t="shared" si="59"/>
        <v>0</v>
      </c>
      <c r="BX33" s="4794">
        <f t="shared" si="60"/>
        <v>0.51129188119621849</v>
      </c>
      <c r="BY33" s="4794">
        <f t="shared" si="61"/>
        <v>0.51129188119621849</v>
      </c>
      <c r="BZ33" s="4794">
        <f t="shared" si="62"/>
        <v>0.51129188119621849</v>
      </c>
      <c r="CA33" s="4794">
        <f t="shared" si="63"/>
        <v>0.51129188119621849</v>
      </c>
      <c r="CB33" s="4794">
        <f t="shared" si="64"/>
        <v>0.51129188119621849</v>
      </c>
      <c r="CC33" s="4794">
        <f t="shared" si="65"/>
        <v>0.51129188119621849</v>
      </c>
      <c r="CD33" s="4794">
        <f t="shared" si="66"/>
        <v>0</v>
      </c>
      <c r="CE33" s="4794">
        <f t="shared" si="67"/>
        <v>0</v>
      </c>
      <c r="CF33" s="4794">
        <f t="shared" si="68"/>
        <v>0</v>
      </c>
      <c r="CG33" s="4794">
        <f t="shared" si="69"/>
        <v>0</v>
      </c>
      <c r="CH33" s="4794">
        <f t="shared" si="70"/>
        <v>0</v>
      </c>
      <c r="CI33" s="4794">
        <f t="shared" si="71"/>
        <v>0</v>
      </c>
      <c r="CJ33" s="4794">
        <f t="shared" si="72"/>
        <v>0</v>
      </c>
      <c r="CK33" s="4794">
        <f t="shared" si="73"/>
        <v>0</v>
      </c>
      <c r="CL33" s="4794">
        <f t="shared" si="74"/>
        <v>0</v>
      </c>
      <c r="CM33" s="4794">
        <f t="shared" si="75"/>
        <v>0</v>
      </c>
      <c r="CN33" s="4794">
        <f t="shared" si="76"/>
        <v>0</v>
      </c>
      <c r="CO33" s="4794">
        <f t="shared" si="77"/>
        <v>0</v>
      </c>
      <c r="CP33" s="4794">
        <f t="shared" si="78"/>
        <v>0</v>
      </c>
      <c r="CQ33" s="4794">
        <f t="shared" si="79"/>
        <v>0</v>
      </c>
      <c r="CR33" s="4794">
        <f t="shared" si="80"/>
        <v>0</v>
      </c>
      <c r="CS33" s="4794">
        <f t="shared" si="81"/>
        <v>0</v>
      </c>
      <c r="CT33" s="4794">
        <f t="shared" si="82"/>
        <v>0</v>
      </c>
      <c r="CU33" s="4794">
        <f t="shared" si="83"/>
        <v>0</v>
      </c>
      <c r="CV33" s="4794">
        <f t="shared" si="84"/>
        <v>0</v>
      </c>
      <c r="CW33" s="4794">
        <f t="shared" si="85"/>
        <v>0</v>
      </c>
      <c r="CX33" s="4794">
        <f t="shared" si="86"/>
        <v>0</v>
      </c>
      <c r="CY33" s="4794">
        <f t="shared" si="87"/>
        <v>4.6016269307659661</v>
      </c>
      <c r="CZ33" s="4794">
        <f t="shared" si="88"/>
        <v>4.6016269307659661</v>
      </c>
      <c r="DA33" s="4794">
        <f t="shared" si="89"/>
        <v>4.6016269307659661</v>
      </c>
      <c r="DB33" s="4794">
        <f t="shared" si="90"/>
        <v>4.6016269307659661</v>
      </c>
      <c r="DC33" s="4794">
        <f t="shared" si="91"/>
        <v>4.6016269307659661</v>
      </c>
      <c r="DD33" s="4794">
        <f t="shared" si="92"/>
        <v>4.6016269307659661</v>
      </c>
      <c r="DE33" s="4794">
        <f t="shared" si="93"/>
        <v>3.5790431683735293</v>
      </c>
      <c r="DF33" s="4794">
        <f t="shared" si="94"/>
        <v>3.5790431683735293</v>
      </c>
      <c r="DG33" s="4794">
        <f t="shared" si="95"/>
        <v>3.5790431683735293</v>
      </c>
      <c r="DH33" s="4794">
        <f t="shared" si="96"/>
        <v>3.5790431683735293</v>
      </c>
      <c r="DI33" s="4794">
        <f t="shared" si="97"/>
        <v>3.5790431683735293</v>
      </c>
      <c r="DJ33" s="4794">
        <f t="shared" si="98"/>
        <v>3.5790431683735293</v>
      </c>
    </row>
    <row r="34" spans="1:114" ht="12.75">
      <c r="A34" s="854" t="s">
        <v>244</v>
      </c>
      <c r="B34" s="915" t="s">
        <v>245</v>
      </c>
      <c r="C34" s="3225">
        <v>99</v>
      </c>
      <c r="D34" s="3226">
        <v>99</v>
      </c>
      <c r="E34" s="3226">
        <v>99</v>
      </c>
      <c r="F34" s="3226">
        <v>99</v>
      </c>
      <c r="G34" s="3226">
        <v>99</v>
      </c>
      <c r="H34" s="3227">
        <v>99</v>
      </c>
      <c r="I34" s="1270">
        <f t="shared" si="34"/>
        <v>0</v>
      </c>
      <c r="J34" s="842">
        <f t="shared" si="35"/>
        <v>0</v>
      </c>
      <c r="K34" s="3225">
        <v>18</v>
      </c>
      <c r="L34" s="3226">
        <v>18</v>
      </c>
      <c r="M34" s="3226">
        <v>18</v>
      </c>
      <c r="N34" s="3226">
        <v>18</v>
      </c>
      <c r="O34" s="3226">
        <v>18</v>
      </c>
      <c r="P34" s="3227">
        <v>18</v>
      </c>
      <c r="Q34" s="1270">
        <f t="shared" si="166"/>
        <v>0</v>
      </c>
      <c r="R34" s="1140">
        <f t="shared" si="167"/>
        <v>0</v>
      </c>
      <c r="S34" s="3225">
        <v>22</v>
      </c>
      <c r="T34" s="3226">
        <v>22</v>
      </c>
      <c r="U34" s="3226">
        <v>22</v>
      </c>
      <c r="V34" s="3226">
        <v>22</v>
      </c>
      <c r="W34" s="3226">
        <v>22</v>
      </c>
      <c r="X34" s="3227">
        <v>22</v>
      </c>
      <c r="Y34" s="1270">
        <f t="shared" si="168"/>
        <v>0</v>
      </c>
      <c r="Z34" s="1140">
        <f t="shared" si="169"/>
        <v>0</v>
      </c>
      <c r="AA34" s="3225"/>
      <c r="AB34" s="3226"/>
      <c r="AC34" s="3226"/>
      <c r="AD34" s="3226"/>
      <c r="AE34" s="3226"/>
      <c r="AF34" s="3227"/>
      <c r="AG34" s="1270">
        <f t="shared" si="40"/>
        <v>0</v>
      </c>
      <c r="AH34" s="842">
        <f t="shared" si="41"/>
        <v>0</v>
      </c>
      <c r="AI34" s="3225"/>
      <c r="AJ34" s="3226"/>
      <c r="AK34" s="3226"/>
      <c r="AL34" s="3226"/>
      <c r="AM34" s="3226"/>
      <c r="AN34" s="3255"/>
      <c r="AO34" s="1270">
        <f t="shared" si="42"/>
        <v>0</v>
      </c>
      <c r="AP34" s="842">
        <f t="shared" si="43"/>
        <v>0</v>
      </c>
      <c r="AQ34" s="3225"/>
      <c r="AR34" s="3226"/>
      <c r="AS34" s="3226"/>
      <c r="AT34" s="3226"/>
      <c r="AU34" s="3226"/>
      <c r="AV34" s="3255"/>
      <c r="AW34" s="1131">
        <f t="shared" si="154"/>
        <v>139</v>
      </c>
      <c r="AX34" s="3245">
        <f t="shared" si="155"/>
        <v>139</v>
      </c>
      <c r="AY34" s="3245">
        <f t="shared" si="156"/>
        <v>139</v>
      </c>
      <c r="AZ34" s="3245">
        <f t="shared" si="157"/>
        <v>139</v>
      </c>
      <c r="BA34" s="3245">
        <f t="shared" si="158"/>
        <v>139</v>
      </c>
      <c r="BB34" s="3246">
        <f t="shared" si="159"/>
        <v>139</v>
      </c>
      <c r="BC34" s="3266">
        <f t="shared" si="160"/>
        <v>99</v>
      </c>
      <c r="BD34" s="3267">
        <f t="shared" si="161"/>
        <v>99</v>
      </c>
      <c r="BE34" s="3268">
        <f t="shared" si="162"/>
        <v>99</v>
      </c>
      <c r="BF34" s="3268">
        <f t="shared" si="163"/>
        <v>99</v>
      </c>
      <c r="BG34" s="3268">
        <f t="shared" si="164"/>
        <v>99</v>
      </c>
      <c r="BH34" s="3270">
        <f t="shared" si="165"/>
        <v>99</v>
      </c>
      <c r="BI34" s="4775"/>
      <c r="BJ34" s="4794">
        <f t="shared" si="46"/>
        <v>50.617896238425629</v>
      </c>
      <c r="BK34" s="4794">
        <f t="shared" si="47"/>
        <v>50.617896238425629</v>
      </c>
      <c r="BL34" s="4794">
        <f t="shared" si="48"/>
        <v>50.617896238425629</v>
      </c>
      <c r="BM34" s="4794">
        <f t="shared" si="49"/>
        <v>50.617896238425629</v>
      </c>
      <c r="BN34" s="4794">
        <f t="shared" si="50"/>
        <v>50.617896238425629</v>
      </c>
      <c r="BO34" s="4794">
        <f t="shared" si="51"/>
        <v>50.617896238425629</v>
      </c>
      <c r="BP34" s="4794">
        <f t="shared" si="52"/>
        <v>0</v>
      </c>
      <c r="BQ34" s="4794">
        <f t="shared" si="53"/>
        <v>9.2032538615319321</v>
      </c>
      <c r="BR34" s="4794">
        <f t="shared" si="54"/>
        <v>9.2032538615319321</v>
      </c>
      <c r="BS34" s="4794">
        <f t="shared" si="55"/>
        <v>9.2032538615319321</v>
      </c>
      <c r="BT34" s="4794">
        <f t="shared" si="56"/>
        <v>9.2032538615319321</v>
      </c>
      <c r="BU34" s="4794">
        <f t="shared" si="57"/>
        <v>9.2032538615319321</v>
      </c>
      <c r="BV34" s="4794">
        <f t="shared" si="58"/>
        <v>9.2032538615319321</v>
      </c>
      <c r="BW34" s="4794">
        <f t="shared" si="59"/>
        <v>0</v>
      </c>
      <c r="BX34" s="4794">
        <f t="shared" si="60"/>
        <v>11.248421386316807</v>
      </c>
      <c r="BY34" s="4794">
        <f t="shared" si="61"/>
        <v>11.248421386316807</v>
      </c>
      <c r="BZ34" s="4794">
        <f t="shared" si="62"/>
        <v>11.248421386316807</v>
      </c>
      <c r="CA34" s="4794">
        <f t="shared" si="63"/>
        <v>11.248421386316807</v>
      </c>
      <c r="CB34" s="4794">
        <f t="shared" si="64"/>
        <v>11.248421386316807</v>
      </c>
      <c r="CC34" s="4794">
        <f t="shared" si="65"/>
        <v>11.248421386316807</v>
      </c>
      <c r="CD34" s="4794">
        <f t="shared" si="66"/>
        <v>0</v>
      </c>
      <c r="CE34" s="4794">
        <f t="shared" si="67"/>
        <v>0</v>
      </c>
      <c r="CF34" s="4794">
        <f t="shared" si="68"/>
        <v>0</v>
      </c>
      <c r="CG34" s="4794">
        <f t="shared" si="69"/>
        <v>0</v>
      </c>
      <c r="CH34" s="4794">
        <f t="shared" si="70"/>
        <v>0</v>
      </c>
      <c r="CI34" s="4794">
        <f t="shared" si="71"/>
        <v>0</v>
      </c>
      <c r="CJ34" s="4794">
        <f t="shared" si="72"/>
        <v>0</v>
      </c>
      <c r="CK34" s="4794">
        <f t="shared" si="73"/>
        <v>0</v>
      </c>
      <c r="CL34" s="4794">
        <f t="shared" si="74"/>
        <v>0</v>
      </c>
      <c r="CM34" s="4794">
        <f t="shared" si="75"/>
        <v>0</v>
      </c>
      <c r="CN34" s="4794">
        <f t="shared" si="76"/>
        <v>0</v>
      </c>
      <c r="CO34" s="4794">
        <f t="shared" si="77"/>
        <v>0</v>
      </c>
      <c r="CP34" s="4794">
        <f t="shared" si="78"/>
        <v>0</v>
      </c>
      <c r="CQ34" s="4794">
        <f t="shared" si="79"/>
        <v>0</v>
      </c>
      <c r="CR34" s="4794">
        <f t="shared" si="80"/>
        <v>0</v>
      </c>
      <c r="CS34" s="4794">
        <f t="shared" si="81"/>
        <v>0</v>
      </c>
      <c r="CT34" s="4794">
        <f t="shared" si="82"/>
        <v>0</v>
      </c>
      <c r="CU34" s="4794">
        <f t="shared" si="83"/>
        <v>0</v>
      </c>
      <c r="CV34" s="4794">
        <f t="shared" si="84"/>
        <v>0</v>
      </c>
      <c r="CW34" s="4794">
        <f t="shared" si="85"/>
        <v>0</v>
      </c>
      <c r="CX34" s="4794">
        <f t="shared" si="86"/>
        <v>0</v>
      </c>
      <c r="CY34" s="4794">
        <f t="shared" si="87"/>
        <v>71.06957148627437</v>
      </c>
      <c r="CZ34" s="4794">
        <f t="shared" si="88"/>
        <v>71.06957148627437</v>
      </c>
      <c r="DA34" s="4794">
        <f t="shared" si="89"/>
        <v>71.06957148627437</v>
      </c>
      <c r="DB34" s="4794">
        <f t="shared" si="90"/>
        <v>71.06957148627437</v>
      </c>
      <c r="DC34" s="4794">
        <f t="shared" si="91"/>
        <v>71.06957148627437</v>
      </c>
      <c r="DD34" s="4794">
        <f t="shared" si="92"/>
        <v>71.06957148627437</v>
      </c>
      <c r="DE34" s="4794">
        <f t="shared" si="93"/>
        <v>50.617896238425629</v>
      </c>
      <c r="DF34" s="4794">
        <f t="shared" si="94"/>
        <v>50.617896238425629</v>
      </c>
      <c r="DG34" s="4794">
        <f t="shared" si="95"/>
        <v>50.617896238425629</v>
      </c>
      <c r="DH34" s="4794">
        <f t="shared" si="96"/>
        <v>50.617896238425629</v>
      </c>
      <c r="DI34" s="4794">
        <f t="shared" si="97"/>
        <v>50.617896238425629</v>
      </c>
      <c r="DJ34" s="4794">
        <f t="shared" si="98"/>
        <v>50.617896238425629</v>
      </c>
    </row>
    <row r="35" spans="1:114" ht="12.75">
      <c r="A35" s="854" t="s">
        <v>246</v>
      </c>
      <c r="B35" s="915" t="s">
        <v>247</v>
      </c>
      <c r="C35" s="3225">
        <v>6</v>
      </c>
      <c r="D35" s="3226">
        <v>6</v>
      </c>
      <c r="E35" s="3226">
        <v>6</v>
      </c>
      <c r="F35" s="3226">
        <v>6</v>
      </c>
      <c r="G35" s="3226">
        <v>6</v>
      </c>
      <c r="H35" s="3227">
        <v>6</v>
      </c>
      <c r="I35" s="1270">
        <f t="shared" si="34"/>
        <v>0</v>
      </c>
      <c r="J35" s="842">
        <f t="shared" si="35"/>
        <v>0</v>
      </c>
      <c r="K35" s="3225">
        <v>1</v>
      </c>
      <c r="L35" s="3226">
        <v>1</v>
      </c>
      <c r="M35" s="3226">
        <v>1</v>
      </c>
      <c r="N35" s="3226">
        <v>1</v>
      </c>
      <c r="O35" s="3226">
        <v>1</v>
      </c>
      <c r="P35" s="3227">
        <v>1</v>
      </c>
      <c r="Q35" s="1270">
        <f t="shared" si="166"/>
        <v>0</v>
      </c>
      <c r="R35" s="1140">
        <f t="shared" si="167"/>
        <v>0</v>
      </c>
      <c r="S35" s="3225">
        <v>2</v>
      </c>
      <c r="T35" s="3226">
        <v>2</v>
      </c>
      <c r="U35" s="3226">
        <v>2</v>
      </c>
      <c r="V35" s="3226">
        <v>2</v>
      </c>
      <c r="W35" s="3226">
        <v>2</v>
      </c>
      <c r="X35" s="3227">
        <v>2</v>
      </c>
      <c r="Y35" s="1270">
        <f t="shared" si="168"/>
        <v>0</v>
      </c>
      <c r="Z35" s="1140">
        <f t="shared" si="169"/>
        <v>0</v>
      </c>
      <c r="AA35" s="3225"/>
      <c r="AB35" s="3226"/>
      <c r="AC35" s="3226"/>
      <c r="AD35" s="3226"/>
      <c r="AE35" s="3226"/>
      <c r="AF35" s="3227"/>
      <c r="AG35" s="1270">
        <f t="shared" si="40"/>
        <v>0</v>
      </c>
      <c r="AH35" s="842">
        <f t="shared" si="41"/>
        <v>0</v>
      </c>
      <c r="AI35" s="3225"/>
      <c r="AJ35" s="3226"/>
      <c r="AK35" s="3226"/>
      <c r="AL35" s="3226"/>
      <c r="AM35" s="3226"/>
      <c r="AN35" s="3255"/>
      <c r="AO35" s="1270">
        <f t="shared" si="42"/>
        <v>0</v>
      </c>
      <c r="AP35" s="842">
        <f t="shared" si="43"/>
        <v>0</v>
      </c>
      <c r="AQ35" s="3225"/>
      <c r="AR35" s="3226"/>
      <c r="AS35" s="3226"/>
      <c r="AT35" s="3226"/>
      <c r="AU35" s="3226"/>
      <c r="AV35" s="3255"/>
      <c r="AW35" s="1131">
        <f t="shared" si="154"/>
        <v>9</v>
      </c>
      <c r="AX35" s="3245">
        <f t="shared" si="155"/>
        <v>9</v>
      </c>
      <c r="AY35" s="3245">
        <f t="shared" si="156"/>
        <v>9</v>
      </c>
      <c r="AZ35" s="3245">
        <f t="shared" si="157"/>
        <v>9</v>
      </c>
      <c r="BA35" s="3245">
        <f t="shared" si="158"/>
        <v>9</v>
      </c>
      <c r="BB35" s="3246">
        <f t="shared" si="159"/>
        <v>9</v>
      </c>
      <c r="BC35" s="3266">
        <f t="shared" si="160"/>
        <v>6</v>
      </c>
      <c r="BD35" s="3267">
        <f t="shared" si="161"/>
        <v>6</v>
      </c>
      <c r="BE35" s="3268">
        <f t="shared" si="162"/>
        <v>6</v>
      </c>
      <c r="BF35" s="3268">
        <f t="shared" si="163"/>
        <v>6</v>
      </c>
      <c r="BG35" s="3268">
        <f t="shared" si="164"/>
        <v>6</v>
      </c>
      <c r="BH35" s="3270">
        <f t="shared" si="165"/>
        <v>6</v>
      </c>
      <c r="BI35" s="4775"/>
      <c r="BJ35" s="4794">
        <f t="shared" si="46"/>
        <v>3.0677512871773112</v>
      </c>
      <c r="BK35" s="4794">
        <f t="shared" si="47"/>
        <v>3.0677512871773112</v>
      </c>
      <c r="BL35" s="4794">
        <f t="shared" si="48"/>
        <v>3.0677512871773112</v>
      </c>
      <c r="BM35" s="4794">
        <f t="shared" si="49"/>
        <v>3.0677512871773112</v>
      </c>
      <c r="BN35" s="4794">
        <f t="shared" si="50"/>
        <v>3.0677512871773112</v>
      </c>
      <c r="BO35" s="4794">
        <f t="shared" si="51"/>
        <v>3.0677512871773112</v>
      </c>
      <c r="BP35" s="4794">
        <f t="shared" si="52"/>
        <v>0</v>
      </c>
      <c r="BQ35" s="4794">
        <f t="shared" si="53"/>
        <v>0.51129188119621849</v>
      </c>
      <c r="BR35" s="4794">
        <f t="shared" si="54"/>
        <v>0.51129188119621849</v>
      </c>
      <c r="BS35" s="4794">
        <f t="shared" si="55"/>
        <v>0.51129188119621849</v>
      </c>
      <c r="BT35" s="4794">
        <f t="shared" si="56"/>
        <v>0.51129188119621849</v>
      </c>
      <c r="BU35" s="4794">
        <f t="shared" si="57"/>
        <v>0.51129188119621849</v>
      </c>
      <c r="BV35" s="4794">
        <f t="shared" si="58"/>
        <v>0.51129188119621849</v>
      </c>
      <c r="BW35" s="4794">
        <f t="shared" si="59"/>
        <v>0</v>
      </c>
      <c r="BX35" s="4794">
        <f t="shared" si="60"/>
        <v>1.022583762392437</v>
      </c>
      <c r="BY35" s="4794">
        <f t="shared" si="61"/>
        <v>1.022583762392437</v>
      </c>
      <c r="BZ35" s="4794">
        <f t="shared" si="62"/>
        <v>1.022583762392437</v>
      </c>
      <c r="CA35" s="4794">
        <f t="shared" si="63"/>
        <v>1.022583762392437</v>
      </c>
      <c r="CB35" s="4794">
        <f t="shared" si="64"/>
        <v>1.022583762392437</v>
      </c>
      <c r="CC35" s="4794">
        <f t="shared" si="65"/>
        <v>1.022583762392437</v>
      </c>
      <c r="CD35" s="4794">
        <f t="shared" si="66"/>
        <v>0</v>
      </c>
      <c r="CE35" s="4794">
        <f t="shared" si="67"/>
        <v>0</v>
      </c>
      <c r="CF35" s="4794">
        <f t="shared" si="68"/>
        <v>0</v>
      </c>
      <c r="CG35" s="4794">
        <f t="shared" si="69"/>
        <v>0</v>
      </c>
      <c r="CH35" s="4794">
        <f t="shared" si="70"/>
        <v>0</v>
      </c>
      <c r="CI35" s="4794">
        <f t="shared" si="71"/>
        <v>0</v>
      </c>
      <c r="CJ35" s="4794">
        <f t="shared" si="72"/>
        <v>0</v>
      </c>
      <c r="CK35" s="4794">
        <f t="shared" si="73"/>
        <v>0</v>
      </c>
      <c r="CL35" s="4794">
        <f t="shared" si="74"/>
        <v>0</v>
      </c>
      <c r="CM35" s="4794">
        <f t="shared" si="75"/>
        <v>0</v>
      </c>
      <c r="CN35" s="4794">
        <f t="shared" si="76"/>
        <v>0</v>
      </c>
      <c r="CO35" s="4794">
        <f t="shared" si="77"/>
        <v>0</v>
      </c>
      <c r="CP35" s="4794">
        <f t="shared" si="78"/>
        <v>0</v>
      </c>
      <c r="CQ35" s="4794">
        <f t="shared" si="79"/>
        <v>0</v>
      </c>
      <c r="CR35" s="4794">
        <f t="shared" si="80"/>
        <v>0</v>
      </c>
      <c r="CS35" s="4794">
        <f t="shared" si="81"/>
        <v>0</v>
      </c>
      <c r="CT35" s="4794">
        <f t="shared" si="82"/>
        <v>0</v>
      </c>
      <c r="CU35" s="4794">
        <f t="shared" si="83"/>
        <v>0</v>
      </c>
      <c r="CV35" s="4794">
        <f t="shared" si="84"/>
        <v>0</v>
      </c>
      <c r="CW35" s="4794">
        <f t="shared" si="85"/>
        <v>0</v>
      </c>
      <c r="CX35" s="4794">
        <f t="shared" si="86"/>
        <v>0</v>
      </c>
      <c r="CY35" s="4794">
        <f t="shared" si="87"/>
        <v>4.6016269307659661</v>
      </c>
      <c r="CZ35" s="4794">
        <f t="shared" si="88"/>
        <v>4.6016269307659661</v>
      </c>
      <c r="DA35" s="4794">
        <f t="shared" si="89"/>
        <v>4.6016269307659661</v>
      </c>
      <c r="DB35" s="4794">
        <f t="shared" si="90"/>
        <v>4.6016269307659661</v>
      </c>
      <c r="DC35" s="4794">
        <f t="shared" si="91"/>
        <v>4.6016269307659661</v>
      </c>
      <c r="DD35" s="4794">
        <f t="shared" si="92"/>
        <v>4.6016269307659661</v>
      </c>
      <c r="DE35" s="4794">
        <f t="shared" si="93"/>
        <v>3.0677512871773112</v>
      </c>
      <c r="DF35" s="4794">
        <f t="shared" si="94"/>
        <v>3.0677512871773112</v>
      </c>
      <c r="DG35" s="4794">
        <f t="shared" si="95"/>
        <v>3.0677512871773112</v>
      </c>
      <c r="DH35" s="4794">
        <f t="shared" si="96"/>
        <v>3.0677512871773112</v>
      </c>
      <c r="DI35" s="4794">
        <f t="shared" si="97"/>
        <v>3.0677512871773112</v>
      </c>
      <c r="DJ35" s="4794">
        <f t="shared" si="98"/>
        <v>3.0677512871773112</v>
      </c>
    </row>
    <row r="36" spans="1:114" ht="12.75">
      <c r="A36" s="113" t="s">
        <v>248</v>
      </c>
      <c r="B36" s="915" t="s">
        <v>249</v>
      </c>
      <c r="C36" s="3225">
        <v>174</v>
      </c>
      <c r="D36" s="3226">
        <v>174</v>
      </c>
      <c r="E36" s="3226">
        <v>174</v>
      </c>
      <c r="F36" s="3226">
        <v>174</v>
      </c>
      <c r="G36" s="3226">
        <v>174</v>
      </c>
      <c r="H36" s="3227">
        <v>174</v>
      </c>
      <c r="I36" s="1270">
        <f t="shared" si="34"/>
        <v>0</v>
      </c>
      <c r="J36" s="842">
        <f t="shared" si="35"/>
        <v>0</v>
      </c>
      <c r="K36" s="3225">
        <v>31</v>
      </c>
      <c r="L36" s="3226">
        <v>31</v>
      </c>
      <c r="M36" s="3226">
        <v>31</v>
      </c>
      <c r="N36" s="3226">
        <v>31</v>
      </c>
      <c r="O36" s="3226">
        <v>31</v>
      </c>
      <c r="P36" s="3227">
        <v>31</v>
      </c>
      <c r="Q36" s="1270">
        <f t="shared" si="166"/>
        <v>0</v>
      </c>
      <c r="R36" s="1140">
        <f t="shared" si="167"/>
        <v>0</v>
      </c>
      <c r="S36" s="3225">
        <v>62</v>
      </c>
      <c r="T36" s="3226">
        <v>62</v>
      </c>
      <c r="U36" s="3226">
        <v>62</v>
      </c>
      <c r="V36" s="3226">
        <v>62</v>
      </c>
      <c r="W36" s="3226">
        <v>62</v>
      </c>
      <c r="X36" s="3227">
        <v>62</v>
      </c>
      <c r="Y36" s="1270">
        <f t="shared" si="168"/>
        <v>0</v>
      </c>
      <c r="Z36" s="1140">
        <f t="shared" si="169"/>
        <v>0</v>
      </c>
      <c r="AA36" s="3225"/>
      <c r="AB36" s="3226"/>
      <c r="AC36" s="3226"/>
      <c r="AD36" s="3226"/>
      <c r="AE36" s="3226"/>
      <c r="AF36" s="3227"/>
      <c r="AG36" s="1270">
        <f t="shared" si="40"/>
        <v>0</v>
      </c>
      <c r="AH36" s="842">
        <f t="shared" si="41"/>
        <v>0</v>
      </c>
      <c r="AI36" s="3225"/>
      <c r="AJ36" s="3226"/>
      <c r="AK36" s="3226"/>
      <c r="AL36" s="3226"/>
      <c r="AM36" s="3226"/>
      <c r="AN36" s="3255"/>
      <c r="AO36" s="1270">
        <f t="shared" si="42"/>
        <v>0</v>
      </c>
      <c r="AP36" s="842">
        <f t="shared" si="43"/>
        <v>0</v>
      </c>
      <c r="AQ36" s="3225"/>
      <c r="AR36" s="3226"/>
      <c r="AS36" s="3226"/>
      <c r="AT36" s="3226"/>
      <c r="AU36" s="3226"/>
      <c r="AV36" s="3255"/>
      <c r="AW36" s="1131">
        <f t="shared" si="154"/>
        <v>267</v>
      </c>
      <c r="AX36" s="3245">
        <f t="shared" si="155"/>
        <v>267</v>
      </c>
      <c r="AY36" s="3245">
        <f t="shared" si="156"/>
        <v>267</v>
      </c>
      <c r="AZ36" s="3245">
        <f t="shared" si="157"/>
        <v>267</v>
      </c>
      <c r="BA36" s="3245">
        <f t="shared" si="158"/>
        <v>267</v>
      </c>
      <c r="BB36" s="3246">
        <f t="shared" si="159"/>
        <v>267</v>
      </c>
      <c r="BC36" s="3266">
        <f t="shared" si="160"/>
        <v>174</v>
      </c>
      <c r="BD36" s="3267">
        <f t="shared" si="161"/>
        <v>174</v>
      </c>
      <c r="BE36" s="3268">
        <f t="shared" si="162"/>
        <v>174</v>
      </c>
      <c r="BF36" s="3268">
        <f t="shared" si="163"/>
        <v>174</v>
      </c>
      <c r="BG36" s="3268">
        <f t="shared" si="164"/>
        <v>174</v>
      </c>
      <c r="BH36" s="3270">
        <f t="shared" si="165"/>
        <v>174</v>
      </c>
      <c r="BI36" s="4775"/>
      <c r="BJ36" s="4794">
        <f t="shared" si="46"/>
        <v>88.964787328142023</v>
      </c>
      <c r="BK36" s="4794">
        <f t="shared" si="47"/>
        <v>88.964787328142023</v>
      </c>
      <c r="BL36" s="4794">
        <f t="shared" si="48"/>
        <v>88.964787328142023</v>
      </c>
      <c r="BM36" s="4794">
        <f t="shared" si="49"/>
        <v>88.964787328142023</v>
      </c>
      <c r="BN36" s="4794">
        <f t="shared" si="50"/>
        <v>88.964787328142023</v>
      </c>
      <c r="BO36" s="4794">
        <f t="shared" si="51"/>
        <v>88.964787328142023</v>
      </c>
      <c r="BP36" s="4794">
        <f t="shared" si="52"/>
        <v>0</v>
      </c>
      <c r="BQ36" s="4794">
        <f t="shared" si="53"/>
        <v>15.850048317082774</v>
      </c>
      <c r="BR36" s="4794">
        <f t="shared" si="54"/>
        <v>15.850048317082774</v>
      </c>
      <c r="BS36" s="4794">
        <f t="shared" si="55"/>
        <v>15.850048317082774</v>
      </c>
      <c r="BT36" s="4794">
        <f t="shared" si="56"/>
        <v>15.850048317082774</v>
      </c>
      <c r="BU36" s="4794">
        <f t="shared" si="57"/>
        <v>15.850048317082774</v>
      </c>
      <c r="BV36" s="4794">
        <f t="shared" si="58"/>
        <v>15.850048317082774</v>
      </c>
      <c r="BW36" s="4794">
        <f t="shared" si="59"/>
        <v>0</v>
      </c>
      <c r="BX36" s="4794">
        <f t="shared" si="60"/>
        <v>31.700096634165547</v>
      </c>
      <c r="BY36" s="4794">
        <f t="shared" si="61"/>
        <v>31.700096634165547</v>
      </c>
      <c r="BZ36" s="4794">
        <f t="shared" si="62"/>
        <v>31.700096634165547</v>
      </c>
      <c r="CA36" s="4794">
        <f t="shared" si="63"/>
        <v>31.700096634165547</v>
      </c>
      <c r="CB36" s="4794">
        <f t="shared" si="64"/>
        <v>31.700096634165547</v>
      </c>
      <c r="CC36" s="4794">
        <f t="shared" si="65"/>
        <v>31.700096634165547</v>
      </c>
      <c r="CD36" s="4794">
        <f t="shared" si="66"/>
        <v>0</v>
      </c>
      <c r="CE36" s="4794">
        <f t="shared" si="67"/>
        <v>0</v>
      </c>
      <c r="CF36" s="4794">
        <f t="shared" si="68"/>
        <v>0</v>
      </c>
      <c r="CG36" s="4794">
        <f t="shared" si="69"/>
        <v>0</v>
      </c>
      <c r="CH36" s="4794">
        <f t="shared" si="70"/>
        <v>0</v>
      </c>
      <c r="CI36" s="4794">
        <f t="shared" si="71"/>
        <v>0</v>
      </c>
      <c r="CJ36" s="4794">
        <f t="shared" si="72"/>
        <v>0</v>
      </c>
      <c r="CK36" s="4794">
        <f t="shared" si="73"/>
        <v>0</v>
      </c>
      <c r="CL36" s="4794">
        <f t="shared" si="74"/>
        <v>0</v>
      </c>
      <c r="CM36" s="4794">
        <f t="shared" si="75"/>
        <v>0</v>
      </c>
      <c r="CN36" s="4794">
        <f t="shared" si="76"/>
        <v>0</v>
      </c>
      <c r="CO36" s="4794">
        <f t="shared" si="77"/>
        <v>0</v>
      </c>
      <c r="CP36" s="4794">
        <f t="shared" si="78"/>
        <v>0</v>
      </c>
      <c r="CQ36" s="4794">
        <f t="shared" si="79"/>
        <v>0</v>
      </c>
      <c r="CR36" s="4794">
        <f t="shared" si="80"/>
        <v>0</v>
      </c>
      <c r="CS36" s="4794">
        <f t="shared" si="81"/>
        <v>0</v>
      </c>
      <c r="CT36" s="4794">
        <f t="shared" si="82"/>
        <v>0</v>
      </c>
      <c r="CU36" s="4794">
        <f t="shared" si="83"/>
        <v>0</v>
      </c>
      <c r="CV36" s="4794">
        <f t="shared" si="84"/>
        <v>0</v>
      </c>
      <c r="CW36" s="4794">
        <f t="shared" si="85"/>
        <v>0</v>
      </c>
      <c r="CX36" s="4794">
        <f t="shared" si="86"/>
        <v>0</v>
      </c>
      <c r="CY36" s="4794">
        <f t="shared" si="87"/>
        <v>136.51493227939034</v>
      </c>
      <c r="CZ36" s="4794">
        <f t="shared" si="88"/>
        <v>136.51493227939034</v>
      </c>
      <c r="DA36" s="4794">
        <f t="shared" si="89"/>
        <v>136.51493227939034</v>
      </c>
      <c r="DB36" s="4794">
        <f t="shared" si="90"/>
        <v>136.51493227939034</v>
      </c>
      <c r="DC36" s="4794">
        <f t="shared" si="91"/>
        <v>136.51493227939034</v>
      </c>
      <c r="DD36" s="4794">
        <f t="shared" si="92"/>
        <v>136.51493227939034</v>
      </c>
      <c r="DE36" s="4794">
        <f t="shared" si="93"/>
        <v>88.964787328142023</v>
      </c>
      <c r="DF36" s="4794">
        <f t="shared" si="94"/>
        <v>88.964787328142023</v>
      </c>
      <c r="DG36" s="4794">
        <f t="shared" si="95"/>
        <v>88.964787328142023</v>
      </c>
      <c r="DH36" s="4794">
        <f t="shared" si="96"/>
        <v>88.964787328142023</v>
      </c>
      <c r="DI36" s="4794">
        <f t="shared" si="97"/>
        <v>88.964787328142023</v>
      </c>
      <c r="DJ36" s="4794">
        <f t="shared" si="98"/>
        <v>88.964787328142023</v>
      </c>
    </row>
    <row r="37" spans="1:114" ht="12.75">
      <c r="A37" s="854" t="s">
        <v>250</v>
      </c>
      <c r="B37" s="915" t="s">
        <v>251</v>
      </c>
      <c r="C37" s="3225">
        <v>26</v>
      </c>
      <c r="D37" s="3226">
        <v>26</v>
      </c>
      <c r="E37" s="3226">
        <v>26</v>
      </c>
      <c r="F37" s="3226">
        <v>26</v>
      </c>
      <c r="G37" s="3226">
        <v>26</v>
      </c>
      <c r="H37" s="3227">
        <v>26</v>
      </c>
      <c r="I37" s="1270">
        <f t="shared" si="34"/>
        <v>0</v>
      </c>
      <c r="J37" s="842">
        <f t="shared" si="35"/>
        <v>0</v>
      </c>
      <c r="K37" s="3225">
        <v>6</v>
      </c>
      <c r="L37" s="3226">
        <v>6</v>
      </c>
      <c r="M37" s="3226">
        <v>6</v>
      </c>
      <c r="N37" s="3226">
        <v>6</v>
      </c>
      <c r="O37" s="3226">
        <v>6</v>
      </c>
      <c r="P37" s="3227">
        <v>6</v>
      </c>
      <c r="Q37" s="1270">
        <f t="shared" si="166"/>
        <v>0</v>
      </c>
      <c r="R37" s="1140">
        <f t="shared" si="167"/>
        <v>0</v>
      </c>
      <c r="S37" s="3225">
        <v>7</v>
      </c>
      <c r="T37" s="3226">
        <v>7</v>
      </c>
      <c r="U37" s="3226">
        <v>7</v>
      </c>
      <c r="V37" s="3226">
        <v>7</v>
      </c>
      <c r="W37" s="3226">
        <v>7</v>
      </c>
      <c r="X37" s="3227">
        <v>7</v>
      </c>
      <c r="Y37" s="1270">
        <f t="shared" si="168"/>
        <v>0</v>
      </c>
      <c r="Z37" s="1140">
        <f t="shared" si="169"/>
        <v>0</v>
      </c>
      <c r="AA37" s="3225"/>
      <c r="AB37" s="3226"/>
      <c r="AC37" s="3226"/>
      <c r="AD37" s="3226"/>
      <c r="AE37" s="3226"/>
      <c r="AF37" s="3227"/>
      <c r="AG37" s="1270">
        <f t="shared" si="40"/>
        <v>0</v>
      </c>
      <c r="AH37" s="842">
        <f t="shared" si="41"/>
        <v>0</v>
      </c>
      <c r="AI37" s="3225"/>
      <c r="AJ37" s="3226"/>
      <c r="AK37" s="3226"/>
      <c r="AL37" s="3226"/>
      <c r="AM37" s="3226"/>
      <c r="AN37" s="3255"/>
      <c r="AO37" s="1270">
        <f t="shared" si="42"/>
        <v>0</v>
      </c>
      <c r="AP37" s="842">
        <f t="shared" si="43"/>
        <v>0</v>
      </c>
      <c r="AQ37" s="3225"/>
      <c r="AR37" s="3226"/>
      <c r="AS37" s="3226"/>
      <c r="AT37" s="3226"/>
      <c r="AU37" s="3226"/>
      <c r="AV37" s="3255"/>
      <c r="AW37" s="1131">
        <f t="shared" si="154"/>
        <v>39</v>
      </c>
      <c r="AX37" s="3245">
        <f t="shared" si="155"/>
        <v>39</v>
      </c>
      <c r="AY37" s="3245">
        <f t="shared" si="156"/>
        <v>39</v>
      </c>
      <c r="AZ37" s="3245">
        <f t="shared" si="157"/>
        <v>39</v>
      </c>
      <c r="BA37" s="3245">
        <f t="shared" si="158"/>
        <v>39</v>
      </c>
      <c r="BB37" s="3246">
        <f t="shared" si="159"/>
        <v>39</v>
      </c>
      <c r="BC37" s="3266">
        <f t="shared" si="160"/>
        <v>26</v>
      </c>
      <c r="BD37" s="3267">
        <f t="shared" si="161"/>
        <v>26</v>
      </c>
      <c r="BE37" s="3268">
        <f t="shared" si="162"/>
        <v>26</v>
      </c>
      <c r="BF37" s="3268">
        <f t="shared" si="163"/>
        <v>26</v>
      </c>
      <c r="BG37" s="3268">
        <f t="shared" si="164"/>
        <v>26</v>
      </c>
      <c r="BH37" s="3270">
        <f t="shared" si="165"/>
        <v>26</v>
      </c>
      <c r="BI37" s="4775"/>
      <c r="BJ37" s="4794">
        <f t="shared" si="46"/>
        <v>13.293588911101681</v>
      </c>
      <c r="BK37" s="4794">
        <f t="shared" si="47"/>
        <v>13.293588911101681</v>
      </c>
      <c r="BL37" s="4794">
        <f t="shared" si="48"/>
        <v>13.293588911101681</v>
      </c>
      <c r="BM37" s="4794">
        <f t="shared" si="49"/>
        <v>13.293588911101681</v>
      </c>
      <c r="BN37" s="4794">
        <f t="shared" si="50"/>
        <v>13.293588911101681</v>
      </c>
      <c r="BO37" s="4794">
        <f t="shared" si="51"/>
        <v>13.293588911101681</v>
      </c>
      <c r="BP37" s="4794">
        <f t="shared" si="52"/>
        <v>0</v>
      </c>
      <c r="BQ37" s="4794">
        <f t="shared" si="53"/>
        <v>3.0677512871773112</v>
      </c>
      <c r="BR37" s="4794">
        <f t="shared" si="54"/>
        <v>3.0677512871773112</v>
      </c>
      <c r="BS37" s="4794">
        <f t="shared" si="55"/>
        <v>3.0677512871773112</v>
      </c>
      <c r="BT37" s="4794">
        <f t="shared" si="56"/>
        <v>3.0677512871773112</v>
      </c>
      <c r="BU37" s="4794">
        <f t="shared" si="57"/>
        <v>3.0677512871773112</v>
      </c>
      <c r="BV37" s="4794">
        <f t="shared" si="58"/>
        <v>3.0677512871773112</v>
      </c>
      <c r="BW37" s="4794">
        <f t="shared" si="59"/>
        <v>0</v>
      </c>
      <c r="BX37" s="4794">
        <f t="shared" si="60"/>
        <v>3.5790431683735293</v>
      </c>
      <c r="BY37" s="4794">
        <f t="shared" si="61"/>
        <v>3.5790431683735293</v>
      </c>
      <c r="BZ37" s="4794">
        <f t="shared" si="62"/>
        <v>3.5790431683735293</v>
      </c>
      <c r="CA37" s="4794">
        <f t="shared" si="63"/>
        <v>3.5790431683735293</v>
      </c>
      <c r="CB37" s="4794">
        <f t="shared" si="64"/>
        <v>3.5790431683735293</v>
      </c>
      <c r="CC37" s="4794">
        <f t="shared" si="65"/>
        <v>3.5790431683735293</v>
      </c>
      <c r="CD37" s="4794">
        <f t="shared" si="66"/>
        <v>0</v>
      </c>
      <c r="CE37" s="4794">
        <f t="shared" si="67"/>
        <v>0</v>
      </c>
      <c r="CF37" s="4794">
        <f t="shared" si="68"/>
        <v>0</v>
      </c>
      <c r="CG37" s="4794">
        <f t="shared" si="69"/>
        <v>0</v>
      </c>
      <c r="CH37" s="4794">
        <f t="shared" si="70"/>
        <v>0</v>
      </c>
      <c r="CI37" s="4794">
        <f t="shared" si="71"/>
        <v>0</v>
      </c>
      <c r="CJ37" s="4794">
        <f t="shared" si="72"/>
        <v>0</v>
      </c>
      <c r="CK37" s="4794">
        <f t="shared" si="73"/>
        <v>0</v>
      </c>
      <c r="CL37" s="4794">
        <f t="shared" si="74"/>
        <v>0</v>
      </c>
      <c r="CM37" s="4794">
        <f t="shared" si="75"/>
        <v>0</v>
      </c>
      <c r="CN37" s="4794">
        <f t="shared" si="76"/>
        <v>0</v>
      </c>
      <c r="CO37" s="4794">
        <f t="shared" si="77"/>
        <v>0</v>
      </c>
      <c r="CP37" s="4794">
        <f t="shared" si="78"/>
        <v>0</v>
      </c>
      <c r="CQ37" s="4794">
        <f t="shared" si="79"/>
        <v>0</v>
      </c>
      <c r="CR37" s="4794">
        <f t="shared" si="80"/>
        <v>0</v>
      </c>
      <c r="CS37" s="4794">
        <f t="shared" si="81"/>
        <v>0</v>
      </c>
      <c r="CT37" s="4794">
        <f t="shared" si="82"/>
        <v>0</v>
      </c>
      <c r="CU37" s="4794">
        <f t="shared" si="83"/>
        <v>0</v>
      </c>
      <c r="CV37" s="4794">
        <f t="shared" si="84"/>
        <v>0</v>
      </c>
      <c r="CW37" s="4794">
        <f t="shared" si="85"/>
        <v>0</v>
      </c>
      <c r="CX37" s="4794">
        <f t="shared" si="86"/>
        <v>0</v>
      </c>
      <c r="CY37" s="4794">
        <f t="shared" si="87"/>
        <v>19.940383366652522</v>
      </c>
      <c r="CZ37" s="4794">
        <f t="shared" si="88"/>
        <v>19.940383366652522</v>
      </c>
      <c r="DA37" s="4794">
        <f t="shared" si="89"/>
        <v>19.940383366652522</v>
      </c>
      <c r="DB37" s="4794">
        <f t="shared" si="90"/>
        <v>19.940383366652522</v>
      </c>
      <c r="DC37" s="4794">
        <f t="shared" si="91"/>
        <v>19.940383366652522</v>
      </c>
      <c r="DD37" s="4794">
        <f t="shared" si="92"/>
        <v>19.940383366652522</v>
      </c>
      <c r="DE37" s="4794">
        <f t="shared" si="93"/>
        <v>13.293588911101681</v>
      </c>
      <c r="DF37" s="4794">
        <f t="shared" si="94"/>
        <v>13.293588911101681</v>
      </c>
      <c r="DG37" s="4794">
        <f t="shared" si="95"/>
        <v>13.293588911101681</v>
      </c>
      <c r="DH37" s="4794">
        <f t="shared" si="96"/>
        <v>13.293588911101681</v>
      </c>
      <c r="DI37" s="4794">
        <f t="shared" si="97"/>
        <v>13.293588911101681</v>
      </c>
      <c r="DJ37" s="4794">
        <f t="shared" si="98"/>
        <v>13.293588911101681</v>
      </c>
    </row>
    <row r="38" spans="1:114" ht="12.75">
      <c r="A38" s="854" t="s">
        <v>252</v>
      </c>
      <c r="B38" s="915" t="s">
        <v>441</v>
      </c>
      <c r="C38" s="1204">
        <f>SUM(C39:C42)</f>
        <v>31</v>
      </c>
      <c r="D38" s="1153">
        <f t="shared" ref="D38:BB38" si="170">SUM(D39:D42)</f>
        <v>31</v>
      </c>
      <c r="E38" s="1154">
        <f t="shared" si="170"/>
        <v>31</v>
      </c>
      <c r="F38" s="1154">
        <f t="shared" si="170"/>
        <v>31</v>
      </c>
      <c r="G38" s="1154">
        <f t="shared" si="170"/>
        <v>31</v>
      </c>
      <c r="H38" s="1168">
        <f t="shared" si="170"/>
        <v>31</v>
      </c>
      <c r="I38" s="1269">
        <f t="shared" si="34"/>
        <v>0</v>
      </c>
      <c r="J38" s="725">
        <f t="shared" si="35"/>
        <v>0</v>
      </c>
      <c r="K38" s="1204">
        <f t="shared" si="170"/>
        <v>8</v>
      </c>
      <c r="L38" s="1153">
        <f t="shared" si="170"/>
        <v>8</v>
      </c>
      <c r="M38" s="1154">
        <f t="shared" si="170"/>
        <v>8</v>
      </c>
      <c r="N38" s="1154">
        <f t="shared" si="170"/>
        <v>8</v>
      </c>
      <c r="O38" s="1154">
        <f t="shared" si="170"/>
        <v>8</v>
      </c>
      <c r="P38" s="1168">
        <f t="shared" si="170"/>
        <v>8</v>
      </c>
      <c r="Q38" s="1269">
        <f t="shared" si="166"/>
        <v>0</v>
      </c>
      <c r="R38" s="897">
        <f t="shared" si="167"/>
        <v>0</v>
      </c>
      <c r="S38" s="1204">
        <f t="shared" si="170"/>
        <v>8</v>
      </c>
      <c r="T38" s="1153">
        <f t="shared" si="170"/>
        <v>8</v>
      </c>
      <c r="U38" s="1154">
        <f t="shared" si="170"/>
        <v>8</v>
      </c>
      <c r="V38" s="1154">
        <f t="shared" si="170"/>
        <v>8</v>
      </c>
      <c r="W38" s="1154">
        <f t="shared" si="170"/>
        <v>8</v>
      </c>
      <c r="X38" s="1168">
        <f t="shared" si="170"/>
        <v>8</v>
      </c>
      <c r="Y38" s="1269">
        <f t="shared" si="168"/>
        <v>0</v>
      </c>
      <c r="Z38" s="897">
        <f t="shared" si="169"/>
        <v>0</v>
      </c>
      <c r="AA38" s="1204">
        <f>SUM(AA39:AA42)</f>
        <v>0</v>
      </c>
      <c r="AB38" s="1153">
        <f t="shared" ref="AB38:AN38" si="171">SUM(AB39:AB42)</f>
        <v>0</v>
      </c>
      <c r="AC38" s="1154">
        <f t="shared" si="171"/>
        <v>0</v>
      </c>
      <c r="AD38" s="1154">
        <f t="shared" si="171"/>
        <v>0</v>
      </c>
      <c r="AE38" s="1154">
        <f t="shared" si="171"/>
        <v>0</v>
      </c>
      <c r="AF38" s="1168">
        <f t="shared" si="171"/>
        <v>0</v>
      </c>
      <c r="AG38" s="1269">
        <f t="shared" si="40"/>
        <v>0</v>
      </c>
      <c r="AH38" s="725">
        <f t="shared" si="41"/>
        <v>0</v>
      </c>
      <c r="AI38" s="1204">
        <f t="shared" si="171"/>
        <v>0</v>
      </c>
      <c r="AJ38" s="1153">
        <f t="shared" si="171"/>
        <v>0</v>
      </c>
      <c r="AK38" s="1154">
        <f t="shared" si="171"/>
        <v>0</v>
      </c>
      <c r="AL38" s="1154">
        <f t="shared" si="171"/>
        <v>0</v>
      </c>
      <c r="AM38" s="1154">
        <f t="shared" si="171"/>
        <v>0</v>
      </c>
      <c r="AN38" s="3256">
        <f t="shared" si="171"/>
        <v>0</v>
      </c>
      <c r="AO38" s="1269">
        <f t="shared" si="42"/>
        <v>0</v>
      </c>
      <c r="AP38" s="725">
        <f t="shared" si="43"/>
        <v>0</v>
      </c>
      <c r="AQ38" s="1204">
        <f t="shared" si="170"/>
        <v>0</v>
      </c>
      <c r="AR38" s="1153">
        <f t="shared" si="170"/>
        <v>0</v>
      </c>
      <c r="AS38" s="1154">
        <f t="shared" si="170"/>
        <v>0</v>
      </c>
      <c r="AT38" s="1154">
        <f t="shared" si="170"/>
        <v>0</v>
      </c>
      <c r="AU38" s="1154">
        <f t="shared" si="170"/>
        <v>0</v>
      </c>
      <c r="AV38" s="3256">
        <f t="shared" si="170"/>
        <v>0</v>
      </c>
      <c r="AW38" s="1204">
        <f t="shared" si="170"/>
        <v>47</v>
      </c>
      <c r="AX38" s="1153">
        <f t="shared" si="170"/>
        <v>47</v>
      </c>
      <c r="AY38" s="1154">
        <f t="shared" si="170"/>
        <v>47</v>
      </c>
      <c r="AZ38" s="1154">
        <f t="shared" si="170"/>
        <v>47</v>
      </c>
      <c r="BA38" s="1154">
        <f t="shared" si="170"/>
        <v>47</v>
      </c>
      <c r="BB38" s="3256">
        <f t="shared" si="170"/>
        <v>47</v>
      </c>
      <c r="BC38" s="1204">
        <f t="shared" ref="BC38:BH38" si="172">SUM(BC39:BC42)</f>
        <v>31</v>
      </c>
      <c r="BD38" s="1153">
        <f t="shared" si="172"/>
        <v>31</v>
      </c>
      <c r="BE38" s="1154">
        <f t="shared" si="172"/>
        <v>31</v>
      </c>
      <c r="BF38" s="1154">
        <f t="shared" si="172"/>
        <v>31</v>
      </c>
      <c r="BG38" s="1154">
        <f t="shared" si="172"/>
        <v>31</v>
      </c>
      <c r="BH38" s="3256">
        <f t="shared" si="172"/>
        <v>31</v>
      </c>
      <c r="BI38" s="4775"/>
      <c r="BJ38" s="4794">
        <f t="shared" si="46"/>
        <v>15.850048317082774</v>
      </c>
      <c r="BK38" s="4794">
        <f t="shared" si="47"/>
        <v>15.850048317082774</v>
      </c>
      <c r="BL38" s="4794">
        <f t="shared" si="48"/>
        <v>15.850048317082774</v>
      </c>
      <c r="BM38" s="4794">
        <f t="shared" si="49"/>
        <v>15.850048317082774</v>
      </c>
      <c r="BN38" s="4794">
        <f t="shared" si="50"/>
        <v>15.850048317082774</v>
      </c>
      <c r="BO38" s="4794">
        <f t="shared" si="51"/>
        <v>15.850048317082774</v>
      </c>
      <c r="BP38" s="4794">
        <f t="shared" si="52"/>
        <v>0</v>
      </c>
      <c r="BQ38" s="4794">
        <f t="shared" si="53"/>
        <v>4.0903350495697479</v>
      </c>
      <c r="BR38" s="4794">
        <f t="shared" si="54"/>
        <v>4.0903350495697479</v>
      </c>
      <c r="BS38" s="4794">
        <f t="shared" si="55"/>
        <v>4.0903350495697479</v>
      </c>
      <c r="BT38" s="4794">
        <f t="shared" si="56"/>
        <v>4.0903350495697479</v>
      </c>
      <c r="BU38" s="4794">
        <f t="shared" si="57"/>
        <v>4.0903350495697479</v>
      </c>
      <c r="BV38" s="4794">
        <f t="shared" si="58"/>
        <v>4.0903350495697479</v>
      </c>
      <c r="BW38" s="4794">
        <f t="shared" si="59"/>
        <v>0</v>
      </c>
      <c r="BX38" s="4794">
        <f t="shared" si="60"/>
        <v>4.0903350495697479</v>
      </c>
      <c r="BY38" s="4794">
        <f t="shared" si="61"/>
        <v>4.0903350495697479</v>
      </c>
      <c r="BZ38" s="4794">
        <f t="shared" si="62"/>
        <v>4.0903350495697479</v>
      </c>
      <c r="CA38" s="4794">
        <f t="shared" si="63"/>
        <v>4.0903350495697479</v>
      </c>
      <c r="CB38" s="4794">
        <f t="shared" si="64"/>
        <v>4.0903350495697479</v>
      </c>
      <c r="CC38" s="4794">
        <f t="shared" si="65"/>
        <v>4.0903350495697479</v>
      </c>
      <c r="CD38" s="4794">
        <f t="shared" si="66"/>
        <v>0</v>
      </c>
      <c r="CE38" s="4794">
        <f t="shared" si="67"/>
        <v>0</v>
      </c>
      <c r="CF38" s="4794">
        <f t="shared" si="68"/>
        <v>0</v>
      </c>
      <c r="CG38" s="4794">
        <f t="shared" si="69"/>
        <v>0</v>
      </c>
      <c r="CH38" s="4794">
        <f t="shared" si="70"/>
        <v>0</v>
      </c>
      <c r="CI38" s="4794">
        <f t="shared" si="71"/>
        <v>0</v>
      </c>
      <c r="CJ38" s="4794">
        <f t="shared" si="72"/>
        <v>0</v>
      </c>
      <c r="CK38" s="4794">
        <f t="shared" si="73"/>
        <v>0</v>
      </c>
      <c r="CL38" s="4794">
        <f t="shared" si="74"/>
        <v>0</v>
      </c>
      <c r="CM38" s="4794">
        <f t="shared" si="75"/>
        <v>0</v>
      </c>
      <c r="CN38" s="4794">
        <f t="shared" si="76"/>
        <v>0</v>
      </c>
      <c r="CO38" s="4794">
        <f t="shared" si="77"/>
        <v>0</v>
      </c>
      <c r="CP38" s="4794">
        <f t="shared" si="78"/>
        <v>0</v>
      </c>
      <c r="CQ38" s="4794">
        <f t="shared" si="79"/>
        <v>0</v>
      </c>
      <c r="CR38" s="4794">
        <f t="shared" si="80"/>
        <v>0</v>
      </c>
      <c r="CS38" s="4794">
        <f t="shared" si="81"/>
        <v>0</v>
      </c>
      <c r="CT38" s="4794">
        <f t="shared" si="82"/>
        <v>0</v>
      </c>
      <c r="CU38" s="4794">
        <f t="shared" si="83"/>
        <v>0</v>
      </c>
      <c r="CV38" s="4794">
        <f t="shared" si="84"/>
        <v>0</v>
      </c>
      <c r="CW38" s="4794">
        <f t="shared" si="85"/>
        <v>0</v>
      </c>
      <c r="CX38" s="4794">
        <f t="shared" si="86"/>
        <v>0</v>
      </c>
      <c r="CY38" s="4794">
        <f t="shared" si="87"/>
        <v>24.030718416222268</v>
      </c>
      <c r="CZ38" s="4794">
        <f t="shared" si="88"/>
        <v>24.030718416222268</v>
      </c>
      <c r="DA38" s="4794">
        <f t="shared" si="89"/>
        <v>24.030718416222268</v>
      </c>
      <c r="DB38" s="4794">
        <f t="shared" si="90"/>
        <v>24.030718416222268</v>
      </c>
      <c r="DC38" s="4794">
        <f t="shared" si="91"/>
        <v>24.030718416222268</v>
      </c>
      <c r="DD38" s="4794">
        <f t="shared" si="92"/>
        <v>24.030718416222268</v>
      </c>
      <c r="DE38" s="4794">
        <f t="shared" si="93"/>
        <v>15.850048317082774</v>
      </c>
      <c r="DF38" s="4794">
        <f t="shared" si="94"/>
        <v>15.850048317082774</v>
      </c>
      <c r="DG38" s="4794">
        <f t="shared" si="95"/>
        <v>15.850048317082774</v>
      </c>
      <c r="DH38" s="4794">
        <f t="shared" si="96"/>
        <v>15.850048317082774</v>
      </c>
      <c r="DI38" s="4794">
        <f t="shared" si="97"/>
        <v>15.850048317082774</v>
      </c>
      <c r="DJ38" s="4794">
        <f t="shared" si="98"/>
        <v>15.850048317082774</v>
      </c>
    </row>
    <row r="39" spans="1:114" s="690" customFormat="1" ht="12.75">
      <c r="A39" s="855" t="s">
        <v>1222</v>
      </c>
      <c r="B39" s="4132" t="s">
        <v>253</v>
      </c>
      <c r="C39" s="3225">
        <v>11</v>
      </c>
      <c r="D39" s="3226">
        <v>11</v>
      </c>
      <c r="E39" s="3226">
        <v>11</v>
      </c>
      <c r="F39" s="3226">
        <v>11</v>
      </c>
      <c r="G39" s="3226">
        <v>11</v>
      </c>
      <c r="H39" s="3227">
        <v>11</v>
      </c>
      <c r="I39" s="1270">
        <f t="shared" si="34"/>
        <v>0</v>
      </c>
      <c r="J39" s="1228">
        <f t="shared" si="35"/>
        <v>0</v>
      </c>
      <c r="K39" s="3225">
        <v>3</v>
      </c>
      <c r="L39" s="3226">
        <v>3</v>
      </c>
      <c r="M39" s="3226">
        <v>3</v>
      </c>
      <c r="N39" s="3226">
        <v>3</v>
      </c>
      <c r="O39" s="3226">
        <v>3</v>
      </c>
      <c r="P39" s="3227">
        <v>3</v>
      </c>
      <c r="Q39" s="1270">
        <f t="shared" si="166"/>
        <v>0</v>
      </c>
      <c r="R39" s="1224">
        <f t="shared" si="167"/>
        <v>0</v>
      </c>
      <c r="S39" s="3225">
        <v>3</v>
      </c>
      <c r="T39" s="3226">
        <v>3</v>
      </c>
      <c r="U39" s="3226">
        <v>3</v>
      </c>
      <c r="V39" s="3226">
        <v>3</v>
      </c>
      <c r="W39" s="3226">
        <v>3</v>
      </c>
      <c r="X39" s="3227">
        <v>3</v>
      </c>
      <c r="Y39" s="1270">
        <f t="shared" si="168"/>
        <v>0</v>
      </c>
      <c r="Z39" s="1224">
        <f t="shared" si="169"/>
        <v>0</v>
      </c>
      <c r="AA39" s="3225"/>
      <c r="AB39" s="3226"/>
      <c r="AC39" s="3226"/>
      <c r="AD39" s="3226"/>
      <c r="AE39" s="3226"/>
      <c r="AF39" s="3227"/>
      <c r="AG39" s="1270">
        <f t="shared" si="40"/>
        <v>0</v>
      </c>
      <c r="AH39" s="1228">
        <f t="shared" si="41"/>
        <v>0</v>
      </c>
      <c r="AI39" s="3225"/>
      <c r="AJ39" s="3226"/>
      <c r="AK39" s="3226"/>
      <c r="AL39" s="3226"/>
      <c r="AM39" s="3226"/>
      <c r="AN39" s="3255"/>
      <c r="AO39" s="1270">
        <f t="shared" si="42"/>
        <v>0</v>
      </c>
      <c r="AP39" s="1228">
        <f t="shared" si="43"/>
        <v>0</v>
      </c>
      <c r="AQ39" s="3225"/>
      <c r="AR39" s="3226"/>
      <c r="AS39" s="3226"/>
      <c r="AT39" s="3226"/>
      <c r="AU39" s="3226"/>
      <c r="AV39" s="3255"/>
      <c r="AW39" s="1131">
        <f t="shared" ref="AW39:AW48" si="173">C39+K39+S39+AA39+AI39</f>
        <v>17</v>
      </c>
      <c r="AX39" s="3245">
        <f t="shared" ref="AX39:AX48" si="174">D39+L39+T39+AB39+AJ39</f>
        <v>17</v>
      </c>
      <c r="AY39" s="3245">
        <f t="shared" ref="AY39:AY48" si="175">E39+M39+U39+AC39+AK39</f>
        <v>17</v>
      </c>
      <c r="AZ39" s="3245">
        <f t="shared" ref="AZ39:AZ48" si="176">F39+N39+V39+AD39+AL39</f>
        <v>17</v>
      </c>
      <c r="BA39" s="3245">
        <f t="shared" ref="BA39:BA48" si="177">G39+O39+W39+AE39+AM39</f>
        <v>17</v>
      </c>
      <c r="BB39" s="3246">
        <f t="shared" ref="BB39:BB48" si="178">H39+P39+X39+AF39+AN39</f>
        <v>17</v>
      </c>
      <c r="BC39" s="3266">
        <f t="shared" ref="BC39:BC48" si="179">C39+AA39+AI39</f>
        <v>11</v>
      </c>
      <c r="BD39" s="3267">
        <f t="shared" ref="BD39:BD48" si="180">D39+AB39+AJ39</f>
        <v>11</v>
      </c>
      <c r="BE39" s="3268">
        <f t="shared" ref="BE39:BE48" si="181">E39+AC39+AK39</f>
        <v>11</v>
      </c>
      <c r="BF39" s="3268">
        <f t="shared" ref="BF39:BF48" si="182">F39+AD39+AL39</f>
        <v>11</v>
      </c>
      <c r="BG39" s="3268">
        <f t="shared" ref="BG39:BG48" si="183">G39+AE39+AM39</f>
        <v>11</v>
      </c>
      <c r="BH39" s="3270">
        <f t="shared" ref="BH39:BH48" si="184">H39+AF39+AN39</f>
        <v>11</v>
      </c>
      <c r="BI39" s="4775"/>
      <c r="BJ39" s="4794">
        <f t="shared" si="46"/>
        <v>5.6242106931584033</v>
      </c>
      <c r="BK39" s="4794">
        <f t="shared" si="47"/>
        <v>5.6242106931584033</v>
      </c>
      <c r="BL39" s="4794">
        <f t="shared" si="48"/>
        <v>5.6242106931584033</v>
      </c>
      <c r="BM39" s="4794">
        <f t="shared" si="49"/>
        <v>5.6242106931584033</v>
      </c>
      <c r="BN39" s="4794">
        <f t="shared" si="50"/>
        <v>5.6242106931584033</v>
      </c>
      <c r="BO39" s="4794">
        <f t="shared" si="51"/>
        <v>5.6242106931584033</v>
      </c>
      <c r="BP39" s="4794">
        <f t="shared" si="52"/>
        <v>0</v>
      </c>
      <c r="BQ39" s="4794">
        <f t="shared" si="53"/>
        <v>1.5338756435886556</v>
      </c>
      <c r="BR39" s="4794">
        <f t="shared" si="54"/>
        <v>1.5338756435886556</v>
      </c>
      <c r="BS39" s="4794">
        <f t="shared" si="55"/>
        <v>1.5338756435886556</v>
      </c>
      <c r="BT39" s="4794">
        <f t="shared" si="56"/>
        <v>1.5338756435886556</v>
      </c>
      <c r="BU39" s="4794">
        <f t="shared" si="57"/>
        <v>1.5338756435886556</v>
      </c>
      <c r="BV39" s="4794">
        <f t="shared" si="58"/>
        <v>1.5338756435886556</v>
      </c>
      <c r="BW39" s="4794">
        <f t="shared" si="59"/>
        <v>0</v>
      </c>
      <c r="BX39" s="4794">
        <f t="shared" si="60"/>
        <v>1.5338756435886556</v>
      </c>
      <c r="BY39" s="4794">
        <f t="shared" si="61"/>
        <v>1.5338756435886556</v>
      </c>
      <c r="BZ39" s="4794">
        <f t="shared" si="62"/>
        <v>1.5338756435886556</v>
      </c>
      <c r="CA39" s="4794">
        <f t="shared" si="63"/>
        <v>1.5338756435886556</v>
      </c>
      <c r="CB39" s="4794">
        <f t="shared" si="64"/>
        <v>1.5338756435886556</v>
      </c>
      <c r="CC39" s="4794">
        <f t="shared" si="65"/>
        <v>1.5338756435886556</v>
      </c>
      <c r="CD39" s="4794">
        <f t="shared" si="66"/>
        <v>0</v>
      </c>
      <c r="CE39" s="4794">
        <f t="shared" si="67"/>
        <v>0</v>
      </c>
      <c r="CF39" s="4794">
        <f t="shared" si="68"/>
        <v>0</v>
      </c>
      <c r="CG39" s="4794">
        <f t="shared" si="69"/>
        <v>0</v>
      </c>
      <c r="CH39" s="4794">
        <f t="shared" si="70"/>
        <v>0</v>
      </c>
      <c r="CI39" s="4794">
        <f t="shared" si="71"/>
        <v>0</v>
      </c>
      <c r="CJ39" s="4794">
        <f t="shared" si="72"/>
        <v>0</v>
      </c>
      <c r="CK39" s="4794">
        <f t="shared" si="73"/>
        <v>0</v>
      </c>
      <c r="CL39" s="4794">
        <f t="shared" si="74"/>
        <v>0</v>
      </c>
      <c r="CM39" s="4794">
        <f t="shared" si="75"/>
        <v>0</v>
      </c>
      <c r="CN39" s="4794">
        <f t="shared" si="76"/>
        <v>0</v>
      </c>
      <c r="CO39" s="4794">
        <f t="shared" si="77"/>
        <v>0</v>
      </c>
      <c r="CP39" s="4794">
        <f t="shared" si="78"/>
        <v>0</v>
      </c>
      <c r="CQ39" s="4794">
        <f t="shared" si="79"/>
        <v>0</v>
      </c>
      <c r="CR39" s="4794">
        <f t="shared" si="80"/>
        <v>0</v>
      </c>
      <c r="CS39" s="4794">
        <f t="shared" si="81"/>
        <v>0</v>
      </c>
      <c r="CT39" s="4794">
        <f t="shared" si="82"/>
        <v>0</v>
      </c>
      <c r="CU39" s="4794">
        <f t="shared" si="83"/>
        <v>0</v>
      </c>
      <c r="CV39" s="4794">
        <f t="shared" si="84"/>
        <v>0</v>
      </c>
      <c r="CW39" s="4794">
        <f t="shared" si="85"/>
        <v>0</v>
      </c>
      <c r="CX39" s="4794">
        <f t="shared" si="86"/>
        <v>0</v>
      </c>
      <c r="CY39" s="4794">
        <f t="shared" si="87"/>
        <v>8.691961980335714</v>
      </c>
      <c r="CZ39" s="4794">
        <f t="shared" si="88"/>
        <v>8.691961980335714</v>
      </c>
      <c r="DA39" s="4794">
        <f t="shared" si="89"/>
        <v>8.691961980335714</v>
      </c>
      <c r="DB39" s="4794">
        <f t="shared" si="90"/>
        <v>8.691961980335714</v>
      </c>
      <c r="DC39" s="4794">
        <f t="shared" si="91"/>
        <v>8.691961980335714</v>
      </c>
      <c r="DD39" s="4794">
        <f t="shared" si="92"/>
        <v>8.691961980335714</v>
      </c>
      <c r="DE39" s="4794">
        <f t="shared" si="93"/>
        <v>5.6242106931584033</v>
      </c>
      <c r="DF39" s="4794">
        <f t="shared" si="94"/>
        <v>5.6242106931584033</v>
      </c>
      <c r="DG39" s="4794">
        <f t="shared" si="95"/>
        <v>5.6242106931584033</v>
      </c>
      <c r="DH39" s="4794">
        <f t="shared" si="96"/>
        <v>5.6242106931584033</v>
      </c>
      <c r="DI39" s="4794">
        <f t="shared" si="97"/>
        <v>5.6242106931584033</v>
      </c>
      <c r="DJ39" s="4794">
        <f t="shared" si="98"/>
        <v>5.6242106931584033</v>
      </c>
    </row>
    <row r="40" spans="1:114" s="690" customFormat="1" ht="12.75">
      <c r="A40" s="855" t="s">
        <v>1223</v>
      </c>
      <c r="B40" s="4132" t="s">
        <v>254</v>
      </c>
      <c r="C40" s="3225">
        <v>15</v>
      </c>
      <c r="D40" s="3226">
        <v>15</v>
      </c>
      <c r="E40" s="3226">
        <v>15</v>
      </c>
      <c r="F40" s="3226">
        <v>15</v>
      </c>
      <c r="G40" s="3226">
        <v>15</v>
      </c>
      <c r="H40" s="3227">
        <v>15</v>
      </c>
      <c r="I40" s="1270">
        <f t="shared" si="34"/>
        <v>0</v>
      </c>
      <c r="J40" s="1228">
        <f t="shared" si="35"/>
        <v>0</v>
      </c>
      <c r="K40" s="3225">
        <v>4</v>
      </c>
      <c r="L40" s="3226">
        <v>4</v>
      </c>
      <c r="M40" s="3226">
        <v>4</v>
      </c>
      <c r="N40" s="3226">
        <v>4</v>
      </c>
      <c r="O40" s="3226">
        <v>4</v>
      </c>
      <c r="P40" s="3227">
        <v>4</v>
      </c>
      <c r="Q40" s="1270">
        <f t="shared" si="166"/>
        <v>0</v>
      </c>
      <c r="R40" s="1224">
        <f t="shared" si="167"/>
        <v>0</v>
      </c>
      <c r="S40" s="3225">
        <v>4</v>
      </c>
      <c r="T40" s="3226">
        <v>4</v>
      </c>
      <c r="U40" s="3226">
        <v>4</v>
      </c>
      <c r="V40" s="3226">
        <v>4</v>
      </c>
      <c r="W40" s="3226">
        <v>4</v>
      </c>
      <c r="X40" s="3227">
        <v>4</v>
      </c>
      <c r="Y40" s="1270">
        <f t="shared" si="168"/>
        <v>0</v>
      </c>
      <c r="Z40" s="1224">
        <f t="shared" si="169"/>
        <v>0</v>
      </c>
      <c r="AA40" s="3225"/>
      <c r="AB40" s="3226"/>
      <c r="AC40" s="3226"/>
      <c r="AD40" s="3226"/>
      <c r="AE40" s="3226"/>
      <c r="AF40" s="3227"/>
      <c r="AG40" s="1270">
        <f t="shared" si="40"/>
        <v>0</v>
      </c>
      <c r="AH40" s="1228">
        <f t="shared" si="41"/>
        <v>0</v>
      </c>
      <c r="AI40" s="3225"/>
      <c r="AJ40" s="3226"/>
      <c r="AK40" s="3226"/>
      <c r="AL40" s="3226"/>
      <c r="AM40" s="3226"/>
      <c r="AN40" s="3255"/>
      <c r="AO40" s="1270">
        <f t="shared" si="42"/>
        <v>0</v>
      </c>
      <c r="AP40" s="1228">
        <f t="shared" si="43"/>
        <v>0</v>
      </c>
      <c r="AQ40" s="3225"/>
      <c r="AR40" s="3226"/>
      <c r="AS40" s="3226"/>
      <c r="AT40" s="3226"/>
      <c r="AU40" s="3226"/>
      <c r="AV40" s="3255"/>
      <c r="AW40" s="1131">
        <f t="shared" si="173"/>
        <v>23</v>
      </c>
      <c r="AX40" s="3245">
        <f t="shared" si="174"/>
        <v>23</v>
      </c>
      <c r="AY40" s="3245">
        <f t="shared" si="175"/>
        <v>23</v>
      </c>
      <c r="AZ40" s="3245">
        <f t="shared" si="176"/>
        <v>23</v>
      </c>
      <c r="BA40" s="3245">
        <f t="shared" si="177"/>
        <v>23</v>
      </c>
      <c r="BB40" s="3246">
        <f t="shared" si="178"/>
        <v>23</v>
      </c>
      <c r="BC40" s="3266">
        <f t="shared" si="179"/>
        <v>15</v>
      </c>
      <c r="BD40" s="3267">
        <f t="shared" si="180"/>
        <v>15</v>
      </c>
      <c r="BE40" s="3268">
        <f t="shared" si="181"/>
        <v>15</v>
      </c>
      <c r="BF40" s="3268">
        <f t="shared" si="182"/>
        <v>15</v>
      </c>
      <c r="BG40" s="3268">
        <f t="shared" si="183"/>
        <v>15</v>
      </c>
      <c r="BH40" s="3270">
        <f t="shared" si="184"/>
        <v>15</v>
      </c>
      <c r="BI40" s="4775"/>
      <c r="BJ40" s="4794">
        <f t="shared" si="46"/>
        <v>7.6693782179432777</v>
      </c>
      <c r="BK40" s="4794">
        <f t="shared" si="47"/>
        <v>7.6693782179432777</v>
      </c>
      <c r="BL40" s="4794">
        <f t="shared" si="48"/>
        <v>7.6693782179432777</v>
      </c>
      <c r="BM40" s="4794">
        <f t="shared" si="49"/>
        <v>7.6693782179432777</v>
      </c>
      <c r="BN40" s="4794">
        <f t="shared" si="50"/>
        <v>7.6693782179432777</v>
      </c>
      <c r="BO40" s="4794">
        <f t="shared" si="51"/>
        <v>7.6693782179432777</v>
      </c>
      <c r="BP40" s="4794">
        <f t="shared" si="52"/>
        <v>0</v>
      </c>
      <c r="BQ40" s="4794">
        <f t="shared" si="53"/>
        <v>2.045167524784874</v>
      </c>
      <c r="BR40" s="4794">
        <f t="shared" si="54"/>
        <v>2.045167524784874</v>
      </c>
      <c r="BS40" s="4794">
        <f t="shared" si="55"/>
        <v>2.045167524784874</v>
      </c>
      <c r="BT40" s="4794">
        <f t="shared" si="56"/>
        <v>2.045167524784874</v>
      </c>
      <c r="BU40" s="4794">
        <f t="shared" si="57"/>
        <v>2.045167524784874</v>
      </c>
      <c r="BV40" s="4794">
        <f t="shared" si="58"/>
        <v>2.045167524784874</v>
      </c>
      <c r="BW40" s="4794">
        <f t="shared" si="59"/>
        <v>0</v>
      </c>
      <c r="BX40" s="4794">
        <f t="shared" si="60"/>
        <v>2.045167524784874</v>
      </c>
      <c r="BY40" s="4794">
        <f t="shared" si="61"/>
        <v>2.045167524784874</v>
      </c>
      <c r="BZ40" s="4794">
        <f t="shared" si="62"/>
        <v>2.045167524784874</v>
      </c>
      <c r="CA40" s="4794">
        <f t="shared" si="63"/>
        <v>2.045167524784874</v>
      </c>
      <c r="CB40" s="4794">
        <f t="shared" si="64"/>
        <v>2.045167524784874</v>
      </c>
      <c r="CC40" s="4794">
        <f t="shared" si="65"/>
        <v>2.045167524784874</v>
      </c>
      <c r="CD40" s="4794">
        <f t="shared" si="66"/>
        <v>0</v>
      </c>
      <c r="CE40" s="4794">
        <f t="shared" si="67"/>
        <v>0</v>
      </c>
      <c r="CF40" s="4794">
        <f t="shared" si="68"/>
        <v>0</v>
      </c>
      <c r="CG40" s="4794">
        <f t="shared" si="69"/>
        <v>0</v>
      </c>
      <c r="CH40" s="4794">
        <f t="shared" si="70"/>
        <v>0</v>
      </c>
      <c r="CI40" s="4794">
        <f t="shared" si="71"/>
        <v>0</v>
      </c>
      <c r="CJ40" s="4794">
        <f t="shared" si="72"/>
        <v>0</v>
      </c>
      <c r="CK40" s="4794">
        <f t="shared" si="73"/>
        <v>0</v>
      </c>
      <c r="CL40" s="4794">
        <f t="shared" si="74"/>
        <v>0</v>
      </c>
      <c r="CM40" s="4794">
        <f t="shared" si="75"/>
        <v>0</v>
      </c>
      <c r="CN40" s="4794">
        <f t="shared" si="76"/>
        <v>0</v>
      </c>
      <c r="CO40" s="4794">
        <f t="shared" si="77"/>
        <v>0</v>
      </c>
      <c r="CP40" s="4794">
        <f t="shared" si="78"/>
        <v>0</v>
      </c>
      <c r="CQ40" s="4794">
        <f t="shared" si="79"/>
        <v>0</v>
      </c>
      <c r="CR40" s="4794">
        <f t="shared" si="80"/>
        <v>0</v>
      </c>
      <c r="CS40" s="4794">
        <f t="shared" si="81"/>
        <v>0</v>
      </c>
      <c r="CT40" s="4794">
        <f t="shared" si="82"/>
        <v>0</v>
      </c>
      <c r="CU40" s="4794">
        <f t="shared" si="83"/>
        <v>0</v>
      </c>
      <c r="CV40" s="4794">
        <f t="shared" si="84"/>
        <v>0</v>
      </c>
      <c r="CW40" s="4794">
        <f t="shared" si="85"/>
        <v>0</v>
      </c>
      <c r="CX40" s="4794">
        <f t="shared" si="86"/>
        <v>0</v>
      </c>
      <c r="CY40" s="4794">
        <f t="shared" si="87"/>
        <v>11.759713267513025</v>
      </c>
      <c r="CZ40" s="4794">
        <f t="shared" si="88"/>
        <v>11.759713267513025</v>
      </c>
      <c r="DA40" s="4794">
        <f t="shared" si="89"/>
        <v>11.759713267513025</v>
      </c>
      <c r="DB40" s="4794">
        <f t="shared" si="90"/>
        <v>11.759713267513025</v>
      </c>
      <c r="DC40" s="4794">
        <f t="shared" si="91"/>
        <v>11.759713267513025</v>
      </c>
      <c r="DD40" s="4794">
        <f t="shared" si="92"/>
        <v>11.759713267513025</v>
      </c>
      <c r="DE40" s="4794">
        <f t="shared" si="93"/>
        <v>7.6693782179432777</v>
      </c>
      <c r="DF40" s="4794">
        <f t="shared" si="94"/>
        <v>7.6693782179432777</v>
      </c>
      <c r="DG40" s="4794">
        <f t="shared" si="95"/>
        <v>7.6693782179432777</v>
      </c>
      <c r="DH40" s="4794">
        <f t="shared" si="96"/>
        <v>7.6693782179432777</v>
      </c>
      <c r="DI40" s="4794">
        <f t="shared" si="97"/>
        <v>7.6693782179432777</v>
      </c>
      <c r="DJ40" s="4794">
        <f t="shared" si="98"/>
        <v>7.6693782179432777</v>
      </c>
    </row>
    <row r="41" spans="1:114" s="690" customFormat="1" ht="12.75">
      <c r="A41" s="855" t="s">
        <v>1224</v>
      </c>
      <c r="B41" s="4132" t="s">
        <v>255</v>
      </c>
      <c r="C41" s="3225">
        <v>1</v>
      </c>
      <c r="D41" s="3226">
        <v>1</v>
      </c>
      <c r="E41" s="3226">
        <v>1</v>
      </c>
      <c r="F41" s="3226">
        <v>1</v>
      </c>
      <c r="G41" s="3226">
        <v>1</v>
      </c>
      <c r="H41" s="3227">
        <v>1</v>
      </c>
      <c r="I41" s="1270">
        <f t="shared" si="34"/>
        <v>0</v>
      </c>
      <c r="J41" s="1228">
        <f t="shared" si="35"/>
        <v>0</v>
      </c>
      <c r="K41" s="3225"/>
      <c r="L41" s="3226"/>
      <c r="M41" s="3226"/>
      <c r="N41" s="3226"/>
      <c r="O41" s="3226"/>
      <c r="P41" s="3227"/>
      <c r="Q41" s="1270">
        <f t="shared" si="166"/>
        <v>0</v>
      </c>
      <c r="R41" s="1224">
        <f t="shared" si="167"/>
        <v>0</v>
      </c>
      <c r="S41" s="3225"/>
      <c r="T41" s="3226"/>
      <c r="U41" s="3226"/>
      <c r="V41" s="3226"/>
      <c r="W41" s="3226"/>
      <c r="X41" s="3227"/>
      <c r="Y41" s="1270">
        <f t="shared" si="168"/>
        <v>0</v>
      </c>
      <c r="Z41" s="1224">
        <f t="shared" si="169"/>
        <v>0</v>
      </c>
      <c r="AA41" s="3225"/>
      <c r="AB41" s="3226"/>
      <c r="AC41" s="3226"/>
      <c r="AD41" s="3226"/>
      <c r="AE41" s="3226"/>
      <c r="AF41" s="3227"/>
      <c r="AG41" s="1270">
        <f t="shared" si="40"/>
        <v>0</v>
      </c>
      <c r="AH41" s="1228">
        <f t="shared" si="41"/>
        <v>0</v>
      </c>
      <c r="AI41" s="3225"/>
      <c r="AJ41" s="3226"/>
      <c r="AK41" s="3226"/>
      <c r="AL41" s="3226"/>
      <c r="AM41" s="3226"/>
      <c r="AN41" s="3255"/>
      <c r="AO41" s="1270">
        <f t="shared" si="42"/>
        <v>0</v>
      </c>
      <c r="AP41" s="1228">
        <f t="shared" si="43"/>
        <v>0</v>
      </c>
      <c r="AQ41" s="3225"/>
      <c r="AR41" s="3226"/>
      <c r="AS41" s="3226"/>
      <c r="AT41" s="3226"/>
      <c r="AU41" s="3226"/>
      <c r="AV41" s="3255"/>
      <c r="AW41" s="1131">
        <f t="shared" si="173"/>
        <v>1</v>
      </c>
      <c r="AX41" s="3245">
        <f t="shared" si="174"/>
        <v>1</v>
      </c>
      <c r="AY41" s="3245">
        <f t="shared" si="175"/>
        <v>1</v>
      </c>
      <c r="AZ41" s="3245">
        <f t="shared" si="176"/>
        <v>1</v>
      </c>
      <c r="BA41" s="3245">
        <f t="shared" si="177"/>
        <v>1</v>
      </c>
      <c r="BB41" s="3246">
        <f t="shared" si="178"/>
        <v>1</v>
      </c>
      <c r="BC41" s="3266">
        <f t="shared" si="179"/>
        <v>1</v>
      </c>
      <c r="BD41" s="3267">
        <f t="shared" si="180"/>
        <v>1</v>
      </c>
      <c r="BE41" s="3268">
        <f t="shared" si="181"/>
        <v>1</v>
      </c>
      <c r="BF41" s="3268">
        <f t="shared" si="182"/>
        <v>1</v>
      </c>
      <c r="BG41" s="3268">
        <f t="shared" si="183"/>
        <v>1</v>
      </c>
      <c r="BH41" s="3270">
        <f t="shared" si="184"/>
        <v>1</v>
      </c>
      <c r="BI41" s="4775"/>
      <c r="BJ41" s="4794">
        <f t="shared" si="46"/>
        <v>0.51129188119621849</v>
      </c>
      <c r="BK41" s="4794">
        <f t="shared" si="47"/>
        <v>0.51129188119621849</v>
      </c>
      <c r="BL41" s="4794">
        <f t="shared" si="48"/>
        <v>0.51129188119621849</v>
      </c>
      <c r="BM41" s="4794">
        <f t="shared" si="49"/>
        <v>0.51129188119621849</v>
      </c>
      <c r="BN41" s="4794">
        <f t="shared" si="50"/>
        <v>0.51129188119621849</v>
      </c>
      <c r="BO41" s="4794">
        <f t="shared" si="51"/>
        <v>0.51129188119621849</v>
      </c>
      <c r="BP41" s="4794">
        <f t="shared" si="52"/>
        <v>0</v>
      </c>
      <c r="BQ41" s="4794">
        <f t="shared" si="53"/>
        <v>0</v>
      </c>
      <c r="BR41" s="4794">
        <f t="shared" si="54"/>
        <v>0</v>
      </c>
      <c r="BS41" s="4794">
        <f t="shared" si="55"/>
        <v>0</v>
      </c>
      <c r="BT41" s="4794">
        <f t="shared" si="56"/>
        <v>0</v>
      </c>
      <c r="BU41" s="4794">
        <f t="shared" si="57"/>
        <v>0</v>
      </c>
      <c r="BV41" s="4794">
        <f t="shared" si="58"/>
        <v>0</v>
      </c>
      <c r="BW41" s="4794">
        <f t="shared" si="59"/>
        <v>0</v>
      </c>
      <c r="BX41" s="4794">
        <f t="shared" si="60"/>
        <v>0</v>
      </c>
      <c r="BY41" s="4794">
        <f t="shared" si="61"/>
        <v>0</v>
      </c>
      <c r="BZ41" s="4794">
        <f t="shared" si="62"/>
        <v>0</v>
      </c>
      <c r="CA41" s="4794">
        <f t="shared" si="63"/>
        <v>0</v>
      </c>
      <c r="CB41" s="4794">
        <f t="shared" si="64"/>
        <v>0</v>
      </c>
      <c r="CC41" s="4794">
        <f t="shared" si="65"/>
        <v>0</v>
      </c>
      <c r="CD41" s="4794">
        <f t="shared" si="66"/>
        <v>0</v>
      </c>
      <c r="CE41" s="4794">
        <f t="shared" si="67"/>
        <v>0</v>
      </c>
      <c r="CF41" s="4794">
        <f t="shared" si="68"/>
        <v>0</v>
      </c>
      <c r="CG41" s="4794">
        <f t="shared" si="69"/>
        <v>0</v>
      </c>
      <c r="CH41" s="4794">
        <f t="shared" si="70"/>
        <v>0</v>
      </c>
      <c r="CI41" s="4794">
        <f t="shared" si="71"/>
        <v>0</v>
      </c>
      <c r="CJ41" s="4794">
        <f t="shared" si="72"/>
        <v>0</v>
      </c>
      <c r="CK41" s="4794">
        <f t="shared" si="73"/>
        <v>0</v>
      </c>
      <c r="CL41" s="4794">
        <f t="shared" si="74"/>
        <v>0</v>
      </c>
      <c r="CM41" s="4794">
        <f t="shared" si="75"/>
        <v>0</v>
      </c>
      <c r="CN41" s="4794">
        <f t="shared" si="76"/>
        <v>0</v>
      </c>
      <c r="CO41" s="4794">
        <f t="shared" si="77"/>
        <v>0</v>
      </c>
      <c r="CP41" s="4794">
        <f t="shared" si="78"/>
        <v>0</v>
      </c>
      <c r="CQ41" s="4794">
        <f t="shared" si="79"/>
        <v>0</v>
      </c>
      <c r="CR41" s="4794">
        <f t="shared" si="80"/>
        <v>0</v>
      </c>
      <c r="CS41" s="4794">
        <f t="shared" si="81"/>
        <v>0</v>
      </c>
      <c r="CT41" s="4794">
        <f t="shared" si="82"/>
        <v>0</v>
      </c>
      <c r="CU41" s="4794">
        <f t="shared" si="83"/>
        <v>0</v>
      </c>
      <c r="CV41" s="4794">
        <f t="shared" si="84"/>
        <v>0</v>
      </c>
      <c r="CW41" s="4794">
        <f t="shared" si="85"/>
        <v>0</v>
      </c>
      <c r="CX41" s="4794">
        <f t="shared" si="86"/>
        <v>0</v>
      </c>
      <c r="CY41" s="4794">
        <f t="shared" si="87"/>
        <v>0.51129188119621849</v>
      </c>
      <c r="CZ41" s="4794">
        <f t="shared" si="88"/>
        <v>0.51129188119621849</v>
      </c>
      <c r="DA41" s="4794">
        <f t="shared" si="89"/>
        <v>0.51129188119621849</v>
      </c>
      <c r="DB41" s="4794">
        <f t="shared" si="90"/>
        <v>0.51129188119621849</v>
      </c>
      <c r="DC41" s="4794">
        <f t="shared" si="91"/>
        <v>0.51129188119621849</v>
      </c>
      <c r="DD41" s="4794">
        <f t="shared" si="92"/>
        <v>0.51129188119621849</v>
      </c>
      <c r="DE41" s="4794">
        <f t="shared" si="93"/>
        <v>0.51129188119621849</v>
      </c>
      <c r="DF41" s="4794">
        <f t="shared" si="94"/>
        <v>0.51129188119621849</v>
      </c>
      <c r="DG41" s="4794">
        <f t="shared" si="95"/>
        <v>0.51129188119621849</v>
      </c>
      <c r="DH41" s="4794">
        <f t="shared" si="96"/>
        <v>0.51129188119621849</v>
      </c>
      <c r="DI41" s="4794">
        <f t="shared" si="97"/>
        <v>0.51129188119621849</v>
      </c>
      <c r="DJ41" s="4794">
        <f t="shared" si="98"/>
        <v>0.51129188119621849</v>
      </c>
    </row>
    <row r="42" spans="1:114" s="690" customFormat="1" ht="12.75">
      <c r="A42" s="855" t="s">
        <v>1225</v>
      </c>
      <c r="B42" s="4132" t="s">
        <v>442</v>
      </c>
      <c r="C42" s="3225">
        <v>4</v>
      </c>
      <c r="D42" s="3226">
        <v>4</v>
      </c>
      <c r="E42" s="3226">
        <v>4</v>
      </c>
      <c r="F42" s="3226">
        <v>4</v>
      </c>
      <c r="G42" s="3226">
        <v>4</v>
      </c>
      <c r="H42" s="3227">
        <v>4</v>
      </c>
      <c r="I42" s="1270">
        <f t="shared" si="34"/>
        <v>0</v>
      </c>
      <c r="J42" s="1228">
        <f t="shared" si="35"/>
        <v>0</v>
      </c>
      <c r="K42" s="3225">
        <v>1</v>
      </c>
      <c r="L42" s="3226">
        <v>1</v>
      </c>
      <c r="M42" s="3226">
        <v>1</v>
      </c>
      <c r="N42" s="3226">
        <v>1</v>
      </c>
      <c r="O42" s="3226">
        <v>1</v>
      </c>
      <c r="P42" s="3227">
        <v>1</v>
      </c>
      <c r="Q42" s="1270">
        <f t="shared" si="166"/>
        <v>0</v>
      </c>
      <c r="R42" s="1224">
        <f t="shared" si="167"/>
        <v>0</v>
      </c>
      <c r="S42" s="3225">
        <v>1</v>
      </c>
      <c r="T42" s="3226">
        <v>1</v>
      </c>
      <c r="U42" s="3226">
        <v>1</v>
      </c>
      <c r="V42" s="3226">
        <v>1</v>
      </c>
      <c r="W42" s="3226">
        <v>1</v>
      </c>
      <c r="X42" s="3227">
        <v>1</v>
      </c>
      <c r="Y42" s="1270">
        <f t="shared" si="168"/>
        <v>0</v>
      </c>
      <c r="Z42" s="1224">
        <f t="shared" si="169"/>
        <v>0</v>
      </c>
      <c r="AA42" s="3225"/>
      <c r="AB42" s="3226"/>
      <c r="AC42" s="3226"/>
      <c r="AD42" s="3226"/>
      <c r="AE42" s="3226"/>
      <c r="AF42" s="3227"/>
      <c r="AG42" s="1270">
        <f t="shared" si="40"/>
        <v>0</v>
      </c>
      <c r="AH42" s="1228">
        <f t="shared" si="41"/>
        <v>0</v>
      </c>
      <c r="AI42" s="3225"/>
      <c r="AJ42" s="3226"/>
      <c r="AK42" s="3226"/>
      <c r="AL42" s="3226"/>
      <c r="AM42" s="3226"/>
      <c r="AN42" s="3255"/>
      <c r="AO42" s="1270">
        <f t="shared" si="42"/>
        <v>0</v>
      </c>
      <c r="AP42" s="1228">
        <f t="shared" si="43"/>
        <v>0</v>
      </c>
      <c r="AQ42" s="3225"/>
      <c r="AR42" s="3226"/>
      <c r="AS42" s="3226"/>
      <c r="AT42" s="3226"/>
      <c r="AU42" s="3226"/>
      <c r="AV42" s="3255"/>
      <c r="AW42" s="1131">
        <f t="shared" si="173"/>
        <v>6</v>
      </c>
      <c r="AX42" s="3245">
        <f t="shared" si="174"/>
        <v>6</v>
      </c>
      <c r="AY42" s="3245">
        <f t="shared" si="175"/>
        <v>6</v>
      </c>
      <c r="AZ42" s="3245">
        <f t="shared" si="176"/>
        <v>6</v>
      </c>
      <c r="BA42" s="3245">
        <f t="shared" si="177"/>
        <v>6</v>
      </c>
      <c r="BB42" s="3246">
        <f t="shared" si="178"/>
        <v>6</v>
      </c>
      <c r="BC42" s="3266">
        <f t="shared" si="179"/>
        <v>4</v>
      </c>
      <c r="BD42" s="3267">
        <f t="shared" si="180"/>
        <v>4</v>
      </c>
      <c r="BE42" s="3268">
        <f t="shared" si="181"/>
        <v>4</v>
      </c>
      <c r="BF42" s="3268">
        <f t="shared" si="182"/>
        <v>4</v>
      </c>
      <c r="BG42" s="3268">
        <f t="shared" si="183"/>
        <v>4</v>
      </c>
      <c r="BH42" s="3270">
        <f t="shared" si="184"/>
        <v>4</v>
      </c>
      <c r="BI42" s="4775"/>
      <c r="BJ42" s="4794">
        <f t="shared" si="46"/>
        <v>2.045167524784874</v>
      </c>
      <c r="BK42" s="4794">
        <f t="shared" si="47"/>
        <v>2.045167524784874</v>
      </c>
      <c r="BL42" s="4794">
        <f t="shared" si="48"/>
        <v>2.045167524784874</v>
      </c>
      <c r="BM42" s="4794">
        <f t="shared" si="49"/>
        <v>2.045167524784874</v>
      </c>
      <c r="BN42" s="4794">
        <f t="shared" si="50"/>
        <v>2.045167524784874</v>
      </c>
      <c r="BO42" s="4794">
        <f t="shared" si="51"/>
        <v>2.045167524784874</v>
      </c>
      <c r="BP42" s="4794">
        <f t="shared" si="52"/>
        <v>0</v>
      </c>
      <c r="BQ42" s="4794">
        <f t="shared" si="53"/>
        <v>0.51129188119621849</v>
      </c>
      <c r="BR42" s="4794">
        <f t="shared" si="54"/>
        <v>0.51129188119621849</v>
      </c>
      <c r="BS42" s="4794">
        <f t="shared" si="55"/>
        <v>0.51129188119621849</v>
      </c>
      <c r="BT42" s="4794">
        <f t="shared" si="56"/>
        <v>0.51129188119621849</v>
      </c>
      <c r="BU42" s="4794">
        <f t="shared" si="57"/>
        <v>0.51129188119621849</v>
      </c>
      <c r="BV42" s="4794">
        <f t="shared" si="58"/>
        <v>0.51129188119621849</v>
      </c>
      <c r="BW42" s="4794">
        <f t="shared" si="59"/>
        <v>0</v>
      </c>
      <c r="BX42" s="4794">
        <f t="shared" si="60"/>
        <v>0.51129188119621849</v>
      </c>
      <c r="BY42" s="4794">
        <f t="shared" si="61"/>
        <v>0.51129188119621849</v>
      </c>
      <c r="BZ42" s="4794">
        <f t="shared" si="62"/>
        <v>0.51129188119621849</v>
      </c>
      <c r="CA42" s="4794">
        <f t="shared" si="63"/>
        <v>0.51129188119621849</v>
      </c>
      <c r="CB42" s="4794">
        <f t="shared" si="64"/>
        <v>0.51129188119621849</v>
      </c>
      <c r="CC42" s="4794">
        <f t="shared" si="65"/>
        <v>0.51129188119621849</v>
      </c>
      <c r="CD42" s="4794">
        <f t="shared" si="66"/>
        <v>0</v>
      </c>
      <c r="CE42" s="4794">
        <f t="shared" si="67"/>
        <v>0</v>
      </c>
      <c r="CF42" s="4794">
        <f t="shared" si="68"/>
        <v>0</v>
      </c>
      <c r="CG42" s="4794">
        <f t="shared" si="69"/>
        <v>0</v>
      </c>
      <c r="CH42" s="4794">
        <f t="shared" si="70"/>
        <v>0</v>
      </c>
      <c r="CI42" s="4794">
        <f t="shared" si="71"/>
        <v>0</v>
      </c>
      <c r="CJ42" s="4794">
        <f t="shared" si="72"/>
        <v>0</v>
      </c>
      <c r="CK42" s="4794">
        <f t="shared" si="73"/>
        <v>0</v>
      </c>
      <c r="CL42" s="4794">
        <f t="shared" si="74"/>
        <v>0</v>
      </c>
      <c r="CM42" s="4794">
        <f t="shared" si="75"/>
        <v>0</v>
      </c>
      <c r="CN42" s="4794">
        <f t="shared" si="76"/>
        <v>0</v>
      </c>
      <c r="CO42" s="4794">
        <f t="shared" si="77"/>
        <v>0</v>
      </c>
      <c r="CP42" s="4794">
        <f t="shared" si="78"/>
        <v>0</v>
      </c>
      <c r="CQ42" s="4794">
        <f t="shared" si="79"/>
        <v>0</v>
      </c>
      <c r="CR42" s="4794">
        <f t="shared" si="80"/>
        <v>0</v>
      </c>
      <c r="CS42" s="4794">
        <f t="shared" si="81"/>
        <v>0</v>
      </c>
      <c r="CT42" s="4794">
        <f t="shared" si="82"/>
        <v>0</v>
      </c>
      <c r="CU42" s="4794">
        <f t="shared" si="83"/>
        <v>0</v>
      </c>
      <c r="CV42" s="4794">
        <f t="shared" si="84"/>
        <v>0</v>
      </c>
      <c r="CW42" s="4794">
        <f t="shared" si="85"/>
        <v>0</v>
      </c>
      <c r="CX42" s="4794">
        <f t="shared" si="86"/>
        <v>0</v>
      </c>
      <c r="CY42" s="4794">
        <f t="shared" si="87"/>
        <v>3.0677512871773112</v>
      </c>
      <c r="CZ42" s="4794">
        <f t="shared" si="88"/>
        <v>3.0677512871773112</v>
      </c>
      <c r="DA42" s="4794">
        <f t="shared" si="89"/>
        <v>3.0677512871773112</v>
      </c>
      <c r="DB42" s="4794">
        <f t="shared" si="90"/>
        <v>3.0677512871773112</v>
      </c>
      <c r="DC42" s="4794">
        <f t="shared" si="91"/>
        <v>3.0677512871773112</v>
      </c>
      <c r="DD42" s="4794">
        <f t="shared" si="92"/>
        <v>3.0677512871773112</v>
      </c>
      <c r="DE42" s="4794">
        <f t="shared" si="93"/>
        <v>2.045167524784874</v>
      </c>
      <c r="DF42" s="4794">
        <f t="shared" si="94"/>
        <v>2.045167524784874</v>
      </c>
      <c r="DG42" s="4794">
        <f t="shared" si="95"/>
        <v>2.045167524784874</v>
      </c>
      <c r="DH42" s="4794">
        <f t="shared" si="96"/>
        <v>2.045167524784874</v>
      </c>
      <c r="DI42" s="4794">
        <f t="shared" si="97"/>
        <v>2.045167524784874</v>
      </c>
      <c r="DJ42" s="4794">
        <f t="shared" si="98"/>
        <v>2.045167524784874</v>
      </c>
    </row>
    <row r="43" spans="1:114" ht="12.75">
      <c r="A43" s="854" t="s">
        <v>256</v>
      </c>
      <c r="B43" s="915" t="s">
        <v>257</v>
      </c>
      <c r="C43" s="3225">
        <v>410</v>
      </c>
      <c r="D43" s="3226">
        <v>410</v>
      </c>
      <c r="E43" s="3226">
        <v>410</v>
      </c>
      <c r="F43" s="3226">
        <v>410</v>
      </c>
      <c r="G43" s="3226">
        <v>410</v>
      </c>
      <c r="H43" s="3227">
        <v>410</v>
      </c>
      <c r="I43" s="1270">
        <f t="shared" si="34"/>
        <v>0</v>
      </c>
      <c r="J43" s="842">
        <f t="shared" si="35"/>
        <v>0</v>
      </c>
      <c r="K43" s="3225">
        <v>102</v>
      </c>
      <c r="L43" s="3226">
        <v>102</v>
      </c>
      <c r="M43" s="3226">
        <v>102</v>
      </c>
      <c r="N43" s="3226">
        <v>102</v>
      </c>
      <c r="O43" s="3226">
        <v>102</v>
      </c>
      <c r="P43" s="3227">
        <v>102</v>
      </c>
      <c r="Q43" s="1270">
        <f t="shared" si="166"/>
        <v>0</v>
      </c>
      <c r="R43" s="1140">
        <f t="shared" si="167"/>
        <v>0</v>
      </c>
      <c r="S43" s="3225">
        <v>118</v>
      </c>
      <c r="T43" s="3226">
        <v>118</v>
      </c>
      <c r="U43" s="3226">
        <v>118</v>
      </c>
      <c r="V43" s="3226">
        <v>118</v>
      </c>
      <c r="W43" s="3226">
        <v>118</v>
      </c>
      <c r="X43" s="3227">
        <v>118</v>
      </c>
      <c r="Y43" s="1270">
        <f t="shared" si="168"/>
        <v>0</v>
      </c>
      <c r="Z43" s="1140">
        <f t="shared" si="169"/>
        <v>0</v>
      </c>
      <c r="AA43" s="3225"/>
      <c r="AB43" s="3226"/>
      <c r="AC43" s="3226"/>
      <c r="AD43" s="3226"/>
      <c r="AE43" s="3226"/>
      <c r="AF43" s="3227"/>
      <c r="AG43" s="1270">
        <f t="shared" si="40"/>
        <v>0</v>
      </c>
      <c r="AH43" s="842">
        <f t="shared" si="41"/>
        <v>0</v>
      </c>
      <c r="AI43" s="3225"/>
      <c r="AJ43" s="3226"/>
      <c r="AK43" s="3226"/>
      <c r="AL43" s="3226"/>
      <c r="AM43" s="3226"/>
      <c r="AN43" s="3255"/>
      <c r="AO43" s="1270">
        <f t="shared" si="42"/>
        <v>0</v>
      </c>
      <c r="AP43" s="842">
        <f t="shared" si="43"/>
        <v>0</v>
      </c>
      <c r="AQ43" s="3225"/>
      <c r="AR43" s="3226"/>
      <c r="AS43" s="3226"/>
      <c r="AT43" s="3226"/>
      <c r="AU43" s="3226"/>
      <c r="AV43" s="3255"/>
      <c r="AW43" s="1131">
        <f t="shared" si="173"/>
        <v>630</v>
      </c>
      <c r="AX43" s="3245">
        <f t="shared" si="174"/>
        <v>630</v>
      </c>
      <c r="AY43" s="3245">
        <f t="shared" si="175"/>
        <v>630</v>
      </c>
      <c r="AZ43" s="3245">
        <f t="shared" si="176"/>
        <v>630</v>
      </c>
      <c r="BA43" s="3245">
        <f t="shared" si="177"/>
        <v>630</v>
      </c>
      <c r="BB43" s="3246">
        <f t="shared" si="178"/>
        <v>630</v>
      </c>
      <c r="BC43" s="3266">
        <f t="shared" si="179"/>
        <v>410</v>
      </c>
      <c r="BD43" s="3267">
        <f t="shared" si="180"/>
        <v>410</v>
      </c>
      <c r="BE43" s="3268">
        <f t="shared" si="181"/>
        <v>410</v>
      </c>
      <c r="BF43" s="3268">
        <f t="shared" si="182"/>
        <v>410</v>
      </c>
      <c r="BG43" s="3268">
        <f t="shared" si="183"/>
        <v>410</v>
      </c>
      <c r="BH43" s="3270">
        <f t="shared" si="184"/>
        <v>410</v>
      </c>
      <c r="BI43" s="4775"/>
      <c r="BJ43" s="4794">
        <f t="shared" si="46"/>
        <v>209.62967129044958</v>
      </c>
      <c r="BK43" s="4794">
        <f t="shared" si="47"/>
        <v>209.62967129044958</v>
      </c>
      <c r="BL43" s="4794">
        <f t="shared" si="48"/>
        <v>209.62967129044958</v>
      </c>
      <c r="BM43" s="4794">
        <f t="shared" si="49"/>
        <v>209.62967129044958</v>
      </c>
      <c r="BN43" s="4794">
        <f t="shared" si="50"/>
        <v>209.62967129044958</v>
      </c>
      <c r="BO43" s="4794">
        <f t="shared" si="51"/>
        <v>209.62967129044958</v>
      </c>
      <c r="BP43" s="4794">
        <f t="shared" si="52"/>
        <v>0</v>
      </c>
      <c r="BQ43" s="4794">
        <f t="shared" si="53"/>
        <v>52.151771882014287</v>
      </c>
      <c r="BR43" s="4794">
        <f t="shared" si="54"/>
        <v>52.151771882014287</v>
      </c>
      <c r="BS43" s="4794">
        <f t="shared" si="55"/>
        <v>52.151771882014287</v>
      </c>
      <c r="BT43" s="4794">
        <f t="shared" si="56"/>
        <v>52.151771882014287</v>
      </c>
      <c r="BU43" s="4794">
        <f t="shared" si="57"/>
        <v>52.151771882014287</v>
      </c>
      <c r="BV43" s="4794">
        <f t="shared" si="58"/>
        <v>52.151771882014287</v>
      </c>
      <c r="BW43" s="4794">
        <f t="shared" si="59"/>
        <v>0</v>
      </c>
      <c r="BX43" s="4794">
        <f t="shared" si="60"/>
        <v>60.332441981153785</v>
      </c>
      <c r="BY43" s="4794">
        <f t="shared" si="61"/>
        <v>60.332441981153785</v>
      </c>
      <c r="BZ43" s="4794">
        <f t="shared" si="62"/>
        <v>60.332441981153785</v>
      </c>
      <c r="CA43" s="4794">
        <f t="shared" si="63"/>
        <v>60.332441981153785</v>
      </c>
      <c r="CB43" s="4794">
        <f t="shared" si="64"/>
        <v>60.332441981153785</v>
      </c>
      <c r="CC43" s="4794">
        <f t="shared" si="65"/>
        <v>60.332441981153785</v>
      </c>
      <c r="CD43" s="4794">
        <f t="shared" si="66"/>
        <v>0</v>
      </c>
      <c r="CE43" s="4794">
        <f t="shared" si="67"/>
        <v>0</v>
      </c>
      <c r="CF43" s="4794">
        <f t="shared" si="68"/>
        <v>0</v>
      </c>
      <c r="CG43" s="4794">
        <f t="shared" si="69"/>
        <v>0</v>
      </c>
      <c r="CH43" s="4794">
        <f t="shared" si="70"/>
        <v>0</v>
      </c>
      <c r="CI43" s="4794">
        <f t="shared" si="71"/>
        <v>0</v>
      </c>
      <c r="CJ43" s="4794">
        <f t="shared" si="72"/>
        <v>0</v>
      </c>
      <c r="CK43" s="4794">
        <f t="shared" si="73"/>
        <v>0</v>
      </c>
      <c r="CL43" s="4794">
        <f t="shared" si="74"/>
        <v>0</v>
      </c>
      <c r="CM43" s="4794">
        <f t="shared" si="75"/>
        <v>0</v>
      </c>
      <c r="CN43" s="4794">
        <f t="shared" si="76"/>
        <v>0</v>
      </c>
      <c r="CO43" s="4794">
        <f t="shared" si="77"/>
        <v>0</v>
      </c>
      <c r="CP43" s="4794">
        <f t="shared" si="78"/>
        <v>0</v>
      </c>
      <c r="CQ43" s="4794">
        <f t="shared" si="79"/>
        <v>0</v>
      </c>
      <c r="CR43" s="4794">
        <f t="shared" si="80"/>
        <v>0</v>
      </c>
      <c r="CS43" s="4794">
        <f t="shared" si="81"/>
        <v>0</v>
      </c>
      <c r="CT43" s="4794">
        <f t="shared" si="82"/>
        <v>0</v>
      </c>
      <c r="CU43" s="4794">
        <f t="shared" si="83"/>
        <v>0</v>
      </c>
      <c r="CV43" s="4794">
        <f t="shared" si="84"/>
        <v>0</v>
      </c>
      <c r="CW43" s="4794">
        <f t="shared" si="85"/>
        <v>0</v>
      </c>
      <c r="CX43" s="4794">
        <f t="shared" si="86"/>
        <v>0</v>
      </c>
      <c r="CY43" s="4794">
        <f t="shared" si="87"/>
        <v>322.11388515361767</v>
      </c>
      <c r="CZ43" s="4794">
        <f t="shared" si="88"/>
        <v>322.11388515361767</v>
      </c>
      <c r="DA43" s="4794">
        <f t="shared" si="89"/>
        <v>322.11388515361767</v>
      </c>
      <c r="DB43" s="4794">
        <f t="shared" si="90"/>
        <v>322.11388515361767</v>
      </c>
      <c r="DC43" s="4794">
        <f t="shared" si="91"/>
        <v>322.11388515361767</v>
      </c>
      <c r="DD43" s="4794">
        <f t="shared" si="92"/>
        <v>322.11388515361767</v>
      </c>
      <c r="DE43" s="4794">
        <f t="shared" si="93"/>
        <v>209.62967129044958</v>
      </c>
      <c r="DF43" s="4794">
        <f t="shared" si="94"/>
        <v>209.62967129044958</v>
      </c>
      <c r="DG43" s="4794">
        <f t="shared" si="95"/>
        <v>209.62967129044958</v>
      </c>
      <c r="DH43" s="4794">
        <f t="shared" si="96"/>
        <v>209.62967129044958</v>
      </c>
      <c r="DI43" s="4794">
        <f t="shared" si="97"/>
        <v>209.62967129044958</v>
      </c>
      <c r="DJ43" s="4794">
        <f t="shared" si="98"/>
        <v>209.62967129044958</v>
      </c>
    </row>
    <row r="44" spans="1:114" ht="12.75">
      <c r="A44" s="854" t="s">
        <v>258</v>
      </c>
      <c r="B44" s="915" t="s">
        <v>259</v>
      </c>
      <c r="C44" s="3225">
        <v>147.22300000000001</v>
      </c>
      <c r="D44" s="3226">
        <v>147</v>
      </c>
      <c r="E44" s="3226">
        <v>147</v>
      </c>
      <c r="F44" s="3226">
        <v>147</v>
      </c>
      <c r="G44" s="3226">
        <v>147</v>
      </c>
      <c r="H44" s="3227">
        <v>147</v>
      </c>
      <c r="I44" s="1270">
        <f t="shared" si="34"/>
        <v>-0.22300000000001319</v>
      </c>
      <c r="J44" s="842">
        <f t="shared" si="35"/>
        <v>-1.51470897889605E-3</v>
      </c>
      <c r="K44" s="3225">
        <v>35</v>
      </c>
      <c r="L44" s="3226">
        <v>35</v>
      </c>
      <c r="M44" s="3226">
        <v>35</v>
      </c>
      <c r="N44" s="3226">
        <v>35</v>
      </c>
      <c r="O44" s="3226">
        <v>35</v>
      </c>
      <c r="P44" s="3227">
        <v>35</v>
      </c>
      <c r="Q44" s="1270">
        <f t="shared" si="166"/>
        <v>0</v>
      </c>
      <c r="R44" s="1140">
        <f t="shared" si="167"/>
        <v>0</v>
      </c>
      <c r="S44" s="3225">
        <v>39</v>
      </c>
      <c r="T44" s="3226">
        <v>39</v>
      </c>
      <c r="U44" s="3226">
        <v>39</v>
      </c>
      <c r="V44" s="3226">
        <v>39</v>
      </c>
      <c r="W44" s="3226">
        <v>39</v>
      </c>
      <c r="X44" s="3227">
        <v>39</v>
      </c>
      <c r="Y44" s="1270">
        <f t="shared" si="168"/>
        <v>0</v>
      </c>
      <c r="Z44" s="1140">
        <f t="shared" si="169"/>
        <v>0</v>
      </c>
      <c r="AA44" s="3225"/>
      <c r="AB44" s="3226"/>
      <c r="AC44" s="3226"/>
      <c r="AD44" s="3226"/>
      <c r="AE44" s="3226"/>
      <c r="AF44" s="3227"/>
      <c r="AG44" s="1270">
        <f t="shared" si="40"/>
        <v>0</v>
      </c>
      <c r="AH44" s="842">
        <f t="shared" si="41"/>
        <v>0</v>
      </c>
      <c r="AI44" s="3225"/>
      <c r="AJ44" s="3226"/>
      <c r="AK44" s="3226"/>
      <c r="AL44" s="3226"/>
      <c r="AM44" s="3226"/>
      <c r="AN44" s="3255"/>
      <c r="AO44" s="1270">
        <f t="shared" si="42"/>
        <v>0</v>
      </c>
      <c r="AP44" s="842">
        <f t="shared" si="43"/>
        <v>0</v>
      </c>
      <c r="AQ44" s="3225"/>
      <c r="AR44" s="3226"/>
      <c r="AS44" s="3226"/>
      <c r="AT44" s="3226"/>
      <c r="AU44" s="3226"/>
      <c r="AV44" s="3255"/>
      <c r="AW44" s="1131">
        <f t="shared" si="173"/>
        <v>221.22300000000001</v>
      </c>
      <c r="AX44" s="3245">
        <f t="shared" si="174"/>
        <v>221</v>
      </c>
      <c r="AY44" s="3245">
        <f t="shared" si="175"/>
        <v>221</v>
      </c>
      <c r="AZ44" s="3245">
        <f t="shared" si="176"/>
        <v>221</v>
      </c>
      <c r="BA44" s="3245">
        <f t="shared" si="177"/>
        <v>221</v>
      </c>
      <c r="BB44" s="3246">
        <f t="shared" si="178"/>
        <v>221</v>
      </c>
      <c r="BC44" s="3266">
        <f t="shared" si="179"/>
        <v>147.22300000000001</v>
      </c>
      <c r="BD44" s="3267">
        <f t="shared" si="180"/>
        <v>147</v>
      </c>
      <c r="BE44" s="3268">
        <f t="shared" si="181"/>
        <v>147</v>
      </c>
      <c r="BF44" s="3268">
        <f t="shared" si="182"/>
        <v>147</v>
      </c>
      <c r="BG44" s="3268">
        <f t="shared" si="183"/>
        <v>147</v>
      </c>
      <c r="BH44" s="3270">
        <f t="shared" si="184"/>
        <v>147</v>
      </c>
      <c r="BI44" s="4775"/>
      <c r="BJ44" s="4794">
        <f t="shared" si="46"/>
        <v>75.273924625350887</v>
      </c>
      <c r="BK44" s="4794">
        <f t="shared" si="47"/>
        <v>75.159906535844115</v>
      </c>
      <c r="BL44" s="4794">
        <f t="shared" si="48"/>
        <v>75.159906535844115</v>
      </c>
      <c r="BM44" s="4794">
        <f t="shared" si="49"/>
        <v>75.159906535844115</v>
      </c>
      <c r="BN44" s="4794">
        <f t="shared" si="50"/>
        <v>75.159906535844115</v>
      </c>
      <c r="BO44" s="4794">
        <f t="shared" si="51"/>
        <v>75.159906535844115</v>
      </c>
      <c r="BP44" s="4794">
        <f t="shared" si="52"/>
        <v>-0.11401808950676347</v>
      </c>
      <c r="BQ44" s="4794">
        <f t="shared" si="53"/>
        <v>17.895215841867646</v>
      </c>
      <c r="BR44" s="4794">
        <f t="shared" si="54"/>
        <v>17.895215841867646</v>
      </c>
      <c r="BS44" s="4794">
        <f t="shared" si="55"/>
        <v>17.895215841867646</v>
      </c>
      <c r="BT44" s="4794">
        <f t="shared" si="56"/>
        <v>17.895215841867646</v>
      </c>
      <c r="BU44" s="4794">
        <f t="shared" si="57"/>
        <v>17.895215841867646</v>
      </c>
      <c r="BV44" s="4794">
        <f t="shared" si="58"/>
        <v>17.895215841867646</v>
      </c>
      <c r="BW44" s="4794">
        <f t="shared" si="59"/>
        <v>0</v>
      </c>
      <c r="BX44" s="4794">
        <f t="shared" si="60"/>
        <v>19.940383366652522</v>
      </c>
      <c r="BY44" s="4794">
        <f t="shared" si="61"/>
        <v>19.940383366652522</v>
      </c>
      <c r="BZ44" s="4794">
        <f t="shared" si="62"/>
        <v>19.940383366652522</v>
      </c>
      <c r="CA44" s="4794">
        <f t="shared" si="63"/>
        <v>19.940383366652522</v>
      </c>
      <c r="CB44" s="4794">
        <f t="shared" si="64"/>
        <v>19.940383366652522</v>
      </c>
      <c r="CC44" s="4794">
        <f t="shared" si="65"/>
        <v>19.940383366652522</v>
      </c>
      <c r="CD44" s="4794">
        <f t="shared" si="66"/>
        <v>0</v>
      </c>
      <c r="CE44" s="4794">
        <f t="shared" si="67"/>
        <v>0</v>
      </c>
      <c r="CF44" s="4794">
        <f t="shared" si="68"/>
        <v>0</v>
      </c>
      <c r="CG44" s="4794">
        <f t="shared" si="69"/>
        <v>0</v>
      </c>
      <c r="CH44" s="4794">
        <f t="shared" si="70"/>
        <v>0</v>
      </c>
      <c r="CI44" s="4794">
        <f t="shared" si="71"/>
        <v>0</v>
      </c>
      <c r="CJ44" s="4794">
        <f t="shared" si="72"/>
        <v>0</v>
      </c>
      <c r="CK44" s="4794">
        <f t="shared" si="73"/>
        <v>0</v>
      </c>
      <c r="CL44" s="4794">
        <f t="shared" si="74"/>
        <v>0</v>
      </c>
      <c r="CM44" s="4794">
        <f t="shared" si="75"/>
        <v>0</v>
      </c>
      <c r="CN44" s="4794">
        <f t="shared" si="76"/>
        <v>0</v>
      </c>
      <c r="CO44" s="4794">
        <f t="shared" si="77"/>
        <v>0</v>
      </c>
      <c r="CP44" s="4794">
        <f t="shared" si="78"/>
        <v>0</v>
      </c>
      <c r="CQ44" s="4794">
        <f t="shared" si="79"/>
        <v>0</v>
      </c>
      <c r="CR44" s="4794">
        <f t="shared" si="80"/>
        <v>0</v>
      </c>
      <c r="CS44" s="4794">
        <f t="shared" si="81"/>
        <v>0</v>
      </c>
      <c r="CT44" s="4794">
        <f t="shared" si="82"/>
        <v>0</v>
      </c>
      <c r="CU44" s="4794">
        <f t="shared" si="83"/>
        <v>0</v>
      </c>
      <c r="CV44" s="4794">
        <f t="shared" si="84"/>
        <v>0</v>
      </c>
      <c r="CW44" s="4794">
        <f t="shared" si="85"/>
        <v>0</v>
      </c>
      <c r="CX44" s="4794">
        <f t="shared" si="86"/>
        <v>0</v>
      </c>
      <c r="CY44" s="4794">
        <f t="shared" si="87"/>
        <v>113.10952383387105</v>
      </c>
      <c r="CZ44" s="4794">
        <f t="shared" si="88"/>
        <v>112.99550574436429</v>
      </c>
      <c r="DA44" s="4794">
        <f t="shared" si="89"/>
        <v>112.99550574436429</v>
      </c>
      <c r="DB44" s="4794">
        <f t="shared" si="90"/>
        <v>112.99550574436429</v>
      </c>
      <c r="DC44" s="4794">
        <f t="shared" si="91"/>
        <v>112.99550574436429</v>
      </c>
      <c r="DD44" s="4794">
        <f t="shared" si="92"/>
        <v>112.99550574436429</v>
      </c>
      <c r="DE44" s="4794">
        <f t="shared" si="93"/>
        <v>75.273924625350887</v>
      </c>
      <c r="DF44" s="4794">
        <f t="shared" si="94"/>
        <v>75.159906535844115</v>
      </c>
      <c r="DG44" s="4794">
        <f t="shared" si="95"/>
        <v>75.159906535844115</v>
      </c>
      <c r="DH44" s="4794">
        <f t="shared" si="96"/>
        <v>75.159906535844115</v>
      </c>
      <c r="DI44" s="4794">
        <f t="shared" si="97"/>
        <v>75.159906535844115</v>
      </c>
      <c r="DJ44" s="4794">
        <f t="shared" si="98"/>
        <v>75.159906535844115</v>
      </c>
    </row>
    <row r="45" spans="1:114" ht="12.75">
      <c r="A45" s="854" t="s">
        <v>260</v>
      </c>
      <c r="B45" s="915" t="s">
        <v>630</v>
      </c>
      <c r="C45" s="3225">
        <v>6</v>
      </c>
      <c r="D45" s="3226">
        <v>6</v>
      </c>
      <c r="E45" s="3226">
        <v>6</v>
      </c>
      <c r="F45" s="3226">
        <v>6</v>
      </c>
      <c r="G45" s="3226">
        <v>6</v>
      </c>
      <c r="H45" s="3227">
        <v>6</v>
      </c>
      <c r="I45" s="1270">
        <f t="shared" si="34"/>
        <v>0</v>
      </c>
      <c r="J45" s="842">
        <f t="shared" si="35"/>
        <v>0</v>
      </c>
      <c r="K45" s="3225"/>
      <c r="L45" s="3226"/>
      <c r="M45" s="3226"/>
      <c r="N45" s="3226"/>
      <c r="O45" s="3226"/>
      <c r="P45" s="3227"/>
      <c r="Q45" s="1270">
        <f t="shared" si="166"/>
        <v>0</v>
      </c>
      <c r="R45" s="1140">
        <f t="shared" si="167"/>
        <v>0</v>
      </c>
      <c r="S45" s="3225">
        <v>3</v>
      </c>
      <c r="T45" s="3226">
        <v>3</v>
      </c>
      <c r="U45" s="3226">
        <v>3</v>
      </c>
      <c r="V45" s="3226">
        <v>3</v>
      </c>
      <c r="W45" s="3226">
        <v>3</v>
      </c>
      <c r="X45" s="3227">
        <v>3</v>
      </c>
      <c r="Y45" s="1270">
        <f t="shared" si="168"/>
        <v>0</v>
      </c>
      <c r="Z45" s="1140">
        <f t="shared" si="169"/>
        <v>0</v>
      </c>
      <c r="AA45" s="3225"/>
      <c r="AB45" s="3226"/>
      <c r="AC45" s="3226"/>
      <c r="AD45" s="3226"/>
      <c r="AE45" s="3226"/>
      <c r="AF45" s="3227"/>
      <c r="AG45" s="1270">
        <f t="shared" si="40"/>
        <v>0</v>
      </c>
      <c r="AH45" s="842">
        <f t="shared" si="41"/>
        <v>0</v>
      </c>
      <c r="AI45" s="3225"/>
      <c r="AJ45" s="3226"/>
      <c r="AK45" s="3226"/>
      <c r="AL45" s="3226"/>
      <c r="AM45" s="3226"/>
      <c r="AN45" s="3255"/>
      <c r="AO45" s="1270">
        <f t="shared" si="42"/>
        <v>0</v>
      </c>
      <c r="AP45" s="842">
        <f t="shared" si="43"/>
        <v>0</v>
      </c>
      <c r="AQ45" s="3225"/>
      <c r="AR45" s="3226"/>
      <c r="AS45" s="3226"/>
      <c r="AT45" s="3226"/>
      <c r="AU45" s="3226"/>
      <c r="AV45" s="3255"/>
      <c r="AW45" s="1131">
        <f t="shared" si="173"/>
        <v>9</v>
      </c>
      <c r="AX45" s="3245">
        <f t="shared" si="174"/>
        <v>9</v>
      </c>
      <c r="AY45" s="3245">
        <f t="shared" si="175"/>
        <v>9</v>
      </c>
      <c r="AZ45" s="3245">
        <f t="shared" si="176"/>
        <v>9</v>
      </c>
      <c r="BA45" s="3245">
        <f t="shared" si="177"/>
        <v>9</v>
      </c>
      <c r="BB45" s="3246">
        <f t="shared" si="178"/>
        <v>9</v>
      </c>
      <c r="BC45" s="3266">
        <f t="shared" si="179"/>
        <v>6</v>
      </c>
      <c r="BD45" s="3267">
        <f t="shared" si="180"/>
        <v>6</v>
      </c>
      <c r="BE45" s="3268">
        <f t="shared" si="181"/>
        <v>6</v>
      </c>
      <c r="BF45" s="3268">
        <f t="shared" si="182"/>
        <v>6</v>
      </c>
      <c r="BG45" s="3268">
        <f t="shared" si="183"/>
        <v>6</v>
      </c>
      <c r="BH45" s="3270">
        <f t="shared" si="184"/>
        <v>6</v>
      </c>
      <c r="BI45" s="4775"/>
      <c r="BJ45" s="4794">
        <f t="shared" si="46"/>
        <v>3.0677512871773112</v>
      </c>
      <c r="BK45" s="4794">
        <f t="shared" si="47"/>
        <v>3.0677512871773112</v>
      </c>
      <c r="BL45" s="4794">
        <f t="shared" si="48"/>
        <v>3.0677512871773112</v>
      </c>
      <c r="BM45" s="4794">
        <f t="shared" si="49"/>
        <v>3.0677512871773112</v>
      </c>
      <c r="BN45" s="4794">
        <f t="shared" si="50"/>
        <v>3.0677512871773112</v>
      </c>
      <c r="BO45" s="4794">
        <f t="shared" si="51"/>
        <v>3.0677512871773112</v>
      </c>
      <c r="BP45" s="4794">
        <f t="shared" si="52"/>
        <v>0</v>
      </c>
      <c r="BQ45" s="4794">
        <f t="shared" si="53"/>
        <v>0</v>
      </c>
      <c r="BR45" s="4794">
        <f t="shared" si="54"/>
        <v>0</v>
      </c>
      <c r="BS45" s="4794">
        <f t="shared" si="55"/>
        <v>0</v>
      </c>
      <c r="BT45" s="4794">
        <f t="shared" si="56"/>
        <v>0</v>
      </c>
      <c r="BU45" s="4794">
        <f t="shared" si="57"/>
        <v>0</v>
      </c>
      <c r="BV45" s="4794">
        <f t="shared" si="58"/>
        <v>0</v>
      </c>
      <c r="BW45" s="4794">
        <f t="shared" si="59"/>
        <v>0</v>
      </c>
      <c r="BX45" s="4794">
        <f t="shared" si="60"/>
        <v>1.5338756435886556</v>
      </c>
      <c r="BY45" s="4794">
        <f t="shared" si="61"/>
        <v>1.5338756435886556</v>
      </c>
      <c r="BZ45" s="4794">
        <f t="shared" si="62"/>
        <v>1.5338756435886556</v>
      </c>
      <c r="CA45" s="4794">
        <f t="shared" si="63"/>
        <v>1.5338756435886556</v>
      </c>
      <c r="CB45" s="4794">
        <f t="shared" si="64"/>
        <v>1.5338756435886556</v>
      </c>
      <c r="CC45" s="4794">
        <f t="shared" si="65"/>
        <v>1.5338756435886556</v>
      </c>
      <c r="CD45" s="4794">
        <f t="shared" si="66"/>
        <v>0</v>
      </c>
      <c r="CE45" s="4794">
        <f t="shared" si="67"/>
        <v>0</v>
      </c>
      <c r="CF45" s="4794">
        <f t="shared" si="68"/>
        <v>0</v>
      </c>
      <c r="CG45" s="4794">
        <f t="shared" si="69"/>
        <v>0</v>
      </c>
      <c r="CH45" s="4794">
        <f t="shared" si="70"/>
        <v>0</v>
      </c>
      <c r="CI45" s="4794">
        <f t="shared" si="71"/>
        <v>0</v>
      </c>
      <c r="CJ45" s="4794">
        <f t="shared" si="72"/>
        <v>0</v>
      </c>
      <c r="CK45" s="4794">
        <f t="shared" si="73"/>
        <v>0</v>
      </c>
      <c r="CL45" s="4794">
        <f t="shared" si="74"/>
        <v>0</v>
      </c>
      <c r="CM45" s="4794">
        <f t="shared" si="75"/>
        <v>0</v>
      </c>
      <c r="CN45" s="4794">
        <f t="shared" si="76"/>
        <v>0</v>
      </c>
      <c r="CO45" s="4794">
        <f t="shared" si="77"/>
        <v>0</v>
      </c>
      <c r="CP45" s="4794">
        <f t="shared" si="78"/>
        <v>0</v>
      </c>
      <c r="CQ45" s="4794">
        <f t="shared" si="79"/>
        <v>0</v>
      </c>
      <c r="CR45" s="4794">
        <f t="shared" si="80"/>
        <v>0</v>
      </c>
      <c r="CS45" s="4794">
        <f t="shared" si="81"/>
        <v>0</v>
      </c>
      <c r="CT45" s="4794">
        <f t="shared" si="82"/>
        <v>0</v>
      </c>
      <c r="CU45" s="4794">
        <f t="shared" si="83"/>
        <v>0</v>
      </c>
      <c r="CV45" s="4794">
        <f t="shared" si="84"/>
        <v>0</v>
      </c>
      <c r="CW45" s="4794">
        <f t="shared" si="85"/>
        <v>0</v>
      </c>
      <c r="CX45" s="4794">
        <f t="shared" si="86"/>
        <v>0</v>
      </c>
      <c r="CY45" s="4794">
        <f t="shared" si="87"/>
        <v>4.6016269307659661</v>
      </c>
      <c r="CZ45" s="4794">
        <f t="shared" si="88"/>
        <v>4.6016269307659661</v>
      </c>
      <c r="DA45" s="4794">
        <f t="shared" si="89"/>
        <v>4.6016269307659661</v>
      </c>
      <c r="DB45" s="4794">
        <f t="shared" si="90"/>
        <v>4.6016269307659661</v>
      </c>
      <c r="DC45" s="4794">
        <f t="shared" si="91"/>
        <v>4.6016269307659661</v>
      </c>
      <c r="DD45" s="4794">
        <f t="shared" si="92"/>
        <v>4.6016269307659661</v>
      </c>
      <c r="DE45" s="4794">
        <f t="shared" si="93"/>
        <v>3.0677512871773112</v>
      </c>
      <c r="DF45" s="4794">
        <f t="shared" si="94"/>
        <v>3.0677512871773112</v>
      </c>
      <c r="DG45" s="4794">
        <f t="shared" si="95"/>
        <v>3.0677512871773112</v>
      </c>
      <c r="DH45" s="4794">
        <f t="shared" si="96"/>
        <v>3.0677512871773112</v>
      </c>
      <c r="DI45" s="4794">
        <f t="shared" si="97"/>
        <v>3.0677512871773112</v>
      </c>
      <c r="DJ45" s="4794">
        <f t="shared" si="98"/>
        <v>3.0677512871773112</v>
      </c>
    </row>
    <row r="46" spans="1:114" ht="12.75">
      <c r="A46" s="854" t="s">
        <v>262</v>
      </c>
      <c r="B46" s="915" t="s">
        <v>685</v>
      </c>
      <c r="C46" s="3225">
        <v>63</v>
      </c>
      <c r="D46" s="3226">
        <v>63</v>
      </c>
      <c r="E46" s="3226">
        <v>63</v>
      </c>
      <c r="F46" s="3226">
        <v>63</v>
      </c>
      <c r="G46" s="3226">
        <v>63</v>
      </c>
      <c r="H46" s="3227">
        <v>63</v>
      </c>
      <c r="I46" s="1270">
        <f t="shared" si="34"/>
        <v>0</v>
      </c>
      <c r="J46" s="842">
        <f t="shared" si="35"/>
        <v>0</v>
      </c>
      <c r="K46" s="3225">
        <v>4</v>
      </c>
      <c r="L46" s="3226">
        <v>4</v>
      </c>
      <c r="M46" s="3226">
        <v>4</v>
      </c>
      <c r="N46" s="3226">
        <v>4</v>
      </c>
      <c r="O46" s="3226">
        <v>4</v>
      </c>
      <c r="P46" s="3227">
        <v>4</v>
      </c>
      <c r="Q46" s="1270">
        <f t="shared" si="166"/>
        <v>0</v>
      </c>
      <c r="R46" s="1140">
        <f t="shared" si="167"/>
        <v>0</v>
      </c>
      <c r="S46" s="3225">
        <v>6</v>
      </c>
      <c r="T46" s="3226">
        <v>6</v>
      </c>
      <c r="U46" s="3226">
        <v>6</v>
      </c>
      <c r="V46" s="3226">
        <v>6</v>
      </c>
      <c r="W46" s="3226">
        <v>6</v>
      </c>
      <c r="X46" s="3227">
        <v>6</v>
      </c>
      <c r="Y46" s="1270">
        <f t="shared" si="168"/>
        <v>0</v>
      </c>
      <c r="Z46" s="1140">
        <f t="shared" si="169"/>
        <v>0</v>
      </c>
      <c r="AA46" s="3225"/>
      <c r="AB46" s="3226"/>
      <c r="AC46" s="3226"/>
      <c r="AD46" s="3226"/>
      <c r="AE46" s="3226"/>
      <c r="AF46" s="3227"/>
      <c r="AG46" s="1270">
        <f t="shared" si="40"/>
        <v>0</v>
      </c>
      <c r="AH46" s="842">
        <f t="shared" si="41"/>
        <v>0</v>
      </c>
      <c r="AI46" s="3225"/>
      <c r="AJ46" s="3226"/>
      <c r="AK46" s="3226"/>
      <c r="AL46" s="3226"/>
      <c r="AM46" s="3226"/>
      <c r="AN46" s="3255"/>
      <c r="AO46" s="1270">
        <f t="shared" si="42"/>
        <v>0</v>
      </c>
      <c r="AP46" s="842">
        <f t="shared" si="43"/>
        <v>0</v>
      </c>
      <c r="AQ46" s="3225"/>
      <c r="AR46" s="3226"/>
      <c r="AS46" s="3226"/>
      <c r="AT46" s="3226"/>
      <c r="AU46" s="3226"/>
      <c r="AV46" s="3255"/>
      <c r="AW46" s="1131">
        <f t="shared" si="173"/>
        <v>73</v>
      </c>
      <c r="AX46" s="3245">
        <f t="shared" si="174"/>
        <v>73</v>
      </c>
      <c r="AY46" s="3245">
        <f t="shared" si="175"/>
        <v>73</v>
      </c>
      <c r="AZ46" s="3245">
        <f t="shared" si="176"/>
        <v>73</v>
      </c>
      <c r="BA46" s="3245">
        <f t="shared" si="177"/>
        <v>73</v>
      </c>
      <c r="BB46" s="3246">
        <f t="shared" si="178"/>
        <v>73</v>
      </c>
      <c r="BC46" s="3266">
        <f t="shared" si="179"/>
        <v>63</v>
      </c>
      <c r="BD46" s="3267">
        <f t="shared" si="180"/>
        <v>63</v>
      </c>
      <c r="BE46" s="3268">
        <f t="shared" si="181"/>
        <v>63</v>
      </c>
      <c r="BF46" s="3268">
        <f t="shared" si="182"/>
        <v>63</v>
      </c>
      <c r="BG46" s="3268">
        <f t="shared" si="183"/>
        <v>63</v>
      </c>
      <c r="BH46" s="3270">
        <f t="shared" si="184"/>
        <v>63</v>
      </c>
      <c r="BI46" s="4775"/>
      <c r="BJ46" s="4794">
        <f t="shared" si="46"/>
        <v>32.211388515361769</v>
      </c>
      <c r="BK46" s="4794">
        <f t="shared" si="47"/>
        <v>32.211388515361769</v>
      </c>
      <c r="BL46" s="4794">
        <f t="shared" si="48"/>
        <v>32.211388515361769</v>
      </c>
      <c r="BM46" s="4794">
        <f t="shared" si="49"/>
        <v>32.211388515361769</v>
      </c>
      <c r="BN46" s="4794">
        <f t="shared" si="50"/>
        <v>32.211388515361769</v>
      </c>
      <c r="BO46" s="4794">
        <f t="shared" si="51"/>
        <v>32.211388515361769</v>
      </c>
      <c r="BP46" s="4794">
        <f t="shared" si="52"/>
        <v>0</v>
      </c>
      <c r="BQ46" s="4794">
        <f t="shared" si="53"/>
        <v>2.045167524784874</v>
      </c>
      <c r="BR46" s="4794">
        <f t="shared" si="54"/>
        <v>2.045167524784874</v>
      </c>
      <c r="BS46" s="4794">
        <f t="shared" si="55"/>
        <v>2.045167524784874</v>
      </c>
      <c r="BT46" s="4794">
        <f t="shared" si="56"/>
        <v>2.045167524784874</v>
      </c>
      <c r="BU46" s="4794">
        <f t="shared" si="57"/>
        <v>2.045167524784874</v>
      </c>
      <c r="BV46" s="4794">
        <f t="shared" si="58"/>
        <v>2.045167524784874</v>
      </c>
      <c r="BW46" s="4794">
        <f t="shared" si="59"/>
        <v>0</v>
      </c>
      <c r="BX46" s="4794">
        <f t="shared" si="60"/>
        <v>3.0677512871773112</v>
      </c>
      <c r="BY46" s="4794">
        <f t="shared" si="61"/>
        <v>3.0677512871773112</v>
      </c>
      <c r="BZ46" s="4794">
        <f t="shared" si="62"/>
        <v>3.0677512871773112</v>
      </c>
      <c r="CA46" s="4794">
        <f t="shared" si="63"/>
        <v>3.0677512871773112</v>
      </c>
      <c r="CB46" s="4794">
        <f t="shared" si="64"/>
        <v>3.0677512871773112</v>
      </c>
      <c r="CC46" s="4794">
        <f t="shared" si="65"/>
        <v>3.0677512871773112</v>
      </c>
      <c r="CD46" s="4794">
        <f t="shared" si="66"/>
        <v>0</v>
      </c>
      <c r="CE46" s="4794">
        <f t="shared" si="67"/>
        <v>0</v>
      </c>
      <c r="CF46" s="4794">
        <f t="shared" si="68"/>
        <v>0</v>
      </c>
      <c r="CG46" s="4794">
        <f t="shared" si="69"/>
        <v>0</v>
      </c>
      <c r="CH46" s="4794">
        <f t="shared" si="70"/>
        <v>0</v>
      </c>
      <c r="CI46" s="4794">
        <f t="shared" si="71"/>
        <v>0</v>
      </c>
      <c r="CJ46" s="4794">
        <f t="shared" si="72"/>
        <v>0</v>
      </c>
      <c r="CK46" s="4794">
        <f t="shared" si="73"/>
        <v>0</v>
      </c>
      <c r="CL46" s="4794">
        <f t="shared" si="74"/>
        <v>0</v>
      </c>
      <c r="CM46" s="4794">
        <f t="shared" si="75"/>
        <v>0</v>
      </c>
      <c r="CN46" s="4794">
        <f t="shared" si="76"/>
        <v>0</v>
      </c>
      <c r="CO46" s="4794">
        <f t="shared" si="77"/>
        <v>0</v>
      </c>
      <c r="CP46" s="4794">
        <f t="shared" si="78"/>
        <v>0</v>
      </c>
      <c r="CQ46" s="4794">
        <f t="shared" si="79"/>
        <v>0</v>
      </c>
      <c r="CR46" s="4794">
        <f t="shared" si="80"/>
        <v>0</v>
      </c>
      <c r="CS46" s="4794">
        <f t="shared" si="81"/>
        <v>0</v>
      </c>
      <c r="CT46" s="4794">
        <f t="shared" si="82"/>
        <v>0</v>
      </c>
      <c r="CU46" s="4794">
        <f t="shared" si="83"/>
        <v>0</v>
      </c>
      <c r="CV46" s="4794">
        <f t="shared" si="84"/>
        <v>0</v>
      </c>
      <c r="CW46" s="4794">
        <f t="shared" si="85"/>
        <v>0</v>
      </c>
      <c r="CX46" s="4794">
        <f t="shared" si="86"/>
        <v>0</v>
      </c>
      <c r="CY46" s="4794">
        <f t="shared" si="87"/>
        <v>37.32430732732395</v>
      </c>
      <c r="CZ46" s="4794">
        <f t="shared" si="88"/>
        <v>37.32430732732395</v>
      </c>
      <c r="DA46" s="4794">
        <f t="shared" si="89"/>
        <v>37.32430732732395</v>
      </c>
      <c r="DB46" s="4794">
        <f t="shared" si="90"/>
        <v>37.32430732732395</v>
      </c>
      <c r="DC46" s="4794">
        <f t="shared" si="91"/>
        <v>37.32430732732395</v>
      </c>
      <c r="DD46" s="4794">
        <f t="shared" si="92"/>
        <v>37.32430732732395</v>
      </c>
      <c r="DE46" s="4794">
        <f t="shared" si="93"/>
        <v>32.211388515361769</v>
      </c>
      <c r="DF46" s="4794">
        <f t="shared" si="94"/>
        <v>32.211388515361769</v>
      </c>
      <c r="DG46" s="4794">
        <f t="shared" si="95"/>
        <v>32.211388515361769</v>
      </c>
      <c r="DH46" s="4794">
        <f t="shared" si="96"/>
        <v>32.211388515361769</v>
      </c>
      <c r="DI46" s="4794">
        <f t="shared" si="97"/>
        <v>32.211388515361769</v>
      </c>
      <c r="DJ46" s="4794">
        <f t="shared" si="98"/>
        <v>32.211388515361769</v>
      </c>
    </row>
    <row r="47" spans="1:114" ht="12.75">
      <c r="A47" s="854" t="s">
        <v>444</v>
      </c>
      <c r="B47" s="915" t="s">
        <v>443</v>
      </c>
      <c r="C47" s="3225">
        <v>7</v>
      </c>
      <c r="D47" s="3226">
        <v>7</v>
      </c>
      <c r="E47" s="3226">
        <v>7</v>
      </c>
      <c r="F47" s="3226">
        <v>7</v>
      </c>
      <c r="G47" s="3226">
        <v>7</v>
      </c>
      <c r="H47" s="3227">
        <v>7</v>
      </c>
      <c r="I47" s="1270">
        <f t="shared" si="34"/>
        <v>0</v>
      </c>
      <c r="J47" s="842">
        <f t="shared" si="35"/>
        <v>0</v>
      </c>
      <c r="K47" s="3225">
        <v>1</v>
      </c>
      <c r="L47" s="3226">
        <v>1</v>
      </c>
      <c r="M47" s="3226">
        <v>1</v>
      </c>
      <c r="N47" s="3226">
        <v>1</v>
      </c>
      <c r="O47" s="3226">
        <v>1</v>
      </c>
      <c r="P47" s="3227">
        <v>1</v>
      </c>
      <c r="Q47" s="1270">
        <f t="shared" si="166"/>
        <v>0</v>
      </c>
      <c r="R47" s="1140">
        <f t="shared" si="167"/>
        <v>0</v>
      </c>
      <c r="S47" s="3225">
        <v>2</v>
      </c>
      <c r="T47" s="3226">
        <v>2</v>
      </c>
      <c r="U47" s="3226">
        <v>2</v>
      </c>
      <c r="V47" s="3226">
        <v>2</v>
      </c>
      <c r="W47" s="3226">
        <v>2</v>
      </c>
      <c r="X47" s="3227">
        <v>2</v>
      </c>
      <c r="Y47" s="1270">
        <f t="shared" si="168"/>
        <v>0</v>
      </c>
      <c r="Z47" s="1140">
        <f t="shared" si="169"/>
        <v>0</v>
      </c>
      <c r="AA47" s="3225"/>
      <c r="AB47" s="3226"/>
      <c r="AC47" s="3226"/>
      <c r="AD47" s="3226"/>
      <c r="AE47" s="3226"/>
      <c r="AF47" s="3227"/>
      <c r="AG47" s="1270">
        <f t="shared" si="40"/>
        <v>0</v>
      </c>
      <c r="AH47" s="842">
        <f t="shared" si="41"/>
        <v>0</v>
      </c>
      <c r="AI47" s="3225"/>
      <c r="AJ47" s="3226"/>
      <c r="AK47" s="3226"/>
      <c r="AL47" s="3226"/>
      <c r="AM47" s="3226"/>
      <c r="AN47" s="3255"/>
      <c r="AO47" s="1270">
        <f t="shared" si="42"/>
        <v>0</v>
      </c>
      <c r="AP47" s="842">
        <f t="shared" si="43"/>
        <v>0</v>
      </c>
      <c r="AQ47" s="3225"/>
      <c r="AR47" s="3226"/>
      <c r="AS47" s="3226"/>
      <c r="AT47" s="3226"/>
      <c r="AU47" s="3226"/>
      <c r="AV47" s="3255"/>
      <c r="AW47" s="1131">
        <f t="shared" si="173"/>
        <v>10</v>
      </c>
      <c r="AX47" s="3245">
        <f t="shared" si="174"/>
        <v>10</v>
      </c>
      <c r="AY47" s="3245">
        <f t="shared" si="175"/>
        <v>10</v>
      </c>
      <c r="AZ47" s="3245">
        <f t="shared" si="176"/>
        <v>10</v>
      </c>
      <c r="BA47" s="3245">
        <f t="shared" si="177"/>
        <v>10</v>
      </c>
      <c r="BB47" s="3246">
        <f t="shared" si="178"/>
        <v>10</v>
      </c>
      <c r="BC47" s="3266">
        <f t="shared" si="179"/>
        <v>7</v>
      </c>
      <c r="BD47" s="3267">
        <f t="shared" si="180"/>
        <v>7</v>
      </c>
      <c r="BE47" s="3268">
        <f t="shared" si="181"/>
        <v>7</v>
      </c>
      <c r="BF47" s="3268">
        <f t="shared" si="182"/>
        <v>7</v>
      </c>
      <c r="BG47" s="3268">
        <f t="shared" si="183"/>
        <v>7</v>
      </c>
      <c r="BH47" s="3270">
        <f t="shared" si="184"/>
        <v>7</v>
      </c>
      <c r="BI47" s="4775"/>
      <c r="BJ47" s="4794">
        <f t="shared" si="46"/>
        <v>3.5790431683735293</v>
      </c>
      <c r="BK47" s="4794">
        <f t="shared" si="47"/>
        <v>3.5790431683735293</v>
      </c>
      <c r="BL47" s="4794">
        <f t="shared" si="48"/>
        <v>3.5790431683735293</v>
      </c>
      <c r="BM47" s="4794">
        <f t="shared" si="49"/>
        <v>3.5790431683735293</v>
      </c>
      <c r="BN47" s="4794">
        <f t="shared" si="50"/>
        <v>3.5790431683735293</v>
      </c>
      <c r="BO47" s="4794">
        <f t="shared" si="51"/>
        <v>3.5790431683735293</v>
      </c>
      <c r="BP47" s="4794">
        <f t="shared" si="52"/>
        <v>0</v>
      </c>
      <c r="BQ47" s="4794">
        <f t="shared" si="53"/>
        <v>0.51129188119621849</v>
      </c>
      <c r="BR47" s="4794">
        <f t="shared" si="54"/>
        <v>0.51129188119621849</v>
      </c>
      <c r="BS47" s="4794">
        <f t="shared" si="55"/>
        <v>0.51129188119621849</v>
      </c>
      <c r="BT47" s="4794">
        <f t="shared" si="56"/>
        <v>0.51129188119621849</v>
      </c>
      <c r="BU47" s="4794">
        <f t="shared" si="57"/>
        <v>0.51129188119621849</v>
      </c>
      <c r="BV47" s="4794">
        <f t="shared" si="58"/>
        <v>0.51129188119621849</v>
      </c>
      <c r="BW47" s="4794">
        <f t="shared" si="59"/>
        <v>0</v>
      </c>
      <c r="BX47" s="4794">
        <f t="shared" si="60"/>
        <v>1.022583762392437</v>
      </c>
      <c r="BY47" s="4794">
        <f t="shared" si="61"/>
        <v>1.022583762392437</v>
      </c>
      <c r="BZ47" s="4794">
        <f t="shared" si="62"/>
        <v>1.022583762392437</v>
      </c>
      <c r="CA47" s="4794">
        <f t="shared" si="63"/>
        <v>1.022583762392437</v>
      </c>
      <c r="CB47" s="4794">
        <f t="shared" si="64"/>
        <v>1.022583762392437</v>
      </c>
      <c r="CC47" s="4794">
        <f t="shared" si="65"/>
        <v>1.022583762392437</v>
      </c>
      <c r="CD47" s="4794">
        <f t="shared" si="66"/>
        <v>0</v>
      </c>
      <c r="CE47" s="4794">
        <f t="shared" si="67"/>
        <v>0</v>
      </c>
      <c r="CF47" s="4794">
        <f t="shared" si="68"/>
        <v>0</v>
      </c>
      <c r="CG47" s="4794">
        <f t="shared" si="69"/>
        <v>0</v>
      </c>
      <c r="CH47" s="4794">
        <f t="shared" si="70"/>
        <v>0</v>
      </c>
      <c r="CI47" s="4794">
        <f t="shared" si="71"/>
        <v>0</v>
      </c>
      <c r="CJ47" s="4794">
        <f t="shared" si="72"/>
        <v>0</v>
      </c>
      <c r="CK47" s="4794">
        <f t="shared" si="73"/>
        <v>0</v>
      </c>
      <c r="CL47" s="4794">
        <f t="shared" si="74"/>
        <v>0</v>
      </c>
      <c r="CM47" s="4794">
        <f t="shared" si="75"/>
        <v>0</v>
      </c>
      <c r="CN47" s="4794">
        <f t="shared" si="76"/>
        <v>0</v>
      </c>
      <c r="CO47" s="4794">
        <f t="shared" si="77"/>
        <v>0</v>
      </c>
      <c r="CP47" s="4794">
        <f t="shared" si="78"/>
        <v>0</v>
      </c>
      <c r="CQ47" s="4794">
        <f t="shared" si="79"/>
        <v>0</v>
      </c>
      <c r="CR47" s="4794">
        <f t="shared" si="80"/>
        <v>0</v>
      </c>
      <c r="CS47" s="4794">
        <f t="shared" si="81"/>
        <v>0</v>
      </c>
      <c r="CT47" s="4794">
        <f t="shared" si="82"/>
        <v>0</v>
      </c>
      <c r="CU47" s="4794">
        <f t="shared" si="83"/>
        <v>0</v>
      </c>
      <c r="CV47" s="4794">
        <f t="shared" si="84"/>
        <v>0</v>
      </c>
      <c r="CW47" s="4794">
        <f t="shared" si="85"/>
        <v>0</v>
      </c>
      <c r="CX47" s="4794">
        <f t="shared" si="86"/>
        <v>0</v>
      </c>
      <c r="CY47" s="4794">
        <f t="shared" si="87"/>
        <v>5.1129188119621851</v>
      </c>
      <c r="CZ47" s="4794">
        <f t="shared" si="88"/>
        <v>5.1129188119621851</v>
      </c>
      <c r="DA47" s="4794">
        <f t="shared" si="89"/>
        <v>5.1129188119621851</v>
      </c>
      <c r="DB47" s="4794">
        <f t="shared" si="90"/>
        <v>5.1129188119621851</v>
      </c>
      <c r="DC47" s="4794">
        <f t="shared" si="91"/>
        <v>5.1129188119621851</v>
      </c>
      <c r="DD47" s="4794">
        <f t="shared" si="92"/>
        <v>5.1129188119621851</v>
      </c>
      <c r="DE47" s="4794">
        <f t="shared" si="93"/>
        <v>3.5790431683735293</v>
      </c>
      <c r="DF47" s="4794">
        <f t="shared" si="94"/>
        <v>3.5790431683735293</v>
      </c>
      <c r="DG47" s="4794">
        <f t="shared" si="95"/>
        <v>3.5790431683735293</v>
      </c>
      <c r="DH47" s="4794">
        <f t="shared" si="96"/>
        <v>3.5790431683735293</v>
      </c>
      <c r="DI47" s="4794">
        <f t="shared" si="97"/>
        <v>3.5790431683735293</v>
      </c>
      <c r="DJ47" s="4794">
        <f t="shared" si="98"/>
        <v>3.5790431683735293</v>
      </c>
    </row>
    <row r="48" spans="1:114" s="692" customFormat="1" ht="12.75">
      <c r="A48" s="854" t="s">
        <v>601</v>
      </c>
      <c r="B48" s="915" t="s">
        <v>641</v>
      </c>
      <c r="C48" s="2816">
        <f>'8. Ремонтна програма'!J31</f>
        <v>542</v>
      </c>
      <c r="D48" s="1268">
        <f>'8. Ремонтна програма'!K31</f>
        <v>542</v>
      </c>
      <c r="E48" s="1152">
        <f>'8. Ремонтна програма'!L31</f>
        <v>542</v>
      </c>
      <c r="F48" s="1152">
        <f>'8. Ремонтна програма'!M31</f>
        <v>542</v>
      </c>
      <c r="G48" s="1152">
        <f>'8. Ремонтна програма'!N31</f>
        <v>542</v>
      </c>
      <c r="H48" s="3271">
        <f>'8. Ремонтна програма'!O31</f>
        <v>542</v>
      </c>
      <c r="I48" s="1268">
        <f t="shared" si="34"/>
        <v>0</v>
      </c>
      <c r="J48" s="838">
        <f t="shared" si="35"/>
        <v>0</v>
      </c>
      <c r="K48" s="2816">
        <f>'8. Ремонтна програма'!J60</f>
        <v>259</v>
      </c>
      <c r="L48" s="1268">
        <f>'8. Ремонтна програма'!K60</f>
        <v>259</v>
      </c>
      <c r="M48" s="1152">
        <f>'8. Ремонтна програма'!L60</f>
        <v>259</v>
      </c>
      <c r="N48" s="1152">
        <f>'8. Ремонтна програма'!M60</f>
        <v>259</v>
      </c>
      <c r="O48" s="1152">
        <f>'8. Ремонтна програма'!N60</f>
        <v>259</v>
      </c>
      <c r="P48" s="3271">
        <f>'8. Ремонтна програма'!O60</f>
        <v>259</v>
      </c>
      <c r="Q48" s="1268">
        <f t="shared" si="166"/>
        <v>0</v>
      </c>
      <c r="R48" s="896">
        <f t="shared" si="167"/>
        <v>0</v>
      </c>
      <c r="S48" s="2816">
        <f>'8. Ремонтна програма'!J86</f>
        <v>121</v>
      </c>
      <c r="T48" s="1268">
        <f>'8. Ремонтна програма'!K86</f>
        <v>121</v>
      </c>
      <c r="U48" s="1152">
        <f>'8. Ремонтна програма'!L86</f>
        <v>121</v>
      </c>
      <c r="V48" s="1152">
        <f>'8. Ремонтна програма'!M86</f>
        <v>121</v>
      </c>
      <c r="W48" s="1152">
        <f>'8. Ремонтна програма'!N86</f>
        <v>121</v>
      </c>
      <c r="X48" s="3271">
        <f>'8. Ремонтна програма'!O86</f>
        <v>121</v>
      </c>
      <c r="Y48" s="1268">
        <f t="shared" si="168"/>
        <v>0</v>
      </c>
      <c r="Z48" s="896">
        <f t="shared" si="169"/>
        <v>0</v>
      </c>
      <c r="AA48" s="2816">
        <f>'8. Ремонтна програма'!J117</f>
        <v>0</v>
      </c>
      <c r="AB48" s="1268">
        <f>'8. Ремонтна програма'!K117</f>
        <v>0</v>
      </c>
      <c r="AC48" s="1152">
        <f>'8. Ремонтна програма'!L117</f>
        <v>0</v>
      </c>
      <c r="AD48" s="1152">
        <f>'8. Ремонтна програма'!M117</f>
        <v>0</v>
      </c>
      <c r="AE48" s="1152">
        <f>'8. Ремонтна програма'!N117</f>
        <v>0</v>
      </c>
      <c r="AF48" s="3271">
        <f>'8. Ремонтна програма'!O117</f>
        <v>0</v>
      </c>
      <c r="AG48" s="1268">
        <f t="shared" si="40"/>
        <v>0</v>
      </c>
      <c r="AH48" s="838">
        <f t="shared" si="41"/>
        <v>0</v>
      </c>
      <c r="AI48" s="1131">
        <f>'8. Ремонтна програма'!J148</f>
        <v>0</v>
      </c>
      <c r="AJ48" s="1274">
        <f>'8. Ремонтна програма'!K148</f>
        <v>0</v>
      </c>
      <c r="AK48" s="1155">
        <f>'8. Ремонтна програма'!L148</f>
        <v>0</v>
      </c>
      <c r="AL48" s="1155">
        <f>'8. Ремонтна програма'!M148</f>
        <v>0</v>
      </c>
      <c r="AM48" s="1155">
        <f>'8. Ремонтна програма'!N148</f>
        <v>0</v>
      </c>
      <c r="AN48" s="3262">
        <f>'8. Ремонтна програма'!O148</f>
        <v>0</v>
      </c>
      <c r="AO48" s="1268">
        <f t="shared" si="42"/>
        <v>0</v>
      </c>
      <c r="AP48" s="838">
        <f t="shared" si="43"/>
        <v>0</v>
      </c>
      <c r="AQ48" s="3225"/>
      <c r="AR48" s="3226"/>
      <c r="AS48" s="3226"/>
      <c r="AT48" s="3226"/>
      <c r="AU48" s="3226"/>
      <c r="AV48" s="3255"/>
      <c r="AW48" s="1131">
        <f t="shared" si="173"/>
        <v>922</v>
      </c>
      <c r="AX48" s="3245">
        <f t="shared" si="174"/>
        <v>922</v>
      </c>
      <c r="AY48" s="3245">
        <f t="shared" si="175"/>
        <v>922</v>
      </c>
      <c r="AZ48" s="3245">
        <f t="shared" si="176"/>
        <v>922</v>
      </c>
      <c r="BA48" s="3245">
        <f t="shared" si="177"/>
        <v>922</v>
      </c>
      <c r="BB48" s="3246">
        <f t="shared" si="178"/>
        <v>922</v>
      </c>
      <c r="BC48" s="3266">
        <f t="shared" si="179"/>
        <v>542</v>
      </c>
      <c r="BD48" s="3267">
        <f t="shared" si="180"/>
        <v>542</v>
      </c>
      <c r="BE48" s="3268">
        <f t="shared" si="181"/>
        <v>542</v>
      </c>
      <c r="BF48" s="3268">
        <f t="shared" si="182"/>
        <v>542</v>
      </c>
      <c r="BG48" s="3268">
        <f t="shared" si="183"/>
        <v>542</v>
      </c>
      <c r="BH48" s="3270">
        <f t="shared" si="184"/>
        <v>542</v>
      </c>
      <c r="BI48" s="4775"/>
      <c r="BJ48" s="4794">
        <f t="shared" si="46"/>
        <v>277.12019960835045</v>
      </c>
      <c r="BK48" s="4794">
        <f t="shared" si="47"/>
        <v>277.12019960835045</v>
      </c>
      <c r="BL48" s="4794">
        <f t="shared" si="48"/>
        <v>277.12019960835045</v>
      </c>
      <c r="BM48" s="4794">
        <f t="shared" si="49"/>
        <v>277.12019960835045</v>
      </c>
      <c r="BN48" s="4794">
        <f t="shared" si="50"/>
        <v>277.12019960835045</v>
      </c>
      <c r="BO48" s="4794">
        <f t="shared" si="51"/>
        <v>277.12019960835045</v>
      </c>
      <c r="BP48" s="4794">
        <f t="shared" si="52"/>
        <v>0</v>
      </c>
      <c r="BQ48" s="4794">
        <f t="shared" si="53"/>
        <v>132.42459722982059</v>
      </c>
      <c r="BR48" s="4794">
        <f t="shared" si="54"/>
        <v>132.42459722982059</v>
      </c>
      <c r="BS48" s="4794">
        <f t="shared" si="55"/>
        <v>132.42459722982059</v>
      </c>
      <c r="BT48" s="4794">
        <f t="shared" si="56"/>
        <v>132.42459722982059</v>
      </c>
      <c r="BU48" s="4794">
        <f t="shared" si="57"/>
        <v>132.42459722982059</v>
      </c>
      <c r="BV48" s="4794">
        <f t="shared" si="58"/>
        <v>132.42459722982059</v>
      </c>
      <c r="BW48" s="4794">
        <f t="shared" si="59"/>
        <v>0</v>
      </c>
      <c r="BX48" s="4794">
        <f t="shared" si="60"/>
        <v>61.866317624742436</v>
      </c>
      <c r="BY48" s="4794">
        <f t="shared" si="61"/>
        <v>61.866317624742436</v>
      </c>
      <c r="BZ48" s="4794">
        <f t="shared" si="62"/>
        <v>61.866317624742436</v>
      </c>
      <c r="CA48" s="4794">
        <f t="shared" si="63"/>
        <v>61.866317624742436</v>
      </c>
      <c r="CB48" s="4794">
        <f t="shared" si="64"/>
        <v>61.866317624742436</v>
      </c>
      <c r="CC48" s="4794">
        <f t="shared" si="65"/>
        <v>61.866317624742436</v>
      </c>
      <c r="CD48" s="4794">
        <f t="shared" si="66"/>
        <v>0</v>
      </c>
      <c r="CE48" s="4794">
        <f t="shared" si="67"/>
        <v>0</v>
      </c>
      <c r="CF48" s="4794">
        <f t="shared" si="68"/>
        <v>0</v>
      </c>
      <c r="CG48" s="4794">
        <f t="shared" si="69"/>
        <v>0</v>
      </c>
      <c r="CH48" s="4794">
        <f t="shared" si="70"/>
        <v>0</v>
      </c>
      <c r="CI48" s="4794">
        <f t="shared" si="71"/>
        <v>0</v>
      </c>
      <c r="CJ48" s="4794">
        <f t="shared" si="72"/>
        <v>0</v>
      </c>
      <c r="CK48" s="4794">
        <f t="shared" si="73"/>
        <v>0</v>
      </c>
      <c r="CL48" s="4794">
        <f t="shared" si="74"/>
        <v>0</v>
      </c>
      <c r="CM48" s="4794">
        <f t="shared" si="75"/>
        <v>0</v>
      </c>
      <c r="CN48" s="4794">
        <f t="shared" si="76"/>
        <v>0</v>
      </c>
      <c r="CO48" s="4794">
        <f t="shared" si="77"/>
        <v>0</v>
      </c>
      <c r="CP48" s="4794">
        <f t="shared" si="78"/>
        <v>0</v>
      </c>
      <c r="CQ48" s="4794">
        <f t="shared" si="79"/>
        <v>0</v>
      </c>
      <c r="CR48" s="4794">
        <f t="shared" si="80"/>
        <v>0</v>
      </c>
      <c r="CS48" s="4794">
        <f t="shared" si="81"/>
        <v>0</v>
      </c>
      <c r="CT48" s="4794">
        <f t="shared" si="82"/>
        <v>0</v>
      </c>
      <c r="CU48" s="4794">
        <f t="shared" si="83"/>
        <v>0</v>
      </c>
      <c r="CV48" s="4794">
        <f t="shared" si="84"/>
        <v>0</v>
      </c>
      <c r="CW48" s="4794">
        <f t="shared" si="85"/>
        <v>0</v>
      </c>
      <c r="CX48" s="4794">
        <f t="shared" si="86"/>
        <v>0</v>
      </c>
      <c r="CY48" s="4794">
        <f t="shared" si="87"/>
        <v>471.41111446291347</v>
      </c>
      <c r="CZ48" s="4794">
        <f t="shared" si="88"/>
        <v>471.41111446291347</v>
      </c>
      <c r="DA48" s="4794">
        <f t="shared" si="89"/>
        <v>471.41111446291347</v>
      </c>
      <c r="DB48" s="4794">
        <f t="shared" si="90"/>
        <v>471.41111446291347</v>
      </c>
      <c r="DC48" s="4794">
        <f t="shared" si="91"/>
        <v>471.41111446291347</v>
      </c>
      <c r="DD48" s="4794">
        <f t="shared" si="92"/>
        <v>471.41111446291347</v>
      </c>
      <c r="DE48" s="4794">
        <f t="shared" si="93"/>
        <v>277.12019960835045</v>
      </c>
      <c r="DF48" s="4794">
        <f t="shared" si="94"/>
        <v>277.12019960835045</v>
      </c>
      <c r="DG48" s="4794">
        <f t="shared" si="95"/>
        <v>277.12019960835045</v>
      </c>
      <c r="DH48" s="4794">
        <f t="shared" si="96"/>
        <v>277.12019960835045</v>
      </c>
      <c r="DI48" s="4794">
        <f t="shared" si="97"/>
        <v>277.12019960835045</v>
      </c>
      <c r="DJ48" s="4794">
        <f t="shared" si="98"/>
        <v>277.12019960835045</v>
      </c>
    </row>
    <row r="49" spans="1:114" ht="12.75">
      <c r="A49" s="854" t="s">
        <v>684</v>
      </c>
      <c r="B49" s="915" t="s">
        <v>631</v>
      </c>
      <c r="C49" s="3233"/>
      <c r="D49" s="3234"/>
      <c r="E49" s="2088"/>
      <c r="F49" s="2088"/>
      <c r="G49" s="2088"/>
      <c r="H49" s="2161"/>
      <c r="I49" s="3212"/>
      <c r="J49" s="3213"/>
      <c r="K49" s="3233"/>
      <c r="L49" s="3234"/>
      <c r="M49" s="2088"/>
      <c r="N49" s="2088"/>
      <c r="O49" s="2088"/>
      <c r="P49" s="3253"/>
      <c r="Q49" s="3905"/>
      <c r="R49" s="3214"/>
      <c r="S49" s="2816">
        <f>'7. Утайки от ПСОВ'!D31</f>
        <v>0</v>
      </c>
      <c r="T49" s="1162">
        <f>'7. Утайки от ПСОВ'!G31</f>
        <v>61</v>
      </c>
      <c r="U49" s="1152">
        <f>'7. Утайки от ПСОВ'!H31</f>
        <v>61</v>
      </c>
      <c r="V49" s="1152">
        <f>'7. Утайки от ПСОВ'!I31</f>
        <v>61</v>
      </c>
      <c r="W49" s="1152">
        <f>'7. Утайки от ПСОВ'!J31</f>
        <v>61</v>
      </c>
      <c r="X49" s="1162">
        <f>'7. Утайки от ПСОВ'!K31</f>
        <v>61</v>
      </c>
      <c r="Y49" s="323">
        <f t="shared" si="168"/>
        <v>61</v>
      </c>
      <c r="Z49" s="896">
        <f t="shared" si="169"/>
        <v>0</v>
      </c>
      <c r="AA49" s="3233"/>
      <c r="AB49" s="3234"/>
      <c r="AC49" s="2088"/>
      <c r="AD49" s="2088"/>
      <c r="AE49" s="2088"/>
      <c r="AF49" s="3253"/>
      <c r="AG49" s="3905"/>
      <c r="AH49" s="3306"/>
      <c r="AI49" s="3233"/>
      <c r="AJ49" s="3234"/>
      <c r="AK49" s="2088"/>
      <c r="AL49" s="2088"/>
      <c r="AM49" s="2088"/>
      <c r="AN49" s="2161"/>
      <c r="AO49" s="3905"/>
      <c r="AP49" s="3213"/>
      <c r="AQ49" s="3233"/>
      <c r="AR49" s="3234"/>
      <c r="AS49" s="2088"/>
      <c r="AT49" s="2088"/>
      <c r="AU49" s="2088"/>
      <c r="AV49" s="2161"/>
      <c r="AW49" s="1131">
        <f t="shared" ref="AW49:AW50" si="185">C49+K49+S49+AA49+AI49</f>
        <v>0</v>
      </c>
      <c r="AX49" s="3245">
        <f t="shared" ref="AX49:AX50" si="186">D49+L49+T49+AB49+AJ49</f>
        <v>61</v>
      </c>
      <c r="AY49" s="3245">
        <f t="shared" ref="AY49:AY50" si="187">E49+M49+U49+AC49+AK49</f>
        <v>61</v>
      </c>
      <c r="AZ49" s="3245">
        <f t="shared" ref="AZ49:AZ50" si="188">F49+N49+V49+AD49+AL49</f>
        <v>61</v>
      </c>
      <c r="BA49" s="3245">
        <f t="shared" ref="BA49:BA50" si="189">G49+O49+W49+AE49+AM49</f>
        <v>61</v>
      </c>
      <c r="BB49" s="3246">
        <f t="shared" ref="BB49:BB50" si="190">H49+P49+X49+AF49+AN49</f>
        <v>61</v>
      </c>
      <c r="BC49" s="3266">
        <f t="shared" ref="BC49:BC50" si="191">C49+AA49+AI49</f>
        <v>0</v>
      </c>
      <c r="BD49" s="3267">
        <f t="shared" ref="BD49:BD50" si="192">D49+AB49+AJ49</f>
        <v>0</v>
      </c>
      <c r="BE49" s="3268">
        <f t="shared" ref="BE49:BE50" si="193">E49+AC49+AK49</f>
        <v>0</v>
      </c>
      <c r="BF49" s="3268">
        <f t="shared" ref="BF49:BF50" si="194">F49+AD49+AL49</f>
        <v>0</v>
      </c>
      <c r="BG49" s="3268">
        <f t="shared" ref="BG49:BG50" si="195">G49+AE49+AM49</f>
        <v>0</v>
      </c>
      <c r="BH49" s="3270">
        <f t="shared" ref="BH49:BH50" si="196">H49+AF49+AN49</f>
        <v>0</v>
      </c>
      <c r="BI49" s="4775"/>
      <c r="BJ49" s="4794">
        <f t="shared" si="46"/>
        <v>0</v>
      </c>
      <c r="BK49" s="4794">
        <f t="shared" si="47"/>
        <v>0</v>
      </c>
      <c r="BL49" s="4794">
        <f t="shared" si="48"/>
        <v>0</v>
      </c>
      <c r="BM49" s="4794">
        <f t="shared" si="49"/>
        <v>0</v>
      </c>
      <c r="BN49" s="4794">
        <f t="shared" si="50"/>
        <v>0</v>
      </c>
      <c r="BO49" s="4794">
        <f t="shared" si="51"/>
        <v>0</v>
      </c>
      <c r="BP49" s="4794">
        <f t="shared" si="52"/>
        <v>0</v>
      </c>
      <c r="BQ49" s="4794">
        <f t="shared" si="53"/>
        <v>0</v>
      </c>
      <c r="BR49" s="4794">
        <f t="shared" si="54"/>
        <v>0</v>
      </c>
      <c r="BS49" s="4794">
        <f t="shared" si="55"/>
        <v>0</v>
      </c>
      <c r="BT49" s="4794">
        <f t="shared" si="56"/>
        <v>0</v>
      </c>
      <c r="BU49" s="4794">
        <f t="shared" si="57"/>
        <v>0</v>
      </c>
      <c r="BV49" s="4794">
        <f t="shared" si="58"/>
        <v>0</v>
      </c>
      <c r="BW49" s="4794">
        <f t="shared" si="59"/>
        <v>0</v>
      </c>
      <c r="BX49" s="4794">
        <f t="shared" si="60"/>
        <v>0</v>
      </c>
      <c r="BY49" s="4794">
        <f t="shared" si="61"/>
        <v>31.188804752969329</v>
      </c>
      <c r="BZ49" s="4794">
        <f t="shared" si="62"/>
        <v>31.188804752969329</v>
      </c>
      <c r="CA49" s="4794">
        <f t="shared" si="63"/>
        <v>31.188804752969329</v>
      </c>
      <c r="CB49" s="4794">
        <f t="shared" si="64"/>
        <v>31.188804752969329</v>
      </c>
      <c r="CC49" s="4794">
        <f t="shared" si="65"/>
        <v>31.188804752969329</v>
      </c>
      <c r="CD49" s="4794">
        <f t="shared" si="66"/>
        <v>31.188804752969329</v>
      </c>
      <c r="CE49" s="4794">
        <f t="shared" si="67"/>
        <v>0</v>
      </c>
      <c r="CF49" s="4794">
        <f t="shared" si="68"/>
        <v>0</v>
      </c>
      <c r="CG49" s="4794">
        <f t="shared" si="69"/>
        <v>0</v>
      </c>
      <c r="CH49" s="4794">
        <f t="shared" si="70"/>
        <v>0</v>
      </c>
      <c r="CI49" s="4794">
        <f t="shared" si="71"/>
        <v>0</v>
      </c>
      <c r="CJ49" s="4794">
        <f t="shared" si="72"/>
        <v>0</v>
      </c>
      <c r="CK49" s="4794">
        <f t="shared" si="73"/>
        <v>0</v>
      </c>
      <c r="CL49" s="4794">
        <f t="shared" si="74"/>
        <v>0</v>
      </c>
      <c r="CM49" s="4794">
        <f t="shared" si="75"/>
        <v>0</v>
      </c>
      <c r="CN49" s="4794">
        <f t="shared" si="76"/>
        <v>0</v>
      </c>
      <c r="CO49" s="4794">
        <f t="shared" si="77"/>
        <v>0</v>
      </c>
      <c r="CP49" s="4794">
        <f t="shared" si="78"/>
        <v>0</v>
      </c>
      <c r="CQ49" s="4794">
        <f t="shared" si="79"/>
        <v>0</v>
      </c>
      <c r="CR49" s="4794">
        <f t="shared" si="80"/>
        <v>0</v>
      </c>
      <c r="CS49" s="4794">
        <f t="shared" si="81"/>
        <v>0</v>
      </c>
      <c r="CT49" s="4794">
        <f t="shared" si="82"/>
        <v>0</v>
      </c>
      <c r="CU49" s="4794">
        <f t="shared" si="83"/>
        <v>0</v>
      </c>
      <c r="CV49" s="4794">
        <f t="shared" si="84"/>
        <v>0</v>
      </c>
      <c r="CW49" s="4794">
        <f t="shared" si="85"/>
        <v>0</v>
      </c>
      <c r="CX49" s="4794">
        <f t="shared" si="86"/>
        <v>0</v>
      </c>
      <c r="CY49" s="4794">
        <f t="shared" si="87"/>
        <v>0</v>
      </c>
      <c r="CZ49" s="4794">
        <f t="shared" si="88"/>
        <v>31.188804752969329</v>
      </c>
      <c r="DA49" s="4794">
        <f t="shared" si="89"/>
        <v>31.188804752969329</v>
      </c>
      <c r="DB49" s="4794">
        <f t="shared" si="90"/>
        <v>31.188804752969329</v>
      </c>
      <c r="DC49" s="4794">
        <f t="shared" si="91"/>
        <v>31.188804752969329</v>
      </c>
      <c r="DD49" s="4794">
        <f t="shared" si="92"/>
        <v>31.188804752969329</v>
      </c>
      <c r="DE49" s="4794">
        <f t="shared" si="93"/>
        <v>0</v>
      </c>
      <c r="DF49" s="4794">
        <f t="shared" si="94"/>
        <v>0</v>
      </c>
      <c r="DG49" s="4794">
        <f t="shared" si="95"/>
        <v>0</v>
      </c>
      <c r="DH49" s="4794">
        <f t="shared" si="96"/>
        <v>0</v>
      </c>
      <c r="DI49" s="4794">
        <f t="shared" si="97"/>
        <v>0</v>
      </c>
      <c r="DJ49" s="4794">
        <f t="shared" si="98"/>
        <v>0</v>
      </c>
    </row>
    <row r="50" spans="1:114" ht="12.75">
      <c r="A50" s="854" t="s">
        <v>735</v>
      </c>
      <c r="B50" s="915" t="s">
        <v>734</v>
      </c>
      <c r="C50" s="3233"/>
      <c r="D50" s="3212"/>
      <c r="E50" s="2088"/>
      <c r="F50" s="2088"/>
      <c r="G50" s="2088"/>
      <c r="H50" s="2161"/>
      <c r="I50" s="3212"/>
      <c r="J50" s="3213"/>
      <c r="K50" s="3233"/>
      <c r="L50" s="3212"/>
      <c r="M50" s="2088"/>
      <c r="N50" s="2088"/>
      <c r="O50" s="2088"/>
      <c r="P50" s="3212"/>
      <c r="Q50" s="3905"/>
      <c r="R50" s="3214"/>
      <c r="S50" s="2816">
        <f>'7. Утайки от ПСОВ'!D29</f>
        <v>0</v>
      </c>
      <c r="T50" s="1162">
        <f>'7. Утайки от ПСОВ'!G29</f>
        <v>0</v>
      </c>
      <c r="U50" s="1152">
        <f>'7. Утайки от ПСОВ'!H29</f>
        <v>0</v>
      </c>
      <c r="V50" s="1152">
        <f>'7. Утайки от ПСОВ'!I29</f>
        <v>0</v>
      </c>
      <c r="W50" s="1152">
        <f>'7. Утайки от ПСОВ'!J29</f>
        <v>0</v>
      </c>
      <c r="X50" s="1162">
        <f>'7. Утайки от ПСОВ'!K29</f>
        <v>0</v>
      </c>
      <c r="Y50" s="323">
        <f t="shared" si="168"/>
        <v>0</v>
      </c>
      <c r="Z50" s="896">
        <f t="shared" si="169"/>
        <v>0</v>
      </c>
      <c r="AA50" s="3233"/>
      <c r="AB50" s="3212"/>
      <c r="AC50" s="2088"/>
      <c r="AD50" s="2088"/>
      <c r="AE50" s="2088"/>
      <c r="AF50" s="3212"/>
      <c r="AG50" s="3905"/>
      <c r="AH50" s="3306"/>
      <c r="AI50" s="3233"/>
      <c r="AJ50" s="3212"/>
      <c r="AK50" s="2088"/>
      <c r="AL50" s="2088"/>
      <c r="AM50" s="2088"/>
      <c r="AN50" s="3257"/>
      <c r="AO50" s="3905"/>
      <c r="AP50" s="3213"/>
      <c r="AQ50" s="3233"/>
      <c r="AR50" s="3212"/>
      <c r="AS50" s="2088"/>
      <c r="AT50" s="2088"/>
      <c r="AU50" s="2088"/>
      <c r="AV50" s="3257"/>
      <c r="AW50" s="1131">
        <f t="shared" si="185"/>
        <v>0</v>
      </c>
      <c r="AX50" s="3245">
        <f t="shared" si="186"/>
        <v>0</v>
      </c>
      <c r="AY50" s="3245">
        <f t="shared" si="187"/>
        <v>0</v>
      </c>
      <c r="AZ50" s="3245">
        <f t="shared" si="188"/>
        <v>0</v>
      </c>
      <c r="BA50" s="3245">
        <f t="shared" si="189"/>
        <v>0</v>
      </c>
      <c r="BB50" s="3246">
        <f t="shared" si="190"/>
        <v>0</v>
      </c>
      <c r="BC50" s="3266">
        <f t="shared" si="191"/>
        <v>0</v>
      </c>
      <c r="BD50" s="3267">
        <f t="shared" si="192"/>
        <v>0</v>
      </c>
      <c r="BE50" s="3268">
        <f t="shared" si="193"/>
        <v>0</v>
      </c>
      <c r="BF50" s="3268">
        <f t="shared" si="194"/>
        <v>0</v>
      </c>
      <c r="BG50" s="3268">
        <f t="shared" si="195"/>
        <v>0</v>
      </c>
      <c r="BH50" s="3270">
        <f t="shared" si="196"/>
        <v>0</v>
      </c>
      <c r="BI50" s="4775"/>
      <c r="BJ50" s="4794">
        <f t="shared" si="46"/>
        <v>0</v>
      </c>
      <c r="BK50" s="4794">
        <f t="shared" si="47"/>
        <v>0</v>
      </c>
      <c r="BL50" s="4794">
        <f t="shared" si="48"/>
        <v>0</v>
      </c>
      <c r="BM50" s="4794">
        <f t="shared" si="49"/>
        <v>0</v>
      </c>
      <c r="BN50" s="4794">
        <f t="shared" si="50"/>
        <v>0</v>
      </c>
      <c r="BO50" s="4794">
        <f t="shared" si="51"/>
        <v>0</v>
      </c>
      <c r="BP50" s="4794">
        <f t="shared" si="52"/>
        <v>0</v>
      </c>
      <c r="BQ50" s="4794">
        <f t="shared" si="53"/>
        <v>0</v>
      </c>
      <c r="BR50" s="4794">
        <f t="shared" si="54"/>
        <v>0</v>
      </c>
      <c r="BS50" s="4794">
        <f t="shared" si="55"/>
        <v>0</v>
      </c>
      <c r="BT50" s="4794">
        <f t="shared" si="56"/>
        <v>0</v>
      </c>
      <c r="BU50" s="4794">
        <f t="shared" si="57"/>
        <v>0</v>
      </c>
      <c r="BV50" s="4794">
        <f t="shared" si="58"/>
        <v>0</v>
      </c>
      <c r="BW50" s="4794">
        <f t="shared" si="59"/>
        <v>0</v>
      </c>
      <c r="BX50" s="4794">
        <f t="shared" si="60"/>
        <v>0</v>
      </c>
      <c r="BY50" s="4794">
        <f t="shared" si="61"/>
        <v>0</v>
      </c>
      <c r="BZ50" s="4794">
        <f t="shared" si="62"/>
        <v>0</v>
      </c>
      <c r="CA50" s="4794">
        <f t="shared" si="63"/>
        <v>0</v>
      </c>
      <c r="CB50" s="4794">
        <f t="shared" si="64"/>
        <v>0</v>
      </c>
      <c r="CC50" s="4794">
        <f t="shared" si="65"/>
        <v>0</v>
      </c>
      <c r="CD50" s="4794">
        <f t="shared" si="66"/>
        <v>0</v>
      </c>
      <c r="CE50" s="4794">
        <f t="shared" si="67"/>
        <v>0</v>
      </c>
      <c r="CF50" s="4794">
        <f t="shared" si="68"/>
        <v>0</v>
      </c>
      <c r="CG50" s="4794">
        <f t="shared" si="69"/>
        <v>0</v>
      </c>
      <c r="CH50" s="4794">
        <f t="shared" si="70"/>
        <v>0</v>
      </c>
      <c r="CI50" s="4794">
        <f t="shared" si="71"/>
        <v>0</v>
      </c>
      <c r="CJ50" s="4794">
        <f t="shared" si="72"/>
        <v>0</v>
      </c>
      <c r="CK50" s="4794">
        <f t="shared" si="73"/>
        <v>0</v>
      </c>
      <c r="CL50" s="4794">
        <f t="shared" si="74"/>
        <v>0</v>
      </c>
      <c r="CM50" s="4794">
        <f t="shared" si="75"/>
        <v>0</v>
      </c>
      <c r="CN50" s="4794">
        <f t="shared" si="76"/>
        <v>0</v>
      </c>
      <c r="CO50" s="4794">
        <f t="shared" si="77"/>
        <v>0</v>
      </c>
      <c r="CP50" s="4794">
        <f t="shared" si="78"/>
        <v>0</v>
      </c>
      <c r="CQ50" s="4794">
        <f t="shared" si="79"/>
        <v>0</v>
      </c>
      <c r="CR50" s="4794">
        <f t="shared" si="80"/>
        <v>0</v>
      </c>
      <c r="CS50" s="4794">
        <f t="shared" si="81"/>
        <v>0</v>
      </c>
      <c r="CT50" s="4794">
        <f t="shared" si="82"/>
        <v>0</v>
      </c>
      <c r="CU50" s="4794">
        <f t="shared" si="83"/>
        <v>0</v>
      </c>
      <c r="CV50" s="4794">
        <f t="shared" si="84"/>
        <v>0</v>
      </c>
      <c r="CW50" s="4794">
        <f t="shared" si="85"/>
        <v>0</v>
      </c>
      <c r="CX50" s="4794">
        <f t="shared" si="86"/>
        <v>0</v>
      </c>
      <c r="CY50" s="4794">
        <f t="shared" si="87"/>
        <v>0</v>
      </c>
      <c r="CZ50" s="4794">
        <f t="shared" si="88"/>
        <v>0</v>
      </c>
      <c r="DA50" s="4794">
        <f t="shared" si="89"/>
        <v>0</v>
      </c>
      <c r="DB50" s="4794">
        <f t="shared" si="90"/>
        <v>0</v>
      </c>
      <c r="DC50" s="4794">
        <f t="shared" si="91"/>
        <v>0</v>
      </c>
      <c r="DD50" s="4794">
        <f t="shared" si="92"/>
        <v>0</v>
      </c>
      <c r="DE50" s="4794">
        <f t="shared" si="93"/>
        <v>0</v>
      </c>
      <c r="DF50" s="4794">
        <f t="shared" si="94"/>
        <v>0</v>
      </c>
      <c r="DG50" s="4794">
        <f t="shared" si="95"/>
        <v>0</v>
      </c>
      <c r="DH50" s="4794">
        <f t="shared" si="96"/>
        <v>0</v>
      </c>
      <c r="DI50" s="4794">
        <f t="shared" si="97"/>
        <v>0</v>
      </c>
      <c r="DJ50" s="4794">
        <f t="shared" si="98"/>
        <v>0</v>
      </c>
    </row>
    <row r="51" spans="1:114" ht="12.75">
      <c r="A51" s="854" t="s">
        <v>1226</v>
      </c>
      <c r="B51" s="915" t="s">
        <v>445</v>
      </c>
      <c r="C51" s="1205">
        <f>SUM(C52:C54)</f>
        <v>19</v>
      </c>
      <c r="D51" s="1149">
        <f t="shared" ref="D51:BB51" si="197">SUM(D52:D54)</f>
        <v>19</v>
      </c>
      <c r="E51" s="1150">
        <f t="shared" si="197"/>
        <v>19</v>
      </c>
      <c r="F51" s="1150">
        <f t="shared" si="197"/>
        <v>19</v>
      </c>
      <c r="G51" s="1150">
        <f t="shared" si="197"/>
        <v>19</v>
      </c>
      <c r="H51" s="3235">
        <f t="shared" si="197"/>
        <v>19</v>
      </c>
      <c r="I51" s="1266">
        <f t="shared" ref="I51:I73" si="198">D51-C51</f>
        <v>0</v>
      </c>
      <c r="J51" s="837">
        <f t="shared" ref="J51:J73" si="199">IFERROR((D51-C51)/C51,0)</f>
        <v>0</v>
      </c>
      <c r="K51" s="1205">
        <f t="shared" si="197"/>
        <v>22</v>
      </c>
      <c r="L51" s="1149">
        <f t="shared" si="197"/>
        <v>22</v>
      </c>
      <c r="M51" s="1150">
        <f t="shared" si="197"/>
        <v>22</v>
      </c>
      <c r="N51" s="1150">
        <f t="shared" si="197"/>
        <v>22</v>
      </c>
      <c r="O51" s="1150">
        <f t="shared" si="197"/>
        <v>22</v>
      </c>
      <c r="P51" s="3235">
        <f t="shared" si="197"/>
        <v>22</v>
      </c>
      <c r="Q51" s="1266">
        <f t="shared" ref="Q51:Q72" si="200">L51-K51</f>
        <v>0</v>
      </c>
      <c r="R51" s="895">
        <f t="shared" ref="R51:R72" si="201">IFERROR((L51-K51)/K51,0)</f>
        <v>0</v>
      </c>
      <c r="S51" s="1204">
        <f t="shared" si="197"/>
        <v>65</v>
      </c>
      <c r="T51" s="1153">
        <f t="shared" si="197"/>
        <v>65</v>
      </c>
      <c r="U51" s="1154">
        <f t="shared" si="197"/>
        <v>65</v>
      </c>
      <c r="V51" s="1154">
        <f t="shared" si="197"/>
        <v>65</v>
      </c>
      <c r="W51" s="1154">
        <f t="shared" si="197"/>
        <v>65</v>
      </c>
      <c r="X51" s="1168">
        <f t="shared" si="197"/>
        <v>65</v>
      </c>
      <c r="Y51" s="1266">
        <f t="shared" si="168"/>
        <v>0</v>
      </c>
      <c r="Z51" s="895">
        <f t="shared" si="169"/>
        <v>0</v>
      </c>
      <c r="AA51" s="1204">
        <f>SUM(AA52:AA54)</f>
        <v>0</v>
      </c>
      <c r="AB51" s="1153">
        <f t="shared" ref="AB51:AN51" si="202">SUM(AB52:AB54)</f>
        <v>0</v>
      </c>
      <c r="AC51" s="1154">
        <f t="shared" si="202"/>
        <v>0</v>
      </c>
      <c r="AD51" s="1154">
        <f t="shared" si="202"/>
        <v>0</v>
      </c>
      <c r="AE51" s="1154">
        <f t="shared" si="202"/>
        <v>0</v>
      </c>
      <c r="AF51" s="1168">
        <f t="shared" si="202"/>
        <v>0</v>
      </c>
      <c r="AG51" s="1266">
        <f t="shared" ref="AG51:AG71" si="203">AB51-AA51</f>
        <v>0</v>
      </c>
      <c r="AH51" s="837">
        <f t="shared" ref="AH51:AH71" si="204">IFERROR((AB51-AA51)/AA51,0)</f>
        <v>0</v>
      </c>
      <c r="AI51" s="1204">
        <f t="shared" si="202"/>
        <v>0</v>
      </c>
      <c r="AJ51" s="1153">
        <f t="shared" si="202"/>
        <v>0</v>
      </c>
      <c r="AK51" s="1154">
        <f t="shared" si="202"/>
        <v>0</v>
      </c>
      <c r="AL51" s="1154">
        <f t="shared" si="202"/>
        <v>0</v>
      </c>
      <c r="AM51" s="1154">
        <f t="shared" si="202"/>
        <v>0</v>
      </c>
      <c r="AN51" s="3256">
        <f t="shared" si="202"/>
        <v>0</v>
      </c>
      <c r="AO51" s="1266">
        <f t="shared" ref="AO51:AO71" si="205">AJ51-AI51</f>
        <v>0</v>
      </c>
      <c r="AP51" s="837">
        <f t="shared" ref="AP51:AP71" si="206">IFERROR((AJ51-AI51)/AI51,0)</f>
        <v>0</v>
      </c>
      <c r="AQ51" s="1205">
        <f t="shared" si="197"/>
        <v>0</v>
      </c>
      <c r="AR51" s="1149">
        <f t="shared" si="197"/>
        <v>0</v>
      </c>
      <c r="AS51" s="1150">
        <f t="shared" si="197"/>
        <v>0</v>
      </c>
      <c r="AT51" s="1150">
        <f t="shared" si="197"/>
        <v>0</v>
      </c>
      <c r="AU51" s="1150">
        <f t="shared" si="197"/>
        <v>0</v>
      </c>
      <c r="AV51" s="3275">
        <f t="shared" si="197"/>
        <v>0</v>
      </c>
      <c r="AW51" s="1204">
        <f t="shared" si="197"/>
        <v>106</v>
      </c>
      <c r="AX51" s="1153">
        <f t="shared" si="197"/>
        <v>106</v>
      </c>
      <c r="AY51" s="1154">
        <f t="shared" si="197"/>
        <v>106</v>
      </c>
      <c r="AZ51" s="1154">
        <f t="shared" si="197"/>
        <v>106</v>
      </c>
      <c r="BA51" s="1154">
        <f t="shared" si="197"/>
        <v>106</v>
      </c>
      <c r="BB51" s="3256">
        <f t="shared" si="197"/>
        <v>106</v>
      </c>
      <c r="BC51" s="1204">
        <f t="shared" ref="BC51:BH51" si="207">SUM(BC52:BC54)</f>
        <v>19</v>
      </c>
      <c r="BD51" s="1153">
        <f t="shared" si="207"/>
        <v>19</v>
      </c>
      <c r="BE51" s="1154">
        <f t="shared" si="207"/>
        <v>19</v>
      </c>
      <c r="BF51" s="1154">
        <f t="shared" si="207"/>
        <v>19</v>
      </c>
      <c r="BG51" s="1154">
        <f t="shared" si="207"/>
        <v>19</v>
      </c>
      <c r="BH51" s="3256">
        <f t="shared" si="207"/>
        <v>19</v>
      </c>
      <c r="BI51" s="4775"/>
      <c r="BJ51" s="4794">
        <f t="shared" si="46"/>
        <v>9.7145457427281521</v>
      </c>
      <c r="BK51" s="4794">
        <f t="shared" si="47"/>
        <v>9.7145457427281521</v>
      </c>
      <c r="BL51" s="4794">
        <f t="shared" si="48"/>
        <v>9.7145457427281521</v>
      </c>
      <c r="BM51" s="4794">
        <f t="shared" si="49"/>
        <v>9.7145457427281521</v>
      </c>
      <c r="BN51" s="4794">
        <f t="shared" si="50"/>
        <v>9.7145457427281521</v>
      </c>
      <c r="BO51" s="4794">
        <f t="shared" si="51"/>
        <v>9.7145457427281521</v>
      </c>
      <c r="BP51" s="4794">
        <f t="shared" si="52"/>
        <v>0</v>
      </c>
      <c r="BQ51" s="4794">
        <f t="shared" si="53"/>
        <v>11.248421386316807</v>
      </c>
      <c r="BR51" s="4794">
        <f t="shared" si="54"/>
        <v>11.248421386316807</v>
      </c>
      <c r="BS51" s="4794">
        <f t="shared" si="55"/>
        <v>11.248421386316807</v>
      </c>
      <c r="BT51" s="4794">
        <f t="shared" si="56"/>
        <v>11.248421386316807</v>
      </c>
      <c r="BU51" s="4794">
        <f t="shared" si="57"/>
        <v>11.248421386316807</v>
      </c>
      <c r="BV51" s="4794">
        <f t="shared" si="58"/>
        <v>11.248421386316807</v>
      </c>
      <c r="BW51" s="4794">
        <f t="shared" si="59"/>
        <v>0</v>
      </c>
      <c r="BX51" s="4794">
        <f t="shared" si="60"/>
        <v>33.233972277754205</v>
      </c>
      <c r="BY51" s="4794">
        <f t="shared" si="61"/>
        <v>33.233972277754205</v>
      </c>
      <c r="BZ51" s="4794">
        <f t="shared" si="62"/>
        <v>33.233972277754205</v>
      </c>
      <c r="CA51" s="4794">
        <f t="shared" si="63"/>
        <v>33.233972277754205</v>
      </c>
      <c r="CB51" s="4794">
        <f t="shared" si="64"/>
        <v>33.233972277754205</v>
      </c>
      <c r="CC51" s="4794">
        <f t="shared" si="65"/>
        <v>33.233972277754205</v>
      </c>
      <c r="CD51" s="4794">
        <f t="shared" si="66"/>
        <v>0</v>
      </c>
      <c r="CE51" s="4794">
        <f t="shared" si="67"/>
        <v>0</v>
      </c>
      <c r="CF51" s="4794">
        <f t="shared" si="68"/>
        <v>0</v>
      </c>
      <c r="CG51" s="4794">
        <f t="shared" si="69"/>
        <v>0</v>
      </c>
      <c r="CH51" s="4794">
        <f t="shared" si="70"/>
        <v>0</v>
      </c>
      <c r="CI51" s="4794">
        <f t="shared" si="71"/>
        <v>0</v>
      </c>
      <c r="CJ51" s="4794">
        <f t="shared" si="72"/>
        <v>0</v>
      </c>
      <c r="CK51" s="4794">
        <f t="shared" si="73"/>
        <v>0</v>
      </c>
      <c r="CL51" s="4794">
        <f t="shared" si="74"/>
        <v>0</v>
      </c>
      <c r="CM51" s="4794">
        <f t="shared" si="75"/>
        <v>0</v>
      </c>
      <c r="CN51" s="4794">
        <f t="shared" si="76"/>
        <v>0</v>
      </c>
      <c r="CO51" s="4794">
        <f t="shared" si="77"/>
        <v>0</v>
      </c>
      <c r="CP51" s="4794">
        <f t="shared" si="78"/>
        <v>0</v>
      </c>
      <c r="CQ51" s="4794">
        <f t="shared" si="79"/>
        <v>0</v>
      </c>
      <c r="CR51" s="4794">
        <f t="shared" si="80"/>
        <v>0</v>
      </c>
      <c r="CS51" s="4794">
        <f t="shared" si="81"/>
        <v>0</v>
      </c>
      <c r="CT51" s="4794">
        <f t="shared" si="82"/>
        <v>0</v>
      </c>
      <c r="CU51" s="4794">
        <f t="shared" si="83"/>
        <v>0</v>
      </c>
      <c r="CV51" s="4794">
        <f t="shared" si="84"/>
        <v>0</v>
      </c>
      <c r="CW51" s="4794">
        <f t="shared" si="85"/>
        <v>0</v>
      </c>
      <c r="CX51" s="4794">
        <f t="shared" si="86"/>
        <v>0</v>
      </c>
      <c r="CY51" s="4794">
        <f t="shared" si="87"/>
        <v>54.19693940679916</v>
      </c>
      <c r="CZ51" s="4794">
        <f t="shared" si="88"/>
        <v>54.19693940679916</v>
      </c>
      <c r="DA51" s="4794">
        <f t="shared" si="89"/>
        <v>54.19693940679916</v>
      </c>
      <c r="DB51" s="4794">
        <f t="shared" si="90"/>
        <v>54.19693940679916</v>
      </c>
      <c r="DC51" s="4794">
        <f t="shared" si="91"/>
        <v>54.19693940679916</v>
      </c>
      <c r="DD51" s="4794">
        <f t="shared" si="92"/>
        <v>54.19693940679916</v>
      </c>
      <c r="DE51" s="4794">
        <f t="shared" si="93"/>
        <v>9.7145457427281521</v>
      </c>
      <c r="DF51" s="4794">
        <f t="shared" si="94"/>
        <v>9.7145457427281521</v>
      </c>
      <c r="DG51" s="4794">
        <f t="shared" si="95"/>
        <v>9.7145457427281521</v>
      </c>
      <c r="DH51" s="4794">
        <f t="shared" si="96"/>
        <v>9.7145457427281521</v>
      </c>
      <c r="DI51" s="4794">
        <f t="shared" si="97"/>
        <v>9.7145457427281521</v>
      </c>
      <c r="DJ51" s="4794">
        <f t="shared" si="98"/>
        <v>9.7145457427281521</v>
      </c>
    </row>
    <row r="52" spans="1:114" s="690" customFormat="1" ht="12.75">
      <c r="A52" s="855" t="s">
        <v>1227</v>
      </c>
      <c r="B52" s="417"/>
      <c r="C52" s="3225">
        <v>13</v>
      </c>
      <c r="D52" s="3226">
        <v>13</v>
      </c>
      <c r="E52" s="3226">
        <v>13</v>
      </c>
      <c r="F52" s="3226">
        <v>13</v>
      </c>
      <c r="G52" s="3226">
        <v>13</v>
      </c>
      <c r="H52" s="3227">
        <v>13</v>
      </c>
      <c r="I52" s="1270">
        <f t="shared" si="198"/>
        <v>0</v>
      </c>
      <c r="J52" s="842">
        <f t="shared" si="199"/>
        <v>0</v>
      </c>
      <c r="K52" s="3225">
        <v>1</v>
      </c>
      <c r="L52" s="3226">
        <v>1</v>
      </c>
      <c r="M52" s="3226">
        <v>1</v>
      </c>
      <c r="N52" s="3226">
        <v>1</v>
      </c>
      <c r="O52" s="3226">
        <v>1</v>
      </c>
      <c r="P52" s="3227">
        <v>1</v>
      </c>
      <c r="Q52" s="1270">
        <f t="shared" si="200"/>
        <v>0</v>
      </c>
      <c r="R52" s="1140">
        <f t="shared" si="201"/>
        <v>0</v>
      </c>
      <c r="S52" s="3225">
        <v>59</v>
      </c>
      <c r="T52" s="3226">
        <v>59</v>
      </c>
      <c r="U52" s="3226">
        <v>59</v>
      </c>
      <c r="V52" s="3226">
        <v>59</v>
      </c>
      <c r="W52" s="3226">
        <v>59</v>
      </c>
      <c r="X52" s="3227">
        <v>59</v>
      </c>
      <c r="Y52" s="1270">
        <f t="shared" si="168"/>
        <v>0</v>
      </c>
      <c r="Z52" s="1140">
        <f t="shared" si="169"/>
        <v>0</v>
      </c>
      <c r="AA52" s="3225"/>
      <c r="AB52" s="3226"/>
      <c r="AC52" s="3226"/>
      <c r="AD52" s="3226"/>
      <c r="AE52" s="3226"/>
      <c r="AF52" s="3227"/>
      <c r="AG52" s="1270">
        <f t="shared" si="203"/>
        <v>0</v>
      </c>
      <c r="AH52" s="842">
        <f t="shared" si="204"/>
        <v>0</v>
      </c>
      <c r="AI52" s="3225"/>
      <c r="AJ52" s="3226"/>
      <c r="AK52" s="3226"/>
      <c r="AL52" s="3226"/>
      <c r="AM52" s="3226"/>
      <c r="AN52" s="3255"/>
      <c r="AO52" s="1270">
        <f t="shared" si="205"/>
        <v>0</v>
      </c>
      <c r="AP52" s="842">
        <f t="shared" si="206"/>
        <v>0</v>
      </c>
      <c r="AQ52" s="3225"/>
      <c r="AR52" s="3226"/>
      <c r="AS52" s="3226"/>
      <c r="AT52" s="3226"/>
      <c r="AU52" s="3226"/>
      <c r="AV52" s="3255"/>
      <c r="AW52" s="1131">
        <f t="shared" ref="AW52:AW54" si="208">C52+K52+S52+AA52+AI52</f>
        <v>73</v>
      </c>
      <c r="AX52" s="3245">
        <f t="shared" ref="AX52:AX54" si="209">D52+L52+T52+AB52+AJ52</f>
        <v>73</v>
      </c>
      <c r="AY52" s="3245">
        <f t="shared" ref="AY52:AY54" si="210">E52+M52+U52+AC52+AK52</f>
        <v>73</v>
      </c>
      <c r="AZ52" s="3245">
        <f t="shared" ref="AZ52:AZ54" si="211">F52+N52+V52+AD52+AL52</f>
        <v>73</v>
      </c>
      <c r="BA52" s="3245">
        <f t="shared" ref="BA52:BA54" si="212">G52+O52+W52+AE52+AM52</f>
        <v>73</v>
      </c>
      <c r="BB52" s="3246">
        <f t="shared" ref="BB52:BB54" si="213">H52+P52+X52+AF52+AN52</f>
        <v>73</v>
      </c>
      <c r="BC52" s="3266">
        <f t="shared" ref="BC52:BC54" si="214">C52+AA52+AI52</f>
        <v>13</v>
      </c>
      <c r="BD52" s="3267">
        <f t="shared" ref="BD52:BD54" si="215">D52+AB52+AJ52</f>
        <v>13</v>
      </c>
      <c r="BE52" s="3268">
        <f t="shared" ref="BE52:BE54" si="216">E52+AC52+AK52</f>
        <v>13</v>
      </c>
      <c r="BF52" s="3268">
        <f t="shared" ref="BF52:BF54" si="217">F52+AD52+AL52</f>
        <v>13</v>
      </c>
      <c r="BG52" s="3268">
        <f t="shared" ref="BG52:BG54" si="218">G52+AE52+AM52</f>
        <v>13</v>
      </c>
      <c r="BH52" s="3270">
        <f t="shared" ref="BH52:BH54" si="219">H52+AF52+AN52</f>
        <v>13</v>
      </c>
      <c r="BI52" s="4775"/>
      <c r="BJ52" s="4794">
        <f t="shared" si="46"/>
        <v>6.6467944555508405</v>
      </c>
      <c r="BK52" s="4794">
        <f t="shared" si="47"/>
        <v>6.6467944555508405</v>
      </c>
      <c r="BL52" s="4794">
        <f t="shared" si="48"/>
        <v>6.6467944555508405</v>
      </c>
      <c r="BM52" s="4794">
        <f t="shared" si="49"/>
        <v>6.6467944555508405</v>
      </c>
      <c r="BN52" s="4794">
        <f t="shared" si="50"/>
        <v>6.6467944555508405</v>
      </c>
      <c r="BO52" s="4794">
        <f t="shared" si="51"/>
        <v>6.6467944555508405</v>
      </c>
      <c r="BP52" s="4794">
        <f t="shared" si="52"/>
        <v>0</v>
      </c>
      <c r="BQ52" s="4794">
        <f t="shared" si="53"/>
        <v>0.51129188119621849</v>
      </c>
      <c r="BR52" s="4794">
        <f t="shared" si="54"/>
        <v>0.51129188119621849</v>
      </c>
      <c r="BS52" s="4794">
        <f t="shared" si="55"/>
        <v>0.51129188119621849</v>
      </c>
      <c r="BT52" s="4794">
        <f t="shared" si="56"/>
        <v>0.51129188119621849</v>
      </c>
      <c r="BU52" s="4794">
        <f t="shared" si="57"/>
        <v>0.51129188119621849</v>
      </c>
      <c r="BV52" s="4794">
        <f t="shared" si="58"/>
        <v>0.51129188119621849</v>
      </c>
      <c r="BW52" s="4794">
        <f t="shared" si="59"/>
        <v>0</v>
      </c>
      <c r="BX52" s="4794">
        <f t="shared" si="60"/>
        <v>30.166220990576893</v>
      </c>
      <c r="BY52" s="4794">
        <f t="shared" si="61"/>
        <v>30.166220990576893</v>
      </c>
      <c r="BZ52" s="4794">
        <f t="shared" si="62"/>
        <v>30.166220990576893</v>
      </c>
      <c r="CA52" s="4794">
        <f t="shared" si="63"/>
        <v>30.166220990576893</v>
      </c>
      <c r="CB52" s="4794">
        <f t="shared" si="64"/>
        <v>30.166220990576893</v>
      </c>
      <c r="CC52" s="4794">
        <f t="shared" si="65"/>
        <v>30.166220990576893</v>
      </c>
      <c r="CD52" s="4794">
        <f t="shared" si="66"/>
        <v>0</v>
      </c>
      <c r="CE52" s="4794">
        <f t="shared" si="67"/>
        <v>0</v>
      </c>
      <c r="CF52" s="4794">
        <f t="shared" si="68"/>
        <v>0</v>
      </c>
      <c r="CG52" s="4794">
        <f t="shared" si="69"/>
        <v>0</v>
      </c>
      <c r="CH52" s="4794">
        <f t="shared" si="70"/>
        <v>0</v>
      </c>
      <c r="CI52" s="4794">
        <f t="shared" si="71"/>
        <v>0</v>
      </c>
      <c r="CJ52" s="4794">
        <f t="shared" si="72"/>
        <v>0</v>
      </c>
      <c r="CK52" s="4794">
        <f t="shared" si="73"/>
        <v>0</v>
      </c>
      <c r="CL52" s="4794">
        <f t="shared" si="74"/>
        <v>0</v>
      </c>
      <c r="CM52" s="4794">
        <f t="shared" si="75"/>
        <v>0</v>
      </c>
      <c r="CN52" s="4794">
        <f t="shared" si="76"/>
        <v>0</v>
      </c>
      <c r="CO52" s="4794">
        <f t="shared" si="77"/>
        <v>0</v>
      </c>
      <c r="CP52" s="4794">
        <f t="shared" si="78"/>
        <v>0</v>
      </c>
      <c r="CQ52" s="4794">
        <f t="shared" si="79"/>
        <v>0</v>
      </c>
      <c r="CR52" s="4794">
        <f t="shared" si="80"/>
        <v>0</v>
      </c>
      <c r="CS52" s="4794">
        <f t="shared" si="81"/>
        <v>0</v>
      </c>
      <c r="CT52" s="4794">
        <f t="shared" si="82"/>
        <v>0</v>
      </c>
      <c r="CU52" s="4794">
        <f t="shared" si="83"/>
        <v>0</v>
      </c>
      <c r="CV52" s="4794">
        <f t="shared" si="84"/>
        <v>0</v>
      </c>
      <c r="CW52" s="4794">
        <f t="shared" si="85"/>
        <v>0</v>
      </c>
      <c r="CX52" s="4794">
        <f t="shared" si="86"/>
        <v>0</v>
      </c>
      <c r="CY52" s="4794">
        <f t="shared" si="87"/>
        <v>37.32430732732395</v>
      </c>
      <c r="CZ52" s="4794">
        <f t="shared" si="88"/>
        <v>37.32430732732395</v>
      </c>
      <c r="DA52" s="4794">
        <f t="shared" si="89"/>
        <v>37.32430732732395</v>
      </c>
      <c r="DB52" s="4794">
        <f t="shared" si="90"/>
        <v>37.32430732732395</v>
      </c>
      <c r="DC52" s="4794">
        <f t="shared" si="91"/>
        <v>37.32430732732395</v>
      </c>
      <c r="DD52" s="4794">
        <f t="shared" si="92"/>
        <v>37.32430732732395</v>
      </c>
      <c r="DE52" s="4794">
        <f t="shared" si="93"/>
        <v>6.6467944555508405</v>
      </c>
      <c r="DF52" s="4794">
        <f t="shared" si="94"/>
        <v>6.6467944555508405</v>
      </c>
      <c r="DG52" s="4794">
        <f t="shared" si="95"/>
        <v>6.6467944555508405</v>
      </c>
      <c r="DH52" s="4794">
        <f t="shared" si="96"/>
        <v>6.6467944555508405</v>
      </c>
      <c r="DI52" s="4794">
        <f t="shared" si="97"/>
        <v>6.6467944555508405</v>
      </c>
      <c r="DJ52" s="4794">
        <f t="shared" si="98"/>
        <v>6.6467944555508405</v>
      </c>
    </row>
    <row r="53" spans="1:114" s="690" customFormat="1" ht="12.75">
      <c r="A53" s="857" t="s">
        <v>1228</v>
      </c>
      <c r="B53" s="417"/>
      <c r="C53" s="3225">
        <v>2</v>
      </c>
      <c r="D53" s="3226">
        <v>2</v>
      </c>
      <c r="E53" s="3226">
        <v>2</v>
      </c>
      <c r="F53" s="3226">
        <v>2</v>
      </c>
      <c r="G53" s="3226">
        <v>2</v>
      </c>
      <c r="H53" s="3227">
        <v>2</v>
      </c>
      <c r="I53" s="1270">
        <f t="shared" si="198"/>
        <v>0</v>
      </c>
      <c r="J53" s="842">
        <f t="shared" si="199"/>
        <v>0</v>
      </c>
      <c r="K53" s="3225">
        <v>20</v>
      </c>
      <c r="L53" s="3226">
        <v>20</v>
      </c>
      <c r="M53" s="3226">
        <v>20</v>
      </c>
      <c r="N53" s="3226">
        <v>20</v>
      </c>
      <c r="O53" s="3226">
        <v>20</v>
      </c>
      <c r="P53" s="3227">
        <v>20</v>
      </c>
      <c r="Q53" s="1270">
        <f t="shared" si="200"/>
        <v>0</v>
      </c>
      <c r="R53" s="1140">
        <f t="shared" si="201"/>
        <v>0</v>
      </c>
      <c r="S53" s="3225"/>
      <c r="T53" s="3226"/>
      <c r="U53" s="3226"/>
      <c r="V53" s="3226"/>
      <c r="W53" s="3226"/>
      <c r="X53" s="3227"/>
      <c r="Y53" s="1270">
        <f t="shared" si="168"/>
        <v>0</v>
      </c>
      <c r="Z53" s="1140">
        <f t="shared" si="169"/>
        <v>0</v>
      </c>
      <c r="AA53" s="3225"/>
      <c r="AB53" s="3226"/>
      <c r="AC53" s="3226"/>
      <c r="AD53" s="3226"/>
      <c r="AE53" s="3226"/>
      <c r="AF53" s="3227"/>
      <c r="AG53" s="1270">
        <f t="shared" si="203"/>
        <v>0</v>
      </c>
      <c r="AH53" s="842">
        <f t="shared" si="204"/>
        <v>0</v>
      </c>
      <c r="AI53" s="3225"/>
      <c r="AJ53" s="3226"/>
      <c r="AK53" s="3226"/>
      <c r="AL53" s="3226"/>
      <c r="AM53" s="3226"/>
      <c r="AN53" s="3255"/>
      <c r="AO53" s="1270">
        <f t="shared" si="205"/>
        <v>0</v>
      </c>
      <c r="AP53" s="842">
        <f t="shared" si="206"/>
        <v>0</v>
      </c>
      <c r="AQ53" s="3225"/>
      <c r="AR53" s="3226"/>
      <c r="AS53" s="3226"/>
      <c r="AT53" s="3226"/>
      <c r="AU53" s="3226"/>
      <c r="AV53" s="3255"/>
      <c r="AW53" s="1131">
        <f t="shared" si="208"/>
        <v>22</v>
      </c>
      <c r="AX53" s="3245">
        <f t="shared" si="209"/>
        <v>22</v>
      </c>
      <c r="AY53" s="3245">
        <f t="shared" si="210"/>
        <v>22</v>
      </c>
      <c r="AZ53" s="3245">
        <f t="shared" si="211"/>
        <v>22</v>
      </c>
      <c r="BA53" s="3245">
        <f t="shared" si="212"/>
        <v>22</v>
      </c>
      <c r="BB53" s="3246">
        <f t="shared" si="213"/>
        <v>22</v>
      </c>
      <c r="BC53" s="3266">
        <f t="shared" si="214"/>
        <v>2</v>
      </c>
      <c r="BD53" s="3267">
        <f t="shared" si="215"/>
        <v>2</v>
      </c>
      <c r="BE53" s="3268">
        <f t="shared" si="216"/>
        <v>2</v>
      </c>
      <c r="BF53" s="3268">
        <f t="shared" si="217"/>
        <v>2</v>
      </c>
      <c r="BG53" s="3268">
        <f t="shared" si="218"/>
        <v>2</v>
      </c>
      <c r="BH53" s="3270">
        <f t="shared" si="219"/>
        <v>2</v>
      </c>
      <c r="BI53" s="4775"/>
      <c r="BJ53" s="4794">
        <f t="shared" si="46"/>
        <v>1.022583762392437</v>
      </c>
      <c r="BK53" s="4794">
        <f t="shared" si="47"/>
        <v>1.022583762392437</v>
      </c>
      <c r="BL53" s="4794">
        <f t="shared" si="48"/>
        <v>1.022583762392437</v>
      </c>
      <c r="BM53" s="4794">
        <f t="shared" si="49"/>
        <v>1.022583762392437</v>
      </c>
      <c r="BN53" s="4794">
        <f t="shared" si="50"/>
        <v>1.022583762392437</v>
      </c>
      <c r="BO53" s="4794">
        <f t="shared" si="51"/>
        <v>1.022583762392437</v>
      </c>
      <c r="BP53" s="4794">
        <f t="shared" si="52"/>
        <v>0</v>
      </c>
      <c r="BQ53" s="4794">
        <f t="shared" si="53"/>
        <v>10.22583762392437</v>
      </c>
      <c r="BR53" s="4794">
        <f t="shared" si="54"/>
        <v>10.22583762392437</v>
      </c>
      <c r="BS53" s="4794">
        <f t="shared" si="55"/>
        <v>10.22583762392437</v>
      </c>
      <c r="BT53" s="4794">
        <f t="shared" si="56"/>
        <v>10.22583762392437</v>
      </c>
      <c r="BU53" s="4794">
        <f t="shared" si="57"/>
        <v>10.22583762392437</v>
      </c>
      <c r="BV53" s="4794">
        <f t="shared" si="58"/>
        <v>10.22583762392437</v>
      </c>
      <c r="BW53" s="4794">
        <f t="shared" si="59"/>
        <v>0</v>
      </c>
      <c r="BX53" s="4794">
        <f t="shared" si="60"/>
        <v>0</v>
      </c>
      <c r="BY53" s="4794">
        <f t="shared" si="61"/>
        <v>0</v>
      </c>
      <c r="BZ53" s="4794">
        <f t="shared" si="62"/>
        <v>0</v>
      </c>
      <c r="CA53" s="4794">
        <f t="shared" si="63"/>
        <v>0</v>
      </c>
      <c r="CB53" s="4794">
        <f t="shared" si="64"/>
        <v>0</v>
      </c>
      <c r="CC53" s="4794">
        <f t="shared" si="65"/>
        <v>0</v>
      </c>
      <c r="CD53" s="4794">
        <f t="shared" si="66"/>
        <v>0</v>
      </c>
      <c r="CE53" s="4794">
        <f t="shared" si="67"/>
        <v>0</v>
      </c>
      <c r="CF53" s="4794">
        <f t="shared" si="68"/>
        <v>0</v>
      </c>
      <c r="CG53" s="4794">
        <f t="shared" si="69"/>
        <v>0</v>
      </c>
      <c r="CH53" s="4794">
        <f t="shared" si="70"/>
        <v>0</v>
      </c>
      <c r="CI53" s="4794">
        <f t="shared" si="71"/>
        <v>0</v>
      </c>
      <c r="CJ53" s="4794">
        <f t="shared" si="72"/>
        <v>0</v>
      </c>
      <c r="CK53" s="4794">
        <f t="shared" si="73"/>
        <v>0</v>
      </c>
      <c r="CL53" s="4794">
        <f t="shared" si="74"/>
        <v>0</v>
      </c>
      <c r="CM53" s="4794">
        <f t="shared" si="75"/>
        <v>0</v>
      </c>
      <c r="CN53" s="4794">
        <f t="shared" si="76"/>
        <v>0</v>
      </c>
      <c r="CO53" s="4794">
        <f t="shared" si="77"/>
        <v>0</v>
      </c>
      <c r="CP53" s="4794">
        <f t="shared" si="78"/>
        <v>0</v>
      </c>
      <c r="CQ53" s="4794">
        <f t="shared" si="79"/>
        <v>0</v>
      </c>
      <c r="CR53" s="4794">
        <f t="shared" si="80"/>
        <v>0</v>
      </c>
      <c r="CS53" s="4794">
        <f t="shared" si="81"/>
        <v>0</v>
      </c>
      <c r="CT53" s="4794">
        <f t="shared" si="82"/>
        <v>0</v>
      </c>
      <c r="CU53" s="4794">
        <f t="shared" si="83"/>
        <v>0</v>
      </c>
      <c r="CV53" s="4794">
        <f t="shared" si="84"/>
        <v>0</v>
      </c>
      <c r="CW53" s="4794">
        <f t="shared" si="85"/>
        <v>0</v>
      </c>
      <c r="CX53" s="4794">
        <f t="shared" si="86"/>
        <v>0</v>
      </c>
      <c r="CY53" s="4794">
        <f t="shared" si="87"/>
        <v>11.248421386316807</v>
      </c>
      <c r="CZ53" s="4794">
        <f t="shared" si="88"/>
        <v>11.248421386316807</v>
      </c>
      <c r="DA53" s="4794">
        <f t="shared" si="89"/>
        <v>11.248421386316807</v>
      </c>
      <c r="DB53" s="4794">
        <f t="shared" si="90"/>
        <v>11.248421386316807</v>
      </c>
      <c r="DC53" s="4794">
        <f t="shared" si="91"/>
        <v>11.248421386316807</v>
      </c>
      <c r="DD53" s="4794">
        <f t="shared" si="92"/>
        <v>11.248421386316807</v>
      </c>
      <c r="DE53" s="4794">
        <f t="shared" si="93"/>
        <v>1.022583762392437</v>
      </c>
      <c r="DF53" s="4794">
        <f t="shared" si="94"/>
        <v>1.022583762392437</v>
      </c>
      <c r="DG53" s="4794">
        <f t="shared" si="95"/>
        <v>1.022583762392437</v>
      </c>
      <c r="DH53" s="4794">
        <f t="shared" si="96"/>
        <v>1.022583762392437</v>
      </c>
      <c r="DI53" s="4794">
        <f t="shared" si="97"/>
        <v>1.022583762392437</v>
      </c>
      <c r="DJ53" s="4794">
        <f t="shared" si="98"/>
        <v>1.022583762392437</v>
      </c>
    </row>
    <row r="54" spans="1:114" s="690" customFormat="1" ht="13.5" thickBot="1">
      <c r="A54" s="4134" t="s">
        <v>1229</v>
      </c>
      <c r="B54" s="4135"/>
      <c r="C54" s="3282">
        <v>4</v>
      </c>
      <c r="D54" s="4136">
        <v>4</v>
      </c>
      <c r="E54" s="4136">
        <v>4</v>
      </c>
      <c r="F54" s="4136">
        <v>4</v>
      </c>
      <c r="G54" s="4136">
        <v>4</v>
      </c>
      <c r="H54" s="4137">
        <v>4</v>
      </c>
      <c r="I54" s="4138">
        <f t="shared" si="198"/>
        <v>0</v>
      </c>
      <c r="J54" s="1201">
        <f t="shared" si="199"/>
        <v>0</v>
      </c>
      <c r="K54" s="3282">
        <v>1</v>
      </c>
      <c r="L54" s="4136">
        <v>1</v>
      </c>
      <c r="M54" s="4136">
        <v>1</v>
      </c>
      <c r="N54" s="4136">
        <v>1</v>
      </c>
      <c r="O54" s="4136">
        <v>1</v>
      </c>
      <c r="P54" s="4137">
        <v>1</v>
      </c>
      <c r="Q54" s="4138">
        <f t="shared" si="200"/>
        <v>0</v>
      </c>
      <c r="R54" s="1142">
        <f t="shared" si="201"/>
        <v>0</v>
      </c>
      <c r="S54" s="3282">
        <v>6</v>
      </c>
      <c r="T54" s="4136">
        <v>6</v>
      </c>
      <c r="U54" s="4136">
        <v>6</v>
      </c>
      <c r="V54" s="4136">
        <v>6</v>
      </c>
      <c r="W54" s="4136">
        <v>6</v>
      </c>
      <c r="X54" s="4137">
        <v>6</v>
      </c>
      <c r="Y54" s="4138">
        <f t="shared" si="168"/>
        <v>0</v>
      </c>
      <c r="Z54" s="1142">
        <f t="shared" si="169"/>
        <v>0</v>
      </c>
      <c r="AA54" s="3282"/>
      <c r="AB54" s="4136"/>
      <c r="AC54" s="4136"/>
      <c r="AD54" s="4136"/>
      <c r="AE54" s="4136"/>
      <c r="AF54" s="4137"/>
      <c r="AG54" s="4138">
        <f t="shared" si="203"/>
        <v>0</v>
      </c>
      <c r="AH54" s="1201">
        <f t="shared" si="204"/>
        <v>0</v>
      </c>
      <c r="AI54" s="3282"/>
      <c r="AJ54" s="4136"/>
      <c r="AK54" s="4136"/>
      <c r="AL54" s="4136"/>
      <c r="AM54" s="4136"/>
      <c r="AN54" s="4139"/>
      <c r="AO54" s="4138">
        <f t="shared" si="205"/>
        <v>0</v>
      </c>
      <c r="AP54" s="1201">
        <f t="shared" si="206"/>
        <v>0</v>
      </c>
      <c r="AQ54" s="3282"/>
      <c r="AR54" s="4136"/>
      <c r="AS54" s="4136"/>
      <c r="AT54" s="4136"/>
      <c r="AU54" s="4136"/>
      <c r="AV54" s="4139"/>
      <c r="AW54" s="3288">
        <f t="shared" si="208"/>
        <v>11</v>
      </c>
      <c r="AX54" s="4140">
        <f t="shared" si="209"/>
        <v>11</v>
      </c>
      <c r="AY54" s="4140">
        <f t="shared" si="210"/>
        <v>11</v>
      </c>
      <c r="AZ54" s="4140">
        <f t="shared" si="211"/>
        <v>11</v>
      </c>
      <c r="BA54" s="4140">
        <f t="shared" si="212"/>
        <v>11</v>
      </c>
      <c r="BB54" s="4141">
        <f t="shared" si="213"/>
        <v>11</v>
      </c>
      <c r="BC54" s="4142">
        <f t="shared" si="214"/>
        <v>4</v>
      </c>
      <c r="BD54" s="4143">
        <f t="shared" si="215"/>
        <v>4</v>
      </c>
      <c r="BE54" s="4144">
        <f t="shared" si="216"/>
        <v>4</v>
      </c>
      <c r="BF54" s="4144">
        <f t="shared" si="217"/>
        <v>4</v>
      </c>
      <c r="BG54" s="4144">
        <f t="shared" si="218"/>
        <v>4</v>
      </c>
      <c r="BH54" s="4145">
        <f t="shared" si="219"/>
        <v>4</v>
      </c>
      <c r="BI54" s="4775"/>
      <c r="BJ54" s="4794">
        <f t="shared" si="46"/>
        <v>2.045167524784874</v>
      </c>
      <c r="BK54" s="4794">
        <f t="shared" si="47"/>
        <v>2.045167524784874</v>
      </c>
      <c r="BL54" s="4794">
        <f t="shared" si="48"/>
        <v>2.045167524784874</v>
      </c>
      <c r="BM54" s="4794">
        <f t="shared" si="49"/>
        <v>2.045167524784874</v>
      </c>
      <c r="BN54" s="4794">
        <f t="shared" si="50"/>
        <v>2.045167524784874</v>
      </c>
      <c r="BO54" s="4794">
        <f t="shared" si="51"/>
        <v>2.045167524784874</v>
      </c>
      <c r="BP54" s="4794">
        <f t="shared" si="52"/>
        <v>0</v>
      </c>
      <c r="BQ54" s="4794">
        <f t="shared" si="53"/>
        <v>0.51129188119621849</v>
      </c>
      <c r="BR54" s="4794">
        <f t="shared" si="54"/>
        <v>0.51129188119621849</v>
      </c>
      <c r="BS54" s="4794">
        <f t="shared" si="55"/>
        <v>0.51129188119621849</v>
      </c>
      <c r="BT54" s="4794">
        <f t="shared" si="56"/>
        <v>0.51129188119621849</v>
      </c>
      <c r="BU54" s="4794">
        <f t="shared" si="57"/>
        <v>0.51129188119621849</v>
      </c>
      <c r="BV54" s="4794">
        <f t="shared" si="58"/>
        <v>0.51129188119621849</v>
      </c>
      <c r="BW54" s="4794">
        <f t="shared" si="59"/>
        <v>0</v>
      </c>
      <c r="BX54" s="4794">
        <f t="shared" si="60"/>
        <v>3.0677512871773112</v>
      </c>
      <c r="BY54" s="4794">
        <f t="shared" si="61"/>
        <v>3.0677512871773112</v>
      </c>
      <c r="BZ54" s="4794">
        <f t="shared" si="62"/>
        <v>3.0677512871773112</v>
      </c>
      <c r="CA54" s="4794">
        <f t="shared" si="63"/>
        <v>3.0677512871773112</v>
      </c>
      <c r="CB54" s="4794">
        <f t="shared" si="64"/>
        <v>3.0677512871773112</v>
      </c>
      <c r="CC54" s="4794">
        <f t="shared" si="65"/>
        <v>3.0677512871773112</v>
      </c>
      <c r="CD54" s="4794">
        <f t="shared" si="66"/>
        <v>0</v>
      </c>
      <c r="CE54" s="4794">
        <f t="shared" si="67"/>
        <v>0</v>
      </c>
      <c r="CF54" s="4794">
        <f t="shared" si="68"/>
        <v>0</v>
      </c>
      <c r="CG54" s="4794">
        <f t="shared" si="69"/>
        <v>0</v>
      </c>
      <c r="CH54" s="4794">
        <f t="shared" si="70"/>
        <v>0</v>
      </c>
      <c r="CI54" s="4794">
        <f t="shared" si="71"/>
        <v>0</v>
      </c>
      <c r="CJ54" s="4794">
        <f t="shared" si="72"/>
        <v>0</v>
      </c>
      <c r="CK54" s="4794">
        <f t="shared" si="73"/>
        <v>0</v>
      </c>
      <c r="CL54" s="4794">
        <f t="shared" si="74"/>
        <v>0</v>
      </c>
      <c r="CM54" s="4794">
        <f t="shared" si="75"/>
        <v>0</v>
      </c>
      <c r="CN54" s="4794">
        <f t="shared" si="76"/>
        <v>0</v>
      </c>
      <c r="CO54" s="4794">
        <f t="shared" si="77"/>
        <v>0</v>
      </c>
      <c r="CP54" s="4794">
        <f t="shared" si="78"/>
        <v>0</v>
      </c>
      <c r="CQ54" s="4794">
        <f t="shared" si="79"/>
        <v>0</v>
      </c>
      <c r="CR54" s="4794">
        <f t="shared" si="80"/>
        <v>0</v>
      </c>
      <c r="CS54" s="4794">
        <f t="shared" si="81"/>
        <v>0</v>
      </c>
      <c r="CT54" s="4794">
        <f t="shared" si="82"/>
        <v>0</v>
      </c>
      <c r="CU54" s="4794">
        <f t="shared" si="83"/>
        <v>0</v>
      </c>
      <c r="CV54" s="4794">
        <f t="shared" si="84"/>
        <v>0</v>
      </c>
      <c r="CW54" s="4794">
        <f t="shared" si="85"/>
        <v>0</v>
      </c>
      <c r="CX54" s="4794">
        <f t="shared" si="86"/>
        <v>0</v>
      </c>
      <c r="CY54" s="4794">
        <f t="shared" si="87"/>
        <v>5.6242106931584033</v>
      </c>
      <c r="CZ54" s="4794">
        <f t="shared" si="88"/>
        <v>5.6242106931584033</v>
      </c>
      <c r="DA54" s="4794">
        <f t="shared" si="89"/>
        <v>5.6242106931584033</v>
      </c>
      <c r="DB54" s="4794">
        <f t="shared" si="90"/>
        <v>5.6242106931584033</v>
      </c>
      <c r="DC54" s="4794">
        <f t="shared" si="91"/>
        <v>5.6242106931584033</v>
      </c>
      <c r="DD54" s="4794">
        <f t="shared" si="92"/>
        <v>5.6242106931584033</v>
      </c>
      <c r="DE54" s="4794">
        <f t="shared" si="93"/>
        <v>2.045167524784874</v>
      </c>
      <c r="DF54" s="4794">
        <f t="shared" si="94"/>
        <v>2.045167524784874</v>
      </c>
      <c r="DG54" s="4794">
        <f t="shared" si="95"/>
        <v>2.045167524784874</v>
      </c>
      <c r="DH54" s="4794">
        <f t="shared" si="96"/>
        <v>2.045167524784874</v>
      </c>
      <c r="DI54" s="4794">
        <f t="shared" si="97"/>
        <v>2.045167524784874</v>
      </c>
      <c r="DJ54" s="4794">
        <f t="shared" si="98"/>
        <v>2.045167524784874</v>
      </c>
    </row>
    <row r="55" spans="1:114" ht="13.5" thickBot="1">
      <c r="A55" s="115">
        <v>3</v>
      </c>
      <c r="B55" s="913" t="s">
        <v>446</v>
      </c>
      <c r="C55" s="1129">
        <f>SUM(C56:C58)</f>
        <v>5100</v>
      </c>
      <c r="D55" s="1167">
        <f t="shared" ref="D55:BB55" si="220">SUM(D56:D58)</f>
        <v>4341.9148295454543</v>
      </c>
      <c r="E55" s="1166">
        <f t="shared" si="220"/>
        <v>3787.7278840374761</v>
      </c>
      <c r="F55" s="1166">
        <f t="shared" si="220"/>
        <v>3750.9451362543414</v>
      </c>
      <c r="G55" s="1169">
        <f t="shared" si="220"/>
        <v>3720.6433539051968</v>
      </c>
      <c r="H55" s="1169">
        <f t="shared" si="220"/>
        <v>3886.4766920841166</v>
      </c>
      <c r="I55" s="1265">
        <f t="shared" si="198"/>
        <v>-758.08517045454573</v>
      </c>
      <c r="J55" s="836">
        <f t="shared" si="199"/>
        <v>-0.14864415106951878</v>
      </c>
      <c r="K55" s="1129">
        <f t="shared" si="220"/>
        <v>669</v>
      </c>
      <c r="L55" s="1167">
        <f t="shared" si="220"/>
        <v>393.47639015151515</v>
      </c>
      <c r="M55" s="1166">
        <f t="shared" si="220"/>
        <v>395.33071239172705</v>
      </c>
      <c r="N55" s="1166">
        <f t="shared" si="220"/>
        <v>397.24752337697043</v>
      </c>
      <c r="O55" s="1169">
        <f t="shared" si="220"/>
        <v>389.0176802198942</v>
      </c>
      <c r="P55" s="1169">
        <f t="shared" si="220"/>
        <v>390.42193605744569</v>
      </c>
      <c r="Q55" s="1265">
        <f t="shared" si="200"/>
        <v>-275.52360984848485</v>
      </c>
      <c r="R55" s="894">
        <f t="shared" si="201"/>
        <v>-0.41184396090954389</v>
      </c>
      <c r="S55" s="1129">
        <f t="shared" si="220"/>
        <v>247.4</v>
      </c>
      <c r="T55" s="1167">
        <f t="shared" si="220"/>
        <v>219.39178030303032</v>
      </c>
      <c r="U55" s="1166">
        <f t="shared" si="220"/>
        <v>226.77140357079725</v>
      </c>
      <c r="V55" s="1166">
        <f t="shared" si="220"/>
        <v>233.14234036868822</v>
      </c>
      <c r="W55" s="1169">
        <f t="shared" si="220"/>
        <v>240.41896587490925</v>
      </c>
      <c r="X55" s="1169">
        <f t="shared" si="220"/>
        <v>246.93537185843735</v>
      </c>
      <c r="Y55" s="1265">
        <f t="shared" si="168"/>
        <v>-28.008219696969689</v>
      </c>
      <c r="Z55" s="894">
        <f t="shared" si="169"/>
        <v>-0.11321026554959454</v>
      </c>
      <c r="AA55" s="1129">
        <f t="shared" ref="AA55:AN55" si="221">SUM(AA56:AA58)</f>
        <v>0</v>
      </c>
      <c r="AB55" s="1167">
        <f t="shared" si="221"/>
        <v>0</v>
      </c>
      <c r="AC55" s="1166">
        <f t="shared" si="221"/>
        <v>0</v>
      </c>
      <c r="AD55" s="1166">
        <f t="shared" si="221"/>
        <v>0</v>
      </c>
      <c r="AE55" s="1169">
        <f t="shared" si="221"/>
        <v>0</v>
      </c>
      <c r="AF55" s="1169">
        <f t="shared" si="221"/>
        <v>0</v>
      </c>
      <c r="AG55" s="1265">
        <f t="shared" si="203"/>
        <v>0</v>
      </c>
      <c r="AH55" s="836">
        <f t="shared" si="204"/>
        <v>0</v>
      </c>
      <c r="AI55" s="1129">
        <f t="shared" si="221"/>
        <v>0</v>
      </c>
      <c r="AJ55" s="1167">
        <f t="shared" si="221"/>
        <v>0</v>
      </c>
      <c r="AK55" s="1166">
        <f t="shared" si="221"/>
        <v>0</v>
      </c>
      <c r="AL55" s="1166">
        <f t="shared" si="221"/>
        <v>0</v>
      </c>
      <c r="AM55" s="1169">
        <f t="shared" si="221"/>
        <v>0</v>
      </c>
      <c r="AN55" s="2808">
        <f t="shared" si="221"/>
        <v>0</v>
      </c>
      <c r="AO55" s="1265">
        <f t="shared" si="205"/>
        <v>0</v>
      </c>
      <c r="AP55" s="836">
        <f t="shared" si="206"/>
        <v>0</v>
      </c>
      <c r="AQ55" s="1129">
        <f t="shared" si="220"/>
        <v>0</v>
      </c>
      <c r="AR55" s="1167">
        <f t="shared" si="220"/>
        <v>0</v>
      </c>
      <c r="AS55" s="1166">
        <f t="shared" si="220"/>
        <v>0</v>
      </c>
      <c r="AT55" s="1166">
        <f t="shared" si="220"/>
        <v>0</v>
      </c>
      <c r="AU55" s="1169">
        <f t="shared" si="220"/>
        <v>0</v>
      </c>
      <c r="AV55" s="2808">
        <f t="shared" si="220"/>
        <v>0</v>
      </c>
      <c r="AW55" s="1129">
        <f t="shared" si="220"/>
        <v>6016.4</v>
      </c>
      <c r="AX55" s="1167">
        <f t="shared" si="220"/>
        <v>4954.7830000000004</v>
      </c>
      <c r="AY55" s="1166">
        <f t="shared" si="220"/>
        <v>4409.83</v>
      </c>
      <c r="AZ55" s="1166">
        <f t="shared" si="220"/>
        <v>4381.335</v>
      </c>
      <c r="BA55" s="1169">
        <f t="shared" si="220"/>
        <v>4350.08</v>
      </c>
      <c r="BB55" s="2808">
        <f t="shared" si="220"/>
        <v>4523.8339999999989</v>
      </c>
      <c r="BC55" s="1129">
        <f t="shared" ref="BC55:BH55" si="222">SUM(BC56:BC58)</f>
        <v>5100</v>
      </c>
      <c r="BD55" s="1167">
        <f t="shared" si="222"/>
        <v>4341.9148295454543</v>
      </c>
      <c r="BE55" s="1166">
        <f t="shared" si="222"/>
        <v>3787.7278840374761</v>
      </c>
      <c r="BF55" s="1166">
        <f t="shared" si="222"/>
        <v>3750.9451362543414</v>
      </c>
      <c r="BG55" s="1169">
        <f t="shared" si="222"/>
        <v>3720.6433539051968</v>
      </c>
      <c r="BH55" s="2808">
        <f t="shared" si="222"/>
        <v>3886.4766920841166</v>
      </c>
      <c r="BI55" s="4775"/>
      <c r="BJ55" s="4794">
        <f t="shared" si="46"/>
        <v>2607.5885941007145</v>
      </c>
      <c r="BK55" s="4794">
        <f t="shared" si="47"/>
        <v>2219.9858011920537</v>
      </c>
      <c r="BL55" s="4794">
        <f t="shared" si="48"/>
        <v>1936.6345152888932</v>
      </c>
      <c r="BM55" s="4794">
        <f t="shared" si="49"/>
        <v>1917.8277949792882</v>
      </c>
      <c r="BN55" s="4794">
        <f t="shared" si="50"/>
        <v>1902.3347396783959</v>
      </c>
      <c r="BO55" s="4794">
        <f t="shared" si="51"/>
        <v>1987.1239791209443</v>
      </c>
      <c r="BP55" s="4794">
        <f t="shared" si="52"/>
        <v>-387.60279290866066</v>
      </c>
      <c r="BQ55" s="4794">
        <f t="shared" si="53"/>
        <v>342.05426852027017</v>
      </c>
      <c r="BR55" s="4794">
        <f t="shared" si="54"/>
        <v>201.18128372686539</v>
      </c>
      <c r="BS55" s="4794">
        <f t="shared" si="55"/>
        <v>202.12938363340731</v>
      </c>
      <c r="BT55" s="4794">
        <f t="shared" si="56"/>
        <v>203.10943352794999</v>
      </c>
      <c r="BU55" s="4794">
        <f t="shared" si="57"/>
        <v>198.90158153821866</v>
      </c>
      <c r="BV55" s="4794">
        <f t="shared" si="58"/>
        <v>199.61956614708114</v>
      </c>
      <c r="BW55" s="4794">
        <f t="shared" si="59"/>
        <v>-140.87298479340478</v>
      </c>
      <c r="BX55" s="4794">
        <f t="shared" si="60"/>
        <v>126.49361140794446</v>
      </c>
      <c r="BY55" s="4794">
        <f t="shared" si="61"/>
        <v>112.17323607012385</v>
      </c>
      <c r="BZ55" s="4794">
        <f t="shared" si="62"/>
        <v>115.94637753321979</v>
      </c>
      <c r="CA55" s="4794">
        <f t="shared" si="63"/>
        <v>119.20378579359567</v>
      </c>
      <c r="CB55" s="4794">
        <f t="shared" si="64"/>
        <v>122.92426533743181</v>
      </c>
      <c r="CC55" s="4794">
        <f t="shared" si="65"/>
        <v>126.25605081138819</v>
      </c>
      <c r="CD55" s="4794">
        <f t="shared" si="66"/>
        <v>-14.320375337820613</v>
      </c>
      <c r="CE55" s="4794">
        <f t="shared" si="67"/>
        <v>0</v>
      </c>
      <c r="CF55" s="4794">
        <f t="shared" si="68"/>
        <v>0</v>
      </c>
      <c r="CG55" s="4794">
        <f t="shared" si="69"/>
        <v>0</v>
      </c>
      <c r="CH55" s="4794">
        <f t="shared" si="70"/>
        <v>0</v>
      </c>
      <c r="CI55" s="4794">
        <f t="shared" si="71"/>
        <v>0</v>
      </c>
      <c r="CJ55" s="4794">
        <f t="shared" si="72"/>
        <v>0</v>
      </c>
      <c r="CK55" s="4794">
        <f t="shared" si="73"/>
        <v>0</v>
      </c>
      <c r="CL55" s="4794">
        <f t="shared" si="74"/>
        <v>0</v>
      </c>
      <c r="CM55" s="4794">
        <f t="shared" si="75"/>
        <v>0</v>
      </c>
      <c r="CN55" s="4794">
        <f t="shared" si="76"/>
        <v>0</v>
      </c>
      <c r="CO55" s="4794">
        <f t="shared" si="77"/>
        <v>0</v>
      </c>
      <c r="CP55" s="4794">
        <f t="shared" si="78"/>
        <v>0</v>
      </c>
      <c r="CQ55" s="4794">
        <f t="shared" si="79"/>
        <v>0</v>
      </c>
      <c r="CR55" s="4794">
        <f t="shared" si="80"/>
        <v>0</v>
      </c>
      <c r="CS55" s="4794">
        <f t="shared" si="81"/>
        <v>0</v>
      </c>
      <c r="CT55" s="4794">
        <f t="shared" si="82"/>
        <v>0</v>
      </c>
      <c r="CU55" s="4794">
        <f t="shared" si="83"/>
        <v>0</v>
      </c>
      <c r="CV55" s="4794">
        <f t="shared" si="84"/>
        <v>0</v>
      </c>
      <c r="CW55" s="4794">
        <f t="shared" si="85"/>
        <v>0</v>
      </c>
      <c r="CX55" s="4794">
        <f t="shared" si="86"/>
        <v>0</v>
      </c>
      <c r="CY55" s="4794">
        <f t="shared" si="87"/>
        <v>3076.1364740289287</v>
      </c>
      <c r="CZ55" s="4794">
        <f t="shared" si="88"/>
        <v>2533.3403209890434</v>
      </c>
      <c r="DA55" s="4794">
        <f t="shared" si="89"/>
        <v>2254.7102764555202</v>
      </c>
      <c r="DB55" s="4794">
        <f t="shared" si="90"/>
        <v>2240.1410143008338</v>
      </c>
      <c r="DC55" s="4794">
        <f t="shared" si="91"/>
        <v>2224.1605865540459</v>
      </c>
      <c r="DD55" s="4794">
        <f t="shared" si="92"/>
        <v>2312.9995960794135</v>
      </c>
      <c r="DE55" s="4794">
        <f t="shared" si="93"/>
        <v>2607.5885941007145</v>
      </c>
      <c r="DF55" s="4794">
        <f t="shared" si="94"/>
        <v>2219.9858011920537</v>
      </c>
      <c r="DG55" s="4794">
        <f t="shared" si="95"/>
        <v>1936.6345152888932</v>
      </c>
      <c r="DH55" s="4794">
        <f t="shared" si="96"/>
        <v>1917.8277949792882</v>
      </c>
      <c r="DI55" s="4794">
        <f t="shared" si="97"/>
        <v>1902.3347396783959</v>
      </c>
      <c r="DJ55" s="4794">
        <f t="shared" si="98"/>
        <v>1987.1239791209443</v>
      </c>
    </row>
    <row r="56" spans="1:114" ht="12.75">
      <c r="A56" s="116" t="s">
        <v>263</v>
      </c>
      <c r="B56" s="917" t="s">
        <v>447</v>
      </c>
      <c r="C56" s="3225">
        <v>383</v>
      </c>
      <c r="D56" s="3236">
        <f>'11. Амортиз. план'!G35</f>
        <v>763.25164772727271</v>
      </c>
      <c r="E56" s="3237">
        <f>'11. Амортиз. план'!H35</f>
        <v>781.06350185610768</v>
      </c>
      <c r="F56" s="3237">
        <f>'11. Амортиз. план'!I35</f>
        <v>809.27877905423452</v>
      </c>
      <c r="G56" s="3237">
        <f>'11. Амортиз. план'!J35</f>
        <v>853.98049372471746</v>
      </c>
      <c r="H56" s="3238">
        <f>'11. Амортиз. план'!K35</f>
        <v>884.81187553427912</v>
      </c>
      <c r="I56" s="1271">
        <f t="shared" si="198"/>
        <v>380.25164772727271</v>
      </c>
      <c r="J56" s="839">
        <f t="shared" si="199"/>
        <v>0.99282414550201747</v>
      </c>
      <c r="K56" s="3225">
        <v>184</v>
      </c>
      <c r="L56" s="3236">
        <f>'11. Амортиз. план'!N35</f>
        <v>206.8127840909091</v>
      </c>
      <c r="M56" s="3237">
        <f>'11. Амортиз. план'!O35</f>
        <v>208.66735902421775</v>
      </c>
      <c r="N56" s="3237">
        <f>'11. Амортиз. план'!P35</f>
        <v>210.58336895538346</v>
      </c>
      <c r="O56" s="3237">
        <f>'11. Амортиз. план'!Q35</f>
        <v>212.35432527746084</v>
      </c>
      <c r="P56" s="3238">
        <f>'11. Амортиз. план'!R35</f>
        <v>213.75640280389814</v>
      </c>
      <c r="Q56" s="1271">
        <f t="shared" si="200"/>
        <v>22.812784090909105</v>
      </c>
      <c r="R56" s="898">
        <f t="shared" si="201"/>
        <v>0.12398252223320165</v>
      </c>
      <c r="S56" s="3225">
        <v>83</v>
      </c>
      <c r="T56" s="3236">
        <f>'11. Амортиз. план'!U35</f>
        <v>92.725568181818176</v>
      </c>
      <c r="U56" s="3237">
        <f>'11. Амортиз. план'!V35</f>
        <v>100.10913911967475</v>
      </c>
      <c r="V56" s="3237">
        <f>'11. Амортиз. план'!W35</f>
        <v>106.47785199038205</v>
      </c>
      <c r="W56" s="3237">
        <f>'11. Амортиз. план'!X35</f>
        <v>113.7551809978218</v>
      </c>
      <c r="X56" s="3238">
        <f>'11. Амортиз. план'!Y35</f>
        <v>120.27172166182253</v>
      </c>
      <c r="Y56" s="1271">
        <f t="shared" si="168"/>
        <v>9.7255681818181756</v>
      </c>
      <c r="Z56" s="898">
        <f t="shared" si="169"/>
        <v>0.11717552026286959</v>
      </c>
      <c r="AA56" s="3225"/>
      <c r="AB56" s="3236">
        <f>'11. Амортиз. план'!AB35</f>
        <v>0</v>
      </c>
      <c r="AC56" s="3237">
        <f>'11. Амортиз. план'!AC35</f>
        <v>0</v>
      </c>
      <c r="AD56" s="3237">
        <f>'11. Амортиз. план'!AD35</f>
        <v>0</v>
      </c>
      <c r="AE56" s="3237">
        <f>'11. Амортиз. план'!AE35</f>
        <v>0</v>
      </c>
      <c r="AF56" s="3238">
        <f>'11. Амортиз. план'!AF35</f>
        <v>0</v>
      </c>
      <c r="AG56" s="1271">
        <f t="shared" si="203"/>
        <v>0</v>
      </c>
      <c r="AH56" s="839">
        <f t="shared" si="204"/>
        <v>0</v>
      </c>
      <c r="AI56" s="3225"/>
      <c r="AJ56" s="3236">
        <f>'11. Амортиз. план'!AI35</f>
        <v>0</v>
      </c>
      <c r="AK56" s="3237">
        <f>'11. Амортиз. план'!AJ35</f>
        <v>0</v>
      </c>
      <c r="AL56" s="3237">
        <f>'11. Амортиз. план'!AK35</f>
        <v>0</v>
      </c>
      <c r="AM56" s="3237">
        <f>'11. Амортиз. план'!AL35</f>
        <v>0</v>
      </c>
      <c r="AN56" s="3258">
        <f>'11. Амортиз. план'!AM35</f>
        <v>0</v>
      </c>
      <c r="AO56" s="1271">
        <f t="shared" si="205"/>
        <v>0</v>
      </c>
      <c r="AP56" s="839">
        <f t="shared" si="206"/>
        <v>0</v>
      </c>
      <c r="AQ56" s="3230"/>
      <c r="AR56" s="3276"/>
      <c r="AS56" s="3277"/>
      <c r="AT56" s="3277"/>
      <c r="AU56" s="3277"/>
      <c r="AV56" s="3278"/>
      <c r="AW56" s="1131">
        <f t="shared" ref="AW56:AW58" si="223">C56+K56+S56+AA56+AI56</f>
        <v>650</v>
      </c>
      <c r="AX56" s="3245">
        <f t="shared" ref="AX56:AX58" si="224">D56+L56+T56+AB56+AJ56</f>
        <v>1062.79</v>
      </c>
      <c r="AY56" s="3245">
        <f t="shared" ref="AY56:AY58" si="225">E56+M56+U56+AC56+AK56</f>
        <v>1089.8400000000001</v>
      </c>
      <c r="AZ56" s="3245">
        <f t="shared" ref="AZ56:AZ58" si="226">F56+N56+V56+AD56+AL56</f>
        <v>1126.3399999999999</v>
      </c>
      <c r="BA56" s="3245">
        <f t="shared" ref="BA56:BA58" si="227">G56+O56+W56+AE56+AM56</f>
        <v>1180.0900000000001</v>
      </c>
      <c r="BB56" s="3246">
        <f t="shared" ref="BB56:BB58" si="228">H56+P56+X56+AF56+AN56</f>
        <v>1218.8399999999997</v>
      </c>
      <c r="BC56" s="3266">
        <f t="shared" ref="BC56:BC58" si="229">C56+AA56+AI56</f>
        <v>383</v>
      </c>
      <c r="BD56" s="3267">
        <f t="shared" ref="BD56:BD58" si="230">D56+AB56+AJ56</f>
        <v>763.25164772727271</v>
      </c>
      <c r="BE56" s="3268">
        <f t="shared" ref="BE56:BE58" si="231">E56+AC56+AK56</f>
        <v>781.06350185610768</v>
      </c>
      <c r="BF56" s="3268">
        <f t="shared" ref="BF56:BF58" si="232">F56+AD56+AL56</f>
        <v>809.27877905423452</v>
      </c>
      <c r="BG56" s="3268">
        <f t="shared" ref="BG56:BG58" si="233">G56+AE56+AM56</f>
        <v>853.98049372471746</v>
      </c>
      <c r="BH56" s="3270">
        <f t="shared" ref="BH56:BH58" si="234">H56+AF56+AN56</f>
        <v>884.81187553427912</v>
      </c>
      <c r="BI56" s="4775"/>
      <c r="BJ56" s="4794">
        <f t="shared" si="46"/>
        <v>195.82479049815169</v>
      </c>
      <c r="BK56" s="4794">
        <f t="shared" si="47"/>
        <v>390.24437079259076</v>
      </c>
      <c r="BL56" s="4794">
        <f t="shared" si="48"/>
        <v>399.3514271977154</v>
      </c>
      <c r="BM56" s="4794">
        <f t="shared" si="49"/>
        <v>413.77766935481844</v>
      </c>
      <c r="BN56" s="4794">
        <f t="shared" si="50"/>
        <v>436.63329314138628</v>
      </c>
      <c r="BO56" s="4794">
        <f t="shared" si="51"/>
        <v>452.39712834667591</v>
      </c>
      <c r="BP56" s="4794">
        <f t="shared" si="52"/>
        <v>194.41958029443904</v>
      </c>
      <c r="BQ56" s="4794">
        <f t="shared" si="53"/>
        <v>94.077706140104198</v>
      </c>
      <c r="BR56" s="4794">
        <f t="shared" si="54"/>
        <v>105.74169743326829</v>
      </c>
      <c r="BS56" s="4794">
        <f t="shared" si="55"/>
        <v>106.68992653973901</v>
      </c>
      <c r="BT56" s="4794">
        <f t="shared" si="56"/>
        <v>107.66956686183536</v>
      </c>
      <c r="BU56" s="4794">
        <f t="shared" si="57"/>
        <v>108.57504245126665</v>
      </c>
      <c r="BV56" s="4794">
        <f t="shared" si="58"/>
        <v>109.29191330734172</v>
      </c>
      <c r="BW56" s="4794">
        <f t="shared" si="59"/>
        <v>11.663991293164081</v>
      </c>
      <c r="BX56" s="4794">
        <f t="shared" si="60"/>
        <v>42.437226139286132</v>
      </c>
      <c r="BY56" s="4794">
        <f t="shared" si="61"/>
        <v>47.409830190670036</v>
      </c>
      <c r="BZ56" s="4794">
        <f t="shared" si="62"/>
        <v>51.184990065432451</v>
      </c>
      <c r="CA56" s="4794">
        <f t="shared" si="63"/>
        <v>54.441261249894957</v>
      </c>
      <c r="CB56" s="4794">
        <f t="shared" si="64"/>
        <v>58.162100488192635</v>
      </c>
      <c r="CC56" s="4794">
        <f t="shared" si="65"/>
        <v>61.49395482318122</v>
      </c>
      <c r="CD56" s="4794">
        <f t="shared" si="66"/>
        <v>4.9726040513839012</v>
      </c>
      <c r="CE56" s="4794">
        <f t="shared" si="67"/>
        <v>0</v>
      </c>
      <c r="CF56" s="4794">
        <f t="shared" si="68"/>
        <v>0</v>
      </c>
      <c r="CG56" s="4794">
        <f t="shared" si="69"/>
        <v>0</v>
      </c>
      <c r="CH56" s="4794">
        <f t="shared" si="70"/>
        <v>0</v>
      </c>
      <c r="CI56" s="4794">
        <f t="shared" si="71"/>
        <v>0</v>
      </c>
      <c r="CJ56" s="4794">
        <f t="shared" si="72"/>
        <v>0</v>
      </c>
      <c r="CK56" s="4794">
        <f t="shared" si="73"/>
        <v>0</v>
      </c>
      <c r="CL56" s="4794">
        <f t="shared" si="74"/>
        <v>0</v>
      </c>
      <c r="CM56" s="4794">
        <f t="shared" si="75"/>
        <v>0</v>
      </c>
      <c r="CN56" s="4794">
        <f t="shared" si="76"/>
        <v>0</v>
      </c>
      <c r="CO56" s="4794">
        <f t="shared" si="77"/>
        <v>0</v>
      </c>
      <c r="CP56" s="4794">
        <f t="shared" si="78"/>
        <v>0</v>
      </c>
      <c r="CQ56" s="4794">
        <f t="shared" si="79"/>
        <v>0</v>
      </c>
      <c r="CR56" s="4794">
        <f t="shared" si="80"/>
        <v>0</v>
      </c>
      <c r="CS56" s="4794">
        <f t="shared" si="81"/>
        <v>0</v>
      </c>
      <c r="CT56" s="4794">
        <f t="shared" si="82"/>
        <v>0</v>
      </c>
      <c r="CU56" s="4794">
        <f t="shared" si="83"/>
        <v>0</v>
      </c>
      <c r="CV56" s="4794">
        <f t="shared" si="84"/>
        <v>0</v>
      </c>
      <c r="CW56" s="4794">
        <f t="shared" si="85"/>
        <v>0</v>
      </c>
      <c r="CX56" s="4794">
        <f t="shared" si="86"/>
        <v>0</v>
      </c>
      <c r="CY56" s="4794">
        <f t="shared" si="87"/>
        <v>332.33972277754202</v>
      </c>
      <c r="CZ56" s="4794">
        <f t="shared" si="88"/>
        <v>543.39589841652901</v>
      </c>
      <c r="DA56" s="4794">
        <f t="shared" si="89"/>
        <v>557.22634380288684</v>
      </c>
      <c r="DB56" s="4794">
        <f t="shared" si="90"/>
        <v>575.88849746654876</v>
      </c>
      <c r="DC56" s="4794">
        <f t="shared" si="91"/>
        <v>603.37043608084559</v>
      </c>
      <c r="DD56" s="4794">
        <f t="shared" si="92"/>
        <v>623.1829964771988</v>
      </c>
      <c r="DE56" s="4794">
        <f t="shared" si="93"/>
        <v>195.82479049815169</v>
      </c>
      <c r="DF56" s="4794">
        <f t="shared" si="94"/>
        <v>390.24437079259076</v>
      </c>
      <c r="DG56" s="4794">
        <f t="shared" si="95"/>
        <v>399.3514271977154</v>
      </c>
      <c r="DH56" s="4794">
        <f t="shared" si="96"/>
        <v>413.77766935481844</v>
      </c>
      <c r="DI56" s="4794">
        <f t="shared" si="97"/>
        <v>436.63329314138628</v>
      </c>
      <c r="DJ56" s="4794">
        <f t="shared" si="98"/>
        <v>452.39712834667591</v>
      </c>
    </row>
    <row r="57" spans="1:114" ht="24">
      <c r="A57" s="118" t="s">
        <v>264</v>
      </c>
      <c r="B57" s="917" t="s">
        <v>736</v>
      </c>
      <c r="C57" s="3225">
        <v>411</v>
      </c>
      <c r="D57" s="3239">
        <f>'11. Амортиз. план'!G131</f>
        <v>771.38318181818181</v>
      </c>
      <c r="E57" s="3240">
        <f>'11. Амортиз. план'!H131</f>
        <v>854.32438218136826</v>
      </c>
      <c r="F57" s="3240">
        <f>'11. Амортиз. план'!I131</f>
        <v>929.98135720010691</v>
      </c>
      <c r="G57" s="3240">
        <f>'11. Амортиз. план'!J131</f>
        <v>1004.1178601804791</v>
      </c>
      <c r="H57" s="3241">
        <f>'11. Амортиз. план'!K131</f>
        <v>1078.4168165498374</v>
      </c>
      <c r="I57" s="1272">
        <f t="shared" si="198"/>
        <v>360.38318181818181</v>
      </c>
      <c r="J57" s="840">
        <f t="shared" si="199"/>
        <v>0.8768447246184472</v>
      </c>
      <c r="K57" s="3225">
        <v>20</v>
      </c>
      <c r="L57" s="3239">
        <f>'11. Амортиз. план'!N131</f>
        <v>33.37560606060606</v>
      </c>
      <c r="M57" s="3240">
        <f>'11. Амортиз. план'!O131</f>
        <v>36.933353367509284</v>
      </c>
      <c r="N57" s="3240">
        <f>'11. Амортиз. план'!P131</f>
        <v>40.494154421586956</v>
      </c>
      <c r="O57" s="3240">
        <f>'11. Амортиз. план'!Q131</f>
        <v>43.898354942433357</v>
      </c>
      <c r="P57" s="3241">
        <f>'11. Амортиз. план'!R131</f>
        <v>47.209533253547612</v>
      </c>
      <c r="Q57" s="1272">
        <f t="shared" si="200"/>
        <v>13.37560606060606</v>
      </c>
      <c r="R57" s="899">
        <f t="shared" si="201"/>
        <v>0.668780303030303</v>
      </c>
      <c r="S57" s="3225">
        <v>34</v>
      </c>
      <c r="T57" s="3239">
        <f>'11. Амортиз. план'!U131</f>
        <v>43.731212121212124</v>
      </c>
      <c r="U57" s="3240">
        <f>'11. Амортиз. план'!V131</f>
        <v>48.532264451122501</v>
      </c>
      <c r="V57" s="3240">
        <f>'11. Амортиз. план'!W131</f>
        <v>53.264488378306169</v>
      </c>
      <c r="W57" s="3240">
        <f>'11. Амортиз. план'!X131</f>
        <v>57.973784877087439</v>
      </c>
      <c r="X57" s="3241">
        <f>'11. Амортиз. план'!Y131</f>
        <v>62.713650196614807</v>
      </c>
      <c r="Y57" s="1272">
        <f t="shared" si="168"/>
        <v>9.7312121212121241</v>
      </c>
      <c r="Z57" s="899">
        <f t="shared" si="169"/>
        <v>0.28621212121212131</v>
      </c>
      <c r="AA57" s="3225"/>
      <c r="AB57" s="3239">
        <f>'11. Амортиз. план'!AB131</f>
        <v>0</v>
      </c>
      <c r="AC57" s="3240">
        <f>'11. Амортиз. план'!AC131</f>
        <v>0</v>
      </c>
      <c r="AD57" s="3240">
        <f>'11. Амортиз. план'!AD131</f>
        <v>0</v>
      </c>
      <c r="AE57" s="3240">
        <f>'11. Амортиз. план'!AE131</f>
        <v>0</v>
      </c>
      <c r="AF57" s="3241">
        <f>'11. Амортиз. план'!AF131</f>
        <v>0</v>
      </c>
      <c r="AG57" s="1272">
        <f t="shared" si="203"/>
        <v>0</v>
      </c>
      <c r="AH57" s="840">
        <f t="shared" si="204"/>
        <v>0</v>
      </c>
      <c r="AI57" s="3225"/>
      <c r="AJ57" s="3239">
        <f>'11. Амортиз. план'!AI131</f>
        <v>0</v>
      </c>
      <c r="AK57" s="3240">
        <f>'11. Амортиз. план'!AJ131</f>
        <v>0</v>
      </c>
      <c r="AL57" s="3240">
        <f>'11. Амортиз. план'!AK131</f>
        <v>0</v>
      </c>
      <c r="AM57" s="3240">
        <f>'11. Амортиз. план'!AL131</f>
        <v>0</v>
      </c>
      <c r="AN57" s="3259">
        <f>'11. Амортиз. план'!AM131</f>
        <v>0</v>
      </c>
      <c r="AO57" s="1272">
        <f t="shared" si="205"/>
        <v>0</v>
      </c>
      <c r="AP57" s="840">
        <f t="shared" si="206"/>
        <v>0</v>
      </c>
      <c r="AQ57" s="3225"/>
      <c r="AR57" s="3279"/>
      <c r="AS57" s="3280"/>
      <c r="AT57" s="3280"/>
      <c r="AU57" s="3280"/>
      <c r="AV57" s="3281"/>
      <c r="AW57" s="1131">
        <f t="shared" si="223"/>
        <v>465</v>
      </c>
      <c r="AX57" s="3245">
        <f t="shared" si="224"/>
        <v>848.49</v>
      </c>
      <c r="AY57" s="3245">
        <f t="shared" si="225"/>
        <v>939.79000000000008</v>
      </c>
      <c r="AZ57" s="3245">
        <f t="shared" si="226"/>
        <v>1023.74</v>
      </c>
      <c r="BA57" s="3245">
        <f t="shared" si="227"/>
        <v>1105.9899999999998</v>
      </c>
      <c r="BB57" s="3246">
        <f t="shared" si="228"/>
        <v>1188.3399999999997</v>
      </c>
      <c r="BC57" s="3266">
        <f t="shared" si="229"/>
        <v>411</v>
      </c>
      <c r="BD57" s="3267">
        <f t="shared" si="230"/>
        <v>771.38318181818181</v>
      </c>
      <c r="BE57" s="3268">
        <f t="shared" si="231"/>
        <v>854.32438218136826</v>
      </c>
      <c r="BF57" s="3268">
        <f t="shared" si="232"/>
        <v>929.98135720010691</v>
      </c>
      <c r="BG57" s="3268">
        <f t="shared" si="233"/>
        <v>1004.1178601804791</v>
      </c>
      <c r="BH57" s="3270">
        <f t="shared" si="234"/>
        <v>1078.4168165498374</v>
      </c>
      <c r="BI57" s="4775"/>
      <c r="BJ57" s="4794">
        <f t="shared" si="46"/>
        <v>210.14096317164581</v>
      </c>
      <c r="BK57" s="4794">
        <f t="shared" si="47"/>
        <v>394.4019581549428</v>
      </c>
      <c r="BL57" s="4794">
        <f t="shared" si="48"/>
        <v>436.80912051730888</v>
      </c>
      <c r="BM57" s="4794">
        <f t="shared" si="49"/>
        <v>475.49191760025508</v>
      </c>
      <c r="BN57" s="4794">
        <f t="shared" si="50"/>
        <v>513.39730967439868</v>
      </c>
      <c r="BO57" s="4794">
        <f t="shared" si="51"/>
        <v>551.38576284740361</v>
      </c>
      <c r="BP57" s="4794">
        <f t="shared" si="52"/>
        <v>184.26099498329702</v>
      </c>
      <c r="BQ57" s="4794">
        <f t="shared" si="53"/>
        <v>10.22583762392437</v>
      </c>
      <c r="BR57" s="4794">
        <f t="shared" si="54"/>
        <v>17.064676408791183</v>
      </c>
      <c r="BS57" s="4794">
        <f t="shared" si="55"/>
        <v>18.883723722158514</v>
      </c>
      <c r="BT57" s="4794">
        <f t="shared" si="56"/>
        <v>20.704332391663364</v>
      </c>
      <c r="BU57" s="4794">
        <f t="shared" si="57"/>
        <v>22.444872479936066</v>
      </c>
      <c r="BV57" s="4794">
        <f t="shared" si="58"/>
        <v>24.13785106760179</v>
      </c>
      <c r="BW57" s="4794">
        <f t="shared" si="59"/>
        <v>6.8388387848668142</v>
      </c>
      <c r="BX57" s="4794">
        <f t="shared" si="60"/>
        <v>17.383923960671428</v>
      </c>
      <c r="BY57" s="4794">
        <f t="shared" si="61"/>
        <v>22.35941371244542</v>
      </c>
      <c r="BZ57" s="4794">
        <f t="shared" si="62"/>
        <v>24.814152789926784</v>
      </c>
      <c r="CA57" s="4794">
        <f t="shared" si="63"/>
        <v>27.233700463898277</v>
      </c>
      <c r="CB57" s="4794">
        <f t="shared" si="64"/>
        <v>29.641525529870918</v>
      </c>
      <c r="CC57" s="4794">
        <f t="shared" si="65"/>
        <v>32.064980185708784</v>
      </c>
      <c r="CD57" s="4794">
        <f t="shared" si="66"/>
        <v>4.9754897517739911</v>
      </c>
      <c r="CE57" s="4794">
        <f t="shared" si="67"/>
        <v>0</v>
      </c>
      <c r="CF57" s="4794">
        <f t="shared" si="68"/>
        <v>0</v>
      </c>
      <c r="CG57" s="4794">
        <f t="shared" si="69"/>
        <v>0</v>
      </c>
      <c r="CH57" s="4794">
        <f t="shared" si="70"/>
        <v>0</v>
      </c>
      <c r="CI57" s="4794">
        <f t="shared" si="71"/>
        <v>0</v>
      </c>
      <c r="CJ57" s="4794">
        <f t="shared" si="72"/>
        <v>0</v>
      </c>
      <c r="CK57" s="4794">
        <f t="shared" si="73"/>
        <v>0</v>
      </c>
      <c r="CL57" s="4794">
        <f t="shared" si="74"/>
        <v>0</v>
      </c>
      <c r="CM57" s="4794">
        <f t="shared" si="75"/>
        <v>0</v>
      </c>
      <c r="CN57" s="4794">
        <f t="shared" si="76"/>
        <v>0</v>
      </c>
      <c r="CO57" s="4794">
        <f t="shared" si="77"/>
        <v>0</v>
      </c>
      <c r="CP57" s="4794">
        <f t="shared" si="78"/>
        <v>0</v>
      </c>
      <c r="CQ57" s="4794">
        <f t="shared" si="79"/>
        <v>0</v>
      </c>
      <c r="CR57" s="4794">
        <f t="shared" si="80"/>
        <v>0</v>
      </c>
      <c r="CS57" s="4794">
        <f t="shared" si="81"/>
        <v>0</v>
      </c>
      <c r="CT57" s="4794">
        <f t="shared" si="82"/>
        <v>0</v>
      </c>
      <c r="CU57" s="4794">
        <f t="shared" si="83"/>
        <v>0</v>
      </c>
      <c r="CV57" s="4794">
        <f t="shared" si="84"/>
        <v>0</v>
      </c>
      <c r="CW57" s="4794">
        <f t="shared" si="85"/>
        <v>0</v>
      </c>
      <c r="CX57" s="4794">
        <f t="shared" si="86"/>
        <v>0</v>
      </c>
      <c r="CY57" s="4794">
        <f t="shared" si="87"/>
        <v>237.7507247562416</v>
      </c>
      <c r="CZ57" s="4794">
        <f t="shared" si="88"/>
        <v>433.82604827617945</v>
      </c>
      <c r="DA57" s="4794">
        <f t="shared" si="89"/>
        <v>480.5069970293942</v>
      </c>
      <c r="DB57" s="4794">
        <f t="shared" si="90"/>
        <v>523.42995045581677</v>
      </c>
      <c r="DC57" s="4794">
        <f t="shared" si="91"/>
        <v>565.48370768420557</v>
      </c>
      <c r="DD57" s="4794">
        <f t="shared" si="92"/>
        <v>607.58859410071409</v>
      </c>
      <c r="DE57" s="4794">
        <f t="shared" si="93"/>
        <v>210.14096317164581</v>
      </c>
      <c r="DF57" s="4794">
        <f t="shared" si="94"/>
        <v>394.4019581549428</v>
      </c>
      <c r="DG57" s="4794">
        <f t="shared" si="95"/>
        <v>436.80912051730888</v>
      </c>
      <c r="DH57" s="4794">
        <f t="shared" si="96"/>
        <v>475.49191760025508</v>
      </c>
      <c r="DI57" s="4794">
        <f t="shared" si="97"/>
        <v>513.39730967439868</v>
      </c>
      <c r="DJ57" s="4794">
        <f t="shared" si="98"/>
        <v>551.38576284740361</v>
      </c>
    </row>
    <row r="58" spans="1:114" ht="24.75" thickBot="1">
      <c r="A58" s="117" t="s">
        <v>485</v>
      </c>
      <c r="B58" s="919" t="s">
        <v>737</v>
      </c>
      <c r="C58" s="3282">
        <v>4306</v>
      </c>
      <c r="D58" s="3242">
        <f>'10. Финансиране на ИП'!F31</f>
        <v>2807.28</v>
      </c>
      <c r="E58" s="3243">
        <f>'10. Финансиране на ИП'!G31</f>
        <v>2152.34</v>
      </c>
      <c r="F58" s="3243">
        <f>'10. Финансиране на ИП'!H31</f>
        <v>2011.6849999999999</v>
      </c>
      <c r="G58" s="3243">
        <f>'10. Финансиране на ИП'!I31</f>
        <v>1862.5450000000001</v>
      </c>
      <c r="H58" s="3244">
        <f>'10. Финансиране на ИП'!J31</f>
        <v>1923.248</v>
      </c>
      <c r="I58" s="1273">
        <f t="shared" si="198"/>
        <v>-1498.7199999999998</v>
      </c>
      <c r="J58" s="841">
        <f t="shared" si="199"/>
        <v>-0.34805387830933576</v>
      </c>
      <c r="K58" s="3282">
        <v>465</v>
      </c>
      <c r="L58" s="3242">
        <f>'10. Финансиране на ИП'!N31</f>
        <v>153.28800000000001</v>
      </c>
      <c r="M58" s="3243">
        <f>'10. Финансиране на ИП'!O31</f>
        <v>149.72999999999999</v>
      </c>
      <c r="N58" s="3243">
        <f>'10. Финансиране на ИП'!P31</f>
        <v>146.16999999999999</v>
      </c>
      <c r="O58" s="3243">
        <f>'10. Финансиране на ИП'!Q31</f>
        <v>132.76499999999999</v>
      </c>
      <c r="P58" s="3244">
        <f>'10. Финансиране на ИП'!R31</f>
        <v>129.45599999999999</v>
      </c>
      <c r="Q58" s="1273">
        <f t="shared" si="200"/>
        <v>-311.71199999999999</v>
      </c>
      <c r="R58" s="900">
        <f t="shared" si="201"/>
        <v>-0.67034838709677413</v>
      </c>
      <c r="S58" s="3282">
        <v>130.4</v>
      </c>
      <c r="T58" s="3242">
        <f>'10. Финансиране на ИП'!V31</f>
        <v>82.935000000000002</v>
      </c>
      <c r="U58" s="3243">
        <f>'10. Финансиране на ИП'!W31</f>
        <v>78.13</v>
      </c>
      <c r="V58" s="3243">
        <f>'10. Финансиране на ИП'!X31</f>
        <v>73.400000000000006</v>
      </c>
      <c r="W58" s="3243">
        <f>'10. Финансиране на ИП'!Y31</f>
        <v>68.69</v>
      </c>
      <c r="X58" s="3244">
        <f>'10. Финансиране на ИП'!Z31</f>
        <v>63.95</v>
      </c>
      <c r="Y58" s="1273">
        <f t="shared" si="168"/>
        <v>-47.465000000000003</v>
      </c>
      <c r="Z58" s="900">
        <f t="shared" si="169"/>
        <v>-0.36399539877300613</v>
      </c>
      <c r="AA58" s="3282"/>
      <c r="AB58" s="3242">
        <f>'10. Финансиране на ИП'!AD31</f>
        <v>0</v>
      </c>
      <c r="AC58" s="3243">
        <f>'10. Финансиране на ИП'!AE31</f>
        <v>0</v>
      </c>
      <c r="AD58" s="3243">
        <f>'10. Финансиране на ИП'!AF31</f>
        <v>0</v>
      </c>
      <c r="AE58" s="3243">
        <f>'10. Финансиране на ИП'!AG31</f>
        <v>0</v>
      </c>
      <c r="AF58" s="3244">
        <f>'10. Финансиране на ИП'!AH31</f>
        <v>0</v>
      </c>
      <c r="AG58" s="1273">
        <f t="shared" si="203"/>
        <v>0</v>
      </c>
      <c r="AH58" s="841">
        <f t="shared" si="204"/>
        <v>0</v>
      </c>
      <c r="AI58" s="3282"/>
      <c r="AJ58" s="3242">
        <f>'10. Финансиране на ИП'!AL31</f>
        <v>0</v>
      </c>
      <c r="AK58" s="3243">
        <f>'10. Финансиране на ИП'!AM31</f>
        <v>0</v>
      </c>
      <c r="AL58" s="3243">
        <f>'10. Финансиране на ИП'!AN31</f>
        <v>0</v>
      </c>
      <c r="AM58" s="3243">
        <f>'10. Финансиране на ИП'!AO31</f>
        <v>0</v>
      </c>
      <c r="AN58" s="3260">
        <f>'10. Финансиране на ИП'!AP31</f>
        <v>0</v>
      </c>
      <c r="AO58" s="1273">
        <f t="shared" si="205"/>
        <v>0</v>
      </c>
      <c r="AP58" s="841">
        <f t="shared" si="206"/>
        <v>0</v>
      </c>
      <c r="AQ58" s="3282"/>
      <c r="AR58" s="3283"/>
      <c r="AS58" s="3284"/>
      <c r="AT58" s="3284"/>
      <c r="AU58" s="3284"/>
      <c r="AV58" s="3285"/>
      <c r="AW58" s="1131">
        <f t="shared" si="223"/>
        <v>4901.3999999999996</v>
      </c>
      <c r="AX58" s="3245">
        <f t="shared" si="224"/>
        <v>3043.5030000000002</v>
      </c>
      <c r="AY58" s="3245">
        <f t="shared" si="225"/>
        <v>2380.2000000000003</v>
      </c>
      <c r="AZ58" s="3245">
        <f t="shared" si="226"/>
        <v>2231.2550000000001</v>
      </c>
      <c r="BA58" s="3245">
        <f t="shared" si="227"/>
        <v>2064</v>
      </c>
      <c r="BB58" s="3246">
        <f t="shared" si="228"/>
        <v>2116.654</v>
      </c>
      <c r="BC58" s="3266">
        <f t="shared" si="229"/>
        <v>4306</v>
      </c>
      <c r="BD58" s="3267">
        <f t="shared" si="230"/>
        <v>2807.28</v>
      </c>
      <c r="BE58" s="3268">
        <f t="shared" si="231"/>
        <v>2152.34</v>
      </c>
      <c r="BF58" s="3268">
        <f t="shared" si="232"/>
        <v>2011.6849999999999</v>
      </c>
      <c r="BG58" s="3268">
        <f t="shared" si="233"/>
        <v>1862.5450000000001</v>
      </c>
      <c r="BH58" s="3270">
        <f t="shared" si="234"/>
        <v>1923.248</v>
      </c>
      <c r="BI58" s="4775"/>
      <c r="BJ58" s="4794">
        <f t="shared" si="46"/>
        <v>2201.6228404309168</v>
      </c>
      <c r="BK58" s="4794">
        <f t="shared" si="47"/>
        <v>1435.3394722445203</v>
      </c>
      <c r="BL58" s="4794">
        <f t="shared" si="48"/>
        <v>1100.473967573869</v>
      </c>
      <c r="BM58" s="4794">
        <f t="shared" si="49"/>
        <v>1028.5582080242148</v>
      </c>
      <c r="BN58" s="4794">
        <f t="shared" si="50"/>
        <v>952.30413686261079</v>
      </c>
      <c r="BO58" s="4794">
        <f t="shared" si="51"/>
        <v>983.34108792686482</v>
      </c>
      <c r="BP58" s="4794">
        <f t="shared" si="52"/>
        <v>-766.2833681863965</v>
      </c>
      <c r="BQ58" s="4794">
        <f t="shared" si="53"/>
        <v>237.7507247562416</v>
      </c>
      <c r="BR58" s="4794">
        <f t="shared" si="54"/>
        <v>78.374909884805945</v>
      </c>
      <c r="BS58" s="4794">
        <f t="shared" si="55"/>
        <v>76.555733371509788</v>
      </c>
      <c r="BT58" s="4794">
        <f t="shared" si="56"/>
        <v>74.735534274451254</v>
      </c>
      <c r="BU58" s="4794">
        <f t="shared" si="57"/>
        <v>67.881666607015944</v>
      </c>
      <c r="BV58" s="4794">
        <f t="shared" si="58"/>
        <v>66.189801772137656</v>
      </c>
      <c r="BW58" s="4794">
        <f t="shared" si="59"/>
        <v>-159.37581487143567</v>
      </c>
      <c r="BX58" s="4794">
        <f t="shared" si="60"/>
        <v>66.672461307986893</v>
      </c>
      <c r="BY58" s="4794">
        <f t="shared" si="61"/>
        <v>42.403992167008383</v>
      </c>
      <c r="BZ58" s="4794">
        <f t="shared" si="62"/>
        <v>39.94723467786055</v>
      </c>
      <c r="CA58" s="4794">
        <f t="shared" si="63"/>
        <v>37.52882407980244</v>
      </c>
      <c r="CB58" s="4794">
        <f t="shared" si="64"/>
        <v>35.120639319368244</v>
      </c>
      <c r="CC58" s="4794">
        <f t="shared" si="65"/>
        <v>32.697115802498175</v>
      </c>
      <c r="CD58" s="4794">
        <f t="shared" si="66"/>
        <v>-24.268469140978514</v>
      </c>
      <c r="CE58" s="4794">
        <f t="shared" si="67"/>
        <v>0</v>
      </c>
      <c r="CF58" s="4794">
        <f t="shared" si="68"/>
        <v>0</v>
      </c>
      <c r="CG58" s="4794">
        <f t="shared" si="69"/>
        <v>0</v>
      </c>
      <c r="CH58" s="4794">
        <f t="shared" si="70"/>
        <v>0</v>
      </c>
      <c r="CI58" s="4794">
        <f t="shared" si="71"/>
        <v>0</v>
      </c>
      <c r="CJ58" s="4794">
        <f t="shared" si="72"/>
        <v>0</v>
      </c>
      <c r="CK58" s="4794">
        <f t="shared" si="73"/>
        <v>0</v>
      </c>
      <c r="CL58" s="4794">
        <f t="shared" si="74"/>
        <v>0</v>
      </c>
      <c r="CM58" s="4794">
        <f t="shared" si="75"/>
        <v>0</v>
      </c>
      <c r="CN58" s="4794">
        <f t="shared" si="76"/>
        <v>0</v>
      </c>
      <c r="CO58" s="4794">
        <f t="shared" si="77"/>
        <v>0</v>
      </c>
      <c r="CP58" s="4794">
        <f t="shared" si="78"/>
        <v>0</v>
      </c>
      <c r="CQ58" s="4794">
        <f t="shared" si="79"/>
        <v>0</v>
      </c>
      <c r="CR58" s="4794">
        <f t="shared" si="80"/>
        <v>0</v>
      </c>
      <c r="CS58" s="4794">
        <f t="shared" si="81"/>
        <v>0</v>
      </c>
      <c r="CT58" s="4794">
        <f t="shared" si="82"/>
        <v>0</v>
      </c>
      <c r="CU58" s="4794">
        <f t="shared" si="83"/>
        <v>0</v>
      </c>
      <c r="CV58" s="4794">
        <f t="shared" si="84"/>
        <v>0</v>
      </c>
      <c r="CW58" s="4794">
        <f t="shared" si="85"/>
        <v>0</v>
      </c>
      <c r="CX58" s="4794">
        <f t="shared" si="86"/>
        <v>0</v>
      </c>
      <c r="CY58" s="4794">
        <f t="shared" si="87"/>
        <v>2506.0460264951453</v>
      </c>
      <c r="CZ58" s="4794">
        <f t="shared" si="88"/>
        <v>1556.1183742963347</v>
      </c>
      <c r="DA58" s="4794">
        <f t="shared" si="89"/>
        <v>1216.9769356232393</v>
      </c>
      <c r="DB58" s="4794">
        <f t="shared" si="90"/>
        <v>1140.8225663784685</v>
      </c>
      <c r="DC58" s="4794">
        <f t="shared" si="91"/>
        <v>1055.3064427889949</v>
      </c>
      <c r="DD58" s="4794">
        <f t="shared" si="92"/>
        <v>1082.2280055015008</v>
      </c>
      <c r="DE58" s="4794">
        <f t="shared" si="93"/>
        <v>2201.6228404309168</v>
      </c>
      <c r="DF58" s="4794">
        <f t="shared" si="94"/>
        <v>1435.3394722445203</v>
      </c>
      <c r="DG58" s="4794">
        <f t="shared" si="95"/>
        <v>1100.473967573869</v>
      </c>
      <c r="DH58" s="4794">
        <f t="shared" si="96"/>
        <v>1028.5582080242148</v>
      </c>
      <c r="DI58" s="4794">
        <f t="shared" si="97"/>
        <v>952.30413686261079</v>
      </c>
      <c r="DJ58" s="4794">
        <f t="shared" si="98"/>
        <v>983.34108792686482</v>
      </c>
    </row>
    <row r="59" spans="1:114" ht="13.5" thickBot="1">
      <c r="A59" s="115">
        <v>4</v>
      </c>
      <c r="B59" s="913" t="s">
        <v>448</v>
      </c>
      <c r="C59" s="1129">
        <f t="shared" ref="C59:BB59" si="235">SUM(C60:C62)</f>
        <v>6984</v>
      </c>
      <c r="D59" s="924">
        <f t="shared" si="235"/>
        <v>10247</v>
      </c>
      <c r="E59" s="1166">
        <f t="shared" si="235"/>
        <v>11570</v>
      </c>
      <c r="F59" s="1166">
        <f t="shared" si="235"/>
        <v>13185</v>
      </c>
      <c r="G59" s="1166">
        <f t="shared" si="235"/>
        <v>14790</v>
      </c>
      <c r="H59" s="1167">
        <f t="shared" si="235"/>
        <v>16620</v>
      </c>
      <c r="I59" s="1265">
        <f t="shared" si="198"/>
        <v>3263</v>
      </c>
      <c r="J59" s="836">
        <f t="shared" si="199"/>
        <v>0.46721076746849943</v>
      </c>
      <c r="K59" s="1129">
        <f t="shared" si="235"/>
        <v>1727</v>
      </c>
      <c r="L59" s="924">
        <f t="shared" si="235"/>
        <v>2449</v>
      </c>
      <c r="M59" s="1166">
        <f t="shared" si="235"/>
        <v>2824</v>
      </c>
      <c r="N59" s="1166">
        <f t="shared" si="235"/>
        <v>3146</v>
      </c>
      <c r="O59" s="1166">
        <f t="shared" si="235"/>
        <v>3593</v>
      </c>
      <c r="P59" s="1167">
        <f t="shared" si="235"/>
        <v>4112</v>
      </c>
      <c r="Q59" s="1265">
        <f t="shared" si="200"/>
        <v>722</v>
      </c>
      <c r="R59" s="894">
        <f t="shared" si="201"/>
        <v>0.41806601042269831</v>
      </c>
      <c r="S59" s="1129">
        <f t="shared" si="235"/>
        <v>1534</v>
      </c>
      <c r="T59" s="924">
        <f t="shared" si="235"/>
        <v>2207</v>
      </c>
      <c r="U59" s="1166">
        <f t="shared" si="235"/>
        <v>2432</v>
      </c>
      <c r="V59" s="1166">
        <f t="shared" si="235"/>
        <v>2776</v>
      </c>
      <c r="W59" s="1166">
        <f t="shared" si="235"/>
        <v>3170</v>
      </c>
      <c r="X59" s="1167">
        <f t="shared" si="235"/>
        <v>3626</v>
      </c>
      <c r="Y59" s="1265">
        <f t="shared" si="168"/>
        <v>673</v>
      </c>
      <c r="Z59" s="894">
        <f t="shared" si="169"/>
        <v>0.43872229465449802</v>
      </c>
      <c r="AA59" s="1129">
        <f t="shared" ref="AA59:AN59" si="236">SUM(AA60:AA62)</f>
        <v>0</v>
      </c>
      <c r="AB59" s="924">
        <f t="shared" si="236"/>
        <v>0</v>
      </c>
      <c r="AC59" s="1166">
        <f t="shared" si="236"/>
        <v>0</v>
      </c>
      <c r="AD59" s="1166">
        <f t="shared" si="236"/>
        <v>0</v>
      </c>
      <c r="AE59" s="1166">
        <f t="shared" si="236"/>
        <v>0</v>
      </c>
      <c r="AF59" s="1167">
        <f t="shared" si="236"/>
        <v>0</v>
      </c>
      <c r="AG59" s="1265">
        <f t="shared" si="203"/>
        <v>0</v>
      </c>
      <c r="AH59" s="836">
        <f t="shared" si="204"/>
        <v>0</v>
      </c>
      <c r="AI59" s="1129">
        <f t="shared" si="236"/>
        <v>0</v>
      </c>
      <c r="AJ59" s="924">
        <f t="shared" si="236"/>
        <v>0</v>
      </c>
      <c r="AK59" s="1166">
        <f t="shared" si="236"/>
        <v>0</v>
      </c>
      <c r="AL59" s="1166">
        <f t="shared" si="236"/>
        <v>0</v>
      </c>
      <c r="AM59" s="1166">
        <f t="shared" si="236"/>
        <v>0</v>
      </c>
      <c r="AN59" s="3261">
        <f t="shared" si="236"/>
        <v>0</v>
      </c>
      <c r="AO59" s="1265">
        <f t="shared" si="205"/>
        <v>0</v>
      </c>
      <c r="AP59" s="836">
        <f t="shared" si="206"/>
        <v>0</v>
      </c>
      <c r="AQ59" s="1129">
        <f t="shared" si="235"/>
        <v>430</v>
      </c>
      <c r="AR59" s="924">
        <f t="shared" si="235"/>
        <v>476</v>
      </c>
      <c r="AS59" s="1166">
        <f t="shared" si="235"/>
        <v>548</v>
      </c>
      <c r="AT59" s="1166">
        <f t="shared" si="235"/>
        <v>630</v>
      </c>
      <c r="AU59" s="1166">
        <f t="shared" si="235"/>
        <v>724</v>
      </c>
      <c r="AV59" s="3261">
        <f t="shared" si="235"/>
        <v>833</v>
      </c>
      <c r="AW59" s="1129">
        <f t="shared" si="235"/>
        <v>10245</v>
      </c>
      <c r="AX59" s="924">
        <f t="shared" si="235"/>
        <v>14903</v>
      </c>
      <c r="AY59" s="1166">
        <f t="shared" si="235"/>
        <v>16826</v>
      </c>
      <c r="AZ59" s="1166">
        <f t="shared" si="235"/>
        <v>19107</v>
      </c>
      <c r="BA59" s="1166">
        <f t="shared" si="235"/>
        <v>21553</v>
      </c>
      <c r="BB59" s="3261">
        <f t="shared" si="235"/>
        <v>24358</v>
      </c>
      <c r="BC59" s="1129">
        <f t="shared" ref="BC59:BH59" si="237">SUM(BC60:BC62)</f>
        <v>6984</v>
      </c>
      <c r="BD59" s="924">
        <f t="shared" si="237"/>
        <v>10247</v>
      </c>
      <c r="BE59" s="1166">
        <f t="shared" si="237"/>
        <v>11570</v>
      </c>
      <c r="BF59" s="1166">
        <f t="shared" si="237"/>
        <v>13185</v>
      </c>
      <c r="BG59" s="1166">
        <f t="shared" si="237"/>
        <v>14790</v>
      </c>
      <c r="BH59" s="3261">
        <f t="shared" si="237"/>
        <v>16620</v>
      </c>
      <c r="BI59" s="4775"/>
      <c r="BJ59" s="4794">
        <f t="shared" si="46"/>
        <v>3570.86249827439</v>
      </c>
      <c r="BK59" s="4794">
        <f t="shared" si="47"/>
        <v>5239.2079066176511</v>
      </c>
      <c r="BL59" s="4794">
        <f t="shared" si="48"/>
        <v>5915.6470654402483</v>
      </c>
      <c r="BM59" s="4794">
        <f t="shared" si="49"/>
        <v>6741.3834535721408</v>
      </c>
      <c r="BN59" s="4794">
        <f t="shared" si="50"/>
        <v>7562.006922892072</v>
      </c>
      <c r="BO59" s="4794">
        <f t="shared" si="51"/>
        <v>8497.6710654811523</v>
      </c>
      <c r="BP59" s="4794">
        <f t="shared" si="52"/>
        <v>1668.3454083432609</v>
      </c>
      <c r="BQ59" s="4794">
        <f t="shared" si="53"/>
        <v>883.0010788258694</v>
      </c>
      <c r="BR59" s="4794">
        <f t="shared" si="54"/>
        <v>1252.1538170495392</v>
      </c>
      <c r="BS59" s="4794">
        <f t="shared" si="55"/>
        <v>1443.8882724981211</v>
      </c>
      <c r="BT59" s="4794">
        <f t="shared" si="56"/>
        <v>1608.5242582433034</v>
      </c>
      <c r="BU59" s="4794">
        <f t="shared" si="57"/>
        <v>1837.0717291380131</v>
      </c>
      <c r="BV59" s="4794">
        <f t="shared" si="58"/>
        <v>2102.4322154788506</v>
      </c>
      <c r="BW59" s="4794">
        <f t="shared" si="59"/>
        <v>369.15273822366976</v>
      </c>
      <c r="BX59" s="4794">
        <f t="shared" si="60"/>
        <v>784.32174575499914</v>
      </c>
      <c r="BY59" s="4794">
        <f t="shared" si="61"/>
        <v>1128.4211818000542</v>
      </c>
      <c r="BZ59" s="4794">
        <f t="shared" si="62"/>
        <v>1243.4618550692035</v>
      </c>
      <c r="CA59" s="4794">
        <f t="shared" si="63"/>
        <v>1419.3462622007025</v>
      </c>
      <c r="CB59" s="4794">
        <f t="shared" si="64"/>
        <v>1620.7952633920127</v>
      </c>
      <c r="CC59" s="4794">
        <f t="shared" si="65"/>
        <v>1853.9443612174882</v>
      </c>
      <c r="CD59" s="4794">
        <f t="shared" si="66"/>
        <v>344.09943604505503</v>
      </c>
      <c r="CE59" s="4794">
        <f t="shared" si="67"/>
        <v>0</v>
      </c>
      <c r="CF59" s="4794">
        <f t="shared" si="68"/>
        <v>0</v>
      </c>
      <c r="CG59" s="4794">
        <f t="shared" si="69"/>
        <v>0</v>
      </c>
      <c r="CH59" s="4794">
        <f t="shared" si="70"/>
        <v>0</v>
      </c>
      <c r="CI59" s="4794">
        <f t="shared" si="71"/>
        <v>0</v>
      </c>
      <c r="CJ59" s="4794">
        <f t="shared" si="72"/>
        <v>0</v>
      </c>
      <c r="CK59" s="4794">
        <f t="shared" si="73"/>
        <v>0</v>
      </c>
      <c r="CL59" s="4794">
        <f t="shared" si="74"/>
        <v>0</v>
      </c>
      <c r="CM59" s="4794">
        <f t="shared" si="75"/>
        <v>0</v>
      </c>
      <c r="CN59" s="4794">
        <f t="shared" si="76"/>
        <v>0</v>
      </c>
      <c r="CO59" s="4794">
        <f t="shared" si="77"/>
        <v>0</v>
      </c>
      <c r="CP59" s="4794">
        <f t="shared" si="78"/>
        <v>0</v>
      </c>
      <c r="CQ59" s="4794">
        <f t="shared" si="79"/>
        <v>0</v>
      </c>
      <c r="CR59" s="4794">
        <f t="shared" si="80"/>
        <v>0</v>
      </c>
      <c r="CS59" s="4794">
        <f t="shared" si="81"/>
        <v>219.85550891437396</v>
      </c>
      <c r="CT59" s="4794">
        <f t="shared" si="82"/>
        <v>243.3749354494</v>
      </c>
      <c r="CU59" s="4794">
        <f t="shared" si="83"/>
        <v>280.18795089552776</v>
      </c>
      <c r="CV59" s="4794">
        <f t="shared" si="84"/>
        <v>322.11388515361767</v>
      </c>
      <c r="CW59" s="4794">
        <f t="shared" si="85"/>
        <v>370.17532198606222</v>
      </c>
      <c r="CX59" s="4794">
        <f t="shared" si="86"/>
        <v>425.90613703644999</v>
      </c>
      <c r="CY59" s="4794">
        <f t="shared" si="87"/>
        <v>5238.1853228552582</v>
      </c>
      <c r="CZ59" s="4794">
        <f t="shared" si="88"/>
        <v>7619.7829054672438</v>
      </c>
      <c r="DA59" s="4794">
        <f t="shared" si="89"/>
        <v>8602.9971930075717</v>
      </c>
      <c r="DB59" s="4794">
        <f t="shared" si="90"/>
        <v>9769.2539740161465</v>
      </c>
      <c r="DC59" s="4794">
        <f t="shared" si="91"/>
        <v>11019.873915422097</v>
      </c>
      <c r="DD59" s="4794">
        <f t="shared" si="92"/>
        <v>12454.047642177489</v>
      </c>
      <c r="DE59" s="4794">
        <f t="shared" si="93"/>
        <v>3570.86249827439</v>
      </c>
      <c r="DF59" s="4794">
        <f t="shared" si="94"/>
        <v>5239.2079066176511</v>
      </c>
      <c r="DG59" s="4794">
        <f t="shared" si="95"/>
        <v>5915.6470654402483</v>
      </c>
      <c r="DH59" s="4794">
        <f t="shared" si="96"/>
        <v>6741.3834535721408</v>
      </c>
      <c r="DI59" s="4794">
        <f t="shared" si="97"/>
        <v>7562.006922892072</v>
      </c>
      <c r="DJ59" s="4794">
        <f t="shared" si="98"/>
        <v>8497.6710654811523</v>
      </c>
    </row>
    <row r="60" spans="1:114" ht="12.75">
      <c r="A60" s="113" t="s">
        <v>101</v>
      </c>
      <c r="B60" s="917" t="s">
        <v>265</v>
      </c>
      <c r="C60" s="1131">
        <f>'5. Персонал'!C29-'5. Персонал'!C39-'5. Персонал'!C40</f>
        <v>6558</v>
      </c>
      <c r="D60" s="3245">
        <f>'5. Персонал'!D29-'5. Персонал'!D39-'5. Персонал'!D40</f>
        <v>9440</v>
      </c>
      <c r="E60" s="3245">
        <f>'5. Персонал'!E29-'5. Персонал'!E39-'5. Персонал'!E40</f>
        <v>10642</v>
      </c>
      <c r="F60" s="3245">
        <f>'5. Персонал'!F29-'5. Персонал'!F39-'5. Персонал'!F40</f>
        <v>12117</v>
      </c>
      <c r="G60" s="3245">
        <f>'5. Персонал'!G29-'5. Персонал'!G39-'5. Персонал'!G40</f>
        <v>13563</v>
      </c>
      <c r="H60" s="3246">
        <f>'5. Персонал'!H29-'5. Персонал'!H39-'5. Персонал'!H40</f>
        <v>15208</v>
      </c>
      <c r="I60" s="1270">
        <f t="shared" si="198"/>
        <v>2882</v>
      </c>
      <c r="J60" s="842">
        <f t="shared" si="199"/>
        <v>0.43946325099115585</v>
      </c>
      <c r="K60" s="1131">
        <f>'5. Персонал'!I29-'5. Персонал'!I39-'5. Персонал'!I40</f>
        <v>1664</v>
      </c>
      <c r="L60" s="3245">
        <f>'5. Персонал'!J29-'5. Персонал'!J39-'5. Персонал'!J40</f>
        <v>2335</v>
      </c>
      <c r="M60" s="3245">
        <f>'5. Персонал'!K29-'5. Персонал'!K39-'5. Персонал'!K40</f>
        <v>2694</v>
      </c>
      <c r="N60" s="3245">
        <f>'5. Персонал'!L29-'5. Персонал'!L39-'5. Персонал'!L40</f>
        <v>2997</v>
      </c>
      <c r="O60" s="3245">
        <f>'5. Персонал'!M29-'5. Персонал'!M39-'5. Персонал'!M40</f>
        <v>3421</v>
      </c>
      <c r="P60" s="3246">
        <f>'5. Персонал'!N29-'5. Персонал'!N39-'5. Персонал'!N40</f>
        <v>3914</v>
      </c>
      <c r="Q60" s="1270">
        <f t="shared" si="200"/>
        <v>671</v>
      </c>
      <c r="R60" s="1140">
        <f t="shared" si="201"/>
        <v>0.40324519230769229</v>
      </c>
      <c r="S60" s="1131">
        <f>'5. Персонал'!O29-'5. Персонал'!O39-'5. Персонал'!O40</f>
        <v>1512</v>
      </c>
      <c r="T60" s="3245">
        <f>'5. Персонал'!P29-'5. Персонал'!P39-'5. Персонал'!P40</f>
        <v>2182</v>
      </c>
      <c r="U60" s="3245">
        <f>'5. Персонал'!Q29-'5. Персонал'!Q39-'5. Персонал'!Q40</f>
        <v>2404</v>
      </c>
      <c r="V60" s="3245">
        <f>'5. Персонал'!R29-'5. Персонал'!R39-'5. Персонал'!R40</f>
        <v>2743.7</v>
      </c>
      <c r="W60" s="3245">
        <f>'5. Персонал'!S29-'5. Персонал'!S39-'5. Персонал'!S40</f>
        <v>3132.35</v>
      </c>
      <c r="X60" s="3246">
        <f>'5. Персонал'!T29-'5. Персонал'!T39-'5. Персонал'!T40</f>
        <v>3582.95</v>
      </c>
      <c r="Y60" s="1270">
        <f t="shared" si="168"/>
        <v>670</v>
      </c>
      <c r="Z60" s="1140">
        <f t="shared" si="169"/>
        <v>0.44312169312169314</v>
      </c>
      <c r="AA60" s="1131">
        <f>'5. Персонал'!U29-'5. Персонал'!U39-'5. Персонал'!U40</f>
        <v>0</v>
      </c>
      <c r="AB60" s="3245">
        <f>'5. Персонал'!V29-'5. Персонал'!V39-'5. Персонал'!V40</f>
        <v>0</v>
      </c>
      <c r="AC60" s="3245">
        <f>'5. Персонал'!W29-'5. Персонал'!W39-'5. Персонал'!W40</f>
        <v>0</v>
      </c>
      <c r="AD60" s="3245">
        <f>'5. Персонал'!X29-'5. Персонал'!X39-'5. Персонал'!X40</f>
        <v>0</v>
      </c>
      <c r="AE60" s="3245">
        <f>'5. Персонал'!Y29-'5. Персонал'!Y39-'5. Персонал'!Y40</f>
        <v>0</v>
      </c>
      <c r="AF60" s="3246">
        <f>'5. Персонал'!Z29-'5. Персонал'!Z39-'5. Персонал'!Z40</f>
        <v>0</v>
      </c>
      <c r="AG60" s="1270">
        <f t="shared" si="203"/>
        <v>0</v>
      </c>
      <c r="AH60" s="842">
        <f t="shared" si="204"/>
        <v>0</v>
      </c>
      <c r="AI60" s="1131">
        <f>'5. Персонал'!AA29-'5. Персонал'!AA39-'5. Персонал'!AA40</f>
        <v>0</v>
      </c>
      <c r="AJ60" s="3245">
        <f>'5. Персонал'!AB29-'5. Персонал'!AB39-'5. Персонал'!AB40</f>
        <v>0</v>
      </c>
      <c r="AK60" s="3245">
        <f>'5. Персонал'!AC29-'5. Персонал'!AC39-'5. Персонал'!AC40</f>
        <v>0</v>
      </c>
      <c r="AL60" s="3245">
        <f>'5. Персонал'!AD29-'5. Персонал'!AD39-'5. Персонал'!AD40</f>
        <v>0</v>
      </c>
      <c r="AM60" s="3245">
        <f>'5. Персонал'!AE29-'5. Персонал'!AE39-'5. Персонал'!AE40</f>
        <v>0</v>
      </c>
      <c r="AN60" s="3254">
        <f>'5. Персонал'!AF29-'5. Персонал'!AF39-'5. Персонал'!AF40</f>
        <v>0</v>
      </c>
      <c r="AO60" s="1270">
        <f t="shared" si="205"/>
        <v>0</v>
      </c>
      <c r="AP60" s="842">
        <f t="shared" si="206"/>
        <v>0</v>
      </c>
      <c r="AQ60" s="1131">
        <f>'5. Персонал'!AG29-'5. Персонал'!AG39-'5. Персонал'!AG40</f>
        <v>430</v>
      </c>
      <c r="AR60" s="3245">
        <f>'5. Персонал'!AH29-'5. Персонал'!AH39-'5. Персонал'!AH40</f>
        <v>476</v>
      </c>
      <c r="AS60" s="3245">
        <f>'5. Персонал'!AI29-'5. Персонал'!AI39-'5. Персонал'!AI40</f>
        <v>548</v>
      </c>
      <c r="AT60" s="3245">
        <f>'5. Персонал'!AJ29-'5. Персонал'!AJ39-'5. Персонал'!AJ40</f>
        <v>630</v>
      </c>
      <c r="AU60" s="3245">
        <f>'5. Персонал'!AK29-'5. Персонал'!AK39-'5. Персонал'!AK40</f>
        <v>724</v>
      </c>
      <c r="AV60" s="3254">
        <f>'5. Персонал'!AL29-'5. Персонал'!AL39-'5. Персонал'!AL40</f>
        <v>833</v>
      </c>
      <c r="AW60" s="1131">
        <f t="shared" ref="AW60:AW62" si="238">C60+K60+S60+AA60+AI60</f>
        <v>9734</v>
      </c>
      <c r="AX60" s="3245">
        <f t="shared" ref="AX60:AX62" si="239">D60+L60+T60+AB60+AJ60</f>
        <v>13957</v>
      </c>
      <c r="AY60" s="3245">
        <f t="shared" ref="AY60:AY62" si="240">E60+M60+U60+AC60+AK60</f>
        <v>15740</v>
      </c>
      <c r="AZ60" s="3245">
        <f t="shared" ref="AZ60:AZ62" si="241">F60+N60+V60+AD60+AL60</f>
        <v>17857.7</v>
      </c>
      <c r="BA60" s="3245">
        <f t="shared" ref="BA60:BA62" si="242">G60+O60+W60+AE60+AM60</f>
        <v>20116.349999999999</v>
      </c>
      <c r="BB60" s="3246">
        <f t="shared" ref="BB60:BB62" si="243">H60+P60+X60+AF60+AN60</f>
        <v>22704.95</v>
      </c>
      <c r="BC60" s="3266">
        <f t="shared" ref="BC60:BC62" si="244">C60+AA60+AI60</f>
        <v>6558</v>
      </c>
      <c r="BD60" s="3267">
        <f t="shared" ref="BD60:BD62" si="245">D60+AB60+AJ60</f>
        <v>9440</v>
      </c>
      <c r="BE60" s="3268">
        <f t="shared" ref="BE60:BE62" si="246">E60+AC60+AK60</f>
        <v>10642</v>
      </c>
      <c r="BF60" s="3268">
        <f t="shared" ref="BF60:BF62" si="247">F60+AD60+AL60</f>
        <v>12117</v>
      </c>
      <c r="BG60" s="3268">
        <f t="shared" ref="BG60:BG62" si="248">G60+AE60+AM60</f>
        <v>13563</v>
      </c>
      <c r="BH60" s="3270">
        <f t="shared" ref="BH60:BH62" si="249">H60+AF60+AN60</f>
        <v>15208</v>
      </c>
      <c r="BI60" s="4775"/>
      <c r="BJ60" s="4794">
        <f t="shared" si="46"/>
        <v>3353.0521568848008</v>
      </c>
      <c r="BK60" s="4794">
        <f t="shared" si="47"/>
        <v>4826.5953584923027</v>
      </c>
      <c r="BL60" s="4794">
        <f t="shared" si="48"/>
        <v>5441.1681996901571</v>
      </c>
      <c r="BM60" s="4794">
        <f t="shared" si="49"/>
        <v>6195.3237244545799</v>
      </c>
      <c r="BN60" s="4794">
        <f t="shared" si="50"/>
        <v>6934.6517846643119</v>
      </c>
      <c r="BO60" s="4794">
        <f t="shared" si="51"/>
        <v>7775.7269292320907</v>
      </c>
      <c r="BP60" s="4794">
        <f t="shared" si="52"/>
        <v>1473.5432016075017</v>
      </c>
      <c r="BQ60" s="4794">
        <f t="shared" si="53"/>
        <v>850.78969031050758</v>
      </c>
      <c r="BR60" s="4794">
        <f t="shared" si="54"/>
        <v>1193.8665425931702</v>
      </c>
      <c r="BS60" s="4794">
        <f t="shared" si="55"/>
        <v>1377.4203279426126</v>
      </c>
      <c r="BT60" s="4794">
        <f t="shared" si="56"/>
        <v>1532.3417679450667</v>
      </c>
      <c r="BU60" s="4794">
        <f t="shared" si="57"/>
        <v>1749.1295255722634</v>
      </c>
      <c r="BV60" s="4794">
        <f t="shared" si="58"/>
        <v>2001.1964230019992</v>
      </c>
      <c r="BW60" s="4794">
        <f t="shared" si="59"/>
        <v>343.07685228266263</v>
      </c>
      <c r="BX60" s="4794">
        <f t="shared" si="60"/>
        <v>773.07332436868239</v>
      </c>
      <c r="BY60" s="4794">
        <f t="shared" si="61"/>
        <v>1115.6388847701487</v>
      </c>
      <c r="BZ60" s="4794">
        <f t="shared" si="62"/>
        <v>1229.1456823957092</v>
      </c>
      <c r="CA60" s="4794">
        <f t="shared" si="63"/>
        <v>1402.8315344380646</v>
      </c>
      <c r="CB60" s="4794">
        <f t="shared" si="64"/>
        <v>1601.545124064975</v>
      </c>
      <c r="CC60" s="4794">
        <f t="shared" si="65"/>
        <v>1831.9332457319911</v>
      </c>
      <c r="CD60" s="4794">
        <f t="shared" si="66"/>
        <v>342.56556040146637</v>
      </c>
      <c r="CE60" s="4794">
        <f t="shared" si="67"/>
        <v>0</v>
      </c>
      <c r="CF60" s="4794">
        <f t="shared" si="68"/>
        <v>0</v>
      </c>
      <c r="CG60" s="4794">
        <f t="shared" si="69"/>
        <v>0</v>
      </c>
      <c r="CH60" s="4794">
        <f t="shared" si="70"/>
        <v>0</v>
      </c>
      <c r="CI60" s="4794">
        <f t="shared" si="71"/>
        <v>0</v>
      </c>
      <c r="CJ60" s="4794">
        <f t="shared" si="72"/>
        <v>0</v>
      </c>
      <c r="CK60" s="4794">
        <f t="shared" si="73"/>
        <v>0</v>
      </c>
      <c r="CL60" s="4794">
        <f t="shared" si="74"/>
        <v>0</v>
      </c>
      <c r="CM60" s="4794">
        <f t="shared" si="75"/>
        <v>0</v>
      </c>
      <c r="CN60" s="4794">
        <f t="shared" si="76"/>
        <v>0</v>
      </c>
      <c r="CO60" s="4794">
        <f t="shared" si="77"/>
        <v>0</v>
      </c>
      <c r="CP60" s="4794">
        <f t="shared" si="78"/>
        <v>0</v>
      </c>
      <c r="CQ60" s="4794">
        <f t="shared" si="79"/>
        <v>0</v>
      </c>
      <c r="CR60" s="4794">
        <f t="shared" si="80"/>
        <v>0</v>
      </c>
      <c r="CS60" s="4794">
        <f t="shared" si="81"/>
        <v>219.85550891437396</v>
      </c>
      <c r="CT60" s="4794">
        <f t="shared" si="82"/>
        <v>243.3749354494</v>
      </c>
      <c r="CU60" s="4794">
        <f t="shared" si="83"/>
        <v>280.18795089552776</v>
      </c>
      <c r="CV60" s="4794">
        <f t="shared" si="84"/>
        <v>322.11388515361767</v>
      </c>
      <c r="CW60" s="4794">
        <f t="shared" si="85"/>
        <v>370.17532198606222</v>
      </c>
      <c r="CX60" s="4794">
        <f t="shared" si="86"/>
        <v>425.90613703644999</v>
      </c>
      <c r="CY60" s="4794">
        <f t="shared" si="87"/>
        <v>4976.915171563991</v>
      </c>
      <c r="CZ60" s="4794">
        <f t="shared" si="88"/>
        <v>7136.1007858556213</v>
      </c>
      <c r="DA60" s="4794">
        <f t="shared" si="89"/>
        <v>8047.7342100284795</v>
      </c>
      <c r="DB60" s="4794">
        <f t="shared" si="90"/>
        <v>9130.497026837711</v>
      </c>
      <c r="DC60" s="4794">
        <f t="shared" si="91"/>
        <v>10285.326434301549</v>
      </c>
      <c r="DD60" s="4794">
        <f t="shared" si="92"/>
        <v>11608.856597966082</v>
      </c>
      <c r="DE60" s="4794">
        <f t="shared" si="93"/>
        <v>3353.0521568848008</v>
      </c>
      <c r="DF60" s="4794">
        <f t="shared" si="94"/>
        <v>4826.5953584923027</v>
      </c>
      <c r="DG60" s="4794">
        <f t="shared" si="95"/>
        <v>5441.1681996901571</v>
      </c>
      <c r="DH60" s="4794">
        <f t="shared" si="96"/>
        <v>6195.3237244545799</v>
      </c>
      <c r="DI60" s="4794">
        <f t="shared" si="97"/>
        <v>6934.6517846643119</v>
      </c>
      <c r="DJ60" s="4794">
        <f t="shared" si="98"/>
        <v>7775.7269292320907</v>
      </c>
    </row>
    <row r="61" spans="1:114" s="692" customFormat="1" ht="24">
      <c r="A61" s="404" t="s">
        <v>102</v>
      </c>
      <c r="B61" s="920" t="s">
        <v>640</v>
      </c>
      <c r="C61" s="2816">
        <f>'8. Ремонтна програма'!J33</f>
        <v>352</v>
      </c>
      <c r="D61" s="1268">
        <f>'8. Ремонтна програма'!K33</f>
        <v>722</v>
      </c>
      <c r="E61" s="1152">
        <f>'8. Ремонтна програма'!L33</f>
        <v>830</v>
      </c>
      <c r="F61" s="1152">
        <f>'8. Ремонтна програма'!M33</f>
        <v>955</v>
      </c>
      <c r="G61" s="1152">
        <f>'8. Ремонтна програма'!N33</f>
        <v>1098</v>
      </c>
      <c r="H61" s="3271">
        <f>'8. Ремонтна програма'!O33</f>
        <v>1263</v>
      </c>
      <c r="I61" s="1268">
        <f t="shared" si="198"/>
        <v>370</v>
      </c>
      <c r="J61" s="838">
        <f t="shared" si="199"/>
        <v>1.0511363636363635</v>
      </c>
      <c r="K61" s="2816">
        <f>'8. Ремонтна програма'!J62</f>
        <v>45</v>
      </c>
      <c r="L61" s="1268">
        <f>'8. Ремонтна програма'!K62</f>
        <v>93</v>
      </c>
      <c r="M61" s="1152">
        <f>'8. Ремонтна програма'!L62</f>
        <v>106</v>
      </c>
      <c r="N61" s="1152">
        <f>'8. Ремонтна програма'!M62</f>
        <v>122</v>
      </c>
      <c r="O61" s="1152">
        <f>'8. Ремонтна програма'!N62</f>
        <v>141</v>
      </c>
      <c r="P61" s="3271">
        <f>'8. Ремонтна програма'!O62</f>
        <v>162</v>
      </c>
      <c r="Q61" s="1268">
        <f t="shared" si="200"/>
        <v>48</v>
      </c>
      <c r="R61" s="896">
        <f t="shared" si="201"/>
        <v>1.0666666666666667</v>
      </c>
      <c r="S61" s="2816">
        <f>'8. Ремонтна програма'!J88</f>
        <v>2</v>
      </c>
      <c r="T61" s="1268">
        <f>'8. Ремонтна програма'!K88</f>
        <v>2</v>
      </c>
      <c r="U61" s="1152">
        <f>'8. Ремонтна програма'!L88</f>
        <v>2</v>
      </c>
      <c r="V61" s="1152">
        <f>'8. Ремонтна програма'!M88</f>
        <v>2.2999999999999998</v>
      </c>
      <c r="W61" s="1152">
        <f>'8. Ремонтна програма'!N88</f>
        <v>2.65</v>
      </c>
      <c r="X61" s="3271">
        <f>'8. Ремонтна програма'!O88</f>
        <v>3.05</v>
      </c>
      <c r="Y61" s="1268">
        <f t="shared" si="168"/>
        <v>0</v>
      </c>
      <c r="Z61" s="896">
        <f t="shared" si="169"/>
        <v>0</v>
      </c>
      <c r="AA61" s="2816">
        <f>'8. Ремонтна програма'!J119</f>
        <v>0</v>
      </c>
      <c r="AB61" s="1268">
        <f>'8. Ремонтна програма'!K119</f>
        <v>0</v>
      </c>
      <c r="AC61" s="1152">
        <f>'8. Ремонтна програма'!L119</f>
        <v>0</v>
      </c>
      <c r="AD61" s="1152">
        <f>'8. Ремонтна програма'!M119</f>
        <v>0</v>
      </c>
      <c r="AE61" s="1152">
        <f>'8. Ремонтна програма'!N119</f>
        <v>0</v>
      </c>
      <c r="AF61" s="3271">
        <f>'8. Ремонтна програма'!O119</f>
        <v>0</v>
      </c>
      <c r="AG61" s="1268">
        <f t="shared" si="203"/>
        <v>0</v>
      </c>
      <c r="AH61" s="838">
        <f t="shared" si="204"/>
        <v>0</v>
      </c>
      <c r="AI61" s="1131">
        <f>'8. Ремонтна програма'!J150</f>
        <v>0</v>
      </c>
      <c r="AJ61" s="1274">
        <f>'8. Ремонтна програма'!K150</f>
        <v>0</v>
      </c>
      <c r="AK61" s="1155">
        <f>'8. Ремонтна програма'!L150</f>
        <v>0</v>
      </c>
      <c r="AL61" s="1155">
        <f>'8. Ремонтна програма'!M150</f>
        <v>0</v>
      </c>
      <c r="AM61" s="1155">
        <f>'8. Ремонтна програма'!N150</f>
        <v>0</v>
      </c>
      <c r="AN61" s="3262">
        <f>'8. Ремонтна програма'!O150</f>
        <v>0</v>
      </c>
      <c r="AO61" s="1268">
        <f t="shared" si="205"/>
        <v>0</v>
      </c>
      <c r="AP61" s="838">
        <f t="shared" si="206"/>
        <v>0</v>
      </c>
      <c r="AQ61" s="1131">
        <f>'5. Персонал'!AG39</f>
        <v>0</v>
      </c>
      <c r="AR61" s="1160">
        <f>'5. Персонал'!AH39</f>
        <v>0</v>
      </c>
      <c r="AS61" s="1155">
        <f>'5. Персонал'!AI39</f>
        <v>0</v>
      </c>
      <c r="AT61" s="1155">
        <f>'5. Персонал'!AJ39</f>
        <v>0</v>
      </c>
      <c r="AU61" s="1155">
        <f>'5. Персонал'!AK39</f>
        <v>0</v>
      </c>
      <c r="AV61" s="3262">
        <f>'5. Персонал'!AL39</f>
        <v>0</v>
      </c>
      <c r="AW61" s="1131">
        <f t="shared" si="238"/>
        <v>399</v>
      </c>
      <c r="AX61" s="3245">
        <f t="shared" si="239"/>
        <v>817</v>
      </c>
      <c r="AY61" s="3245">
        <f t="shared" si="240"/>
        <v>938</v>
      </c>
      <c r="AZ61" s="3245">
        <f t="shared" si="241"/>
        <v>1079.3</v>
      </c>
      <c r="BA61" s="3245">
        <f t="shared" si="242"/>
        <v>1241.6500000000001</v>
      </c>
      <c r="BB61" s="3246">
        <f t="shared" si="243"/>
        <v>1428.05</v>
      </c>
      <c r="BC61" s="3266">
        <f t="shared" si="244"/>
        <v>352</v>
      </c>
      <c r="BD61" s="3267">
        <f t="shared" si="245"/>
        <v>722</v>
      </c>
      <c r="BE61" s="3268">
        <f t="shared" si="246"/>
        <v>830</v>
      </c>
      <c r="BF61" s="3268">
        <f t="shared" si="247"/>
        <v>955</v>
      </c>
      <c r="BG61" s="3268">
        <f t="shared" si="248"/>
        <v>1098</v>
      </c>
      <c r="BH61" s="3270">
        <f t="shared" si="249"/>
        <v>1263</v>
      </c>
      <c r="BI61" s="4775"/>
      <c r="BJ61" s="4794">
        <f t="shared" si="46"/>
        <v>179.9747421810689</v>
      </c>
      <c r="BK61" s="4794">
        <f t="shared" si="47"/>
        <v>369.15273822366976</v>
      </c>
      <c r="BL61" s="4794">
        <f t="shared" si="48"/>
        <v>424.37226139286133</v>
      </c>
      <c r="BM61" s="4794">
        <f t="shared" si="49"/>
        <v>488.28374654238866</v>
      </c>
      <c r="BN61" s="4794">
        <f t="shared" si="50"/>
        <v>561.39848555344793</v>
      </c>
      <c r="BO61" s="4794">
        <f t="shared" si="51"/>
        <v>645.761645950824</v>
      </c>
      <c r="BP61" s="4794">
        <f t="shared" si="52"/>
        <v>189.17799604260085</v>
      </c>
      <c r="BQ61" s="4794">
        <f t="shared" si="53"/>
        <v>23.008134653829831</v>
      </c>
      <c r="BR61" s="4794">
        <f t="shared" si="54"/>
        <v>47.550144951248321</v>
      </c>
      <c r="BS61" s="4794">
        <f t="shared" si="55"/>
        <v>54.19693940679916</v>
      </c>
      <c r="BT61" s="4794">
        <f t="shared" si="56"/>
        <v>62.377609505938658</v>
      </c>
      <c r="BU61" s="4794">
        <f t="shared" si="57"/>
        <v>72.092155248666813</v>
      </c>
      <c r="BV61" s="4794">
        <f t="shared" si="58"/>
        <v>82.829284753787391</v>
      </c>
      <c r="BW61" s="4794">
        <f t="shared" si="59"/>
        <v>24.542010297418489</v>
      </c>
      <c r="BX61" s="4794">
        <f t="shared" si="60"/>
        <v>1.022583762392437</v>
      </c>
      <c r="BY61" s="4794">
        <f t="shared" si="61"/>
        <v>1.022583762392437</v>
      </c>
      <c r="BZ61" s="4794">
        <f t="shared" si="62"/>
        <v>1.022583762392437</v>
      </c>
      <c r="CA61" s="4794">
        <f t="shared" si="63"/>
        <v>1.1759713267513026</v>
      </c>
      <c r="CB61" s="4794">
        <f t="shared" si="64"/>
        <v>1.354923485169979</v>
      </c>
      <c r="CC61" s="4794">
        <f t="shared" si="65"/>
        <v>1.5594402376484664</v>
      </c>
      <c r="CD61" s="4794">
        <f t="shared" si="66"/>
        <v>0</v>
      </c>
      <c r="CE61" s="4794">
        <f t="shared" si="67"/>
        <v>0</v>
      </c>
      <c r="CF61" s="4794">
        <f t="shared" si="68"/>
        <v>0</v>
      </c>
      <c r="CG61" s="4794">
        <f t="shared" si="69"/>
        <v>0</v>
      </c>
      <c r="CH61" s="4794">
        <f t="shared" si="70"/>
        <v>0</v>
      </c>
      <c r="CI61" s="4794">
        <f t="shared" si="71"/>
        <v>0</v>
      </c>
      <c r="CJ61" s="4794">
        <f t="shared" si="72"/>
        <v>0</v>
      </c>
      <c r="CK61" s="4794">
        <f t="shared" si="73"/>
        <v>0</v>
      </c>
      <c r="CL61" s="4794">
        <f t="shared" si="74"/>
        <v>0</v>
      </c>
      <c r="CM61" s="4794">
        <f t="shared" si="75"/>
        <v>0</v>
      </c>
      <c r="CN61" s="4794">
        <f t="shared" si="76"/>
        <v>0</v>
      </c>
      <c r="CO61" s="4794">
        <f t="shared" si="77"/>
        <v>0</v>
      </c>
      <c r="CP61" s="4794">
        <f t="shared" si="78"/>
        <v>0</v>
      </c>
      <c r="CQ61" s="4794">
        <f t="shared" si="79"/>
        <v>0</v>
      </c>
      <c r="CR61" s="4794">
        <f t="shared" si="80"/>
        <v>0</v>
      </c>
      <c r="CS61" s="4794">
        <f t="shared" si="81"/>
        <v>0</v>
      </c>
      <c r="CT61" s="4794">
        <f t="shared" si="82"/>
        <v>0</v>
      </c>
      <c r="CU61" s="4794">
        <f t="shared" si="83"/>
        <v>0</v>
      </c>
      <c r="CV61" s="4794">
        <f t="shared" si="84"/>
        <v>0</v>
      </c>
      <c r="CW61" s="4794">
        <f t="shared" si="85"/>
        <v>0</v>
      </c>
      <c r="CX61" s="4794">
        <f t="shared" si="86"/>
        <v>0</v>
      </c>
      <c r="CY61" s="4794">
        <f t="shared" si="87"/>
        <v>204.00546059729118</v>
      </c>
      <c r="CZ61" s="4794">
        <f t="shared" si="88"/>
        <v>417.7254669373105</v>
      </c>
      <c r="DA61" s="4794">
        <f t="shared" si="89"/>
        <v>479.59178456205296</v>
      </c>
      <c r="DB61" s="4794">
        <f t="shared" si="90"/>
        <v>551.83732737507864</v>
      </c>
      <c r="DC61" s="4794">
        <f t="shared" si="91"/>
        <v>634.84556428728479</v>
      </c>
      <c r="DD61" s="4794">
        <f t="shared" si="92"/>
        <v>730.15037094225977</v>
      </c>
      <c r="DE61" s="4794">
        <f t="shared" si="93"/>
        <v>179.9747421810689</v>
      </c>
      <c r="DF61" s="4794">
        <f t="shared" si="94"/>
        <v>369.15273822366976</v>
      </c>
      <c r="DG61" s="4794">
        <f t="shared" si="95"/>
        <v>424.37226139286133</v>
      </c>
      <c r="DH61" s="4794">
        <f t="shared" si="96"/>
        <v>488.28374654238866</v>
      </c>
      <c r="DI61" s="4794">
        <f t="shared" si="97"/>
        <v>561.39848555344793</v>
      </c>
      <c r="DJ61" s="4794">
        <f t="shared" si="98"/>
        <v>645.761645950824</v>
      </c>
    </row>
    <row r="62" spans="1:114" ht="45" customHeight="1" thickBot="1">
      <c r="A62" s="113" t="s">
        <v>103</v>
      </c>
      <c r="B62" s="919" t="s">
        <v>1750</v>
      </c>
      <c r="C62" s="1131">
        <f>'5. Персонал'!C66</f>
        <v>74</v>
      </c>
      <c r="D62" s="926">
        <f>'5. Персонал'!D66</f>
        <v>85</v>
      </c>
      <c r="E62" s="926">
        <f>'5. Персонал'!E66</f>
        <v>98</v>
      </c>
      <c r="F62" s="926">
        <f>'5. Персонал'!F66</f>
        <v>113</v>
      </c>
      <c r="G62" s="926">
        <f>'5. Персонал'!G66</f>
        <v>129</v>
      </c>
      <c r="H62" s="1160">
        <f>'5. Персонал'!H66</f>
        <v>149</v>
      </c>
      <c r="I62" s="1274">
        <f t="shared" si="198"/>
        <v>11</v>
      </c>
      <c r="J62" s="842">
        <f t="shared" si="199"/>
        <v>0.14864864864864866</v>
      </c>
      <c r="K62" s="1131">
        <f>'5. Персонал'!I66</f>
        <v>18</v>
      </c>
      <c r="L62" s="926">
        <f>'5. Персонал'!J66</f>
        <v>21</v>
      </c>
      <c r="M62" s="926">
        <f>'5. Персонал'!K66</f>
        <v>24</v>
      </c>
      <c r="N62" s="926">
        <f>'5. Персонал'!L66</f>
        <v>27</v>
      </c>
      <c r="O62" s="926">
        <f>'5. Персонал'!M66</f>
        <v>31</v>
      </c>
      <c r="P62" s="1160">
        <f>'5. Персонал'!N66</f>
        <v>36</v>
      </c>
      <c r="Q62" s="1274">
        <f t="shared" si="200"/>
        <v>3</v>
      </c>
      <c r="R62" s="1140">
        <f t="shared" si="201"/>
        <v>0.16666666666666666</v>
      </c>
      <c r="S62" s="1131">
        <f>'5. Персонал'!O66</f>
        <v>20</v>
      </c>
      <c r="T62" s="926">
        <f>'5. Персонал'!P66</f>
        <v>23</v>
      </c>
      <c r="U62" s="926">
        <f>'5. Персонал'!Q66</f>
        <v>26</v>
      </c>
      <c r="V62" s="926">
        <f>'5. Персонал'!R66</f>
        <v>30</v>
      </c>
      <c r="W62" s="926">
        <f>'5. Персонал'!S66</f>
        <v>35</v>
      </c>
      <c r="X62" s="1160">
        <f>'5. Персонал'!T66</f>
        <v>40</v>
      </c>
      <c r="Y62" s="1274">
        <f t="shared" si="168"/>
        <v>3</v>
      </c>
      <c r="Z62" s="1140">
        <f t="shared" si="169"/>
        <v>0.15</v>
      </c>
      <c r="AA62" s="1131">
        <f>'5. Персонал'!U66</f>
        <v>0</v>
      </c>
      <c r="AB62" s="926">
        <f>'5. Персонал'!V66</f>
        <v>0</v>
      </c>
      <c r="AC62" s="926">
        <f>'5. Персонал'!W66</f>
        <v>0</v>
      </c>
      <c r="AD62" s="926">
        <f>'5. Персонал'!X66</f>
        <v>0</v>
      </c>
      <c r="AE62" s="926">
        <f>'5. Персонал'!Y66</f>
        <v>0</v>
      </c>
      <c r="AF62" s="1160">
        <f>'5. Персонал'!Z66</f>
        <v>0</v>
      </c>
      <c r="AG62" s="1274">
        <f t="shared" si="203"/>
        <v>0</v>
      </c>
      <c r="AH62" s="842">
        <f t="shared" si="204"/>
        <v>0</v>
      </c>
      <c r="AI62" s="1131">
        <f>'5. Персонал'!AA66</f>
        <v>0</v>
      </c>
      <c r="AJ62" s="926">
        <f>'5. Персонал'!AB66</f>
        <v>0</v>
      </c>
      <c r="AK62" s="926">
        <f>'5. Персонал'!AC66</f>
        <v>0</v>
      </c>
      <c r="AL62" s="926">
        <f>'5. Персонал'!AD66</f>
        <v>0</v>
      </c>
      <c r="AM62" s="926">
        <f>'5. Персонал'!AE66</f>
        <v>0</v>
      </c>
      <c r="AN62" s="3262">
        <f>'5. Персонал'!AF66</f>
        <v>0</v>
      </c>
      <c r="AO62" s="1274">
        <f t="shared" si="205"/>
        <v>0</v>
      </c>
      <c r="AP62" s="842">
        <f t="shared" si="206"/>
        <v>0</v>
      </c>
      <c r="AQ62" s="1131">
        <f>'5. Персонал'!AG66</f>
        <v>0</v>
      </c>
      <c r="AR62" s="926">
        <f>'5. Персонал'!AH66</f>
        <v>0</v>
      </c>
      <c r="AS62" s="926">
        <f>'5. Персонал'!AI66</f>
        <v>0</v>
      </c>
      <c r="AT62" s="926">
        <f>'5. Персонал'!AJ66</f>
        <v>0</v>
      </c>
      <c r="AU62" s="926">
        <f>'5. Персонал'!AK66</f>
        <v>0</v>
      </c>
      <c r="AV62" s="3262">
        <f>'5. Персонал'!AL66</f>
        <v>0</v>
      </c>
      <c r="AW62" s="1131">
        <f t="shared" si="238"/>
        <v>112</v>
      </c>
      <c r="AX62" s="926">
        <f t="shared" si="239"/>
        <v>129</v>
      </c>
      <c r="AY62" s="926">
        <f t="shared" si="240"/>
        <v>148</v>
      </c>
      <c r="AZ62" s="926">
        <f t="shared" si="241"/>
        <v>170</v>
      </c>
      <c r="BA62" s="926">
        <f t="shared" si="242"/>
        <v>195</v>
      </c>
      <c r="BB62" s="1160">
        <f t="shared" si="243"/>
        <v>225</v>
      </c>
      <c r="BC62" s="3266">
        <f t="shared" si="244"/>
        <v>74</v>
      </c>
      <c r="BD62" s="3267">
        <f t="shared" si="245"/>
        <v>85</v>
      </c>
      <c r="BE62" s="3268">
        <f t="shared" si="246"/>
        <v>98</v>
      </c>
      <c r="BF62" s="3268">
        <f t="shared" si="247"/>
        <v>113</v>
      </c>
      <c r="BG62" s="3268">
        <f t="shared" si="248"/>
        <v>129</v>
      </c>
      <c r="BH62" s="3270">
        <f t="shared" si="249"/>
        <v>149</v>
      </c>
      <c r="BI62" s="4775"/>
      <c r="BJ62" s="4794">
        <f t="shared" si="46"/>
        <v>37.835599208520172</v>
      </c>
      <c r="BK62" s="4794">
        <f t="shared" si="47"/>
        <v>43.459809901678575</v>
      </c>
      <c r="BL62" s="4794">
        <f t="shared" si="48"/>
        <v>50.106604357229415</v>
      </c>
      <c r="BM62" s="4794">
        <f t="shared" si="49"/>
        <v>57.775982575172691</v>
      </c>
      <c r="BN62" s="4794">
        <f t="shared" si="50"/>
        <v>65.956652674312181</v>
      </c>
      <c r="BO62" s="4794">
        <f t="shared" si="51"/>
        <v>76.182490298236559</v>
      </c>
      <c r="BP62" s="4794">
        <f t="shared" si="52"/>
        <v>5.6242106931584033</v>
      </c>
      <c r="BQ62" s="4794">
        <f t="shared" si="53"/>
        <v>9.2032538615319321</v>
      </c>
      <c r="BR62" s="4794">
        <f t="shared" si="54"/>
        <v>10.737129505120588</v>
      </c>
      <c r="BS62" s="4794">
        <f t="shared" si="55"/>
        <v>12.271005148709245</v>
      </c>
      <c r="BT62" s="4794">
        <f t="shared" si="56"/>
        <v>13.804880792297899</v>
      </c>
      <c r="BU62" s="4794">
        <f t="shared" si="57"/>
        <v>15.850048317082774</v>
      </c>
      <c r="BV62" s="4794">
        <f t="shared" si="58"/>
        <v>18.406507723063864</v>
      </c>
      <c r="BW62" s="4794">
        <f t="shared" si="59"/>
        <v>1.5338756435886556</v>
      </c>
      <c r="BX62" s="4794">
        <f t="shared" si="60"/>
        <v>10.22583762392437</v>
      </c>
      <c r="BY62" s="4794">
        <f t="shared" si="61"/>
        <v>11.759713267513025</v>
      </c>
      <c r="BZ62" s="4794">
        <f t="shared" si="62"/>
        <v>13.293588911101681</v>
      </c>
      <c r="CA62" s="4794">
        <f t="shared" si="63"/>
        <v>15.338756435886555</v>
      </c>
      <c r="CB62" s="4794">
        <f t="shared" si="64"/>
        <v>17.895215841867646</v>
      </c>
      <c r="CC62" s="4794">
        <f t="shared" si="65"/>
        <v>20.45167524784874</v>
      </c>
      <c r="CD62" s="4794">
        <f t="shared" si="66"/>
        <v>1.5338756435886556</v>
      </c>
      <c r="CE62" s="4794">
        <f t="shared" si="67"/>
        <v>0</v>
      </c>
      <c r="CF62" s="4794">
        <f t="shared" si="68"/>
        <v>0</v>
      </c>
      <c r="CG62" s="4794">
        <f t="shared" si="69"/>
        <v>0</v>
      </c>
      <c r="CH62" s="4794">
        <f t="shared" si="70"/>
        <v>0</v>
      </c>
      <c r="CI62" s="4794">
        <f t="shared" si="71"/>
        <v>0</v>
      </c>
      <c r="CJ62" s="4794">
        <f t="shared" si="72"/>
        <v>0</v>
      </c>
      <c r="CK62" s="4794">
        <f t="shared" si="73"/>
        <v>0</v>
      </c>
      <c r="CL62" s="4794">
        <f t="shared" si="74"/>
        <v>0</v>
      </c>
      <c r="CM62" s="4794">
        <f t="shared" si="75"/>
        <v>0</v>
      </c>
      <c r="CN62" s="4794">
        <f t="shared" si="76"/>
        <v>0</v>
      </c>
      <c r="CO62" s="4794">
        <f t="shared" si="77"/>
        <v>0</v>
      </c>
      <c r="CP62" s="4794">
        <f t="shared" si="78"/>
        <v>0</v>
      </c>
      <c r="CQ62" s="4794">
        <f t="shared" si="79"/>
        <v>0</v>
      </c>
      <c r="CR62" s="4794">
        <f t="shared" si="80"/>
        <v>0</v>
      </c>
      <c r="CS62" s="4794">
        <f t="shared" si="81"/>
        <v>0</v>
      </c>
      <c r="CT62" s="4794">
        <f t="shared" si="82"/>
        <v>0</v>
      </c>
      <c r="CU62" s="4794">
        <f t="shared" si="83"/>
        <v>0</v>
      </c>
      <c r="CV62" s="4794">
        <f t="shared" si="84"/>
        <v>0</v>
      </c>
      <c r="CW62" s="4794">
        <f t="shared" si="85"/>
        <v>0</v>
      </c>
      <c r="CX62" s="4794">
        <f t="shared" si="86"/>
        <v>0</v>
      </c>
      <c r="CY62" s="4794">
        <f t="shared" si="87"/>
        <v>57.264690693976469</v>
      </c>
      <c r="CZ62" s="4794">
        <f t="shared" si="88"/>
        <v>65.956652674312181</v>
      </c>
      <c r="DA62" s="4794">
        <f t="shared" si="89"/>
        <v>75.671198417040344</v>
      </c>
      <c r="DB62" s="4794">
        <f t="shared" si="90"/>
        <v>86.919619803357151</v>
      </c>
      <c r="DC62" s="4794">
        <f t="shared" si="91"/>
        <v>99.701916833262601</v>
      </c>
      <c r="DD62" s="4794">
        <f t="shared" si="92"/>
        <v>115.04067326914917</v>
      </c>
      <c r="DE62" s="4794">
        <f t="shared" si="93"/>
        <v>37.835599208520172</v>
      </c>
      <c r="DF62" s="4794">
        <f t="shared" si="94"/>
        <v>43.459809901678575</v>
      </c>
      <c r="DG62" s="4794">
        <f t="shared" si="95"/>
        <v>50.106604357229415</v>
      </c>
      <c r="DH62" s="4794">
        <f t="shared" si="96"/>
        <v>57.775982575172691</v>
      </c>
      <c r="DI62" s="4794">
        <f t="shared" si="97"/>
        <v>65.956652674312181</v>
      </c>
      <c r="DJ62" s="4794">
        <f t="shared" si="98"/>
        <v>76.182490298236559</v>
      </c>
    </row>
    <row r="63" spans="1:114" ht="13.5" thickBot="1">
      <c r="A63" s="115">
        <v>5</v>
      </c>
      <c r="B63" s="916" t="s">
        <v>449</v>
      </c>
      <c r="C63" s="1129">
        <f>SUM(C64:C69)</f>
        <v>2477</v>
      </c>
      <c r="D63" s="924">
        <f t="shared" ref="D63:H63" si="250">SUM(D64:D69)</f>
        <v>3558</v>
      </c>
      <c r="E63" s="1166">
        <f t="shared" si="250"/>
        <v>4091</v>
      </c>
      <c r="F63" s="1166">
        <f t="shared" si="250"/>
        <v>4705</v>
      </c>
      <c r="G63" s="1166">
        <f t="shared" si="250"/>
        <v>5411</v>
      </c>
      <c r="H63" s="1167">
        <f t="shared" si="250"/>
        <v>6222</v>
      </c>
      <c r="I63" s="1265">
        <f t="shared" si="198"/>
        <v>1081</v>
      </c>
      <c r="J63" s="836">
        <f t="shared" si="199"/>
        <v>0.43641501816713768</v>
      </c>
      <c r="K63" s="1129">
        <f t="shared" ref="K63:P63" si="251">SUM(K64:K69)</f>
        <v>644</v>
      </c>
      <c r="L63" s="924">
        <f t="shared" si="251"/>
        <v>929</v>
      </c>
      <c r="M63" s="1166">
        <f t="shared" si="251"/>
        <v>1067</v>
      </c>
      <c r="N63" s="1166">
        <f t="shared" si="251"/>
        <v>1228</v>
      </c>
      <c r="O63" s="1166">
        <f t="shared" si="251"/>
        <v>1412</v>
      </c>
      <c r="P63" s="1167">
        <f t="shared" si="251"/>
        <v>1624</v>
      </c>
      <c r="Q63" s="1265">
        <f t="shared" si="200"/>
        <v>285</v>
      </c>
      <c r="R63" s="894">
        <f t="shared" si="201"/>
        <v>0.44254658385093165</v>
      </c>
      <c r="S63" s="1129">
        <f t="shared" ref="S63:X63" si="252">SUM(S64:S69)</f>
        <v>548</v>
      </c>
      <c r="T63" s="924">
        <f>SUM(T64:T69)</f>
        <v>796</v>
      </c>
      <c r="U63" s="1166">
        <f t="shared" si="252"/>
        <v>916</v>
      </c>
      <c r="V63" s="1166">
        <f t="shared" si="252"/>
        <v>1053</v>
      </c>
      <c r="W63" s="1166">
        <f t="shared" si="252"/>
        <v>1211</v>
      </c>
      <c r="X63" s="1167">
        <f t="shared" si="252"/>
        <v>1392</v>
      </c>
      <c r="Y63" s="1265">
        <f t="shared" si="168"/>
        <v>248</v>
      </c>
      <c r="Z63" s="894">
        <f t="shared" si="169"/>
        <v>0.45255474452554745</v>
      </c>
      <c r="AA63" s="1129">
        <f>SUM(AA64:AA69)</f>
        <v>0</v>
      </c>
      <c r="AB63" s="924">
        <f t="shared" ref="AB63:AF63" si="253">SUM(AB64:AB69)</f>
        <v>0</v>
      </c>
      <c r="AC63" s="1166">
        <f t="shared" si="253"/>
        <v>0</v>
      </c>
      <c r="AD63" s="1166">
        <f t="shared" si="253"/>
        <v>0</v>
      </c>
      <c r="AE63" s="1166">
        <f>SUM(AE64:AE69)</f>
        <v>0</v>
      </c>
      <c r="AF63" s="1167">
        <f t="shared" si="253"/>
        <v>0</v>
      </c>
      <c r="AG63" s="1265">
        <f t="shared" si="203"/>
        <v>0</v>
      </c>
      <c r="AH63" s="836">
        <f t="shared" si="204"/>
        <v>0</v>
      </c>
      <c r="AI63" s="1129">
        <f t="shared" ref="AI63:AN63" si="254">SUM(AI64:AI69)</f>
        <v>0</v>
      </c>
      <c r="AJ63" s="924">
        <f t="shared" si="254"/>
        <v>0</v>
      </c>
      <c r="AK63" s="1166">
        <f t="shared" si="254"/>
        <v>0</v>
      </c>
      <c r="AL63" s="1166">
        <f t="shared" si="254"/>
        <v>0</v>
      </c>
      <c r="AM63" s="1166">
        <f t="shared" si="254"/>
        <v>0</v>
      </c>
      <c r="AN63" s="3261">
        <f t="shared" si="254"/>
        <v>0</v>
      </c>
      <c r="AO63" s="1265">
        <f t="shared" si="205"/>
        <v>0</v>
      </c>
      <c r="AP63" s="836">
        <f t="shared" si="206"/>
        <v>0</v>
      </c>
      <c r="AQ63" s="1129">
        <f>SUM(AQ64:AQ69)</f>
        <v>52</v>
      </c>
      <c r="AR63" s="924">
        <f t="shared" ref="AR63:AV63" si="255">SUM(AR64:AR69)</f>
        <v>81</v>
      </c>
      <c r="AS63" s="1166">
        <f t="shared" si="255"/>
        <v>93</v>
      </c>
      <c r="AT63" s="1166">
        <f t="shared" si="255"/>
        <v>106</v>
      </c>
      <c r="AU63" s="1166">
        <f t="shared" si="255"/>
        <v>122</v>
      </c>
      <c r="AV63" s="3261">
        <f t="shared" si="255"/>
        <v>141</v>
      </c>
      <c r="AW63" s="1129">
        <f t="shared" ref="AW63:BB63" si="256">SUM(AW64:AW68)</f>
        <v>3669</v>
      </c>
      <c r="AX63" s="924">
        <f t="shared" si="256"/>
        <v>5283</v>
      </c>
      <c r="AY63" s="1166">
        <f t="shared" si="256"/>
        <v>6074</v>
      </c>
      <c r="AZ63" s="1166">
        <f t="shared" si="256"/>
        <v>6986</v>
      </c>
      <c r="BA63" s="1166">
        <f t="shared" si="256"/>
        <v>8034</v>
      </c>
      <c r="BB63" s="3261">
        <f t="shared" si="256"/>
        <v>9238</v>
      </c>
      <c r="BC63" s="1129">
        <f t="shared" ref="BC63:BH63" si="257">SUM(BC64:BC68)</f>
        <v>2477</v>
      </c>
      <c r="BD63" s="924">
        <f t="shared" si="257"/>
        <v>3558</v>
      </c>
      <c r="BE63" s="1166">
        <f t="shared" si="257"/>
        <v>4091</v>
      </c>
      <c r="BF63" s="1166">
        <f t="shared" si="257"/>
        <v>4705</v>
      </c>
      <c r="BG63" s="1166">
        <f t="shared" si="257"/>
        <v>5411</v>
      </c>
      <c r="BH63" s="3261">
        <f t="shared" si="257"/>
        <v>6222</v>
      </c>
      <c r="BI63" s="4775"/>
      <c r="BJ63" s="4794">
        <f t="shared" si="46"/>
        <v>1266.4699897230332</v>
      </c>
      <c r="BK63" s="4794">
        <f t="shared" si="47"/>
        <v>1819.1765132961455</v>
      </c>
      <c r="BL63" s="4794">
        <f t="shared" si="48"/>
        <v>2091.6950859737299</v>
      </c>
      <c r="BM63" s="4794">
        <f t="shared" si="49"/>
        <v>2405.6283010282082</v>
      </c>
      <c r="BN63" s="4794">
        <f t="shared" si="50"/>
        <v>2766.6003691527385</v>
      </c>
      <c r="BO63" s="4794">
        <f t="shared" si="51"/>
        <v>3181.2580848028715</v>
      </c>
      <c r="BP63" s="4794">
        <f t="shared" si="52"/>
        <v>552.70652357311224</v>
      </c>
      <c r="BQ63" s="4794">
        <f t="shared" si="53"/>
        <v>329.27197149036471</v>
      </c>
      <c r="BR63" s="4794">
        <f t="shared" si="54"/>
        <v>474.99015763128699</v>
      </c>
      <c r="BS63" s="4794">
        <f t="shared" si="55"/>
        <v>545.54843723636509</v>
      </c>
      <c r="BT63" s="4794">
        <f t="shared" si="56"/>
        <v>627.86643010895637</v>
      </c>
      <c r="BU63" s="4794">
        <f t="shared" si="57"/>
        <v>721.94413624906053</v>
      </c>
      <c r="BV63" s="4794">
        <f t="shared" si="58"/>
        <v>830.33801506265888</v>
      </c>
      <c r="BW63" s="4794">
        <f t="shared" si="59"/>
        <v>145.71818614092228</v>
      </c>
      <c r="BX63" s="4794">
        <f t="shared" si="60"/>
        <v>280.18795089552776</v>
      </c>
      <c r="BY63" s="4794">
        <f t="shared" si="61"/>
        <v>406.98833743218995</v>
      </c>
      <c r="BZ63" s="4794">
        <f t="shared" si="62"/>
        <v>468.34336317573616</v>
      </c>
      <c r="CA63" s="4794">
        <f t="shared" si="63"/>
        <v>538.39035089961806</v>
      </c>
      <c r="CB63" s="4794">
        <f t="shared" si="64"/>
        <v>619.17446812862056</v>
      </c>
      <c r="CC63" s="4794">
        <f t="shared" si="65"/>
        <v>711.71829862513619</v>
      </c>
      <c r="CD63" s="4794">
        <f t="shared" si="66"/>
        <v>126.80038653666219</v>
      </c>
      <c r="CE63" s="4794">
        <f t="shared" si="67"/>
        <v>0</v>
      </c>
      <c r="CF63" s="4794">
        <f t="shared" si="68"/>
        <v>0</v>
      </c>
      <c r="CG63" s="4794">
        <f t="shared" si="69"/>
        <v>0</v>
      </c>
      <c r="CH63" s="4794">
        <f t="shared" si="70"/>
        <v>0</v>
      </c>
      <c r="CI63" s="4794">
        <f t="shared" si="71"/>
        <v>0</v>
      </c>
      <c r="CJ63" s="4794">
        <f t="shared" si="72"/>
        <v>0</v>
      </c>
      <c r="CK63" s="4794">
        <f t="shared" si="73"/>
        <v>0</v>
      </c>
      <c r="CL63" s="4794">
        <f t="shared" si="74"/>
        <v>0</v>
      </c>
      <c r="CM63" s="4794">
        <f t="shared" si="75"/>
        <v>0</v>
      </c>
      <c r="CN63" s="4794">
        <f t="shared" si="76"/>
        <v>0</v>
      </c>
      <c r="CO63" s="4794">
        <f t="shared" si="77"/>
        <v>0</v>
      </c>
      <c r="CP63" s="4794">
        <f t="shared" si="78"/>
        <v>0</v>
      </c>
      <c r="CQ63" s="4794">
        <f t="shared" si="79"/>
        <v>0</v>
      </c>
      <c r="CR63" s="4794">
        <f t="shared" si="80"/>
        <v>0</v>
      </c>
      <c r="CS63" s="4794">
        <f t="shared" si="81"/>
        <v>26.587177822203362</v>
      </c>
      <c r="CT63" s="4794">
        <f t="shared" si="82"/>
        <v>41.414642376893696</v>
      </c>
      <c r="CU63" s="4794">
        <f t="shared" si="83"/>
        <v>47.550144951248321</v>
      </c>
      <c r="CV63" s="4794">
        <f t="shared" si="84"/>
        <v>54.19693940679916</v>
      </c>
      <c r="CW63" s="4794">
        <f t="shared" si="85"/>
        <v>62.377609505938658</v>
      </c>
      <c r="CX63" s="4794">
        <f t="shared" si="86"/>
        <v>72.092155248666813</v>
      </c>
      <c r="CY63" s="4794">
        <f t="shared" si="87"/>
        <v>1875.9299121089257</v>
      </c>
      <c r="CZ63" s="4794">
        <f t="shared" si="88"/>
        <v>2701.1550083596221</v>
      </c>
      <c r="DA63" s="4794">
        <f t="shared" si="89"/>
        <v>3105.5868863858313</v>
      </c>
      <c r="DB63" s="4794">
        <f t="shared" si="90"/>
        <v>3571.8850820367825</v>
      </c>
      <c r="DC63" s="4794">
        <f t="shared" si="91"/>
        <v>4107.7189735304191</v>
      </c>
      <c r="DD63" s="4794">
        <f t="shared" si="92"/>
        <v>4723.3143984906665</v>
      </c>
      <c r="DE63" s="4794">
        <f t="shared" si="93"/>
        <v>1266.4699897230332</v>
      </c>
      <c r="DF63" s="4794">
        <f t="shared" si="94"/>
        <v>1819.1765132961455</v>
      </c>
      <c r="DG63" s="4794">
        <f t="shared" si="95"/>
        <v>2091.6950859737299</v>
      </c>
      <c r="DH63" s="4794">
        <f t="shared" si="96"/>
        <v>2405.6283010282082</v>
      </c>
      <c r="DI63" s="4794">
        <f t="shared" si="97"/>
        <v>2766.6003691527385</v>
      </c>
      <c r="DJ63" s="4794">
        <f t="shared" si="98"/>
        <v>3181.2580848028715</v>
      </c>
    </row>
    <row r="64" spans="1:114" ht="12.75">
      <c r="A64" s="113" t="s">
        <v>105</v>
      </c>
      <c r="B64" s="917" t="s">
        <v>632</v>
      </c>
      <c r="C64" s="1131">
        <f>'5. Персонал'!C42-'5. Персонал'!C43-'5. Персонал'!C44</f>
        <v>1385</v>
      </c>
      <c r="D64" s="926">
        <f>'5. Персонал'!D42-'5. Персонал'!D43-'5. Персонал'!D44</f>
        <v>2156</v>
      </c>
      <c r="E64" s="926">
        <f>'5. Персонал'!E42-'5. Персонал'!E43-'5. Персонал'!E44</f>
        <v>2479</v>
      </c>
      <c r="F64" s="926">
        <f>'5. Персонал'!F42-'5. Персонал'!F43-'5. Персонал'!F44</f>
        <v>2851</v>
      </c>
      <c r="G64" s="926">
        <f>'5. Персонал'!G42-'5. Персонал'!G43-'5. Персонал'!G44</f>
        <v>3279</v>
      </c>
      <c r="H64" s="1160">
        <f>'5. Персонал'!H42-'5. Персонал'!H43-'5. Персонал'!H44</f>
        <v>3770</v>
      </c>
      <c r="I64" s="1274">
        <f t="shared" si="198"/>
        <v>771</v>
      </c>
      <c r="J64" s="1263">
        <f t="shared" si="199"/>
        <v>0.55667870036101086</v>
      </c>
      <c r="K64" s="1131">
        <f>'5. Персонал'!I42-'5. Персонал'!I43-'5. Персонал'!I44</f>
        <v>384</v>
      </c>
      <c r="L64" s="926">
        <f>'5. Персонал'!J42-'5. Персонал'!J43-'5. Персонал'!J44</f>
        <v>578.5</v>
      </c>
      <c r="M64" s="926">
        <f>'5. Персонал'!K42-'5. Персонал'!K43-'5. Персонал'!K44</f>
        <v>664.8</v>
      </c>
      <c r="N64" s="926">
        <f>'5. Персонал'!L42-'5. Персонал'!L43-'5. Персонал'!L44</f>
        <v>764.8</v>
      </c>
      <c r="O64" s="926">
        <f>'5. Персонал'!M42-'5. Персонал'!M43-'5. Персонал'!M44</f>
        <v>879.5</v>
      </c>
      <c r="P64" s="1160">
        <f>'5. Персонал'!N42-'5. Персонал'!N43-'5. Персонал'!N44</f>
        <v>1011.9</v>
      </c>
      <c r="Q64" s="1274">
        <f t="shared" si="200"/>
        <v>194.5</v>
      </c>
      <c r="R64" s="1144">
        <f t="shared" si="201"/>
        <v>0.50651041666666663</v>
      </c>
      <c r="S64" s="1131">
        <f>'5. Персонал'!O42-'5. Персонал'!O43-'5. Персонал'!O44</f>
        <v>321</v>
      </c>
      <c r="T64" s="1159">
        <f>'5. Персонал'!P42-'5. Персонал'!P43-'5. Персонал'!P44</f>
        <v>486</v>
      </c>
      <c r="U64" s="1159">
        <f>'5. Персонал'!Q42-'5. Персонал'!Q43-'5. Персонал'!Q44</f>
        <v>559</v>
      </c>
      <c r="V64" s="1159">
        <f>'5. Персонал'!R42-'5. Персонал'!R43-'5. Персонал'!R44</f>
        <v>643</v>
      </c>
      <c r="W64" s="1159">
        <f>'5. Персонал'!S42-'5. Персонал'!S43-'5. Персонал'!S44</f>
        <v>739</v>
      </c>
      <c r="X64" s="1158">
        <f>'5. Персонал'!T42-'5. Персонал'!T43-'5. Персонал'!T44</f>
        <v>850</v>
      </c>
      <c r="Y64" s="1274">
        <f t="shared" si="168"/>
        <v>165</v>
      </c>
      <c r="Z64" s="1144">
        <f t="shared" si="169"/>
        <v>0.51401869158878499</v>
      </c>
      <c r="AA64" s="1131">
        <f>'5. Персонал'!U42-'5. Персонал'!U43-'5. Персонал'!U44</f>
        <v>0</v>
      </c>
      <c r="AB64" s="1159">
        <f>'5. Персонал'!V42-'5. Персонал'!V43-'5. Персонал'!V44</f>
        <v>0</v>
      </c>
      <c r="AC64" s="1159">
        <f>'5. Персонал'!W42-'5. Персонал'!W43-'5. Персонал'!W44</f>
        <v>0</v>
      </c>
      <c r="AD64" s="1159">
        <f>'5. Персонал'!X42-'5. Персонал'!X43-'5. Персонал'!X44</f>
        <v>0</v>
      </c>
      <c r="AE64" s="1159">
        <f>'5. Персонал'!Y42-'5. Персонал'!Y43-'5. Персонал'!Y44</f>
        <v>0</v>
      </c>
      <c r="AF64" s="1158">
        <f>'5. Персонал'!Z42-'5. Персонал'!Z43-'5. Персонал'!Z44</f>
        <v>0</v>
      </c>
      <c r="AG64" s="1274">
        <f t="shared" si="203"/>
        <v>0</v>
      </c>
      <c r="AH64" s="1263">
        <f t="shared" si="204"/>
        <v>0</v>
      </c>
      <c r="AI64" s="1131">
        <f>'5. Персонал'!AA42-'5. Персонал'!AA43-'5. Персонал'!AA44</f>
        <v>0</v>
      </c>
      <c r="AJ64" s="926">
        <f>'5. Персонал'!AB42-'5. Персонал'!AB43-'5. Персонал'!AB44</f>
        <v>0</v>
      </c>
      <c r="AK64" s="926">
        <f>'5. Персонал'!AC42-'5. Персонал'!AC43-'5. Персонал'!AC44</f>
        <v>0</v>
      </c>
      <c r="AL64" s="926">
        <f>'5. Персонал'!AD42-'5. Персонал'!AD43-'5. Персонал'!AD44</f>
        <v>0</v>
      </c>
      <c r="AM64" s="926">
        <f>'5. Персонал'!AE42-'5. Персонал'!AE43-'5. Персонал'!AE44</f>
        <v>0</v>
      </c>
      <c r="AN64" s="3262">
        <f>'5. Персонал'!AF42-'5. Персонал'!AF43-'5. Персонал'!AF44</f>
        <v>0</v>
      </c>
      <c r="AO64" s="1274">
        <f t="shared" si="205"/>
        <v>0</v>
      </c>
      <c r="AP64" s="1263">
        <f t="shared" si="206"/>
        <v>0</v>
      </c>
      <c r="AQ64" s="3286">
        <f>'5. Персонал'!AG42-'5. Персонал'!AG43-'5. Персонал'!AG44</f>
        <v>30</v>
      </c>
      <c r="AR64" s="1159">
        <f>'5. Персонал'!AH42-'5. Персонал'!AH43-'5. Персонал'!AH44</f>
        <v>41</v>
      </c>
      <c r="AS64" s="1159">
        <f>'5. Персонал'!AI42-'5. Персонал'!AI43-'5. Персонал'!AI44</f>
        <v>47</v>
      </c>
      <c r="AT64" s="1159">
        <f>'5. Персонал'!AJ42-'5. Персонал'!AJ43-'5. Персонал'!AJ44</f>
        <v>54</v>
      </c>
      <c r="AU64" s="1159">
        <f>'5. Персонал'!AK42-'5. Персонал'!AK43-'5. Персонал'!AK44</f>
        <v>62</v>
      </c>
      <c r="AV64" s="3287">
        <f>'5. Персонал'!AL42-'5. Персонал'!AL43-'5. Персонал'!AL44</f>
        <v>72</v>
      </c>
      <c r="AW64" s="1131">
        <f t="shared" ref="AW64" si="258">C64+K64+S64+AA64+AI64</f>
        <v>2090</v>
      </c>
      <c r="AX64" s="926">
        <f t="shared" ref="AX64" si="259">D64+L64+T64+AB64+AJ64</f>
        <v>3220.5</v>
      </c>
      <c r="AY64" s="926">
        <f t="shared" ref="AY64:AY65" si="260">E64+M64+U64+AC64+AK64</f>
        <v>3702.8</v>
      </c>
      <c r="AZ64" s="926">
        <f t="shared" ref="AZ64:AZ65" si="261">F64+N64+V64+AD64+AL64</f>
        <v>4258.8</v>
      </c>
      <c r="BA64" s="926">
        <f t="shared" ref="BA64:BA65" si="262">G64+O64+W64+AE64+AM64</f>
        <v>4897.5</v>
      </c>
      <c r="BB64" s="1160">
        <f t="shared" ref="BB64:BB65" si="263">H64+P64+X64+AF64+AN64</f>
        <v>5631.9</v>
      </c>
      <c r="BC64" s="3266">
        <f t="shared" ref="BC64:BC65" si="264">C64+AA64+AI64</f>
        <v>1385</v>
      </c>
      <c r="BD64" s="3267">
        <f t="shared" ref="BD64:BD65" si="265">D64+AB64+AJ64</f>
        <v>2156</v>
      </c>
      <c r="BE64" s="3268">
        <f t="shared" ref="BE64:BE65" si="266">E64+AC64+AK64</f>
        <v>2479</v>
      </c>
      <c r="BF64" s="3268">
        <f t="shared" ref="BF64:BF65" si="267">F64+AD64+AL64</f>
        <v>2851</v>
      </c>
      <c r="BG64" s="3268">
        <f t="shared" ref="BG64:BG65" si="268">G64+AE64+AM64</f>
        <v>3279</v>
      </c>
      <c r="BH64" s="3270">
        <f t="shared" ref="BH64:BH65" si="269">H64+AF64+AN64</f>
        <v>3770</v>
      </c>
      <c r="BI64" s="4775"/>
      <c r="BJ64" s="4794">
        <f t="shared" si="46"/>
        <v>708.13925545676261</v>
      </c>
      <c r="BK64" s="4794">
        <f t="shared" si="47"/>
        <v>1102.3452958590472</v>
      </c>
      <c r="BL64" s="4794">
        <f t="shared" si="48"/>
        <v>1267.4925734854257</v>
      </c>
      <c r="BM64" s="4794">
        <f t="shared" si="49"/>
        <v>1457.6931532904189</v>
      </c>
      <c r="BN64" s="4794">
        <f t="shared" si="50"/>
        <v>1676.5260784424004</v>
      </c>
      <c r="BO64" s="4794">
        <f t="shared" si="51"/>
        <v>1927.5703921097438</v>
      </c>
      <c r="BP64" s="4794">
        <f t="shared" si="52"/>
        <v>394.20604040228449</v>
      </c>
      <c r="BQ64" s="4794">
        <f t="shared" si="53"/>
        <v>196.33608237934791</v>
      </c>
      <c r="BR64" s="4794">
        <f t="shared" si="54"/>
        <v>295.78235327201241</v>
      </c>
      <c r="BS64" s="4794">
        <f t="shared" si="55"/>
        <v>339.90684261924605</v>
      </c>
      <c r="BT64" s="4794">
        <f t="shared" si="56"/>
        <v>391.03603073886791</v>
      </c>
      <c r="BU64" s="4794">
        <f t="shared" si="57"/>
        <v>449.68120951207419</v>
      </c>
      <c r="BV64" s="4794">
        <f t="shared" si="58"/>
        <v>517.3762545824535</v>
      </c>
      <c r="BW64" s="4794">
        <f t="shared" si="59"/>
        <v>99.446270892664501</v>
      </c>
      <c r="BX64" s="4794">
        <f t="shared" si="60"/>
        <v>164.12469386398612</v>
      </c>
      <c r="BY64" s="4794">
        <f t="shared" si="61"/>
        <v>248.4878542613622</v>
      </c>
      <c r="BZ64" s="4794">
        <f t="shared" si="62"/>
        <v>285.81216158868614</v>
      </c>
      <c r="CA64" s="4794">
        <f t="shared" si="63"/>
        <v>328.76067960916851</v>
      </c>
      <c r="CB64" s="4794">
        <f t="shared" si="64"/>
        <v>377.84470020400545</v>
      </c>
      <c r="CC64" s="4794">
        <f t="shared" si="65"/>
        <v>434.59809901678574</v>
      </c>
      <c r="CD64" s="4794">
        <f t="shared" si="66"/>
        <v>84.363160397376049</v>
      </c>
      <c r="CE64" s="4794">
        <f t="shared" si="67"/>
        <v>0</v>
      </c>
      <c r="CF64" s="4794">
        <f t="shared" si="68"/>
        <v>0</v>
      </c>
      <c r="CG64" s="4794">
        <f t="shared" si="69"/>
        <v>0</v>
      </c>
      <c r="CH64" s="4794">
        <f t="shared" si="70"/>
        <v>0</v>
      </c>
      <c r="CI64" s="4794">
        <f t="shared" si="71"/>
        <v>0</v>
      </c>
      <c r="CJ64" s="4794">
        <f t="shared" si="72"/>
        <v>0</v>
      </c>
      <c r="CK64" s="4794">
        <f t="shared" si="73"/>
        <v>0</v>
      </c>
      <c r="CL64" s="4794">
        <f t="shared" si="74"/>
        <v>0</v>
      </c>
      <c r="CM64" s="4794">
        <f t="shared" si="75"/>
        <v>0</v>
      </c>
      <c r="CN64" s="4794">
        <f t="shared" si="76"/>
        <v>0</v>
      </c>
      <c r="CO64" s="4794">
        <f t="shared" si="77"/>
        <v>0</v>
      </c>
      <c r="CP64" s="4794">
        <f t="shared" si="78"/>
        <v>0</v>
      </c>
      <c r="CQ64" s="4794">
        <f t="shared" si="79"/>
        <v>0</v>
      </c>
      <c r="CR64" s="4794">
        <f t="shared" si="80"/>
        <v>0</v>
      </c>
      <c r="CS64" s="4794">
        <f t="shared" si="81"/>
        <v>15.338756435886555</v>
      </c>
      <c r="CT64" s="4794">
        <f t="shared" si="82"/>
        <v>20.962967129044959</v>
      </c>
      <c r="CU64" s="4794">
        <f t="shared" si="83"/>
        <v>24.030718416222268</v>
      </c>
      <c r="CV64" s="4794">
        <f t="shared" si="84"/>
        <v>27.609761584595798</v>
      </c>
      <c r="CW64" s="4794">
        <f t="shared" si="85"/>
        <v>31.700096634165547</v>
      </c>
      <c r="CX64" s="4794">
        <f t="shared" si="86"/>
        <v>36.813015446127729</v>
      </c>
      <c r="CY64" s="4794">
        <f t="shared" si="87"/>
        <v>1068.6000317000967</v>
      </c>
      <c r="CZ64" s="4794">
        <f t="shared" si="88"/>
        <v>1646.6155033924217</v>
      </c>
      <c r="DA64" s="4794">
        <f t="shared" si="89"/>
        <v>1893.2115776933579</v>
      </c>
      <c r="DB64" s="4794">
        <f t="shared" si="90"/>
        <v>2177.4898636384555</v>
      </c>
      <c r="DC64" s="4794">
        <f t="shared" si="91"/>
        <v>2504.0519881584801</v>
      </c>
      <c r="DD64" s="4794">
        <f t="shared" si="92"/>
        <v>2879.5447457089826</v>
      </c>
      <c r="DE64" s="4794">
        <f t="shared" si="93"/>
        <v>708.13925545676261</v>
      </c>
      <c r="DF64" s="4794">
        <f t="shared" si="94"/>
        <v>1102.3452958590472</v>
      </c>
      <c r="DG64" s="4794">
        <f t="shared" si="95"/>
        <v>1267.4925734854257</v>
      </c>
      <c r="DH64" s="4794">
        <f t="shared" si="96"/>
        <v>1457.6931532904189</v>
      </c>
      <c r="DI64" s="4794">
        <f t="shared" si="97"/>
        <v>1676.5260784424004</v>
      </c>
      <c r="DJ64" s="4794">
        <f t="shared" si="98"/>
        <v>1927.5703921097438</v>
      </c>
    </row>
    <row r="65" spans="1:114" s="692" customFormat="1" ht="12.75">
      <c r="A65" s="404" t="s">
        <v>109</v>
      </c>
      <c r="B65" s="920" t="s">
        <v>639</v>
      </c>
      <c r="C65" s="2816">
        <f>'8. Ремонтна програма'!J35</f>
        <v>77</v>
      </c>
      <c r="D65" s="1268">
        <f>'8. Ремонтна програма'!K35</f>
        <v>0</v>
      </c>
      <c r="E65" s="1152">
        <f>'8. Ремонтна програма'!L35</f>
        <v>0</v>
      </c>
      <c r="F65" s="1152">
        <f>'8. Ремонтна програма'!M35</f>
        <v>0</v>
      </c>
      <c r="G65" s="1152">
        <f>'8. Ремонтна програма'!N35</f>
        <v>0</v>
      </c>
      <c r="H65" s="3271">
        <f>'8. Ремонтна програма'!O35</f>
        <v>0</v>
      </c>
      <c r="I65" s="1268">
        <f t="shared" si="198"/>
        <v>-77</v>
      </c>
      <c r="J65" s="838">
        <f t="shared" si="199"/>
        <v>-1</v>
      </c>
      <c r="K65" s="2816">
        <f>'8. Ремонтна програма'!J64</f>
        <v>10</v>
      </c>
      <c r="L65" s="1268">
        <f>'8. Ремонтна програма'!K64</f>
        <v>11.5</v>
      </c>
      <c r="M65" s="1152">
        <f>'8. Ремонтна програма'!L64</f>
        <v>13.2</v>
      </c>
      <c r="N65" s="1152">
        <f>'8. Ремонтна програма'!M64</f>
        <v>15.2</v>
      </c>
      <c r="O65" s="1152">
        <f>'8. Ремонтна програма'!N64</f>
        <v>17.5</v>
      </c>
      <c r="P65" s="3271">
        <f>'8. Ремонтна програма'!O64</f>
        <v>20.100000000000001</v>
      </c>
      <c r="Q65" s="1268">
        <f t="shared" si="200"/>
        <v>1.5</v>
      </c>
      <c r="R65" s="896">
        <f t="shared" si="201"/>
        <v>0.15</v>
      </c>
      <c r="S65" s="2816">
        <f>'8. Ремонтна програма'!J90</f>
        <v>1</v>
      </c>
      <c r="T65" s="1268">
        <f>'8. Ремонтна програма'!K90</f>
        <v>1</v>
      </c>
      <c r="U65" s="1152">
        <f>'8. Ремонтна програма'!L90</f>
        <v>1</v>
      </c>
      <c r="V65" s="1152">
        <f>'8. Ремонтна програма'!M90</f>
        <v>1</v>
      </c>
      <c r="W65" s="1152">
        <f>'8. Ремонтна програма'!N90</f>
        <v>1</v>
      </c>
      <c r="X65" s="3271">
        <f>'8. Ремонтна програма'!O90</f>
        <v>1</v>
      </c>
      <c r="Y65" s="1268">
        <f t="shared" si="168"/>
        <v>0</v>
      </c>
      <c r="Z65" s="896">
        <f t="shared" si="169"/>
        <v>0</v>
      </c>
      <c r="AA65" s="2816">
        <f>'8. Ремонтна програма'!J121</f>
        <v>0</v>
      </c>
      <c r="AB65" s="1268">
        <f>'8. Ремонтна програма'!K121</f>
        <v>0</v>
      </c>
      <c r="AC65" s="1152">
        <f>'8. Ремонтна програма'!L121</f>
        <v>0</v>
      </c>
      <c r="AD65" s="1152">
        <f>'8. Ремонтна програма'!M121</f>
        <v>0</v>
      </c>
      <c r="AE65" s="1152">
        <f>'8. Ремонтна програма'!N121</f>
        <v>0</v>
      </c>
      <c r="AF65" s="3271">
        <f>'8. Ремонтна програма'!O121</f>
        <v>0</v>
      </c>
      <c r="AG65" s="1268">
        <f t="shared" si="203"/>
        <v>0</v>
      </c>
      <c r="AH65" s="838">
        <f t="shared" si="204"/>
        <v>0</v>
      </c>
      <c r="AI65" s="1131">
        <f>'8. Ремонтна програма'!J152</f>
        <v>0</v>
      </c>
      <c r="AJ65" s="1274">
        <f>'8. Ремонтна програма'!K152</f>
        <v>0</v>
      </c>
      <c r="AK65" s="1155">
        <f>'8. Ремонтна програма'!L152</f>
        <v>0</v>
      </c>
      <c r="AL65" s="1155">
        <f>'8. Ремонтна програма'!M152</f>
        <v>0</v>
      </c>
      <c r="AM65" s="1155">
        <f>'8. Ремонтна програма'!N152</f>
        <v>0</v>
      </c>
      <c r="AN65" s="3262">
        <f>'8. Ремонтна програма'!O152</f>
        <v>0</v>
      </c>
      <c r="AO65" s="1268">
        <f t="shared" si="205"/>
        <v>0</v>
      </c>
      <c r="AP65" s="838">
        <f t="shared" si="206"/>
        <v>0</v>
      </c>
      <c r="AQ65" s="1131">
        <f>'5. Персонал'!AG43</f>
        <v>0</v>
      </c>
      <c r="AR65" s="1160">
        <f>'5. Персонал'!AH43</f>
        <v>0</v>
      </c>
      <c r="AS65" s="1155">
        <f>'5. Персонал'!AI43</f>
        <v>0</v>
      </c>
      <c r="AT65" s="1155">
        <f>'5. Персонал'!AJ43</f>
        <v>0</v>
      </c>
      <c r="AU65" s="1155">
        <f>'5. Персонал'!AK43</f>
        <v>0</v>
      </c>
      <c r="AV65" s="3262">
        <f>'5. Персонал'!AL43</f>
        <v>0</v>
      </c>
      <c r="AW65" s="1131">
        <f>C65+K65+S65+AA65+AI65</f>
        <v>88</v>
      </c>
      <c r="AX65" s="3245">
        <f>D65+L65+T65+AB65+AJ65</f>
        <v>12.5</v>
      </c>
      <c r="AY65" s="3245">
        <f t="shared" si="260"/>
        <v>14.2</v>
      </c>
      <c r="AZ65" s="3245">
        <f t="shared" si="261"/>
        <v>16.2</v>
      </c>
      <c r="BA65" s="3245">
        <f t="shared" si="262"/>
        <v>18.5</v>
      </c>
      <c r="BB65" s="3246">
        <f t="shared" si="263"/>
        <v>21.1</v>
      </c>
      <c r="BC65" s="3266">
        <f t="shared" si="264"/>
        <v>77</v>
      </c>
      <c r="BD65" s="3267">
        <f t="shared" si="265"/>
        <v>0</v>
      </c>
      <c r="BE65" s="3268">
        <f t="shared" si="266"/>
        <v>0</v>
      </c>
      <c r="BF65" s="3268">
        <f t="shared" si="267"/>
        <v>0</v>
      </c>
      <c r="BG65" s="3268">
        <f t="shared" si="268"/>
        <v>0</v>
      </c>
      <c r="BH65" s="3270">
        <f t="shared" si="269"/>
        <v>0</v>
      </c>
      <c r="BI65" s="4775"/>
      <c r="BJ65" s="4794">
        <f t="shared" si="46"/>
        <v>39.369474852108823</v>
      </c>
      <c r="BK65" s="4794">
        <f t="shared" si="47"/>
        <v>0</v>
      </c>
      <c r="BL65" s="4794">
        <f t="shared" si="48"/>
        <v>0</v>
      </c>
      <c r="BM65" s="4794">
        <f t="shared" si="49"/>
        <v>0</v>
      </c>
      <c r="BN65" s="4794">
        <f t="shared" si="50"/>
        <v>0</v>
      </c>
      <c r="BO65" s="4794">
        <f t="shared" si="51"/>
        <v>0</v>
      </c>
      <c r="BP65" s="4794">
        <f t="shared" si="52"/>
        <v>-39.369474852108823</v>
      </c>
      <c r="BQ65" s="4794">
        <f t="shared" si="53"/>
        <v>5.1129188119621851</v>
      </c>
      <c r="BR65" s="4794">
        <f t="shared" si="54"/>
        <v>5.8798566337565124</v>
      </c>
      <c r="BS65" s="4794">
        <f t="shared" si="55"/>
        <v>6.7490528317900838</v>
      </c>
      <c r="BT65" s="4794">
        <f t="shared" si="56"/>
        <v>7.771636594182521</v>
      </c>
      <c r="BU65" s="4794">
        <f t="shared" si="57"/>
        <v>8.9476079209338231</v>
      </c>
      <c r="BV65" s="4794">
        <f t="shared" si="58"/>
        <v>10.276966812043993</v>
      </c>
      <c r="BW65" s="4794">
        <f t="shared" si="59"/>
        <v>0.76693782179432779</v>
      </c>
      <c r="BX65" s="4794">
        <f t="shared" si="60"/>
        <v>0.51129188119621849</v>
      </c>
      <c r="BY65" s="4794">
        <f t="shared" si="61"/>
        <v>0.51129188119621849</v>
      </c>
      <c r="BZ65" s="4794">
        <f t="shared" si="62"/>
        <v>0.51129188119621849</v>
      </c>
      <c r="CA65" s="4794">
        <f t="shared" si="63"/>
        <v>0.51129188119621849</v>
      </c>
      <c r="CB65" s="4794">
        <f t="shared" si="64"/>
        <v>0.51129188119621849</v>
      </c>
      <c r="CC65" s="4794">
        <f t="shared" si="65"/>
        <v>0.51129188119621849</v>
      </c>
      <c r="CD65" s="4794">
        <f t="shared" si="66"/>
        <v>0</v>
      </c>
      <c r="CE65" s="4794">
        <f t="shared" si="67"/>
        <v>0</v>
      </c>
      <c r="CF65" s="4794">
        <f t="shared" si="68"/>
        <v>0</v>
      </c>
      <c r="CG65" s="4794">
        <f t="shared" si="69"/>
        <v>0</v>
      </c>
      <c r="CH65" s="4794">
        <f t="shared" si="70"/>
        <v>0</v>
      </c>
      <c r="CI65" s="4794">
        <f t="shared" si="71"/>
        <v>0</v>
      </c>
      <c r="CJ65" s="4794">
        <f t="shared" si="72"/>
        <v>0</v>
      </c>
      <c r="CK65" s="4794">
        <f t="shared" si="73"/>
        <v>0</v>
      </c>
      <c r="CL65" s="4794">
        <f t="shared" si="74"/>
        <v>0</v>
      </c>
      <c r="CM65" s="4794">
        <f t="shared" si="75"/>
        <v>0</v>
      </c>
      <c r="CN65" s="4794">
        <f t="shared" si="76"/>
        <v>0</v>
      </c>
      <c r="CO65" s="4794">
        <f t="shared" si="77"/>
        <v>0</v>
      </c>
      <c r="CP65" s="4794">
        <f t="shared" si="78"/>
        <v>0</v>
      </c>
      <c r="CQ65" s="4794">
        <f t="shared" si="79"/>
        <v>0</v>
      </c>
      <c r="CR65" s="4794">
        <f t="shared" si="80"/>
        <v>0</v>
      </c>
      <c r="CS65" s="4794">
        <f t="shared" si="81"/>
        <v>0</v>
      </c>
      <c r="CT65" s="4794">
        <f t="shared" si="82"/>
        <v>0</v>
      </c>
      <c r="CU65" s="4794">
        <f t="shared" si="83"/>
        <v>0</v>
      </c>
      <c r="CV65" s="4794">
        <f t="shared" si="84"/>
        <v>0</v>
      </c>
      <c r="CW65" s="4794">
        <f t="shared" si="85"/>
        <v>0</v>
      </c>
      <c r="CX65" s="4794">
        <f t="shared" si="86"/>
        <v>0</v>
      </c>
      <c r="CY65" s="4794">
        <f t="shared" si="87"/>
        <v>44.993685545267226</v>
      </c>
      <c r="CZ65" s="4794">
        <f t="shared" si="88"/>
        <v>6.3911485149527314</v>
      </c>
      <c r="DA65" s="4794">
        <f t="shared" si="89"/>
        <v>7.2603447129863019</v>
      </c>
      <c r="DB65" s="4794">
        <f t="shared" si="90"/>
        <v>8.2829284753787391</v>
      </c>
      <c r="DC65" s="4794">
        <f t="shared" si="91"/>
        <v>9.458899802130043</v>
      </c>
      <c r="DD65" s="4794">
        <f t="shared" si="92"/>
        <v>10.788258693240211</v>
      </c>
      <c r="DE65" s="4794">
        <f t="shared" si="93"/>
        <v>39.369474852108823</v>
      </c>
      <c r="DF65" s="4794">
        <f t="shared" si="94"/>
        <v>0</v>
      </c>
      <c r="DG65" s="4794">
        <f t="shared" si="95"/>
        <v>0</v>
      </c>
      <c r="DH65" s="4794">
        <f t="shared" si="96"/>
        <v>0</v>
      </c>
      <c r="DI65" s="4794">
        <f t="shared" si="97"/>
        <v>0</v>
      </c>
      <c r="DJ65" s="4794">
        <f t="shared" si="98"/>
        <v>0</v>
      </c>
    </row>
    <row r="66" spans="1:114" s="692" customFormat="1" ht="36">
      <c r="A66" s="404" t="s">
        <v>83</v>
      </c>
      <c r="B66" s="920" t="s">
        <v>1748</v>
      </c>
      <c r="C66" s="2816">
        <f>'5. Персонал'!C67</f>
        <v>0</v>
      </c>
      <c r="D66" s="1268">
        <f>'5. Персонал'!D67</f>
        <v>0</v>
      </c>
      <c r="E66" s="1152">
        <f>'5. Персонал'!E67</f>
        <v>0</v>
      </c>
      <c r="F66" s="1152">
        <f>'5. Персонал'!F67</f>
        <v>0</v>
      </c>
      <c r="G66" s="4175">
        <f>'5. Персонал'!G67</f>
        <v>0</v>
      </c>
      <c r="H66" s="4176">
        <f>'5. Персонал'!H67</f>
        <v>0</v>
      </c>
      <c r="I66" s="1268">
        <f t="shared" si="198"/>
        <v>0</v>
      </c>
      <c r="J66" s="838">
        <f t="shared" si="199"/>
        <v>0</v>
      </c>
      <c r="K66" s="2816">
        <f>'5. Персонал'!I67</f>
        <v>0</v>
      </c>
      <c r="L66" s="1268">
        <f>'5. Персонал'!J67</f>
        <v>0</v>
      </c>
      <c r="M66" s="1152">
        <f>'5. Персонал'!K67</f>
        <v>0</v>
      </c>
      <c r="N66" s="1152">
        <f>'5. Персонал'!L67</f>
        <v>0</v>
      </c>
      <c r="O66" s="1152">
        <f>'5. Персонал'!M67</f>
        <v>0</v>
      </c>
      <c r="P66" s="3271">
        <f>'5. Персонал'!N67</f>
        <v>0</v>
      </c>
      <c r="Q66" s="1268">
        <f t="shared" si="200"/>
        <v>0</v>
      </c>
      <c r="R66" s="896">
        <f t="shared" si="201"/>
        <v>0</v>
      </c>
      <c r="S66" s="2816">
        <f>'5. Персонал'!O67</f>
        <v>0</v>
      </c>
      <c r="T66" s="1268">
        <f>'5. Персонал'!P67</f>
        <v>0</v>
      </c>
      <c r="U66" s="1152">
        <f>'5. Персонал'!Q67</f>
        <v>0</v>
      </c>
      <c r="V66" s="1152">
        <f>'5. Персонал'!R67</f>
        <v>0</v>
      </c>
      <c r="W66" s="1152">
        <f>'5. Персонал'!S67</f>
        <v>0</v>
      </c>
      <c r="X66" s="3271">
        <f>'5. Персонал'!T67</f>
        <v>0</v>
      </c>
      <c r="Y66" s="1268">
        <f t="shared" si="168"/>
        <v>0</v>
      </c>
      <c r="Z66" s="896">
        <f t="shared" si="169"/>
        <v>0</v>
      </c>
      <c r="AA66" s="2816">
        <f>'5. Персонал'!U67</f>
        <v>0</v>
      </c>
      <c r="AB66" s="1268">
        <f>'5. Персонал'!V67</f>
        <v>0</v>
      </c>
      <c r="AC66" s="1152">
        <f>'5. Персонал'!W67</f>
        <v>0</v>
      </c>
      <c r="AD66" s="1152">
        <f>'5. Персонал'!X67</f>
        <v>0</v>
      </c>
      <c r="AE66" s="1152">
        <f>'5. Персонал'!Y67</f>
        <v>0</v>
      </c>
      <c r="AF66" s="3271">
        <f>'5. Персонал'!Z67</f>
        <v>0</v>
      </c>
      <c r="AG66" s="1268">
        <f t="shared" si="203"/>
        <v>0</v>
      </c>
      <c r="AH66" s="838">
        <f t="shared" si="204"/>
        <v>0</v>
      </c>
      <c r="AI66" s="1131">
        <f>'5. Персонал'!AA67</f>
        <v>0</v>
      </c>
      <c r="AJ66" s="1274">
        <f>'5. Персонал'!AB67</f>
        <v>0</v>
      </c>
      <c r="AK66" s="1155">
        <f>'5. Персонал'!AC67</f>
        <v>0</v>
      </c>
      <c r="AL66" s="1155">
        <f>'5. Персонал'!AD67</f>
        <v>0</v>
      </c>
      <c r="AM66" s="1155">
        <f>'5. Персонал'!AE67</f>
        <v>0</v>
      </c>
      <c r="AN66" s="3262">
        <f>'5. Персонал'!AF67</f>
        <v>0</v>
      </c>
      <c r="AO66" s="1268">
        <f t="shared" si="205"/>
        <v>0</v>
      </c>
      <c r="AP66" s="838">
        <f t="shared" si="206"/>
        <v>0</v>
      </c>
      <c r="AQ66" s="1131">
        <f>'5. Персонал'!AG67</f>
        <v>0</v>
      </c>
      <c r="AR66" s="1160">
        <f>'5. Персонал'!AH67</f>
        <v>0</v>
      </c>
      <c r="AS66" s="1155">
        <f>'5. Персонал'!AI67</f>
        <v>0</v>
      </c>
      <c r="AT66" s="1155">
        <f>'5. Персонал'!AJ67</f>
        <v>0</v>
      </c>
      <c r="AU66" s="1155">
        <f>'5. Персонал'!AK67</f>
        <v>0</v>
      </c>
      <c r="AV66" s="3262">
        <f>'5. Персонал'!AL67</f>
        <v>0</v>
      </c>
      <c r="AW66" s="1131">
        <f t="shared" ref="AW66:AW69" si="270">C66+K66+S66+AA66+AI66</f>
        <v>0</v>
      </c>
      <c r="AX66" s="3245">
        <f t="shared" ref="AX66:AX69" si="271">D66+L66+T66+AB66+AJ66</f>
        <v>0</v>
      </c>
      <c r="AY66" s="3245">
        <f t="shared" ref="AY66:AY68" si="272">E66+M66+U66+AC66+AK66</f>
        <v>0</v>
      </c>
      <c r="AZ66" s="3245">
        <f t="shared" ref="AZ66:AZ69" si="273">F66+N66+V66+AD66+AL66</f>
        <v>0</v>
      </c>
      <c r="BA66" s="3245">
        <f t="shared" ref="BA66:BA69" si="274">G66+O66+W66+AE66+AM66</f>
        <v>0</v>
      </c>
      <c r="BB66" s="3246">
        <f t="shared" ref="BB66:BB69" si="275">H66+P66+X66+AF66+AN66</f>
        <v>0</v>
      </c>
      <c r="BC66" s="3266">
        <f t="shared" ref="BC66:BC69" si="276">C66+AA66+AI66</f>
        <v>0</v>
      </c>
      <c r="BD66" s="3267">
        <f t="shared" ref="BD66:BD69" si="277">D66+AB66+AJ66</f>
        <v>0</v>
      </c>
      <c r="BE66" s="3268">
        <f t="shared" ref="BE66:BE69" si="278">E66+AC66+AK66</f>
        <v>0</v>
      </c>
      <c r="BF66" s="3268">
        <f t="shared" ref="BF66:BF69" si="279">F66+AD66+AL66</f>
        <v>0</v>
      </c>
      <c r="BG66" s="3268">
        <f t="shared" ref="BG66:BG69" si="280">G66+AE66+AM66</f>
        <v>0</v>
      </c>
      <c r="BH66" s="3270">
        <f t="shared" ref="BH66:BH69" si="281">H66+AF66+AN66</f>
        <v>0</v>
      </c>
      <c r="BI66" s="4775"/>
      <c r="BJ66" s="4794">
        <f t="shared" si="46"/>
        <v>0</v>
      </c>
      <c r="BK66" s="4794">
        <f t="shared" si="47"/>
        <v>0</v>
      </c>
      <c r="BL66" s="4794">
        <f t="shared" si="48"/>
        <v>0</v>
      </c>
      <c r="BM66" s="4794">
        <f t="shared" si="49"/>
        <v>0</v>
      </c>
      <c r="BN66" s="4794">
        <f t="shared" si="50"/>
        <v>0</v>
      </c>
      <c r="BO66" s="4794">
        <f t="shared" si="51"/>
        <v>0</v>
      </c>
      <c r="BP66" s="4794">
        <f t="shared" si="52"/>
        <v>0</v>
      </c>
      <c r="BQ66" s="4794">
        <f t="shared" si="53"/>
        <v>0</v>
      </c>
      <c r="BR66" s="4794">
        <f t="shared" si="54"/>
        <v>0</v>
      </c>
      <c r="BS66" s="4794">
        <f t="shared" si="55"/>
        <v>0</v>
      </c>
      <c r="BT66" s="4794">
        <f t="shared" si="56"/>
        <v>0</v>
      </c>
      <c r="BU66" s="4794">
        <f t="shared" si="57"/>
        <v>0</v>
      </c>
      <c r="BV66" s="4794">
        <f t="shared" si="58"/>
        <v>0</v>
      </c>
      <c r="BW66" s="4794">
        <f t="shared" si="59"/>
        <v>0</v>
      </c>
      <c r="BX66" s="4794">
        <f t="shared" si="60"/>
        <v>0</v>
      </c>
      <c r="BY66" s="4794">
        <f t="shared" si="61"/>
        <v>0</v>
      </c>
      <c r="BZ66" s="4794">
        <f t="shared" si="62"/>
        <v>0</v>
      </c>
      <c r="CA66" s="4794">
        <f t="shared" si="63"/>
        <v>0</v>
      </c>
      <c r="CB66" s="4794">
        <f t="shared" si="64"/>
        <v>0</v>
      </c>
      <c r="CC66" s="4794">
        <f t="shared" si="65"/>
        <v>0</v>
      </c>
      <c r="CD66" s="4794">
        <f t="shared" si="66"/>
        <v>0</v>
      </c>
      <c r="CE66" s="4794">
        <f t="shared" si="67"/>
        <v>0</v>
      </c>
      <c r="CF66" s="4794">
        <f t="shared" si="68"/>
        <v>0</v>
      </c>
      <c r="CG66" s="4794">
        <f t="shared" si="69"/>
        <v>0</v>
      </c>
      <c r="CH66" s="4794">
        <f t="shared" si="70"/>
        <v>0</v>
      </c>
      <c r="CI66" s="4794">
        <f t="shared" si="71"/>
        <v>0</v>
      </c>
      <c r="CJ66" s="4794">
        <f t="shared" si="72"/>
        <v>0</v>
      </c>
      <c r="CK66" s="4794">
        <f t="shared" si="73"/>
        <v>0</v>
      </c>
      <c r="CL66" s="4794">
        <f t="shared" si="74"/>
        <v>0</v>
      </c>
      <c r="CM66" s="4794">
        <f t="shared" si="75"/>
        <v>0</v>
      </c>
      <c r="CN66" s="4794">
        <f t="shared" si="76"/>
        <v>0</v>
      </c>
      <c r="CO66" s="4794">
        <f t="shared" si="77"/>
        <v>0</v>
      </c>
      <c r="CP66" s="4794">
        <f t="shared" si="78"/>
        <v>0</v>
      </c>
      <c r="CQ66" s="4794">
        <f t="shared" si="79"/>
        <v>0</v>
      </c>
      <c r="CR66" s="4794">
        <f t="shared" si="80"/>
        <v>0</v>
      </c>
      <c r="CS66" s="4794">
        <f t="shared" si="81"/>
        <v>0</v>
      </c>
      <c r="CT66" s="4794">
        <f t="shared" si="82"/>
        <v>0</v>
      </c>
      <c r="CU66" s="4794">
        <f t="shared" si="83"/>
        <v>0</v>
      </c>
      <c r="CV66" s="4794">
        <f t="shared" si="84"/>
        <v>0</v>
      </c>
      <c r="CW66" s="4794">
        <f t="shared" si="85"/>
        <v>0</v>
      </c>
      <c r="CX66" s="4794">
        <f t="shared" si="86"/>
        <v>0</v>
      </c>
      <c r="CY66" s="4794">
        <f t="shared" si="87"/>
        <v>0</v>
      </c>
      <c r="CZ66" s="4794">
        <f t="shared" si="88"/>
        <v>0</v>
      </c>
      <c r="DA66" s="4794">
        <f t="shared" si="89"/>
        <v>0</v>
      </c>
      <c r="DB66" s="4794">
        <f t="shared" si="90"/>
        <v>0</v>
      </c>
      <c r="DC66" s="4794">
        <f t="shared" si="91"/>
        <v>0</v>
      </c>
      <c r="DD66" s="4794">
        <f t="shared" si="92"/>
        <v>0</v>
      </c>
      <c r="DE66" s="4794">
        <f t="shared" si="93"/>
        <v>0</v>
      </c>
      <c r="DF66" s="4794">
        <f t="shared" si="94"/>
        <v>0</v>
      </c>
      <c r="DG66" s="4794">
        <f t="shared" si="95"/>
        <v>0</v>
      </c>
      <c r="DH66" s="4794">
        <f t="shared" si="96"/>
        <v>0</v>
      </c>
      <c r="DI66" s="4794">
        <f t="shared" si="97"/>
        <v>0</v>
      </c>
      <c r="DJ66" s="4794">
        <f t="shared" si="98"/>
        <v>0</v>
      </c>
    </row>
    <row r="67" spans="1:114" ht="12.75">
      <c r="A67" s="404" t="s">
        <v>84</v>
      </c>
      <c r="B67" s="920" t="s">
        <v>1306</v>
      </c>
      <c r="C67" s="1131">
        <f>'5. Персонал'!C46-'5. Персонал'!C47-'5. Персонал'!C48</f>
        <v>959</v>
      </c>
      <c r="D67" s="926">
        <f>'5. Персонал'!D46-'5. Персонал'!D47-'5. Персонал'!D48</f>
        <v>1402</v>
      </c>
      <c r="E67" s="926">
        <f>'5. Персонал'!E46-'5. Персонал'!E47-'5. Персонал'!E48</f>
        <v>1612</v>
      </c>
      <c r="F67" s="926">
        <f>'5. Персонал'!F46-'5. Персонал'!F47-'5. Персонал'!F48</f>
        <v>1854</v>
      </c>
      <c r="G67" s="926">
        <f>'5. Персонал'!G46-'5. Персонал'!G47-'5. Персонал'!G48</f>
        <v>2132</v>
      </c>
      <c r="H67" s="1160">
        <f>'5. Персонал'!H46-'5. Персонал'!H47-'5. Персонал'!H48</f>
        <v>2452</v>
      </c>
      <c r="I67" s="1274">
        <f t="shared" si="198"/>
        <v>443</v>
      </c>
      <c r="J67" s="842">
        <f t="shared" si="199"/>
        <v>0.46193952033368091</v>
      </c>
      <c r="K67" s="1131">
        <f>'5. Персонал'!I46-'5. Персонал'!I47-'5. Персонал'!I48</f>
        <v>241</v>
      </c>
      <c r="L67" s="926">
        <f>'5. Персонал'!J46-'5. Персонал'!J47-'5. Персонал'!J48</f>
        <v>330.5</v>
      </c>
      <c r="M67" s="926">
        <f>'5. Персонал'!K46-'5. Персонал'!K47-'5. Персонал'!K48</f>
        <v>380.2</v>
      </c>
      <c r="N67" s="926">
        <f>'5. Персонал'!L46-'5. Персонал'!L47-'5. Персонал'!L48</f>
        <v>439.2</v>
      </c>
      <c r="O67" s="926">
        <f>'5. Персонал'!M46-'5. Персонал'!M47-'5. Персонал'!M48</f>
        <v>506.5</v>
      </c>
      <c r="P67" s="1160">
        <f>'5. Персонал'!N46-'5. Персонал'!N47-'5. Персонал'!N48</f>
        <v>583.1</v>
      </c>
      <c r="Q67" s="1268">
        <f t="shared" si="200"/>
        <v>89.5</v>
      </c>
      <c r="R67" s="896">
        <f t="shared" si="201"/>
        <v>0.37136929460580914</v>
      </c>
      <c r="S67" s="1131">
        <f>'5. Персонал'!O46-'5. Персонал'!O47-'5. Персонал'!O48</f>
        <v>225.60000000000002</v>
      </c>
      <c r="T67" s="926">
        <f>'5. Персонал'!P46-'5. Персонал'!P47-'5. Персонал'!P48</f>
        <v>309</v>
      </c>
      <c r="U67" s="926">
        <f>'5. Персонал'!Q46-'5. Персонал'!Q47-'5. Персонал'!Q48</f>
        <v>356</v>
      </c>
      <c r="V67" s="926">
        <f>'5. Персонал'!R46-'5. Персонал'!R47-'5. Персонал'!R48</f>
        <v>409.3</v>
      </c>
      <c r="W67" s="926">
        <f>'5. Персонал'!S46-'5. Персонал'!S47-'5. Персонал'!S48</f>
        <v>470.65</v>
      </c>
      <c r="X67" s="1160">
        <f>'5. Персонал'!T46-'5. Персонал'!T47-'5. Персонал'!T48</f>
        <v>541.04999999999995</v>
      </c>
      <c r="Y67" s="1268">
        <f t="shared" si="168"/>
        <v>83.399999999999977</v>
      </c>
      <c r="Z67" s="896">
        <f t="shared" si="169"/>
        <v>0.36968085106382964</v>
      </c>
      <c r="AA67" s="1131">
        <f>'5. Персонал'!U46-'5. Персонал'!U47-'5. Персонал'!U48</f>
        <v>0</v>
      </c>
      <c r="AB67" s="926">
        <f>'5. Персонал'!V46-'5. Персонал'!V47-'5. Персонал'!V48</f>
        <v>0</v>
      </c>
      <c r="AC67" s="926">
        <f>'5. Персонал'!W46-'5. Персонал'!W47-'5. Персонал'!W48</f>
        <v>0</v>
      </c>
      <c r="AD67" s="926">
        <f>'5. Персонал'!X46-'5. Персонал'!X47-'5. Персонал'!X48</f>
        <v>0</v>
      </c>
      <c r="AE67" s="926">
        <f>'5. Персонал'!Y46-'5. Персонал'!Y47-'5. Персонал'!Y48</f>
        <v>0</v>
      </c>
      <c r="AF67" s="1160">
        <f>'5. Персонал'!Z46-'5. Персонал'!Z47-'5. Персонал'!Z48</f>
        <v>0</v>
      </c>
      <c r="AG67" s="1268">
        <f t="shared" si="203"/>
        <v>0</v>
      </c>
      <c r="AH67" s="838">
        <f t="shared" si="204"/>
        <v>0</v>
      </c>
      <c r="AI67" s="1131">
        <f>'5. Персонал'!AA46-'5. Персонал'!AA47-'5. Персонал'!AA48</f>
        <v>0</v>
      </c>
      <c r="AJ67" s="926">
        <f>'5. Персонал'!AB46-'5. Персонал'!AB47-'5. Персонал'!AB48</f>
        <v>0</v>
      </c>
      <c r="AK67" s="926">
        <f>'5. Персонал'!AC46-'5. Персонал'!AC47-'5. Персонал'!AC48</f>
        <v>0</v>
      </c>
      <c r="AL67" s="926">
        <f>'5. Персонал'!AD46-'5. Персонал'!AD47-'5. Персонал'!AD48</f>
        <v>0</v>
      </c>
      <c r="AM67" s="926">
        <f>'5. Персонал'!AE46-'5. Персонал'!AE47-'5. Персонал'!AE48</f>
        <v>0</v>
      </c>
      <c r="AN67" s="3262">
        <f>'5. Персонал'!AF46-'5. Персонал'!AF47-'5. Персонал'!AF48</f>
        <v>0</v>
      </c>
      <c r="AO67" s="1268">
        <f t="shared" si="205"/>
        <v>0</v>
      </c>
      <c r="AP67" s="838">
        <f t="shared" si="206"/>
        <v>0</v>
      </c>
      <c r="AQ67" s="1131">
        <f>'5. Персонал'!AG46-'5. Персонал'!AG47-'5. Персонал'!AG48</f>
        <v>22</v>
      </c>
      <c r="AR67" s="926">
        <f>'5. Персонал'!AH46-'5. Персонал'!AH47-'5. Персонал'!AH48</f>
        <v>40</v>
      </c>
      <c r="AS67" s="926">
        <f>'5. Персонал'!AI46-'5. Персонал'!AI47-'5. Персонал'!AI48</f>
        <v>46</v>
      </c>
      <c r="AT67" s="926">
        <f>'5. Персонал'!AJ46-'5. Персонал'!AJ47-'5. Персонал'!AJ48</f>
        <v>52</v>
      </c>
      <c r="AU67" s="926">
        <f>'5. Персонал'!AK46-'5. Персонал'!AK47-'5. Персонал'!AK48</f>
        <v>60</v>
      </c>
      <c r="AV67" s="3262">
        <f>'5. Персонал'!AL46-'5. Персонал'!AL47-'5. Персонал'!AL48</f>
        <v>69</v>
      </c>
      <c r="AW67" s="1131">
        <f t="shared" si="270"/>
        <v>1425.6</v>
      </c>
      <c r="AX67" s="3245">
        <f t="shared" si="271"/>
        <v>2041.5</v>
      </c>
      <c r="AY67" s="3245">
        <f t="shared" si="272"/>
        <v>2348.1999999999998</v>
      </c>
      <c r="AZ67" s="3245">
        <f t="shared" si="273"/>
        <v>2702.5</v>
      </c>
      <c r="BA67" s="3245">
        <f t="shared" si="274"/>
        <v>3109.15</v>
      </c>
      <c r="BB67" s="3246">
        <f t="shared" si="275"/>
        <v>3576.1499999999996</v>
      </c>
      <c r="BC67" s="3266">
        <f t="shared" si="276"/>
        <v>959</v>
      </c>
      <c r="BD67" s="3267">
        <f t="shared" si="277"/>
        <v>1402</v>
      </c>
      <c r="BE67" s="3268">
        <f t="shared" si="278"/>
        <v>1612</v>
      </c>
      <c r="BF67" s="3268">
        <f t="shared" si="279"/>
        <v>1854</v>
      </c>
      <c r="BG67" s="3268">
        <f t="shared" si="280"/>
        <v>2132</v>
      </c>
      <c r="BH67" s="3270">
        <f t="shared" si="281"/>
        <v>2452</v>
      </c>
      <c r="BI67" s="4775"/>
      <c r="BJ67" s="4794">
        <f t="shared" si="46"/>
        <v>490.32891406717351</v>
      </c>
      <c r="BK67" s="4794">
        <f t="shared" si="47"/>
        <v>716.8312174370983</v>
      </c>
      <c r="BL67" s="4794">
        <f t="shared" si="48"/>
        <v>824.20251248830425</v>
      </c>
      <c r="BM67" s="4794">
        <f t="shared" si="49"/>
        <v>947.93514773778907</v>
      </c>
      <c r="BN67" s="4794">
        <f t="shared" si="50"/>
        <v>1090.0742907103379</v>
      </c>
      <c r="BO67" s="4794">
        <f t="shared" si="51"/>
        <v>1253.6876926931277</v>
      </c>
      <c r="BP67" s="4794">
        <f t="shared" si="52"/>
        <v>226.50230336992479</v>
      </c>
      <c r="BQ67" s="4794">
        <f t="shared" si="53"/>
        <v>123.22134336828866</v>
      </c>
      <c r="BR67" s="4794">
        <f t="shared" si="54"/>
        <v>168.98196673535023</v>
      </c>
      <c r="BS67" s="4794">
        <f t="shared" si="55"/>
        <v>194.39317323080226</v>
      </c>
      <c r="BT67" s="4794">
        <f t="shared" si="56"/>
        <v>224.55939422137916</v>
      </c>
      <c r="BU67" s="4794">
        <f t="shared" si="57"/>
        <v>258.96933782588468</v>
      </c>
      <c r="BV67" s="4794">
        <f t="shared" si="58"/>
        <v>298.134295925515</v>
      </c>
      <c r="BW67" s="4794">
        <f t="shared" si="59"/>
        <v>45.760623367061555</v>
      </c>
      <c r="BX67" s="4794">
        <f t="shared" si="60"/>
        <v>115.3474483978669</v>
      </c>
      <c r="BY67" s="4794">
        <f t="shared" si="61"/>
        <v>157.98919128963152</v>
      </c>
      <c r="BZ67" s="4794">
        <f t="shared" si="62"/>
        <v>182.01990970585379</v>
      </c>
      <c r="CA67" s="4794">
        <f t="shared" si="63"/>
        <v>209.27176697361224</v>
      </c>
      <c r="CB67" s="4794">
        <f t="shared" si="64"/>
        <v>240.63952388500022</v>
      </c>
      <c r="CC67" s="4794">
        <f t="shared" si="65"/>
        <v>276.63447232121399</v>
      </c>
      <c r="CD67" s="4794">
        <f t="shared" si="66"/>
        <v>42.641742891764608</v>
      </c>
      <c r="CE67" s="4794">
        <f t="shared" si="67"/>
        <v>0</v>
      </c>
      <c r="CF67" s="4794">
        <f t="shared" si="68"/>
        <v>0</v>
      </c>
      <c r="CG67" s="4794">
        <f t="shared" si="69"/>
        <v>0</v>
      </c>
      <c r="CH67" s="4794">
        <f t="shared" si="70"/>
        <v>0</v>
      </c>
      <c r="CI67" s="4794">
        <f t="shared" si="71"/>
        <v>0</v>
      </c>
      <c r="CJ67" s="4794">
        <f t="shared" si="72"/>
        <v>0</v>
      </c>
      <c r="CK67" s="4794">
        <f t="shared" si="73"/>
        <v>0</v>
      </c>
      <c r="CL67" s="4794">
        <f t="shared" si="74"/>
        <v>0</v>
      </c>
      <c r="CM67" s="4794">
        <f t="shared" si="75"/>
        <v>0</v>
      </c>
      <c r="CN67" s="4794">
        <f t="shared" si="76"/>
        <v>0</v>
      </c>
      <c r="CO67" s="4794">
        <f t="shared" si="77"/>
        <v>0</v>
      </c>
      <c r="CP67" s="4794">
        <f t="shared" si="78"/>
        <v>0</v>
      </c>
      <c r="CQ67" s="4794">
        <f t="shared" si="79"/>
        <v>0</v>
      </c>
      <c r="CR67" s="4794">
        <f t="shared" si="80"/>
        <v>0</v>
      </c>
      <c r="CS67" s="4794">
        <f t="shared" si="81"/>
        <v>11.248421386316807</v>
      </c>
      <c r="CT67" s="4794">
        <f t="shared" si="82"/>
        <v>20.45167524784874</v>
      </c>
      <c r="CU67" s="4794">
        <f t="shared" si="83"/>
        <v>23.519426535026049</v>
      </c>
      <c r="CV67" s="4794">
        <f t="shared" si="84"/>
        <v>26.587177822203362</v>
      </c>
      <c r="CW67" s="4794">
        <f t="shared" si="85"/>
        <v>30.677512871773111</v>
      </c>
      <c r="CX67" s="4794">
        <f t="shared" si="86"/>
        <v>35.279139802539078</v>
      </c>
      <c r="CY67" s="4794">
        <f t="shared" si="87"/>
        <v>728.89770583332904</v>
      </c>
      <c r="CZ67" s="4794">
        <f t="shared" si="88"/>
        <v>1043.8023754620801</v>
      </c>
      <c r="DA67" s="4794">
        <f t="shared" si="89"/>
        <v>1200.6155954249602</v>
      </c>
      <c r="DB67" s="4794">
        <f t="shared" si="90"/>
        <v>1381.7663089327805</v>
      </c>
      <c r="DC67" s="4794">
        <f t="shared" si="91"/>
        <v>1589.6831524212228</v>
      </c>
      <c r="DD67" s="4794">
        <f t="shared" si="92"/>
        <v>1828.4564609398567</v>
      </c>
      <c r="DE67" s="4794">
        <f t="shared" si="93"/>
        <v>490.32891406717351</v>
      </c>
      <c r="DF67" s="4794">
        <f t="shared" si="94"/>
        <v>716.8312174370983</v>
      </c>
      <c r="DG67" s="4794">
        <f t="shared" si="95"/>
        <v>824.20251248830425</v>
      </c>
      <c r="DH67" s="4794">
        <f t="shared" si="96"/>
        <v>947.93514773778907</v>
      </c>
      <c r="DI67" s="4794">
        <f t="shared" si="97"/>
        <v>1090.0742907103379</v>
      </c>
      <c r="DJ67" s="4794">
        <f t="shared" si="98"/>
        <v>1253.6876926931277</v>
      </c>
    </row>
    <row r="68" spans="1:114" s="692" customFormat="1" ht="24">
      <c r="A68" s="4170" t="s">
        <v>1280</v>
      </c>
      <c r="B68" s="4171" t="s">
        <v>1307</v>
      </c>
      <c r="C68" s="2816">
        <f>'8. Ремонтна програма'!J37</f>
        <v>56</v>
      </c>
      <c r="D68" s="1268">
        <f>'8. Ремонтна програма'!K37</f>
        <v>0</v>
      </c>
      <c r="E68" s="1152">
        <f>'8. Ремонтна програма'!L37</f>
        <v>0</v>
      </c>
      <c r="F68" s="1152">
        <f>'8. Ремонтна програма'!M37</f>
        <v>0</v>
      </c>
      <c r="G68" s="1152">
        <f>'8. Ремонтна програма'!N37</f>
        <v>0</v>
      </c>
      <c r="H68" s="3271">
        <f>'8. Ремонтна програма'!O37</f>
        <v>0</v>
      </c>
      <c r="I68" s="1268">
        <f t="shared" si="198"/>
        <v>-56</v>
      </c>
      <c r="J68" s="838">
        <f t="shared" si="199"/>
        <v>-1</v>
      </c>
      <c r="K68" s="2816">
        <f>'8. Ремонтна програма'!J66</f>
        <v>9</v>
      </c>
      <c r="L68" s="1268">
        <f>'8. Ремонтна програма'!K66</f>
        <v>8.5</v>
      </c>
      <c r="M68" s="1152">
        <f>'8. Ремонтна програма'!L66</f>
        <v>8.8000000000000007</v>
      </c>
      <c r="N68" s="1152">
        <f>'8. Ремонтна програма'!M66</f>
        <v>8.8000000000000007</v>
      </c>
      <c r="O68" s="1152">
        <f>'8. Ремонтна програма'!N66</f>
        <v>8.5</v>
      </c>
      <c r="P68" s="3271">
        <f>'8. Ремонтна програма'!O66</f>
        <v>8.8999999999999986</v>
      </c>
      <c r="Q68" s="1268">
        <f t="shared" si="200"/>
        <v>-0.5</v>
      </c>
      <c r="R68" s="896">
        <f t="shared" si="201"/>
        <v>-5.5555555555555552E-2</v>
      </c>
      <c r="S68" s="2816">
        <f>'8. Ремонтна програма'!J92</f>
        <v>0.39999999999997726</v>
      </c>
      <c r="T68" s="1268">
        <f>'8. Ремонтна програма'!K92</f>
        <v>0</v>
      </c>
      <c r="U68" s="1152">
        <f>'8. Ремонтна програма'!L92</f>
        <v>0</v>
      </c>
      <c r="V68" s="1152">
        <f>'8. Ремонтна програма'!M92</f>
        <v>-0.29999999999999982</v>
      </c>
      <c r="W68" s="1152">
        <f>'8. Ремонтна програма'!N92</f>
        <v>0.35000000000000009</v>
      </c>
      <c r="X68" s="3271">
        <f>'8. Ремонтна програма'!O92</f>
        <v>-4.9999999999999822E-2</v>
      </c>
      <c r="Y68" s="1268">
        <f t="shared" si="168"/>
        <v>-0.39999999999997726</v>
      </c>
      <c r="Z68" s="896">
        <f t="shared" si="169"/>
        <v>-1</v>
      </c>
      <c r="AA68" s="2816">
        <f>'8. Ремонтна програма'!J123</f>
        <v>0</v>
      </c>
      <c r="AB68" s="1268">
        <f>'8. Ремонтна програма'!K123</f>
        <v>0</v>
      </c>
      <c r="AC68" s="1152">
        <f>'8. Ремонтна програма'!L123</f>
        <v>0</v>
      </c>
      <c r="AD68" s="1152">
        <f>'8. Ремонтна програма'!M123</f>
        <v>0</v>
      </c>
      <c r="AE68" s="1152">
        <f>'8. Ремонтна програма'!N123</f>
        <v>0</v>
      </c>
      <c r="AF68" s="3271">
        <f>'8. Ремонтна програма'!O123</f>
        <v>0</v>
      </c>
      <c r="AG68" s="1268">
        <f t="shared" si="203"/>
        <v>0</v>
      </c>
      <c r="AH68" s="838">
        <f t="shared" si="204"/>
        <v>0</v>
      </c>
      <c r="AI68" s="1131">
        <f>'8. Ремонтна програма'!J154</f>
        <v>0</v>
      </c>
      <c r="AJ68" s="1274">
        <f>'8. Ремонтна програма'!K154</f>
        <v>0</v>
      </c>
      <c r="AK68" s="1155">
        <f>'8. Ремонтна програма'!L154</f>
        <v>0</v>
      </c>
      <c r="AL68" s="1155">
        <f>'8. Ремонтна програма'!M154</f>
        <v>0</v>
      </c>
      <c r="AM68" s="1155">
        <f>'8. Ремонтна програма'!N154</f>
        <v>0</v>
      </c>
      <c r="AN68" s="3262">
        <f>'8. Ремонтна програма'!O154</f>
        <v>0</v>
      </c>
      <c r="AO68" s="1268">
        <f t="shared" si="205"/>
        <v>0</v>
      </c>
      <c r="AP68" s="838">
        <f t="shared" si="206"/>
        <v>0</v>
      </c>
      <c r="AQ68" s="1131">
        <f>'5. Персонал'!AG47</f>
        <v>0</v>
      </c>
      <c r="AR68" s="1160">
        <f>'5. Персонал'!AH47</f>
        <v>0</v>
      </c>
      <c r="AS68" s="1155">
        <f>'5. Персонал'!AI47</f>
        <v>0</v>
      </c>
      <c r="AT68" s="1155">
        <f>'5. Персонал'!AJ47</f>
        <v>0</v>
      </c>
      <c r="AU68" s="1155">
        <f>'5. Персонал'!AK47</f>
        <v>0</v>
      </c>
      <c r="AV68" s="3262">
        <f>'5. Персонал'!AL47</f>
        <v>0</v>
      </c>
      <c r="AW68" s="1131">
        <f t="shared" si="270"/>
        <v>65.399999999999977</v>
      </c>
      <c r="AX68" s="3245">
        <f t="shared" si="271"/>
        <v>8.5</v>
      </c>
      <c r="AY68" s="3245">
        <f t="shared" si="272"/>
        <v>8.8000000000000007</v>
      </c>
      <c r="AZ68" s="3245">
        <f t="shared" si="273"/>
        <v>8.5</v>
      </c>
      <c r="BA68" s="3245">
        <f t="shared" si="274"/>
        <v>8.85</v>
      </c>
      <c r="BB68" s="3246">
        <f t="shared" si="275"/>
        <v>8.8499999999999979</v>
      </c>
      <c r="BC68" s="3266">
        <f t="shared" si="276"/>
        <v>56</v>
      </c>
      <c r="BD68" s="3267">
        <f t="shared" si="277"/>
        <v>0</v>
      </c>
      <c r="BE68" s="3268">
        <f t="shared" si="278"/>
        <v>0</v>
      </c>
      <c r="BF68" s="3268">
        <f t="shared" si="279"/>
        <v>0</v>
      </c>
      <c r="BG68" s="3268">
        <f t="shared" si="280"/>
        <v>0</v>
      </c>
      <c r="BH68" s="3270">
        <f t="shared" si="281"/>
        <v>0</v>
      </c>
      <c r="BI68" s="4775"/>
      <c r="BJ68" s="4794">
        <f t="shared" si="46"/>
        <v>28.632345346988235</v>
      </c>
      <c r="BK68" s="4794">
        <f t="shared" si="47"/>
        <v>0</v>
      </c>
      <c r="BL68" s="4794">
        <f t="shared" si="48"/>
        <v>0</v>
      </c>
      <c r="BM68" s="4794">
        <f t="shared" si="49"/>
        <v>0</v>
      </c>
      <c r="BN68" s="4794">
        <f t="shared" si="50"/>
        <v>0</v>
      </c>
      <c r="BO68" s="4794">
        <f t="shared" si="51"/>
        <v>0</v>
      </c>
      <c r="BP68" s="4794">
        <f t="shared" si="52"/>
        <v>-28.632345346988235</v>
      </c>
      <c r="BQ68" s="4794">
        <f t="shared" si="53"/>
        <v>4.6016269307659661</v>
      </c>
      <c r="BR68" s="4794">
        <f t="shared" si="54"/>
        <v>4.345980990167857</v>
      </c>
      <c r="BS68" s="4794">
        <f t="shared" si="55"/>
        <v>4.4993685545267228</v>
      </c>
      <c r="BT68" s="4794">
        <f t="shared" si="56"/>
        <v>4.4993685545267228</v>
      </c>
      <c r="BU68" s="4794">
        <f t="shared" si="57"/>
        <v>4.345980990167857</v>
      </c>
      <c r="BV68" s="4794">
        <f t="shared" si="58"/>
        <v>4.5504977426463435</v>
      </c>
      <c r="BW68" s="4794">
        <f t="shared" si="59"/>
        <v>-0.25564594059810924</v>
      </c>
      <c r="BX68" s="4794">
        <f t="shared" si="60"/>
        <v>0.20451675247847578</v>
      </c>
      <c r="BY68" s="4794">
        <f t="shared" si="61"/>
        <v>0</v>
      </c>
      <c r="BZ68" s="4794">
        <f t="shared" si="62"/>
        <v>0</v>
      </c>
      <c r="CA68" s="4794">
        <f t="shared" si="63"/>
        <v>-0.15338756435886547</v>
      </c>
      <c r="CB68" s="4794">
        <f t="shared" si="64"/>
        <v>0.17895215841867651</v>
      </c>
      <c r="CC68" s="4794">
        <f t="shared" si="65"/>
        <v>-2.5564594059810833E-2</v>
      </c>
      <c r="CD68" s="4794">
        <f t="shared" si="66"/>
        <v>-0.20451675247847578</v>
      </c>
      <c r="CE68" s="4794">
        <f t="shared" si="67"/>
        <v>0</v>
      </c>
      <c r="CF68" s="4794">
        <f t="shared" si="68"/>
        <v>0</v>
      </c>
      <c r="CG68" s="4794">
        <f t="shared" si="69"/>
        <v>0</v>
      </c>
      <c r="CH68" s="4794">
        <f t="shared" si="70"/>
        <v>0</v>
      </c>
      <c r="CI68" s="4794">
        <f t="shared" si="71"/>
        <v>0</v>
      </c>
      <c r="CJ68" s="4794">
        <f t="shared" si="72"/>
        <v>0</v>
      </c>
      <c r="CK68" s="4794">
        <f t="shared" si="73"/>
        <v>0</v>
      </c>
      <c r="CL68" s="4794">
        <f t="shared" si="74"/>
        <v>0</v>
      </c>
      <c r="CM68" s="4794">
        <f t="shared" si="75"/>
        <v>0</v>
      </c>
      <c r="CN68" s="4794">
        <f t="shared" si="76"/>
        <v>0</v>
      </c>
      <c r="CO68" s="4794">
        <f t="shared" si="77"/>
        <v>0</v>
      </c>
      <c r="CP68" s="4794">
        <f t="shared" si="78"/>
        <v>0</v>
      </c>
      <c r="CQ68" s="4794">
        <f t="shared" si="79"/>
        <v>0</v>
      </c>
      <c r="CR68" s="4794">
        <f t="shared" si="80"/>
        <v>0</v>
      </c>
      <c r="CS68" s="4794">
        <f t="shared" si="81"/>
        <v>0</v>
      </c>
      <c r="CT68" s="4794">
        <f t="shared" si="82"/>
        <v>0</v>
      </c>
      <c r="CU68" s="4794">
        <f t="shared" si="83"/>
        <v>0</v>
      </c>
      <c r="CV68" s="4794">
        <f t="shared" si="84"/>
        <v>0</v>
      </c>
      <c r="CW68" s="4794">
        <f t="shared" si="85"/>
        <v>0</v>
      </c>
      <c r="CX68" s="4794">
        <f t="shared" si="86"/>
        <v>0</v>
      </c>
      <c r="CY68" s="4794">
        <f t="shared" si="87"/>
        <v>33.438489030232681</v>
      </c>
      <c r="CZ68" s="4794">
        <f t="shared" si="88"/>
        <v>4.345980990167857</v>
      </c>
      <c r="DA68" s="4794">
        <f t="shared" si="89"/>
        <v>4.4993685545267228</v>
      </c>
      <c r="DB68" s="4794">
        <f t="shared" si="90"/>
        <v>4.345980990167857</v>
      </c>
      <c r="DC68" s="4794">
        <f t="shared" si="91"/>
        <v>4.5249331485865332</v>
      </c>
      <c r="DD68" s="4794">
        <f t="shared" si="92"/>
        <v>4.5249331485865323</v>
      </c>
      <c r="DE68" s="4794">
        <f t="shared" si="93"/>
        <v>28.632345346988235</v>
      </c>
      <c r="DF68" s="4794">
        <f t="shared" si="94"/>
        <v>0</v>
      </c>
      <c r="DG68" s="4794">
        <f t="shared" si="95"/>
        <v>0</v>
      </c>
      <c r="DH68" s="4794">
        <f t="shared" si="96"/>
        <v>0</v>
      </c>
      <c r="DI68" s="4794">
        <f t="shared" si="97"/>
        <v>0</v>
      </c>
      <c r="DJ68" s="4794">
        <f t="shared" si="98"/>
        <v>0</v>
      </c>
    </row>
    <row r="69" spans="1:114" ht="43.5" customHeight="1" thickBot="1">
      <c r="A69" s="4167" t="s">
        <v>1281</v>
      </c>
      <c r="B69" s="4169" t="s">
        <v>1749</v>
      </c>
      <c r="C69" s="3589">
        <f>'5. Персонал'!C68</f>
        <v>0</v>
      </c>
      <c r="D69" s="4172">
        <f>'5. Персонал'!D68</f>
        <v>0</v>
      </c>
      <c r="E69" s="4172">
        <f>'5. Персонал'!E68</f>
        <v>0</v>
      </c>
      <c r="F69" s="4172">
        <f>'5. Персонал'!F68</f>
        <v>0</v>
      </c>
      <c r="G69" s="4172">
        <f>'5. Персонал'!G68</f>
        <v>0</v>
      </c>
      <c r="H69" s="4173">
        <f>'5. Персонал'!H68</f>
        <v>0</v>
      </c>
      <c r="I69" s="1268">
        <f t="shared" si="198"/>
        <v>0</v>
      </c>
      <c r="J69" s="838">
        <f t="shared" si="199"/>
        <v>0</v>
      </c>
      <c r="K69" s="3589">
        <f>'5. Персонал'!I68</f>
        <v>0</v>
      </c>
      <c r="L69" s="4172">
        <f>'5. Персонал'!J68</f>
        <v>0</v>
      </c>
      <c r="M69" s="4172">
        <f>'5. Персонал'!K68</f>
        <v>0</v>
      </c>
      <c r="N69" s="4172">
        <f>'5. Персонал'!L68</f>
        <v>0</v>
      </c>
      <c r="O69" s="4172">
        <f>'5. Персонал'!M68</f>
        <v>0</v>
      </c>
      <c r="P69" s="4173">
        <f>'5. Персонал'!N68</f>
        <v>0</v>
      </c>
      <c r="Q69" s="1268">
        <f t="shared" si="200"/>
        <v>0</v>
      </c>
      <c r="R69" s="896">
        <f t="shared" si="201"/>
        <v>0</v>
      </c>
      <c r="S69" s="3589">
        <f>'5. Персонал'!O68</f>
        <v>0</v>
      </c>
      <c r="T69" s="4172">
        <f>'5. Персонал'!P68</f>
        <v>0</v>
      </c>
      <c r="U69" s="4172">
        <f>'5. Персонал'!Q68</f>
        <v>0</v>
      </c>
      <c r="V69" s="4172">
        <f>'5. Персонал'!R68</f>
        <v>0</v>
      </c>
      <c r="W69" s="4172">
        <f>'5. Персонал'!S68</f>
        <v>0</v>
      </c>
      <c r="X69" s="4173">
        <f>'5. Персонал'!T68</f>
        <v>0</v>
      </c>
      <c r="Y69" s="1268">
        <f t="shared" si="168"/>
        <v>0</v>
      </c>
      <c r="Z69" s="896">
        <f t="shared" si="169"/>
        <v>0</v>
      </c>
      <c r="AA69" s="3589">
        <f>'5. Персонал'!U68</f>
        <v>0</v>
      </c>
      <c r="AB69" s="4172">
        <f>'5. Персонал'!V68</f>
        <v>0</v>
      </c>
      <c r="AC69" s="4172">
        <f>'5. Персонал'!W68</f>
        <v>0</v>
      </c>
      <c r="AD69" s="4172">
        <f>'5. Персонал'!X68</f>
        <v>0</v>
      </c>
      <c r="AE69" s="4172">
        <f>'5. Персонал'!Y68</f>
        <v>0</v>
      </c>
      <c r="AF69" s="4173">
        <f>'5. Персонал'!Z68</f>
        <v>0</v>
      </c>
      <c r="AG69" s="1268">
        <f t="shared" si="203"/>
        <v>0</v>
      </c>
      <c r="AH69" s="838">
        <f t="shared" si="204"/>
        <v>0</v>
      </c>
      <c r="AI69" s="3589">
        <f>'5. Персонал'!AA68</f>
        <v>0</v>
      </c>
      <c r="AJ69" s="4172">
        <f>'5. Персонал'!AB68</f>
        <v>0</v>
      </c>
      <c r="AK69" s="4172">
        <f>'5. Персонал'!AC68</f>
        <v>0</v>
      </c>
      <c r="AL69" s="4172">
        <f>'5. Персонал'!AD68</f>
        <v>0</v>
      </c>
      <c r="AM69" s="4172">
        <f>'5. Персонал'!AE68</f>
        <v>0</v>
      </c>
      <c r="AN69" s="4168">
        <f>'5. Персонал'!AF68</f>
        <v>0</v>
      </c>
      <c r="AO69" s="1268">
        <f t="shared" si="205"/>
        <v>0</v>
      </c>
      <c r="AP69" s="838">
        <f t="shared" si="206"/>
        <v>0</v>
      </c>
      <c r="AQ69" s="3589">
        <f>'5. Персонал'!AG68</f>
        <v>0</v>
      </c>
      <c r="AR69" s="4172">
        <f>'5. Персонал'!AH68</f>
        <v>0</v>
      </c>
      <c r="AS69" s="4172">
        <f>'5. Персонал'!AI68</f>
        <v>0</v>
      </c>
      <c r="AT69" s="4172">
        <f>'5. Персонал'!AJ68</f>
        <v>0</v>
      </c>
      <c r="AU69" s="4172">
        <f>'5. Персонал'!AK68</f>
        <v>0</v>
      </c>
      <c r="AV69" s="4168">
        <f>'5. Персонал'!AL68</f>
        <v>0</v>
      </c>
      <c r="AW69" s="1131">
        <f t="shared" si="270"/>
        <v>0</v>
      </c>
      <c r="AX69" s="3245">
        <f t="shared" si="271"/>
        <v>0</v>
      </c>
      <c r="AY69" s="3245">
        <f>E69+M69+U69+AC69+AK69</f>
        <v>0</v>
      </c>
      <c r="AZ69" s="3245">
        <f t="shared" si="273"/>
        <v>0</v>
      </c>
      <c r="BA69" s="3245">
        <f t="shared" si="274"/>
        <v>0</v>
      </c>
      <c r="BB69" s="3246">
        <f t="shared" si="275"/>
        <v>0</v>
      </c>
      <c r="BC69" s="3266">
        <f t="shared" si="276"/>
        <v>0</v>
      </c>
      <c r="BD69" s="3267">
        <f t="shared" si="277"/>
        <v>0</v>
      </c>
      <c r="BE69" s="3268">
        <f t="shared" si="278"/>
        <v>0</v>
      </c>
      <c r="BF69" s="3268">
        <f t="shared" si="279"/>
        <v>0</v>
      </c>
      <c r="BG69" s="3268">
        <f t="shared" si="280"/>
        <v>0</v>
      </c>
      <c r="BH69" s="3270">
        <f t="shared" si="281"/>
        <v>0</v>
      </c>
      <c r="BI69" s="4775"/>
      <c r="BJ69" s="4794">
        <f t="shared" si="46"/>
        <v>0</v>
      </c>
      <c r="BK69" s="4794">
        <f t="shared" si="47"/>
        <v>0</v>
      </c>
      <c r="BL69" s="4794">
        <f t="shared" si="48"/>
        <v>0</v>
      </c>
      <c r="BM69" s="4794">
        <f t="shared" si="49"/>
        <v>0</v>
      </c>
      <c r="BN69" s="4794">
        <f t="shared" si="50"/>
        <v>0</v>
      </c>
      <c r="BO69" s="4794">
        <f t="shared" si="51"/>
        <v>0</v>
      </c>
      <c r="BP69" s="4794">
        <f t="shared" si="52"/>
        <v>0</v>
      </c>
      <c r="BQ69" s="4794">
        <f t="shared" si="53"/>
        <v>0</v>
      </c>
      <c r="BR69" s="4794">
        <f t="shared" si="54"/>
        <v>0</v>
      </c>
      <c r="BS69" s="4794">
        <f t="shared" si="55"/>
        <v>0</v>
      </c>
      <c r="BT69" s="4794">
        <f t="shared" si="56"/>
        <v>0</v>
      </c>
      <c r="BU69" s="4794">
        <f t="shared" si="57"/>
        <v>0</v>
      </c>
      <c r="BV69" s="4794">
        <f t="shared" si="58"/>
        <v>0</v>
      </c>
      <c r="BW69" s="4794">
        <f t="shared" si="59"/>
        <v>0</v>
      </c>
      <c r="BX69" s="4794">
        <f t="shared" si="60"/>
        <v>0</v>
      </c>
      <c r="BY69" s="4794">
        <f t="shared" si="61"/>
        <v>0</v>
      </c>
      <c r="BZ69" s="4794">
        <f t="shared" si="62"/>
        <v>0</v>
      </c>
      <c r="CA69" s="4794">
        <f t="shared" si="63"/>
        <v>0</v>
      </c>
      <c r="CB69" s="4794">
        <f t="shared" si="64"/>
        <v>0</v>
      </c>
      <c r="CC69" s="4794">
        <f t="shared" si="65"/>
        <v>0</v>
      </c>
      <c r="CD69" s="4794">
        <f t="shared" si="66"/>
        <v>0</v>
      </c>
      <c r="CE69" s="4794">
        <f t="shared" si="67"/>
        <v>0</v>
      </c>
      <c r="CF69" s="4794">
        <f t="shared" si="68"/>
        <v>0</v>
      </c>
      <c r="CG69" s="4794">
        <f t="shared" si="69"/>
        <v>0</v>
      </c>
      <c r="CH69" s="4794">
        <f t="shared" si="70"/>
        <v>0</v>
      </c>
      <c r="CI69" s="4794">
        <f t="shared" si="71"/>
        <v>0</v>
      </c>
      <c r="CJ69" s="4794">
        <f t="shared" si="72"/>
        <v>0</v>
      </c>
      <c r="CK69" s="4794">
        <f t="shared" si="73"/>
        <v>0</v>
      </c>
      <c r="CL69" s="4794">
        <f t="shared" si="74"/>
        <v>0</v>
      </c>
      <c r="CM69" s="4794">
        <f t="shared" si="75"/>
        <v>0</v>
      </c>
      <c r="CN69" s="4794">
        <f t="shared" si="76"/>
        <v>0</v>
      </c>
      <c r="CO69" s="4794">
        <f t="shared" si="77"/>
        <v>0</v>
      </c>
      <c r="CP69" s="4794">
        <f t="shared" si="78"/>
        <v>0</v>
      </c>
      <c r="CQ69" s="4794">
        <f t="shared" si="79"/>
        <v>0</v>
      </c>
      <c r="CR69" s="4794">
        <f t="shared" si="80"/>
        <v>0</v>
      </c>
      <c r="CS69" s="4794">
        <f t="shared" si="81"/>
        <v>0</v>
      </c>
      <c r="CT69" s="4794">
        <f t="shared" si="82"/>
        <v>0</v>
      </c>
      <c r="CU69" s="4794">
        <f t="shared" si="83"/>
        <v>0</v>
      </c>
      <c r="CV69" s="4794">
        <f t="shared" si="84"/>
        <v>0</v>
      </c>
      <c r="CW69" s="4794">
        <f t="shared" si="85"/>
        <v>0</v>
      </c>
      <c r="CX69" s="4794">
        <f t="shared" si="86"/>
        <v>0</v>
      </c>
      <c r="CY69" s="4794">
        <f t="shared" si="87"/>
        <v>0</v>
      </c>
      <c r="CZ69" s="4794">
        <f t="shared" si="88"/>
        <v>0</v>
      </c>
      <c r="DA69" s="4794">
        <f t="shared" si="89"/>
        <v>0</v>
      </c>
      <c r="DB69" s="4794">
        <f t="shared" si="90"/>
        <v>0</v>
      </c>
      <c r="DC69" s="4794">
        <f t="shared" si="91"/>
        <v>0</v>
      </c>
      <c r="DD69" s="4794">
        <f t="shared" si="92"/>
        <v>0</v>
      </c>
      <c r="DE69" s="4794">
        <f t="shared" si="93"/>
        <v>0</v>
      </c>
      <c r="DF69" s="4794">
        <f t="shared" si="94"/>
        <v>0</v>
      </c>
      <c r="DG69" s="4794">
        <f t="shared" si="95"/>
        <v>0</v>
      </c>
      <c r="DH69" s="4794">
        <f t="shared" si="96"/>
        <v>0</v>
      </c>
      <c r="DI69" s="4794">
        <f t="shared" si="97"/>
        <v>0</v>
      </c>
      <c r="DJ69" s="4794">
        <f t="shared" si="98"/>
        <v>0</v>
      </c>
    </row>
    <row r="70" spans="1:114" ht="13.5" thickBot="1">
      <c r="A70" s="115">
        <v>6</v>
      </c>
      <c r="B70" s="916" t="s">
        <v>450</v>
      </c>
      <c r="C70" s="1129">
        <f t="shared" ref="C70:AV70" si="282">SUM(C71:C75)</f>
        <v>463.2</v>
      </c>
      <c r="D70" s="2807">
        <f t="shared" si="282"/>
        <v>469</v>
      </c>
      <c r="E70" s="1166">
        <f t="shared" si="282"/>
        <v>458</v>
      </c>
      <c r="F70" s="1166">
        <f t="shared" si="282"/>
        <v>445</v>
      </c>
      <c r="G70" s="1166">
        <f t="shared" si="282"/>
        <v>433</v>
      </c>
      <c r="H70" s="3261">
        <f t="shared" si="282"/>
        <v>421</v>
      </c>
      <c r="I70" s="1265">
        <f t="shared" si="198"/>
        <v>5.8000000000000114</v>
      </c>
      <c r="J70" s="836">
        <f t="shared" si="199"/>
        <v>1.2521588946459437E-2</v>
      </c>
      <c r="K70" s="1129">
        <f t="shared" si="282"/>
        <v>78</v>
      </c>
      <c r="L70" s="2807">
        <f t="shared" si="282"/>
        <v>79</v>
      </c>
      <c r="M70" s="1166">
        <f t="shared" si="282"/>
        <v>79</v>
      </c>
      <c r="N70" s="1166">
        <f t="shared" si="282"/>
        <v>78</v>
      </c>
      <c r="O70" s="1166">
        <f t="shared" si="282"/>
        <v>77</v>
      </c>
      <c r="P70" s="3261">
        <f t="shared" si="282"/>
        <v>77</v>
      </c>
      <c r="Q70" s="1265">
        <f t="shared" si="200"/>
        <v>1</v>
      </c>
      <c r="R70" s="894">
        <f t="shared" si="201"/>
        <v>1.282051282051282E-2</v>
      </c>
      <c r="S70" s="1129">
        <f t="shared" si="282"/>
        <v>68</v>
      </c>
      <c r="T70" s="2807">
        <f t="shared" si="282"/>
        <v>69</v>
      </c>
      <c r="U70" s="1166">
        <f t="shared" si="282"/>
        <v>69</v>
      </c>
      <c r="V70" s="1166">
        <f t="shared" si="282"/>
        <v>68</v>
      </c>
      <c r="W70" s="1166">
        <f t="shared" si="282"/>
        <v>67</v>
      </c>
      <c r="X70" s="3261">
        <f t="shared" si="282"/>
        <v>67</v>
      </c>
      <c r="Y70" s="1265">
        <f t="shared" si="168"/>
        <v>1</v>
      </c>
      <c r="Z70" s="894">
        <f t="shared" si="169"/>
        <v>1.4705882352941176E-2</v>
      </c>
      <c r="AA70" s="1129">
        <f t="shared" ref="AA70:AN70" si="283">SUM(AA71:AA75)</f>
        <v>0</v>
      </c>
      <c r="AB70" s="2807">
        <f t="shared" si="283"/>
        <v>0</v>
      </c>
      <c r="AC70" s="1166">
        <f t="shared" si="283"/>
        <v>0</v>
      </c>
      <c r="AD70" s="1166">
        <f t="shared" si="283"/>
        <v>0</v>
      </c>
      <c r="AE70" s="1166">
        <f t="shared" si="283"/>
        <v>0</v>
      </c>
      <c r="AF70" s="3261">
        <f t="shared" si="283"/>
        <v>0</v>
      </c>
      <c r="AG70" s="1265">
        <f t="shared" si="203"/>
        <v>0</v>
      </c>
      <c r="AH70" s="836">
        <f t="shared" si="204"/>
        <v>0</v>
      </c>
      <c r="AI70" s="1129">
        <f t="shared" si="283"/>
        <v>0</v>
      </c>
      <c r="AJ70" s="2807">
        <f t="shared" si="283"/>
        <v>0</v>
      </c>
      <c r="AK70" s="1166">
        <f t="shared" si="283"/>
        <v>0</v>
      </c>
      <c r="AL70" s="1166">
        <f t="shared" si="283"/>
        <v>0</v>
      </c>
      <c r="AM70" s="1166">
        <f t="shared" si="283"/>
        <v>0</v>
      </c>
      <c r="AN70" s="3261">
        <f t="shared" si="283"/>
        <v>0</v>
      </c>
      <c r="AO70" s="1265">
        <f t="shared" si="205"/>
        <v>0</v>
      </c>
      <c r="AP70" s="836">
        <f t="shared" si="206"/>
        <v>0</v>
      </c>
      <c r="AQ70" s="1129">
        <f t="shared" si="282"/>
        <v>0</v>
      </c>
      <c r="AR70" s="924">
        <f t="shared" si="282"/>
        <v>0</v>
      </c>
      <c r="AS70" s="1166">
        <f t="shared" si="282"/>
        <v>0</v>
      </c>
      <c r="AT70" s="1166">
        <f t="shared" si="282"/>
        <v>0</v>
      </c>
      <c r="AU70" s="1166">
        <f t="shared" si="282"/>
        <v>0</v>
      </c>
      <c r="AV70" s="3261">
        <f t="shared" si="282"/>
        <v>0</v>
      </c>
      <c r="AW70" s="1129">
        <f t="shared" ref="AW70:BB70" si="284">SUM(AW71:AW75)</f>
        <v>609.20000000000005</v>
      </c>
      <c r="AX70" s="924">
        <f t="shared" si="284"/>
        <v>617</v>
      </c>
      <c r="AY70" s="1166">
        <f t="shared" si="284"/>
        <v>606</v>
      </c>
      <c r="AZ70" s="1166">
        <f t="shared" si="284"/>
        <v>591</v>
      </c>
      <c r="BA70" s="1166">
        <f t="shared" si="284"/>
        <v>577</v>
      </c>
      <c r="BB70" s="3261">
        <f t="shared" si="284"/>
        <v>565</v>
      </c>
      <c r="BC70" s="1129">
        <f t="shared" ref="BC70:BH70" si="285">SUM(BC71:BC75)</f>
        <v>463.2</v>
      </c>
      <c r="BD70" s="924">
        <f t="shared" si="285"/>
        <v>469</v>
      </c>
      <c r="BE70" s="1166">
        <f t="shared" si="285"/>
        <v>458</v>
      </c>
      <c r="BF70" s="1166">
        <f t="shared" si="285"/>
        <v>445</v>
      </c>
      <c r="BG70" s="1166">
        <f t="shared" si="285"/>
        <v>433</v>
      </c>
      <c r="BH70" s="3261">
        <f t="shared" si="285"/>
        <v>421</v>
      </c>
      <c r="BI70" s="4775"/>
      <c r="BJ70" s="4794">
        <f t="shared" si="46"/>
        <v>236.8303993700884</v>
      </c>
      <c r="BK70" s="4794">
        <f t="shared" si="47"/>
        <v>239.79589228102648</v>
      </c>
      <c r="BL70" s="4794">
        <f t="shared" si="48"/>
        <v>234.17168158786808</v>
      </c>
      <c r="BM70" s="4794">
        <f t="shared" si="49"/>
        <v>227.52488713231722</v>
      </c>
      <c r="BN70" s="4794">
        <f t="shared" si="50"/>
        <v>221.38938455796261</v>
      </c>
      <c r="BO70" s="4794">
        <f t="shared" si="51"/>
        <v>215.25388198360798</v>
      </c>
      <c r="BP70" s="4794">
        <f t="shared" si="52"/>
        <v>2.9654929109380732</v>
      </c>
      <c r="BQ70" s="4794">
        <f t="shared" si="53"/>
        <v>39.880766733305045</v>
      </c>
      <c r="BR70" s="4794">
        <f t="shared" si="54"/>
        <v>40.392058614501259</v>
      </c>
      <c r="BS70" s="4794">
        <f t="shared" si="55"/>
        <v>40.392058614501259</v>
      </c>
      <c r="BT70" s="4794">
        <f t="shared" si="56"/>
        <v>39.880766733305045</v>
      </c>
      <c r="BU70" s="4794">
        <f t="shared" si="57"/>
        <v>39.369474852108823</v>
      </c>
      <c r="BV70" s="4794">
        <f t="shared" si="58"/>
        <v>39.369474852108823</v>
      </c>
      <c r="BW70" s="4794">
        <f t="shared" si="59"/>
        <v>0.51129188119621849</v>
      </c>
      <c r="BX70" s="4794">
        <f t="shared" si="60"/>
        <v>34.767847921342856</v>
      </c>
      <c r="BY70" s="4794">
        <f t="shared" si="61"/>
        <v>35.279139802539078</v>
      </c>
      <c r="BZ70" s="4794">
        <f t="shared" si="62"/>
        <v>35.279139802539078</v>
      </c>
      <c r="CA70" s="4794">
        <f t="shared" si="63"/>
        <v>34.767847921342856</v>
      </c>
      <c r="CB70" s="4794">
        <f t="shared" si="64"/>
        <v>34.256556040146641</v>
      </c>
      <c r="CC70" s="4794">
        <f t="shared" si="65"/>
        <v>34.256556040146641</v>
      </c>
      <c r="CD70" s="4794">
        <f t="shared" si="66"/>
        <v>0.51129188119621849</v>
      </c>
      <c r="CE70" s="4794">
        <f t="shared" si="67"/>
        <v>0</v>
      </c>
      <c r="CF70" s="4794">
        <f t="shared" si="68"/>
        <v>0</v>
      </c>
      <c r="CG70" s="4794">
        <f t="shared" si="69"/>
        <v>0</v>
      </c>
      <c r="CH70" s="4794">
        <f t="shared" si="70"/>
        <v>0</v>
      </c>
      <c r="CI70" s="4794">
        <f t="shared" si="71"/>
        <v>0</v>
      </c>
      <c r="CJ70" s="4794">
        <f t="shared" si="72"/>
        <v>0</v>
      </c>
      <c r="CK70" s="4794">
        <f t="shared" si="73"/>
        <v>0</v>
      </c>
      <c r="CL70" s="4794">
        <f t="shared" si="74"/>
        <v>0</v>
      </c>
      <c r="CM70" s="4794">
        <f t="shared" si="75"/>
        <v>0</v>
      </c>
      <c r="CN70" s="4794">
        <f t="shared" si="76"/>
        <v>0</v>
      </c>
      <c r="CO70" s="4794">
        <f t="shared" si="77"/>
        <v>0</v>
      </c>
      <c r="CP70" s="4794">
        <f t="shared" si="78"/>
        <v>0</v>
      </c>
      <c r="CQ70" s="4794">
        <f t="shared" si="79"/>
        <v>0</v>
      </c>
      <c r="CR70" s="4794">
        <f t="shared" si="80"/>
        <v>0</v>
      </c>
      <c r="CS70" s="4794">
        <f t="shared" si="81"/>
        <v>0</v>
      </c>
      <c r="CT70" s="4794">
        <f t="shared" si="82"/>
        <v>0</v>
      </c>
      <c r="CU70" s="4794">
        <f t="shared" si="83"/>
        <v>0</v>
      </c>
      <c r="CV70" s="4794">
        <f t="shared" si="84"/>
        <v>0</v>
      </c>
      <c r="CW70" s="4794">
        <f t="shared" si="85"/>
        <v>0</v>
      </c>
      <c r="CX70" s="4794">
        <f t="shared" si="86"/>
        <v>0</v>
      </c>
      <c r="CY70" s="4794">
        <f t="shared" si="87"/>
        <v>311.47901402473633</v>
      </c>
      <c r="CZ70" s="4794">
        <f t="shared" si="88"/>
        <v>315.46709069806684</v>
      </c>
      <c r="DA70" s="4794">
        <f t="shared" si="89"/>
        <v>309.84288000490841</v>
      </c>
      <c r="DB70" s="4794">
        <f t="shared" si="90"/>
        <v>302.17350178696512</v>
      </c>
      <c r="DC70" s="4794">
        <f t="shared" si="91"/>
        <v>295.01541545021809</v>
      </c>
      <c r="DD70" s="4794">
        <f t="shared" si="92"/>
        <v>288.87991287586345</v>
      </c>
      <c r="DE70" s="4794">
        <f t="shared" si="93"/>
        <v>236.8303993700884</v>
      </c>
      <c r="DF70" s="4794">
        <f t="shared" si="94"/>
        <v>239.79589228102648</v>
      </c>
      <c r="DG70" s="4794">
        <f t="shared" si="95"/>
        <v>234.17168158786808</v>
      </c>
      <c r="DH70" s="4794">
        <f t="shared" si="96"/>
        <v>227.52488713231722</v>
      </c>
      <c r="DI70" s="4794">
        <f t="shared" si="97"/>
        <v>221.38938455796261</v>
      </c>
      <c r="DJ70" s="4794">
        <f t="shared" si="98"/>
        <v>215.25388198360798</v>
      </c>
    </row>
    <row r="71" spans="1:114" ht="12.75">
      <c r="A71" s="113" t="s">
        <v>268</v>
      </c>
      <c r="B71" s="914" t="s">
        <v>451</v>
      </c>
      <c r="C71" s="3225">
        <v>44</v>
      </c>
      <c r="D71" s="3226">
        <v>44</v>
      </c>
      <c r="E71" s="3226">
        <v>44</v>
      </c>
      <c r="F71" s="3226">
        <v>44</v>
      </c>
      <c r="G71" s="3226">
        <v>44</v>
      </c>
      <c r="H71" s="3227">
        <v>44</v>
      </c>
      <c r="I71" s="1270">
        <f t="shared" si="198"/>
        <v>0</v>
      </c>
      <c r="J71" s="842">
        <f t="shared" si="199"/>
        <v>0</v>
      </c>
      <c r="K71" s="3225">
        <v>9</v>
      </c>
      <c r="L71" s="3226">
        <v>9</v>
      </c>
      <c r="M71" s="3226">
        <v>9</v>
      </c>
      <c r="N71" s="3226">
        <v>9</v>
      </c>
      <c r="O71" s="3226">
        <v>9</v>
      </c>
      <c r="P71" s="3227">
        <v>9</v>
      </c>
      <c r="Q71" s="1270">
        <f t="shared" si="200"/>
        <v>0</v>
      </c>
      <c r="R71" s="1140">
        <f t="shared" si="201"/>
        <v>0</v>
      </c>
      <c r="S71" s="3225">
        <v>10</v>
      </c>
      <c r="T71" s="3226">
        <v>10</v>
      </c>
      <c r="U71" s="3226">
        <v>10</v>
      </c>
      <c r="V71" s="3226">
        <v>10</v>
      </c>
      <c r="W71" s="3226">
        <v>10</v>
      </c>
      <c r="X71" s="3227">
        <v>10</v>
      </c>
      <c r="Y71" s="1270">
        <f t="shared" si="168"/>
        <v>0</v>
      </c>
      <c r="Z71" s="1140">
        <f t="shared" si="169"/>
        <v>0</v>
      </c>
      <c r="AA71" s="3225"/>
      <c r="AB71" s="3226"/>
      <c r="AC71" s="3226"/>
      <c r="AD71" s="3226"/>
      <c r="AE71" s="3226"/>
      <c r="AF71" s="3227"/>
      <c r="AG71" s="1270">
        <f t="shared" si="203"/>
        <v>0</v>
      </c>
      <c r="AH71" s="842">
        <f t="shared" si="204"/>
        <v>0</v>
      </c>
      <c r="AI71" s="3225"/>
      <c r="AJ71" s="3226"/>
      <c r="AK71" s="3226"/>
      <c r="AL71" s="3226"/>
      <c r="AM71" s="3226"/>
      <c r="AN71" s="3255"/>
      <c r="AO71" s="1270">
        <f t="shared" si="205"/>
        <v>0</v>
      </c>
      <c r="AP71" s="842">
        <f t="shared" si="206"/>
        <v>0</v>
      </c>
      <c r="AQ71" s="3225"/>
      <c r="AR71" s="3226"/>
      <c r="AS71" s="3226"/>
      <c r="AT71" s="3226"/>
      <c r="AU71" s="3226"/>
      <c r="AV71" s="3255"/>
      <c r="AW71" s="1131">
        <f t="shared" ref="AW71" si="286">C71+K71+S71+AA71+AI71</f>
        <v>63</v>
      </c>
      <c r="AX71" s="3245">
        <f t="shared" ref="AX71:AX72" si="287">D71+L71+T71+AB71+AJ71</f>
        <v>63</v>
      </c>
      <c r="AY71" s="3245">
        <f t="shared" ref="AY71:AY72" si="288">E71+M71+U71+AC71+AK71</f>
        <v>63</v>
      </c>
      <c r="AZ71" s="3245">
        <f t="shared" ref="AZ71:AZ72" si="289">F71+N71+V71+AD71+AL71</f>
        <v>63</v>
      </c>
      <c r="BA71" s="3245">
        <f t="shared" ref="BA71:BA72" si="290">G71+O71+W71+AE71+AM71</f>
        <v>63</v>
      </c>
      <c r="BB71" s="3246">
        <f t="shared" ref="BB71:BB72" si="291">H71+P71+X71+AF71+AN71</f>
        <v>63</v>
      </c>
      <c r="BC71" s="3266">
        <f>C71+AA71+AI71</f>
        <v>44</v>
      </c>
      <c r="BD71" s="3267">
        <f t="shared" ref="BD71" si="292">D71+AB71+AJ71</f>
        <v>44</v>
      </c>
      <c r="BE71" s="3268">
        <f t="shared" ref="BE71:BE72" si="293">E71+AC71+AK71</f>
        <v>44</v>
      </c>
      <c r="BF71" s="3268">
        <f t="shared" ref="BF71:BF72" si="294">F71+AD71+AL71</f>
        <v>44</v>
      </c>
      <c r="BG71" s="3268">
        <f t="shared" ref="BG71:BG72" si="295">G71+AE71+AM71</f>
        <v>44</v>
      </c>
      <c r="BH71" s="3270">
        <f>H71+AF71+AN71</f>
        <v>44</v>
      </c>
      <c r="BI71" s="4775"/>
      <c r="BJ71" s="4794">
        <f t="shared" si="46"/>
        <v>22.496842772633613</v>
      </c>
      <c r="BK71" s="4794">
        <f t="shared" si="47"/>
        <v>22.496842772633613</v>
      </c>
      <c r="BL71" s="4794">
        <f t="shared" si="48"/>
        <v>22.496842772633613</v>
      </c>
      <c r="BM71" s="4794">
        <f t="shared" si="49"/>
        <v>22.496842772633613</v>
      </c>
      <c r="BN71" s="4794">
        <f t="shared" si="50"/>
        <v>22.496842772633613</v>
      </c>
      <c r="BO71" s="4794">
        <f t="shared" si="51"/>
        <v>22.496842772633613</v>
      </c>
      <c r="BP71" s="4794">
        <f t="shared" si="52"/>
        <v>0</v>
      </c>
      <c r="BQ71" s="4794">
        <f t="shared" si="53"/>
        <v>4.6016269307659661</v>
      </c>
      <c r="BR71" s="4794">
        <f t="shared" si="54"/>
        <v>4.6016269307659661</v>
      </c>
      <c r="BS71" s="4794">
        <f t="shared" si="55"/>
        <v>4.6016269307659661</v>
      </c>
      <c r="BT71" s="4794">
        <f t="shared" si="56"/>
        <v>4.6016269307659661</v>
      </c>
      <c r="BU71" s="4794">
        <f t="shared" si="57"/>
        <v>4.6016269307659661</v>
      </c>
      <c r="BV71" s="4794">
        <f t="shared" si="58"/>
        <v>4.6016269307659661</v>
      </c>
      <c r="BW71" s="4794">
        <f t="shared" si="59"/>
        <v>0</v>
      </c>
      <c r="BX71" s="4794">
        <f t="shared" si="60"/>
        <v>5.1129188119621851</v>
      </c>
      <c r="BY71" s="4794">
        <f t="shared" si="61"/>
        <v>5.1129188119621851</v>
      </c>
      <c r="BZ71" s="4794">
        <f t="shared" si="62"/>
        <v>5.1129188119621851</v>
      </c>
      <c r="CA71" s="4794">
        <f t="shared" si="63"/>
        <v>5.1129188119621851</v>
      </c>
      <c r="CB71" s="4794">
        <f t="shared" si="64"/>
        <v>5.1129188119621851</v>
      </c>
      <c r="CC71" s="4794">
        <f t="shared" si="65"/>
        <v>5.1129188119621851</v>
      </c>
      <c r="CD71" s="4794">
        <f t="shared" si="66"/>
        <v>0</v>
      </c>
      <c r="CE71" s="4794">
        <f t="shared" si="67"/>
        <v>0</v>
      </c>
      <c r="CF71" s="4794">
        <f t="shared" si="68"/>
        <v>0</v>
      </c>
      <c r="CG71" s="4794">
        <f t="shared" si="69"/>
        <v>0</v>
      </c>
      <c r="CH71" s="4794">
        <f t="shared" si="70"/>
        <v>0</v>
      </c>
      <c r="CI71" s="4794">
        <f t="shared" si="71"/>
        <v>0</v>
      </c>
      <c r="CJ71" s="4794">
        <f t="shared" si="72"/>
        <v>0</v>
      </c>
      <c r="CK71" s="4794">
        <f t="shared" si="73"/>
        <v>0</v>
      </c>
      <c r="CL71" s="4794">
        <f t="shared" si="74"/>
        <v>0</v>
      </c>
      <c r="CM71" s="4794">
        <f t="shared" si="75"/>
        <v>0</v>
      </c>
      <c r="CN71" s="4794">
        <f t="shared" si="76"/>
        <v>0</v>
      </c>
      <c r="CO71" s="4794">
        <f t="shared" si="77"/>
        <v>0</v>
      </c>
      <c r="CP71" s="4794">
        <f t="shared" si="78"/>
        <v>0</v>
      </c>
      <c r="CQ71" s="4794">
        <f t="shared" si="79"/>
        <v>0</v>
      </c>
      <c r="CR71" s="4794">
        <f t="shared" si="80"/>
        <v>0</v>
      </c>
      <c r="CS71" s="4794">
        <f t="shared" si="81"/>
        <v>0</v>
      </c>
      <c r="CT71" s="4794">
        <f t="shared" si="82"/>
        <v>0</v>
      </c>
      <c r="CU71" s="4794">
        <f t="shared" si="83"/>
        <v>0</v>
      </c>
      <c r="CV71" s="4794">
        <f t="shared" si="84"/>
        <v>0</v>
      </c>
      <c r="CW71" s="4794">
        <f t="shared" si="85"/>
        <v>0</v>
      </c>
      <c r="CX71" s="4794">
        <f t="shared" si="86"/>
        <v>0</v>
      </c>
      <c r="CY71" s="4794">
        <f t="shared" si="87"/>
        <v>32.211388515361769</v>
      </c>
      <c r="CZ71" s="4794">
        <f t="shared" si="88"/>
        <v>32.211388515361769</v>
      </c>
      <c r="DA71" s="4794">
        <f t="shared" si="89"/>
        <v>32.211388515361769</v>
      </c>
      <c r="DB71" s="4794">
        <f t="shared" si="90"/>
        <v>32.211388515361769</v>
      </c>
      <c r="DC71" s="4794">
        <f t="shared" si="91"/>
        <v>32.211388515361769</v>
      </c>
      <c r="DD71" s="4794">
        <f t="shared" si="92"/>
        <v>32.211388515361769</v>
      </c>
      <c r="DE71" s="4794">
        <f t="shared" si="93"/>
        <v>22.496842772633613</v>
      </c>
      <c r="DF71" s="4794">
        <f t="shared" si="94"/>
        <v>22.496842772633613</v>
      </c>
      <c r="DG71" s="4794">
        <f t="shared" si="95"/>
        <v>22.496842772633613</v>
      </c>
      <c r="DH71" s="4794">
        <f t="shared" si="96"/>
        <v>22.496842772633613</v>
      </c>
      <c r="DI71" s="4794">
        <f t="shared" si="97"/>
        <v>22.496842772633613</v>
      </c>
      <c r="DJ71" s="4794">
        <f t="shared" si="98"/>
        <v>22.496842772633613</v>
      </c>
    </row>
    <row r="72" spans="1:114" ht="12.75">
      <c r="A72" s="113" t="s">
        <v>270</v>
      </c>
      <c r="B72" s="921" t="s">
        <v>452</v>
      </c>
      <c r="C72" s="3225">
        <v>37</v>
      </c>
      <c r="D72" s="3226">
        <v>38</v>
      </c>
      <c r="E72" s="3226">
        <v>37</v>
      </c>
      <c r="F72" s="3226">
        <v>36</v>
      </c>
      <c r="G72" s="3226">
        <v>36</v>
      </c>
      <c r="H72" s="3227">
        <v>35</v>
      </c>
      <c r="I72" s="1270">
        <f t="shared" si="198"/>
        <v>1</v>
      </c>
      <c r="J72" s="842">
        <f t="shared" si="199"/>
        <v>2.7027027027027029E-2</v>
      </c>
      <c r="K72" s="3225">
        <v>9</v>
      </c>
      <c r="L72" s="3226">
        <v>10</v>
      </c>
      <c r="M72" s="3226">
        <v>10</v>
      </c>
      <c r="N72" s="3226">
        <v>10</v>
      </c>
      <c r="O72" s="3226">
        <v>9</v>
      </c>
      <c r="P72" s="3227">
        <v>9</v>
      </c>
      <c r="Q72" s="1270">
        <f t="shared" si="200"/>
        <v>1</v>
      </c>
      <c r="R72" s="1140">
        <f t="shared" si="201"/>
        <v>0.1111111111111111</v>
      </c>
      <c r="S72" s="3225">
        <v>10</v>
      </c>
      <c r="T72" s="3226">
        <v>11</v>
      </c>
      <c r="U72" s="3226">
        <v>11</v>
      </c>
      <c r="V72" s="3226">
        <v>11</v>
      </c>
      <c r="W72" s="3226">
        <v>10</v>
      </c>
      <c r="X72" s="3227">
        <v>10</v>
      </c>
      <c r="Y72" s="1270">
        <f t="shared" si="168"/>
        <v>1</v>
      </c>
      <c r="Z72" s="1140">
        <f t="shared" si="169"/>
        <v>0.1</v>
      </c>
      <c r="AA72" s="3233"/>
      <c r="AB72" s="3212"/>
      <c r="AC72" s="2088"/>
      <c r="AD72" s="2088"/>
      <c r="AE72" s="2088"/>
      <c r="AF72" s="3212"/>
      <c r="AG72" s="3215"/>
      <c r="AH72" s="4174"/>
      <c r="AI72" s="3233"/>
      <c r="AJ72" s="3212"/>
      <c r="AK72" s="2088"/>
      <c r="AL72" s="2088"/>
      <c r="AM72" s="2088"/>
      <c r="AN72" s="3257"/>
      <c r="AO72" s="3215"/>
      <c r="AP72" s="4174"/>
      <c r="AQ72" s="3233"/>
      <c r="AR72" s="3212"/>
      <c r="AS72" s="2088"/>
      <c r="AT72" s="2088"/>
      <c r="AU72" s="2088"/>
      <c r="AV72" s="3257"/>
      <c r="AW72" s="1131">
        <f>C72+K72+S72+AA72+AI72</f>
        <v>56</v>
      </c>
      <c r="AX72" s="3245">
        <f t="shared" si="287"/>
        <v>59</v>
      </c>
      <c r="AY72" s="3245">
        <f t="shared" si="288"/>
        <v>58</v>
      </c>
      <c r="AZ72" s="3245">
        <f t="shared" si="289"/>
        <v>57</v>
      </c>
      <c r="BA72" s="3245">
        <f t="shared" si="290"/>
        <v>55</v>
      </c>
      <c r="BB72" s="3246">
        <f t="shared" si="291"/>
        <v>54</v>
      </c>
      <c r="BC72" s="3266">
        <f>C72+AA72+AI72</f>
        <v>37</v>
      </c>
      <c r="BD72" s="3267">
        <f>D72+AB72+AJ72</f>
        <v>38</v>
      </c>
      <c r="BE72" s="3268">
        <f t="shared" si="293"/>
        <v>37</v>
      </c>
      <c r="BF72" s="3268">
        <f t="shared" si="294"/>
        <v>36</v>
      </c>
      <c r="BG72" s="3268">
        <f t="shared" si="295"/>
        <v>36</v>
      </c>
      <c r="BH72" s="3270">
        <f>H72+AF72+AN72</f>
        <v>35</v>
      </c>
      <c r="BI72" s="4775"/>
      <c r="BJ72" s="4794">
        <f t="shared" si="46"/>
        <v>18.917799604260086</v>
      </c>
      <c r="BK72" s="4794">
        <f t="shared" si="47"/>
        <v>19.429091485456304</v>
      </c>
      <c r="BL72" s="4794">
        <f t="shared" si="48"/>
        <v>18.917799604260086</v>
      </c>
      <c r="BM72" s="4794">
        <f t="shared" si="49"/>
        <v>18.406507723063864</v>
      </c>
      <c r="BN72" s="4794">
        <f t="shared" si="50"/>
        <v>18.406507723063864</v>
      </c>
      <c r="BO72" s="4794">
        <f t="shared" si="51"/>
        <v>17.895215841867646</v>
      </c>
      <c r="BP72" s="4794">
        <f t="shared" si="52"/>
        <v>0.51129188119621849</v>
      </c>
      <c r="BQ72" s="4794">
        <f t="shared" si="53"/>
        <v>4.6016269307659661</v>
      </c>
      <c r="BR72" s="4794">
        <f t="shared" si="54"/>
        <v>5.1129188119621851</v>
      </c>
      <c r="BS72" s="4794">
        <f t="shared" si="55"/>
        <v>5.1129188119621851</v>
      </c>
      <c r="BT72" s="4794">
        <f t="shared" si="56"/>
        <v>5.1129188119621851</v>
      </c>
      <c r="BU72" s="4794">
        <f t="shared" si="57"/>
        <v>4.6016269307659661</v>
      </c>
      <c r="BV72" s="4794">
        <f t="shared" si="58"/>
        <v>4.6016269307659661</v>
      </c>
      <c r="BW72" s="4794">
        <f t="shared" si="59"/>
        <v>0.51129188119621849</v>
      </c>
      <c r="BX72" s="4794">
        <f t="shared" si="60"/>
        <v>5.1129188119621851</v>
      </c>
      <c r="BY72" s="4794">
        <f t="shared" si="61"/>
        <v>5.6242106931584033</v>
      </c>
      <c r="BZ72" s="4794">
        <f t="shared" si="62"/>
        <v>5.6242106931584033</v>
      </c>
      <c r="CA72" s="4794">
        <f t="shared" si="63"/>
        <v>5.6242106931584033</v>
      </c>
      <c r="CB72" s="4794">
        <f t="shared" si="64"/>
        <v>5.1129188119621851</v>
      </c>
      <c r="CC72" s="4794">
        <f t="shared" si="65"/>
        <v>5.1129188119621851</v>
      </c>
      <c r="CD72" s="4794">
        <f t="shared" si="66"/>
        <v>0.51129188119621849</v>
      </c>
      <c r="CE72" s="4794">
        <f t="shared" si="67"/>
        <v>0</v>
      </c>
      <c r="CF72" s="4794">
        <f t="shared" si="68"/>
        <v>0</v>
      </c>
      <c r="CG72" s="4794">
        <f t="shared" si="69"/>
        <v>0</v>
      </c>
      <c r="CH72" s="4794">
        <f t="shared" si="70"/>
        <v>0</v>
      </c>
      <c r="CI72" s="4794">
        <f t="shared" si="71"/>
        <v>0</v>
      </c>
      <c r="CJ72" s="4794">
        <f t="shared" si="72"/>
        <v>0</v>
      </c>
      <c r="CK72" s="4794">
        <f t="shared" si="73"/>
        <v>0</v>
      </c>
      <c r="CL72" s="4794">
        <f t="shared" si="74"/>
        <v>0</v>
      </c>
      <c r="CM72" s="4794">
        <f t="shared" si="75"/>
        <v>0</v>
      </c>
      <c r="CN72" s="4794">
        <f t="shared" si="76"/>
        <v>0</v>
      </c>
      <c r="CO72" s="4794">
        <f t="shared" si="77"/>
        <v>0</v>
      </c>
      <c r="CP72" s="4794">
        <f t="shared" si="78"/>
        <v>0</v>
      </c>
      <c r="CQ72" s="4794">
        <f t="shared" si="79"/>
        <v>0</v>
      </c>
      <c r="CR72" s="4794">
        <f t="shared" si="80"/>
        <v>0</v>
      </c>
      <c r="CS72" s="4794">
        <f t="shared" si="81"/>
        <v>0</v>
      </c>
      <c r="CT72" s="4794">
        <f t="shared" si="82"/>
        <v>0</v>
      </c>
      <c r="CU72" s="4794">
        <f t="shared" si="83"/>
        <v>0</v>
      </c>
      <c r="CV72" s="4794">
        <f t="shared" si="84"/>
        <v>0</v>
      </c>
      <c r="CW72" s="4794">
        <f t="shared" si="85"/>
        <v>0</v>
      </c>
      <c r="CX72" s="4794">
        <f t="shared" si="86"/>
        <v>0</v>
      </c>
      <c r="CY72" s="4794">
        <f t="shared" si="87"/>
        <v>28.632345346988235</v>
      </c>
      <c r="CZ72" s="4794">
        <f t="shared" si="88"/>
        <v>30.166220990576893</v>
      </c>
      <c r="DA72" s="4794">
        <f t="shared" si="89"/>
        <v>29.654929109380674</v>
      </c>
      <c r="DB72" s="4794">
        <f t="shared" si="90"/>
        <v>29.143637228184453</v>
      </c>
      <c r="DC72" s="4794">
        <f t="shared" si="91"/>
        <v>28.121053465792016</v>
      </c>
      <c r="DD72" s="4794">
        <f t="shared" si="92"/>
        <v>27.609761584595798</v>
      </c>
      <c r="DE72" s="4794">
        <f t="shared" si="93"/>
        <v>18.917799604260086</v>
      </c>
      <c r="DF72" s="4794">
        <f t="shared" si="94"/>
        <v>19.429091485456304</v>
      </c>
      <c r="DG72" s="4794">
        <f t="shared" si="95"/>
        <v>18.917799604260086</v>
      </c>
      <c r="DH72" s="4794">
        <f t="shared" si="96"/>
        <v>18.406507723063864</v>
      </c>
      <c r="DI72" s="4794">
        <f t="shared" si="97"/>
        <v>18.406507723063864</v>
      </c>
      <c r="DJ72" s="4794">
        <f t="shared" si="98"/>
        <v>17.895215841867646</v>
      </c>
    </row>
    <row r="73" spans="1:114" ht="12.75">
      <c r="A73" s="113" t="s">
        <v>272</v>
      </c>
      <c r="B73" s="915" t="s">
        <v>453</v>
      </c>
      <c r="C73" s="3225">
        <v>366</v>
      </c>
      <c r="D73" s="3226">
        <v>371</v>
      </c>
      <c r="E73" s="3226">
        <v>361</v>
      </c>
      <c r="F73" s="3226">
        <v>349</v>
      </c>
      <c r="G73" s="3226">
        <v>337</v>
      </c>
      <c r="H73" s="3227">
        <v>326</v>
      </c>
      <c r="I73" s="1270">
        <f t="shared" si="198"/>
        <v>5</v>
      </c>
      <c r="J73" s="842">
        <f t="shared" si="199"/>
        <v>1.3661202185792349E-2</v>
      </c>
      <c r="K73" s="3233"/>
      <c r="L73" s="3212"/>
      <c r="M73" s="2088"/>
      <c r="N73" s="2088"/>
      <c r="O73" s="2088"/>
      <c r="P73" s="3212"/>
      <c r="Q73" s="3215"/>
      <c r="R73" s="3216"/>
      <c r="S73" s="3233"/>
      <c r="T73" s="3212"/>
      <c r="U73" s="2088"/>
      <c r="V73" s="2088"/>
      <c r="W73" s="2088"/>
      <c r="X73" s="3212"/>
      <c r="Y73" s="3217"/>
      <c r="Z73" s="3216"/>
      <c r="AA73" s="3225"/>
      <c r="AB73" s="3226"/>
      <c r="AC73" s="3226"/>
      <c r="AD73" s="3226"/>
      <c r="AE73" s="3226"/>
      <c r="AF73" s="3227"/>
      <c r="AG73" s="1270">
        <f>AB73-AA73</f>
        <v>0</v>
      </c>
      <c r="AH73" s="842">
        <f>IFERROR((AB73-AA73)/AA73,0)</f>
        <v>0</v>
      </c>
      <c r="AI73" s="3225"/>
      <c r="AJ73" s="3226"/>
      <c r="AK73" s="3226"/>
      <c r="AL73" s="3226"/>
      <c r="AM73" s="3226"/>
      <c r="AN73" s="3255"/>
      <c r="AO73" s="1270">
        <f>AJ73-AI73</f>
        <v>0</v>
      </c>
      <c r="AP73" s="842">
        <f>IFERROR((AJ73-AI73)/AI73,0)</f>
        <v>0</v>
      </c>
      <c r="AQ73" s="3233"/>
      <c r="AR73" s="3212"/>
      <c r="AS73" s="2088"/>
      <c r="AT73" s="2088"/>
      <c r="AU73" s="2088"/>
      <c r="AV73" s="3257"/>
      <c r="AW73" s="1131">
        <f>C73+K73+S73+AA73+AI73</f>
        <v>366</v>
      </c>
      <c r="AX73" s="3245">
        <f t="shared" ref="AX73" si="296">D73+L73+T73+AB73+AJ73</f>
        <v>371</v>
      </c>
      <c r="AY73" s="3245">
        <f t="shared" ref="AY73" si="297">E73+M73+U73+AC73+AK73</f>
        <v>361</v>
      </c>
      <c r="AZ73" s="3245">
        <f t="shared" ref="AZ73" si="298">F73+N73+V73+AD73+AL73</f>
        <v>349</v>
      </c>
      <c r="BA73" s="3245">
        <f t="shared" ref="BA73" si="299">G73+O73+W73+AE73+AM73</f>
        <v>337</v>
      </c>
      <c r="BB73" s="3246">
        <f t="shared" ref="BB73" si="300">H73+P73+X73+AF73+AN73</f>
        <v>326</v>
      </c>
      <c r="BC73" s="3266">
        <f>C73+AA73+AI73</f>
        <v>366</v>
      </c>
      <c r="BD73" s="3267">
        <f t="shared" ref="BD73" si="301">D73+AB73+AJ73</f>
        <v>371</v>
      </c>
      <c r="BE73" s="3268">
        <f t="shared" ref="BE73" si="302">E73+AC73+AK73</f>
        <v>361</v>
      </c>
      <c r="BF73" s="3268">
        <f t="shared" ref="BF73" si="303">F73+AD73+AL73</f>
        <v>349</v>
      </c>
      <c r="BG73" s="3268">
        <f t="shared" ref="BG73" si="304">G73+AE73+AM73</f>
        <v>337</v>
      </c>
      <c r="BH73" s="3270">
        <f>H73+AF73+AN73</f>
        <v>326</v>
      </c>
      <c r="BI73" s="4775"/>
      <c r="BJ73" s="4794">
        <f t="shared" si="46"/>
        <v>187.13282851781597</v>
      </c>
      <c r="BK73" s="4794">
        <f t="shared" si="47"/>
        <v>189.68928792379705</v>
      </c>
      <c r="BL73" s="4794">
        <f t="shared" si="48"/>
        <v>184.57636911183488</v>
      </c>
      <c r="BM73" s="4794">
        <f t="shared" si="49"/>
        <v>178.44086653748025</v>
      </c>
      <c r="BN73" s="4794">
        <f t="shared" si="50"/>
        <v>172.30536396312564</v>
      </c>
      <c r="BO73" s="4794">
        <f t="shared" si="51"/>
        <v>166.68115326996724</v>
      </c>
      <c r="BP73" s="4794">
        <f t="shared" si="52"/>
        <v>2.5564594059810926</v>
      </c>
      <c r="BQ73" s="4794">
        <f t="shared" si="53"/>
        <v>0</v>
      </c>
      <c r="BR73" s="4794">
        <f t="shared" si="54"/>
        <v>0</v>
      </c>
      <c r="BS73" s="4794">
        <f t="shared" si="55"/>
        <v>0</v>
      </c>
      <c r="BT73" s="4794">
        <f t="shared" si="56"/>
        <v>0</v>
      </c>
      <c r="BU73" s="4794">
        <f t="shared" si="57"/>
        <v>0</v>
      </c>
      <c r="BV73" s="4794">
        <f t="shared" si="58"/>
        <v>0</v>
      </c>
      <c r="BW73" s="4794">
        <f t="shared" si="59"/>
        <v>0</v>
      </c>
      <c r="BX73" s="4794">
        <f t="shared" si="60"/>
        <v>0</v>
      </c>
      <c r="BY73" s="4794">
        <f t="shared" si="61"/>
        <v>0</v>
      </c>
      <c r="BZ73" s="4794">
        <f t="shared" si="62"/>
        <v>0</v>
      </c>
      <c r="CA73" s="4794">
        <f t="shared" si="63"/>
        <v>0</v>
      </c>
      <c r="CB73" s="4794">
        <f t="shared" si="64"/>
        <v>0</v>
      </c>
      <c r="CC73" s="4794">
        <f t="shared" si="65"/>
        <v>0</v>
      </c>
      <c r="CD73" s="4794">
        <f t="shared" si="66"/>
        <v>0</v>
      </c>
      <c r="CE73" s="4794">
        <f t="shared" si="67"/>
        <v>0</v>
      </c>
      <c r="CF73" s="4794">
        <f t="shared" si="68"/>
        <v>0</v>
      </c>
      <c r="CG73" s="4794">
        <f t="shared" si="69"/>
        <v>0</v>
      </c>
      <c r="CH73" s="4794">
        <f t="shared" si="70"/>
        <v>0</v>
      </c>
      <c r="CI73" s="4794">
        <f t="shared" si="71"/>
        <v>0</v>
      </c>
      <c r="CJ73" s="4794">
        <f t="shared" si="72"/>
        <v>0</v>
      </c>
      <c r="CK73" s="4794">
        <f t="shared" si="73"/>
        <v>0</v>
      </c>
      <c r="CL73" s="4794">
        <f t="shared" si="74"/>
        <v>0</v>
      </c>
      <c r="CM73" s="4794">
        <f t="shared" si="75"/>
        <v>0</v>
      </c>
      <c r="CN73" s="4794">
        <f t="shared" si="76"/>
        <v>0</v>
      </c>
      <c r="CO73" s="4794">
        <f t="shared" si="77"/>
        <v>0</v>
      </c>
      <c r="CP73" s="4794">
        <f t="shared" si="78"/>
        <v>0</v>
      </c>
      <c r="CQ73" s="4794">
        <f t="shared" si="79"/>
        <v>0</v>
      </c>
      <c r="CR73" s="4794">
        <f t="shared" si="80"/>
        <v>0</v>
      </c>
      <c r="CS73" s="4794">
        <f t="shared" si="81"/>
        <v>0</v>
      </c>
      <c r="CT73" s="4794">
        <f t="shared" si="82"/>
        <v>0</v>
      </c>
      <c r="CU73" s="4794">
        <f t="shared" si="83"/>
        <v>0</v>
      </c>
      <c r="CV73" s="4794">
        <f t="shared" si="84"/>
        <v>0</v>
      </c>
      <c r="CW73" s="4794">
        <f t="shared" si="85"/>
        <v>0</v>
      </c>
      <c r="CX73" s="4794">
        <f t="shared" si="86"/>
        <v>0</v>
      </c>
      <c r="CY73" s="4794">
        <f t="shared" si="87"/>
        <v>187.13282851781597</v>
      </c>
      <c r="CZ73" s="4794">
        <f t="shared" si="88"/>
        <v>189.68928792379705</v>
      </c>
      <c r="DA73" s="4794">
        <f t="shared" si="89"/>
        <v>184.57636911183488</v>
      </c>
      <c r="DB73" s="4794">
        <f t="shared" si="90"/>
        <v>178.44086653748025</v>
      </c>
      <c r="DC73" s="4794">
        <f t="shared" si="91"/>
        <v>172.30536396312564</v>
      </c>
      <c r="DD73" s="4794">
        <f t="shared" si="92"/>
        <v>166.68115326996724</v>
      </c>
      <c r="DE73" s="4794">
        <f t="shared" si="93"/>
        <v>187.13282851781597</v>
      </c>
      <c r="DF73" s="4794">
        <f t="shared" si="94"/>
        <v>189.68928792379705</v>
      </c>
      <c r="DG73" s="4794">
        <f t="shared" si="95"/>
        <v>184.57636911183488</v>
      </c>
      <c r="DH73" s="4794">
        <f t="shared" si="96"/>
        <v>178.44086653748025</v>
      </c>
      <c r="DI73" s="4794">
        <f t="shared" si="97"/>
        <v>172.30536396312564</v>
      </c>
      <c r="DJ73" s="4794">
        <f t="shared" si="98"/>
        <v>166.68115326996724</v>
      </c>
    </row>
    <row r="74" spans="1:114" ht="12.75">
      <c r="A74" s="113" t="s">
        <v>274</v>
      </c>
      <c r="B74" s="915" t="s">
        <v>454</v>
      </c>
      <c r="C74" s="3233"/>
      <c r="D74" s="3212"/>
      <c r="E74" s="2088"/>
      <c r="F74" s="2088"/>
      <c r="G74" s="2088"/>
      <c r="H74" s="3212"/>
      <c r="I74" s="3217"/>
      <c r="J74" s="3218"/>
      <c r="K74" s="3225">
        <v>56</v>
      </c>
      <c r="L74" s="3226">
        <v>56</v>
      </c>
      <c r="M74" s="3226">
        <v>56</v>
      </c>
      <c r="N74" s="3226">
        <v>55</v>
      </c>
      <c r="O74" s="3226">
        <v>55</v>
      </c>
      <c r="P74" s="3227">
        <v>55</v>
      </c>
      <c r="Q74" s="1270">
        <f t="shared" ref="Q74:Q95" si="305">L74-K74</f>
        <v>0</v>
      </c>
      <c r="R74" s="1140">
        <f t="shared" ref="R74:R95" si="306">IFERROR((L74-K74)/K74,0)</f>
        <v>0</v>
      </c>
      <c r="S74" s="3225">
        <v>43</v>
      </c>
      <c r="T74" s="3226">
        <v>43</v>
      </c>
      <c r="U74" s="3226">
        <v>43</v>
      </c>
      <c r="V74" s="3226">
        <v>42</v>
      </c>
      <c r="W74" s="3226">
        <v>42</v>
      </c>
      <c r="X74" s="3227">
        <v>42</v>
      </c>
      <c r="Y74" s="1270">
        <f t="shared" ref="Y74:Y95" si="307">T74-S74</f>
        <v>0</v>
      </c>
      <c r="Z74" s="1140">
        <f t="shared" ref="Z74:Z95" si="308">IFERROR((T74-S74)/S74,0)</f>
        <v>0</v>
      </c>
      <c r="AA74" s="3233"/>
      <c r="AB74" s="3212"/>
      <c r="AC74" s="2088"/>
      <c r="AD74" s="2088"/>
      <c r="AE74" s="2088"/>
      <c r="AF74" s="3212"/>
      <c r="AG74" s="3217"/>
      <c r="AH74" s="3218"/>
      <c r="AI74" s="3233"/>
      <c r="AJ74" s="3212"/>
      <c r="AK74" s="2088"/>
      <c r="AL74" s="2088"/>
      <c r="AM74" s="2088"/>
      <c r="AN74" s="3257"/>
      <c r="AO74" s="3215"/>
      <c r="AP74" s="3218"/>
      <c r="AQ74" s="3233"/>
      <c r="AR74" s="3212"/>
      <c r="AS74" s="2088"/>
      <c r="AT74" s="2088"/>
      <c r="AU74" s="2088"/>
      <c r="AV74" s="3257"/>
      <c r="AW74" s="1131">
        <f>C74+K74+S74+AA74+AI74</f>
        <v>99</v>
      </c>
      <c r="AX74" s="3245">
        <f t="shared" ref="AX74" si="309">D74+L74+T74+AB74+AJ74</f>
        <v>99</v>
      </c>
      <c r="AY74" s="3245">
        <f t="shared" ref="AY74" si="310">E74+M74+U74+AC74+AK74</f>
        <v>99</v>
      </c>
      <c r="AZ74" s="3245">
        <f t="shared" ref="AZ74" si="311">F74+N74+V74+AD74+AL74</f>
        <v>97</v>
      </c>
      <c r="BA74" s="3245">
        <f t="shared" ref="BA74" si="312">G74+O74+W74+AE74+AM74</f>
        <v>97</v>
      </c>
      <c r="BB74" s="3246">
        <f t="shared" ref="BB74" si="313">H74+P74+X74+AF74+AN74</f>
        <v>97</v>
      </c>
      <c r="BC74" s="3266">
        <f>C74+AA74+AI74</f>
        <v>0</v>
      </c>
      <c r="BD74" s="3267">
        <f>D74+AB74+AJ74</f>
        <v>0</v>
      </c>
      <c r="BE74" s="3268">
        <f t="shared" ref="BE74" si="314">E74+AC74+AK74</f>
        <v>0</v>
      </c>
      <c r="BF74" s="3268">
        <f t="shared" ref="BF74" si="315">F74+AD74+AL74</f>
        <v>0</v>
      </c>
      <c r="BG74" s="3268">
        <f t="shared" ref="BG74" si="316">G74+AE74+AM74</f>
        <v>0</v>
      </c>
      <c r="BH74" s="3270">
        <f>H74+AF74+AN74</f>
        <v>0</v>
      </c>
      <c r="BI74" s="4775"/>
      <c r="BJ74" s="4794">
        <f t="shared" si="46"/>
        <v>0</v>
      </c>
      <c r="BK74" s="4794">
        <f t="shared" si="47"/>
        <v>0</v>
      </c>
      <c r="BL74" s="4794">
        <f t="shared" si="48"/>
        <v>0</v>
      </c>
      <c r="BM74" s="4794">
        <f t="shared" si="49"/>
        <v>0</v>
      </c>
      <c r="BN74" s="4794">
        <f t="shared" si="50"/>
        <v>0</v>
      </c>
      <c r="BO74" s="4794">
        <f t="shared" si="51"/>
        <v>0</v>
      </c>
      <c r="BP74" s="4794">
        <f t="shared" si="52"/>
        <v>0</v>
      </c>
      <c r="BQ74" s="4794">
        <f t="shared" si="53"/>
        <v>28.632345346988235</v>
      </c>
      <c r="BR74" s="4794">
        <f t="shared" si="54"/>
        <v>28.632345346988235</v>
      </c>
      <c r="BS74" s="4794">
        <f t="shared" si="55"/>
        <v>28.632345346988235</v>
      </c>
      <c r="BT74" s="4794">
        <f t="shared" si="56"/>
        <v>28.121053465792016</v>
      </c>
      <c r="BU74" s="4794">
        <f t="shared" si="57"/>
        <v>28.121053465792016</v>
      </c>
      <c r="BV74" s="4794">
        <f t="shared" si="58"/>
        <v>28.121053465792016</v>
      </c>
      <c r="BW74" s="4794">
        <f t="shared" si="59"/>
        <v>0</v>
      </c>
      <c r="BX74" s="4794">
        <f t="shared" si="60"/>
        <v>21.985550891437395</v>
      </c>
      <c r="BY74" s="4794">
        <f t="shared" si="61"/>
        <v>21.985550891437395</v>
      </c>
      <c r="BZ74" s="4794">
        <f t="shared" si="62"/>
        <v>21.985550891437395</v>
      </c>
      <c r="CA74" s="4794">
        <f t="shared" si="63"/>
        <v>21.474259010241177</v>
      </c>
      <c r="CB74" s="4794">
        <f t="shared" si="64"/>
        <v>21.474259010241177</v>
      </c>
      <c r="CC74" s="4794">
        <f t="shared" si="65"/>
        <v>21.474259010241177</v>
      </c>
      <c r="CD74" s="4794">
        <f t="shared" si="66"/>
        <v>0</v>
      </c>
      <c r="CE74" s="4794">
        <f t="shared" si="67"/>
        <v>0</v>
      </c>
      <c r="CF74" s="4794">
        <f t="shared" si="68"/>
        <v>0</v>
      </c>
      <c r="CG74" s="4794">
        <f t="shared" si="69"/>
        <v>0</v>
      </c>
      <c r="CH74" s="4794">
        <f t="shared" si="70"/>
        <v>0</v>
      </c>
      <c r="CI74" s="4794">
        <f t="shared" si="71"/>
        <v>0</v>
      </c>
      <c r="CJ74" s="4794">
        <f t="shared" si="72"/>
        <v>0</v>
      </c>
      <c r="CK74" s="4794">
        <f t="shared" si="73"/>
        <v>0</v>
      </c>
      <c r="CL74" s="4794">
        <f t="shared" si="74"/>
        <v>0</v>
      </c>
      <c r="CM74" s="4794">
        <f t="shared" si="75"/>
        <v>0</v>
      </c>
      <c r="CN74" s="4794">
        <f t="shared" si="76"/>
        <v>0</v>
      </c>
      <c r="CO74" s="4794">
        <f t="shared" si="77"/>
        <v>0</v>
      </c>
      <c r="CP74" s="4794">
        <f t="shared" si="78"/>
        <v>0</v>
      </c>
      <c r="CQ74" s="4794">
        <f t="shared" si="79"/>
        <v>0</v>
      </c>
      <c r="CR74" s="4794">
        <f t="shared" si="80"/>
        <v>0</v>
      </c>
      <c r="CS74" s="4794">
        <f t="shared" si="81"/>
        <v>0</v>
      </c>
      <c r="CT74" s="4794">
        <f t="shared" si="82"/>
        <v>0</v>
      </c>
      <c r="CU74" s="4794">
        <f t="shared" si="83"/>
        <v>0</v>
      </c>
      <c r="CV74" s="4794">
        <f t="shared" si="84"/>
        <v>0</v>
      </c>
      <c r="CW74" s="4794">
        <f t="shared" si="85"/>
        <v>0</v>
      </c>
      <c r="CX74" s="4794">
        <f t="shared" si="86"/>
        <v>0</v>
      </c>
      <c r="CY74" s="4794">
        <f t="shared" si="87"/>
        <v>50.617896238425629</v>
      </c>
      <c r="CZ74" s="4794">
        <f t="shared" si="88"/>
        <v>50.617896238425629</v>
      </c>
      <c r="DA74" s="4794">
        <f t="shared" si="89"/>
        <v>50.617896238425629</v>
      </c>
      <c r="DB74" s="4794">
        <f t="shared" si="90"/>
        <v>49.595312476033193</v>
      </c>
      <c r="DC74" s="4794">
        <f t="shared" si="91"/>
        <v>49.595312476033193</v>
      </c>
      <c r="DD74" s="4794">
        <f t="shared" si="92"/>
        <v>49.595312476033193</v>
      </c>
      <c r="DE74" s="4794">
        <f t="shared" si="93"/>
        <v>0</v>
      </c>
      <c r="DF74" s="4794">
        <f t="shared" si="94"/>
        <v>0</v>
      </c>
      <c r="DG74" s="4794">
        <f t="shared" si="95"/>
        <v>0</v>
      </c>
      <c r="DH74" s="4794">
        <f t="shared" si="96"/>
        <v>0</v>
      </c>
      <c r="DI74" s="4794">
        <f t="shared" si="97"/>
        <v>0</v>
      </c>
      <c r="DJ74" s="4794">
        <f t="shared" si="98"/>
        <v>0</v>
      </c>
    </row>
    <row r="75" spans="1:114" ht="13.5" thickBot="1">
      <c r="A75" s="113" t="s">
        <v>276</v>
      </c>
      <c r="B75" s="140" t="s">
        <v>455</v>
      </c>
      <c r="C75" s="3225">
        <v>16.2</v>
      </c>
      <c r="D75" s="3226">
        <v>16</v>
      </c>
      <c r="E75" s="3226">
        <v>16</v>
      </c>
      <c r="F75" s="3226">
        <v>16</v>
      </c>
      <c r="G75" s="3226">
        <v>16</v>
      </c>
      <c r="H75" s="3227">
        <v>16</v>
      </c>
      <c r="I75" s="1270">
        <f t="shared" ref="I75:I94" si="317">D75-C75</f>
        <v>-0.19999999999999929</v>
      </c>
      <c r="J75" s="842">
        <f t="shared" ref="J75:J94" si="318">IFERROR((D75-C75)/C75,0)</f>
        <v>-1.2345679012345635E-2</v>
      </c>
      <c r="K75" s="3225">
        <v>4</v>
      </c>
      <c r="L75" s="3226">
        <v>4</v>
      </c>
      <c r="M75" s="3226">
        <v>4</v>
      </c>
      <c r="N75" s="3226">
        <v>4</v>
      </c>
      <c r="O75" s="3226">
        <v>4</v>
      </c>
      <c r="P75" s="3227">
        <v>4</v>
      </c>
      <c r="Q75" s="1270">
        <f t="shared" si="305"/>
        <v>0</v>
      </c>
      <c r="R75" s="1140">
        <f t="shared" si="306"/>
        <v>0</v>
      </c>
      <c r="S75" s="3225">
        <v>5</v>
      </c>
      <c r="T75" s="3226">
        <v>5</v>
      </c>
      <c r="U75" s="3226">
        <v>5</v>
      </c>
      <c r="V75" s="3226">
        <v>5</v>
      </c>
      <c r="W75" s="3226">
        <v>5</v>
      </c>
      <c r="X75" s="3227">
        <v>5</v>
      </c>
      <c r="Y75" s="1270">
        <f t="shared" si="307"/>
        <v>0</v>
      </c>
      <c r="Z75" s="1140">
        <f t="shared" si="308"/>
        <v>0</v>
      </c>
      <c r="AA75" s="3225"/>
      <c r="AB75" s="3226"/>
      <c r="AC75" s="3226"/>
      <c r="AD75" s="3226"/>
      <c r="AE75" s="3226"/>
      <c r="AF75" s="3227"/>
      <c r="AG75" s="1270">
        <f t="shared" ref="AG75:AG95" si="319">AB75-AA75</f>
        <v>0</v>
      </c>
      <c r="AH75" s="842">
        <f t="shared" ref="AH75:AH95" si="320">IFERROR((AB75-AA75)/AA75,0)</f>
        <v>0</v>
      </c>
      <c r="AI75" s="3225"/>
      <c r="AJ75" s="3226"/>
      <c r="AK75" s="3226"/>
      <c r="AL75" s="3226"/>
      <c r="AM75" s="3226"/>
      <c r="AN75" s="3255"/>
      <c r="AO75" s="1270">
        <f>AJ75-AI75</f>
        <v>0</v>
      </c>
      <c r="AP75" s="842">
        <f>IFERROR((AJ75-AI75)/AI75,0)</f>
        <v>0</v>
      </c>
      <c r="AQ75" s="3225"/>
      <c r="AR75" s="3226"/>
      <c r="AS75" s="3226"/>
      <c r="AT75" s="3226"/>
      <c r="AU75" s="3226"/>
      <c r="AV75" s="3255"/>
      <c r="AW75" s="1131">
        <f t="shared" ref="AW75" si="321">C75+K75+S75+AA75+AI75</f>
        <v>25.2</v>
      </c>
      <c r="AX75" s="3245">
        <f t="shared" ref="AX75" si="322">D75+L75+T75+AB75+AJ75</f>
        <v>25</v>
      </c>
      <c r="AY75" s="3245">
        <f t="shared" ref="AY75" si="323">E75+M75+U75+AC75+AK75</f>
        <v>25</v>
      </c>
      <c r="AZ75" s="3245">
        <f t="shared" ref="AZ75" si="324">F75+N75+V75+AD75+AL75</f>
        <v>25</v>
      </c>
      <c r="BA75" s="3245">
        <f t="shared" ref="BA75" si="325">G75+O75+W75+AE75+AM75</f>
        <v>25</v>
      </c>
      <c r="BB75" s="3246">
        <f t="shared" ref="BB75" si="326">H75+P75+X75+AF75+AN75</f>
        <v>25</v>
      </c>
      <c r="BC75" s="3266">
        <f>C75+AA75+AI75</f>
        <v>16.2</v>
      </c>
      <c r="BD75" s="3267">
        <f t="shared" ref="BD75" si="327">D75+AB75+AJ75</f>
        <v>16</v>
      </c>
      <c r="BE75" s="3268">
        <f t="shared" ref="BE75" si="328">E75+AC75+AK75</f>
        <v>16</v>
      </c>
      <c r="BF75" s="3268">
        <f t="shared" ref="BF75" si="329">F75+AD75+AL75</f>
        <v>16</v>
      </c>
      <c r="BG75" s="3268">
        <f t="shared" ref="BG75" si="330">G75+AE75+AM75</f>
        <v>16</v>
      </c>
      <c r="BH75" s="3270">
        <f>H75+AF75+AN75</f>
        <v>16</v>
      </c>
      <c r="BI75" s="4775"/>
      <c r="BJ75" s="4794">
        <f t="shared" si="46"/>
        <v>8.2829284753787391</v>
      </c>
      <c r="BK75" s="4794">
        <f t="shared" si="47"/>
        <v>8.1806700991394958</v>
      </c>
      <c r="BL75" s="4794">
        <f t="shared" si="48"/>
        <v>8.1806700991394958</v>
      </c>
      <c r="BM75" s="4794">
        <f t="shared" si="49"/>
        <v>8.1806700991394958</v>
      </c>
      <c r="BN75" s="4794">
        <f t="shared" si="50"/>
        <v>8.1806700991394958</v>
      </c>
      <c r="BO75" s="4794">
        <f t="shared" si="51"/>
        <v>8.1806700991394958</v>
      </c>
      <c r="BP75" s="4794">
        <f t="shared" si="52"/>
        <v>-0.10225837623924333</v>
      </c>
      <c r="BQ75" s="4794">
        <f t="shared" si="53"/>
        <v>2.045167524784874</v>
      </c>
      <c r="BR75" s="4794">
        <f t="shared" si="54"/>
        <v>2.045167524784874</v>
      </c>
      <c r="BS75" s="4794">
        <f t="shared" si="55"/>
        <v>2.045167524784874</v>
      </c>
      <c r="BT75" s="4794">
        <f t="shared" si="56"/>
        <v>2.045167524784874</v>
      </c>
      <c r="BU75" s="4794">
        <f t="shared" si="57"/>
        <v>2.045167524784874</v>
      </c>
      <c r="BV75" s="4794">
        <f t="shared" si="58"/>
        <v>2.045167524784874</v>
      </c>
      <c r="BW75" s="4794">
        <f t="shared" si="59"/>
        <v>0</v>
      </c>
      <c r="BX75" s="4794">
        <f t="shared" si="60"/>
        <v>2.5564594059810926</v>
      </c>
      <c r="BY75" s="4794">
        <f t="shared" si="61"/>
        <v>2.5564594059810926</v>
      </c>
      <c r="BZ75" s="4794">
        <f t="shared" si="62"/>
        <v>2.5564594059810926</v>
      </c>
      <c r="CA75" s="4794">
        <f t="shared" si="63"/>
        <v>2.5564594059810926</v>
      </c>
      <c r="CB75" s="4794">
        <f t="shared" si="64"/>
        <v>2.5564594059810926</v>
      </c>
      <c r="CC75" s="4794">
        <f t="shared" si="65"/>
        <v>2.5564594059810926</v>
      </c>
      <c r="CD75" s="4794">
        <f t="shared" si="66"/>
        <v>0</v>
      </c>
      <c r="CE75" s="4794">
        <f t="shared" si="67"/>
        <v>0</v>
      </c>
      <c r="CF75" s="4794">
        <f t="shared" si="68"/>
        <v>0</v>
      </c>
      <c r="CG75" s="4794">
        <f t="shared" si="69"/>
        <v>0</v>
      </c>
      <c r="CH75" s="4794">
        <f t="shared" si="70"/>
        <v>0</v>
      </c>
      <c r="CI75" s="4794">
        <f t="shared" si="71"/>
        <v>0</v>
      </c>
      <c r="CJ75" s="4794">
        <f t="shared" si="72"/>
        <v>0</v>
      </c>
      <c r="CK75" s="4794">
        <f t="shared" si="73"/>
        <v>0</v>
      </c>
      <c r="CL75" s="4794">
        <f t="shared" si="74"/>
        <v>0</v>
      </c>
      <c r="CM75" s="4794">
        <f t="shared" si="75"/>
        <v>0</v>
      </c>
      <c r="CN75" s="4794">
        <f t="shared" si="76"/>
        <v>0</v>
      </c>
      <c r="CO75" s="4794">
        <f t="shared" si="77"/>
        <v>0</v>
      </c>
      <c r="CP75" s="4794">
        <f t="shared" si="78"/>
        <v>0</v>
      </c>
      <c r="CQ75" s="4794">
        <f t="shared" si="79"/>
        <v>0</v>
      </c>
      <c r="CR75" s="4794">
        <f t="shared" si="80"/>
        <v>0</v>
      </c>
      <c r="CS75" s="4794">
        <f t="shared" si="81"/>
        <v>0</v>
      </c>
      <c r="CT75" s="4794">
        <f t="shared" si="82"/>
        <v>0</v>
      </c>
      <c r="CU75" s="4794">
        <f t="shared" si="83"/>
        <v>0</v>
      </c>
      <c r="CV75" s="4794">
        <f t="shared" si="84"/>
        <v>0</v>
      </c>
      <c r="CW75" s="4794">
        <f t="shared" si="85"/>
        <v>0</v>
      </c>
      <c r="CX75" s="4794">
        <f t="shared" si="86"/>
        <v>0</v>
      </c>
      <c r="CY75" s="4794">
        <f t="shared" si="87"/>
        <v>12.884555406144706</v>
      </c>
      <c r="CZ75" s="4794">
        <f t="shared" si="88"/>
        <v>12.782297029905463</v>
      </c>
      <c r="DA75" s="4794">
        <f t="shared" si="89"/>
        <v>12.782297029905463</v>
      </c>
      <c r="DB75" s="4794">
        <f t="shared" si="90"/>
        <v>12.782297029905463</v>
      </c>
      <c r="DC75" s="4794">
        <f t="shared" si="91"/>
        <v>12.782297029905463</v>
      </c>
      <c r="DD75" s="4794">
        <f t="shared" si="92"/>
        <v>12.782297029905463</v>
      </c>
      <c r="DE75" s="4794">
        <f t="shared" si="93"/>
        <v>8.2829284753787391</v>
      </c>
      <c r="DF75" s="4794">
        <f t="shared" si="94"/>
        <v>8.1806700991394958</v>
      </c>
      <c r="DG75" s="4794">
        <f t="shared" si="95"/>
        <v>8.1806700991394958</v>
      </c>
      <c r="DH75" s="4794">
        <f t="shared" si="96"/>
        <v>8.1806700991394958</v>
      </c>
      <c r="DI75" s="4794">
        <f t="shared" si="97"/>
        <v>8.1806700991394958</v>
      </c>
      <c r="DJ75" s="4794">
        <f t="shared" si="98"/>
        <v>8.1806700991394958</v>
      </c>
    </row>
    <row r="76" spans="1:114" ht="13.5" thickBot="1">
      <c r="A76" s="115">
        <v>7</v>
      </c>
      <c r="B76" s="916" t="s">
        <v>267</v>
      </c>
      <c r="C76" s="1129">
        <f t="shared" ref="C76:BB76" si="331">SUM(C77:C83)</f>
        <v>137.30000000000001</v>
      </c>
      <c r="D76" s="924">
        <f t="shared" si="331"/>
        <v>137</v>
      </c>
      <c r="E76" s="1166">
        <f t="shared" si="331"/>
        <v>137</v>
      </c>
      <c r="F76" s="1166">
        <f t="shared" si="331"/>
        <v>137</v>
      </c>
      <c r="G76" s="1166">
        <f t="shared" si="331"/>
        <v>137</v>
      </c>
      <c r="H76" s="1167">
        <f t="shared" si="331"/>
        <v>137</v>
      </c>
      <c r="I76" s="1265">
        <f t="shared" si="317"/>
        <v>-0.30000000000001137</v>
      </c>
      <c r="J76" s="836">
        <f t="shared" si="318"/>
        <v>-2.1849963583394855E-3</v>
      </c>
      <c r="K76" s="1129">
        <f t="shared" si="331"/>
        <v>18.045999999999999</v>
      </c>
      <c r="L76" s="924">
        <f t="shared" si="331"/>
        <v>18</v>
      </c>
      <c r="M76" s="1166">
        <f t="shared" si="331"/>
        <v>18</v>
      </c>
      <c r="N76" s="1166">
        <f t="shared" si="331"/>
        <v>18</v>
      </c>
      <c r="O76" s="1166">
        <f t="shared" si="331"/>
        <v>18</v>
      </c>
      <c r="P76" s="1167">
        <f t="shared" si="331"/>
        <v>18</v>
      </c>
      <c r="Q76" s="1265">
        <f t="shared" si="305"/>
        <v>-4.5999999999999375E-2</v>
      </c>
      <c r="R76" s="894">
        <f t="shared" si="306"/>
        <v>-2.5490413388008079E-3</v>
      </c>
      <c r="S76" s="1129">
        <f t="shared" si="331"/>
        <v>43.998999999999995</v>
      </c>
      <c r="T76" s="924">
        <f t="shared" si="331"/>
        <v>44</v>
      </c>
      <c r="U76" s="1166">
        <f t="shared" si="331"/>
        <v>44</v>
      </c>
      <c r="V76" s="1166">
        <f t="shared" si="331"/>
        <v>44</v>
      </c>
      <c r="W76" s="1166">
        <f t="shared" si="331"/>
        <v>44</v>
      </c>
      <c r="X76" s="1167">
        <f t="shared" si="331"/>
        <v>44</v>
      </c>
      <c r="Y76" s="1265">
        <f>T76-S76</f>
        <v>1.0000000000047748E-3</v>
      </c>
      <c r="Z76" s="894">
        <f t="shared" si="308"/>
        <v>2.2727789268046432E-5</v>
      </c>
      <c r="AA76" s="1129">
        <f t="shared" ref="AA76:AN76" si="332">SUM(AA77:AA83)</f>
        <v>0</v>
      </c>
      <c r="AB76" s="924">
        <f t="shared" si="332"/>
        <v>0</v>
      </c>
      <c r="AC76" s="1166">
        <f t="shared" si="332"/>
        <v>0</v>
      </c>
      <c r="AD76" s="1166">
        <f t="shared" si="332"/>
        <v>0</v>
      </c>
      <c r="AE76" s="1166">
        <f t="shared" si="332"/>
        <v>0</v>
      </c>
      <c r="AF76" s="1167">
        <f t="shared" si="332"/>
        <v>0</v>
      </c>
      <c r="AG76" s="1265">
        <f t="shared" si="319"/>
        <v>0</v>
      </c>
      <c r="AH76" s="836">
        <f t="shared" si="320"/>
        <v>0</v>
      </c>
      <c r="AI76" s="1129">
        <f t="shared" si="332"/>
        <v>0</v>
      </c>
      <c r="AJ76" s="924">
        <f t="shared" si="332"/>
        <v>0</v>
      </c>
      <c r="AK76" s="1166">
        <f t="shared" si="332"/>
        <v>0</v>
      </c>
      <c r="AL76" s="1166">
        <f t="shared" si="332"/>
        <v>0</v>
      </c>
      <c r="AM76" s="1166">
        <f t="shared" si="332"/>
        <v>0</v>
      </c>
      <c r="AN76" s="3261">
        <f t="shared" si="332"/>
        <v>0</v>
      </c>
      <c r="AO76" s="1265">
        <f t="shared" ref="AO76:AO95" si="333">AJ76-AI76</f>
        <v>0</v>
      </c>
      <c r="AP76" s="836">
        <f t="shared" ref="AP76:AP95" si="334">IFERROR((AJ76-AI76)/AI76,0)</f>
        <v>0</v>
      </c>
      <c r="AQ76" s="1129">
        <f t="shared" si="331"/>
        <v>0</v>
      </c>
      <c r="AR76" s="924">
        <f t="shared" si="331"/>
        <v>0</v>
      </c>
      <c r="AS76" s="1166">
        <f t="shared" si="331"/>
        <v>0</v>
      </c>
      <c r="AT76" s="1166">
        <f t="shared" si="331"/>
        <v>0</v>
      </c>
      <c r="AU76" s="1166">
        <f t="shared" si="331"/>
        <v>0</v>
      </c>
      <c r="AV76" s="3261">
        <f t="shared" si="331"/>
        <v>0</v>
      </c>
      <c r="AW76" s="1129">
        <f t="shared" si="331"/>
        <v>199.345</v>
      </c>
      <c r="AX76" s="924">
        <f t="shared" si="331"/>
        <v>199</v>
      </c>
      <c r="AY76" s="1166">
        <f t="shared" si="331"/>
        <v>199</v>
      </c>
      <c r="AZ76" s="1166">
        <f t="shared" si="331"/>
        <v>199</v>
      </c>
      <c r="BA76" s="1166">
        <f t="shared" si="331"/>
        <v>199</v>
      </c>
      <c r="BB76" s="3261">
        <f t="shared" si="331"/>
        <v>199</v>
      </c>
      <c r="BC76" s="1129">
        <f t="shared" ref="BC76:BH76" si="335">SUM(BC77:BC83)</f>
        <v>137.30000000000001</v>
      </c>
      <c r="BD76" s="924">
        <f t="shared" si="335"/>
        <v>137</v>
      </c>
      <c r="BE76" s="1166">
        <f t="shared" si="335"/>
        <v>137</v>
      </c>
      <c r="BF76" s="1166">
        <f t="shared" si="335"/>
        <v>137</v>
      </c>
      <c r="BG76" s="1166">
        <f t="shared" si="335"/>
        <v>137</v>
      </c>
      <c r="BH76" s="3261">
        <f t="shared" si="335"/>
        <v>137</v>
      </c>
      <c r="BI76" s="4775"/>
      <c r="BJ76" s="4794">
        <f t="shared" ref="BJ76:BJ95" si="336">IFERROR(C76/$D$1,0)</f>
        <v>70.200375288240807</v>
      </c>
      <c r="BK76" s="4794">
        <f t="shared" ref="BK76:BK95" si="337">IFERROR(D76/$D$1,0)</f>
        <v>70.046987723881941</v>
      </c>
      <c r="BL76" s="4794">
        <f t="shared" ref="BL76:BL95" si="338">IFERROR(E76/$D$1,0)</f>
        <v>70.046987723881941</v>
      </c>
      <c r="BM76" s="4794">
        <f t="shared" ref="BM76:BM95" si="339">IFERROR(F76/$D$1,0)</f>
        <v>70.046987723881941</v>
      </c>
      <c r="BN76" s="4794">
        <f t="shared" ref="BN76:BN95" si="340">IFERROR(G76/$D$1,0)</f>
        <v>70.046987723881941</v>
      </c>
      <c r="BO76" s="4794">
        <f t="shared" ref="BO76:BO95" si="341">IFERROR(H76/$D$1,0)</f>
        <v>70.046987723881941</v>
      </c>
      <c r="BP76" s="4794">
        <f t="shared" ref="BP76:BP95" si="342">IFERROR(I76/$D$1,0)</f>
        <v>-0.15338756435887135</v>
      </c>
      <c r="BQ76" s="4794">
        <f t="shared" ref="BQ76:BQ95" si="343">IFERROR(K76/$D$1,0)</f>
        <v>9.2267732880669584</v>
      </c>
      <c r="BR76" s="4794">
        <f t="shared" ref="BR76:BR95" si="344">IFERROR(L76/$D$1,0)</f>
        <v>9.2032538615319321</v>
      </c>
      <c r="BS76" s="4794">
        <f t="shared" ref="BS76:BS95" si="345">IFERROR(M76/$D$1,0)</f>
        <v>9.2032538615319321</v>
      </c>
      <c r="BT76" s="4794">
        <f t="shared" ref="BT76:BT95" si="346">IFERROR(N76/$D$1,0)</f>
        <v>9.2032538615319321</v>
      </c>
      <c r="BU76" s="4794">
        <f t="shared" ref="BU76:BU95" si="347">IFERROR(O76/$D$1,0)</f>
        <v>9.2032538615319321</v>
      </c>
      <c r="BV76" s="4794">
        <f t="shared" ref="BV76:BV95" si="348">IFERROR(P76/$D$1,0)</f>
        <v>9.2032538615319321</v>
      </c>
      <c r="BW76" s="4794">
        <f t="shared" ref="BW76:BW95" si="349">IFERROR(Q76/$D$1,0)</f>
        <v>-2.3519426535025732E-2</v>
      </c>
      <c r="BX76" s="4794">
        <f t="shared" ref="BX76:BX95" si="350">IFERROR(S76/$D$1,0)</f>
        <v>22.496331480752414</v>
      </c>
      <c r="BY76" s="4794">
        <f t="shared" ref="BY76:BY95" si="351">IFERROR(T76/$D$1,0)</f>
        <v>22.496842772633613</v>
      </c>
      <c r="BZ76" s="4794">
        <f t="shared" ref="BZ76:BZ95" si="352">IFERROR(U76/$D$1,0)</f>
        <v>22.496842772633613</v>
      </c>
      <c r="CA76" s="4794">
        <f t="shared" ref="CA76:CA95" si="353">IFERROR(V76/$D$1,0)</f>
        <v>22.496842772633613</v>
      </c>
      <c r="CB76" s="4794">
        <f t="shared" ref="CB76:CB95" si="354">IFERROR(W76/$D$1,0)</f>
        <v>22.496842772633613</v>
      </c>
      <c r="CC76" s="4794">
        <f t="shared" ref="CC76:CC95" si="355">IFERROR(X76/$D$1,0)</f>
        <v>22.496842772633613</v>
      </c>
      <c r="CD76" s="4794">
        <f t="shared" ref="CD76:CD95" si="356">IFERROR(Y76/$D$1,0)</f>
        <v>5.1129188119865981E-4</v>
      </c>
      <c r="CE76" s="4794">
        <f t="shared" ref="CE76:CE95" si="357">IFERROR(AA76/$D$1,0)</f>
        <v>0</v>
      </c>
      <c r="CF76" s="4794">
        <f t="shared" ref="CF76:CF95" si="358">IFERROR(AB76/$D$1,0)</f>
        <v>0</v>
      </c>
      <c r="CG76" s="4794">
        <f t="shared" ref="CG76:CG95" si="359">IFERROR(AC76/$D$1,0)</f>
        <v>0</v>
      </c>
      <c r="CH76" s="4794">
        <f t="shared" ref="CH76:CH95" si="360">IFERROR(AD76/$D$1,0)</f>
        <v>0</v>
      </c>
      <c r="CI76" s="4794">
        <f t="shared" ref="CI76:CI95" si="361">IFERROR(AE76/$D$1,0)</f>
        <v>0</v>
      </c>
      <c r="CJ76" s="4794">
        <f t="shared" ref="CJ76:CJ95" si="362">IFERROR(AF76/$D$1,0)</f>
        <v>0</v>
      </c>
      <c r="CK76" s="4794">
        <f t="shared" ref="CK76:CK95" si="363">IFERROR(AG76/$D$1,0)</f>
        <v>0</v>
      </c>
      <c r="CL76" s="4794">
        <f t="shared" ref="CL76:CL95" si="364">IFERROR(AI76/$D$1,0)</f>
        <v>0</v>
      </c>
      <c r="CM76" s="4794">
        <f t="shared" ref="CM76:CM95" si="365">IFERROR(AJ76/$D$1,0)</f>
        <v>0</v>
      </c>
      <c r="CN76" s="4794">
        <f t="shared" ref="CN76:CN95" si="366">IFERROR(AK76/$D$1,0)</f>
        <v>0</v>
      </c>
      <c r="CO76" s="4794">
        <f t="shared" ref="CO76:CO95" si="367">IFERROR(AL76/$D$1,0)</f>
        <v>0</v>
      </c>
      <c r="CP76" s="4794">
        <f t="shared" ref="CP76:CP95" si="368">IFERROR(AM76/$D$1,0)</f>
        <v>0</v>
      </c>
      <c r="CQ76" s="4794">
        <f t="shared" ref="CQ76:CQ95" si="369">IFERROR(AN76/$D$1,0)</f>
        <v>0</v>
      </c>
      <c r="CR76" s="4794">
        <f t="shared" ref="CR76:CR95" si="370">IFERROR(AO76/$D$1,0)</f>
        <v>0</v>
      </c>
      <c r="CS76" s="4794">
        <f t="shared" ref="CS76:CS95" si="371">IFERROR(AQ76/$D$1,0)</f>
        <v>0</v>
      </c>
      <c r="CT76" s="4794">
        <f t="shared" ref="CT76:CT95" si="372">IFERROR(AR76/$D$1,0)</f>
        <v>0</v>
      </c>
      <c r="CU76" s="4794">
        <f t="shared" ref="CU76:CU95" si="373">IFERROR(AS76/$D$1,0)</f>
        <v>0</v>
      </c>
      <c r="CV76" s="4794">
        <f t="shared" ref="CV76:CV95" si="374">IFERROR(AT76/$D$1,0)</f>
        <v>0</v>
      </c>
      <c r="CW76" s="4794">
        <f t="shared" ref="CW76:CW95" si="375">IFERROR(AU76/$D$1,0)</f>
        <v>0</v>
      </c>
      <c r="CX76" s="4794">
        <f t="shared" ref="CX76:CX95" si="376">IFERROR(AV76/$D$1,0)</f>
        <v>0</v>
      </c>
      <c r="CY76" s="4794">
        <f t="shared" ref="CY76:CY95" si="377">IFERROR(AW76/$D$1,0)</f>
        <v>101.92348005706017</v>
      </c>
      <c r="CZ76" s="4794">
        <f t="shared" ref="CZ76:CZ95" si="378">IFERROR(AX76/$D$1,0)</f>
        <v>101.74708435804749</v>
      </c>
      <c r="DA76" s="4794">
        <f t="shared" ref="DA76:DA95" si="379">IFERROR(AY76/$D$1,0)</f>
        <v>101.74708435804749</v>
      </c>
      <c r="DB76" s="4794">
        <f t="shared" ref="DB76:DB95" si="380">IFERROR(AZ76/$D$1,0)</f>
        <v>101.74708435804749</v>
      </c>
      <c r="DC76" s="4794">
        <f t="shared" ref="DC76:DC95" si="381">IFERROR(BA76/$D$1,0)</f>
        <v>101.74708435804749</v>
      </c>
      <c r="DD76" s="4794">
        <f t="shared" ref="DD76:DD95" si="382">IFERROR(BB76/$D$1,0)</f>
        <v>101.74708435804749</v>
      </c>
      <c r="DE76" s="4794">
        <f t="shared" ref="DE76:DE95" si="383">IFERROR(BC76/$D$1,0)</f>
        <v>70.200375288240807</v>
      </c>
      <c r="DF76" s="4794">
        <f t="shared" ref="DF76:DF95" si="384">IFERROR(BD76/$D$1,0)</f>
        <v>70.046987723881941</v>
      </c>
      <c r="DG76" s="4794">
        <f t="shared" ref="DG76:DG95" si="385">IFERROR(BE76/$D$1,0)</f>
        <v>70.046987723881941</v>
      </c>
      <c r="DH76" s="4794">
        <f t="shared" ref="DH76:DH95" si="386">IFERROR(BF76/$D$1,0)</f>
        <v>70.046987723881941</v>
      </c>
      <c r="DI76" s="4794">
        <f t="shared" ref="DI76:DI95" si="387">IFERROR(BG76/$D$1,0)</f>
        <v>70.046987723881941</v>
      </c>
      <c r="DJ76" s="4794">
        <f t="shared" ref="DJ76:DJ95" si="388">IFERROR(BH76/$D$1,0)</f>
        <v>70.046987723881941</v>
      </c>
    </row>
    <row r="77" spans="1:114" ht="12.75">
      <c r="A77" s="113" t="s">
        <v>176</v>
      </c>
      <c r="B77" s="914" t="s">
        <v>269</v>
      </c>
      <c r="C77" s="3225"/>
      <c r="D77" s="3226"/>
      <c r="E77" s="3226"/>
      <c r="F77" s="3226"/>
      <c r="G77" s="3226"/>
      <c r="H77" s="3227"/>
      <c r="I77" s="1270">
        <f t="shared" si="317"/>
        <v>0</v>
      </c>
      <c r="J77" s="842">
        <f t="shared" si="318"/>
        <v>0</v>
      </c>
      <c r="K77" s="3225"/>
      <c r="L77" s="3226"/>
      <c r="M77" s="3226"/>
      <c r="N77" s="3226"/>
      <c r="O77" s="3226"/>
      <c r="P77" s="3227"/>
      <c r="Q77" s="1270">
        <f t="shared" si="305"/>
        <v>0</v>
      </c>
      <c r="R77" s="1140">
        <f t="shared" si="306"/>
        <v>0</v>
      </c>
      <c r="S77" s="3225"/>
      <c r="T77" s="3226"/>
      <c r="U77" s="3226"/>
      <c r="V77" s="3226"/>
      <c r="W77" s="3226"/>
      <c r="X77" s="3227"/>
      <c r="Y77" s="1270">
        <f t="shared" si="307"/>
        <v>0</v>
      </c>
      <c r="Z77" s="1140">
        <f t="shared" si="308"/>
        <v>0</v>
      </c>
      <c r="AA77" s="3225"/>
      <c r="AB77" s="3226"/>
      <c r="AC77" s="3226"/>
      <c r="AD77" s="3226"/>
      <c r="AE77" s="3226"/>
      <c r="AF77" s="3227"/>
      <c r="AG77" s="1270">
        <f t="shared" si="319"/>
        <v>0</v>
      </c>
      <c r="AH77" s="842">
        <f t="shared" si="320"/>
        <v>0</v>
      </c>
      <c r="AI77" s="3225"/>
      <c r="AJ77" s="3226"/>
      <c r="AK77" s="3226"/>
      <c r="AL77" s="3226"/>
      <c r="AM77" s="3226"/>
      <c r="AN77" s="3255"/>
      <c r="AO77" s="1270">
        <f t="shared" si="333"/>
        <v>0</v>
      </c>
      <c r="AP77" s="842">
        <f t="shared" si="334"/>
        <v>0</v>
      </c>
      <c r="AQ77" s="3225"/>
      <c r="AR77" s="3226"/>
      <c r="AS77" s="3226"/>
      <c r="AT77" s="3226"/>
      <c r="AU77" s="3226"/>
      <c r="AV77" s="3255"/>
      <c r="AW77" s="1131">
        <f t="shared" ref="AW77:AW82" si="389">C77+K77+S77+AA77+AI77</f>
        <v>0</v>
      </c>
      <c r="AX77" s="3245">
        <f t="shared" ref="AX77:AX82" si="390">D77+L77+T77+AB77+AJ77</f>
        <v>0</v>
      </c>
      <c r="AY77" s="3245">
        <f t="shared" ref="AY77:AY82" si="391">E77+M77+U77+AC77+AK77</f>
        <v>0</v>
      </c>
      <c r="AZ77" s="3245">
        <f t="shared" ref="AZ77:AZ82" si="392">F77+N77+V77+AD77+AL77</f>
        <v>0</v>
      </c>
      <c r="BA77" s="3245">
        <f t="shared" ref="BA77:BA82" si="393">G77+O77+W77+AE77+AM77</f>
        <v>0</v>
      </c>
      <c r="BB77" s="3246">
        <f t="shared" ref="BB77:BB82" si="394">H77+P77+X77+AF77+AN77</f>
        <v>0</v>
      </c>
      <c r="BC77" s="3266">
        <f t="shared" ref="BC77:BC82" si="395">C77+AA77+AI77</f>
        <v>0</v>
      </c>
      <c r="BD77" s="3267">
        <f t="shared" ref="BD77:BD82" si="396">D77+AB77+AJ77</f>
        <v>0</v>
      </c>
      <c r="BE77" s="3268">
        <f t="shared" ref="BE77:BE82" si="397">E77+AC77+AK77</f>
        <v>0</v>
      </c>
      <c r="BF77" s="3268">
        <f t="shared" ref="BF77:BF82" si="398">F77+AD77+AL77</f>
        <v>0</v>
      </c>
      <c r="BG77" s="3268">
        <f t="shared" ref="BG77:BG82" si="399">G77+AE77+AM77</f>
        <v>0</v>
      </c>
      <c r="BH77" s="3270">
        <f t="shared" ref="BH77:BH82" si="400">H77+AF77+AN77</f>
        <v>0</v>
      </c>
      <c r="BI77" s="4775"/>
      <c r="BJ77" s="4794">
        <f t="shared" si="336"/>
        <v>0</v>
      </c>
      <c r="BK77" s="4794">
        <f t="shared" si="337"/>
        <v>0</v>
      </c>
      <c r="BL77" s="4794">
        <f t="shared" si="338"/>
        <v>0</v>
      </c>
      <c r="BM77" s="4794">
        <f t="shared" si="339"/>
        <v>0</v>
      </c>
      <c r="BN77" s="4794">
        <f t="shared" si="340"/>
        <v>0</v>
      </c>
      <c r="BO77" s="4794">
        <f t="shared" si="341"/>
        <v>0</v>
      </c>
      <c r="BP77" s="4794">
        <f t="shared" si="342"/>
        <v>0</v>
      </c>
      <c r="BQ77" s="4794">
        <f t="shared" si="343"/>
        <v>0</v>
      </c>
      <c r="BR77" s="4794">
        <f t="shared" si="344"/>
        <v>0</v>
      </c>
      <c r="BS77" s="4794">
        <f t="shared" si="345"/>
        <v>0</v>
      </c>
      <c r="BT77" s="4794">
        <f t="shared" si="346"/>
        <v>0</v>
      </c>
      <c r="BU77" s="4794">
        <f t="shared" si="347"/>
        <v>0</v>
      </c>
      <c r="BV77" s="4794">
        <f t="shared" si="348"/>
        <v>0</v>
      </c>
      <c r="BW77" s="4794">
        <f t="shared" si="349"/>
        <v>0</v>
      </c>
      <c r="BX77" s="4794">
        <f t="shared" si="350"/>
        <v>0</v>
      </c>
      <c r="BY77" s="4794">
        <f t="shared" si="351"/>
        <v>0</v>
      </c>
      <c r="BZ77" s="4794">
        <f t="shared" si="352"/>
        <v>0</v>
      </c>
      <c r="CA77" s="4794">
        <f t="shared" si="353"/>
        <v>0</v>
      </c>
      <c r="CB77" s="4794">
        <f t="shared" si="354"/>
        <v>0</v>
      </c>
      <c r="CC77" s="4794">
        <f t="shared" si="355"/>
        <v>0</v>
      </c>
      <c r="CD77" s="4794">
        <f t="shared" si="356"/>
        <v>0</v>
      </c>
      <c r="CE77" s="4794">
        <f t="shared" si="357"/>
        <v>0</v>
      </c>
      <c r="CF77" s="4794">
        <f t="shared" si="358"/>
        <v>0</v>
      </c>
      <c r="CG77" s="4794">
        <f t="shared" si="359"/>
        <v>0</v>
      </c>
      <c r="CH77" s="4794">
        <f t="shared" si="360"/>
        <v>0</v>
      </c>
      <c r="CI77" s="4794">
        <f t="shared" si="361"/>
        <v>0</v>
      </c>
      <c r="CJ77" s="4794">
        <f t="shared" si="362"/>
        <v>0</v>
      </c>
      <c r="CK77" s="4794">
        <f t="shared" si="363"/>
        <v>0</v>
      </c>
      <c r="CL77" s="4794">
        <f t="shared" si="364"/>
        <v>0</v>
      </c>
      <c r="CM77" s="4794">
        <f t="shared" si="365"/>
        <v>0</v>
      </c>
      <c r="CN77" s="4794">
        <f t="shared" si="366"/>
        <v>0</v>
      </c>
      <c r="CO77" s="4794">
        <f t="shared" si="367"/>
        <v>0</v>
      </c>
      <c r="CP77" s="4794">
        <f t="shared" si="368"/>
        <v>0</v>
      </c>
      <c r="CQ77" s="4794">
        <f t="shared" si="369"/>
        <v>0</v>
      </c>
      <c r="CR77" s="4794">
        <f t="shared" si="370"/>
        <v>0</v>
      </c>
      <c r="CS77" s="4794">
        <f t="shared" si="371"/>
        <v>0</v>
      </c>
      <c r="CT77" s="4794">
        <f t="shared" si="372"/>
        <v>0</v>
      </c>
      <c r="CU77" s="4794">
        <f t="shared" si="373"/>
        <v>0</v>
      </c>
      <c r="CV77" s="4794">
        <f t="shared" si="374"/>
        <v>0</v>
      </c>
      <c r="CW77" s="4794">
        <f t="shared" si="375"/>
        <v>0</v>
      </c>
      <c r="CX77" s="4794">
        <f t="shared" si="376"/>
        <v>0</v>
      </c>
      <c r="CY77" s="4794">
        <f t="shared" si="377"/>
        <v>0</v>
      </c>
      <c r="CZ77" s="4794">
        <f t="shared" si="378"/>
        <v>0</v>
      </c>
      <c r="DA77" s="4794">
        <f t="shared" si="379"/>
        <v>0</v>
      </c>
      <c r="DB77" s="4794">
        <f t="shared" si="380"/>
        <v>0</v>
      </c>
      <c r="DC77" s="4794">
        <f t="shared" si="381"/>
        <v>0</v>
      </c>
      <c r="DD77" s="4794">
        <f t="shared" si="382"/>
        <v>0</v>
      </c>
      <c r="DE77" s="4794">
        <f t="shared" si="383"/>
        <v>0</v>
      </c>
      <c r="DF77" s="4794">
        <f t="shared" si="384"/>
        <v>0</v>
      </c>
      <c r="DG77" s="4794">
        <f t="shared" si="385"/>
        <v>0</v>
      </c>
      <c r="DH77" s="4794">
        <f t="shared" si="386"/>
        <v>0</v>
      </c>
      <c r="DI77" s="4794">
        <f t="shared" si="387"/>
        <v>0</v>
      </c>
      <c r="DJ77" s="4794">
        <f t="shared" si="388"/>
        <v>0</v>
      </c>
    </row>
    <row r="78" spans="1:114" ht="12.75">
      <c r="A78" s="113" t="s">
        <v>178</v>
      </c>
      <c r="B78" s="922" t="s">
        <v>271</v>
      </c>
      <c r="C78" s="3225">
        <v>40</v>
      </c>
      <c r="D78" s="3226">
        <v>40</v>
      </c>
      <c r="E78" s="3226">
        <v>40</v>
      </c>
      <c r="F78" s="3226">
        <v>40</v>
      </c>
      <c r="G78" s="3226">
        <v>40</v>
      </c>
      <c r="H78" s="3227">
        <v>40</v>
      </c>
      <c r="I78" s="1270">
        <f t="shared" si="317"/>
        <v>0</v>
      </c>
      <c r="J78" s="842">
        <f t="shared" si="318"/>
        <v>0</v>
      </c>
      <c r="K78" s="3225">
        <v>4</v>
      </c>
      <c r="L78" s="3226">
        <v>4</v>
      </c>
      <c r="M78" s="3226">
        <v>4</v>
      </c>
      <c r="N78" s="3226">
        <v>4</v>
      </c>
      <c r="O78" s="3226">
        <v>4</v>
      </c>
      <c r="P78" s="3227">
        <v>4</v>
      </c>
      <c r="Q78" s="1270">
        <f t="shared" si="305"/>
        <v>0</v>
      </c>
      <c r="R78" s="1140">
        <f t="shared" si="306"/>
        <v>0</v>
      </c>
      <c r="S78" s="3225">
        <v>12.2</v>
      </c>
      <c r="T78" s="3226">
        <v>12</v>
      </c>
      <c r="U78" s="3226">
        <v>12</v>
      </c>
      <c r="V78" s="3226">
        <v>12</v>
      </c>
      <c r="W78" s="3226">
        <v>12</v>
      </c>
      <c r="X78" s="3227">
        <v>12</v>
      </c>
      <c r="Y78" s="1270">
        <f t="shared" si="307"/>
        <v>-0.19999999999999929</v>
      </c>
      <c r="Z78" s="1140">
        <f t="shared" si="308"/>
        <v>-1.6393442622950762E-2</v>
      </c>
      <c r="AA78" s="3225"/>
      <c r="AB78" s="3226"/>
      <c r="AC78" s="3226"/>
      <c r="AD78" s="3226"/>
      <c r="AE78" s="3226"/>
      <c r="AF78" s="3227"/>
      <c r="AG78" s="1270">
        <f t="shared" si="319"/>
        <v>0</v>
      </c>
      <c r="AH78" s="842">
        <f t="shared" si="320"/>
        <v>0</v>
      </c>
      <c r="AI78" s="3225"/>
      <c r="AJ78" s="3226"/>
      <c r="AK78" s="3226"/>
      <c r="AL78" s="3226"/>
      <c r="AM78" s="3226"/>
      <c r="AN78" s="3255"/>
      <c r="AO78" s="1270">
        <f t="shared" si="333"/>
        <v>0</v>
      </c>
      <c r="AP78" s="842">
        <f t="shared" si="334"/>
        <v>0</v>
      </c>
      <c r="AQ78" s="3225"/>
      <c r="AR78" s="3226"/>
      <c r="AS78" s="3226"/>
      <c r="AT78" s="3226"/>
      <c r="AU78" s="3226"/>
      <c r="AV78" s="3255"/>
      <c r="AW78" s="1131">
        <f t="shared" si="389"/>
        <v>56.2</v>
      </c>
      <c r="AX78" s="3245">
        <f t="shared" si="390"/>
        <v>56</v>
      </c>
      <c r="AY78" s="3245">
        <f t="shared" si="391"/>
        <v>56</v>
      </c>
      <c r="AZ78" s="3245">
        <f t="shared" si="392"/>
        <v>56</v>
      </c>
      <c r="BA78" s="3245">
        <f t="shared" si="393"/>
        <v>56</v>
      </c>
      <c r="BB78" s="3246">
        <f t="shared" si="394"/>
        <v>56</v>
      </c>
      <c r="BC78" s="3266">
        <f t="shared" si="395"/>
        <v>40</v>
      </c>
      <c r="BD78" s="3267">
        <f t="shared" si="396"/>
        <v>40</v>
      </c>
      <c r="BE78" s="3268">
        <f t="shared" si="397"/>
        <v>40</v>
      </c>
      <c r="BF78" s="3268">
        <f t="shared" si="398"/>
        <v>40</v>
      </c>
      <c r="BG78" s="3268">
        <f t="shared" si="399"/>
        <v>40</v>
      </c>
      <c r="BH78" s="3270">
        <f t="shared" si="400"/>
        <v>40</v>
      </c>
      <c r="BI78" s="4775"/>
      <c r="BJ78" s="4794">
        <f t="shared" si="336"/>
        <v>20.45167524784874</v>
      </c>
      <c r="BK78" s="4794">
        <f t="shared" si="337"/>
        <v>20.45167524784874</v>
      </c>
      <c r="BL78" s="4794">
        <f t="shared" si="338"/>
        <v>20.45167524784874</v>
      </c>
      <c r="BM78" s="4794">
        <f t="shared" si="339"/>
        <v>20.45167524784874</v>
      </c>
      <c r="BN78" s="4794">
        <f t="shared" si="340"/>
        <v>20.45167524784874</v>
      </c>
      <c r="BO78" s="4794">
        <f t="shared" si="341"/>
        <v>20.45167524784874</v>
      </c>
      <c r="BP78" s="4794">
        <f t="shared" si="342"/>
        <v>0</v>
      </c>
      <c r="BQ78" s="4794">
        <f t="shared" si="343"/>
        <v>2.045167524784874</v>
      </c>
      <c r="BR78" s="4794">
        <f t="shared" si="344"/>
        <v>2.045167524784874</v>
      </c>
      <c r="BS78" s="4794">
        <f t="shared" si="345"/>
        <v>2.045167524784874</v>
      </c>
      <c r="BT78" s="4794">
        <f t="shared" si="346"/>
        <v>2.045167524784874</v>
      </c>
      <c r="BU78" s="4794">
        <f t="shared" si="347"/>
        <v>2.045167524784874</v>
      </c>
      <c r="BV78" s="4794">
        <f t="shared" si="348"/>
        <v>2.045167524784874</v>
      </c>
      <c r="BW78" s="4794">
        <f t="shared" si="349"/>
        <v>0</v>
      </c>
      <c r="BX78" s="4794">
        <f t="shared" si="350"/>
        <v>6.2377609505938656</v>
      </c>
      <c r="BY78" s="4794">
        <f t="shared" si="351"/>
        <v>6.1355025743546223</v>
      </c>
      <c r="BZ78" s="4794">
        <f t="shared" si="352"/>
        <v>6.1355025743546223</v>
      </c>
      <c r="CA78" s="4794">
        <f t="shared" si="353"/>
        <v>6.1355025743546223</v>
      </c>
      <c r="CB78" s="4794">
        <f t="shared" si="354"/>
        <v>6.1355025743546223</v>
      </c>
      <c r="CC78" s="4794">
        <f t="shared" si="355"/>
        <v>6.1355025743546223</v>
      </c>
      <c r="CD78" s="4794">
        <f t="shared" si="356"/>
        <v>-0.10225837623924333</v>
      </c>
      <c r="CE78" s="4794">
        <f t="shared" si="357"/>
        <v>0</v>
      </c>
      <c r="CF78" s="4794">
        <f t="shared" si="358"/>
        <v>0</v>
      </c>
      <c r="CG78" s="4794">
        <f t="shared" si="359"/>
        <v>0</v>
      </c>
      <c r="CH78" s="4794">
        <f t="shared" si="360"/>
        <v>0</v>
      </c>
      <c r="CI78" s="4794">
        <f t="shared" si="361"/>
        <v>0</v>
      </c>
      <c r="CJ78" s="4794">
        <f t="shared" si="362"/>
        <v>0</v>
      </c>
      <c r="CK78" s="4794">
        <f t="shared" si="363"/>
        <v>0</v>
      </c>
      <c r="CL78" s="4794">
        <f t="shared" si="364"/>
        <v>0</v>
      </c>
      <c r="CM78" s="4794">
        <f t="shared" si="365"/>
        <v>0</v>
      </c>
      <c r="CN78" s="4794">
        <f t="shared" si="366"/>
        <v>0</v>
      </c>
      <c r="CO78" s="4794">
        <f t="shared" si="367"/>
        <v>0</v>
      </c>
      <c r="CP78" s="4794">
        <f t="shared" si="368"/>
        <v>0</v>
      </c>
      <c r="CQ78" s="4794">
        <f t="shared" si="369"/>
        <v>0</v>
      </c>
      <c r="CR78" s="4794">
        <f t="shared" si="370"/>
        <v>0</v>
      </c>
      <c r="CS78" s="4794">
        <f t="shared" si="371"/>
        <v>0</v>
      </c>
      <c r="CT78" s="4794">
        <f t="shared" si="372"/>
        <v>0</v>
      </c>
      <c r="CU78" s="4794">
        <f t="shared" si="373"/>
        <v>0</v>
      </c>
      <c r="CV78" s="4794">
        <f t="shared" si="374"/>
        <v>0</v>
      </c>
      <c r="CW78" s="4794">
        <f t="shared" si="375"/>
        <v>0</v>
      </c>
      <c r="CX78" s="4794">
        <f t="shared" si="376"/>
        <v>0</v>
      </c>
      <c r="CY78" s="4794">
        <f t="shared" si="377"/>
        <v>28.73460372322748</v>
      </c>
      <c r="CZ78" s="4794">
        <f t="shared" si="378"/>
        <v>28.632345346988235</v>
      </c>
      <c r="DA78" s="4794">
        <f t="shared" si="379"/>
        <v>28.632345346988235</v>
      </c>
      <c r="DB78" s="4794">
        <f t="shared" si="380"/>
        <v>28.632345346988235</v>
      </c>
      <c r="DC78" s="4794">
        <f t="shared" si="381"/>
        <v>28.632345346988235</v>
      </c>
      <c r="DD78" s="4794">
        <f t="shared" si="382"/>
        <v>28.632345346988235</v>
      </c>
      <c r="DE78" s="4794">
        <f t="shared" si="383"/>
        <v>20.45167524784874</v>
      </c>
      <c r="DF78" s="4794">
        <f t="shared" si="384"/>
        <v>20.45167524784874</v>
      </c>
      <c r="DG78" s="4794">
        <f t="shared" si="385"/>
        <v>20.45167524784874</v>
      </c>
      <c r="DH78" s="4794">
        <f t="shared" si="386"/>
        <v>20.45167524784874</v>
      </c>
      <c r="DI78" s="4794">
        <f t="shared" si="387"/>
        <v>20.45167524784874</v>
      </c>
      <c r="DJ78" s="4794">
        <f t="shared" si="388"/>
        <v>20.45167524784874</v>
      </c>
    </row>
    <row r="79" spans="1:114" ht="12.75">
      <c r="A79" s="113" t="s">
        <v>456</v>
      </c>
      <c r="B79" s="140" t="s">
        <v>266</v>
      </c>
      <c r="C79" s="3225"/>
      <c r="D79" s="3226"/>
      <c r="E79" s="3226"/>
      <c r="F79" s="3226"/>
      <c r="G79" s="3226"/>
      <c r="H79" s="3227"/>
      <c r="I79" s="1270">
        <f t="shared" si="317"/>
        <v>0</v>
      </c>
      <c r="J79" s="842">
        <f t="shared" si="318"/>
        <v>0</v>
      </c>
      <c r="K79" s="3225"/>
      <c r="L79" s="3226"/>
      <c r="M79" s="3226"/>
      <c r="N79" s="3226"/>
      <c r="O79" s="3226"/>
      <c r="P79" s="3227"/>
      <c r="Q79" s="1270">
        <f t="shared" si="305"/>
        <v>0</v>
      </c>
      <c r="R79" s="1140">
        <f t="shared" si="306"/>
        <v>0</v>
      </c>
      <c r="S79" s="3225"/>
      <c r="T79" s="3226"/>
      <c r="U79" s="3226"/>
      <c r="V79" s="3226"/>
      <c r="W79" s="3226"/>
      <c r="X79" s="3227"/>
      <c r="Y79" s="1270">
        <f t="shared" si="307"/>
        <v>0</v>
      </c>
      <c r="Z79" s="1140">
        <f t="shared" si="308"/>
        <v>0</v>
      </c>
      <c r="AA79" s="3225"/>
      <c r="AB79" s="3226"/>
      <c r="AC79" s="3226"/>
      <c r="AD79" s="3226"/>
      <c r="AE79" s="3226"/>
      <c r="AF79" s="3227"/>
      <c r="AG79" s="1270">
        <f t="shared" si="319"/>
        <v>0</v>
      </c>
      <c r="AH79" s="842">
        <f t="shared" si="320"/>
        <v>0</v>
      </c>
      <c r="AI79" s="3225"/>
      <c r="AJ79" s="3226"/>
      <c r="AK79" s="3226"/>
      <c r="AL79" s="3226"/>
      <c r="AM79" s="3226"/>
      <c r="AN79" s="3255"/>
      <c r="AO79" s="1270">
        <f t="shared" si="333"/>
        <v>0</v>
      </c>
      <c r="AP79" s="842">
        <f t="shared" si="334"/>
        <v>0</v>
      </c>
      <c r="AQ79" s="3225"/>
      <c r="AR79" s="3226"/>
      <c r="AS79" s="3226"/>
      <c r="AT79" s="3226"/>
      <c r="AU79" s="3226"/>
      <c r="AV79" s="3255"/>
      <c r="AW79" s="1131">
        <f t="shared" si="389"/>
        <v>0</v>
      </c>
      <c r="AX79" s="3245">
        <f t="shared" si="390"/>
        <v>0</v>
      </c>
      <c r="AY79" s="3245">
        <f t="shared" si="391"/>
        <v>0</v>
      </c>
      <c r="AZ79" s="3245">
        <f t="shared" si="392"/>
        <v>0</v>
      </c>
      <c r="BA79" s="3245">
        <f t="shared" si="393"/>
        <v>0</v>
      </c>
      <c r="BB79" s="3246">
        <f t="shared" si="394"/>
        <v>0</v>
      </c>
      <c r="BC79" s="3266">
        <f t="shared" si="395"/>
        <v>0</v>
      </c>
      <c r="BD79" s="3267">
        <f t="shared" si="396"/>
        <v>0</v>
      </c>
      <c r="BE79" s="3268">
        <f t="shared" si="397"/>
        <v>0</v>
      </c>
      <c r="BF79" s="3268">
        <f t="shared" si="398"/>
        <v>0</v>
      </c>
      <c r="BG79" s="3268">
        <f t="shared" si="399"/>
        <v>0</v>
      </c>
      <c r="BH79" s="3270">
        <f t="shared" si="400"/>
        <v>0</v>
      </c>
      <c r="BI79" s="4775"/>
      <c r="BJ79" s="4794">
        <f t="shared" si="336"/>
        <v>0</v>
      </c>
      <c r="BK79" s="4794">
        <f t="shared" si="337"/>
        <v>0</v>
      </c>
      <c r="BL79" s="4794">
        <f t="shared" si="338"/>
        <v>0</v>
      </c>
      <c r="BM79" s="4794">
        <f t="shared" si="339"/>
        <v>0</v>
      </c>
      <c r="BN79" s="4794">
        <f t="shared" si="340"/>
        <v>0</v>
      </c>
      <c r="BO79" s="4794">
        <f t="shared" si="341"/>
        <v>0</v>
      </c>
      <c r="BP79" s="4794">
        <f t="shared" si="342"/>
        <v>0</v>
      </c>
      <c r="BQ79" s="4794">
        <f t="shared" si="343"/>
        <v>0</v>
      </c>
      <c r="BR79" s="4794">
        <f t="shared" si="344"/>
        <v>0</v>
      </c>
      <c r="BS79" s="4794">
        <f t="shared" si="345"/>
        <v>0</v>
      </c>
      <c r="BT79" s="4794">
        <f t="shared" si="346"/>
        <v>0</v>
      </c>
      <c r="BU79" s="4794">
        <f t="shared" si="347"/>
        <v>0</v>
      </c>
      <c r="BV79" s="4794">
        <f t="shared" si="348"/>
        <v>0</v>
      </c>
      <c r="BW79" s="4794">
        <f t="shared" si="349"/>
        <v>0</v>
      </c>
      <c r="BX79" s="4794">
        <f t="shared" si="350"/>
        <v>0</v>
      </c>
      <c r="BY79" s="4794">
        <f t="shared" si="351"/>
        <v>0</v>
      </c>
      <c r="BZ79" s="4794">
        <f t="shared" si="352"/>
        <v>0</v>
      </c>
      <c r="CA79" s="4794">
        <f t="shared" si="353"/>
        <v>0</v>
      </c>
      <c r="CB79" s="4794">
        <f t="shared" si="354"/>
        <v>0</v>
      </c>
      <c r="CC79" s="4794">
        <f t="shared" si="355"/>
        <v>0</v>
      </c>
      <c r="CD79" s="4794">
        <f t="shared" si="356"/>
        <v>0</v>
      </c>
      <c r="CE79" s="4794">
        <f t="shared" si="357"/>
        <v>0</v>
      </c>
      <c r="CF79" s="4794">
        <f t="shared" si="358"/>
        <v>0</v>
      </c>
      <c r="CG79" s="4794">
        <f t="shared" si="359"/>
        <v>0</v>
      </c>
      <c r="CH79" s="4794">
        <f t="shared" si="360"/>
        <v>0</v>
      </c>
      <c r="CI79" s="4794">
        <f t="shared" si="361"/>
        <v>0</v>
      </c>
      <c r="CJ79" s="4794">
        <f t="shared" si="362"/>
        <v>0</v>
      </c>
      <c r="CK79" s="4794">
        <f t="shared" si="363"/>
        <v>0</v>
      </c>
      <c r="CL79" s="4794">
        <f t="shared" si="364"/>
        <v>0</v>
      </c>
      <c r="CM79" s="4794">
        <f t="shared" si="365"/>
        <v>0</v>
      </c>
      <c r="CN79" s="4794">
        <f t="shared" si="366"/>
        <v>0</v>
      </c>
      <c r="CO79" s="4794">
        <f t="shared" si="367"/>
        <v>0</v>
      </c>
      <c r="CP79" s="4794">
        <f t="shared" si="368"/>
        <v>0</v>
      </c>
      <c r="CQ79" s="4794">
        <f t="shared" si="369"/>
        <v>0</v>
      </c>
      <c r="CR79" s="4794">
        <f t="shared" si="370"/>
        <v>0</v>
      </c>
      <c r="CS79" s="4794">
        <f t="shared" si="371"/>
        <v>0</v>
      </c>
      <c r="CT79" s="4794">
        <f t="shared" si="372"/>
        <v>0</v>
      </c>
      <c r="CU79" s="4794">
        <f t="shared" si="373"/>
        <v>0</v>
      </c>
      <c r="CV79" s="4794">
        <f t="shared" si="374"/>
        <v>0</v>
      </c>
      <c r="CW79" s="4794">
        <f t="shared" si="375"/>
        <v>0</v>
      </c>
      <c r="CX79" s="4794">
        <f t="shared" si="376"/>
        <v>0</v>
      </c>
      <c r="CY79" s="4794">
        <f t="shared" si="377"/>
        <v>0</v>
      </c>
      <c r="CZ79" s="4794">
        <f t="shared" si="378"/>
        <v>0</v>
      </c>
      <c r="DA79" s="4794">
        <f t="shared" si="379"/>
        <v>0</v>
      </c>
      <c r="DB79" s="4794">
        <f t="shared" si="380"/>
        <v>0</v>
      </c>
      <c r="DC79" s="4794">
        <f t="shared" si="381"/>
        <v>0</v>
      </c>
      <c r="DD79" s="4794">
        <f t="shared" si="382"/>
        <v>0</v>
      </c>
      <c r="DE79" s="4794">
        <f t="shared" si="383"/>
        <v>0</v>
      </c>
      <c r="DF79" s="4794">
        <f t="shared" si="384"/>
        <v>0</v>
      </c>
      <c r="DG79" s="4794">
        <f t="shared" si="385"/>
        <v>0</v>
      </c>
      <c r="DH79" s="4794">
        <f t="shared" si="386"/>
        <v>0</v>
      </c>
      <c r="DI79" s="4794">
        <f t="shared" si="387"/>
        <v>0</v>
      </c>
      <c r="DJ79" s="4794">
        <f t="shared" si="388"/>
        <v>0</v>
      </c>
    </row>
    <row r="80" spans="1:114" ht="12.75">
      <c r="A80" s="113" t="s">
        <v>457</v>
      </c>
      <c r="B80" s="914" t="s">
        <v>273</v>
      </c>
      <c r="C80" s="3225">
        <v>19</v>
      </c>
      <c r="D80" s="3226">
        <v>19</v>
      </c>
      <c r="E80" s="3226">
        <v>19</v>
      </c>
      <c r="F80" s="3226">
        <v>19</v>
      </c>
      <c r="G80" s="3226">
        <v>19</v>
      </c>
      <c r="H80" s="3227">
        <v>19</v>
      </c>
      <c r="I80" s="1270">
        <f t="shared" si="317"/>
        <v>0</v>
      </c>
      <c r="J80" s="842">
        <f t="shared" si="318"/>
        <v>0</v>
      </c>
      <c r="K80" s="3225">
        <v>4</v>
      </c>
      <c r="L80" s="3226">
        <v>4</v>
      </c>
      <c r="M80" s="3226">
        <v>4</v>
      </c>
      <c r="N80" s="3226">
        <v>4</v>
      </c>
      <c r="O80" s="3226">
        <v>4</v>
      </c>
      <c r="P80" s="3227">
        <v>4</v>
      </c>
      <c r="Q80" s="1270">
        <f t="shared" si="305"/>
        <v>0</v>
      </c>
      <c r="R80" s="1140">
        <f t="shared" si="306"/>
        <v>0</v>
      </c>
      <c r="S80" s="3225">
        <v>4</v>
      </c>
      <c r="T80" s="3226">
        <v>4</v>
      </c>
      <c r="U80" s="3226">
        <v>4</v>
      </c>
      <c r="V80" s="3226">
        <v>4</v>
      </c>
      <c r="W80" s="3226">
        <v>4</v>
      </c>
      <c r="X80" s="3227">
        <v>4</v>
      </c>
      <c r="Y80" s="1270">
        <f t="shared" si="307"/>
        <v>0</v>
      </c>
      <c r="Z80" s="1140">
        <f t="shared" si="308"/>
        <v>0</v>
      </c>
      <c r="AA80" s="3225"/>
      <c r="AB80" s="3226"/>
      <c r="AC80" s="3226"/>
      <c r="AD80" s="3226"/>
      <c r="AE80" s="3226"/>
      <c r="AF80" s="3227"/>
      <c r="AG80" s="1270">
        <f t="shared" si="319"/>
        <v>0</v>
      </c>
      <c r="AH80" s="842">
        <f t="shared" si="320"/>
        <v>0</v>
      </c>
      <c r="AI80" s="3225"/>
      <c r="AJ80" s="3226"/>
      <c r="AK80" s="3226"/>
      <c r="AL80" s="3226"/>
      <c r="AM80" s="3226"/>
      <c r="AN80" s="3255"/>
      <c r="AO80" s="1270">
        <f t="shared" si="333"/>
        <v>0</v>
      </c>
      <c r="AP80" s="842">
        <f t="shared" si="334"/>
        <v>0</v>
      </c>
      <c r="AQ80" s="3225"/>
      <c r="AR80" s="3226"/>
      <c r="AS80" s="3226"/>
      <c r="AT80" s="3226"/>
      <c r="AU80" s="3226"/>
      <c r="AV80" s="3255"/>
      <c r="AW80" s="1131">
        <f t="shared" si="389"/>
        <v>27</v>
      </c>
      <c r="AX80" s="3245">
        <f t="shared" si="390"/>
        <v>27</v>
      </c>
      <c r="AY80" s="3245">
        <f t="shared" si="391"/>
        <v>27</v>
      </c>
      <c r="AZ80" s="3245">
        <f t="shared" si="392"/>
        <v>27</v>
      </c>
      <c r="BA80" s="3245">
        <f t="shared" si="393"/>
        <v>27</v>
      </c>
      <c r="BB80" s="3246">
        <f t="shared" si="394"/>
        <v>27</v>
      </c>
      <c r="BC80" s="3266">
        <f t="shared" si="395"/>
        <v>19</v>
      </c>
      <c r="BD80" s="3267">
        <f t="shared" si="396"/>
        <v>19</v>
      </c>
      <c r="BE80" s="3268">
        <f t="shared" si="397"/>
        <v>19</v>
      </c>
      <c r="BF80" s="3268">
        <f t="shared" si="398"/>
        <v>19</v>
      </c>
      <c r="BG80" s="3268">
        <f t="shared" si="399"/>
        <v>19</v>
      </c>
      <c r="BH80" s="3270">
        <f t="shared" si="400"/>
        <v>19</v>
      </c>
      <c r="BI80" s="4775"/>
      <c r="BJ80" s="4794">
        <f t="shared" si="336"/>
        <v>9.7145457427281521</v>
      </c>
      <c r="BK80" s="4794">
        <f t="shared" si="337"/>
        <v>9.7145457427281521</v>
      </c>
      <c r="BL80" s="4794">
        <f t="shared" si="338"/>
        <v>9.7145457427281521</v>
      </c>
      <c r="BM80" s="4794">
        <f t="shared" si="339"/>
        <v>9.7145457427281521</v>
      </c>
      <c r="BN80" s="4794">
        <f t="shared" si="340"/>
        <v>9.7145457427281521</v>
      </c>
      <c r="BO80" s="4794">
        <f t="shared" si="341"/>
        <v>9.7145457427281521</v>
      </c>
      <c r="BP80" s="4794">
        <f t="shared" si="342"/>
        <v>0</v>
      </c>
      <c r="BQ80" s="4794">
        <f t="shared" si="343"/>
        <v>2.045167524784874</v>
      </c>
      <c r="BR80" s="4794">
        <f t="shared" si="344"/>
        <v>2.045167524784874</v>
      </c>
      <c r="BS80" s="4794">
        <f t="shared" si="345"/>
        <v>2.045167524784874</v>
      </c>
      <c r="BT80" s="4794">
        <f t="shared" si="346"/>
        <v>2.045167524784874</v>
      </c>
      <c r="BU80" s="4794">
        <f t="shared" si="347"/>
        <v>2.045167524784874</v>
      </c>
      <c r="BV80" s="4794">
        <f t="shared" si="348"/>
        <v>2.045167524784874</v>
      </c>
      <c r="BW80" s="4794">
        <f t="shared" si="349"/>
        <v>0</v>
      </c>
      <c r="BX80" s="4794">
        <f t="shared" si="350"/>
        <v>2.045167524784874</v>
      </c>
      <c r="BY80" s="4794">
        <f t="shared" si="351"/>
        <v>2.045167524784874</v>
      </c>
      <c r="BZ80" s="4794">
        <f t="shared" si="352"/>
        <v>2.045167524784874</v>
      </c>
      <c r="CA80" s="4794">
        <f t="shared" si="353"/>
        <v>2.045167524784874</v>
      </c>
      <c r="CB80" s="4794">
        <f t="shared" si="354"/>
        <v>2.045167524784874</v>
      </c>
      <c r="CC80" s="4794">
        <f t="shared" si="355"/>
        <v>2.045167524784874</v>
      </c>
      <c r="CD80" s="4794">
        <f t="shared" si="356"/>
        <v>0</v>
      </c>
      <c r="CE80" s="4794">
        <f t="shared" si="357"/>
        <v>0</v>
      </c>
      <c r="CF80" s="4794">
        <f t="shared" si="358"/>
        <v>0</v>
      </c>
      <c r="CG80" s="4794">
        <f t="shared" si="359"/>
        <v>0</v>
      </c>
      <c r="CH80" s="4794">
        <f t="shared" si="360"/>
        <v>0</v>
      </c>
      <c r="CI80" s="4794">
        <f t="shared" si="361"/>
        <v>0</v>
      </c>
      <c r="CJ80" s="4794">
        <f t="shared" si="362"/>
        <v>0</v>
      </c>
      <c r="CK80" s="4794">
        <f t="shared" si="363"/>
        <v>0</v>
      </c>
      <c r="CL80" s="4794">
        <f t="shared" si="364"/>
        <v>0</v>
      </c>
      <c r="CM80" s="4794">
        <f t="shared" si="365"/>
        <v>0</v>
      </c>
      <c r="CN80" s="4794">
        <f t="shared" si="366"/>
        <v>0</v>
      </c>
      <c r="CO80" s="4794">
        <f t="shared" si="367"/>
        <v>0</v>
      </c>
      <c r="CP80" s="4794">
        <f t="shared" si="368"/>
        <v>0</v>
      </c>
      <c r="CQ80" s="4794">
        <f t="shared" si="369"/>
        <v>0</v>
      </c>
      <c r="CR80" s="4794">
        <f t="shared" si="370"/>
        <v>0</v>
      </c>
      <c r="CS80" s="4794">
        <f t="shared" si="371"/>
        <v>0</v>
      </c>
      <c r="CT80" s="4794">
        <f t="shared" si="372"/>
        <v>0</v>
      </c>
      <c r="CU80" s="4794">
        <f t="shared" si="373"/>
        <v>0</v>
      </c>
      <c r="CV80" s="4794">
        <f t="shared" si="374"/>
        <v>0</v>
      </c>
      <c r="CW80" s="4794">
        <f t="shared" si="375"/>
        <v>0</v>
      </c>
      <c r="CX80" s="4794">
        <f t="shared" si="376"/>
        <v>0</v>
      </c>
      <c r="CY80" s="4794">
        <f t="shared" si="377"/>
        <v>13.804880792297899</v>
      </c>
      <c r="CZ80" s="4794">
        <f t="shared" si="378"/>
        <v>13.804880792297899</v>
      </c>
      <c r="DA80" s="4794">
        <f t="shared" si="379"/>
        <v>13.804880792297899</v>
      </c>
      <c r="DB80" s="4794">
        <f t="shared" si="380"/>
        <v>13.804880792297899</v>
      </c>
      <c r="DC80" s="4794">
        <f t="shared" si="381"/>
        <v>13.804880792297899</v>
      </c>
      <c r="DD80" s="4794">
        <f t="shared" si="382"/>
        <v>13.804880792297899</v>
      </c>
      <c r="DE80" s="4794">
        <f t="shared" si="383"/>
        <v>9.7145457427281521</v>
      </c>
      <c r="DF80" s="4794">
        <f t="shared" si="384"/>
        <v>9.7145457427281521</v>
      </c>
      <c r="DG80" s="4794">
        <f t="shared" si="385"/>
        <v>9.7145457427281521</v>
      </c>
      <c r="DH80" s="4794">
        <f t="shared" si="386"/>
        <v>9.7145457427281521</v>
      </c>
      <c r="DI80" s="4794">
        <f t="shared" si="387"/>
        <v>9.7145457427281521</v>
      </c>
      <c r="DJ80" s="4794">
        <f t="shared" si="388"/>
        <v>9.7145457427281521</v>
      </c>
    </row>
    <row r="81" spans="1:114" ht="12.75">
      <c r="A81" s="113" t="s">
        <v>458</v>
      </c>
      <c r="B81" s="140" t="s">
        <v>275</v>
      </c>
      <c r="C81" s="3225">
        <v>43</v>
      </c>
      <c r="D81" s="3226">
        <v>43</v>
      </c>
      <c r="E81" s="3226">
        <v>43</v>
      </c>
      <c r="F81" s="3226">
        <v>43</v>
      </c>
      <c r="G81" s="3226">
        <v>43</v>
      </c>
      <c r="H81" s="3227">
        <v>43</v>
      </c>
      <c r="I81" s="1270">
        <f t="shared" si="317"/>
        <v>0</v>
      </c>
      <c r="J81" s="842">
        <f t="shared" si="318"/>
        <v>0</v>
      </c>
      <c r="K81" s="3225">
        <v>10.045999999999999</v>
      </c>
      <c r="L81" s="3226">
        <v>10</v>
      </c>
      <c r="M81" s="3226">
        <v>10</v>
      </c>
      <c r="N81" s="3226">
        <v>10</v>
      </c>
      <c r="O81" s="3226">
        <v>10</v>
      </c>
      <c r="P81" s="3227">
        <v>10</v>
      </c>
      <c r="Q81" s="1270">
        <f t="shared" si="305"/>
        <v>-4.5999999999999375E-2</v>
      </c>
      <c r="R81" s="1140">
        <f t="shared" si="306"/>
        <v>-4.5789368903045372E-3</v>
      </c>
      <c r="S81" s="3225">
        <v>10.599</v>
      </c>
      <c r="T81" s="3226">
        <v>11</v>
      </c>
      <c r="U81" s="3226">
        <v>11</v>
      </c>
      <c r="V81" s="3226">
        <v>11</v>
      </c>
      <c r="W81" s="3226">
        <v>11</v>
      </c>
      <c r="X81" s="3227">
        <v>11</v>
      </c>
      <c r="Y81" s="1270">
        <f t="shared" si="307"/>
        <v>0.4009999999999998</v>
      </c>
      <c r="Z81" s="1140">
        <f t="shared" si="308"/>
        <v>3.7833757901688816E-2</v>
      </c>
      <c r="AA81" s="3225"/>
      <c r="AB81" s="3226"/>
      <c r="AC81" s="3226"/>
      <c r="AD81" s="3226"/>
      <c r="AE81" s="3226"/>
      <c r="AF81" s="3227"/>
      <c r="AG81" s="1270">
        <f t="shared" si="319"/>
        <v>0</v>
      </c>
      <c r="AH81" s="842">
        <f t="shared" si="320"/>
        <v>0</v>
      </c>
      <c r="AI81" s="3225"/>
      <c r="AJ81" s="3226"/>
      <c r="AK81" s="3226"/>
      <c r="AL81" s="3226"/>
      <c r="AM81" s="3226"/>
      <c r="AN81" s="3255"/>
      <c r="AO81" s="1270">
        <f t="shared" si="333"/>
        <v>0</v>
      </c>
      <c r="AP81" s="842">
        <f t="shared" si="334"/>
        <v>0</v>
      </c>
      <c r="AQ81" s="3225"/>
      <c r="AR81" s="3226"/>
      <c r="AS81" s="3226"/>
      <c r="AT81" s="3226"/>
      <c r="AU81" s="3226"/>
      <c r="AV81" s="3255"/>
      <c r="AW81" s="1131">
        <f t="shared" si="389"/>
        <v>63.644999999999996</v>
      </c>
      <c r="AX81" s="3245">
        <f t="shared" si="390"/>
        <v>64</v>
      </c>
      <c r="AY81" s="3245">
        <f t="shared" si="391"/>
        <v>64</v>
      </c>
      <c r="AZ81" s="3245">
        <f t="shared" si="392"/>
        <v>64</v>
      </c>
      <c r="BA81" s="3245">
        <f t="shared" si="393"/>
        <v>64</v>
      </c>
      <c r="BB81" s="3246">
        <f t="shared" si="394"/>
        <v>64</v>
      </c>
      <c r="BC81" s="3266">
        <f t="shared" si="395"/>
        <v>43</v>
      </c>
      <c r="BD81" s="3267">
        <f t="shared" si="396"/>
        <v>43</v>
      </c>
      <c r="BE81" s="3268">
        <f t="shared" si="397"/>
        <v>43</v>
      </c>
      <c r="BF81" s="3268">
        <f t="shared" si="398"/>
        <v>43</v>
      </c>
      <c r="BG81" s="3268">
        <f t="shared" si="399"/>
        <v>43</v>
      </c>
      <c r="BH81" s="3270">
        <f t="shared" si="400"/>
        <v>43</v>
      </c>
      <c r="BI81" s="4775"/>
      <c r="BJ81" s="4794">
        <f t="shared" si="336"/>
        <v>21.985550891437395</v>
      </c>
      <c r="BK81" s="4794">
        <f t="shared" si="337"/>
        <v>21.985550891437395</v>
      </c>
      <c r="BL81" s="4794">
        <f t="shared" si="338"/>
        <v>21.985550891437395</v>
      </c>
      <c r="BM81" s="4794">
        <f t="shared" si="339"/>
        <v>21.985550891437395</v>
      </c>
      <c r="BN81" s="4794">
        <f t="shared" si="340"/>
        <v>21.985550891437395</v>
      </c>
      <c r="BO81" s="4794">
        <f t="shared" si="341"/>
        <v>21.985550891437395</v>
      </c>
      <c r="BP81" s="4794">
        <f t="shared" si="342"/>
        <v>0</v>
      </c>
      <c r="BQ81" s="4794">
        <f t="shared" si="343"/>
        <v>5.1364382384972105</v>
      </c>
      <c r="BR81" s="4794">
        <f t="shared" si="344"/>
        <v>5.1129188119621851</v>
      </c>
      <c r="BS81" s="4794">
        <f t="shared" si="345"/>
        <v>5.1129188119621851</v>
      </c>
      <c r="BT81" s="4794">
        <f t="shared" si="346"/>
        <v>5.1129188119621851</v>
      </c>
      <c r="BU81" s="4794">
        <f t="shared" si="347"/>
        <v>5.1129188119621851</v>
      </c>
      <c r="BV81" s="4794">
        <f t="shared" si="348"/>
        <v>5.1129188119621851</v>
      </c>
      <c r="BW81" s="4794">
        <f t="shared" si="349"/>
        <v>-2.3519426535025732E-2</v>
      </c>
      <c r="BX81" s="4794">
        <f t="shared" si="350"/>
        <v>5.4191826487987198</v>
      </c>
      <c r="BY81" s="4794">
        <f t="shared" si="351"/>
        <v>5.6242106931584033</v>
      </c>
      <c r="BZ81" s="4794">
        <f t="shared" si="352"/>
        <v>5.6242106931584033</v>
      </c>
      <c r="CA81" s="4794">
        <f t="shared" si="353"/>
        <v>5.6242106931584033</v>
      </c>
      <c r="CB81" s="4794">
        <f t="shared" si="354"/>
        <v>5.6242106931584033</v>
      </c>
      <c r="CC81" s="4794">
        <f t="shared" si="355"/>
        <v>5.6242106931584033</v>
      </c>
      <c r="CD81" s="4794">
        <f t="shared" si="356"/>
        <v>0.20502804435968353</v>
      </c>
      <c r="CE81" s="4794">
        <f t="shared" si="357"/>
        <v>0</v>
      </c>
      <c r="CF81" s="4794">
        <f t="shared" si="358"/>
        <v>0</v>
      </c>
      <c r="CG81" s="4794">
        <f t="shared" si="359"/>
        <v>0</v>
      </c>
      <c r="CH81" s="4794">
        <f t="shared" si="360"/>
        <v>0</v>
      </c>
      <c r="CI81" s="4794">
        <f t="shared" si="361"/>
        <v>0</v>
      </c>
      <c r="CJ81" s="4794">
        <f t="shared" si="362"/>
        <v>0</v>
      </c>
      <c r="CK81" s="4794">
        <f t="shared" si="363"/>
        <v>0</v>
      </c>
      <c r="CL81" s="4794">
        <f t="shared" si="364"/>
        <v>0</v>
      </c>
      <c r="CM81" s="4794">
        <f t="shared" si="365"/>
        <v>0</v>
      </c>
      <c r="CN81" s="4794">
        <f t="shared" si="366"/>
        <v>0</v>
      </c>
      <c r="CO81" s="4794">
        <f t="shared" si="367"/>
        <v>0</v>
      </c>
      <c r="CP81" s="4794">
        <f t="shared" si="368"/>
        <v>0</v>
      </c>
      <c r="CQ81" s="4794">
        <f t="shared" si="369"/>
        <v>0</v>
      </c>
      <c r="CR81" s="4794">
        <f t="shared" si="370"/>
        <v>0</v>
      </c>
      <c r="CS81" s="4794">
        <f t="shared" si="371"/>
        <v>0</v>
      </c>
      <c r="CT81" s="4794">
        <f t="shared" si="372"/>
        <v>0</v>
      </c>
      <c r="CU81" s="4794">
        <f t="shared" si="373"/>
        <v>0</v>
      </c>
      <c r="CV81" s="4794">
        <f t="shared" si="374"/>
        <v>0</v>
      </c>
      <c r="CW81" s="4794">
        <f t="shared" si="375"/>
        <v>0</v>
      </c>
      <c r="CX81" s="4794">
        <f t="shared" si="376"/>
        <v>0</v>
      </c>
      <c r="CY81" s="4794">
        <f t="shared" si="377"/>
        <v>32.541171778733322</v>
      </c>
      <c r="CZ81" s="4794">
        <f t="shared" si="378"/>
        <v>32.722680396557983</v>
      </c>
      <c r="DA81" s="4794">
        <f t="shared" si="379"/>
        <v>32.722680396557983</v>
      </c>
      <c r="DB81" s="4794">
        <f t="shared" si="380"/>
        <v>32.722680396557983</v>
      </c>
      <c r="DC81" s="4794">
        <f t="shared" si="381"/>
        <v>32.722680396557983</v>
      </c>
      <c r="DD81" s="4794">
        <f t="shared" si="382"/>
        <v>32.722680396557983</v>
      </c>
      <c r="DE81" s="4794">
        <f t="shared" si="383"/>
        <v>21.985550891437395</v>
      </c>
      <c r="DF81" s="4794">
        <f t="shared" si="384"/>
        <v>21.985550891437395</v>
      </c>
      <c r="DG81" s="4794">
        <f t="shared" si="385"/>
        <v>21.985550891437395</v>
      </c>
      <c r="DH81" s="4794">
        <f t="shared" si="386"/>
        <v>21.985550891437395</v>
      </c>
      <c r="DI81" s="4794">
        <f t="shared" si="387"/>
        <v>21.985550891437395</v>
      </c>
      <c r="DJ81" s="4794">
        <f t="shared" si="388"/>
        <v>21.985550891437395</v>
      </c>
    </row>
    <row r="82" spans="1:114" ht="12.75">
      <c r="A82" s="113" t="s">
        <v>459</v>
      </c>
      <c r="B82" s="259" t="s">
        <v>261</v>
      </c>
      <c r="C82" s="3225"/>
      <c r="D82" s="3226"/>
      <c r="E82" s="3226"/>
      <c r="F82" s="3226"/>
      <c r="G82" s="3226"/>
      <c r="H82" s="3227"/>
      <c r="I82" s="1270">
        <f t="shared" si="317"/>
        <v>0</v>
      </c>
      <c r="J82" s="842">
        <f t="shared" si="318"/>
        <v>0</v>
      </c>
      <c r="K82" s="3225"/>
      <c r="L82" s="3226"/>
      <c r="M82" s="3226"/>
      <c r="N82" s="3226"/>
      <c r="O82" s="3226"/>
      <c r="P82" s="3227"/>
      <c r="Q82" s="1270">
        <f t="shared" si="305"/>
        <v>0</v>
      </c>
      <c r="R82" s="1140">
        <f t="shared" si="306"/>
        <v>0</v>
      </c>
      <c r="S82" s="3225"/>
      <c r="T82" s="3226"/>
      <c r="U82" s="3226"/>
      <c r="V82" s="3226"/>
      <c r="W82" s="3226"/>
      <c r="X82" s="3227"/>
      <c r="Y82" s="1270">
        <f t="shared" si="307"/>
        <v>0</v>
      </c>
      <c r="Z82" s="1140">
        <f t="shared" si="308"/>
        <v>0</v>
      </c>
      <c r="AA82" s="3225"/>
      <c r="AB82" s="3226"/>
      <c r="AC82" s="3226"/>
      <c r="AD82" s="3226"/>
      <c r="AE82" s="3226"/>
      <c r="AF82" s="3227"/>
      <c r="AG82" s="1270">
        <f t="shared" si="319"/>
        <v>0</v>
      </c>
      <c r="AH82" s="842">
        <f t="shared" si="320"/>
        <v>0</v>
      </c>
      <c r="AI82" s="3225"/>
      <c r="AJ82" s="3226"/>
      <c r="AK82" s="3226"/>
      <c r="AL82" s="3226"/>
      <c r="AM82" s="3226"/>
      <c r="AN82" s="3255"/>
      <c r="AO82" s="1270">
        <f t="shared" si="333"/>
        <v>0</v>
      </c>
      <c r="AP82" s="842">
        <f t="shared" si="334"/>
        <v>0</v>
      </c>
      <c r="AQ82" s="3225"/>
      <c r="AR82" s="3226"/>
      <c r="AS82" s="3226"/>
      <c r="AT82" s="3226"/>
      <c r="AU82" s="3226"/>
      <c r="AV82" s="3255"/>
      <c r="AW82" s="1131">
        <f t="shared" si="389"/>
        <v>0</v>
      </c>
      <c r="AX82" s="3245">
        <f t="shared" si="390"/>
        <v>0</v>
      </c>
      <c r="AY82" s="3245">
        <f t="shared" si="391"/>
        <v>0</v>
      </c>
      <c r="AZ82" s="3245">
        <f t="shared" si="392"/>
        <v>0</v>
      </c>
      <c r="BA82" s="3245">
        <f t="shared" si="393"/>
        <v>0</v>
      </c>
      <c r="BB82" s="3246">
        <f t="shared" si="394"/>
        <v>0</v>
      </c>
      <c r="BC82" s="3266">
        <f t="shared" si="395"/>
        <v>0</v>
      </c>
      <c r="BD82" s="3267">
        <f t="shared" si="396"/>
        <v>0</v>
      </c>
      <c r="BE82" s="3268">
        <f t="shared" si="397"/>
        <v>0</v>
      </c>
      <c r="BF82" s="3268">
        <f t="shared" si="398"/>
        <v>0</v>
      </c>
      <c r="BG82" s="3268">
        <f t="shared" si="399"/>
        <v>0</v>
      </c>
      <c r="BH82" s="3270">
        <f t="shared" si="400"/>
        <v>0</v>
      </c>
      <c r="BI82" s="4775"/>
      <c r="BJ82" s="4794">
        <f t="shared" si="336"/>
        <v>0</v>
      </c>
      <c r="BK82" s="4794">
        <f t="shared" si="337"/>
        <v>0</v>
      </c>
      <c r="BL82" s="4794">
        <f t="shared" si="338"/>
        <v>0</v>
      </c>
      <c r="BM82" s="4794">
        <f t="shared" si="339"/>
        <v>0</v>
      </c>
      <c r="BN82" s="4794">
        <f t="shared" si="340"/>
        <v>0</v>
      </c>
      <c r="BO82" s="4794">
        <f t="shared" si="341"/>
        <v>0</v>
      </c>
      <c r="BP82" s="4794">
        <f t="shared" si="342"/>
        <v>0</v>
      </c>
      <c r="BQ82" s="4794">
        <f t="shared" si="343"/>
        <v>0</v>
      </c>
      <c r="BR82" s="4794">
        <f t="shared" si="344"/>
        <v>0</v>
      </c>
      <c r="BS82" s="4794">
        <f t="shared" si="345"/>
        <v>0</v>
      </c>
      <c r="BT82" s="4794">
        <f t="shared" si="346"/>
        <v>0</v>
      </c>
      <c r="BU82" s="4794">
        <f t="shared" si="347"/>
        <v>0</v>
      </c>
      <c r="BV82" s="4794">
        <f t="shared" si="348"/>
        <v>0</v>
      </c>
      <c r="BW82" s="4794">
        <f t="shared" si="349"/>
        <v>0</v>
      </c>
      <c r="BX82" s="4794">
        <f t="shared" si="350"/>
        <v>0</v>
      </c>
      <c r="BY82" s="4794">
        <f t="shared" si="351"/>
        <v>0</v>
      </c>
      <c r="BZ82" s="4794">
        <f t="shared" si="352"/>
        <v>0</v>
      </c>
      <c r="CA82" s="4794">
        <f t="shared" si="353"/>
        <v>0</v>
      </c>
      <c r="CB82" s="4794">
        <f t="shared" si="354"/>
        <v>0</v>
      </c>
      <c r="CC82" s="4794">
        <f t="shared" si="355"/>
        <v>0</v>
      </c>
      <c r="CD82" s="4794">
        <f t="shared" si="356"/>
        <v>0</v>
      </c>
      <c r="CE82" s="4794">
        <f t="shared" si="357"/>
        <v>0</v>
      </c>
      <c r="CF82" s="4794">
        <f t="shared" si="358"/>
        <v>0</v>
      </c>
      <c r="CG82" s="4794">
        <f t="shared" si="359"/>
        <v>0</v>
      </c>
      <c r="CH82" s="4794">
        <f t="shared" si="360"/>
        <v>0</v>
      </c>
      <c r="CI82" s="4794">
        <f t="shared" si="361"/>
        <v>0</v>
      </c>
      <c r="CJ82" s="4794">
        <f t="shared" si="362"/>
        <v>0</v>
      </c>
      <c r="CK82" s="4794">
        <f t="shared" si="363"/>
        <v>0</v>
      </c>
      <c r="CL82" s="4794">
        <f t="shared" si="364"/>
        <v>0</v>
      </c>
      <c r="CM82" s="4794">
        <f t="shared" si="365"/>
        <v>0</v>
      </c>
      <c r="CN82" s="4794">
        <f t="shared" si="366"/>
        <v>0</v>
      </c>
      <c r="CO82" s="4794">
        <f t="shared" si="367"/>
        <v>0</v>
      </c>
      <c r="CP82" s="4794">
        <f t="shared" si="368"/>
        <v>0</v>
      </c>
      <c r="CQ82" s="4794">
        <f t="shared" si="369"/>
        <v>0</v>
      </c>
      <c r="CR82" s="4794">
        <f t="shared" si="370"/>
        <v>0</v>
      </c>
      <c r="CS82" s="4794">
        <f t="shared" si="371"/>
        <v>0</v>
      </c>
      <c r="CT82" s="4794">
        <f t="shared" si="372"/>
        <v>0</v>
      </c>
      <c r="CU82" s="4794">
        <f t="shared" si="373"/>
        <v>0</v>
      </c>
      <c r="CV82" s="4794">
        <f t="shared" si="374"/>
        <v>0</v>
      </c>
      <c r="CW82" s="4794">
        <f t="shared" si="375"/>
        <v>0</v>
      </c>
      <c r="CX82" s="4794">
        <f t="shared" si="376"/>
        <v>0</v>
      </c>
      <c r="CY82" s="4794">
        <f t="shared" si="377"/>
        <v>0</v>
      </c>
      <c r="CZ82" s="4794">
        <f t="shared" si="378"/>
        <v>0</v>
      </c>
      <c r="DA82" s="4794">
        <f t="shared" si="379"/>
        <v>0</v>
      </c>
      <c r="DB82" s="4794">
        <f t="shared" si="380"/>
        <v>0</v>
      </c>
      <c r="DC82" s="4794">
        <f t="shared" si="381"/>
        <v>0</v>
      </c>
      <c r="DD82" s="4794">
        <f t="shared" si="382"/>
        <v>0</v>
      </c>
      <c r="DE82" s="4794">
        <f t="shared" si="383"/>
        <v>0</v>
      </c>
      <c r="DF82" s="4794">
        <f t="shared" si="384"/>
        <v>0</v>
      </c>
      <c r="DG82" s="4794">
        <f t="shared" si="385"/>
        <v>0</v>
      </c>
      <c r="DH82" s="4794">
        <f t="shared" si="386"/>
        <v>0</v>
      </c>
      <c r="DI82" s="4794">
        <f t="shared" si="387"/>
        <v>0</v>
      </c>
      <c r="DJ82" s="4794">
        <f t="shared" si="388"/>
        <v>0</v>
      </c>
    </row>
    <row r="83" spans="1:114" ht="12.75">
      <c r="A83" s="113" t="s">
        <v>460</v>
      </c>
      <c r="B83" s="140" t="s">
        <v>238</v>
      </c>
      <c r="C83" s="1204">
        <f>SUM(C84:C87)</f>
        <v>35.299999999999997</v>
      </c>
      <c r="D83" s="1153">
        <f t="shared" ref="D83:BB83" si="401">SUM(D84:D87)</f>
        <v>35</v>
      </c>
      <c r="E83" s="1154">
        <f t="shared" si="401"/>
        <v>35</v>
      </c>
      <c r="F83" s="1154">
        <f t="shared" si="401"/>
        <v>35</v>
      </c>
      <c r="G83" s="1154">
        <f t="shared" si="401"/>
        <v>35</v>
      </c>
      <c r="H83" s="1168">
        <f t="shared" si="401"/>
        <v>35</v>
      </c>
      <c r="I83" s="1269">
        <f t="shared" si="317"/>
        <v>-0.29999999999999716</v>
      </c>
      <c r="J83" s="725">
        <f t="shared" si="318"/>
        <v>-8.4985835694050185E-3</v>
      </c>
      <c r="K83" s="1204">
        <f t="shared" si="401"/>
        <v>0</v>
      </c>
      <c r="L83" s="1153">
        <f t="shared" si="401"/>
        <v>0</v>
      </c>
      <c r="M83" s="1154">
        <f t="shared" si="401"/>
        <v>0</v>
      </c>
      <c r="N83" s="1154">
        <f t="shared" si="401"/>
        <v>0</v>
      </c>
      <c r="O83" s="1154">
        <f t="shared" si="401"/>
        <v>0</v>
      </c>
      <c r="P83" s="1168">
        <f t="shared" si="401"/>
        <v>0</v>
      </c>
      <c r="Q83" s="1274">
        <f t="shared" si="305"/>
        <v>0</v>
      </c>
      <c r="R83" s="897">
        <f t="shared" si="306"/>
        <v>0</v>
      </c>
      <c r="S83" s="1204">
        <f t="shared" si="401"/>
        <v>17.2</v>
      </c>
      <c r="T83" s="1153">
        <f t="shared" si="401"/>
        <v>17</v>
      </c>
      <c r="U83" s="1154">
        <f t="shared" si="401"/>
        <v>17</v>
      </c>
      <c r="V83" s="1154">
        <f t="shared" si="401"/>
        <v>17</v>
      </c>
      <c r="W83" s="1154">
        <f t="shared" si="401"/>
        <v>17</v>
      </c>
      <c r="X83" s="1168">
        <f t="shared" si="401"/>
        <v>17</v>
      </c>
      <c r="Y83" s="1274">
        <f t="shared" si="307"/>
        <v>-0.19999999999999929</v>
      </c>
      <c r="Z83" s="897">
        <f t="shared" si="308"/>
        <v>-1.1627906976744146E-2</v>
      </c>
      <c r="AA83" s="1204">
        <f>SUM(AA84:AA87)</f>
        <v>0</v>
      </c>
      <c r="AB83" s="1153">
        <f t="shared" ref="AB83:AN83" si="402">SUM(AB84:AB87)</f>
        <v>0</v>
      </c>
      <c r="AC83" s="1154">
        <f t="shared" si="402"/>
        <v>0</v>
      </c>
      <c r="AD83" s="1154">
        <f t="shared" si="402"/>
        <v>0</v>
      </c>
      <c r="AE83" s="1154">
        <f t="shared" si="402"/>
        <v>0</v>
      </c>
      <c r="AF83" s="1168">
        <f t="shared" si="402"/>
        <v>0</v>
      </c>
      <c r="AG83" s="1269">
        <f t="shared" si="319"/>
        <v>0</v>
      </c>
      <c r="AH83" s="725">
        <f t="shared" si="320"/>
        <v>0</v>
      </c>
      <c r="AI83" s="1204">
        <f t="shared" si="402"/>
        <v>0</v>
      </c>
      <c r="AJ83" s="1153">
        <f t="shared" si="402"/>
        <v>0</v>
      </c>
      <c r="AK83" s="1154">
        <f t="shared" si="402"/>
        <v>0</v>
      </c>
      <c r="AL83" s="1154">
        <f t="shared" si="402"/>
        <v>0</v>
      </c>
      <c r="AM83" s="1154">
        <f t="shared" si="402"/>
        <v>0</v>
      </c>
      <c r="AN83" s="3256">
        <f t="shared" si="402"/>
        <v>0</v>
      </c>
      <c r="AO83" s="1269">
        <f t="shared" si="333"/>
        <v>0</v>
      </c>
      <c r="AP83" s="725">
        <f t="shared" si="334"/>
        <v>0</v>
      </c>
      <c r="AQ83" s="1204">
        <f t="shared" si="401"/>
        <v>0</v>
      </c>
      <c r="AR83" s="1153">
        <f t="shared" si="401"/>
        <v>0</v>
      </c>
      <c r="AS83" s="1154">
        <f t="shared" si="401"/>
        <v>0</v>
      </c>
      <c r="AT83" s="1154">
        <f t="shared" si="401"/>
        <v>0</v>
      </c>
      <c r="AU83" s="1154">
        <f t="shared" si="401"/>
        <v>0</v>
      </c>
      <c r="AV83" s="3256">
        <f t="shared" si="401"/>
        <v>0</v>
      </c>
      <c r="AW83" s="1204">
        <f t="shared" si="401"/>
        <v>52.5</v>
      </c>
      <c r="AX83" s="1153">
        <f t="shared" si="401"/>
        <v>52</v>
      </c>
      <c r="AY83" s="1154">
        <f t="shared" si="401"/>
        <v>52</v>
      </c>
      <c r="AZ83" s="1154">
        <f t="shared" si="401"/>
        <v>52</v>
      </c>
      <c r="BA83" s="1154">
        <f t="shared" si="401"/>
        <v>52</v>
      </c>
      <c r="BB83" s="3256">
        <f t="shared" si="401"/>
        <v>52</v>
      </c>
      <c r="BC83" s="1204">
        <f t="shared" ref="BC83:BH83" si="403">SUM(BC84:BC87)</f>
        <v>35.299999999999997</v>
      </c>
      <c r="BD83" s="1153">
        <f t="shared" si="403"/>
        <v>35</v>
      </c>
      <c r="BE83" s="1154">
        <f t="shared" si="403"/>
        <v>35</v>
      </c>
      <c r="BF83" s="1154">
        <f t="shared" si="403"/>
        <v>35</v>
      </c>
      <c r="BG83" s="1154">
        <f t="shared" si="403"/>
        <v>35</v>
      </c>
      <c r="BH83" s="3256">
        <f t="shared" si="403"/>
        <v>35</v>
      </c>
      <c r="BI83" s="4775"/>
      <c r="BJ83" s="4794">
        <f t="shared" si="336"/>
        <v>18.048603406226512</v>
      </c>
      <c r="BK83" s="4794">
        <f t="shared" si="337"/>
        <v>17.895215841867646</v>
      </c>
      <c r="BL83" s="4794">
        <f t="shared" si="338"/>
        <v>17.895215841867646</v>
      </c>
      <c r="BM83" s="4794">
        <f t="shared" si="339"/>
        <v>17.895215841867646</v>
      </c>
      <c r="BN83" s="4794">
        <f t="shared" si="340"/>
        <v>17.895215841867646</v>
      </c>
      <c r="BO83" s="4794">
        <f t="shared" si="341"/>
        <v>17.895215841867646</v>
      </c>
      <c r="BP83" s="4794">
        <f t="shared" si="342"/>
        <v>-0.15338756435886411</v>
      </c>
      <c r="BQ83" s="4794">
        <f t="shared" si="343"/>
        <v>0</v>
      </c>
      <c r="BR83" s="4794">
        <f t="shared" si="344"/>
        <v>0</v>
      </c>
      <c r="BS83" s="4794">
        <f t="shared" si="345"/>
        <v>0</v>
      </c>
      <c r="BT83" s="4794">
        <f t="shared" si="346"/>
        <v>0</v>
      </c>
      <c r="BU83" s="4794">
        <f t="shared" si="347"/>
        <v>0</v>
      </c>
      <c r="BV83" s="4794">
        <f t="shared" si="348"/>
        <v>0</v>
      </c>
      <c r="BW83" s="4794">
        <f t="shared" si="349"/>
        <v>0</v>
      </c>
      <c r="BX83" s="4794">
        <f t="shared" si="350"/>
        <v>8.7942203565749573</v>
      </c>
      <c r="BY83" s="4794">
        <f t="shared" si="351"/>
        <v>8.691961980335714</v>
      </c>
      <c r="BZ83" s="4794">
        <f t="shared" si="352"/>
        <v>8.691961980335714</v>
      </c>
      <c r="CA83" s="4794">
        <f t="shared" si="353"/>
        <v>8.691961980335714</v>
      </c>
      <c r="CB83" s="4794">
        <f t="shared" si="354"/>
        <v>8.691961980335714</v>
      </c>
      <c r="CC83" s="4794">
        <f t="shared" si="355"/>
        <v>8.691961980335714</v>
      </c>
      <c r="CD83" s="4794">
        <f t="shared" si="356"/>
        <v>-0.10225837623924333</v>
      </c>
      <c r="CE83" s="4794">
        <f t="shared" si="357"/>
        <v>0</v>
      </c>
      <c r="CF83" s="4794">
        <f t="shared" si="358"/>
        <v>0</v>
      </c>
      <c r="CG83" s="4794">
        <f t="shared" si="359"/>
        <v>0</v>
      </c>
      <c r="CH83" s="4794">
        <f t="shared" si="360"/>
        <v>0</v>
      </c>
      <c r="CI83" s="4794">
        <f t="shared" si="361"/>
        <v>0</v>
      </c>
      <c r="CJ83" s="4794">
        <f t="shared" si="362"/>
        <v>0</v>
      </c>
      <c r="CK83" s="4794">
        <f t="shared" si="363"/>
        <v>0</v>
      </c>
      <c r="CL83" s="4794">
        <f t="shared" si="364"/>
        <v>0</v>
      </c>
      <c r="CM83" s="4794">
        <f t="shared" si="365"/>
        <v>0</v>
      </c>
      <c r="CN83" s="4794">
        <f t="shared" si="366"/>
        <v>0</v>
      </c>
      <c r="CO83" s="4794">
        <f t="shared" si="367"/>
        <v>0</v>
      </c>
      <c r="CP83" s="4794">
        <f t="shared" si="368"/>
        <v>0</v>
      </c>
      <c r="CQ83" s="4794">
        <f t="shared" si="369"/>
        <v>0</v>
      </c>
      <c r="CR83" s="4794">
        <f t="shared" si="370"/>
        <v>0</v>
      </c>
      <c r="CS83" s="4794">
        <f t="shared" si="371"/>
        <v>0</v>
      </c>
      <c r="CT83" s="4794">
        <f t="shared" si="372"/>
        <v>0</v>
      </c>
      <c r="CU83" s="4794">
        <f t="shared" si="373"/>
        <v>0</v>
      </c>
      <c r="CV83" s="4794">
        <f t="shared" si="374"/>
        <v>0</v>
      </c>
      <c r="CW83" s="4794">
        <f t="shared" si="375"/>
        <v>0</v>
      </c>
      <c r="CX83" s="4794">
        <f t="shared" si="376"/>
        <v>0</v>
      </c>
      <c r="CY83" s="4794">
        <f t="shared" si="377"/>
        <v>26.842823762801473</v>
      </c>
      <c r="CZ83" s="4794">
        <f t="shared" si="378"/>
        <v>26.587177822203362</v>
      </c>
      <c r="DA83" s="4794">
        <f t="shared" si="379"/>
        <v>26.587177822203362</v>
      </c>
      <c r="DB83" s="4794">
        <f t="shared" si="380"/>
        <v>26.587177822203362</v>
      </c>
      <c r="DC83" s="4794">
        <f t="shared" si="381"/>
        <v>26.587177822203362</v>
      </c>
      <c r="DD83" s="4794">
        <f t="shared" si="382"/>
        <v>26.587177822203362</v>
      </c>
      <c r="DE83" s="4794">
        <f t="shared" si="383"/>
        <v>18.048603406226512</v>
      </c>
      <c r="DF83" s="4794">
        <f t="shared" si="384"/>
        <v>17.895215841867646</v>
      </c>
      <c r="DG83" s="4794">
        <f t="shared" si="385"/>
        <v>17.895215841867646</v>
      </c>
      <c r="DH83" s="4794">
        <f t="shared" si="386"/>
        <v>17.895215841867646</v>
      </c>
      <c r="DI83" s="4794">
        <f t="shared" si="387"/>
        <v>17.895215841867646</v>
      </c>
      <c r="DJ83" s="4794">
        <f t="shared" si="388"/>
        <v>17.895215841867646</v>
      </c>
    </row>
    <row r="84" spans="1:114" s="690" customFormat="1" ht="12.75">
      <c r="A84" s="855" t="s">
        <v>633</v>
      </c>
      <c r="B84" s="417"/>
      <c r="C84" s="3225">
        <v>35.299999999999997</v>
      </c>
      <c r="D84" s="3226">
        <v>35</v>
      </c>
      <c r="E84" s="3226">
        <v>35</v>
      </c>
      <c r="F84" s="3226">
        <v>35</v>
      </c>
      <c r="G84" s="3226">
        <v>35</v>
      </c>
      <c r="H84" s="3227">
        <v>35</v>
      </c>
      <c r="I84" s="1270">
        <f t="shared" si="317"/>
        <v>-0.29999999999999716</v>
      </c>
      <c r="J84" s="842">
        <f t="shared" si="318"/>
        <v>-8.4985835694050185E-3</v>
      </c>
      <c r="K84" s="3225"/>
      <c r="L84" s="3226"/>
      <c r="M84" s="3226"/>
      <c r="N84" s="3226"/>
      <c r="O84" s="3226"/>
      <c r="P84" s="3227"/>
      <c r="Q84" s="1270">
        <f t="shared" si="305"/>
        <v>0</v>
      </c>
      <c r="R84" s="1140">
        <f t="shared" si="306"/>
        <v>0</v>
      </c>
      <c r="S84" s="3225">
        <v>17.2</v>
      </c>
      <c r="T84" s="3226">
        <v>17</v>
      </c>
      <c r="U84" s="3226">
        <v>17</v>
      </c>
      <c r="V84" s="3226">
        <v>17</v>
      </c>
      <c r="W84" s="3226">
        <v>17</v>
      </c>
      <c r="X84" s="3227">
        <v>17</v>
      </c>
      <c r="Y84" s="1270">
        <f t="shared" si="307"/>
        <v>-0.19999999999999929</v>
      </c>
      <c r="Z84" s="1140">
        <f t="shared" si="308"/>
        <v>-1.1627906976744146E-2</v>
      </c>
      <c r="AA84" s="3225"/>
      <c r="AB84" s="3226"/>
      <c r="AC84" s="3226"/>
      <c r="AD84" s="3226"/>
      <c r="AE84" s="3226"/>
      <c r="AF84" s="3227"/>
      <c r="AG84" s="1270">
        <f t="shared" si="319"/>
        <v>0</v>
      </c>
      <c r="AH84" s="842">
        <f t="shared" si="320"/>
        <v>0</v>
      </c>
      <c r="AI84" s="3225"/>
      <c r="AJ84" s="3226"/>
      <c r="AK84" s="3226"/>
      <c r="AL84" s="3226"/>
      <c r="AM84" s="3226"/>
      <c r="AN84" s="3255"/>
      <c r="AO84" s="1270">
        <f t="shared" si="333"/>
        <v>0</v>
      </c>
      <c r="AP84" s="842">
        <f t="shared" si="334"/>
        <v>0</v>
      </c>
      <c r="AQ84" s="3225"/>
      <c r="AR84" s="3226"/>
      <c r="AS84" s="3226"/>
      <c r="AT84" s="3226"/>
      <c r="AU84" s="3226"/>
      <c r="AV84" s="3255"/>
      <c r="AW84" s="1131">
        <f t="shared" ref="AW84:AW87" si="404">C84+K84+S84+AA84+AI84</f>
        <v>52.5</v>
      </c>
      <c r="AX84" s="3245">
        <f t="shared" ref="AX84:AX87" si="405">D84+L84+T84+AB84+AJ84</f>
        <v>52</v>
      </c>
      <c r="AY84" s="3245">
        <f t="shared" ref="AY84:AY87" si="406">E84+M84+U84+AC84+AK84</f>
        <v>52</v>
      </c>
      <c r="AZ84" s="3245">
        <f t="shared" ref="AZ84:AZ87" si="407">F84+N84+V84+AD84+AL84</f>
        <v>52</v>
      </c>
      <c r="BA84" s="3245">
        <f t="shared" ref="BA84:BA87" si="408">G84+O84+W84+AE84+AM84</f>
        <v>52</v>
      </c>
      <c r="BB84" s="3246">
        <f t="shared" ref="BB84:BB87" si="409">H84+P84+X84+AF84+AN84</f>
        <v>52</v>
      </c>
      <c r="BC84" s="3266">
        <f t="shared" ref="BC84:BC87" si="410">C84+AA84+AI84</f>
        <v>35.299999999999997</v>
      </c>
      <c r="BD84" s="3267">
        <f t="shared" ref="BD84:BD87" si="411">D84+AB84+AJ84</f>
        <v>35</v>
      </c>
      <c r="BE84" s="3268">
        <f t="shared" ref="BE84:BE87" si="412">E84+AC84+AK84</f>
        <v>35</v>
      </c>
      <c r="BF84" s="3268">
        <f t="shared" ref="BF84:BF87" si="413">F84+AD84+AL84</f>
        <v>35</v>
      </c>
      <c r="BG84" s="3268">
        <f t="shared" ref="BG84:BG87" si="414">G84+AE84+AM84</f>
        <v>35</v>
      </c>
      <c r="BH84" s="3270">
        <f t="shared" ref="BH84:BH87" si="415">H84+AF84+AN84</f>
        <v>35</v>
      </c>
      <c r="BI84" s="4775"/>
      <c r="BJ84" s="4794">
        <f t="shared" si="336"/>
        <v>18.048603406226512</v>
      </c>
      <c r="BK84" s="4794">
        <f t="shared" si="337"/>
        <v>17.895215841867646</v>
      </c>
      <c r="BL84" s="4794">
        <f t="shared" si="338"/>
        <v>17.895215841867646</v>
      </c>
      <c r="BM84" s="4794">
        <f t="shared" si="339"/>
        <v>17.895215841867646</v>
      </c>
      <c r="BN84" s="4794">
        <f t="shared" si="340"/>
        <v>17.895215841867646</v>
      </c>
      <c r="BO84" s="4794">
        <f t="shared" si="341"/>
        <v>17.895215841867646</v>
      </c>
      <c r="BP84" s="4794">
        <f t="shared" si="342"/>
        <v>-0.15338756435886411</v>
      </c>
      <c r="BQ84" s="4794">
        <f t="shared" si="343"/>
        <v>0</v>
      </c>
      <c r="BR84" s="4794">
        <f t="shared" si="344"/>
        <v>0</v>
      </c>
      <c r="BS84" s="4794">
        <f t="shared" si="345"/>
        <v>0</v>
      </c>
      <c r="BT84" s="4794">
        <f t="shared" si="346"/>
        <v>0</v>
      </c>
      <c r="BU84" s="4794">
        <f t="shared" si="347"/>
        <v>0</v>
      </c>
      <c r="BV84" s="4794">
        <f t="shared" si="348"/>
        <v>0</v>
      </c>
      <c r="BW84" s="4794">
        <f t="shared" si="349"/>
        <v>0</v>
      </c>
      <c r="BX84" s="4794">
        <f t="shared" si="350"/>
        <v>8.7942203565749573</v>
      </c>
      <c r="BY84" s="4794">
        <f t="shared" si="351"/>
        <v>8.691961980335714</v>
      </c>
      <c r="BZ84" s="4794">
        <f t="shared" si="352"/>
        <v>8.691961980335714</v>
      </c>
      <c r="CA84" s="4794">
        <f t="shared" si="353"/>
        <v>8.691961980335714</v>
      </c>
      <c r="CB84" s="4794">
        <f t="shared" si="354"/>
        <v>8.691961980335714</v>
      </c>
      <c r="CC84" s="4794">
        <f t="shared" si="355"/>
        <v>8.691961980335714</v>
      </c>
      <c r="CD84" s="4794">
        <f t="shared" si="356"/>
        <v>-0.10225837623924333</v>
      </c>
      <c r="CE84" s="4794">
        <f t="shared" si="357"/>
        <v>0</v>
      </c>
      <c r="CF84" s="4794">
        <f t="shared" si="358"/>
        <v>0</v>
      </c>
      <c r="CG84" s="4794">
        <f t="shared" si="359"/>
        <v>0</v>
      </c>
      <c r="CH84" s="4794">
        <f t="shared" si="360"/>
        <v>0</v>
      </c>
      <c r="CI84" s="4794">
        <f t="shared" si="361"/>
        <v>0</v>
      </c>
      <c r="CJ84" s="4794">
        <f t="shared" si="362"/>
        <v>0</v>
      </c>
      <c r="CK84" s="4794">
        <f t="shared" si="363"/>
        <v>0</v>
      </c>
      <c r="CL84" s="4794">
        <f t="shared" si="364"/>
        <v>0</v>
      </c>
      <c r="CM84" s="4794">
        <f t="shared" si="365"/>
        <v>0</v>
      </c>
      <c r="CN84" s="4794">
        <f t="shared" si="366"/>
        <v>0</v>
      </c>
      <c r="CO84" s="4794">
        <f t="shared" si="367"/>
        <v>0</v>
      </c>
      <c r="CP84" s="4794">
        <f t="shared" si="368"/>
        <v>0</v>
      </c>
      <c r="CQ84" s="4794">
        <f t="shared" si="369"/>
        <v>0</v>
      </c>
      <c r="CR84" s="4794">
        <f t="shared" si="370"/>
        <v>0</v>
      </c>
      <c r="CS84" s="4794">
        <f t="shared" si="371"/>
        <v>0</v>
      </c>
      <c r="CT84" s="4794">
        <f t="shared" si="372"/>
        <v>0</v>
      </c>
      <c r="CU84" s="4794">
        <f t="shared" si="373"/>
        <v>0</v>
      </c>
      <c r="CV84" s="4794">
        <f t="shared" si="374"/>
        <v>0</v>
      </c>
      <c r="CW84" s="4794">
        <f t="shared" si="375"/>
        <v>0</v>
      </c>
      <c r="CX84" s="4794">
        <f t="shared" si="376"/>
        <v>0</v>
      </c>
      <c r="CY84" s="4794">
        <f t="shared" si="377"/>
        <v>26.842823762801473</v>
      </c>
      <c r="CZ84" s="4794">
        <f t="shared" si="378"/>
        <v>26.587177822203362</v>
      </c>
      <c r="DA84" s="4794">
        <f t="shared" si="379"/>
        <v>26.587177822203362</v>
      </c>
      <c r="DB84" s="4794">
        <f t="shared" si="380"/>
        <v>26.587177822203362</v>
      </c>
      <c r="DC84" s="4794">
        <f t="shared" si="381"/>
        <v>26.587177822203362</v>
      </c>
      <c r="DD84" s="4794">
        <f t="shared" si="382"/>
        <v>26.587177822203362</v>
      </c>
      <c r="DE84" s="4794">
        <f t="shared" si="383"/>
        <v>18.048603406226512</v>
      </c>
      <c r="DF84" s="4794">
        <f t="shared" si="384"/>
        <v>17.895215841867646</v>
      </c>
      <c r="DG84" s="4794">
        <f t="shared" si="385"/>
        <v>17.895215841867646</v>
      </c>
      <c r="DH84" s="4794">
        <f t="shared" si="386"/>
        <v>17.895215841867646</v>
      </c>
      <c r="DI84" s="4794">
        <f t="shared" si="387"/>
        <v>17.895215841867646</v>
      </c>
      <c r="DJ84" s="4794">
        <f t="shared" si="388"/>
        <v>17.895215841867646</v>
      </c>
    </row>
    <row r="85" spans="1:114" s="690" customFormat="1" ht="12.75">
      <c r="A85" s="855" t="s">
        <v>634</v>
      </c>
      <c r="B85" s="417"/>
      <c r="C85" s="3225"/>
      <c r="D85" s="3226"/>
      <c r="E85" s="3226"/>
      <c r="F85" s="3226"/>
      <c r="G85" s="3226"/>
      <c r="H85" s="3227"/>
      <c r="I85" s="1270">
        <f t="shared" si="317"/>
        <v>0</v>
      </c>
      <c r="J85" s="842">
        <f t="shared" si="318"/>
        <v>0</v>
      </c>
      <c r="K85" s="3225"/>
      <c r="L85" s="3226"/>
      <c r="M85" s="3226"/>
      <c r="N85" s="3226"/>
      <c r="O85" s="3226"/>
      <c r="P85" s="3227"/>
      <c r="Q85" s="1270">
        <f t="shared" si="305"/>
        <v>0</v>
      </c>
      <c r="R85" s="1140">
        <f t="shared" si="306"/>
        <v>0</v>
      </c>
      <c r="S85" s="3225"/>
      <c r="T85" s="3226"/>
      <c r="U85" s="3226"/>
      <c r="V85" s="3226"/>
      <c r="W85" s="3226"/>
      <c r="X85" s="3227"/>
      <c r="Y85" s="1270">
        <f t="shared" si="307"/>
        <v>0</v>
      </c>
      <c r="Z85" s="1140">
        <f t="shared" si="308"/>
        <v>0</v>
      </c>
      <c r="AA85" s="3225"/>
      <c r="AB85" s="3226"/>
      <c r="AC85" s="3226"/>
      <c r="AD85" s="3226"/>
      <c r="AE85" s="3226"/>
      <c r="AF85" s="3227"/>
      <c r="AG85" s="1270">
        <f t="shared" si="319"/>
        <v>0</v>
      </c>
      <c r="AH85" s="842">
        <f t="shared" si="320"/>
        <v>0</v>
      </c>
      <c r="AI85" s="3225"/>
      <c r="AJ85" s="3226"/>
      <c r="AK85" s="3226"/>
      <c r="AL85" s="3226"/>
      <c r="AM85" s="3226"/>
      <c r="AN85" s="3255"/>
      <c r="AO85" s="1270">
        <f t="shared" si="333"/>
        <v>0</v>
      </c>
      <c r="AP85" s="842">
        <f t="shared" si="334"/>
        <v>0</v>
      </c>
      <c r="AQ85" s="3225"/>
      <c r="AR85" s="3226"/>
      <c r="AS85" s="3226"/>
      <c r="AT85" s="3226"/>
      <c r="AU85" s="3226"/>
      <c r="AV85" s="3255"/>
      <c r="AW85" s="1131">
        <f t="shared" si="404"/>
        <v>0</v>
      </c>
      <c r="AX85" s="3245">
        <f t="shared" si="405"/>
        <v>0</v>
      </c>
      <c r="AY85" s="3245">
        <f t="shared" si="406"/>
        <v>0</v>
      </c>
      <c r="AZ85" s="3245">
        <f t="shared" si="407"/>
        <v>0</v>
      </c>
      <c r="BA85" s="3245">
        <f t="shared" si="408"/>
        <v>0</v>
      </c>
      <c r="BB85" s="3246">
        <f t="shared" si="409"/>
        <v>0</v>
      </c>
      <c r="BC85" s="3266">
        <f t="shared" si="410"/>
        <v>0</v>
      </c>
      <c r="BD85" s="3267">
        <f t="shared" si="411"/>
        <v>0</v>
      </c>
      <c r="BE85" s="3268">
        <f t="shared" si="412"/>
        <v>0</v>
      </c>
      <c r="BF85" s="3268">
        <f t="shared" si="413"/>
        <v>0</v>
      </c>
      <c r="BG85" s="3268">
        <f t="shared" si="414"/>
        <v>0</v>
      </c>
      <c r="BH85" s="3270">
        <f t="shared" si="415"/>
        <v>0</v>
      </c>
      <c r="BI85" s="4775"/>
      <c r="BJ85" s="4794">
        <f t="shared" si="336"/>
        <v>0</v>
      </c>
      <c r="BK85" s="4794">
        <f t="shared" si="337"/>
        <v>0</v>
      </c>
      <c r="BL85" s="4794">
        <f t="shared" si="338"/>
        <v>0</v>
      </c>
      <c r="BM85" s="4794">
        <f t="shared" si="339"/>
        <v>0</v>
      </c>
      <c r="BN85" s="4794">
        <f t="shared" si="340"/>
        <v>0</v>
      </c>
      <c r="BO85" s="4794">
        <f t="shared" si="341"/>
        <v>0</v>
      </c>
      <c r="BP85" s="4794">
        <f t="shared" si="342"/>
        <v>0</v>
      </c>
      <c r="BQ85" s="4794">
        <f t="shared" si="343"/>
        <v>0</v>
      </c>
      <c r="BR85" s="4794">
        <f t="shared" si="344"/>
        <v>0</v>
      </c>
      <c r="BS85" s="4794">
        <f t="shared" si="345"/>
        <v>0</v>
      </c>
      <c r="BT85" s="4794">
        <f t="shared" si="346"/>
        <v>0</v>
      </c>
      <c r="BU85" s="4794">
        <f t="shared" si="347"/>
        <v>0</v>
      </c>
      <c r="BV85" s="4794">
        <f t="shared" si="348"/>
        <v>0</v>
      </c>
      <c r="BW85" s="4794">
        <f t="shared" si="349"/>
        <v>0</v>
      </c>
      <c r="BX85" s="4794">
        <f t="shared" si="350"/>
        <v>0</v>
      </c>
      <c r="BY85" s="4794">
        <f t="shared" si="351"/>
        <v>0</v>
      </c>
      <c r="BZ85" s="4794">
        <f t="shared" si="352"/>
        <v>0</v>
      </c>
      <c r="CA85" s="4794">
        <f t="shared" si="353"/>
        <v>0</v>
      </c>
      <c r="CB85" s="4794">
        <f t="shared" si="354"/>
        <v>0</v>
      </c>
      <c r="CC85" s="4794">
        <f t="shared" si="355"/>
        <v>0</v>
      </c>
      <c r="CD85" s="4794">
        <f t="shared" si="356"/>
        <v>0</v>
      </c>
      <c r="CE85" s="4794">
        <f t="shared" si="357"/>
        <v>0</v>
      </c>
      <c r="CF85" s="4794">
        <f t="shared" si="358"/>
        <v>0</v>
      </c>
      <c r="CG85" s="4794">
        <f t="shared" si="359"/>
        <v>0</v>
      </c>
      <c r="CH85" s="4794">
        <f t="shared" si="360"/>
        <v>0</v>
      </c>
      <c r="CI85" s="4794">
        <f t="shared" si="361"/>
        <v>0</v>
      </c>
      <c r="CJ85" s="4794">
        <f t="shared" si="362"/>
        <v>0</v>
      </c>
      <c r="CK85" s="4794">
        <f t="shared" si="363"/>
        <v>0</v>
      </c>
      <c r="CL85" s="4794">
        <f t="shared" si="364"/>
        <v>0</v>
      </c>
      <c r="CM85" s="4794">
        <f t="shared" si="365"/>
        <v>0</v>
      </c>
      <c r="CN85" s="4794">
        <f t="shared" si="366"/>
        <v>0</v>
      </c>
      <c r="CO85" s="4794">
        <f t="shared" si="367"/>
        <v>0</v>
      </c>
      <c r="CP85" s="4794">
        <f t="shared" si="368"/>
        <v>0</v>
      </c>
      <c r="CQ85" s="4794">
        <f t="shared" si="369"/>
        <v>0</v>
      </c>
      <c r="CR85" s="4794">
        <f t="shared" si="370"/>
        <v>0</v>
      </c>
      <c r="CS85" s="4794">
        <f t="shared" si="371"/>
        <v>0</v>
      </c>
      <c r="CT85" s="4794">
        <f t="shared" si="372"/>
        <v>0</v>
      </c>
      <c r="CU85" s="4794">
        <f t="shared" si="373"/>
        <v>0</v>
      </c>
      <c r="CV85" s="4794">
        <f t="shared" si="374"/>
        <v>0</v>
      </c>
      <c r="CW85" s="4794">
        <f t="shared" si="375"/>
        <v>0</v>
      </c>
      <c r="CX85" s="4794">
        <f t="shared" si="376"/>
        <v>0</v>
      </c>
      <c r="CY85" s="4794">
        <f t="shared" si="377"/>
        <v>0</v>
      </c>
      <c r="CZ85" s="4794">
        <f t="shared" si="378"/>
        <v>0</v>
      </c>
      <c r="DA85" s="4794">
        <f t="shared" si="379"/>
        <v>0</v>
      </c>
      <c r="DB85" s="4794">
        <f t="shared" si="380"/>
        <v>0</v>
      </c>
      <c r="DC85" s="4794">
        <f t="shared" si="381"/>
        <v>0</v>
      </c>
      <c r="DD85" s="4794">
        <f t="shared" si="382"/>
        <v>0</v>
      </c>
      <c r="DE85" s="4794">
        <f t="shared" si="383"/>
        <v>0</v>
      </c>
      <c r="DF85" s="4794">
        <f t="shared" si="384"/>
        <v>0</v>
      </c>
      <c r="DG85" s="4794">
        <f t="shared" si="385"/>
        <v>0</v>
      </c>
      <c r="DH85" s="4794">
        <f t="shared" si="386"/>
        <v>0</v>
      </c>
      <c r="DI85" s="4794">
        <f t="shared" si="387"/>
        <v>0</v>
      </c>
      <c r="DJ85" s="4794">
        <f t="shared" si="388"/>
        <v>0</v>
      </c>
    </row>
    <row r="86" spans="1:114" s="690" customFormat="1" ht="12.75">
      <c r="A86" s="855" t="s">
        <v>635</v>
      </c>
      <c r="B86" s="417"/>
      <c r="C86" s="3247"/>
      <c r="D86" s="3226"/>
      <c r="E86" s="3226"/>
      <c r="F86" s="3226"/>
      <c r="G86" s="3226"/>
      <c r="H86" s="3227"/>
      <c r="I86" s="1270">
        <f t="shared" si="317"/>
        <v>0</v>
      </c>
      <c r="J86" s="842">
        <f t="shared" si="318"/>
        <v>0</v>
      </c>
      <c r="K86" s="3225"/>
      <c r="L86" s="3226"/>
      <c r="M86" s="3226"/>
      <c r="N86" s="3226"/>
      <c r="O86" s="3226"/>
      <c r="P86" s="3227"/>
      <c r="Q86" s="1270">
        <f t="shared" si="305"/>
        <v>0</v>
      </c>
      <c r="R86" s="1140">
        <f t="shared" si="306"/>
        <v>0</v>
      </c>
      <c r="S86" s="3225"/>
      <c r="T86" s="3226"/>
      <c r="U86" s="3226"/>
      <c r="V86" s="3226"/>
      <c r="W86" s="3226"/>
      <c r="X86" s="3227"/>
      <c r="Y86" s="1270">
        <f t="shared" si="307"/>
        <v>0</v>
      </c>
      <c r="Z86" s="1140">
        <f t="shared" si="308"/>
        <v>0</v>
      </c>
      <c r="AA86" s="3225"/>
      <c r="AB86" s="3226"/>
      <c r="AC86" s="3226"/>
      <c r="AD86" s="3226"/>
      <c r="AE86" s="3226"/>
      <c r="AF86" s="3227"/>
      <c r="AG86" s="1270">
        <f t="shared" si="319"/>
        <v>0</v>
      </c>
      <c r="AH86" s="842">
        <f t="shared" si="320"/>
        <v>0</v>
      </c>
      <c r="AI86" s="3225"/>
      <c r="AJ86" s="3226"/>
      <c r="AK86" s="3226"/>
      <c r="AL86" s="3226"/>
      <c r="AM86" s="3226"/>
      <c r="AN86" s="3255"/>
      <c r="AO86" s="1270">
        <f t="shared" si="333"/>
        <v>0</v>
      </c>
      <c r="AP86" s="842">
        <f t="shared" si="334"/>
        <v>0</v>
      </c>
      <c r="AQ86" s="3247"/>
      <c r="AR86" s="3226"/>
      <c r="AS86" s="3226"/>
      <c r="AT86" s="3226"/>
      <c r="AU86" s="3226"/>
      <c r="AV86" s="3255"/>
      <c r="AW86" s="1131">
        <f t="shared" si="404"/>
        <v>0</v>
      </c>
      <c r="AX86" s="3245">
        <f t="shared" si="405"/>
        <v>0</v>
      </c>
      <c r="AY86" s="3245">
        <f t="shared" si="406"/>
        <v>0</v>
      </c>
      <c r="AZ86" s="3245">
        <f t="shared" si="407"/>
        <v>0</v>
      </c>
      <c r="BA86" s="3245">
        <f t="shared" si="408"/>
        <v>0</v>
      </c>
      <c r="BB86" s="3246">
        <f t="shared" si="409"/>
        <v>0</v>
      </c>
      <c r="BC86" s="3266">
        <f>C86+AA86+AI86</f>
        <v>0</v>
      </c>
      <c r="BD86" s="3267">
        <f t="shared" si="411"/>
        <v>0</v>
      </c>
      <c r="BE86" s="3268">
        <f t="shared" si="412"/>
        <v>0</v>
      </c>
      <c r="BF86" s="3268">
        <f t="shared" si="413"/>
        <v>0</v>
      </c>
      <c r="BG86" s="3268">
        <f t="shared" si="414"/>
        <v>0</v>
      </c>
      <c r="BH86" s="3270">
        <f t="shared" si="415"/>
        <v>0</v>
      </c>
      <c r="BI86" s="4775"/>
      <c r="BJ86" s="4794">
        <f t="shared" si="336"/>
        <v>0</v>
      </c>
      <c r="BK86" s="4794">
        <f t="shared" si="337"/>
        <v>0</v>
      </c>
      <c r="BL86" s="4794">
        <f t="shared" si="338"/>
        <v>0</v>
      </c>
      <c r="BM86" s="4794">
        <f t="shared" si="339"/>
        <v>0</v>
      </c>
      <c r="BN86" s="4794">
        <f t="shared" si="340"/>
        <v>0</v>
      </c>
      <c r="BO86" s="4794">
        <f t="shared" si="341"/>
        <v>0</v>
      </c>
      <c r="BP86" s="4794">
        <f t="shared" si="342"/>
        <v>0</v>
      </c>
      <c r="BQ86" s="4794">
        <f t="shared" si="343"/>
        <v>0</v>
      </c>
      <c r="BR86" s="4794">
        <f t="shared" si="344"/>
        <v>0</v>
      </c>
      <c r="BS86" s="4794">
        <f t="shared" si="345"/>
        <v>0</v>
      </c>
      <c r="BT86" s="4794">
        <f t="shared" si="346"/>
        <v>0</v>
      </c>
      <c r="BU86" s="4794">
        <f t="shared" si="347"/>
        <v>0</v>
      </c>
      <c r="BV86" s="4794">
        <f t="shared" si="348"/>
        <v>0</v>
      </c>
      <c r="BW86" s="4794">
        <f t="shared" si="349"/>
        <v>0</v>
      </c>
      <c r="BX86" s="4794">
        <f t="shared" si="350"/>
        <v>0</v>
      </c>
      <c r="BY86" s="4794">
        <f t="shared" si="351"/>
        <v>0</v>
      </c>
      <c r="BZ86" s="4794">
        <f t="shared" si="352"/>
        <v>0</v>
      </c>
      <c r="CA86" s="4794">
        <f t="shared" si="353"/>
        <v>0</v>
      </c>
      <c r="CB86" s="4794">
        <f t="shared" si="354"/>
        <v>0</v>
      </c>
      <c r="CC86" s="4794">
        <f t="shared" si="355"/>
        <v>0</v>
      </c>
      <c r="CD86" s="4794">
        <f t="shared" si="356"/>
        <v>0</v>
      </c>
      <c r="CE86" s="4794">
        <f t="shared" si="357"/>
        <v>0</v>
      </c>
      <c r="CF86" s="4794">
        <f t="shared" si="358"/>
        <v>0</v>
      </c>
      <c r="CG86" s="4794">
        <f t="shared" si="359"/>
        <v>0</v>
      </c>
      <c r="CH86" s="4794">
        <f t="shared" si="360"/>
        <v>0</v>
      </c>
      <c r="CI86" s="4794">
        <f t="shared" si="361"/>
        <v>0</v>
      </c>
      <c r="CJ86" s="4794">
        <f t="shared" si="362"/>
        <v>0</v>
      </c>
      <c r="CK86" s="4794">
        <f t="shared" si="363"/>
        <v>0</v>
      </c>
      <c r="CL86" s="4794">
        <f t="shared" si="364"/>
        <v>0</v>
      </c>
      <c r="CM86" s="4794">
        <f t="shared" si="365"/>
        <v>0</v>
      </c>
      <c r="CN86" s="4794">
        <f t="shared" si="366"/>
        <v>0</v>
      </c>
      <c r="CO86" s="4794">
        <f t="shared" si="367"/>
        <v>0</v>
      </c>
      <c r="CP86" s="4794">
        <f t="shared" si="368"/>
        <v>0</v>
      </c>
      <c r="CQ86" s="4794">
        <f t="shared" si="369"/>
        <v>0</v>
      </c>
      <c r="CR86" s="4794">
        <f t="shared" si="370"/>
        <v>0</v>
      </c>
      <c r="CS86" s="4794">
        <f t="shared" si="371"/>
        <v>0</v>
      </c>
      <c r="CT86" s="4794">
        <f t="shared" si="372"/>
        <v>0</v>
      </c>
      <c r="CU86" s="4794">
        <f t="shared" si="373"/>
        <v>0</v>
      </c>
      <c r="CV86" s="4794">
        <f t="shared" si="374"/>
        <v>0</v>
      </c>
      <c r="CW86" s="4794">
        <f t="shared" si="375"/>
        <v>0</v>
      </c>
      <c r="CX86" s="4794">
        <f t="shared" si="376"/>
        <v>0</v>
      </c>
      <c r="CY86" s="4794">
        <f t="shared" si="377"/>
        <v>0</v>
      </c>
      <c r="CZ86" s="4794">
        <f t="shared" si="378"/>
        <v>0</v>
      </c>
      <c r="DA86" s="4794">
        <f t="shared" si="379"/>
        <v>0</v>
      </c>
      <c r="DB86" s="4794">
        <f t="shared" si="380"/>
        <v>0</v>
      </c>
      <c r="DC86" s="4794">
        <f t="shared" si="381"/>
        <v>0</v>
      </c>
      <c r="DD86" s="4794">
        <f t="shared" si="382"/>
        <v>0</v>
      </c>
      <c r="DE86" s="4794">
        <f t="shared" si="383"/>
        <v>0</v>
      </c>
      <c r="DF86" s="4794">
        <f t="shared" si="384"/>
        <v>0</v>
      </c>
      <c r="DG86" s="4794">
        <f t="shared" si="385"/>
        <v>0</v>
      </c>
      <c r="DH86" s="4794">
        <f t="shared" si="386"/>
        <v>0</v>
      </c>
      <c r="DI86" s="4794">
        <f t="shared" si="387"/>
        <v>0</v>
      </c>
      <c r="DJ86" s="4794">
        <f t="shared" si="388"/>
        <v>0</v>
      </c>
    </row>
    <row r="87" spans="1:114" s="690" customFormat="1" ht="13.5" thickBot="1">
      <c r="A87" s="857" t="s">
        <v>636</v>
      </c>
      <c r="B87" s="417"/>
      <c r="C87" s="3225"/>
      <c r="D87" s="3226"/>
      <c r="E87" s="3226"/>
      <c r="F87" s="3226"/>
      <c r="G87" s="3226"/>
      <c r="H87" s="3227"/>
      <c r="I87" s="1270">
        <f t="shared" si="317"/>
        <v>0</v>
      </c>
      <c r="J87" s="842">
        <f t="shared" si="318"/>
        <v>0</v>
      </c>
      <c r="K87" s="3225"/>
      <c r="L87" s="3226"/>
      <c r="M87" s="3226"/>
      <c r="N87" s="3226"/>
      <c r="O87" s="3226"/>
      <c r="P87" s="3227"/>
      <c r="Q87" s="1270">
        <f t="shared" si="305"/>
        <v>0</v>
      </c>
      <c r="R87" s="1140">
        <f t="shared" si="306"/>
        <v>0</v>
      </c>
      <c r="S87" s="3225"/>
      <c r="T87" s="3226"/>
      <c r="U87" s="3226"/>
      <c r="V87" s="3226"/>
      <c r="W87" s="3226"/>
      <c r="X87" s="3227"/>
      <c r="Y87" s="1270">
        <f t="shared" si="307"/>
        <v>0</v>
      </c>
      <c r="Z87" s="1140">
        <f t="shared" si="308"/>
        <v>0</v>
      </c>
      <c r="AA87" s="3225"/>
      <c r="AB87" s="3226"/>
      <c r="AC87" s="3226"/>
      <c r="AD87" s="3226"/>
      <c r="AE87" s="3226"/>
      <c r="AF87" s="3227"/>
      <c r="AG87" s="1270">
        <f t="shared" si="319"/>
        <v>0</v>
      </c>
      <c r="AH87" s="842">
        <f t="shared" si="320"/>
        <v>0</v>
      </c>
      <c r="AI87" s="3225"/>
      <c r="AJ87" s="3226"/>
      <c r="AK87" s="3226"/>
      <c r="AL87" s="3226"/>
      <c r="AM87" s="3226"/>
      <c r="AN87" s="3255"/>
      <c r="AO87" s="1270">
        <f t="shared" si="333"/>
        <v>0</v>
      </c>
      <c r="AP87" s="842">
        <f t="shared" si="334"/>
        <v>0</v>
      </c>
      <c r="AQ87" s="3225"/>
      <c r="AR87" s="3226"/>
      <c r="AS87" s="3226"/>
      <c r="AT87" s="3226"/>
      <c r="AU87" s="3226"/>
      <c r="AV87" s="3255"/>
      <c r="AW87" s="1131">
        <f t="shared" si="404"/>
        <v>0</v>
      </c>
      <c r="AX87" s="3245">
        <f t="shared" si="405"/>
        <v>0</v>
      </c>
      <c r="AY87" s="3245">
        <f t="shared" si="406"/>
        <v>0</v>
      </c>
      <c r="AZ87" s="3245">
        <f t="shared" si="407"/>
        <v>0</v>
      </c>
      <c r="BA87" s="3245">
        <f t="shared" si="408"/>
        <v>0</v>
      </c>
      <c r="BB87" s="3246">
        <f t="shared" si="409"/>
        <v>0</v>
      </c>
      <c r="BC87" s="3266">
        <f t="shared" si="410"/>
        <v>0</v>
      </c>
      <c r="BD87" s="3267">
        <f t="shared" si="411"/>
        <v>0</v>
      </c>
      <c r="BE87" s="3268">
        <f t="shared" si="412"/>
        <v>0</v>
      </c>
      <c r="BF87" s="3268">
        <f t="shared" si="413"/>
        <v>0</v>
      </c>
      <c r="BG87" s="3268">
        <f t="shared" si="414"/>
        <v>0</v>
      </c>
      <c r="BH87" s="3270">
        <f t="shared" si="415"/>
        <v>0</v>
      </c>
      <c r="BI87" s="4775"/>
      <c r="BJ87" s="4794">
        <f t="shared" si="336"/>
        <v>0</v>
      </c>
      <c r="BK87" s="4794">
        <f t="shared" si="337"/>
        <v>0</v>
      </c>
      <c r="BL87" s="4794">
        <f t="shared" si="338"/>
        <v>0</v>
      </c>
      <c r="BM87" s="4794">
        <f t="shared" si="339"/>
        <v>0</v>
      </c>
      <c r="BN87" s="4794">
        <f t="shared" si="340"/>
        <v>0</v>
      </c>
      <c r="BO87" s="4794">
        <f t="shared" si="341"/>
        <v>0</v>
      </c>
      <c r="BP87" s="4794">
        <f t="shared" si="342"/>
        <v>0</v>
      </c>
      <c r="BQ87" s="4794">
        <f t="shared" si="343"/>
        <v>0</v>
      </c>
      <c r="BR87" s="4794">
        <f t="shared" si="344"/>
        <v>0</v>
      </c>
      <c r="BS87" s="4794">
        <f t="shared" si="345"/>
        <v>0</v>
      </c>
      <c r="BT87" s="4794">
        <f t="shared" si="346"/>
        <v>0</v>
      </c>
      <c r="BU87" s="4794">
        <f t="shared" si="347"/>
        <v>0</v>
      </c>
      <c r="BV87" s="4794">
        <f t="shared" si="348"/>
        <v>0</v>
      </c>
      <c r="BW87" s="4794">
        <f t="shared" si="349"/>
        <v>0</v>
      </c>
      <c r="BX87" s="4794">
        <f t="shared" si="350"/>
        <v>0</v>
      </c>
      <c r="BY87" s="4794">
        <f t="shared" si="351"/>
        <v>0</v>
      </c>
      <c r="BZ87" s="4794">
        <f t="shared" si="352"/>
        <v>0</v>
      </c>
      <c r="CA87" s="4794">
        <f t="shared" si="353"/>
        <v>0</v>
      </c>
      <c r="CB87" s="4794">
        <f t="shared" si="354"/>
        <v>0</v>
      </c>
      <c r="CC87" s="4794">
        <f t="shared" si="355"/>
        <v>0</v>
      </c>
      <c r="CD87" s="4794">
        <f t="shared" si="356"/>
        <v>0</v>
      </c>
      <c r="CE87" s="4794">
        <f t="shared" si="357"/>
        <v>0</v>
      </c>
      <c r="CF87" s="4794">
        <f t="shared" si="358"/>
        <v>0</v>
      </c>
      <c r="CG87" s="4794">
        <f t="shared" si="359"/>
        <v>0</v>
      </c>
      <c r="CH87" s="4794">
        <f t="shared" si="360"/>
        <v>0</v>
      </c>
      <c r="CI87" s="4794">
        <f t="shared" si="361"/>
        <v>0</v>
      </c>
      <c r="CJ87" s="4794">
        <f t="shared" si="362"/>
        <v>0</v>
      </c>
      <c r="CK87" s="4794">
        <f t="shared" si="363"/>
        <v>0</v>
      </c>
      <c r="CL87" s="4794">
        <f t="shared" si="364"/>
        <v>0</v>
      </c>
      <c r="CM87" s="4794">
        <f t="shared" si="365"/>
        <v>0</v>
      </c>
      <c r="CN87" s="4794">
        <f t="shared" si="366"/>
        <v>0</v>
      </c>
      <c r="CO87" s="4794">
        <f t="shared" si="367"/>
        <v>0</v>
      </c>
      <c r="CP87" s="4794">
        <f t="shared" si="368"/>
        <v>0</v>
      </c>
      <c r="CQ87" s="4794">
        <f t="shared" si="369"/>
        <v>0</v>
      </c>
      <c r="CR87" s="4794">
        <f t="shared" si="370"/>
        <v>0</v>
      </c>
      <c r="CS87" s="4794">
        <f t="shared" si="371"/>
        <v>0</v>
      </c>
      <c r="CT87" s="4794">
        <f t="shared" si="372"/>
        <v>0</v>
      </c>
      <c r="CU87" s="4794">
        <f t="shared" si="373"/>
        <v>0</v>
      </c>
      <c r="CV87" s="4794">
        <f t="shared" si="374"/>
        <v>0</v>
      </c>
      <c r="CW87" s="4794">
        <f t="shared" si="375"/>
        <v>0</v>
      </c>
      <c r="CX87" s="4794">
        <f t="shared" si="376"/>
        <v>0</v>
      </c>
      <c r="CY87" s="4794">
        <f t="shared" si="377"/>
        <v>0</v>
      </c>
      <c r="CZ87" s="4794">
        <f t="shared" si="378"/>
        <v>0</v>
      </c>
      <c r="DA87" s="4794">
        <f t="shared" si="379"/>
        <v>0</v>
      </c>
      <c r="DB87" s="4794">
        <f t="shared" si="380"/>
        <v>0</v>
      </c>
      <c r="DC87" s="4794">
        <f t="shared" si="381"/>
        <v>0</v>
      </c>
      <c r="DD87" s="4794">
        <f t="shared" si="382"/>
        <v>0</v>
      </c>
      <c r="DE87" s="4794">
        <f t="shared" si="383"/>
        <v>0</v>
      </c>
      <c r="DF87" s="4794">
        <f t="shared" si="384"/>
        <v>0</v>
      </c>
      <c r="DG87" s="4794">
        <f t="shared" si="385"/>
        <v>0</v>
      </c>
      <c r="DH87" s="4794">
        <f t="shared" si="386"/>
        <v>0</v>
      </c>
      <c r="DI87" s="4794">
        <f t="shared" si="387"/>
        <v>0</v>
      </c>
      <c r="DJ87" s="4794">
        <f t="shared" si="388"/>
        <v>0</v>
      </c>
    </row>
    <row r="88" spans="1:114" ht="13.5" thickBot="1">
      <c r="A88" s="5436" t="s">
        <v>277</v>
      </c>
      <c r="B88" s="5437"/>
      <c r="C88" s="1129">
        <f t="shared" ref="C88:BB88" si="416">C11+C29+C55+C59+C63+C70+C76</f>
        <v>18552.292350438001</v>
      </c>
      <c r="D88" s="924">
        <f t="shared" si="416"/>
        <v>22156.466639545455</v>
      </c>
      <c r="E88" s="1166">
        <f t="shared" si="416"/>
        <v>23430.092384037474</v>
      </c>
      <c r="F88" s="1166">
        <f t="shared" si="416"/>
        <v>25595.091866254341</v>
      </c>
      <c r="G88" s="1169">
        <f t="shared" si="416"/>
        <v>27849.572313905199</v>
      </c>
      <c r="H88" s="1169">
        <f t="shared" si="416"/>
        <v>30627.520442084118</v>
      </c>
      <c r="I88" s="1265">
        <f t="shared" si="317"/>
        <v>3604.1742891074537</v>
      </c>
      <c r="J88" s="836">
        <f t="shared" si="318"/>
        <v>0.19427110251539145</v>
      </c>
      <c r="K88" s="1129">
        <f t="shared" si="416"/>
        <v>3856.1148398749997</v>
      </c>
      <c r="L88" s="1167">
        <f t="shared" si="416"/>
        <v>4588.6138721515154</v>
      </c>
      <c r="M88" s="1166">
        <f t="shared" si="416"/>
        <v>5103.4681943917276</v>
      </c>
      <c r="N88" s="1166">
        <f t="shared" si="416"/>
        <v>5587.3575089769711</v>
      </c>
      <c r="O88" s="1166">
        <f t="shared" si="416"/>
        <v>6209.127665819894</v>
      </c>
      <c r="P88" s="1167">
        <f t="shared" si="416"/>
        <v>6941.5319216574462</v>
      </c>
      <c r="Q88" s="1265">
        <f t="shared" si="305"/>
        <v>732.49903227651566</v>
      </c>
      <c r="R88" s="894">
        <f t="shared" si="306"/>
        <v>0.18995778463388824</v>
      </c>
      <c r="S88" s="1129">
        <f t="shared" si="416"/>
        <v>3861.5759230499998</v>
      </c>
      <c r="T88" s="924">
        <f t="shared" si="416"/>
        <v>4871.80052630303</v>
      </c>
      <c r="U88" s="1166">
        <f t="shared" si="416"/>
        <v>5214.8105035707977</v>
      </c>
      <c r="V88" s="1166">
        <f t="shared" si="416"/>
        <v>5689.3799903686886</v>
      </c>
      <c r="W88" s="1166">
        <f t="shared" si="416"/>
        <v>6242.9360358749091</v>
      </c>
      <c r="X88" s="1167">
        <f t="shared" si="416"/>
        <v>6881.7318618584377</v>
      </c>
      <c r="Y88" s="1265">
        <f t="shared" si="307"/>
        <v>1010.2246032530302</v>
      </c>
      <c r="Z88" s="894">
        <f t="shared" si="308"/>
        <v>0.26160941112744496</v>
      </c>
      <c r="AA88" s="1129">
        <f t="shared" ref="AA88:AN88" si="417">AA11+AA29+AA55+AA59+AA63+AA70+AA76</f>
        <v>0</v>
      </c>
      <c r="AB88" s="924">
        <f t="shared" si="417"/>
        <v>0</v>
      </c>
      <c r="AC88" s="1166">
        <f t="shared" si="417"/>
        <v>0</v>
      </c>
      <c r="AD88" s="1166">
        <f t="shared" si="417"/>
        <v>0</v>
      </c>
      <c r="AE88" s="1166">
        <f t="shared" si="417"/>
        <v>0</v>
      </c>
      <c r="AF88" s="1167">
        <f t="shared" si="417"/>
        <v>0</v>
      </c>
      <c r="AG88" s="1265">
        <f t="shared" si="319"/>
        <v>0</v>
      </c>
      <c r="AH88" s="836">
        <f t="shared" si="320"/>
        <v>0</v>
      </c>
      <c r="AI88" s="1129">
        <f t="shared" si="417"/>
        <v>0</v>
      </c>
      <c r="AJ88" s="924">
        <f t="shared" si="417"/>
        <v>0</v>
      </c>
      <c r="AK88" s="1166">
        <f t="shared" si="417"/>
        <v>0</v>
      </c>
      <c r="AL88" s="1166">
        <f t="shared" si="417"/>
        <v>0</v>
      </c>
      <c r="AM88" s="1166">
        <f t="shared" si="417"/>
        <v>0</v>
      </c>
      <c r="AN88" s="3261">
        <f t="shared" si="417"/>
        <v>0</v>
      </c>
      <c r="AO88" s="1265">
        <f t="shared" si="333"/>
        <v>0</v>
      </c>
      <c r="AP88" s="836">
        <f t="shared" si="334"/>
        <v>0</v>
      </c>
      <c r="AQ88" s="1129">
        <f t="shared" si="416"/>
        <v>806.46480738299999</v>
      </c>
      <c r="AR88" s="924">
        <f t="shared" si="416"/>
        <v>557</v>
      </c>
      <c r="AS88" s="1166">
        <f t="shared" si="416"/>
        <v>641</v>
      </c>
      <c r="AT88" s="1166">
        <f t="shared" si="416"/>
        <v>736</v>
      </c>
      <c r="AU88" s="1169">
        <f t="shared" si="416"/>
        <v>846</v>
      </c>
      <c r="AV88" s="2808">
        <f t="shared" si="416"/>
        <v>974</v>
      </c>
      <c r="AW88" s="1129">
        <f t="shared" si="416"/>
        <v>26269.983113363003</v>
      </c>
      <c r="AX88" s="924">
        <f t="shared" si="416"/>
        <v>31616.881038</v>
      </c>
      <c r="AY88" s="1166">
        <f t="shared" si="416"/>
        <v>33748.371081999998</v>
      </c>
      <c r="AZ88" s="1166">
        <f t="shared" si="416"/>
        <v>36871.829365600002</v>
      </c>
      <c r="BA88" s="1166">
        <f t="shared" si="416"/>
        <v>40301.636015600001</v>
      </c>
      <c r="BB88" s="3261">
        <f t="shared" si="416"/>
        <v>44450.7842256</v>
      </c>
      <c r="BC88" s="1129">
        <f t="shared" ref="BC88:BH88" si="418">BC11+BC29+BC55+BC59+BC63+BC70+BC76</f>
        <v>18552.292350438001</v>
      </c>
      <c r="BD88" s="924">
        <f t="shared" si="418"/>
        <v>22156.466639545455</v>
      </c>
      <c r="BE88" s="1166">
        <f t="shared" si="418"/>
        <v>23430.092384037474</v>
      </c>
      <c r="BF88" s="1166">
        <f t="shared" si="418"/>
        <v>25595.091866254341</v>
      </c>
      <c r="BG88" s="1166">
        <f t="shared" si="418"/>
        <v>27849.572313905199</v>
      </c>
      <c r="BH88" s="3261">
        <f t="shared" si="418"/>
        <v>30627.520442084118</v>
      </c>
      <c r="BI88" s="4775"/>
      <c r="BJ88" s="4794">
        <f t="shared" si="336"/>
        <v>9485.636456357659</v>
      </c>
      <c r="BK88" s="4794">
        <f t="shared" si="337"/>
        <v>11328.421508794454</v>
      </c>
      <c r="BL88" s="4794">
        <f t="shared" si="338"/>
        <v>11979.616011635711</v>
      </c>
      <c r="BM88" s="4794">
        <f t="shared" si="339"/>
        <v>13086.562669687213</v>
      </c>
      <c r="BN88" s="4794">
        <f t="shared" si="340"/>
        <v>14239.260218886713</v>
      </c>
      <c r="BO88" s="4794">
        <f t="shared" si="341"/>
        <v>15659.602543208826</v>
      </c>
      <c r="BP88" s="4794">
        <f t="shared" si="342"/>
        <v>1842.7850524367934</v>
      </c>
      <c r="BQ88" s="4794">
        <f t="shared" si="343"/>
        <v>1971.6002105883435</v>
      </c>
      <c r="BR88" s="4794">
        <f t="shared" si="344"/>
        <v>2346.1210187754127</v>
      </c>
      <c r="BS88" s="4794">
        <f t="shared" si="345"/>
        <v>2609.3618537356151</v>
      </c>
      <c r="BT88" s="4794">
        <f t="shared" si="346"/>
        <v>2856.7705316806528</v>
      </c>
      <c r="BU88" s="4794">
        <f t="shared" si="347"/>
        <v>3174.6765648445389</v>
      </c>
      <c r="BV88" s="4794">
        <f t="shared" si="348"/>
        <v>3549.1489146078375</v>
      </c>
      <c r="BW88" s="4794">
        <f t="shared" si="349"/>
        <v>374.52080818706929</v>
      </c>
      <c r="BX88" s="4794">
        <f t="shared" si="350"/>
        <v>1974.3924180782583</v>
      </c>
      <c r="BY88" s="4794">
        <f t="shared" si="351"/>
        <v>2490.9120559062035</v>
      </c>
      <c r="BZ88" s="4794">
        <f t="shared" si="352"/>
        <v>2666.2902724525125</v>
      </c>
      <c r="CA88" s="4794">
        <f t="shared" si="353"/>
        <v>2908.93379811573</v>
      </c>
      <c r="CB88" s="4794">
        <f t="shared" si="354"/>
        <v>3191.9625099701452</v>
      </c>
      <c r="CC88" s="4794">
        <f t="shared" si="355"/>
        <v>3518.5736295375559</v>
      </c>
      <c r="CD88" s="4794">
        <f t="shared" si="356"/>
        <v>516.5196378279453</v>
      </c>
      <c r="CE88" s="4794">
        <f t="shared" si="357"/>
        <v>0</v>
      </c>
      <c r="CF88" s="4794">
        <f t="shared" si="358"/>
        <v>0</v>
      </c>
      <c r="CG88" s="4794">
        <f t="shared" si="359"/>
        <v>0</v>
      </c>
      <c r="CH88" s="4794">
        <f t="shared" si="360"/>
        <v>0</v>
      </c>
      <c r="CI88" s="4794">
        <f t="shared" si="361"/>
        <v>0</v>
      </c>
      <c r="CJ88" s="4794">
        <f t="shared" si="362"/>
        <v>0</v>
      </c>
      <c r="CK88" s="4794">
        <f t="shared" si="363"/>
        <v>0</v>
      </c>
      <c r="CL88" s="4794">
        <f t="shared" si="364"/>
        <v>0</v>
      </c>
      <c r="CM88" s="4794">
        <f t="shared" si="365"/>
        <v>0</v>
      </c>
      <c r="CN88" s="4794">
        <f t="shared" si="366"/>
        <v>0</v>
      </c>
      <c r="CO88" s="4794">
        <f t="shared" si="367"/>
        <v>0</v>
      </c>
      <c r="CP88" s="4794">
        <f t="shared" si="368"/>
        <v>0</v>
      </c>
      <c r="CQ88" s="4794">
        <f t="shared" si="369"/>
        <v>0</v>
      </c>
      <c r="CR88" s="4794">
        <f t="shared" si="370"/>
        <v>0</v>
      </c>
      <c r="CS88" s="4794">
        <f t="shared" si="371"/>
        <v>412.33890848540005</v>
      </c>
      <c r="CT88" s="4794">
        <f t="shared" si="372"/>
        <v>284.78957782629368</v>
      </c>
      <c r="CU88" s="4794">
        <f t="shared" si="373"/>
        <v>327.73809584677605</v>
      </c>
      <c r="CV88" s="4794">
        <f t="shared" si="374"/>
        <v>376.31082456041679</v>
      </c>
      <c r="CW88" s="4794">
        <f t="shared" si="375"/>
        <v>432.55293149200082</v>
      </c>
      <c r="CX88" s="4794">
        <f t="shared" si="376"/>
        <v>497.9982922851168</v>
      </c>
      <c r="CY88" s="4794">
        <f t="shared" si="377"/>
        <v>13431.629085024262</v>
      </c>
      <c r="CZ88" s="4794">
        <f t="shared" si="378"/>
        <v>16165.454583476068</v>
      </c>
      <c r="DA88" s="4794">
        <f t="shared" si="379"/>
        <v>17255.268137823838</v>
      </c>
      <c r="DB88" s="4794">
        <f t="shared" si="380"/>
        <v>18852.266999483596</v>
      </c>
      <c r="DC88" s="4794">
        <f t="shared" si="381"/>
        <v>20605.899293701397</v>
      </c>
      <c r="DD88" s="4794">
        <f t="shared" si="382"/>
        <v>22727.32508735422</v>
      </c>
      <c r="DE88" s="4794">
        <f t="shared" si="383"/>
        <v>9485.636456357659</v>
      </c>
      <c r="DF88" s="4794">
        <f t="shared" si="384"/>
        <v>11328.421508794454</v>
      </c>
      <c r="DG88" s="4794">
        <f t="shared" si="385"/>
        <v>11979.616011635711</v>
      </c>
      <c r="DH88" s="4794">
        <f t="shared" si="386"/>
        <v>13086.562669687213</v>
      </c>
      <c r="DI88" s="4794">
        <f t="shared" si="387"/>
        <v>14239.260218886713</v>
      </c>
      <c r="DJ88" s="4794">
        <f t="shared" si="388"/>
        <v>15659.602543208826</v>
      </c>
    </row>
    <row r="89" spans="1:114" s="800" customFormat="1" thickBot="1">
      <c r="A89" s="260"/>
      <c r="B89" s="261" t="s">
        <v>1232</v>
      </c>
      <c r="C89" s="1138">
        <f>C12+C17+C19+C31+(C49+C50)+(C72+C73+C74)</f>
        <v>983.5693504379999</v>
      </c>
      <c r="D89" s="3248">
        <f t="shared" ref="D89:AV89" si="419">D12+D17+D19+D31+(D49+D50)+(D72+D73+D74)</f>
        <v>1002.55181</v>
      </c>
      <c r="E89" s="1173">
        <f t="shared" si="419"/>
        <v>974.36450000000002</v>
      </c>
      <c r="F89" s="1173">
        <f t="shared" si="419"/>
        <v>947.14673000000005</v>
      </c>
      <c r="G89" s="1173">
        <f t="shared" si="419"/>
        <v>920.92895999999996</v>
      </c>
      <c r="H89" s="3249">
        <f t="shared" si="419"/>
        <v>892.04375000000005</v>
      </c>
      <c r="I89" s="1275">
        <f t="shared" si="317"/>
        <v>18.982459562000145</v>
      </c>
      <c r="J89" s="843">
        <f t="shared" si="318"/>
        <v>1.929956393369409E-2</v>
      </c>
      <c r="K89" s="1138">
        <f t="shared" si="419"/>
        <v>65.068839874999995</v>
      </c>
      <c r="L89" s="3248">
        <f t="shared" si="419"/>
        <v>66.137482000000006</v>
      </c>
      <c r="M89" s="1173">
        <f t="shared" si="419"/>
        <v>66.137482000000006</v>
      </c>
      <c r="N89" s="1173">
        <f t="shared" si="419"/>
        <v>65.109985600000002</v>
      </c>
      <c r="O89" s="1173">
        <f t="shared" si="419"/>
        <v>64.109985600000002</v>
      </c>
      <c r="P89" s="3249">
        <f t="shared" si="419"/>
        <v>64.109985600000002</v>
      </c>
      <c r="Q89" s="1275">
        <f t="shared" si="305"/>
        <v>1.0686421250000109</v>
      </c>
      <c r="R89" s="902">
        <f t="shared" si="306"/>
        <v>1.6423254618538118E-2</v>
      </c>
      <c r="S89" s="1138">
        <f t="shared" si="419"/>
        <v>731.17692304999991</v>
      </c>
      <c r="T89" s="3248">
        <f t="shared" si="419"/>
        <v>848.40874600000006</v>
      </c>
      <c r="U89" s="1173">
        <f t="shared" si="419"/>
        <v>839.03909999999996</v>
      </c>
      <c r="V89" s="1173">
        <f t="shared" si="419"/>
        <v>826.23765000000003</v>
      </c>
      <c r="W89" s="1173">
        <f t="shared" si="419"/>
        <v>820.51706999999999</v>
      </c>
      <c r="X89" s="3249">
        <f t="shared" si="419"/>
        <v>815.79648999999995</v>
      </c>
      <c r="Y89" s="1275">
        <f t="shared" si="307"/>
        <v>117.23182295000015</v>
      </c>
      <c r="Z89" s="902">
        <f t="shared" si="308"/>
        <v>0.16033304560677925</v>
      </c>
      <c r="AA89" s="1138">
        <f t="shared" si="419"/>
        <v>0</v>
      </c>
      <c r="AB89" s="3248">
        <f t="shared" si="419"/>
        <v>0</v>
      </c>
      <c r="AC89" s="1173">
        <f t="shared" si="419"/>
        <v>0</v>
      </c>
      <c r="AD89" s="1173">
        <f t="shared" si="419"/>
        <v>0</v>
      </c>
      <c r="AE89" s="1173">
        <f t="shared" si="419"/>
        <v>0</v>
      </c>
      <c r="AF89" s="3249">
        <f t="shared" si="419"/>
        <v>0</v>
      </c>
      <c r="AG89" s="1275">
        <f t="shared" si="319"/>
        <v>0</v>
      </c>
      <c r="AH89" s="843">
        <f t="shared" si="320"/>
        <v>0</v>
      </c>
      <c r="AI89" s="1138">
        <f t="shared" si="419"/>
        <v>0</v>
      </c>
      <c r="AJ89" s="3248">
        <f t="shared" si="419"/>
        <v>0</v>
      </c>
      <c r="AK89" s="1173">
        <f t="shared" si="419"/>
        <v>0</v>
      </c>
      <c r="AL89" s="1173">
        <f t="shared" si="419"/>
        <v>0</v>
      </c>
      <c r="AM89" s="1173">
        <f t="shared" si="419"/>
        <v>0</v>
      </c>
      <c r="AN89" s="3263">
        <f t="shared" si="419"/>
        <v>0</v>
      </c>
      <c r="AO89" s="1275">
        <f t="shared" si="333"/>
        <v>0</v>
      </c>
      <c r="AP89" s="843">
        <f t="shared" si="334"/>
        <v>0</v>
      </c>
      <c r="AQ89" s="1138">
        <f t="shared" si="419"/>
        <v>7.464807383000001</v>
      </c>
      <c r="AR89" s="3248">
        <f t="shared" si="419"/>
        <v>0</v>
      </c>
      <c r="AS89" s="1173">
        <f t="shared" si="419"/>
        <v>0</v>
      </c>
      <c r="AT89" s="1173">
        <f t="shared" si="419"/>
        <v>0</v>
      </c>
      <c r="AU89" s="1173">
        <f t="shared" si="419"/>
        <v>0</v>
      </c>
      <c r="AV89" s="3263">
        <f t="shared" si="419"/>
        <v>0</v>
      </c>
      <c r="AW89" s="1138">
        <f t="shared" ref="AW89:BB89" si="420">AW12+AW17+AW19+AW31+(AW49+AW50)+(AW72+AW73+AW74)</f>
        <v>1779.8151133629999</v>
      </c>
      <c r="AX89" s="3248">
        <f t="shared" si="420"/>
        <v>1917.0980380000001</v>
      </c>
      <c r="AY89" s="1173">
        <f t="shared" si="420"/>
        <v>1879.541082</v>
      </c>
      <c r="AZ89" s="1173">
        <f t="shared" si="420"/>
        <v>1838.4943656</v>
      </c>
      <c r="BA89" s="1173">
        <f t="shared" si="420"/>
        <v>1805.5560156000001</v>
      </c>
      <c r="BB89" s="3263">
        <f t="shared" si="420"/>
        <v>1771.9502256000001</v>
      </c>
      <c r="BC89" s="1138">
        <f t="shared" ref="BC89:BH89" si="421">BC12+BC17+BC19+BC31+(BC49+BC50)+(BC72+BC73+BC74)</f>
        <v>983.5693504379999</v>
      </c>
      <c r="BD89" s="3248">
        <f t="shared" si="421"/>
        <v>1002.55181</v>
      </c>
      <c r="BE89" s="1173">
        <f t="shared" si="421"/>
        <v>974.36450000000002</v>
      </c>
      <c r="BF89" s="1173">
        <f t="shared" si="421"/>
        <v>947.14673000000005</v>
      </c>
      <c r="BG89" s="1173">
        <f t="shared" si="421"/>
        <v>920.92895999999996</v>
      </c>
      <c r="BH89" s="3263">
        <f t="shared" si="421"/>
        <v>892.04375000000005</v>
      </c>
      <c r="BI89" s="4775"/>
      <c r="BJ89" s="4794">
        <f t="shared" si="336"/>
        <v>502.89102347238764</v>
      </c>
      <c r="BK89" s="4794">
        <f t="shared" si="337"/>
        <v>512.59660093157379</v>
      </c>
      <c r="BL89" s="4794">
        <f t="shared" si="338"/>
        <v>498.18465817581284</v>
      </c>
      <c r="BM89" s="4794">
        <f t="shared" si="339"/>
        <v>484.26843335054684</v>
      </c>
      <c r="BN89" s="4794">
        <f t="shared" si="340"/>
        <v>470.86350040647704</v>
      </c>
      <c r="BO89" s="4794">
        <f t="shared" si="341"/>
        <v>456.09472704682923</v>
      </c>
      <c r="BP89" s="4794">
        <f t="shared" si="342"/>
        <v>9.7055774591862001</v>
      </c>
      <c r="BQ89" s="4794">
        <f t="shared" si="343"/>
        <v>33.269169546944262</v>
      </c>
      <c r="BR89" s="4794">
        <f t="shared" si="344"/>
        <v>33.815557589361042</v>
      </c>
      <c r="BS89" s="4794">
        <f t="shared" si="345"/>
        <v>33.815557589361042</v>
      </c>
      <c r="BT89" s="4794">
        <f t="shared" si="346"/>
        <v>33.290207022082697</v>
      </c>
      <c r="BU89" s="4794">
        <f t="shared" si="347"/>
        <v>32.778915140886483</v>
      </c>
      <c r="BV89" s="4794">
        <f t="shared" si="348"/>
        <v>32.778915140886483</v>
      </c>
      <c r="BW89" s="4794">
        <f t="shared" si="349"/>
        <v>0.54638804241678007</v>
      </c>
      <c r="BX89" s="4794">
        <f t="shared" si="350"/>
        <v>373.84482447349717</v>
      </c>
      <c r="BY89" s="4794">
        <f t="shared" si="351"/>
        <v>433.78450376566474</v>
      </c>
      <c r="BZ89" s="4794">
        <f t="shared" si="352"/>
        <v>428.99387983618209</v>
      </c>
      <c r="CA89" s="4794">
        <f t="shared" si="353"/>
        <v>422.44860238364276</v>
      </c>
      <c r="CB89" s="4794">
        <f t="shared" si="354"/>
        <v>419.52371627390932</v>
      </c>
      <c r="CC89" s="4794">
        <f t="shared" si="355"/>
        <v>417.11012204537201</v>
      </c>
      <c r="CD89" s="4794">
        <f t="shared" si="356"/>
        <v>59.939679292167597</v>
      </c>
      <c r="CE89" s="4794">
        <f t="shared" si="357"/>
        <v>0</v>
      </c>
      <c r="CF89" s="4794">
        <f t="shared" si="358"/>
        <v>0</v>
      </c>
      <c r="CG89" s="4794">
        <f t="shared" si="359"/>
        <v>0</v>
      </c>
      <c r="CH89" s="4794">
        <f t="shared" si="360"/>
        <v>0</v>
      </c>
      <c r="CI89" s="4794">
        <f t="shared" si="361"/>
        <v>0</v>
      </c>
      <c r="CJ89" s="4794">
        <f t="shared" si="362"/>
        <v>0</v>
      </c>
      <c r="CK89" s="4794">
        <f t="shared" si="363"/>
        <v>0</v>
      </c>
      <c r="CL89" s="4794">
        <f t="shared" si="364"/>
        <v>0</v>
      </c>
      <c r="CM89" s="4794">
        <f t="shared" si="365"/>
        <v>0</v>
      </c>
      <c r="CN89" s="4794">
        <f t="shared" si="366"/>
        <v>0</v>
      </c>
      <c r="CO89" s="4794">
        <f t="shared" si="367"/>
        <v>0</v>
      </c>
      <c r="CP89" s="4794">
        <f t="shared" si="368"/>
        <v>0</v>
      </c>
      <c r="CQ89" s="4794">
        <f t="shared" si="369"/>
        <v>0</v>
      </c>
      <c r="CR89" s="4794">
        <f t="shared" si="370"/>
        <v>0</v>
      </c>
      <c r="CS89" s="4794">
        <f t="shared" si="371"/>
        <v>3.8166954096214911</v>
      </c>
      <c r="CT89" s="4794">
        <f t="shared" si="372"/>
        <v>0</v>
      </c>
      <c r="CU89" s="4794">
        <f t="shared" si="373"/>
        <v>0</v>
      </c>
      <c r="CV89" s="4794">
        <f t="shared" si="374"/>
        <v>0</v>
      </c>
      <c r="CW89" s="4794">
        <f t="shared" si="375"/>
        <v>0</v>
      </c>
      <c r="CX89" s="4794">
        <f t="shared" si="376"/>
        <v>0</v>
      </c>
      <c r="CY89" s="4794">
        <f t="shared" si="377"/>
        <v>910.0050174928291</v>
      </c>
      <c r="CZ89" s="4794">
        <f t="shared" si="378"/>
        <v>980.19666228659958</v>
      </c>
      <c r="DA89" s="4794">
        <f t="shared" si="379"/>
        <v>960.99409560135598</v>
      </c>
      <c r="DB89" s="4794">
        <f t="shared" si="380"/>
        <v>940.00724275627226</v>
      </c>
      <c r="DC89" s="4794">
        <f t="shared" si="381"/>
        <v>923.16613182127287</v>
      </c>
      <c r="DD89" s="4794">
        <f t="shared" si="382"/>
        <v>905.98376423308775</v>
      </c>
      <c r="DE89" s="4794">
        <f t="shared" si="383"/>
        <v>502.89102347238764</v>
      </c>
      <c r="DF89" s="4794">
        <f t="shared" si="384"/>
        <v>512.59660093157379</v>
      </c>
      <c r="DG89" s="4794">
        <f t="shared" si="385"/>
        <v>498.18465817581284</v>
      </c>
      <c r="DH89" s="4794">
        <f t="shared" si="386"/>
        <v>484.26843335054684</v>
      </c>
      <c r="DI89" s="4794">
        <f t="shared" si="387"/>
        <v>470.86350040647704</v>
      </c>
      <c r="DJ89" s="4794">
        <f t="shared" si="388"/>
        <v>456.09472704682923</v>
      </c>
    </row>
    <row r="90" spans="1:114" s="651" customFormat="1" thickBot="1">
      <c r="A90" s="260"/>
      <c r="B90" s="261" t="s">
        <v>637</v>
      </c>
      <c r="C90" s="3250">
        <f>C21+C24+C48+C61+C65+C68</f>
        <v>1887</v>
      </c>
      <c r="D90" s="3251">
        <f t="shared" ref="D90:AV90" si="422">D21+D24+D48+D61+D65+D68</f>
        <v>2124</v>
      </c>
      <c r="E90" s="1175">
        <f t="shared" si="422"/>
        <v>2232</v>
      </c>
      <c r="F90" s="1175">
        <f t="shared" si="422"/>
        <v>2357</v>
      </c>
      <c r="G90" s="1175">
        <f t="shared" si="422"/>
        <v>2500</v>
      </c>
      <c r="H90" s="3252">
        <f t="shared" si="422"/>
        <v>2665</v>
      </c>
      <c r="I90" s="1276">
        <f t="shared" si="317"/>
        <v>237</v>
      </c>
      <c r="J90" s="843">
        <f t="shared" si="318"/>
        <v>0.12559618441971382</v>
      </c>
      <c r="K90" s="3250">
        <f t="shared" si="422"/>
        <v>470</v>
      </c>
      <c r="L90" s="3251">
        <f t="shared" si="422"/>
        <v>519</v>
      </c>
      <c r="M90" s="1175">
        <f t="shared" si="422"/>
        <v>534</v>
      </c>
      <c r="N90" s="1175">
        <f t="shared" si="422"/>
        <v>552</v>
      </c>
      <c r="O90" s="1175">
        <f t="shared" si="422"/>
        <v>573</v>
      </c>
      <c r="P90" s="3252">
        <f t="shared" si="422"/>
        <v>597</v>
      </c>
      <c r="Q90" s="1276">
        <f t="shared" si="305"/>
        <v>49</v>
      </c>
      <c r="R90" s="902">
        <f t="shared" si="306"/>
        <v>0.10425531914893617</v>
      </c>
      <c r="S90" s="3250">
        <f t="shared" si="422"/>
        <v>276.39999999999998</v>
      </c>
      <c r="T90" s="3251">
        <f t="shared" si="422"/>
        <v>276</v>
      </c>
      <c r="U90" s="1175">
        <f t="shared" si="422"/>
        <v>276</v>
      </c>
      <c r="V90" s="1175">
        <f t="shared" si="422"/>
        <v>276</v>
      </c>
      <c r="W90" s="1175">
        <f t="shared" si="422"/>
        <v>277</v>
      </c>
      <c r="X90" s="3252">
        <f t="shared" si="422"/>
        <v>277</v>
      </c>
      <c r="Y90" s="1276">
        <f t="shared" si="307"/>
        <v>-0.39999999999997726</v>
      </c>
      <c r="Z90" s="902">
        <f t="shared" si="308"/>
        <v>-1.4471780028942739E-3</v>
      </c>
      <c r="AA90" s="3250">
        <f t="shared" si="422"/>
        <v>0</v>
      </c>
      <c r="AB90" s="3251">
        <f t="shared" si="422"/>
        <v>0</v>
      </c>
      <c r="AC90" s="1175">
        <f t="shared" si="422"/>
        <v>0</v>
      </c>
      <c r="AD90" s="1175">
        <f t="shared" si="422"/>
        <v>0</v>
      </c>
      <c r="AE90" s="1175">
        <f t="shared" si="422"/>
        <v>0</v>
      </c>
      <c r="AF90" s="3252">
        <f t="shared" si="422"/>
        <v>0</v>
      </c>
      <c r="AG90" s="1276">
        <f t="shared" si="319"/>
        <v>0</v>
      </c>
      <c r="AH90" s="843">
        <f t="shared" si="320"/>
        <v>0</v>
      </c>
      <c r="AI90" s="3250">
        <f t="shared" si="422"/>
        <v>0</v>
      </c>
      <c r="AJ90" s="3251">
        <f t="shared" si="422"/>
        <v>0</v>
      </c>
      <c r="AK90" s="1175">
        <f t="shared" si="422"/>
        <v>0</v>
      </c>
      <c r="AL90" s="1175">
        <f t="shared" si="422"/>
        <v>0</v>
      </c>
      <c r="AM90" s="1175">
        <f t="shared" si="422"/>
        <v>0</v>
      </c>
      <c r="AN90" s="3264">
        <f t="shared" si="422"/>
        <v>0</v>
      </c>
      <c r="AO90" s="1276">
        <f t="shared" si="333"/>
        <v>0</v>
      </c>
      <c r="AP90" s="843">
        <f t="shared" si="334"/>
        <v>0</v>
      </c>
      <c r="AQ90" s="3250">
        <f t="shared" si="422"/>
        <v>0</v>
      </c>
      <c r="AR90" s="3251">
        <f t="shared" si="422"/>
        <v>0</v>
      </c>
      <c r="AS90" s="1175">
        <f t="shared" si="422"/>
        <v>0</v>
      </c>
      <c r="AT90" s="1175">
        <f t="shared" si="422"/>
        <v>0</v>
      </c>
      <c r="AU90" s="1175">
        <f t="shared" si="422"/>
        <v>0</v>
      </c>
      <c r="AV90" s="3264">
        <f t="shared" si="422"/>
        <v>0</v>
      </c>
      <c r="AW90" s="3250">
        <f t="shared" ref="AW90:BB90" si="423">AW21+AW24+AW48+AW61+AW65+AW68</f>
        <v>2633.4</v>
      </c>
      <c r="AX90" s="3251">
        <f t="shared" si="423"/>
        <v>2919</v>
      </c>
      <c r="AY90" s="1175">
        <f t="shared" si="423"/>
        <v>3042</v>
      </c>
      <c r="AZ90" s="1175">
        <f t="shared" si="423"/>
        <v>3185</v>
      </c>
      <c r="BA90" s="1175">
        <f t="shared" si="423"/>
        <v>3350</v>
      </c>
      <c r="BB90" s="3264">
        <f t="shared" si="423"/>
        <v>3539</v>
      </c>
      <c r="BC90" s="3250">
        <f t="shared" ref="BC90:BH90" si="424">BC21+BC24+BC48+BC61+BC65+BC68</f>
        <v>1887</v>
      </c>
      <c r="BD90" s="3251">
        <f>BD21+BD24+BD48+BD61+BD65+BD68</f>
        <v>2124</v>
      </c>
      <c r="BE90" s="1175">
        <f t="shared" si="424"/>
        <v>2232</v>
      </c>
      <c r="BF90" s="1175">
        <f t="shared" si="424"/>
        <v>2357</v>
      </c>
      <c r="BG90" s="1175">
        <f t="shared" si="424"/>
        <v>2500</v>
      </c>
      <c r="BH90" s="3264">
        <f t="shared" si="424"/>
        <v>2665</v>
      </c>
      <c r="BI90" s="4775"/>
      <c r="BJ90" s="4794">
        <f t="shared" si="336"/>
        <v>964.8077798172643</v>
      </c>
      <c r="BK90" s="4794">
        <f t="shared" si="337"/>
        <v>1085.9839556607681</v>
      </c>
      <c r="BL90" s="4794">
        <f t="shared" si="338"/>
        <v>1141.2034788299597</v>
      </c>
      <c r="BM90" s="4794">
        <f t="shared" si="339"/>
        <v>1205.1149639794869</v>
      </c>
      <c r="BN90" s="4794">
        <f t="shared" si="340"/>
        <v>1278.2297029905462</v>
      </c>
      <c r="BO90" s="4794">
        <f t="shared" si="341"/>
        <v>1362.5928633879223</v>
      </c>
      <c r="BP90" s="4794">
        <f t="shared" si="342"/>
        <v>121.17617584350378</v>
      </c>
      <c r="BQ90" s="4794">
        <f t="shared" si="343"/>
        <v>240.30718416222268</v>
      </c>
      <c r="BR90" s="4794">
        <f t="shared" si="344"/>
        <v>265.36048634083738</v>
      </c>
      <c r="BS90" s="4794">
        <f t="shared" si="345"/>
        <v>273.02986455878067</v>
      </c>
      <c r="BT90" s="4794">
        <f t="shared" si="346"/>
        <v>282.23311842031262</v>
      </c>
      <c r="BU90" s="4794">
        <f t="shared" si="347"/>
        <v>292.97024792543317</v>
      </c>
      <c r="BV90" s="4794">
        <f t="shared" si="348"/>
        <v>305.24125307414243</v>
      </c>
      <c r="BW90" s="4794">
        <f t="shared" si="349"/>
        <v>25.053302178614707</v>
      </c>
      <c r="BX90" s="4794">
        <f t="shared" si="350"/>
        <v>141.32107596263478</v>
      </c>
      <c r="BY90" s="4794">
        <f t="shared" si="351"/>
        <v>141.11655921015631</v>
      </c>
      <c r="BZ90" s="4794">
        <f t="shared" si="352"/>
        <v>141.11655921015631</v>
      </c>
      <c r="CA90" s="4794">
        <f t="shared" si="353"/>
        <v>141.11655921015631</v>
      </c>
      <c r="CB90" s="4794">
        <f t="shared" si="354"/>
        <v>141.62785109135251</v>
      </c>
      <c r="CC90" s="4794">
        <f t="shared" si="355"/>
        <v>141.62785109135251</v>
      </c>
      <c r="CD90" s="4794">
        <f t="shared" si="356"/>
        <v>-0.20451675247847578</v>
      </c>
      <c r="CE90" s="4794">
        <f t="shared" si="357"/>
        <v>0</v>
      </c>
      <c r="CF90" s="4794">
        <f t="shared" si="358"/>
        <v>0</v>
      </c>
      <c r="CG90" s="4794">
        <f t="shared" si="359"/>
        <v>0</v>
      </c>
      <c r="CH90" s="4794">
        <f t="shared" si="360"/>
        <v>0</v>
      </c>
      <c r="CI90" s="4794">
        <f t="shared" si="361"/>
        <v>0</v>
      </c>
      <c r="CJ90" s="4794">
        <f t="shared" si="362"/>
        <v>0</v>
      </c>
      <c r="CK90" s="4794">
        <f t="shared" si="363"/>
        <v>0</v>
      </c>
      <c r="CL90" s="4794">
        <f t="shared" si="364"/>
        <v>0</v>
      </c>
      <c r="CM90" s="4794">
        <f t="shared" si="365"/>
        <v>0</v>
      </c>
      <c r="CN90" s="4794">
        <f t="shared" si="366"/>
        <v>0</v>
      </c>
      <c r="CO90" s="4794">
        <f t="shared" si="367"/>
        <v>0</v>
      </c>
      <c r="CP90" s="4794">
        <f t="shared" si="368"/>
        <v>0</v>
      </c>
      <c r="CQ90" s="4794">
        <f t="shared" si="369"/>
        <v>0</v>
      </c>
      <c r="CR90" s="4794">
        <f t="shared" si="370"/>
        <v>0</v>
      </c>
      <c r="CS90" s="4794">
        <f t="shared" si="371"/>
        <v>0</v>
      </c>
      <c r="CT90" s="4794">
        <f t="shared" si="372"/>
        <v>0</v>
      </c>
      <c r="CU90" s="4794">
        <f t="shared" si="373"/>
        <v>0</v>
      </c>
      <c r="CV90" s="4794">
        <f t="shared" si="374"/>
        <v>0</v>
      </c>
      <c r="CW90" s="4794">
        <f t="shared" si="375"/>
        <v>0</v>
      </c>
      <c r="CX90" s="4794">
        <f t="shared" si="376"/>
        <v>0</v>
      </c>
      <c r="CY90" s="4794">
        <f t="shared" si="377"/>
        <v>1346.4360399421219</v>
      </c>
      <c r="CZ90" s="4794">
        <f t="shared" si="378"/>
        <v>1492.4610012117619</v>
      </c>
      <c r="DA90" s="4794">
        <f t="shared" si="379"/>
        <v>1555.3499025988967</v>
      </c>
      <c r="DB90" s="4794">
        <f t="shared" si="380"/>
        <v>1628.4646416099558</v>
      </c>
      <c r="DC90" s="4794">
        <f t="shared" si="381"/>
        <v>1712.8278020073319</v>
      </c>
      <c r="DD90" s="4794">
        <f t="shared" si="382"/>
        <v>1809.4619675534173</v>
      </c>
      <c r="DE90" s="4794">
        <f t="shared" si="383"/>
        <v>964.8077798172643</v>
      </c>
      <c r="DF90" s="4794">
        <f t="shared" si="384"/>
        <v>1085.9839556607681</v>
      </c>
      <c r="DG90" s="4794">
        <f t="shared" si="385"/>
        <v>1141.2034788299597</v>
      </c>
      <c r="DH90" s="4794">
        <f t="shared" si="386"/>
        <v>1205.1149639794869</v>
      </c>
      <c r="DI90" s="4794">
        <f t="shared" si="387"/>
        <v>1278.2297029905462</v>
      </c>
      <c r="DJ90" s="4794">
        <f t="shared" si="388"/>
        <v>1362.5928633879223</v>
      </c>
    </row>
    <row r="91" spans="1:114" s="651" customFormat="1" thickBot="1">
      <c r="A91" s="260"/>
      <c r="B91" s="261" t="s">
        <v>1230</v>
      </c>
      <c r="C91" s="1138">
        <f>C88-C55</f>
        <v>13452.292350438001</v>
      </c>
      <c r="D91" s="3248">
        <f t="shared" ref="D91:AV91" si="425">D88-D55</f>
        <v>17814.551810000001</v>
      </c>
      <c r="E91" s="1173">
        <f t="shared" si="425"/>
        <v>19642.3645</v>
      </c>
      <c r="F91" s="1173">
        <f t="shared" si="425"/>
        <v>21844.14673</v>
      </c>
      <c r="G91" s="1173">
        <f t="shared" si="425"/>
        <v>24128.928960000001</v>
      </c>
      <c r="H91" s="3249">
        <f t="shared" si="425"/>
        <v>26741.043750000001</v>
      </c>
      <c r="I91" s="1275">
        <f t="shared" si="317"/>
        <v>4362.2594595619994</v>
      </c>
      <c r="J91" s="843">
        <f t="shared" si="318"/>
        <v>0.32427629030973043</v>
      </c>
      <c r="K91" s="1138">
        <f t="shared" si="425"/>
        <v>3187.1148398749997</v>
      </c>
      <c r="L91" s="3248">
        <f t="shared" si="425"/>
        <v>4195.1374820000001</v>
      </c>
      <c r="M91" s="1173">
        <f t="shared" si="425"/>
        <v>4708.1374820000001</v>
      </c>
      <c r="N91" s="1173">
        <f t="shared" si="425"/>
        <v>5190.109985600001</v>
      </c>
      <c r="O91" s="1173">
        <f t="shared" si="425"/>
        <v>5820.1099856000001</v>
      </c>
      <c r="P91" s="3249">
        <f t="shared" si="425"/>
        <v>6551.1099856000001</v>
      </c>
      <c r="Q91" s="1275">
        <f t="shared" si="305"/>
        <v>1008.0226421250004</v>
      </c>
      <c r="R91" s="902">
        <f t="shared" si="306"/>
        <v>0.3162806151549078</v>
      </c>
      <c r="S91" s="1138">
        <f t="shared" si="425"/>
        <v>3614.1759230499997</v>
      </c>
      <c r="T91" s="3248">
        <f t="shared" si="425"/>
        <v>4652.4087460000001</v>
      </c>
      <c r="U91" s="1173">
        <f t="shared" si="425"/>
        <v>4988.0391</v>
      </c>
      <c r="V91" s="1173">
        <f t="shared" si="425"/>
        <v>5456.23765</v>
      </c>
      <c r="W91" s="1173">
        <f t="shared" si="425"/>
        <v>6002.5170699999999</v>
      </c>
      <c r="X91" s="3249">
        <f t="shared" si="425"/>
        <v>6634.7964900000006</v>
      </c>
      <c r="Y91" s="1275">
        <f t="shared" si="307"/>
        <v>1038.2328229500004</v>
      </c>
      <c r="Z91" s="902">
        <f t="shared" si="308"/>
        <v>0.28726681961674866</v>
      </c>
      <c r="AA91" s="1138">
        <f t="shared" si="425"/>
        <v>0</v>
      </c>
      <c r="AB91" s="3248">
        <f t="shared" si="425"/>
        <v>0</v>
      </c>
      <c r="AC91" s="1173">
        <f t="shared" si="425"/>
        <v>0</v>
      </c>
      <c r="AD91" s="1173">
        <f t="shared" si="425"/>
        <v>0</v>
      </c>
      <c r="AE91" s="1173">
        <f t="shared" si="425"/>
        <v>0</v>
      </c>
      <c r="AF91" s="3249">
        <f t="shared" si="425"/>
        <v>0</v>
      </c>
      <c r="AG91" s="1275">
        <f t="shared" si="319"/>
        <v>0</v>
      </c>
      <c r="AH91" s="843">
        <f t="shared" si="320"/>
        <v>0</v>
      </c>
      <c r="AI91" s="1138">
        <f t="shared" si="425"/>
        <v>0</v>
      </c>
      <c r="AJ91" s="3248">
        <f t="shared" si="425"/>
        <v>0</v>
      </c>
      <c r="AK91" s="1173">
        <f t="shared" si="425"/>
        <v>0</v>
      </c>
      <c r="AL91" s="1173">
        <f t="shared" si="425"/>
        <v>0</v>
      </c>
      <c r="AM91" s="1173">
        <f t="shared" si="425"/>
        <v>0</v>
      </c>
      <c r="AN91" s="3263">
        <f t="shared" si="425"/>
        <v>0</v>
      </c>
      <c r="AO91" s="1275">
        <f t="shared" si="333"/>
        <v>0</v>
      </c>
      <c r="AP91" s="843">
        <f t="shared" si="334"/>
        <v>0</v>
      </c>
      <c r="AQ91" s="1138">
        <f t="shared" si="425"/>
        <v>806.46480738299999</v>
      </c>
      <c r="AR91" s="3248">
        <f t="shared" si="425"/>
        <v>557</v>
      </c>
      <c r="AS91" s="1173">
        <f t="shared" si="425"/>
        <v>641</v>
      </c>
      <c r="AT91" s="1173">
        <f t="shared" si="425"/>
        <v>736</v>
      </c>
      <c r="AU91" s="1173">
        <f t="shared" si="425"/>
        <v>846</v>
      </c>
      <c r="AV91" s="3263">
        <f t="shared" si="425"/>
        <v>974</v>
      </c>
      <c r="AW91" s="1138">
        <f t="shared" ref="AW91:BB91" si="426">AW88-AW55</f>
        <v>20253.583113363005</v>
      </c>
      <c r="AX91" s="3248">
        <f t="shared" si="426"/>
        <v>26662.098038</v>
      </c>
      <c r="AY91" s="1173">
        <f t="shared" si="426"/>
        <v>29338.541081999996</v>
      </c>
      <c r="AZ91" s="1173">
        <f t="shared" si="426"/>
        <v>32490.494365600003</v>
      </c>
      <c r="BA91" s="1173">
        <f t="shared" si="426"/>
        <v>35951.556015599999</v>
      </c>
      <c r="BB91" s="3263">
        <f t="shared" si="426"/>
        <v>39926.950225599998</v>
      </c>
      <c r="BC91" s="1138">
        <f t="shared" ref="BC91:BH91" si="427">BC88-BC55</f>
        <v>13452.292350438001</v>
      </c>
      <c r="BD91" s="3248">
        <f t="shared" si="427"/>
        <v>17814.551810000001</v>
      </c>
      <c r="BE91" s="1173">
        <f t="shared" si="427"/>
        <v>19642.3645</v>
      </c>
      <c r="BF91" s="1173">
        <f t="shared" si="427"/>
        <v>21844.14673</v>
      </c>
      <c r="BG91" s="1173">
        <f t="shared" si="427"/>
        <v>24128.928960000001</v>
      </c>
      <c r="BH91" s="3263">
        <f t="shared" si="427"/>
        <v>26741.043750000001</v>
      </c>
      <c r="BI91" s="4775"/>
      <c r="BJ91" s="4794">
        <f t="shared" si="336"/>
        <v>6878.0478622569453</v>
      </c>
      <c r="BK91" s="4794">
        <f t="shared" si="337"/>
        <v>9108.4357076023989</v>
      </c>
      <c r="BL91" s="4794">
        <f t="shared" si="338"/>
        <v>10042.98149634682</v>
      </c>
      <c r="BM91" s="4794">
        <f t="shared" si="339"/>
        <v>11168.734874707925</v>
      </c>
      <c r="BN91" s="4794">
        <f t="shared" si="340"/>
        <v>12336.925479208316</v>
      </c>
      <c r="BO91" s="4794">
        <f t="shared" si="341"/>
        <v>13672.478564087882</v>
      </c>
      <c r="BP91" s="4794">
        <f t="shared" si="342"/>
        <v>2230.387845345454</v>
      </c>
      <c r="BQ91" s="4794">
        <f t="shared" si="343"/>
        <v>1629.5459420680734</v>
      </c>
      <c r="BR91" s="4794">
        <f t="shared" si="344"/>
        <v>2144.9397350485474</v>
      </c>
      <c r="BS91" s="4794">
        <f t="shared" si="345"/>
        <v>2407.2324701022076</v>
      </c>
      <c r="BT91" s="4794">
        <f t="shared" si="346"/>
        <v>2653.6610981527028</v>
      </c>
      <c r="BU91" s="4794">
        <f t="shared" si="347"/>
        <v>2975.7749833063203</v>
      </c>
      <c r="BV91" s="4794">
        <f t="shared" si="348"/>
        <v>3349.529348460756</v>
      </c>
      <c r="BW91" s="4794">
        <f t="shared" si="349"/>
        <v>515.39379298047402</v>
      </c>
      <c r="BX91" s="4794">
        <f t="shared" si="350"/>
        <v>1847.8988066703137</v>
      </c>
      <c r="BY91" s="4794">
        <f t="shared" si="351"/>
        <v>2378.73881983608</v>
      </c>
      <c r="BZ91" s="4794">
        <f t="shared" si="352"/>
        <v>2550.3438949192928</v>
      </c>
      <c r="CA91" s="4794">
        <f t="shared" si="353"/>
        <v>2789.7300123221344</v>
      </c>
      <c r="CB91" s="4794">
        <f t="shared" si="354"/>
        <v>3069.0382446327135</v>
      </c>
      <c r="CC91" s="4794">
        <f t="shared" si="355"/>
        <v>3392.317578726168</v>
      </c>
      <c r="CD91" s="4794">
        <f t="shared" si="356"/>
        <v>530.84001316576609</v>
      </c>
      <c r="CE91" s="4794">
        <f t="shared" si="357"/>
        <v>0</v>
      </c>
      <c r="CF91" s="4794">
        <f t="shared" si="358"/>
        <v>0</v>
      </c>
      <c r="CG91" s="4794">
        <f t="shared" si="359"/>
        <v>0</v>
      </c>
      <c r="CH91" s="4794">
        <f t="shared" si="360"/>
        <v>0</v>
      </c>
      <c r="CI91" s="4794">
        <f t="shared" si="361"/>
        <v>0</v>
      </c>
      <c r="CJ91" s="4794">
        <f t="shared" si="362"/>
        <v>0</v>
      </c>
      <c r="CK91" s="4794">
        <f t="shared" si="363"/>
        <v>0</v>
      </c>
      <c r="CL91" s="4794">
        <f t="shared" si="364"/>
        <v>0</v>
      </c>
      <c r="CM91" s="4794">
        <f t="shared" si="365"/>
        <v>0</v>
      </c>
      <c r="CN91" s="4794">
        <f t="shared" si="366"/>
        <v>0</v>
      </c>
      <c r="CO91" s="4794">
        <f t="shared" si="367"/>
        <v>0</v>
      </c>
      <c r="CP91" s="4794">
        <f t="shared" si="368"/>
        <v>0</v>
      </c>
      <c r="CQ91" s="4794">
        <f t="shared" si="369"/>
        <v>0</v>
      </c>
      <c r="CR91" s="4794">
        <f t="shared" si="370"/>
        <v>0</v>
      </c>
      <c r="CS91" s="4794">
        <f t="shared" si="371"/>
        <v>412.33890848540005</v>
      </c>
      <c r="CT91" s="4794">
        <f t="shared" si="372"/>
        <v>284.78957782629368</v>
      </c>
      <c r="CU91" s="4794">
        <f t="shared" si="373"/>
        <v>327.73809584677605</v>
      </c>
      <c r="CV91" s="4794">
        <f t="shared" si="374"/>
        <v>376.31082456041679</v>
      </c>
      <c r="CW91" s="4794">
        <f t="shared" si="375"/>
        <v>432.55293149200082</v>
      </c>
      <c r="CX91" s="4794">
        <f t="shared" si="376"/>
        <v>497.9982922851168</v>
      </c>
      <c r="CY91" s="4794">
        <f t="shared" si="377"/>
        <v>10355.492610995336</v>
      </c>
      <c r="CZ91" s="4794">
        <f t="shared" si="378"/>
        <v>13632.114262487026</v>
      </c>
      <c r="DA91" s="4794">
        <f t="shared" si="379"/>
        <v>15000.557861368317</v>
      </c>
      <c r="DB91" s="4794">
        <f t="shared" si="380"/>
        <v>16612.125985182764</v>
      </c>
      <c r="DC91" s="4794">
        <f t="shared" si="381"/>
        <v>18381.738707147349</v>
      </c>
      <c r="DD91" s="4794">
        <f t="shared" si="382"/>
        <v>20414.325491274802</v>
      </c>
      <c r="DE91" s="4794">
        <f t="shared" si="383"/>
        <v>6878.0478622569453</v>
      </c>
      <c r="DF91" s="4794">
        <f t="shared" si="384"/>
        <v>9108.4357076023989</v>
      </c>
      <c r="DG91" s="4794">
        <f t="shared" si="385"/>
        <v>10042.98149634682</v>
      </c>
      <c r="DH91" s="4794">
        <f t="shared" si="386"/>
        <v>11168.734874707925</v>
      </c>
      <c r="DI91" s="4794">
        <f t="shared" si="387"/>
        <v>12336.925479208316</v>
      </c>
      <c r="DJ91" s="4794">
        <f t="shared" si="388"/>
        <v>13672.478564087882</v>
      </c>
    </row>
    <row r="92" spans="1:114" ht="12.75">
      <c r="A92" s="801"/>
      <c r="B92" s="802" t="s">
        <v>1515</v>
      </c>
      <c r="C92" s="3225">
        <v>9763</v>
      </c>
      <c r="D92" s="3226"/>
      <c r="E92" s="3226"/>
      <c r="F92" s="3226"/>
      <c r="G92" s="3226"/>
      <c r="H92" s="3227"/>
      <c r="I92" s="1270">
        <f t="shared" si="317"/>
        <v>-9763</v>
      </c>
      <c r="J92" s="1264">
        <f t="shared" si="318"/>
        <v>-1</v>
      </c>
      <c r="K92" s="3225">
        <v>2315</v>
      </c>
      <c r="L92" s="3226"/>
      <c r="M92" s="3226"/>
      <c r="N92" s="3226"/>
      <c r="O92" s="3226"/>
      <c r="P92" s="3227"/>
      <c r="Q92" s="1270">
        <f t="shared" si="305"/>
        <v>-2315</v>
      </c>
      <c r="R92" s="1236">
        <f t="shared" si="306"/>
        <v>-1</v>
      </c>
      <c r="S92" s="3225">
        <v>2625</v>
      </c>
      <c r="T92" s="3226"/>
      <c r="U92" s="3226"/>
      <c r="V92" s="3226"/>
      <c r="W92" s="3226"/>
      <c r="X92" s="3227"/>
      <c r="Y92" s="1270">
        <f t="shared" si="307"/>
        <v>-2625</v>
      </c>
      <c r="Z92" s="1236">
        <f t="shared" si="308"/>
        <v>-1</v>
      </c>
      <c r="AA92" s="3225"/>
      <c r="AB92" s="3226"/>
      <c r="AC92" s="3226"/>
      <c r="AD92" s="3226"/>
      <c r="AE92" s="3226"/>
      <c r="AF92" s="3227"/>
      <c r="AG92" s="1270">
        <f t="shared" si="319"/>
        <v>0</v>
      </c>
      <c r="AH92" s="1264">
        <f t="shared" si="320"/>
        <v>0</v>
      </c>
      <c r="AI92" s="3225"/>
      <c r="AJ92" s="3226"/>
      <c r="AK92" s="3226"/>
      <c r="AL92" s="3226"/>
      <c r="AM92" s="3226"/>
      <c r="AN92" s="3227"/>
      <c r="AO92" s="1270">
        <f t="shared" si="333"/>
        <v>0</v>
      </c>
      <c r="AP92" s="1264">
        <f t="shared" si="334"/>
        <v>0</v>
      </c>
      <c r="AQ92" s="3225"/>
      <c r="AR92" s="3226"/>
      <c r="AS92" s="3226"/>
      <c r="AT92" s="3226"/>
      <c r="AU92" s="3226"/>
      <c r="AV92" s="3255"/>
      <c r="AW92" s="1131">
        <f>C92+K92+S92+AA92+AI92</f>
        <v>14703</v>
      </c>
      <c r="AX92" s="3245">
        <f t="shared" ref="AX92" si="428">D92+L92+T92+AB92+AJ92</f>
        <v>0</v>
      </c>
      <c r="AY92" s="3245">
        <f t="shared" ref="AY92" si="429">E92+M92+U92+AC92+AK92</f>
        <v>0</v>
      </c>
      <c r="AZ92" s="3245">
        <f t="shared" ref="AZ92" si="430">F92+N92+V92+AD92+AL92</f>
        <v>0</v>
      </c>
      <c r="BA92" s="3245">
        <f t="shared" ref="BA92" si="431">G92+O92+W92+AE92+AM92</f>
        <v>0</v>
      </c>
      <c r="BB92" s="3246">
        <f t="shared" ref="BB92" si="432">H92+P92+X92+AF92+AN92</f>
        <v>0</v>
      </c>
      <c r="BC92" s="1131">
        <f>C92+AA92+AI92</f>
        <v>9763</v>
      </c>
      <c r="BD92" s="3245">
        <f t="shared" ref="BD92:BH92" si="433">D92+AB92+AJ92</f>
        <v>0</v>
      </c>
      <c r="BE92" s="3245">
        <f t="shared" si="433"/>
        <v>0</v>
      </c>
      <c r="BF92" s="3245">
        <f t="shared" si="433"/>
        <v>0</v>
      </c>
      <c r="BG92" s="3245">
        <f t="shared" si="433"/>
        <v>0</v>
      </c>
      <c r="BH92" s="3254">
        <f t="shared" si="433"/>
        <v>0</v>
      </c>
      <c r="BI92" s="4775"/>
      <c r="BJ92" s="4794">
        <f t="shared" si="336"/>
        <v>4991.7426361186808</v>
      </c>
      <c r="BK92" s="4794">
        <f t="shared" si="337"/>
        <v>0</v>
      </c>
      <c r="BL92" s="4794">
        <f t="shared" si="338"/>
        <v>0</v>
      </c>
      <c r="BM92" s="4794">
        <f t="shared" si="339"/>
        <v>0</v>
      </c>
      <c r="BN92" s="4794">
        <f t="shared" si="340"/>
        <v>0</v>
      </c>
      <c r="BO92" s="4794">
        <f t="shared" si="341"/>
        <v>0</v>
      </c>
      <c r="BP92" s="4794">
        <f t="shared" si="342"/>
        <v>-4991.7426361186808</v>
      </c>
      <c r="BQ92" s="4794">
        <f t="shared" si="343"/>
        <v>1183.6407049692459</v>
      </c>
      <c r="BR92" s="4794">
        <f t="shared" si="344"/>
        <v>0</v>
      </c>
      <c r="BS92" s="4794">
        <f t="shared" si="345"/>
        <v>0</v>
      </c>
      <c r="BT92" s="4794">
        <f t="shared" si="346"/>
        <v>0</v>
      </c>
      <c r="BU92" s="4794">
        <f t="shared" si="347"/>
        <v>0</v>
      </c>
      <c r="BV92" s="4794">
        <f t="shared" si="348"/>
        <v>0</v>
      </c>
      <c r="BW92" s="4794">
        <f t="shared" si="349"/>
        <v>-1183.6407049692459</v>
      </c>
      <c r="BX92" s="4794">
        <f t="shared" si="350"/>
        <v>1342.1411881400736</v>
      </c>
      <c r="BY92" s="4794">
        <f t="shared" si="351"/>
        <v>0</v>
      </c>
      <c r="BZ92" s="4794">
        <f t="shared" si="352"/>
        <v>0</v>
      </c>
      <c r="CA92" s="4794">
        <f t="shared" si="353"/>
        <v>0</v>
      </c>
      <c r="CB92" s="4794">
        <f t="shared" si="354"/>
        <v>0</v>
      </c>
      <c r="CC92" s="4794">
        <f t="shared" si="355"/>
        <v>0</v>
      </c>
      <c r="CD92" s="4794">
        <f t="shared" si="356"/>
        <v>-1342.1411881400736</v>
      </c>
      <c r="CE92" s="4794">
        <f t="shared" si="357"/>
        <v>0</v>
      </c>
      <c r="CF92" s="4794">
        <f t="shared" si="358"/>
        <v>0</v>
      </c>
      <c r="CG92" s="4794">
        <f t="shared" si="359"/>
        <v>0</v>
      </c>
      <c r="CH92" s="4794">
        <f t="shared" si="360"/>
        <v>0</v>
      </c>
      <c r="CI92" s="4794">
        <f t="shared" si="361"/>
        <v>0</v>
      </c>
      <c r="CJ92" s="4794">
        <f t="shared" si="362"/>
        <v>0</v>
      </c>
      <c r="CK92" s="4794">
        <f t="shared" si="363"/>
        <v>0</v>
      </c>
      <c r="CL92" s="4794">
        <f t="shared" si="364"/>
        <v>0</v>
      </c>
      <c r="CM92" s="4794">
        <f t="shared" si="365"/>
        <v>0</v>
      </c>
      <c r="CN92" s="4794">
        <f t="shared" si="366"/>
        <v>0</v>
      </c>
      <c r="CO92" s="4794">
        <f t="shared" si="367"/>
        <v>0</v>
      </c>
      <c r="CP92" s="4794">
        <f t="shared" si="368"/>
        <v>0</v>
      </c>
      <c r="CQ92" s="4794">
        <f t="shared" si="369"/>
        <v>0</v>
      </c>
      <c r="CR92" s="4794">
        <f t="shared" si="370"/>
        <v>0</v>
      </c>
      <c r="CS92" s="4794">
        <f t="shared" si="371"/>
        <v>0</v>
      </c>
      <c r="CT92" s="4794">
        <f t="shared" si="372"/>
        <v>0</v>
      </c>
      <c r="CU92" s="4794">
        <f t="shared" si="373"/>
        <v>0</v>
      </c>
      <c r="CV92" s="4794">
        <f t="shared" si="374"/>
        <v>0</v>
      </c>
      <c r="CW92" s="4794">
        <f t="shared" si="375"/>
        <v>0</v>
      </c>
      <c r="CX92" s="4794">
        <f t="shared" si="376"/>
        <v>0</v>
      </c>
      <c r="CY92" s="4794">
        <f t="shared" si="377"/>
        <v>7517.5245292280006</v>
      </c>
      <c r="CZ92" s="4794">
        <f t="shared" si="378"/>
        <v>0</v>
      </c>
      <c r="DA92" s="4794">
        <f t="shared" si="379"/>
        <v>0</v>
      </c>
      <c r="DB92" s="4794">
        <f t="shared" si="380"/>
        <v>0</v>
      </c>
      <c r="DC92" s="4794">
        <f t="shared" si="381"/>
        <v>0</v>
      </c>
      <c r="DD92" s="4794">
        <f t="shared" si="382"/>
        <v>0</v>
      </c>
      <c r="DE92" s="4794">
        <f t="shared" si="383"/>
        <v>4991.7426361186808</v>
      </c>
      <c r="DF92" s="4794">
        <f t="shared" si="384"/>
        <v>0</v>
      </c>
      <c r="DG92" s="4794">
        <f t="shared" si="385"/>
        <v>0</v>
      </c>
      <c r="DH92" s="4794">
        <f t="shared" si="386"/>
        <v>0</v>
      </c>
      <c r="DI92" s="4794">
        <f t="shared" si="387"/>
        <v>0</v>
      </c>
      <c r="DJ92" s="4794">
        <f t="shared" si="388"/>
        <v>0</v>
      </c>
    </row>
    <row r="93" spans="1:114" ht="12.75">
      <c r="A93" s="3593"/>
      <c r="B93" s="3595" t="s">
        <v>1516</v>
      </c>
      <c r="C93" s="1131">
        <f>C91-C92</f>
        <v>3689.2923504380014</v>
      </c>
      <c r="D93" s="3245">
        <f t="shared" ref="D93" si="434">D91-D92</f>
        <v>17814.551810000001</v>
      </c>
      <c r="E93" s="3245">
        <f t="shared" ref="E93" si="435">E91-E92</f>
        <v>19642.3645</v>
      </c>
      <c r="F93" s="3245">
        <f t="shared" ref="F93" si="436">F91-F92</f>
        <v>21844.14673</v>
      </c>
      <c r="G93" s="3245">
        <f t="shared" ref="G93" si="437">G91-G92</f>
        <v>24128.928960000001</v>
      </c>
      <c r="H93" s="3246">
        <f t="shared" ref="H93" si="438">H91-H92</f>
        <v>26741.043750000001</v>
      </c>
      <c r="I93" s="1270">
        <f t="shared" si="317"/>
        <v>14125.259459561999</v>
      </c>
      <c r="J93" s="1264">
        <f t="shared" si="318"/>
        <v>3.8287178455469966</v>
      </c>
      <c r="K93" s="1131">
        <f t="shared" ref="K93:AV93" si="439">K91-K92</f>
        <v>872.11483987499969</v>
      </c>
      <c r="L93" s="3245">
        <f t="shared" si="439"/>
        <v>4195.1374820000001</v>
      </c>
      <c r="M93" s="3245">
        <f t="shared" si="439"/>
        <v>4708.1374820000001</v>
      </c>
      <c r="N93" s="3245">
        <f t="shared" si="439"/>
        <v>5190.109985600001</v>
      </c>
      <c r="O93" s="3245">
        <f t="shared" si="439"/>
        <v>5820.1099856000001</v>
      </c>
      <c r="P93" s="3246">
        <f t="shared" si="439"/>
        <v>6551.1099856000001</v>
      </c>
      <c r="Q93" s="1270">
        <f t="shared" si="305"/>
        <v>3323.0226421250004</v>
      </c>
      <c r="R93" s="1236">
        <f t="shared" si="306"/>
        <v>3.8103039762530466</v>
      </c>
      <c r="S93" s="1131">
        <f>S91-S92</f>
        <v>989.17592304999971</v>
      </c>
      <c r="T93" s="3245">
        <f t="shared" si="439"/>
        <v>4652.4087460000001</v>
      </c>
      <c r="U93" s="3245">
        <f t="shared" si="439"/>
        <v>4988.0391</v>
      </c>
      <c r="V93" s="3245">
        <f t="shared" si="439"/>
        <v>5456.23765</v>
      </c>
      <c r="W93" s="3245">
        <f t="shared" si="439"/>
        <v>6002.5170699999999</v>
      </c>
      <c r="X93" s="3246">
        <f t="shared" si="439"/>
        <v>6634.7964900000006</v>
      </c>
      <c r="Y93" s="1270">
        <f t="shared" si="307"/>
        <v>3663.2328229500004</v>
      </c>
      <c r="Z93" s="1236">
        <f t="shared" si="308"/>
        <v>3.7033178200040311</v>
      </c>
      <c r="AA93" s="1131">
        <f>AA91-AA92</f>
        <v>0</v>
      </c>
      <c r="AB93" s="3245">
        <f t="shared" ref="AB93:AF93" si="440">AB91-AB92</f>
        <v>0</v>
      </c>
      <c r="AC93" s="3245">
        <f t="shared" si="440"/>
        <v>0</v>
      </c>
      <c r="AD93" s="3245">
        <f t="shared" si="440"/>
        <v>0</v>
      </c>
      <c r="AE93" s="3245">
        <f t="shared" si="440"/>
        <v>0</v>
      </c>
      <c r="AF93" s="3246">
        <f t="shared" si="440"/>
        <v>0</v>
      </c>
      <c r="AG93" s="1270">
        <f t="shared" si="319"/>
        <v>0</v>
      </c>
      <c r="AH93" s="1264">
        <f t="shared" si="320"/>
        <v>0</v>
      </c>
      <c r="AI93" s="1131">
        <f t="shared" ref="AI93:AN93" si="441">AI91-AI92</f>
        <v>0</v>
      </c>
      <c r="AJ93" s="3245">
        <f t="shared" si="441"/>
        <v>0</v>
      </c>
      <c r="AK93" s="3245">
        <f t="shared" si="441"/>
        <v>0</v>
      </c>
      <c r="AL93" s="3245">
        <f t="shared" si="441"/>
        <v>0</v>
      </c>
      <c r="AM93" s="3245">
        <f t="shared" si="441"/>
        <v>0</v>
      </c>
      <c r="AN93" s="3246">
        <f t="shared" si="441"/>
        <v>0</v>
      </c>
      <c r="AO93" s="1270">
        <f t="shared" si="333"/>
        <v>0</v>
      </c>
      <c r="AP93" s="1264">
        <f t="shared" si="334"/>
        <v>0</v>
      </c>
      <c r="AQ93" s="1131">
        <f t="shared" si="439"/>
        <v>806.46480738299999</v>
      </c>
      <c r="AR93" s="3245">
        <f t="shared" si="439"/>
        <v>557</v>
      </c>
      <c r="AS93" s="3245">
        <f t="shared" si="439"/>
        <v>641</v>
      </c>
      <c r="AT93" s="3245">
        <f t="shared" si="439"/>
        <v>736</v>
      </c>
      <c r="AU93" s="3245">
        <f t="shared" si="439"/>
        <v>846</v>
      </c>
      <c r="AV93" s="3254">
        <f t="shared" si="439"/>
        <v>974</v>
      </c>
      <c r="AW93" s="1131">
        <f>AW91-AW92</f>
        <v>5550.5831133630054</v>
      </c>
      <c r="AX93" s="3245">
        <f t="shared" ref="AX93" si="442">AX91-AX92</f>
        <v>26662.098038</v>
      </c>
      <c r="AY93" s="3245">
        <f t="shared" ref="AY93" si="443">AY91-AY92</f>
        <v>29338.541081999996</v>
      </c>
      <c r="AZ93" s="3245">
        <f t="shared" ref="AZ93" si="444">AZ91-AZ92</f>
        <v>32490.494365600003</v>
      </c>
      <c r="BA93" s="3245">
        <f t="shared" ref="BA93" si="445">BA91-BA92</f>
        <v>35951.556015599999</v>
      </c>
      <c r="BB93" s="3254">
        <f t="shared" ref="BB93" si="446">BB91-BB92</f>
        <v>39926.950225599998</v>
      </c>
      <c r="BC93" s="1131">
        <f>BC91-BC92</f>
        <v>3689.2923504380014</v>
      </c>
      <c r="BD93" s="3245">
        <f t="shared" ref="BD93" si="447">BD91-BD92</f>
        <v>17814.551810000001</v>
      </c>
      <c r="BE93" s="3245">
        <f t="shared" ref="BE93" si="448">BE91-BE92</f>
        <v>19642.3645</v>
      </c>
      <c r="BF93" s="3245">
        <f t="shared" ref="BF93" si="449">BF91-BF92</f>
        <v>21844.14673</v>
      </c>
      <c r="BG93" s="3245">
        <f t="shared" ref="BG93" si="450">BG91-BG92</f>
        <v>24128.928960000001</v>
      </c>
      <c r="BH93" s="3254">
        <f t="shared" ref="BH93" si="451">BH91-BH92</f>
        <v>26741.043750000001</v>
      </c>
      <c r="BI93" s="4775"/>
      <c r="BJ93" s="4794">
        <f t="shared" si="336"/>
        <v>1886.3052261382643</v>
      </c>
      <c r="BK93" s="4794">
        <f t="shared" si="337"/>
        <v>9108.4357076023989</v>
      </c>
      <c r="BL93" s="4794">
        <f t="shared" si="338"/>
        <v>10042.98149634682</v>
      </c>
      <c r="BM93" s="4794">
        <f t="shared" si="339"/>
        <v>11168.734874707925</v>
      </c>
      <c r="BN93" s="4794">
        <f t="shared" si="340"/>
        <v>12336.925479208316</v>
      </c>
      <c r="BO93" s="4794">
        <f t="shared" si="341"/>
        <v>13672.478564087882</v>
      </c>
      <c r="BP93" s="4794">
        <f t="shared" si="342"/>
        <v>7222.1304814641353</v>
      </c>
      <c r="BQ93" s="4794">
        <f t="shared" si="343"/>
        <v>445.90523709882746</v>
      </c>
      <c r="BR93" s="4794">
        <f t="shared" si="344"/>
        <v>2144.9397350485474</v>
      </c>
      <c r="BS93" s="4794">
        <f t="shared" si="345"/>
        <v>2407.2324701022076</v>
      </c>
      <c r="BT93" s="4794">
        <f t="shared" si="346"/>
        <v>2653.6610981527028</v>
      </c>
      <c r="BU93" s="4794">
        <f t="shared" si="347"/>
        <v>2975.7749833063203</v>
      </c>
      <c r="BV93" s="4794">
        <f t="shared" si="348"/>
        <v>3349.529348460756</v>
      </c>
      <c r="BW93" s="4794">
        <f t="shared" si="349"/>
        <v>1699.0344979497197</v>
      </c>
      <c r="BX93" s="4794">
        <f t="shared" si="350"/>
        <v>505.75761853024022</v>
      </c>
      <c r="BY93" s="4794">
        <f t="shared" si="351"/>
        <v>2378.73881983608</v>
      </c>
      <c r="BZ93" s="4794">
        <f t="shared" si="352"/>
        <v>2550.3438949192928</v>
      </c>
      <c r="CA93" s="4794">
        <f t="shared" si="353"/>
        <v>2789.7300123221344</v>
      </c>
      <c r="CB93" s="4794">
        <f t="shared" si="354"/>
        <v>3069.0382446327135</v>
      </c>
      <c r="CC93" s="4794">
        <f t="shared" si="355"/>
        <v>3392.317578726168</v>
      </c>
      <c r="CD93" s="4794">
        <f t="shared" si="356"/>
        <v>1872.9812013058397</v>
      </c>
      <c r="CE93" s="4794">
        <f t="shared" si="357"/>
        <v>0</v>
      </c>
      <c r="CF93" s="4794">
        <f t="shared" si="358"/>
        <v>0</v>
      </c>
      <c r="CG93" s="4794">
        <f t="shared" si="359"/>
        <v>0</v>
      </c>
      <c r="CH93" s="4794">
        <f t="shared" si="360"/>
        <v>0</v>
      </c>
      <c r="CI93" s="4794">
        <f t="shared" si="361"/>
        <v>0</v>
      </c>
      <c r="CJ93" s="4794">
        <f t="shared" si="362"/>
        <v>0</v>
      </c>
      <c r="CK93" s="4794">
        <f t="shared" si="363"/>
        <v>0</v>
      </c>
      <c r="CL93" s="4794">
        <f t="shared" si="364"/>
        <v>0</v>
      </c>
      <c r="CM93" s="4794">
        <f t="shared" si="365"/>
        <v>0</v>
      </c>
      <c r="CN93" s="4794">
        <f t="shared" si="366"/>
        <v>0</v>
      </c>
      <c r="CO93" s="4794">
        <f t="shared" si="367"/>
        <v>0</v>
      </c>
      <c r="CP93" s="4794">
        <f t="shared" si="368"/>
        <v>0</v>
      </c>
      <c r="CQ93" s="4794">
        <f t="shared" si="369"/>
        <v>0</v>
      </c>
      <c r="CR93" s="4794">
        <f t="shared" si="370"/>
        <v>0</v>
      </c>
      <c r="CS93" s="4794">
        <f t="shared" si="371"/>
        <v>412.33890848540005</v>
      </c>
      <c r="CT93" s="4794">
        <f t="shared" si="372"/>
        <v>284.78957782629368</v>
      </c>
      <c r="CU93" s="4794">
        <f t="shared" si="373"/>
        <v>327.73809584677605</v>
      </c>
      <c r="CV93" s="4794">
        <f t="shared" si="374"/>
        <v>376.31082456041679</v>
      </c>
      <c r="CW93" s="4794">
        <f t="shared" si="375"/>
        <v>432.55293149200082</v>
      </c>
      <c r="CX93" s="4794">
        <f t="shared" si="376"/>
        <v>497.9982922851168</v>
      </c>
      <c r="CY93" s="4794">
        <f t="shared" si="377"/>
        <v>2837.9680817673343</v>
      </c>
      <c r="CZ93" s="4794">
        <f t="shared" si="378"/>
        <v>13632.114262487026</v>
      </c>
      <c r="DA93" s="4794">
        <f t="shared" si="379"/>
        <v>15000.557861368317</v>
      </c>
      <c r="DB93" s="4794">
        <f t="shared" si="380"/>
        <v>16612.125985182764</v>
      </c>
      <c r="DC93" s="4794">
        <f t="shared" si="381"/>
        <v>18381.738707147349</v>
      </c>
      <c r="DD93" s="4794">
        <f t="shared" si="382"/>
        <v>20414.325491274802</v>
      </c>
      <c r="DE93" s="4794">
        <f t="shared" si="383"/>
        <v>1886.3052261382643</v>
      </c>
      <c r="DF93" s="4794">
        <f t="shared" si="384"/>
        <v>9108.4357076023989</v>
      </c>
      <c r="DG93" s="4794">
        <f t="shared" si="385"/>
        <v>10042.98149634682</v>
      </c>
      <c r="DH93" s="4794">
        <f t="shared" si="386"/>
        <v>11168.734874707925</v>
      </c>
      <c r="DI93" s="4794">
        <f t="shared" si="387"/>
        <v>12336.925479208316</v>
      </c>
      <c r="DJ93" s="4794">
        <f t="shared" si="388"/>
        <v>13672.478564087882</v>
      </c>
    </row>
    <row r="94" spans="1:114" ht="13.5" thickBot="1">
      <c r="A94" s="858"/>
      <c r="B94" s="859" t="s">
        <v>1466</v>
      </c>
      <c r="C94" s="3225">
        <v>1833</v>
      </c>
      <c r="D94" s="3226"/>
      <c r="E94" s="3226"/>
      <c r="F94" s="3226"/>
      <c r="G94" s="3226"/>
      <c r="H94" s="3227"/>
      <c r="I94" s="1270">
        <f t="shared" si="317"/>
        <v>-1833</v>
      </c>
      <c r="J94" s="1264">
        <f t="shared" si="318"/>
        <v>-1</v>
      </c>
      <c r="K94" s="3225">
        <v>435</v>
      </c>
      <c r="L94" s="3226"/>
      <c r="M94" s="3226"/>
      <c r="N94" s="3226"/>
      <c r="O94" s="3226"/>
      <c r="P94" s="3227"/>
      <c r="Q94" s="1270">
        <f t="shared" si="305"/>
        <v>-435</v>
      </c>
      <c r="R94" s="1236">
        <f t="shared" si="306"/>
        <v>-1</v>
      </c>
      <c r="S94" s="3225">
        <v>493</v>
      </c>
      <c r="T94" s="3226"/>
      <c r="U94" s="3226"/>
      <c r="V94" s="3226"/>
      <c r="W94" s="3226"/>
      <c r="X94" s="3227"/>
      <c r="Y94" s="1270">
        <f t="shared" si="307"/>
        <v>-493</v>
      </c>
      <c r="Z94" s="1236">
        <f t="shared" si="308"/>
        <v>-1</v>
      </c>
      <c r="AA94" s="3225"/>
      <c r="AB94" s="3226"/>
      <c r="AC94" s="3226"/>
      <c r="AD94" s="3226"/>
      <c r="AE94" s="3226"/>
      <c r="AF94" s="3227"/>
      <c r="AG94" s="1270">
        <f t="shared" si="319"/>
        <v>0</v>
      </c>
      <c r="AH94" s="1264">
        <f t="shared" si="320"/>
        <v>0</v>
      </c>
      <c r="AI94" s="3225"/>
      <c r="AJ94" s="3226"/>
      <c r="AK94" s="3226"/>
      <c r="AL94" s="3226"/>
      <c r="AM94" s="3226"/>
      <c r="AN94" s="3227"/>
      <c r="AO94" s="1270">
        <f t="shared" si="333"/>
        <v>0</v>
      </c>
      <c r="AP94" s="1264">
        <f t="shared" si="334"/>
        <v>0</v>
      </c>
      <c r="AQ94" s="3225"/>
      <c r="AR94" s="3226"/>
      <c r="AS94" s="3226"/>
      <c r="AT94" s="3226"/>
      <c r="AU94" s="3226"/>
      <c r="AV94" s="3255"/>
      <c r="AW94" s="3589">
        <f>C94+K94+S94+AA94+AI94</f>
        <v>2761</v>
      </c>
      <c r="AX94" s="3590">
        <f t="shared" ref="AX94" si="452">D94+L94+T94+AB94+AJ94</f>
        <v>0</v>
      </c>
      <c r="AY94" s="3590">
        <f t="shared" ref="AY94" si="453">E94+M94+U94+AC94+AK94</f>
        <v>0</v>
      </c>
      <c r="AZ94" s="3590">
        <f t="shared" ref="AZ94" si="454">F94+N94+V94+AD94+AL94</f>
        <v>0</v>
      </c>
      <c r="BA94" s="3590">
        <f t="shared" ref="BA94" si="455">G94+O94+W94+AE94+AM94</f>
        <v>0</v>
      </c>
      <c r="BB94" s="3591">
        <f t="shared" ref="BB94" si="456">H94+P94+X94+AF94+AN94</f>
        <v>0</v>
      </c>
      <c r="BC94" s="3589">
        <f>C94+AA94+AI94</f>
        <v>1833</v>
      </c>
      <c r="BD94" s="3590">
        <f t="shared" ref="BD94:BG94" si="457">D94+AB94+AJ94</f>
        <v>0</v>
      </c>
      <c r="BE94" s="3590">
        <f t="shared" si="457"/>
        <v>0</v>
      </c>
      <c r="BF94" s="3590">
        <f t="shared" si="457"/>
        <v>0</v>
      </c>
      <c r="BG94" s="3590">
        <f t="shared" si="457"/>
        <v>0</v>
      </c>
      <c r="BH94" s="3591">
        <f>H94+AF94+AN94</f>
        <v>0</v>
      </c>
      <c r="BI94" s="4775"/>
      <c r="BJ94" s="4794">
        <f t="shared" si="336"/>
        <v>937.19801823266846</v>
      </c>
      <c r="BK94" s="4794">
        <f t="shared" si="337"/>
        <v>0</v>
      </c>
      <c r="BL94" s="4794">
        <f t="shared" si="338"/>
        <v>0</v>
      </c>
      <c r="BM94" s="4794">
        <f t="shared" si="339"/>
        <v>0</v>
      </c>
      <c r="BN94" s="4794">
        <f t="shared" si="340"/>
        <v>0</v>
      </c>
      <c r="BO94" s="4794">
        <f t="shared" si="341"/>
        <v>0</v>
      </c>
      <c r="BP94" s="4794">
        <f t="shared" si="342"/>
        <v>-937.19801823266846</v>
      </c>
      <c r="BQ94" s="4794">
        <f t="shared" si="343"/>
        <v>222.41196832035504</v>
      </c>
      <c r="BR94" s="4794">
        <f t="shared" si="344"/>
        <v>0</v>
      </c>
      <c r="BS94" s="4794">
        <f t="shared" si="345"/>
        <v>0</v>
      </c>
      <c r="BT94" s="4794">
        <f t="shared" si="346"/>
        <v>0</v>
      </c>
      <c r="BU94" s="4794">
        <f t="shared" si="347"/>
        <v>0</v>
      </c>
      <c r="BV94" s="4794">
        <f t="shared" si="348"/>
        <v>0</v>
      </c>
      <c r="BW94" s="4794">
        <f t="shared" si="349"/>
        <v>-222.41196832035504</v>
      </c>
      <c r="BX94" s="4794">
        <f t="shared" si="350"/>
        <v>252.06689742973572</v>
      </c>
      <c r="BY94" s="4794">
        <f t="shared" si="351"/>
        <v>0</v>
      </c>
      <c r="BZ94" s="4794">
        <f t="shared" si="352"/>
        <v>0</v>
      </c>
      <c r="CA94" s="4794">
        <f t="shared" si="353"/>
        <v>0</v>
      </c>
      <c r="CB94" s="4794">
        <f t="shared" si="354"/>
        <v>0</v>
      </c>
      <c r="CC94" s="4794">
        <f t="shared" si="355"/>
        <v>0</v>
      </c>
      <c r="CD94" s="4794">
        <f t="shared" si="356"/>
        <v>-252.06689742973572</v>
      </c>
      <c r="CE94" s="4794">
        <f t="shared" si="357"/>
        <v>0</v>
      </c>
      <c r="CF94" s="4794">
        <f t="shared" si="358"/>
        <v>0</v>
      </c>
      <c r="CG94" s="4794">
        <f t="shared" si="359"/>
        <v>0</v>
      </c>
      <c r="CH94" s="4794">
        <f t="shared" si="360"/>
        <v>0</v>
      </c>
      <c r="CI94" s="4794">
        <f t="shared" si="361"/>
        <v>0</v>
      </c>
      <c r="CJ94" s="4794">
        <f t="shared" si="362"/>
        <v>0</v>
      </c>
      <c r="CK94" s="4794">
        <f t="shared" si="363"/>
        <v>0</v>
      </c>
      <c r="CL94" s="4794">
        <f t="shared" si="364"/>
        <v>0</v>
      </c>
      <c r="CM94" s="4794">
        <f t="shared" si="365"/>
        <v>0</v>
      </c>
      <c r="CN94" s="4794">
        <f t="shared" si="366"/>
        <v>0</v>
      </c>
      <c r="CO94" s="4794">
        <f t="shared" si="367"/>
        <v>0</v>
      </c>
      <c r="CP94" s="4794">
        <f t="shared" si="368"/>
        <v>0</v>
      </c>
      <c r="CQ94" s="4794">
        <f t="shared" si="369"/>
        <v>0</v>
      </c>
      <c r="CR94" s="4794">
        <f t="shared" si="370"/>
        <v>0</v>
      </c>
      <c r="CS94" s="4794">
        <f t="shared" si="371"/>
        <v>0</v>
      </c>
      <c r="CT94" s="4794">
        <f t="shared" si="372"/>
        <v>0</v>
      </c>
      <c r="CU94" s="4794">
        <f t="shared" si="373"/>
        <v>0</v>
      </c>
      <c r="CV94" s="4794">
        <f t="shared" si="374"/>
        <v>0</v>
      </c>
      <c r="CW94" s="4794">
        <f t="shared" si="375"/>
        <v>0</v>
      </c>
      <c r="CX94" s="4794">
        <f t="shared" si="376"/>
        <v>0</v>
      </c>
      <c r="CY94" s="4794">
        <f t="shared" si="377"/>
        <v>1411.6768839827594</v>
      </c>
      <c r="CZ94" s="4794">
        <f t="shared" si="378"/>
        <v>0</v>
      </c>
      <c r="DA94" s="4794">
        <f t="shared" si="379"/>
        <v>0</v>
      </c>
      <c r="DB94" s="4794">
        <f t="shared" si="380"/>
        <v>0</v>
      </c>
      <c r="DC94" s="4794">
        <f t="shared" si="381"/>
        <v>0</v>
      </c>
      <c r="DD94" s="4794">
        <f t="shared" si="382"/>
        <v>0</v>
      </c>
      <c r="DE94" s="4794">
        <f t="shared" si="383"/>
        <v>937.19801823266846</v>
      </c>
      <c r="DF94" s="4794">
        <f t="shared" si="384"/>
        <v>0</v>
      </c>
      <c r="DG94" s="4794">
        <f t="shared" si="385"/>
        <v>0</v>
      </c>
      <c r="DH94" s="4794">
        <f t="shared" si="386"/>
        <v>0</v>
      </c>
      <c r="DI94" s="4794">
        <f t="shared" si="387"/>
        <v>0</v>
      </c>
      <c r="DJ94" s="4794">
        <f t="shared" si="388"/>
        <v>0</v>
      </c>
    </row>
    <row r="95" spans="1:114" s="651" customFormat="1" ht="24.75" thickBot="1">
      <c r="A95" s="260"/>
      <c r="B95" s="261" t="s">
        <v>1231</v>
      </c>
      <c r="C95" s="1138">
        <f t="shared" ref="C95:G95" si="458">C88-C58</f>
        <v>14246.292350438001</v>
      </c>
      <c r="D95" s="3248">
        <f t="shared" si="458"/>
        <v>19349.186639545456</v>
      </c>
      <c r="E95" s="1173">
        <f t="shared" si="458"/>
        <v>21277.752384037474</v>
      </c>
      <c r="F95" s="1173">
        <f t="shared" si="458"/>
        <v>23583.40686625434</v>
      </c>
      <c r="G95" s="1173">
        <f t="shared" si="458"/>
        <v>25987.027313905201</v>
      </c>
      <c r="H95" s="3249">
        <f t="shared" ref="H95:AV95" si="459">H88-H58</f>
        <v>28704.272442084119</v>
      </c>
      <c r="I95" s="1275">
        <f>D95-C95</f>
        <v>5102.8942891074548</v>
      </c>
      <c r="J95" s="843">
        <f>IFERROR((D95-C95)/C95,0)</f>
        <v>0.3581910411202931</v>
      </c>
      <c r="K95" s="1138">
        <f t="shared" si="459"/>
        <v>3391.1148398749997</v>
      </c>
      <c r="L95" s="3248">
        <f t="shared" si="459"/>
        <v>4435.3258721515158</v>
      </c>
      <c r="M95" s="1173">
        <f t="shared" si="459"/>
        <v>4953.738194391728</v>
      </c>
      <c r="N95" s="1173">
        <f t="shared" si="459"/>
        <v>5441.187508976971</v>
      </c>
      <c r="O95" s="1173">
        <f t="shared" si="459"/>
        <v>6076.3626658198937</v>
      </c>
      <c r="P95" s="3249">
        <f t="shared" si="459"/>
        <v>6812.0759216574461</v>
      </c>
      <c r="Q95" s="1275">
        <f t="shared" si="305"/>
        <v>1044.2110322765161</v>
      </c>
      <c r="R95" s="902">
        <f t="shared" si="306"/>
        <v>0.30792558836344419</v>
      </c>
      <c r="S95" s="1138">
        <f t="shared" si="459"/>
        <v>3731.1759230499997</v>
      </c>
      <c r="T95" s="3248">
        <f t="shared" si="459"/>
        <v>4788.8655263030296</v>
      </c>
      <c r="U95" s="1173">
        <f t="shared" si="459"/>
        <v>5136.6805035707976</v>
      </c>
      <c r="V95" s="1173">
        <f t="shared" si="459"/>
        <v>5615.979990368689</v>
      </c>
      <c r="W95" s="1173">
        <f t="shared" si="459"/>
        <v>6174.2460358749095</v>
      </c>
      <c r="X95" s="3249">
        <f t="shared" si="459"/>
        <v>6817.7818618584379</v>
      </c>
      <c r="Y95" s="1275">
        <f t="shared" si="307"/>
        <v>1057.6896032530299</v>
      </c>
      <c r="Z95" s="902">
        <f t="shared" si="308"/>
        <v>0.2834735282029896</v>
      </c>
      <c r="AA95" s="1138">
        <f t="shared" si="459"/>
        <v>0</v>
      </c>
      <c r="AB95" s="3248">
        <f t="shared" si="459"/>
        <v>0</v>
      </c>
      <c r="AC95" s="1173">
        <f t="shared" si="459"/>
        <v>0</v>
      </c>
      <c r="AD95" s="1173">
        <f t="shared" si="459"/>
        <v>0</v>
      </c>
      <c r="AE95" s="1173">
        <f t="shared" si="459"/>
        <v>0</v>
      </c>
      <c r="AF95" s="3249">
        <f t="shared" si="459"/>
        <v>0</v>
      </c>
      <c r="AG95" s="1275">
        <f t="shared" si="319"/>
        <v>0</v>
      </c>
      <c r="AH95" s="843">
        <f t="shared" si="320"/>
        <v>0</v>
      </c>
      <c r="AI95" s="1138">
        <f t="shared" si="459"/>
        <v>0</v>
      </c>
      <c r="AJ95" s="3248">
        <f t="shared" si="459"/>
        <v>0</v>
      </c>
      <c r="AK95" s="1173">
        <f t="shared" si="459"/>
        <v>0</v>
      </c>
      <c r="AL95" s="1173">
        <f t="shared" si="459"/>
        <v>0</v>
      </c>
      <c r="AM95" s="1173">
        <f t="shared" si="459"/>
        <v>0</v>
      </c>
      <c r="AN95" s="3263">
        <f t="shared" si="459"/>
        <v>0</v>
      </c>
      <c r="AO95" s="1275">
        <f t="shared" si="333"/>
        <v>0</v>
      </c>
      <c r="AP95" s="843">
        <f t="shared" si="334"/>
        <v>0</v>
      </c>
      <c r="AQ95" s="1138">
        <f t="shared" si="459"/>
        <v>806.46480738299999</v>
      </c>
      <c r="AR95" s="3248">
        <f t="shared" si="459"/>
        <v>557</v>
      </c>
      <c r="AS95" s="1173">
        <f t="shared" si="459"/>
        <v>641</v>
      </c>
      <c r="AT95" s="1173">
        <f t="shared" si="459"/>
        <v>736</v>
      </c>
      <c r="AU95" s="1173">
        <f t="shared" si="459"/>
        <v>846</v>
      </c>
      <c r="AV95" s="3263">
        <f t="shared" si="459"/>
        <v>974</v>
      </c>
      <c r="AW95" s="1138">
        <f t="shared" ref="AW95:BB95" si="460">AW88-AW58</f>
        <v>21368.583113363005</v>
      </c>
      <c r="AX95" s="3248">
        <f t="shared" si="460"/>
        <v>28573.378037999999</v>
      </c>
      <c r="AY95" s="1173">
        <f t="shared" si="460"/>
        <v>31368.171081999997</v>
      </c>
      <c r="AZ95" s="1173">
        <f t="shared" si="460"/>
        <v>34640.574365600005</v>
      </c>
      <c r="BA95" s="1173">
        <f t="shared" si="460"/>
        <v>38237.636015600001</v>
      </c>
      <c r="BB95" s="3263">
        <f t="shared" si="460"/>
        <v>42334.130225599998</v>
      </c>
      <c r="BC95" s="1138">
        <f t="shared" ref="BC95:BH95" si="461">BC88-BC58</f>
        <v>14246.292350438001</v>
      </c>
      <c r="BD95" s="3248">
        <f t="shared" si="461"/>
        <v>19349.186639545456</v>
      </c>
      <c r="BE95" s="1173">
        <f t="shared" si="461"/>
        <v>21277.752384037474</v>
      </c>
      <c r="BF95" s="1173">
        <f t="shared" si="461"/>
        <v>23583.40686625434</v>
      </c>
      <c r="BG95" s="1173">
        <f t="shared" si="461"/>
        <v>25987.027313905201</v>
      </c>
      <c r="BH95" s="3263">
        <f t="shared" si="461"/>
        <v>28704.272442084119</v>
      </c>
      <c r="BI95" s="4775"/>
      <c r="BJ95" s="4794">
        <f t="shared" si="336"/>
        <v>7284.0136159267431</v>
      </c>
      <c r="BK95" s="4794">
        <f t="shared" si="337"/>
        <v>9893.082036549933</v>
      </c>
      <c r="BL95" s="4794">
        <f t="shared" si="338"/>
        <v>10879.142044061844</v>
      </c>
      <c r="BM95" s="4794">
        <f t="shared" si="339"/>
        <v>12058.004461662997</v>
      </c>
      <c r="BN95" s="4794">
        <f t="shared" si="340"/>
        <v>13286.956082024102</v>
      </c>
      <c r="BO95" s="4794">
        <f t="shared" si="341"/>
        <v>14676.261455281961</v>
      </c>
      <c r="BP95" s="4794">
        <f t="shared" si="342"/>
        <v>2609.0684206231908</v>
      </c>
      <c r="BQ95" s="4794">
        <f t="shared" si="343"/>
        <v>1733.8494858321019</v>
      </c>
      <c r="BR95" s="4794">
        <f t="shared" si="344"/>
        <v>2267.746108890607</v>
      </c>
      <c r="BS95" s="4794">
        <f t="shared" si="345"/>
        <v>2532.8061203641055</v>
      </c>
      <c r="BT95" s="4794">
        <f t="shared" si="346"/>
        <v>2782.0349974062015</v>
      </c>
      <c r="BU95" s="4794">
        <f t="shared" si="347"/>
        <v>3106.7948982375224</v>
      </c>
      <c r="BV95" s="4794">
        <f t="shared" si="348"/>
        <v>3482.9591128356997</v>
      </c>
      <c r="BW95" s="4794">
        <f t="shared" si="349"/>
        <v>533.89662305850516</v>
      </c>
      <c r="BX95" s="4794">
        <f t="shared" si="350"/>
        <v>1907.7199567702714</v>
      </c>
      <c r="BY95" s="4794">
        <f t="shared" si="351"/>
        <v>2448.5080637391948</v>
      </c>
      <c r="BZ95" s="4794">
        <f t="shared" si="352"/>
        <v>2626.3430377746522</v>
      </c>
      <c r="CA95" s="4794">
        <f t="shared" si="353"/>
        <v>2871.4049740359278</v>
      </c>
      <c r="CB95" s="4794">
        <f t="shared" si="354"/>
        <v>3156.8418706507773</v>
      </c>
      <c r="CC95" s="4794">
        <f t="shared" si="355"/>
        <v>3485.8765137350579</v>
      </c>
      <c r="CD95" s="4794">
        <f t="shared" si="356"/>
        <v>540.78810696892367</v>
      </c>
      <c r="CE95" s="4794">
        <f t="shared" si="357"/>
        <v>0</v>
      </c>
      <c r="CF95" s="4794">
        <f t="shared" si="358"/>
        <v>0</v>
      </c>
      <c r="CG95" s="4794">
        <f t="shared" si="359"/>
        <v>0</v>
      </c>
      <c r="CH95" s="4794">
        <f t="shared" si="360"/>
        <v>0</v>
      </c>
      <c r="CI95" s="4794">
        <f t="shared" si="361"/>
        <v>0</v>
      </c>
      <c r="CJ95" s="4794">
        <f t="shared" si="362"/>
        <v>0</v>
      </c>
      <c r="CK95" s="4794">
        <f t="shared" si="363"/>
        <v>0</v>
      </c>
      <c r="CL95" s="4794">
        <f t="shared" si="364"/>
        <v>0</v>
      </c>
      <c r="CM95" s="4794">
        <f t="shared" si="365"/>
        <v>0</v>
      </c>
      <c r="CN95" s="4794">
        <f t="shared" si="366"/>
        <v>0</v>
      </c>
      <c r="CO95" s="4794">
        <f t="shared" si="367"/>
        <v>0</v>
      </c>
      <c r="CP95" s="4794">
        <f t="shared" si="368"/>
        <v>0</v>
      </c>
      <c r="CQ95" s="4794">
        <f t="shared" si="369"/>
        <v>0</v>
      </c>
      <c r="CR95" s="4794">
        <f t="shared" si="370"/>
        <v>0</v>
      </c>
      <c r="CS95" s="4794">
        <f t="shared" si="371"/>
        <v>412.33890848540005</v>
      </c>
      <c r="CT95" s="4794">
        <f t="shared" si="372"/>
        <v>284.78957782629368</v>
      </c>
      <c r="CU95" s="4794">
        <f t="shared" si="373"/>
        <v>327.73809584677605</v>
      </c>
      <c r="CV95" s="4794">
        <f t="shared" si="374"/>
        <v>376.31082456041679</v>
      </c>
      <c r="CW95" s="4794">
        <f t="shared" si="375"/>
        <v>432.55293149200082</v>
      </c>
      <c r="CX95" s="4794">
        <f t="shared" si="376"/>
        <v>497.9982922851168</v>
      </c>
      <c r="CY95" s="4794">
        <f t="shared" si="377"/>
        <v>10925.583058529119</v>
      </c>
      <c r="CZ95" s="4794">
        <f t="shared" si="378"/>
        <v>14609.336209179733</v>
      </c>
      <c r="DA95" s="4794">
        <f t="shared" si="379"/>
        <v>16038.291202200598</v>
      </c>
      <c r="DB95" s="4794">
        <f t="shared" si="380"/>
        <v>17711.444433105131</v>
      </c>
      <c r="DC95" s="4794">
        <f t="shared" si="381"/>
        <v>19550.592850912402</v>
      </c>
      <c r="DD95" s="4794">
        <f t="shared" si="382"/>
        <v>21645.097081852717</v>
      </c>
      <c r="DE95" s="4794">
        <f t="shared" si="383"/>
        <v>7284.0136159267431</v>
      </c>
      <c r="DF95" s="4794">
        <f t="shared" si="384"/>
        <v>9893.082036549933</v>
      </c>
      <c r="DG95" s="4794">
        <f t="shared" si="385"/>
        <v>10879.142044061844</v>
      </c>
      <c r="DH95" s="4794">
        <f t="shared" si="386"/>
        <v>12058.004461662997</v>
      </c>
      <c r="DI95" s="4794">
        <f t="shared" si="387"/>
        <v>13286.956082024102</v>
      </c>
      <c r="DJ95" s="4794">
        <f t="shared" si="388"/>
        <v>14676.261455281961</v>
      </c>
    </row>
    <row r="96" spans="1:114" ht="15.75" thickBot="1">
      <c r="A96" s="716"/>
      <c r="B96" s="717"/>
      <c r="C96" s="717"/>
      <c r="D96" s="717"/>
      <c r="E96" s="717"/>
      <c r="F96" s="717"/>
      <c r="G96" s="717"/>
      <c r="H96" s="717"/>
      <c r="I96" s="867"/>
      <c r="J96" s="717"/>
      <c r="K96" s="717"/>
      <c r="L96" s="717"/>
      <c r="M96" s="717"/>
      <c r="N96" s="717"/>
      <c r="O96" s="717"/>
      <c r="P96" s="717"/>
      <c r="Q96" s="867"/>
      <c r="R96" s="717"/>
      <c r="S96" s="717"/>
      <c r="T96" s="717"/>
      <c r="U96" s="717"/>
      <c r="V96" s="717"/>
      <c r="W96" s="717"/>
      <c r="X96" s="717"/>
      <c r="Y96" s="867"/>
      <c r="Z96" s="717"/>
      <c r="AA96" s="717"/>
      <c r="AB96" s="717"/>
      <c r="AC96" s="717"/>
      <c r="AD96" s="717"/>
      <c r="AE96" s="717"/>
      <c r="AF96" s="717"/>
      <c r="AG96" s="867"/>
      <c r="AH96" s="717"/>
      <c r="AI96" s="717"/>
      <c r="AJ96" s="717"/>
      <c r="AK96" s="717"/>
      <c r="AL96" s="717"/>
      <c r="AM96" s="717"/>
      <c r="AN96" s="717"/>
      <c r="AO96" s="867"/>
      <c r="AP96" s="717"/>
      <c r="AQ96" s="717"/>
      <c r="AR96" s="717"/>
      <c r="AS96" s="717"/>
      <c r="AT96" s="717"/>
      <c r="AU96" s="717"/>
      <c r="AV96" s="717"/>
      <c r="AW96" s="717"/>
      <c r="AX96" s="717"/>
      <c r="AY96" s="717"/>
      <c r="AZ96" s="717"/>
      <c r="BA96" s="717"/>
      <c r="BB96" s="717"/>
      <c r="BC96" s="717"/>
      <c r="BD96" s="717"/>
      <c r="BE96" s="717"/>
      <c r="BF96" s="717"/>
      <c r="BG96" s="717"/>
      <c r="BH96" s="717"/>
      <c r="BI96" s="4775"/>
    </row>
    <row r="97" spans="1:82" ht="15" customHeight="1">
      <c r="A97" s="716"/>
      <c r="B97" s="5445" t="s">
        <v>82</v>
      </c>
      <c r="C97" s="5438" t="s">
        <v>207</v>
      </c>
      <c r="D97" s="5439"/>
      <c r="E97" s="5439"/>
      <c r="F97" s="5439"/>
      <c r="G97" s="5439"/>
      <c r="H97" s="5440"/>
      <c r="I97" s="868"/>
      <c r="J97" s="844"/>
      <c r="K97" s="5441" t="s">
        <v>208</v>
      </c>
      <c r="L97" s="5442"/>
      <c r="M97" s="5442"/>
      <c r="N97" s="5442"/>
      <c r="O97" s="5442"/>
      <c r="P97" s="5443"/>
      <c r="Q97" s="873"/>
      <c r="R97" s="849"/>
      <c r="S97" s="5444" t="s">
        <v>209</v>
      </c>
      <c r="T97" s="5442"/>
      <c r="U97" s="5442"/>
      <c r="V97" s="5442"/>
      <c r="W97" s="5442"/>
      <c r="X97" s="5443"/>
      <c r="Y97" s="873"/>
      <c r="Z97" s="844"/>
      <c r="AL97" s="697"/>
      <c r="BB97" s="697"/>
      <c r="BH97" s="697"/>
      <c r="BI97" s="4775"/>
    </row>
    <row r="98" spans="1:82" ht="15.75" thickBot="1">
      <c r="A98" s="716"/>
      <c r="B98" s="5446"/>
      <c r="C98" s="718" t="str">
        <f t="shared" ref="C98:X98" si="462">C10</f>
        <v>2024 г.</v>
      </c>
      <c r="D98" s="719" t="str">
        <f t="shared" si="462"/>
        <v>2027 г.</v>
      </c>
      <c r="E98" s="719" t="str">
        <f t="shared" si="462"/>
        <v>2028 г.</v>
      </c>
      <c r="F98" s="719" t="str">
        <f t="shared" si="462"/>
        <v>2029 г.</v>
      </c>
      <c r="G98" s="719" t="str">
        <f t="shared" si="462"/>
        <v>2030 г.</v>
      </c>
      <c r="H98" s="720" t="str">
        <f t="shared" si="462"/>
        <v>2031 г.</v>
      </c>
      <c r="I98" s="869"/>
      <c r="J98" s="845"/>
      <c r="K98" s="721" t="str">
        <f t="shared" si="462"/>
        <v>2024 г.</v>
      </c>
      <c r="L98" s="719" t="str">
        <f t="shared" si="462"/>
        <v>2027 г.</v>
      </c>
      <c r="M98" s="719" t="str">
        <f t="shared" si="462"/>
        <v>2028 г.</v>
      </c>
      <c r="N98" s="719" t="str">
        <f t="shared" si="462"/>
        <v>2029 г.</v>
      </c>
      <c r="O98" s="719" t="str">
        <f t="shared" si="462"/>
        <v>2030 г.</v>
      </c>
      <c r="P98" s="720" t="str">
        <f t="shared" si="462"/>
        <v>2031 г.</v>
      </c>
      <c r="Q98" s="874"/>
      <c r="R98" s="850"/>
      <c r="S98" s="718" t="str">
        <f t="shared" si="462"/>
        <v>2024 г.</v>
      </c>
      <c r="T98" s="719" t="str">
        <f t="shared" si="462"/>
        <v>2027 г.</v>
      </c>
      <c r="U98" s="719" t="str">
        <f t="shared" si="462"/>
        <v>2028 г.</v>
      </c>
      <c r="V98" s="719" t="str">
        <f t="shared" si="462"/>
        <v>2029 г.</v>
      </c>
      <c r="W98" s="719" t="str">
        <f t="shared" si="462"/>
        <v>2030 г.</v>
      </c>
      <c r="X98" s="720" t="str">
        <f t="shared" si="462"/>
        <v>2031 г.</v>
      </c>
      <c r="Y98" s="874"/>
      <c r="Z98" s="845"/>
      <c r="AL98" s="697"/>
      <c r="BB98" s="697"/>
      <c r="BH98" s="697"/>
      <c r="BI98" s="4775"/>
    </row>
    <row r="99" spans="1:82" ht="24">
      <c r="A99" s="716"/>
      <c r="B99" s="1040" t="s">
        <v>929</v>
      </c>
      <c r="C99" s="1041">
        <f t="shared" ref="C99:X99" si="463">C29-C31</f>
        <v>1715.223</v>
      </c>
      <c r="D99" s="1042">
        <f t="shared" si="463"/>
        <v>1715</v>
      </c>
      <c r="E99" s="1042">
        <f t="shared" si="463"/>
        <v>1715</v>
      </c>
      <c r="F99" s="1042">
        <f t="shared" si="463"/>
        <v>1715</v>
      </c>
      <c r="G99" s="1042">
        <f t="shared" si="463"/>
        <v>1715</v>
      </c>
      <c r="H99" s="1043">
        <f t="shared" si="463"/>
        <v>1715</v>
      </c>
      <c r="I99" s="1044"/>
      <c r="J99" s="1045"/>
      <c r="K99" s="1046">
        <f t="shared" si="463"/>
        <v>527</v>
      </c>
      <c r="L99" s="1042">
        <f t="shared" si="463"/>
        <v>527</v>
      </c>
      <c r="M99" s="1042">
        <f t="shared" si="463"/>
        <v>527</v>
      </c>
      <c r="N99" s="1042">
        <f t="shared" si="463"/>
        <v>527</v>
      </c>
      <c r="O99" s="1042">
        <f t="shared" si="463"/>
        <v>527</v>
      </c>
      <c r="P99" s="1043">
        <f t="shared" si="463"/>
        <v>527</v>
      </c>
      <c r="Q99" s="1047"/>
      <c r="R99" s="1048"/>
      <c r="S99" s="1041">
        <f t="shared" si="463"/>
        <v>503</v>
      </c>
      <c r="T99" s="1042">
        <f t="shared" si="463"/>
        <v>564</v>
      </c>
      <c r="U99" s="1042">
        <f t="shared" si="463"/>
        <v>564</v>
      </c>
      <c r="V99" s="1042">
        <f t="shared" si="463"/>
        <v>564</v>
      </c>
      <c r="W99" s="1042">
        <f t="shared" si="463"/>
        <v>564</v>
      </c>
      <c r="X99" s="1043">
        <f t="shared" si="463"/>
        <v>564</v>
      </c>
      <c r="Y99" s="1047"/>
      <c r="Z99" s="1045"/>
      <c r="AL99" s="697"/>
      <c r="AR99" s="697"/>
      <c r="AS99" s="675"/>
      <c r="AT99" s="675"/>
      <c r="AU99" s="675"/>
      <c r="AV99" s="675"/>
      <c r="AW99" s="675"/>
      <c r="AX99" s="675"/>
      <c r="AY99" s="675"/>
      <c r="AZ99" s="675"/>
      <c r="BA99" s="675"/>
      <c r="BB99" s="675"/>
      <c r="BC99" s="675"/>
      <c r="BD99" s="675"/>
      <c r="BE99" s="675"/>
      <c r="BF99" s="675"/>
      <c r="BG99" s="675"/>
      <c r="BH99" s="675"/>
      <c r="BI99" s="4775"/>
      <c r="BJ99" s="4794">
        <f t="shared" ref="BJ99:BJ102" si="464">IFERROR(C99/$D$1,0)</f>
        <v>876.97959434102142</v>
      </c>
      <c r="BK99" s="4794">
        <f t="shared" ref="BK99:BK102" si="465">IFERROR(D99/$D$1,0)</f>
        <v>876.86557625151477</v>
      </c>
      <c r="BL99" s="4794">
        <f t="shared" ref="BL99:BL102" si="466">IFERROR(E99/$D$1,0)</f>
        <v>876.86557625151477</v>
      </c>
      <c r="BM99" s="4794">
        <f t="shared" ref="BM99:BM102" si="467">IFERROR(F99/$D$1,0)</f>
        <v>876.86557625151477</v>
      </c>
      <c r="BN99" s="4794">
        <f t="shared" ref="BN99:BN102" si="468">IFERROR(G99/$D$1,0)</f>
        <v>876.86557625151477</v>
      </c>
      <c r="BO99" s="4794">
        <f t="shared" ref="BO99:BO102" si="469">IFERROR(H99/$D$1,0)</f>
        <v>876.86557625151477</v>
      </c>
      <c r="BP99" s="4808"/>
      <c r="BQ99" s="4794">
        <f t="shared" ref="BQ99:BQ102" si="470">IFERROR(K99/$D$1,0)</f>
        <v>269.45082139040716</v>
      </c>
      <c r="BR99" s="4794">
        <f t="shared" ref="BR99:BR102" si="471">IFERROR(L99/$D$1,0)</f>
        <v>269.45082139040716</v>
      </c>
      <c r="BS99" s="4794">
        <f t="shared" ref="BS99:BS102" si="472">IFERROR(M99/$D$1,0)</f>
        <v>269.45082139040716</v>
      </c>
      <c r="BT99" s="4794">
        <f t="shared" ref="BT99:BT102" si="473">IFERROR(N99/$D$1,0)</f>
        <v>269.45082139040716</v>
      </c>
      <c r="BU99" s="4794">
        <f t="shared" ref="BU99:BU102" si="474">IFERROR(O99/$D$1,0)</f>
        <v>269.45082139040716</v>
      </c>
      <c r="BV99" s="4794">
        <f t="shared" ref="BV99:BV102" si="475">IFERROR(P99/$D$1,0)</f>
        <v>269.45082139040716</v>
      </c>
      <c r="BW99" s="4808"/>
      <c r="BX99" s="4794">
        <f t="shared" ref="BX99:BX102" si="476">IFERROR(S99/$D$1,0)</f>
        <v>257.17981624169789</v>
      </c>
      <c r="BY99" s="4794">
        <f t="shared" ref="BY99:BY102" si="477">IFERROR(T99/$D$1,0)</f>
        <v>288.36862099466725</v>
      </c>
      <c r="BZ99" s="4794">
        <f t="shared" ref="BZ99:BZ102" si="478">IFERROR(U99/$D$1,0)</f>
        <v>288.36862099466725</v>
      </c>
      <c r="CA99" s="4794">
        <f t="shared" ref="CA99:CA102" si="479">IFERROR(V99/$D$1,0)</f>
        <v>288.36862099466725</v>
      </c>
      <c r="CB99" s="4794">
        <f t="shared" ref="CB99:CB102" si="480">IFERROR(W99/$D$1,0)</f>
        <v>288.36862099466725</v>
      </c>
      <c r="CC99" s="4794">
        <f t="shared" ref="CC99:CC102" si="481">IFERROR(X99/$D$1,0)</f>
        <v>288.36862099466725</v>
      </c>
      <c r="CD99" s="4809"/>
    </row>
    <row r="100" spans="1:82">
      <c r="A100" s="716"/>
      <c r="B100" s="1049" t="s">
        <v>930</v>
      </c>
      <c r="C100" s="1050">
        <f t="shared" ref="C100:X100" si="482">C59+C63</f>
        <v>9461</v>
      </c>
      <c r="D100" s="1051">
        <f t="shared" si="482"/>
        <v>13805</v>
      </c>
      <c r="E100" s="1051">
        <f t="shared" si="482"/>
        <v>15661</v>
      </c>
      <c r="F100" s="1051">
        <f t="shared" si="482"/>
        <v>17890</v>
      </c>
      <c r="G100" s="1051">
        <f t="shared" si="482"/>
        <v>20201</v>
      </c>
      <c r="H100" s="1052">
        <f t="shared" si="482"/>
        <v>22842</v>
      </c>
      <c r="I100" s="1053"/>
      <c r="J100" s="1054"/>
      <c r="K100" s="1055">
        <f t="shared" si="482"/>
        <v>2371</v>
      </c>
      <c r="L100" s="1051">
        <f t="shared" si="482"/>
        <v>3378</v>
      </c>
      <c r="M100" s="1051">
        <f t="shared" si="482"/>
        <v>3891</v>
      </c>
      <c r="N100" s="1051">
        <f t="shared" si="482"/>
        <v>4374</v>
      </c>
      <c r="O100" s="1051">
        <f t="shared" si="482"/>
        <v>5005</v>
      </c>
      <c r="P100" s="1052">
        <f t="shared" si="482"/>
        <v>5736</v>
      </c>
      <c r="Q100" s="1056"/>
      <c r="R100" s="1057"/>
      <c r="S100" s="1050">
        <f t="shared" si="482"/>
        <v>2082</v>
      </c>
      <c r="T100" s="1051">
        <f t="shared" si="482"/>
        <v>3003</v>
      </c>
      <c r="U100" s="1051">
        <f t="shared" si="482"/>
        <v>3348</v>
      </c>
      <c r="V100" s="1051">
        <f t="shared" si="482"/>
        <v>3829</v>
      </c>
      <c r="W100" s="1051">
        <f t="shared" si="482"/>
        <v>4381</v>
      </c>
      <c r="X100" s="1052">
        <f t="shared" si="482"/>
        <v>5018</v>
      </c>
      <c r="Y100" s="1056"/>
      <c r="Z100" s="1054"/>
      <c r="AH100" s="703"/>
      <c r="AI100" s="703"/>
      <c r="AJ100" s="703"/>
      <c r="AL100" s="697"/>
      <c r="AM100" s="703"/>
      <c r="AN100" s="703"/>
      <c r="AP100" s="703"/>
      <c r="AR100" s="697"/>
      <c r="AS100" s="675"/>
      <c r="AT100" s="675"/>
      <c r="AU100" s="675"/>
      <c r="AV100" s="675"/>
      <c r="AW100" s="675"/>
      <c r="AX100" s="675"/>
      <c r="AY100" s="675"/>
      <c r="AZ100" s="675"/>
      <c r="BA100" s="675"/>
      <c r="BB100" s="675"/>
      <c r="BC100" s="675"/>
      <c r="BD100" s="675"/>
      <c r="BE100" s="675"/>
      <c r="BF100" s="675"/>
      <c r="BG100" s="675"/>
      <c r="BH100" s="675"/>
      <c r="BI100" s="4775"/>
      <c r="BJ100" s="4794">
        <f t="shared" si="464"/>
        <v>4837.3324879974234</v>
      </c>
      <c r="BK100" s="4794">
        <f t="shared" si="465"/>
        <v>7058.3844199137966</v>
      </c>
      <c r="BL100" s="4794">
        <f t="shared" si="466"/>
        <v>8007.3421514139782</v>
      </c>
      <c r="BM100" s="4794">
        <f t="shared" si="467"/>
        <v>9147.0117546003494</v>
      </c>
      <c r="BN100" s="4794">
        <f t="shared" si="468"/>
        <v>10328.60729204481</v>
      </c>
      <c r="BO100" s="4794">
        <f t="shared" si="469"/>
        <v>11678.929150284022</v>
      </c>
      <c r="BP100" s="4808"/>
      <c r="BQ100" s="4794">
        <f t="shared" si="470"/>
        <v>1212.273050316234</v>
      </c>
      <c r="BR100" s="4794">
        <f t="shared" si="471"/>
        <v>1727.143974680826</v>
      </c>
      <c r="BS100" s="4794">
        <f t="shared" si="472"/>
        <v>1989.4367097344862</v>
      </c>
      <c r="BT100" s="4794">
        <f t="shared" si="473"/>
        <v>2236.3906883522595</v>
      </c>
      <c r="BU100" s="4794">
        <f t="shared" si="474"/>
        <v>2559.0158653870735</v>
      </c>
      <c r="BV100" s="4794">
        <f t="shared" si="475"/>
        <v>2932.7702305415091</v>
      </c>
      <c r="BW100" s="4808"/>
      <c r="BX100" s="4794">
        <f t="shared" si="476"/>
        <v>1064.5096966505268</v>
      </c>
      <c r="BY100" s="4794">
        <f t="shared" si="477"/>
        <v>1535.4095192322441</v>
      </c>
      <c r="BZ100" s="4794">
        <f t="shared" si="478"/>
        <v>1711.8052182449396</v>
      </c>
      <c r="CA100" s="4794">
        <f t="shared" si="479"/>
        <v>1957.7366131003207</v>
      </c>
      <c r="CB100" s="4794">
        <f t="shared" si="480"/>
        <v>2239.9697315206331</v>
      </c>
      <c r="CC100" s="4794">
        <f t="shared" si="481"/>
        <v>2565.6626598426246</v>
      </c>
      <c r="CD100" s="4809"/>
    </row>
    <row r="101" spans="1:82">
      <c r="A101" s="716"/>
      <c r="B101" s="1049" t="s">
        <v>931</v>
      </c>
      <c r="C101" s="1050">
        <f t="shared" ref="C101:X101" si="483">C90</f>
        <v>1887</v>
      </c>
      <c r="D101" s="1051">
        <f t="shared" si="483"/>
        <v>2124</v>
      </c>
      <c r="E101" s="1051">
        <f t="shared" si="483"/>
        <v>2232</v>
      </c>
      <c r="F101" s="1051">
        <f t="shared" si="483"/>
        <v>2357</v>
      </c>
      <c r="G101" s="1051">
        <f t="shared" si="483"/>
        <v>2500</v>
      </c>
      <c r="H101" s="1052">
        <f t="shared" si="483"/>
        <v>2665</v>
      </c>
      <c r="I101" s="1053"/>
      <c r="J101" s="1054"/>
      <c r="K101" s="1055">
        <f t="shared" si="483"/>
        <v>470</v>
      </c>
      <c r="L101" s="1051">
        <f t="shared" si="483"/>
        <v>519</v>
      </c>
      <c r="M101" s="1051">
        <f t="shared" si="483"/>
        <v>534</v>
      </c>
      <c r="N101" s="1051">
        <f t="shared" si="483"/>
        <v>552</v>
      </c>
      <c r="O101" s="1051">
        <f t="shared" si="483"/>
        <v>573</v>
      </c>
      <c r="P101" s="1052">
        <f t="shared" si="483"/>
        <v>597</v>
      </c>
      <c r="Q101" s="1056"/>
      <c r="R101" s="1057"/>
      <c r="S101" s="1050">
        <f t="shared" si="483"/>
        <v>276.39999999999998</v>
      </c>
      <c r="T101" s="1051">
        <f t="shared" si="483"/>
        <v>276</v>
      </c>
      <c r="U101" s="1051">
        <f t="shared" si="483"/>
        <v>276</v>
      </c>
      <c r="V101" s="1051">
        <f t="shared" si="483"/>
        <v>276</v>
      </c>
      <c r="W101" s="1051">
        <f t="shared" si="483"/>
        <v>277</v>
      </c>
      <c r="X101" s="1052">
        <f t="shared" si="483"/>
        <v>277</v>
      </c>
      <c r="Y101" s="1056"/>
      <c r="Z101" s="1054"/>
      <c r="AL101" s="697"/>
      <c r="AR101" s="697"/>
      <c r="AS101" s="675"/>
      <c r="AT101" s="675"/>
      <c r="AU101" s="675"/>
      <c r="AV101" s="675"/>
      <c r="AW101" s="675"/>
      <c r="AX101" s="675"/>
      <c r="AY101" s="675"/>
      <c r="AZ101" s="675"/>
      <c r="BA101" s="675"/>
      <c r="BB101" s="675"/>
      <c r="BC101" s="675"/>
      <c r="BD101" s="675"/>
      <c r="BE101" s="675"/>
      <c r="BF101" s="675"/>
      <c r="BG101" s="675"/>
      <c r="BH101" s="675"/>
      <c r="BI101" s="4775"/>
      <c r="BJ101" s="4794">
        <f t="shared" si="464"/>
        <v>964.8077798172643</v>
      </c>
      <c r="BK101" s="4794">
        <f t="shared" si="465"/>
        <v>1085.9839556607681</v>
      </c>
      <c r="BL101" s="4794">
        <f t="shared" si="466"/>
        <v>1141.2034788299597</v>
      </c>
      <c r="BM101" s="4794">
        <f t="shared" si="467"/>
        <v>1205.1149639794869</v>
      </c>
      <c r="BN101" s="4794">
        <f t="shared" si="468"/>
        <v>1278.2297029905462</v>
      </c>
      <c r="BO101" s="4794">
        <f t="shared" si="469"/>
        <v>1362.5928633879223</v>
      </c>
      <c r="BP101" s="4808"/>
      <c r="BQ101" s="4794">
        <f t="shared" si="470"/>
        <v>240.30718416222268</v>
      </c>
      <c r="BR101" s="4794">
        <f t="shared" si="471"/>
        <v>265.36048634083738</v>
      </c>
      <c r="BS101" s="4794">
        <f t="shared" si="472"/>
        <v>273.02986455878067</v>
      </c>
      <c r="BT101" s="4794">
        <f t="shared" si="473"/>
        <v>282.23311842031262</v>
      </c>
      <c r="BU101" s="4794">
        <f t="shared" si="474"/>
        <v>292.97024792543317</v>
      </c>
      <c r="BV101" s="4794">
        <f t="shared" si="475"/>
        <v>305.24125307414243</v>
      </c>
      <c r="BW101" s="4808"/>
      <c r="BX101" s="4794">
        <f t="shared" si="476"/>
        <v>141.32107596263478</v>
      </c>
      <c r="BY101" s="4794">
        <f t="shared" si="477"/>
        <v>141.11655921015631</v>
      </c>
      <c r="BZ101" s="4794">
        <f t="shared" si="478"/>
        <v>141.11655921015631</v>
      </c>
      <c r="CA101" s="4794">
        <f t="shared" si="479"/>
        <v>141.11655921015631</v>
      </c>
      <c r="CB101" s="4794">
        <f t="shared" si="480"/>
        <v>141.62785109135251</v>
      </c>
      <c r="CC101" s="4794">
        <f t="shared" si="481"/>
        <v>141.62785109135251</v>
      </c>
      <c r="CD101" s="4809"/>
    </row>
    <row r="102" spans="1:82" ht="15.75" thickBot="1">
      <c r="A102" s="716"/>
      <c r="B102" s="1058" t="s">
        <v>932</v>
      </c>
      <c r="C102" s="1059">
        <f t="shared" ref="C102:X102" si="484">C89</f>
        <v>983.5693504379999</v>
      </c>
      <c r="D102" s="1060">
        <f t="shared" si="484"/>
        <v>1002.55181</v>
      </c>
      <c r="E102" s="1060">
        <f t="shared" si="484"/>
        <v>974.36450000000002</v>
      </c>
      <c r="F102" s="1060">
        <f t="shared" si="484"/>
        <v>947.14673000000005</v>
      </c>
      <c r="G102" s="1060">
        <f t="shared" si="484"/>
        <v>920.92895999999996</v>
      </c>
      <c r="H102" s="1061">
        <f t="shared" si="484"/>
        <v>892.04375000000005</v>
      </c>
      <c r="I102" s="1062"/>
      <c r="J102" s="1063"/>
      <c r="K102" s="1064">
        <f t="shared" si="484"/>
        <v>65.068839874999995</v>
      </c>
      <c r="L102" s="1060">
        <f t="shared" si="484"/>
        <v>66.137482000000006</v>
      </c>
      <c r="M102" s="1060">
        <f t="shared" si="484"/>
        <v>66.137482000000006</v>
      </c>
      <c r="N102" s="1060">
        <f t="shared" si="484"/>
        <v>65.109985600000002</v>
      </c>
      <c r="O102" s="1060">
        <f t="shared" si="484"/>
        <v>64.109985600000002</v>
      </c>
      <c r="P102" s="1061">
        <f t="shared" si="484"/>
        <v>64.109985600000002</v>
      </c>
      <c r="Q102" s="1065"/>
      <c r="R102" s="1066"/>
      <c r="S102" s="1059">
        <f t="shared" si="484"/>
        <v>731.17692304999991</v>
      </c>
      <c r="T102" s="1060">
        <f t="shared" si="484"/>
        <v>848.40874600000006</v>
      </c>
      <c r="U102" s="1060">
        <f t="shared" si="484"/>
        <v>839.03909999999996</v>
      </c>
      <c r="V102" s="1060">
        <f t="shared" si="484"/>
        <v>826.23765000000003</v>
      </c>
      <c r="W102" s="1060">
        <f t="shared" si="484"/>
        <v>820.51706999999999</v>
      </c>
      <c r="X102" s="1061">
        <f t="shared" si="484"/>
        <v>815.79648999999995</v>
      </c>
      <c r="Y102" s="1065"/>
      <c r="Z102" s="1063"/>
      <c r="AS102" s="675"/>
      <c r="AT102" s="675"/>
      <c r="AU102" s="675"/>
      <c r="AV102" s="675"/>
      <c r="AW102" s="675"/>
      <c r="AX102" s="675"/>
      <c r="AY102" s="675"/>
      <c r="AZ102" s="675"/>
      <c r="BA102" s="675"/>
      <c r="BB102" s="675"/>
      <c r="BC102" s="675"/>
      <c r="BD102" s="675"/>
      <c r="BE102" s="675"/>
      <c r="BF102" s="675"/>
      <c r="BG102" s="675"/>
      <c r="BH102" s="675"/>
      <c r="BI102" s="4775"/>
      <c r="BJ102" s="4794">
        <f t="shared" si="464"/>
        <v>502.89102347238764</v>
      </c>
      <c r="BK102" s="4794">
        <f t="shared" si="465"/>
        <v>512.59660093157379</v>
      </c>
      <c r="BL102" s="4794">
        <f t="shared" si="466"/>
        <v>498.18465817581284</v>
      </c>
      <c r="BM102" s="4794">
        <f t="shared" si="467"/>
        <v>484.26843335054684</v>
      </c>
      <c r="BN102" s="4794">
        <f t="shared" si="468"/>
        <v>470.86350040647704</v>
      </c>
      <c r="BO102" s="4794">
        <f t="shared" si="469"/>
        <v>456.09472704682923</v>
      </c>
      <c r="BP102" s="4808"/>
      <c r="BQ102" s="4794">
        <f t="shared" si="470"/>
        <v>33.269169546944262</v>
      </c>
      <c r="BR102" s="4794">
        <f t="shared" si="471"/>
        <v>33.815557589361042</v>
      </c>
      <c r="BS102" s="4794">
        <f t="shared" si="472"/>
        <v>33.815557589361042</v>
      </c>
      <c r="BT102" s="4794">
        <f t="shared" si="473"/>
        <v>33.290207022082697</v>
      </c>
      <c r="BU102" s="4794">
        <f t="shared" si="474"/>
        <v>32.778915140886483</v>
      </c>
      <c r="BV102" s="4794">
        <f t="shared" si="475"/>
        <v>32.778915140886483</v>
      </c>
      <c r="BW102" s="4808"/>
      <c r="BX102" s="4794">
        <f t="shared" si="476"/>
        <v>373.84482447349717</v>
      </c>
      <c r="BY102" s="4794">
        <f t="shared" si="477"/>
        <v>433.78450376566474</v>
      </c>
      <c r="BZ102" s="4794">
        <f t="shared" si="478"/>
        <v>428.99387983618209</v>
      </c>
      <c r="CA102" s="4794">
        <f t="shared" si="479"/>
        <v>422.44860238364276</v>
      </c>
      <c r="CB102" s="4794">
        <f t="shared" si="480"/>
        <v>419.52371627390932</v>
      </c>
      <c r="CC102" s="4794">
        <f t="shared" si="481"/>
        <v>417.11012204537201</v>
      </c>
      <c r="CD102" s="4809"/>
    </row>
    <row r="103" spans="1:82" ht="15.75" thickBot="1">
      <c r="A103" s="716"/>
      <c r="B103" s="1067"/>
      <c r="C103" s="1068"/>
      <c r="D103" s="1069"/>
      <c r="E103" s="1069"/>
      <c r="F103" s="1069"/>
      <c r="G103" s="1069"/>
      <c r="H103" s="1070"/>
      <c r="I103" s="1071"/>
      <c r="J103" s="1072"/>
      <c r="K103" s="1073"/>
      <c r="L103" s="1074"/>
      <c r="M103" s="1074"/>
      <c r="N103" s="1074"/>
      <c r="O103" s="1074"/>
      <c r="P103" s="1075"/>
      <c r="Q103" s="1076"/>
      <c r="R103" s="1077"/>
      <c r="S103" s="1078"/>
      <c r="T103" s="1074"/>
      <c r="U103" s="1074"/>
      <c r="V103" s="1074"/>
      <c r="W103" s="1074"/>
      <c r="X103" s="1070"/>
      <c r="Y103" s="1076"/>
      <c r="Z103" s="1072"/>
      <c r="AS103" s="675"/>
      <c r="AT103" s="675"/>
      <c r="AU103" s="675"/>
      <c r="AV103" s="675"/>
      <c r="AW103" s="675"/>
      <c r="AX103" s="675"/>
      <c r="AY103" s="675"/>
      <c r="AZ103" s="675"/>
      <c r="BA103" s="675"/>
      <c r="BB103" s="675"/>
      <c r="BC103" s="675"/>
      <c r="BD103" s="675"/>
      <c r="BE103" s="675"/>
      <c r="BF103" s="675"/>
      <c r="BG103" s="675"/>
      <c r="BH103" s="675"/>
      <c r="BI103" s="4775"/>
      <c r="CD103" s="695"/>
    </row>
    <row r="104" spans="1:82">
      <c r="A104" s="716"/>
      <c r="B104" s="1079" t="s">
        <v>924</v>
      </c>
      <c r="C104" s="1080">
        <f>'2. Променливи'!E25</f>
        <v>1770</v>
      </c>
      <c r="D104" s="1081">
        <f>'2. Променливи'!F25</f>
        <v>1773</v>
      </c>
      <c r="E104" s="1081">
        <f>'2. Променливи'!G25</f>
        <v>1773</v>
      </c>
      <c r="F104" s="1081">
        <f>'2. Променливи'!H25</f>
        <v>1773</v>
      </c>
      <c r="G104" s="1081">
        <f>'2. Променливи'!I25</f>
        <v>1773</v>
      </c>
      <c r="H104" s="1082">
        <f>'2. Променливи'!J25</f>
        <v>1773</v>
      </c>
      <c r="I104" s="1083"/>
      <c r="J104" s="1084"/>
      <c r="K104" s="1085"/>
      <c r="L104" s="1086"/>
      <c r="M104" s="1086"/>
      <c r="N104" s="1086"/>
      <c r="O104" s="1086"/>
      <c r="P104" s="1087"/>
      <c r="Q104" s="1088"/>
      <c r="R104" s="1089"/>
      <c r="S104" s="1090"/>
      <c r="T104" s="1086"/>
      <c r="U104" s="1086"/>
      <c r="V104" s="1086"/>
      <c r="W104" s="1086"/>
      <c r="X104" s="1087"/>
      <c r="Y104" s="1088"/>
      <c r="Z104" s="1084"/>
      <c r="AG104" s="863"/>
      <c r="AH104" s="706"/>
      <c r="AI104" s="706"/>
      <c r="AJ104" s="706"/>
      <c r="AK104" s="706"/>
      <c r="AL104" s="706"/>
      <c r="AM104" s="706"/>
      <c r="AN104" s="706"/>
      <c r="AO104" s="863"/>
      <c r="AP104" s="706"/>
      <c r="AQ104" s="706"/>
      <c r="AR104" s="706"/>
      <c r="AS104" s="675"/>
      <c r="AT104" s="675"/>
      <c r="AU104" s="675"/>
      <c r="AV104" s="675"/>
      <c r="AW104" s="675"/>
      <c r="AX104" s="675"/>
      <c r="AY104" s="675"/>
      <c r="AZ104" s="675"/>
      <c r="BA104" s="675"/>
      <c r="BB104" s="675"/>
      <c r="BC104" s="675"/>
      <c r="BD104" s="675"/>
      <c r="BE104" s="675"/>
      <c r="BF104" s="675"/>
      <c r="BG104" s="675"/>
      <c r="BH104" s="675"/>
      <c r="BI104" s="4775"/>
      <c r="BJ104" s="4816"/>
      <c r="BK104" s="4816"/>
      <c r="BL104" s="4816"/>
      <c r="BM104" s="4816"/>
      <c r="BN104" s="4816"/>
      <c r="BO104" s="4816"/>
      <c r="BP104" s="4816"/>
      <c r="BQ104" s="4816"/>
      <c r="BR104" s="4816"/>
      <c r="BS104" s="4816"/>
      <c r="BT104" s="4816"/>
      <c r="BU104" s="4816"/>
      <c r="BV104" s="4816"/>
      <c r="BW104" s="4816"/>
      <c r="BX104" s="4816"/>
      <c r="BY104" s="4816"/>
      <c r="BZ104" s="4816"/>
      <c r="CA104" s="4816"/>
      <c r="CB104" s="4816"/>
      <c r="CC104" s="4816"/>
      <c r="CD104" s="4816"/>
    </row>
    <row r="105" spans="1:82">
      <c r="A105" s="716"/>
      <c r="B105" s="1049" t="s">
        <v>925</v>
      </c>
      <c r="C105" s="1091"/>
      <c r="D105" s="1092"/>
      <c r="E105" s="1092"/>
      <c r="F105" s="1092"/>
      <c r="G105" s="1092"/>
      <c r="H105" s="1093"/>
      <c r="I105" s="1053"/>
      <c r="J105" s="1094"/>
      <c r="K105" s="1095">
        <f>'2. Променливи'!E31</f>
        <v>409</v>
      </c>
      <c r="L105" s="1096">
        <f>'2. Променливи'!F31</f>
        <v>412</v>
      </c>
      <c r="M105" s="1096">
        <f>'2. Променливи'!G31</f>
        <v>412</v>
      </c>
      <c r="N105" s="1096">
        <f>'2. Променливи'!H31</f>
        <v>412</v>
      </c>
      <c r="O105" s="1096">
        <f>'2. Променливи'!I31</f>
        <v>412</v>
      </c>
      <c r="P105" s="1097">
        <f>'2. Променливи'!J31</f>
        <v>412</v>
      </c>
      <c r="Q105" s="1056"/>
      <c r="R105" s="1098"/>
      <c r="S105" s="1099"/>
      <c r="T105" s="1092"/>
      <c r="U105" s="1092"/>
      <c r="V105" s="1092"/>
      <c r="W105" s="1092"/>
      <c r="X105" s="1093"/>
      <c r="Y105" s="1056"/>
      <c r="Z105" s="1094"/>
      <c r="AG105" s="863"/>
      <c r="AH105" s="706"/>
      <c r="AI105" s="706"/>
      <c r="AJ105" s="706"/>
      <c r="AK105" s="706"/>
      <c r="AL105" s="706"/>
      <c r="AM105" s="706"/>
      <c r="AN105" s="706"/>
      <c r="AO105" s="863"/>
      <c r="AP105" s="706"/>
      <c r="AQ105" s="706"/>
      <c r="AR105" s="706"/>
      <c r="AS105" s="675"/>
      <c r="AT105" s="675"/>
      <c r="AU105" s="675"/>
      <c r="AV105" s="675"/>
      <c r="AW105" s="675"/>
      <c r="AX105" s="675"/>
      <c r="AY105" s="675"/>
      <c r="AZ105" s="675"/>
      <c r="BA105" s="675"/>
      <c r="BB105" s="675"/>
      <c r="BC105" s="675"/>
      <c r="BD105" s="675"/>
      <c r="BE105" s="675"/>
      <c r="BF105" s="675"/>
      <c r="BG105" s="675"/>
      <c r="BH105" s="675"/>
      <c r="BI105" s="4775"/>
      <c r="BJ105" s="4816"/>
      <c r="BK105" s="4816"/>
      <c r="BL105" s="4816"/>
      <c r="BM105" s="4816"/>
      <c r="BN105" s="4816"/>
      <c r="BO105" s="4816"/>
      <c r="BP105" s="4816"/>
      <c r="BQ105" s="4816"/>
      <c r="BR105" s="4816"/>
      <c r="BS105" s="4816"/>
      <c r="BT105" s="4816"/>
      <c r="BU105" s="4816"/>
      <c r="BV105" s="4816"/>
      <c r="BW105" s="4816"/>
      <c r="BX105" s="4816"/>
      <c r="BY105" s="4816"/>
      <c r="BZ105" s="4816"/>
      <c r="CA105" s="4816"/>
      <c r="CB105" s="4816"/>
      <c r="CC105" s="4816"/>
      <c r="CD105" s="4816"/>
    </row>
    <row r="106" spans="1:82">
      <c r="A106" s="716"/>
      <c r="B106" s="1049" t="s">
        <v>926</v>
      </c>
      <c r="C106" s="1100">
        <f>'4. Отчет и прогн. потребление'!D9/1000</f>
        <v>18733.752</v>
      </c>
      <c r="D106" s="1096">
        <f>'4. Отчет и прогн. потребление'!E9/1000</f>
        <v>18545.314999999999</v>
      </c>
      <c r="E106" s="1096">
        <f>'4. Отчет и прогн. потребление'!F9/1000</f>
        <v>18039.784</v>
      </c>
      <c r="F106" s="1096">
        <f>'4. Отчет и прогн. потребление'!G9/1000</f>
        <v>17431.253000000001</v>
      </c>
      <c r="G106" s="1096">
        <f>'4. Отчет и прогн. потребление'!H9/1000</f>
        <v>16872.722000000002</v>
      </c>
      <c r="H106" s="1097">
        <f>'4. Отчет и прогн. потребление'!I9/1000</f>
        <v>16281.191999999999</v>
      </c>
      <c r="I106" s="1101"/>
      <c r="J106" s="1102"/>
      <c r="K106" s="1103"/>
      <c r="L106" s="1092"/>
      <c r="M106" s="1092"/>
      <c r="N106" s="1092"/>
      <c r="O106" s="1092"/>
      <c r="P106" s="1093"/>
      <c r="Q106" s="1104"/>
      <c r="R106" s="1105"/>
      <c r="S106" s="1099"/>
      <c r="T106" s="1092"/>
      <c r="U106" s="1092"/>
      <c r="V106" s="1092"/>
      <c r="W106" s="1092"/>
      <c r="X106" s="1093"/>
      <c r="Y106" s="1104"/>
      <c r="Z106" s="1102"/>
      <c r="AG106" s="863"/>
      <c r="AH106" s="706"/>
      <c r="AI106" s="706"/>
      <c r="AJ106" s="706"/>
      <c r="AK106" s="706"/>
      <c r="AL106" s="706"/>
      <c r="AM106" s="706"/>
      <c r="AN106" s="706"/>
      <c r="AO106" s="863"/>
      <c r="AP106" s="706"/>
      <c r="AQ106" s="706"/>
      <c r="AR106" s="706"/>
      <c r="AS106" s="675"/>
      <c r="AT106" s="675"/>
      <c r="AU106" s="675"/>
      <c r="AV106" s="675"/>
      <c r="AW106" s="675"/>
      <c r="AX106" s="675"/>
      <c r="AY106" s="675"/>
      <c r="AZ106" s="675"/>
      <c r="BA106" s="675"/>
      <c r="BB106" s="675"/>
      <c r="BC106" s="675"/>
      <c r="BD106" s="675"/>
      <c r="BE106" s="675"/>
      <c r="BF106" s="675"/>
      <c r="BG106" s="675"/>
      <c r="BH106" s="675"/>
      <c r="BI106" s="4775"/>
      <c r="BJ106" s="4816"/>
      <c r="BK106" s="4816"/>
      <c r="BL106" s="4816"/>
      <c r="BM106" s="4816"/>
      <c r="BN106" s="4816"/>
      <c r="BO106" s="4816"/>
      <c r="BP106" s="4816"/>
      <c r="BQ106" s="4816"/>
      <c r="BR106" s="4816"/>
      <c r="BS106" s="4816"/>
      <c r="BT106" s="4816"/>
      <c r="BU106" s="4816"/>
      <c r="BV106" s="4816"/>
      <c r="BW106" s="4816"/>
      <c r="BX106" s="4816"/>
      <c r="BY106" s="4816"/>
      <c r="BZ106" s="4816"/>
      <c r="CA106" s="4816"/>
      <c r="CB106" s="4816"/>
      <c r="CC106" s="4816"/>
      <c r="CD106" s="4816"/>
    </row>
    <row r="107" spans="1:82">
      <c r="A107" s="716"/>
      <c r="B107" s="3545" t="s">
        <v>927</v>
      </c>
      <c r="C107" s="1099"/>
      <c r="D107" s="1092"/>
      <c r="E107" s="1092"/>
      <c r="F107" s="1092"/>
      <c r="G107" s="1092"/>
      <c r="H107" s="1093"/>
      <c r="I107" s="1053"/>
      <c r="J107" s="1094"/>
      <c r="K107" s="1095">
        <f>'4. Отчет и прогн. потребление'!D48/1000</f>
        <v>9812.1640000000007</v>
      </c>
      <c r="L107" s="1096">
        <f>'4. Отчет и прогн. потребление'!E48/1000</f>
        <v>9547.2949999999983</v>
      </c>
      <c r="M107" s="1096">
        <f>'4. Отчет и прогн. потребление'!F48/1000</f>
        <v>9248.3776917719861</v>
      </c>
      <c r="N107" s="1096">
        <f>'4. Отчет и прогн. потребление'!G48/1000</f>
        <v>8958.8631215095666</v>
      </c>
      <c r="O107" s="1096">
        <f>'4. Отчет и прогн. потребление'!H48/1000</f>
        <v>8678.455362442337</v>
      </c>
      <c r="P107" s="1097">
        <f>'4. Отчет и прогн. потребление'!I48/1000</f>
        <v>8388.4837760139326</v>
      </c>
      <c r="Q107" s="1056"/>
      <c r="R107" s="1098"/>
      <c r="S107" s="1099"/>
      <c r="T107" s="1092"/>
      <c r="U107" s="1092"/>
      <c r="V107" s="1092"/>
      <c r="W107" s="1092"/>
      <c r="X107" s="1093"/>
      <c r="Y107" s="1056"/>
      <c r="Z107" s="1094"/>
      <c r="AG107" s="863"/>
      <c r="AH107" s="706"/>
      <c r="AI107" s="706"/>
      <c r="AJ107" s="706"/>
      <c r="AK107" s="706"/>
      <c r="AL107" s="706"/>
      <c r="AM107" s="706"/>
      <c r="AN107" s="706"/>
      <c r="AO107" s="863"/>
      <c r="AP107" s="706"/>
      <c r="AQ107" s="706"/>
      <c r="AR107" s="706"/>
      <c r="AS107" s="675"/>
      <c r="AT107" s="675"/>
      <c r="AU107" s="675"/>
      <c r="AV107" s="675"/>
      <c r="AW107" s="675"/>
      <c r="AX107" s="675"/>
      <c r="AY107" s="675"/>
      <c r="AZ107" s="675"/>
      <c r="BA107" s="675"/>
      <c r="BB107" s="675"/>
      <c r="BC107" s="675"/>
      <c r="BD107" s="675"/>
      <c r="BE107" s="675"/>
      <c r="BF107" s="675"/>
      <c r="BG107" s="675"/>
      <c r="BH107" s="675"/>
      <c r="BI107" s="4775"/>
      <c r="BJ107" s="4794">
        <f t="shared" ref="BJ107" si="485">IFERROR(C107/$D$1,0)</f>
        <v>0</v>
      </c>
      <c r="BK107" s="4794">
        <f t="shared" ref="BK107" si="486">IFERROR(D107/$D$1,0)</f>
        <v>0</v>
      </c>
      <c r="BL107" s="4794">
        <f t="shared" ref="BL107" si="487">IFERROR(E107/$D$1,0)</f>
        <v>0</v>
      </c>
      <c r="BM107" s="4794">
        <f t="shared" ref="BM107" si="488">IFERROR(F107/$D$1,0)</f>
        <v>0</v>
      </c>
      <c r="BN107" s="4794">
        <f t="shared" ref="BN107" si="489">IFERROR(G107/$D$1,0)</f>
        <v>0</v>
      </c>
      <c r="BO107" s="4794">
        <f t="shared" ref="BO107" si="490">IFERROR(H107/$D$1,0)</f>
        <v>0</v>
      </c>
      <c r="BP107" s="4808"/>
      <c r="BQ107" s="4794">
        <f t="shared" ref="BQ107" si="491">IFERROR(K107/$D$1,0)</f>
        <v>5016.8797901658127</v>
      </c>
      <c r="BR107" s="4794">
        <f t="shared" ref="BR107" si="492">IFERROR(L107/$D$1,0)</f>
        <v>4881.4544208852503</v>
      </c>
      <c r="BS107" s="4794">
        <f t="shared" ref="BS107" si="493">IFERROR(M107/$D$1,0)</f>
        <v>4728.6204280392394</v>
      </c>
      <c r="BT107" s="4794">
        <f t="shared" ref="BT107" si="494">IFERROR(N107/$D$1,0)</f>
        <v>4580.5939787760526</v>
      </c>
      <c r="BU107" s="4794">
        <f t="shared" ref="BU107" si="495">IFERROR(O107/$D$1,0)</f>
        <v>4437.2237681405531</v>
      </c>
      <c r="BV107" s="4794">
        <f t="shared" ref="BV107" si="496">IFERROR(P107/$D$1,0)</f>
        <v>4288.9636502221219</v>
      </c>
      <c r="BW107" s="4808"/>
      <c r="BX107" s="4794">
        <f t="shared" ref="BX107" si="497">IFERROR(S107/$D$1,0)</f>
        <v>0</v>
      </c>
      <c r="BY107" s="4794">
        <f t="shared" ref="BY107" si="498">IFERROR(T107/$D$1,0)</f>
        <v>0</v>
      </c>
      <c r="BZ107" s="4794">
        <f t="shared" ref="BZ107" si="499">IFERROR(U107/$D$1,0)</f>
        <v>0</v>
      </c>
      <c r="CA107" s="4794">
        <f t="shared" ref="CA107" si="500">IFERROR(V107/$D$1,0)</f>
        <v>0</v>
      </c>
      <c r="CB107" s="4794">
        <f t="shared" ref="CB107" si="501">IFERROR(W107/$D$1,0)</f>
        <v>0</v>
      </c>
      <c r="CC107" s="4794">
        <f t="shared" ref="CC107" si="502">IFERROR(X107/$D$1,0)</f>
        <v>0</v>
      </c>
      <c r="CD107" s="4809"/>
    </row>
    <row r="108" spans="1:82" ht="15.75" thickBot="1">
      <c r="A108" s="716"/>
      <c r="B108" s="3546" t="s">
        <v>928</v>
      </c>
      <c r="C108" s="426"/>
      <c r="D108" s="427"/>
      <c r="E108" s="427"/>
      <c r="F108" s="427"/>
      <c r="G108" s="427"/>
      <c r="H108" s="428"/>
      <c r="I108" s="1106"/>
      <c r="J108" s="969"/>
      <c r="K108" s="973"/>
      <c r="L108" s="427"/>
      <c r="M108" s="427"/>
      <c r="N108" s="427"/>
      <c r="O108" s="427"/>
      <c r="P108" s="428"/>
      <c r="Q108" s="1107"/>
      <c r="R108" s="1108"/>
      <c r="S108" s="1109">
        <f>'2. Променливи'!E66/1000</f>
        <v>11604.174999999999</v>
      </c>
      <c r="T108" s="1110">
        <f>'2. Променливи'!F66/1000</f>
        <v>11600</v>
      </c>
      <c r="U108" s="1110">
        <f>'2. Променливи'!G66/1000</f>
        <v>11600</v>
      </c>
      <c r="V108" s="1110">
        <f>'2. Променливи'!H66/1000</f>
        <v>11600</v>
      </c>
      <c r="W108" s="1110">
        <f>'2. Променливи'!I66/1000</f>
        <v>11600</v>
      </c>
      <c r="X108" s="1111">
        <f>'2. Променливи'!J66/1000</f>
        <v>11600</v>
      </c>
      <c r="Y108" s="1107"/>
      <c r="Z108" s="969"/>
      <c r="AG108" s="863"/>
      <c r="AH108" s="706"/>
      <c r="AI108" s="706"/>
      <c r="AJ108" s="706"/>
      <c r="AK108" s="706"/>
      <c r="AL108" s="706"/>
      <c r="AM108" s="706"/>
      <c r="AN108" s="706"/>
      <c r="AO108" s="863"/>
      <c r="AP108" s="706"/>
      <c r="AQ108" s="706"/>
      <c r="AR108" s="706"/>
      <c r="AS108" s="675"/>
      <c r="AT108" s="675"/>
      <c r="AU108" s="675"/>
      <c r="AV108" s="675"/>
      <c r="AW108" s="675"/>
      <c r="AX108" s="675"/>
      <c r="AY108" s="675"/>
      <c r="AZ108" s="675"/>
      <c r="BA108" s="675"/>
      <c r="BB108" s="675"/>
      <c r="BC108" s="675"/>
      <c r="BD108" s="675"/>
      <c r="BE108" s="675"/>
      <c r="BF108" s="675"/>
      <c r="BG108" s="675"/>
      <c r="BH108" s="675"/>
      <c r="BI108" s="4775"/>
      <c r="BJ108" s="4816"/>
      <c r="BK108" s="4816"/>
      <c r="BL108" s="4816"/>
      <c r="BM108" s="4816"/>
      <c r="BN108" s="4816"/>
      <c r="BO108" s="4816"/>
      <c r="BP108" s="4816"/>
      <c r="BQ108" s="4816"/>
      <c r="BR108" s="4816"/>
      <c r="BS108" s="4816"/>
      <c r="BT108" s="4816"/>
      <c r="BU108" s="4816"/>
      <c r="BV108" s="4816"/>
      <c r="BW108" s="4816"/>
      <c r="BX108" s="4816"/>
      <c r="BY108" s="4816"/>
      <c r="BZ108" s="4816"/>
      <c r="CA108" s="4816"/>
      <c r="CB108" s="4816"/>
      <c r="CC108" s="4816"/>
      <c r="CD108" s="4816"/>
    </row>
    <row r="109" spans="1:82" ht="15.75" thickBot="1">
      <c r="A109" s="716"/>
      <c r="B109" s="1112"/>
      <c r="C109" s="1113"/>
      <c r="D109" s="1114"/>
      <c r="E109" s="1114"/>
      <c r="F109" s="1114"/>
      <c r="G109" s="1114"/>
      <c r="H109" s="1115"/>
      <c r="I109" s="1116"/>
      <c r="J109" s="1117"/>
      <c r="K109" s="1118"/>
      <c r="L109" s="1119"/>
      <c r="M109" s="1119"/>
      <c r="N109" s="1119"/>
      <c r="O109" s="1119"/>
      <c r="P109" s="1120"/>
      <c r="Q109" s="1121"/>
      <c r="R109" s="1122"/>
      <c r="S109" s="1123"/>
      <c r="T109" s="1119"/>
      <c r="U109" s="1119"/>
      <c r="V109" s="1119"/>
      <c r="W109" s="1119"/>
      <c r="X109" s="1124"/>
      <c r="Y109" s="1121"/>
      <c r="Z109" s="1117"/>
      <c r="AG109" s="863"/>
      <c r="AH109" s="706"/>
      <c r="AI109" s="706"/>
      <c r="AJ109" s="706"/>
      <c r="AK109" s="706"/>
      <c r="AL109" s="706"/>
      <c r="AM109" s="706"/>
      <c r="AN109" s="706"/>
      <c r="AO109" s="863"/>
      <c r="AP109" s="706"/>
      <c r="AQ109" s="706"/>
      <c r="AR109" s="706"/>
      <c r="AS109" s="675"/>
      <c r="AT109" s="675"/>
      <c r="AU109" s="675"/>
      <c r="AV109" s="675"/>
      <c r="AW109" s="675"/>
      <c r="AX109" s="675"/>
      <c r="AY109" s="675"/>
      <c r="AZ109" s="675"/>
      <c r="BA109" s="675"/>
      <c r="BB109" s="675"/>
      <c r="BC109" s="675"/>
      <c r="BD109" s="675"/>
      <c r="BE109" s="675"/>
      <c r="BF109" s="675"/>
      <c r="BG109" s="675"/>
      <c r="BH109" s="675"/>
      <c r="BI109" s="4775"/>
      <c r="BP109" s="695"/>
      <c r="BW109" s="695"/>
      <c r="CD109" s="695"/>
    </row>
    <row r="110" spans="1:82" ht="54.75" customHeight="1">
      <c r="A110" s="716"/>
      <c r="B110" s="722" t="s">
        <v>933</v>
      </c>
      <c r="C110" s="361">
        <f>IFERROR(C99/C104,0)</f>
        <v>0.9690525423728813</v>
      </c>
      <c r="D110" s="362">
        <f>IFERROR(D99/D104,0)</f>
        <v>0.96728708403835306</v>
      </c>
      <c r="E110" s="362">
        <f t="shared" ref="E110:H110" si="503">IFERROR(E99/E104,0)</f>
        <v>0.96728708403835306</v>
      </c>
      <c r="F110" s="362">
        <f t="shared" si="503"/>
        <v>0.96728708403835306</v>
      </c>
      <c r="G110" s="362">
        <f>IFERROR(G99/G104,0)</f>
        <v>0.96728708403835306</v>
      </c>
      <c r="H110" s="363">
        <f t="shared" si="503"/>
        <v>0.96728708403835306</v>
      </c>
      <c r="I110" s="870"/>
      <c r="J110" s="846"/>
      <c r="K110" s="364">
        <f>IFERROR(K99/K105,0)</f>
        <v>1.2885085574572128</v>
      </c>
      <c r="L110" s="362">
        <f t="shared" ref="L110:P110" si="504">IFERROR(L99/L105,0)</f>
        <v>1.279126213592233</v>
      </c>
      <c r="M110" s="362">
        <f t="shared" si="504"/>
        <v>1.279126213592233</v>
      </c>
      <c r="N110" s="362">
        <f t="shared" si="504"/>
        <v>1.279126213592233</v>
      </c>
      <c r="O110" s="362">
        <f t="shared" si="504"/>
        <v>1.279126213592233</v>
      </c>
      <c r="P110" s="363">
        <f t="shared" si="504"/>
        <v>1.279126213592233</v>
      </c>
      <c r="Q110" s="875"/>
      <c r="R110" s="851"/>
      <c r="S110" s="361">
        <f>IFERROR(S99/S108,0)</f>
        <v>4.3346467973811149E-2</v>
      </c>
      <c r="T110" s="362">
        <f t="shared" ref="T110:X110" si="505">IFERROR(T99/T108,0)</f>
        <v>4.8620689655172411E-2</v>
      </c>
      <c r="U110" s="362">
        <f t="shared" si="505"/>
        <v>4.8620689655172411E-2</v>
      </c>
      <c r="V110" s="362">
        <f t="shared" si="505"/>
        <v>4.8620689655172411E-2</v>
      </c>
      <c r="W110" s="362">
        <f t="shared" si="505"/>
        <v>4.8620689655172411E-2</v>
      </c>
      <c r="X110" s="363">
        <f t="shared" si="505"/>
        <v>4.8620689655172411E-2</v>
      </c>
      <c r="Y110" s="875"/>
      <c r="Z110" s="846"/>
      <c r="AG110" s="863"/>
      <c r="AH110" s="706"/>
      <c r="AI110" s="706"/>
      <c r="AJ110" s="706"/>
      <c r="AK110" s="706"/>
      <c r="AL110" s="706"/>
      <c r="AM110" s="706"/>
      <c r="AN110" s="706"/>
      <c r="AO110" s="863"/>
      <c r="AP110" s="706"/>
      <c r="AQ110" s="706"/>
      <c r="AR110" s="706"/>
      <c r="AS110" s="675"/>
      <c r="AT110" s="675"/>
      <c r="AU110" s="675"/>
      <c r="AV110" s="675"/>
      <c r="AW110" s="675"/>
      <c r="AX110" s="675"/>
      <c r="AY110" s="675"/>
      <c r="AZ110" s="675"/>
      <c r="BA110" s="675"/>
      <c r="BB110" s="675"/>
      <c r="BC110" s="675"/>
      <c r="BD110" s="675"/>
      <c r="BE110" s="675"/>
      <c r="BF110" s="675"/>
      <c r="BG110" s="675"/>
      <c r="BH110" s="675"/>
      <c r="BI110" s="4775"/>
      <c r="BJ110" s="4817">
        <f t="shared" ref="BJ110:BJ113" si="506">IFERROR(C110/$D$1,0)</f>
        <v>0.49546869736780874</v>
      </c>
      <c r="BK110" s="4817">
        <f t="shared" ref="BK110:BK113" si="507">IFERROR(D110/$D$1,0)</f>
        <v>0.49456603285477424</v>
      </c>
      <c r="BL110" s="4817">
        <f t="shared" ref="BL110:BL113" si="508">IFERROR(E110/$D$1,0)</f>
        <v>0.49456603285477424</v>
      </c>
      <c r="BM110" s="4817">
        <f t="shared" ref="BM110:BM113" si="509">IFERROR(F110/$D$1,0)</f>
        <v>0.49456603285477424</v>
      </c>
      <c r="BN110" s="4817">
        <f t="shared" ref="BN110:BN113" si="510">IFERROR(G110/$D$1,0)</f>
        <v>0.49456603285477424</v>
      </c>
      <c r="BO110" s="4817">
        <f t="shared" ref="BO110:BO113" si="511">IFERROR(H110/$D$1,0)</f>
        <v>0.49456603285477424</v>
      </c>
      <c r="BP110" s="4819"/>
      <c r="BQ110" s="4817">
        <f t="shared" ref="BQ110:BQ113" si="512">IFERROR(K110/$D$1,0)</f>
        <v>0.6588039642797241</v>
      </c>
      <c r="BR110" s="4817">
        <f t="shared" ref="BR110:BR113" si="513">IFERROR(L110/$D$1,0)</f>
        <v>0.65400684803496878</v>
      </c>
      <c r="BS110" s="4817">
        <f t="shared" ref="BS110:BS113" si="514">IFERROR(M110/$D$1,0)</f>
        <v>0.65400684803496878</v>
      </c>
      <c r="BT110" s="4817">
        <f t="shared" ref="BT110:BT113" si="515">IFERROR(N110/$D$1,0)</f>
        <v>0.65400684803496878</v>
      </c>
      <c r="BU110" s="4817">
        <f t="shared" ref="BU110:BU113" si="516">IFERROR(O110/$D$1,0)</f>
        <v>0.65400684803496878</v>
      </c>
      <c r="BV110" s="4817">
        <f t="shared" ref="BV110:BV113" si="517">IFERROR(P110/$D$1,0)</f>
        <v>0.65400684803496878</v>
      </c>
      <c r="BW110" s="4819"/>
      <c r="BX110" s="4817">
        <f t="shared" ref="BX110:BX113" si="518">IFERROR(S110/$D$1,0)</f>
        <v>2.2162697153541539E-2</v>
      </c>
      <c r="BY110" s="4817">
        <f t="shared" ref="BY110:BY113" si="519">IFERROR(T110/$D$1,0)</f>
        <v>2.4859363878850623E-2</v>
      </c>
      <c r="BZ110" s="4817">
        <f t="shared" ref="BZ110:BZ113" si="520">IFERROR(U110/$D$1,0)</f>
        <v>2.4859363878850623E-2</v>
      </c>
      <c r="CA110" s="4817">
        <f t="shared" ref="CA110:CA113" si="521">IFERROR(V110/$D$1,0)</f>
        <v>2.4859363878850623E-2</v>
      </c>
      <c r="CB110" s="4817">
        <f t="shared" ref="CB110:CB113" si="522">IFERROR(W110/$D$1,0)</f>
        <v>2.4859363878850623E-2</v>
      </c>
      <c r="CC110" s="4817">
        <f t="shared" ref="CC110:CC113" si="523">IFERROR(X110/$D$1,0)</f>
        <v>2.4859363878850623E-2</v>
      </c>
      <c r="CD110" s="4818"/>
    </row>
    <row r="111" spans="1:82" ht="36">
      <c r="A111" s="716"/>
      <c r="B111" s="723" t="s">
        <v>934</v>
      </c>
      <c r="C111" s="365">
        <f>IFERROR(C100/C104,0)</f>
        <v>5.3451977401129946</v>
      </c>
      <c r="D111" s="366">
        <f t="shared" ref="D111:H111" si="524">IFERROR(D100/D104,0)</f>
        <v>7.786238014664411</v>
      </c>
      <c r="E111" s="366">
        <f t="shared" si="524"/>
        <v>8.833051325437113</v>
      </c>
      <c r="F111" s="366">
        <f t="shared" si="524"/>
        <v>10.09024252679075</v>
      </c>
      <c r="G111" s="366">
        <f t="shared" si="524"/>
        <v>11.393683023124648</v>
      </c>
      <c r="H111" s="367">
        <f t="shared" si="524"/>
        <v>12.883248730964468</v>
      </c>
      <c r="I111" s="871"/>
      <c r="J111" s="847"/>
      <c r="K111" s="368">
        <f>IFERROR(K100/K105,0)</f>
        <v>5.7970660146699267</v>
      </c>
      <c r="L111" s="366">
        <f t="shared" ref="L111:P111" si="525">IFERROR(L100/L105,0)</f>
        <v>8.1990291262135919</v>
      </c>
      <c r="M111" s="366">
        <f t="shared" si="525"/>
        <v>9.4441747572815533</v>
      </c>
      <c r="N111" s="366">
        <f t="shared" si="525"/>
        <v>10.616504854368932</v>
      </c>
      <c r="O111" s="366">
        <f t="shared" si="525"/>
        <v>12.148058252427184</v>
      </c>
      <c r="P111" s="367">
        <f t="shared" si="525"/>
        <v>13.922330097087379</v>
      </c>
      <c r="Q111" s="876"/>
      <c r="R111" s="852"/>
      <c r="S111" s="365">
        <f>IFERROR(S100/S108,0)</f>
        <v>0.17941818354169944</v>
      </c>
      <c r="T111" s="366">
        <f t="shared" ref="T111:X111" si="526">IFERROR(T100/T108,0)</f>
        <v>0.25887931034482758</v>
      </c>
      <c r="U111" s="366">
        <f t="shared" si="526"/>
        <v>0.2886206896551724</v>
      </c>
      <c r="V111" s="366">
        <f t="shared" si="526"/>
        <v>0.33008620689655171</v>
      </c>
      <c r="W111" s="366">
        <f t="shared" si="526"/>
        <v>0.37767241379310346</v>
      </c>
      <c r="X111" s="367">
        <f t="shared" si="526"/>
        <v>0.43258620689655175</v>
      </c>
      <c r="Y111" s="876"/>
      <c r="Z111" s="847"/>
      <c r="AG111" s="863"/>
      <c r="AH111" s="706"/>
      <c r="AI111" s="706"/>
      <c r="AJ111" s="706"/>
      <c r="AK111" s="706"/>
      <c r="AL111" s="706"/>
      <c r="AM111" s="706"/>
      <c r="AN111" s="706"/>
      <c r="AO111" s="863"/>
      <c r="AP111" s="706"/>
      <c r="AQ111" s="706"/>
      <c r="AR111" s="706"/>
      <c r="AS111" s="675"/>
      <c r="AT111" s="675"/>
      <c r="AU111" s="675"/>
      <c r="AV111" s="675"/>
      <c r="AW111" s="675"/>
      <c r="AX111" s="675"/>
      <c r="AY111" s="675"/>
      <c r="AZ111" s="675"/>
      <c r="BA111" s="675"/>
      <c r="BB111" s="675"/>
      <c r="BC111" s="675"/>
      <c r="BD111" s="675"/>
      <c r="BE111" s="675"/>
      <c r="BF111" s="675"/>
      <c r="BG111" s="675"/>
      <c r="BH111" s="675"/>
      <c r="BI111" s="4775"/>
      <c r="BJ111" s="4817">
        <f t="shared" si="506"/>
        <v>2.7329562079081486</v>
      </c>
      <c r="BK111" s="4817">
        <f t="shared" si="507"/>
        <v>3.9810402819592761</v>
      </c>
      <c r="BL111" s="4817">
        <f t="shared" si="508"/>
        <v>4.5162674288854925</v>
      </c>
      <c r="BM111" s="4817">
        <f t="shared" si="509"/>
        <v>5.1590590832489278</v>
      </c>
      <c r="BN111" s="4817">
        <f t="shared" si="510"/>
        <v>5.8254976266468192</v>
      </c>
      <c r="BO111" s="4817">
        <f t="shared" si="511"/>
        <v>6.5871004795736177</v>
      </c>
      <c r="BP111" s="4819"/>
      <c r="BQ111" s="4817">
        <f t="shared" si="512"/>
        <v>2.9639927880592518</v>
      </c>
      <c r="BR111" s="4817">
        <f t="shared" si="513"/>
        <v>4.1920970259243351</v>
      </c>
      <c r="BS111" s="4817">
        <f t="shared" si="514"/>
        <v>4.8287298779963255</v>
      </c>
      <c r="BT111" s="4817">
        <f t="shared" si="515"/>
        <v>5.4281327387190768</v>
      </c>
      <c r="BU111" s="4817">
        <f t="shared" si="516"/>
        <v>6.2112035567647412</v>
      </c>
      <c r="BV111" s="4817">
        <f t="shared" si="517"/>
        <v>7.1183743459745372</v>
      </c>
      <c r="BW111" s="4819"/>
      <c r="BX111" s="4817">
        <f t="shared" si="518"/>
        <v>9.1735060583843911E-2</v>
      </c>
      <c r="BY111" s="4817">
        <f t="shared" si="519"/>
        <v>0.13236288958898657</v>
      </c>
      <c r="BZ111" s="4817">
        <f t="shared" si="520"/>
        <v>0.14756941536594306</v>
      </c>
      <c r="CA111" s="4817">
        <f t="shared" si="521"/>
        <v>0.16877039768106211</v>
      </c>
      <c r="CB111" s="4817">
        <f t="shared" si="522"/>
        <v>0.19310083892419252</v>
      </c>
      <c r="CC111" s="4817">
        <f t="shared" si="523"/>
        <v>0.22117781550367452</v>
      </c>
      <c r="CD111" s="4818"/>
    </row>
    <row r="112" spans="1:82" ht="36">
      <c r="A112" s="716"/>
      <c r="B112" s="723" t="s">
        <v>935</v>
      </c>
      <c r="C112" s="365">
        <f>IFERROR(C101/C104,0)</f>
        <v>1.0661016949152542</v>
      </c>
      <c r="D112" s="366">
        <f t="shared" ref="D112:H112" si="527">IFERROR(D101/D104,0)</f>
        <v>1.1979695431472082</v>
      </c>
      <c r="E112" s="366">
        <f t="shared" si="527"/>
        <v>1.2588832487309645</v>
      </c>
      <c r="F112" s="366">
        <f t="shared" si="527"/>
        <v>1.3293852227862379</v>
      </c>
      <c r="G112" s="366">
        <f t="shared" si="527"/>
        <v>1.4100394811054711</v>
      </c>
      <c r="H112" s="367">
        <f t="shared" si="527"/>
        <v>1.5031020868584319</v>
      </c>
      <c r="I112" s="871"/>
      <c r="J112" s="847"/>
      <c r="K112" s="368">
        <f>IFERROR(K101/K105,0)</f>
        <v>1.1491442542787287</v>
      </c>
      <c r="L112" s="366">
        <f t="shared" ref="L112:P112" si="528">IFERROR(L101/L105,0)</f>
        <v>1.2597087378640777</v>
      </c>
      <c r="M112" s="366">
        <f t="shared" si="528"/>
        <v>1.296116504854369</v>
      </c>
      <c r="N112" s="366">
        <f t="shared" si="528"/>
        <v>1.3398058252427185</v>
      </c>
      <c r="O112" s="366">
        <f t="shared" si="528"/>
        <v>1.3907766990291262</v>
      </c>
      <c r="P112" s="367">
        <f t="shared" si="528"/>
        <v>1.4490291262135921</v>
      </c>
      <c r="Q112" s="876"/>
      <c r="R112" s="852"/>
      <c r="S112" s="365">
        <f>IFERROR(S101/S108,0)</f>
        <v>2.3819013415430221E-2</v>
      </c>
      <c r="T112" s="366">
        <f t="shared" ref="T112:X112" si="529">IFERROR(T101/T108,0)</f>
        <v>2.379310344827586E-2</v>
      </c>
      <c r="U112" s="366">
        <f t="shared" si="529"/>
        <v>2.379310344827586E-2</v>
      </c>
      <c r="V112" s="366">
        <f t="shared" si="529"/>
        <v>2.379310344827586E-2</v>
      </c>
      <c r="W112" s="366">
        <f t="shared" si="529"/>
        <v>2.3879310344827587E-2</v>
      </c>
      <c r="X112" s="367">
        <f t="shared" si="529"/>
        <v>2.3879310344827587E-2</v>
      </c>
      <c r="Y112" s="876"/>
      <c r="Z112" s="847"/>
      <c r="AG112" s="863"/>
      <c r="AH112" s="706"/>
      <c r="AI112" s="706"/>
      <c r="AJ112" s="706"/>
      <c r="AK112" s="706"/>
      <c r="AL112" s="706"/>
      <c r="AM112" s="706"/>
      <c r="AN112" s="706"/>
      <c r="AO112" s="863"/>
      <c r="AP112" s="706"/>
      <c r="AQ112" s="706"/>
      <c r="AR112" s="706"/>
      <c r="AS112" s="675"/>
      <c r="AT112" s="675"/>
      <c r="AU112" s="675"/>
      <c r="AV112" s="675"/>
      <c r="AW112" s="675"/>
      <c r="AX112" s="675"/>
      <c r="AY112" s="675"/>
      <c r="AZ112" s="675"/>
      <c r="BA112" s="675"/>
      <c r="BB112" s="675"/>
      <c r="BC112" s="675"/>
      <c r="BD112" s="675"/>
      <c r="BE112" s="675"/>
      <c r="BF112" s="675"/>
      <c r="BG112" s="675"/>
      <c r="BH112" s="675"/>
      <c r="BI112" s="4775"/>
      <c r="BJ112" s="4817">
        <f t="shared" si="506"/>
        <v>0.54508914113969731</v>
      </c>
      <c r="BK112" s="4817">
        <f t="shared" si="507"/>
        <v>0.61251210133151046</v>
      </c>
      <c r="BL112" s="4817">
        <f t="shared" si="508"/>
        <v>0.64365678445006191</v>
      </c>
      <c r="BM112" s="4817">
        <f t="shared" si="509"/>
        <v>0.67970387139282962</v>
      </c>
      <c r="BN112" s="4817">
        <f t="shared" si="510"/>
        <v>0.72094173885535606</v>
      </c>
      <c r="BO112" s="4817">
        <f t="shared" si="511"/>
        <v>0.76852389361980944</v>
      </c>
      <c r="BP112" s="4819"/>
      <c r="BQ112" s="4817">
        <f t="shared" si="512"/>
        <v>0.58754812753599683</v>
      </c>
      <c r="BR112" s="4817">
        <f t="shared" si="513"/>
        <v>0.64407885034183832</v>
      </c>
      <c r="BS112" s="4817">
        <f t="shared" si="514"/>
        <v>0.66269384601645798</v>
      </c>
      <c r="BT112" s="4817">
        <f t="shared" si="515"/>
        <v>0.68503184082600155</v>
      </c>
      <c r="BU112" s="4817">
        <f t="shared" si="516"/>
        <v>0.71109283477046892</v>
      </c>
      <c r="BV112" s="4817">
        <f t="shared" si="517"/>
        <v>0.7408768278498602</v>
      </c>
      <c r="BW112" s="4819"/>
      <c r="BX112" s="4817">
        <f t="shared" si="518"/>
        <v>1.2178468177413283E-2</v>
      </c>
      <c r="BY112" s="4817">
        <f t="shared" si="519"/>
        <v>1.2165220621565198E-2</v>
      </c>
      <c r="BZ112" s="4817">
        <f t="shared" si="520"/>
        <v>1.2165220621565198E-2</v>
      </c>
      <c r="CA112" s="4817">
        <f t="shared" si="521"/>
        <v>1.2165220621565198E-2</v>
      </c>
      <c r="CB112" s="4817">
        <f t="shared" si="522"/>
        <v>1.2209297507875218E-2</v>
      </c>
      <c r="CC112" s="4817">
        <f t="shared" si="523"/>
        <v>1.2209297507875218E-2</v>
      </c>
      <c r="CD112" s="4818"/>
    </row>
    <row r="113" spans="1:82" ht="36.75" thickBot="1">
      <c r="A113" s="716"/>
      <c r="B113" s="724" t="s">
        <v>936</v>
      </c>
      <c r="C113" s="369">
        <f>IFERROR(C102/C106,0)</f>
        <v>5.2502528614556225E-2</v>
      </c>
      <c r="D113" s="370">
        <f t="shared" ref="D113:H113" si="530">IFERROR(D102/D106,0)</f>
        <v>5.4059572997277219E-2</v>
      </c>
      <c r="E113" s="370">
        <f t="shared" si="530"/>
        <v>5.4011982626842987E-2</v>
      </c>
      <c r="F113" s="370">
        <f t="shared" si="530"/>
        <v>5.4336124316479141E-2</v>
      </c>
      <c r="G113" s="370">
        <f t="shared" si="530"/>
        <v>5.4580936022059739E-2</v>
      </c>
      <c r="H113" s="371">
        <f t="shared" si="530"/>
        <v>5.4789830498897137E-2</v>
      </c>
      <c r="I113" s="872"/>
      <c r="J113" s="848"/>
      <c r="K113" s="372">
        <f>IFERROR(K102/K107,0)</f>
        <v>6.6314464245603713E-3</v>
      </c>
      <c r="L113" s="370">
        <f t="shared" ref="L113:P113" si="531">IFERROR(L102/L107,0)</f>
        <v>6.9273529308563333E-3</v>
      </c>
      <c r="M113" s="370">
        <f t="shared" si="531"/>
        <v>7.1512522740978246E-3</v>
      </c>
      <c r="N113" s="370">
        <f t="shared" si="531"/>
        <v>7.2676616125181941E-3</v>
      </c>
      <c r="O113" s="370">
        <f t="shared" si="531"/>
        <v>7.3872576308277316E-3</v>
      </c>
      <c r="P113" s="371">
        <f t="shared" si="531"/>
        <v>7.6426190133807468E-3</v>
      </c>
      <c r="Q113" s="877"/>
      <c r="R113" s="853"/>
      <c r="S113" s="369">
        <f>IFERROR(S102/S108,0)</f>
        <v>6.3009815264764624E-2</v>
      </c>
      <c r="T113" s="370">
        <f t="shared" ref="T113:X113" si="532">IFERROR(T102/T108,0)</f>
        <v>7.3138685000000009E-2</v>
      </c>
      <c r="U113" s="370">
        <f t="shared" si="532"/>
        <v>7.2330956896551724E-2</v>
      </c>
      <c r="V113" s="370">
        <f t="shared" si="532"/>
        <v>7.1227383620689658E-2</v>
      </c>
      <c r="W113" s="370">
        <f t="shared" si="532"/>
        <v>7.0734230172413787E-2</v>
      </c>
      <c r="X113" s="371">
        <f t="shared" si="532"/>
        <v>7.0327283620689657E-2</v>
      </c>
      <c r="Y113" s="877"/>
      <c r="Z113" s="848"/>
      <c r="AG113" s="863"/>
      <c r="AH113" s="706"/>
      <c r="AI113" s="706"/>
      <c r="AJ113" s="706"/>
      <c r="AK113" s="706"/>
      <c r="AL113" s="706"/>
      <c r="AM113" s="706"/>
      <c r="AN113" s="706"/>
      <c r="AO113" s="863"/>
      <c r="AP113" s="706"/>
      <c r="AQ113" s="706"/>
      <c r="AR113" s="706"/>
      <c r="AS113" s="675"/>
      <c r="AT113" s="675"/>
      <c r="AU113" s="675"/>
      <c r="AV113" s="675"/>
      <c r="AW113" s="675"/>
      <c r="AX113" s="675"/>
      <c r="AY113" s="675"/>
      <c r="AZ113" s="675"/>
      <c r="BA113" s="675"/>
      <c r="BB113" s="675"/>
      <c r="BC113" s="675"/>
      <c r="BD113" s="675"/>
      <c r="BE113" s="675"/>
      <c r="BF113" s="675"/>
      <c r="BG113" s="675"/>
      <c r="BH113" s="675"/>
      <c r="BI113" s="4775"/>
      <c r="BJ113" s="4817">
        <f t="shared" si="506"/>
        <v>2.6844116622894744E-2</v>
      </c>
      <c r="BK113" s="4817">
        <f t="shared" si="507"/>
        <v>2.7640220774442167E-2</v>
      </c>
      <c r="BL113" s="4817">
        <f t="shared" si="508"/>
        <v>2.761588820441602E-2</v>
      </c>
      <c r="BM113" s="4817">
        <f t="shared" si="509"/>
        <v>2.7781619218684214E-2</v>
      </c>
      <c r="BN113" s="4817">
        <f t="shared" si="510"/>
        <v>2.7906789456169371E-2</v>
      </c>
      <c r="BO113" s="4817">
        <f t="shared" si="511"/>
        <v>2.8013595506203064E-2</v>
      </c>
      <c r="BP113" s="4819"/>
      <c r="BQ113" s="4817">
        <f t="shared" si="512"/>
        <v>3.3906047174654093E-3</v>
      </c>
      <c r="BR113" s="4817">
        <f t="shared" si="513"/>
        <v>3.5418993117276726E-3</v>
      </c>
      <c r="BS113" s="4817">
        <f t="shared" si="514"/>
        <v>3.6563772281322125E-3</v>
      </c>
      <c r="BT113" s="4817">
        <f t="shared" si="515"/>
        <v>3.7158963777619704E-3</v>
      </c>
      <c r="BU113" s="4817">
        <f t="shared" si="516"/>
        <v>3.777044850947031E-3</v>
      </c>
      <c r="BV113" s="4817">
        <f t="shared" si="517"/>
        <v>3.9076090526174298E-3</v>
      </c>
      <c r="BW113" s="4819"/>
      <c r="BX113" s="4817">
        <f t="shared" si="518"/>
        <v>3.2216406980547709E-2</v>
      </c>
      <c r="BY113" s="4817">
        <f t="shared" si="519"/>
        <v>3.7395215841867654E-2</v>
      </c>
      <c r="BZ113" s="4817">
        <f t="shared" si="520"/>
        <v>3.6982231020360523E-2</v>
      </c>
      <c r="CA113" s="4817">
        <f t="shared" si="521"/>
        <v>3.6417982964107136E-2</v>
      </c>
      <c r="CB113" s="4817">
        <f t="shared" si="522"/>
        <v>3.6165837609819763E-2</v>
      </c>
      <c r="CC113" s="4817">
        <f t="shared" si="523"/>
        <v>3.595776914184242E-2</v>
      </c>
      <c r="CD113" s="4818"/>
    </row>
    <row r="114" spans="1:82">
      <c r="A114" s="716"/>
      <c r="B114" s="716"/>
      <c r="C114" s="3219"/>
      <c r="D114" s="3219"/>
      <c r="E114" s="3219"/>
      <c r="F114" s="3219"/>
      <c r="G114" s="3219"/>
      <c r="H114" s="3219"/>
      <c r="I114" s="867"/>
      <c r="J114" s="717"/>
      <c r="K114" s="717"/>
      <c r="L114" s="717"/>
      <c r="M114" s="717"/>
      <c r="N114" s="717"/>
      <c r="O114" s="717"/>
      <c r="P114" s="717"/>
      <c r="Q114" s="867"/>
      <c r="R114" s="717"/>
      <c r="S114" s="717"/>
      <c r="T114" s="717"/>
      <c r="U114" s="717"/>
      <c r="V114" s="717"/>
      <c r="W114" s="717"/>
      <c r="X114" s="3196"/>
      <c r="Y114" s="867"/>
      <c r="Z114" s="717"/>
      <c r="AA114" s="696"/>
      <c r="AB114" s="696"/>
      <c r="AC114" s="696"/>
      <c r="AD114" s="696"/>
      <c r="AE114" s="696"/>
      <c r="AG114" s="866"/>
      <c r="AH114" s="696"/>
      <c r="AI114" s="696"/>
      <c r="AJ114" s="696"/>
      <c r="AK114" s="696"/>
      <c r="AL114" s="696"/>
      <c r="AM114" s="696"/>
      <c r="AO114" s="866"/>
      <c r="AP114" s="696"/>
      <c r="AW114" s="706"/>
      <c r="AX114" s="706"/>
      <c r="AY114" s="706"/>
      <c r="AZ114" s="706"/>
      <c r="BA114" s="706"/>
      <c r="BB114" s="706"/>
      <c r="BC114" s="706"/>
      <c r="BD114" s="706"/>
      <c r="BE114" s="706"/>
      <c r="BF114" s="706"/>
      <c r="BG114" s="706"/>
      <c r="BH114" s="706"/>
      <c r="BP114" s="695"/>
    </row>
    <row r="115" spans="1:82">
      <c r="A115" s="716"/>
      <c r="B115" s="716"/>
      <c r="C115" s="3196"/>
      <c r="D115" s="3196"/>
      <c r="E115" s="3196"/>
      <c r="F115" s="3196"/>
      <c r="G115" s="3196"/>
      <c r="H115" s="3196"/>
      <c r="I115" s="867"/>
      <c r="J115" s="717"/>
      <c r="K115" s="717"/>
      <c r="L115" s="717"/>
      <c r="M115" s="717"/>
      <c r="N115" s="717"/>
      <c r="O115" s="717"/>
      <c r="P115" s="717"/>
      <c r="Q115" s="867"/>
      <c r="R115" s="717"/>
      <c r="S115" s="717"/>
      <c r="T115" s="717"/>
      <c r="U115" s="717"/>
      <c r="V115" s="717"/>
      <c r="W115" s="717"/>
      <c r="X115" s="3196"/>
      <c r="Y115" s="867"/>
      <c r="Z115" s="717"/>
      <c r="AA115" s="696"/>
      <c r="AB115" s="696"/>
      <c r="AC115" s="696"/>
      <c r="AD115" s="696"/>
      <c r="AE115" s="696"/>
      <c r="AG115" s="866"/>
      <c r="AH115" s="696"/>
      <c r="AI115" s="696"/>
      <c r="AJ115" s="696"/>
      <c r="AK115" s="696"/>
      <c r="AL115" s="696"/>
      <c r="AM115" s="696"/>
      <c r="AO115" s="866"/>
      <c r="AP115" s="696"/>
      <c r="AW115" s="706"/>
      <c r="AX115" s="706"/>
      <c r="AY115" s="706"/>
      <c r="AZ115" s="706"/>
      <c r="BA115" s="706"/>
      <c r="BB115" s="706"/>
      <c r="BC115" s="706"/>
      <c r="BD115" s="706"/>
      <c r="BE115" s="706"/>
      <c r="BF115" s="706"/>
      <c r="BG115" s="706"/>
      <c r="BH115" s="706"/>
      <c r="BP115" s="695"/>
    </row>
    <row r="116" spans="1:82">
      <c r="A116" s="716"/>
      <c r="B116" s="3220" t="str">
        <f>'Приложение '!B82</f>
        <v>Дата: 15.04.2026 г.</v>
      </c>
      <c r="C116" s="3196"/>
      <c r="D116" s="3196"/>
      <c r="E116" s="3196"/>
      <c r="F116" s="3196"/>
      <c r="G116" s="3196"/>
      <c r="H116" s="3196"/>
      <c r="I116" s="3197"/>
      <c r="J116" s="3196"/>
      <c r="K116" s="3196"/>
      <c r="L116" s="3196"/>
      <c r="M116" s="3196"/>
      <c r="N116" s="3196"/>
      <c r="O116" s="3196"/>
      <c r="P116" s="3196"/>
      <c r="Q116" s="3221"/>
      <c r="R116" s="3222"/>
      <c r="S116" s="3196"/>
      <c r="T116" s="3196"/>
      <c r="U116" s="3196"/>
      <c r="V116" s="3196"/>
      <c r="W116" s="3196"/>
      <c r="X116" s="3157"/>
      <c r="Y116" s="3197"/>
      <c r="Z116" s="3196"/>
      <c r="AF116" s="45"/>
      <c r="AN116" s="45"/>
      <c r="AQ116" s="45"/>
      <c r="AR116" s="45"/>
      <c r="AS116" s="45"/>
      <c r="AT116" s="45"/>
      <c r="AU116" s="45"/>
      <c r="AV116" s="45"/>
      <c r="AW116" s="706"/>
      <c r="AX116" s="706"/>
      <c r="AY116" s="706"/>
      <c r="AZ116" s="706"/>
      <c r="BA116" s="706"/>
      <c r="BB116" s="706"/>
      <c r="BC116" s="706"/>
      <c r="BD116" s="706"/>
      <c r="BE116" s="706"/>
      <c r="BF116" s="706"/>
      <c r="BG116" s="706"/>
      <c r="BH116" s="706"/>
      <c r="BP116" s="695"/>
    </row>
    <row r="117" spans="1:82">
      <c r="A117" s="716"/>
      <c r="B117" s="716"/>
      <c r="C117" s="3196"/>
      <c r="D117" s="3196"/>
      <c r="E117" s="3196"/>
      <c r="F117" s="3196"/>
      <c r="G117" s="3196"/>
      <c r="H117" s="3196"/>
      <c r="I117" s="3197"/>
      <c r="J117" s="3196"/>
      <c r="K117" s="3196"/>
      <c r="L117" s="3196"/>
      <c r="M117" s="3196"/>
      <c r="N117" s="3196"/>
      <c r="O117" s="3196"/>
      <c r="P117" s="3196"/>
      <c r="Q117" s="3221"/>
      <c r="R117" s="3223"/>
      <c r="S117" s="3196"/>
      <c r="T117" s="3196"/>
      <c r="U117" s="3196"/>
      <c r="V117" s="3196"/>
      <c r="W117" s="3196"/>
      <c r="X117" s="2765"/>
      <c r="Y117" s="3197"/>
      <c r="Z117" s="3196"/>
      <c r="AF117" s="697"/>
      <c r="AN117" s="697"/>
      <c r="AQ117" s="47"/>
      <c r="AR117" s="698"/>
      <c r="AS117" s="699"/>
      <c r="AT117" s="36"/>
      <c r="AU117" s="699"/>
      <c r="AV117" s="697"/>
      <c r="AW117" s="706"/>
      <c r="AX117" s="706"/>
      <c r="AY117" s="706"/>
      <c r="AZ117" s="706"/>
      <c r="BA117" s="706"/>
      <c r="BB117" s="706"/>
      <c r="BC117" s="706"/>
      <c r="BD117" s="706"/>
      <c r="BE117" s="706"/>
      <c r="BF117" s="706"/>
      <c r="BG117" s="706"/>
      <c r="BH117" s="706"/>
      <c r="BP117" s="695"/>
    </row>
    <row r="118" spans="1:82">
      <c r="A118" s="716"/>
      <c r="B118" s="716"/>
      <c r="C118" s="3196"/>
      <c r="D118" s="3196"/>
      <c r="E118" s="3196"/>
      <c r="F118" s="3196"/>
      <c r="G118" s="3196"/>
      <c r="H118" s="3196"/>
      <c r="I118" s="3197"/>
      <c r="J118" s="3196"/>
      <c r="K118" s="3196"/>
      <c r="L118" s="3196"/>
      <c r="M118" s="3196"/>
      <c r="N118" s="3196"/>
      <c r="O118" s="3196"/>
      <c r="P118" s="3196"/>
      <c r="Q118" s="3221"/>
      <c r="R118" s="3222"/>
      <c r="S118" s="3196"/>
      <c r="T118" s="3196"/>
      <c r="U118" s="3196"/>
      <c r="V118" s="3196"/>
      <c r="W118" s="3196"/>
      <c r="X118" s="2765"/>
      <c r="Y118" s="3197"/>
      <c r="Z118" s="3196"/>
      <c r="AF118" s="697"/>
      <c r="AN118" s="697"/>
      <c r="AQ118" s="697"/>
      <c r="AR118" s="700"/>
      <c r="AS118" s="701"/>
      <c r="AT118" s="702"/>
      <c r="AU118" s="699"/>
      <c r="AV118" s="697"/>
      <c r="AW118" s="706"/>
      <c r="AX118" s="706"/>
      <c r="AY118" s="706"/>
      <c r="AZ118" s="706"/>
      <c r="BA118" s="706"/>
      <c r="BB118" s="706"/>
      <c r="BC118" s="706"/>
      <c r="BD118" s="706"/>
      <c r="BE118" s="706"/>
      <c r="BF118" s="706"/>
      <c r="BG118" s="706"/>
      <c r="BH118" s="706"/>
      <c r="BP118" s="695"/>
    </row>
    <row r="119" spans="1:82">
      <c r="A119" s="716"/>
      <c r="B119" s="2758" t="s">
        <v>187</v>
      </c>
      <c r="C119" s="3196"/>
      <c r="D119" s="3196"/>
      <c r="E119" s="3196"/>
      <c r="F119" s="3196"/>
      <c r="G119" s="3196"/>
      <c r="H119" s="3196"/>
      <c r="I119" s="3197"/>
      <c r="J119" s="3196"/>
      <c r="K119" s="3196"/>
      <c r="L119" s="3196"/>
      <c r="M119" s="3196"/>
      <c r="N119" s="3196"/>
      <c r="O119" s="3196"/>
      <c r="P119" s="3196"/>
      <c r="Q119" s="3221"/>
      <c r="R119" s="3222"/>
      <c r="S119" s="3196"/>
      <c r="T119" s="3196"/>
      <c r="U119" s="3196"/>
      <c r="V119" s="3196"/>
      <c r="W119" s="3196"/>
      <c r="X119" s="2765"/>
      <c r="Y119" s="3197"/>
      <c r="Z119" s="3196"/>
      <c r="AF119" s="697"/>
      <c r="AN119" s="697"/>
      <c r="AQ119" s="697"/>
      <c r="AR119" s="700"/>
      <c r="AS119" s="701"/>
      <c r="AT119" s="702"/>
      <c r="AU119" s="699"/>
      <c r="AV119" s="697"/>
      <c r="AW119" s="706"/>
      <c r="AX119" s="706"/>
      <c r="AY119" s="706"/>
      <c r="AZ119" s="706"/>
      <c r="BA119" s="706"/>
      <c r="BB119" s="706"/>
      <c r="BC119" s="706"/>
      <c r="BD119" s="706"/>
      <c r="BE119" s="706"/>
      <c r="BF119" s="706"/>
      <c r="BG119" s="706"/>
      <c r="BH119" s="706"/>
    </row>
    <row r="120" spans="1:82">
      <c r="A120" s="716"/>
      <c r="B120" s="1473" t="s">
        <v>1057</v>
      </c>
      <c r="C120" s="3196"/>
      <c r="D120" s="3196"/>
      <c r="E120" s="3196"/>
      <c r="F120" s="3196"/>
      <c r="G120" s="3196"/>
      <c r="H120" s="3196"/>
      <c r="I120" s="3197"/>
      <c r="J120" s="3196"/>
      <c r="K120" s="3196"/>
      <c r="L120" s="3196"/>
      <c r="M120" s="3196"/>
      <c r="N120" s="3196"/>
      <c r="O120" s="3196"/>
      <c r="P120" s="3196"/>
      <c r="Q120" s="3221"/>
      <c r="R120" s="3222"/>
      <c r="S120" s="3196"/>
      <c r="T120" s="3196"/>
      <c r="U120" s="3196"/>
      <c r="V120" s="3196"/>
      <c r="W120" s="3196"/>
      <c r="X120" s="2765"/>
      <c r="Y120" s="3197"/>
      <c r="Z120" s="3196"/>
      <c r="AF120" s="697"/>
      <c r="AN120" s="697"/>
      <c r="AQ120" s="697"/>
      <c r="AR120" s="700"/>
      <c r="AS120" s="701"/>
      <c r="AT120" s="702"/>
      <c r="AU120" s="699"/>
      <c r="AV120" s="697"/>
      <c r="AW120" s="706"/>
      <c r="AX120" s="706"/>
      <c r="AY120" s="706"/>
      <c r="AZ120" s="706"/>
      <c r="BA120" s="706"/>
      <c r="BB120" s="706"/>
      <c r="BC120" s="706"/>
      <c r="BD120" s="706"/>
      <c r="BE120" s="706"/>
      <c r="BF120" s="706"/>
      <c r="BG120" s="706"/>
      <c r="BH120" s="706"/>
    </row>
    <row r="121" spans="1:82" s="48" customFormat="1">
      <c r="A121" s="716"/>
      <c r="B121" s="1473" t="s">
        <v>1056</v>
      </c>
      <c r="C121" s="3196"/>
      <c r="D121" s="3196"/>
      <c r="E121" s="3196"/>
      <c r="F121" s="3196"/>
      <c r="G121" s="3196"/>
      <c r="H121" s="3196"/>
      <c r="I121" s="3197"/>
      <c r="J121" s="3196"/>
      <c r="K121" s="3196"/>
      <c r="L121" s="3196"/>
      <c r="M121" s="3196"/>
      <c r="N121" s="3196"/>
      <c r="O121" s="3196"/>
      <c r="P121" s="3196"/>
      <c r="Q121" s="3224"/>
      <c r="R121" s="3223"/>
      <c r="S121" s="3224"/>
      <c r="T121" s="3196"/>
      <c r="U121" s="3196"/>
      <c r="V121" s="3196"/>
      <c r="W121" s="3196"/>
      <c r="X121" s="2765"/>
      <c r="Y121" s="3197"/>
      <c r="Z121" s="716"/>
      <c r="AC121" s="49"/>
      <c r="AD121" s="49"/>
      <c r="AE121" s="49"/>
      <c r="AF121" s="697"/>
      <c r="AG121" s="860"/>
      <c r="AH121" s="49"/>
      <c r="AI121" s="49"/>
      <c r="AJ121" s="49"/>
      <c r="AK121" s="49"/>
      <c r="AL121" s="49"/>
      <c r="AM121" s="49"/>
      <c r="AN121" s="697"/>
      <c r="AO121" s="860"/>
      <c r="AP121" s="49"/>
      <c r="AQ121" s="697"/>
      <c r="AR121" s="700"/>
      <c r="AS121" s="701"/>
      <c r="AT121" s="702"/>
      <c r="AU121" s="699"/>
      <c r="AV121" s="697"/>
      <c r="AW121" s="706"/>
      <c r="AX121" s="706"/>
      <c r="AY121" s="706"/>
      <c r="AZ121" s="706"/>
      <c r="BA121" s="706"/>
      <c r="BB121" s="706"/>
      <c r="BC121" s="706"/>
      <c r="BD121" s="706"/>
      <c r="BE121" s="706"/>
      <c r="BF121" s="706"/>
      <c r="BG121" s="706"/>
      <c r="BH121" s="706"/>
    </row>
    <row r="122" spans="1:82" s="48" customFormat="1">
      <c r="A122" s="716"/>
      <c r="B122" s="716"/>
      <c r="C122" s="3224"/>
      <c r="D122" s="3224"/>
      <c r="E122" s="3224"/>
      <c r="F122" s="3224"/>
      <c r="G122" s="3224"/>
      <c r="H122" s="3224"/>
      <c r="I122" s="3197"/>
      <c r="J122" s="3224"/>
      <c r="K122" s="3224"/>
      <c r="L122" s="3224"/>
      <c r="M122" s="3224"/>
      <c r="N122" s="3224"/>
      <c r="O122" s="3224"/>
      <c r="P122" s="3224"/>
      <c r="Q122" s="3197"/>
      <c r="R122" s="3224"/>
      <c r="S122" s="3224"/>
      <c r="T122" s="3224"/>
      <c r="U122" s="3224"/>
      <c r="V122" s="3224"/>
      <c r="W122" s="3196"/>
      <c r="X122" s="2765"/>
      <c r="Y122" s="3197"/>
      <c r="Z122" s="716"/>
      <c r="AC122" s="703"/>
      <c r="AD122" s="703"/>
      <c r="AE122" s="49"/>
      <c r="AF122" s="697"/>
      <c r="AG122" s="860"/>
      <c r="AH122" s="703"/>
      <c r="AI122" s="703"/>
      <c r="AJ122" s="703"/>
      <c r="AK122" s="703"/>
      <c r="AL122" s="703"/>
      <c r="AM122" s="49"/>
      <c r="AN122" s="697"/>
      <c r="AO122" s="860"/>
      <c r="AP122" s="703"/>
      <c r="AQ122" s="704"/>
      <c r="AR122" s="697"/>
      <c r="AS122" s="699"/>
      <c r="AT122" s="36"/>
      <c r="AU122" s="699"/>
      <c r="AV122" s="697"/>
      <c r="AW122" s="706"/>
      <c r="AX122" s="706"/>
      <c r="AY122" s="706"/>
      <c r="AZ122" s="706"/>
      <c r="BA122" s="706"/>
      <c r="BB122" s="706"/>
      <c r="BC122" s="706"/>
      <c r="BD122" s="706"/>
      <c r="BE122" s="706"/>
      <c r="BF122" s="706"/>
      <c r="BG122" s="706"/>
      <c r="BH122" s="706"/>
    </row>
    <row r="123" spans="1:82" s="48" customFormat="1">
      <c r="A123" s="25"/>
      <c r="C123" s="49"/>
      <c r="D123" s="49"/>
      <c r="E123" s="49"/>
      <c r="F123" s="49"/>
      <c r="G123" s="49"/>
      <c r="H123" s="49"/>
      <c r="I123" s="860"/>
      <c r="J123" s="49"/>
      <c r="K123" s="49"/>
      <c r="L123" s="49"/>
      <c r="M123" s="49"/>
      <c r="N123" s="49"/>
      <c r="O123" s="49"/>
      <c r="P123" s="49"/>
      <c r="Q123" s="860"/>
      <c r="R123" s="49"/>
      <c r="S123" s="49"/>
      <c r="T123" s="49"/>
      <c r="U123" s="49"/>
      <c r="V123" s="49"/>
      <c r="W123" s="49"/>
      <c r="X123" s="697"/>
      <c r="Y123" s="860"/>
      <c r="Z123" s="49"/>
      <c r="AA123" s="677"/>
      <c r="AB123" s="49"/>
      <c r="AC123" s="49"/>
      <c r="AD123" s="49"/>
      <c r="AE123" s="49"/>
      <c r="AF123" s="697"/>
      <c r="AG123" s="860"/>
      <c r="AH123" s="49"/>
      <c r="AI123" s="49"/>
      <c r="AJ123" s="49"/>
      <c r="AK123" s="49"/>
      <c r="AL123" s="49"/>
      <c r="AM123" s="49"/>
      <c r="AN123" s="697"/>
      <c r="AO123" s="860"/>
      <c r="AP123" s="49"/>
      <c r="AR123" s="705"/>
      <c r="AS123" s="701"/>
      <c r="AT123" s="702"/>
      <c r="AU123" s="699"/>
      <c r="AV123" s="697"/>
      <c r="AW123" s="706"/>
      <c r="AX123" s="706"/>
      <c r="AY123" s="706"/>
      <c r="AZ123" s="706"/>
      <c r="BA123" s="706"/>
      <c r="BB123" s="706"/>
      <c r="BC123" s="706"/>
      <c r="BD123" s="706"/>
      <c r="BE123" s="706"/>
      <c r="BF123" s="706"/>
      <c r="BG123" s="706"/>
      <c r="BH123" s="706"/>
    </row>
    <row r="124" spans="1:82" s="48" customFormat="1">
      <c r="C124" s="49"/>
      <c r="D124" s="49"/>
      <c r="E124" s="49"/>
      <c r="F124" s="49"/>
      <c r="G124" s="49"/>
      <c r="H124" s="49"/>
      <c r="I124" s="860"/>
      <c r="J124" s="49"/>
      <c r="K124" s="49"/>
      <c r="L124" s="49"/>
      <c r="M124" s="49"/>
      <c r="N124" s="49"/>
      <c r="O124" s="49"/>
      <c r="P124" s="49"/>
      <c r="Q124" s="860"/>
      <c r="R124" s="49"/>
      <c r="S124" s="49"/>
      <c r="T124" s="49"/>
      <c r="U124" s="49"/>
      <c r="V124" s="49"/>
      <c r="W124" s="49"/>
      <c r="X124" s="49"/>
      <c r="Y124" s="860"/>
      <c r="Z124" s="49"/>
      <c r="AA124" s="49"/>
      <c r="AB124" s="49"/>
      <c r="AC124" s="49"/>
      <c r="AD124" s="49"/>
      <c r="AE124" s="49"/>
      <c r="AF124" s="49"/>
      <c r="AG124" s="860"/>
      <c r="AH124" s="49"/>
      <c r="AI124" s="49"/>
      <c r="AJ124" s="49"/>
      <c r="AK124" s="49"/>
      <c r="AL124" s="49"/>
      <c r="AM124" s="49"/>
      <c r="AN124" s="49"/>
      <c r="AO124" s="860"/>
      <c r="AP124" s="49"/>
      <c r="AQ124" s="49"/>
      <c r="AR124" s="706"/>
      <c r="AS124" s="706"/>
      <c r="AT124" s="706"/>
      <c r="AU124" s="706"/>
      <c r="AV124" s="706"/>
      <c r="AW124" s="706"/>
      <c r="AX124" s="706"/>
      <c r="AY124" s="706"/>
      <c r="AZ124" s="706"/>
      <c r="BA124" s="706"/>
      <c r="BB124" s="706"/>
      <c r="BC124" s="706"/>
      <c r="BD124" s="706"/>
      <c r="BE124" s="706"/>
      <c r="BF124" s="706"/>
      <c r="BG124" s="706"/>
      <c r="BH124" s="706"/>
    </row>
    <row r="125" spans="1:82" s="48" customFormat="1">
      <c r="C125" s="49"/>
      <c r="D125" s="49"/>
      <c r="E125" s="49"/>
      <c r="F125" s="49"/>
      <c r="G125" s="49"/>
      <c r="H125" s="49"/>
      <c r="I125" s="860"/>
      <c r="J125" s="49"/>
      <c r="K125" s="49"/>
      <c r="L125" s="49"/>
      <c r="M125" s="49"/>
      <c r="N125" s="49"/>
      <c r="O125" s="49"/>
      <c r="P125" s="49"/>
      <c r="Q125" s="860"/>
      <c r="R125" s="49"/>
      <c r="S125" s="49"/>
      <c r="T125" s="49"/>
      <c r="U125" s="49"/>
      <c r="V125" s="49"/>
      <c r="W125" s="49"/>
      <c r="X125" s="49"/>
      <c r="Y125" s="860"/>
      <c r="Z125" s="49"/>
      <c r="AA125" s="49"/>
      <c r="AB125" s="49"/>
      <c r="AC125" s="49"/>
      <c r="AD125" s="49"/>
      <c r="AE125" s="49"/>
      <c r="AF125" s="49"/>
      <c r="AG125" s="860"/>
      <c r="AH125" s="49"/>
      <c r="AI125" s="49"/>
      <c r="AJ125" s="49"/>
      <c r="AK125" s="49"/>
      <c r="AL125" s="49"/>
      <c r="AM125" s="49"/>
      <c r="AN125" s="49"/>
      <c r="AO125" s="860"/>
      <c r="AP125" s="49"/>
      <c r="AQ125" s="49"/>
      <c r="AR125" s="706"/>
      <c r="AS125" s="706"/>
      <c r="AT125" s="706"/>
      <c r="AU125" s="706"/>
      <c r="AV125" s="706"/>
      <c r="AW125" s="706"/>
      <c r="AX125" s="706"/>
      <c r="AY125" s="706"/>
      <c r="AZ125" s="706"/>
      <c r="BA125" s="706"/>
      <c r="BB125" s="706"/>
      <c r="BC125" s="706"/>
      <c r="BD125" s="706"/>
      <c r="BE125" s="706"/>
      <c r="BF125" s="706"/>
      <c r="BG125" s="706"/>
      <c r="BH125" s="706"/>
    </row>
    <row r="126" spans="1:82" s="48" customFormat="1">
      <c r="A126" s="707"/>
      <c r="B126" s="708"/>
      <c r="C126" s="709"/>
      <c r="D126" s="709"/>
      <c r="E126" s="709"/>
      <c r="F126" s="709"/>
      <c r="G126" s="710"/>
      <c r="H126" s="710"/>
      <c r="I126" s="865"/>
      <c r="J126" s="710"/>
      <c r="K126" s="710"/>
      <c r="L126" s="710"/>
      <c r="M126" s="710"/>
      <c r="N126" s="710"/>
      <c r="O126" s="710"/>
      <c r="P126" s="710"/>
      <c r="Q126" s="865"/>
      <c r="R126" s="710"/>
      <c r="S126" s="706"/>
      <c r="T126" s="706"/>
      <c r="U126" s="706"/>
      <c r="V126" s="706"/>
      <c r="W126" s="706"/>
      <c r="X126" s="706"/>
      <c r="Y126" s="865"/>
      <c r="Z126" s="710"/>
      <c r="AA126" s="706"/>
      <c r="AB126" s="706"/>
      <c r="AC126" s="706"/>
      <c r="AD126" s="706"/>
      <c r="AE126" s="706"/>
      <c r="AF126" s="706"/>
      <c r="AG126" s="865"/>
      <c r="AH126" s="710"/>
      <c r="AI126" s="706"/>
      <c r="AJ126" s="706"/>
      <c r="AK126" s="706"/>
      <c r="AL126" s="706"/>
      <c r="AM126" s="706"/>
      <c r="AN126" s="706"/>
      <c r="AO126" s="865"/>
      <c r="AP126" s="710"/>
      <c r="AQ126" s="706"/>
      <c r="AR126" s="706"/>
      <c r="AS126" s="706"/>
      <c r="AT126" s="706"/>
      <c r="AW126" s="706"/>
      <c r="AX126" s="706"/>
      <c r="AY126" s="706"/>
      <c r="AZ126" s="706"/>
      <c r="BA126" s="706"/>
      <c r="BB126" s="706"/>
      <c r="BC126" s="706"/>
      <c r="BD126" s="706"/>
      <c r="BE126" s="706"/>
      <c r="BF126" s="706"/>
      <c r="BG126" s="706"/>
      <c r="BH126" s="706"/>
    </row>
    <row r="127" spans="1:82" s="48" customFormat="1">
      <c r="A127" s="711"/>
      <c r="B127" s="5435"/>
      <c r="C127" s="683"/>
      <c r="D127" s="683"/>
      <c r="E127" s="683"/>
      <c r="F127" s="683"/>
      <c r="G127" s="706"/>
      <c r="H127" s="706"/>
      <c r="I127" s="863"/>
      <c r="J127" s="706"/>
      <c r="K127" s="706"/>
      <c r="L127" s="706"/>
      <c r="M127" s="706"/>
      <c r="N127" s="706"/>
      <c r="O127" s="706"/>
      <c r="P127" s="706"/>
      <c r="Q127" s="863"/>
      <c r="R127" s="706"/>
      <c r="S127" s="706"/>
      <c r="T127" s="706"/>
      <c r="U127" s="706"/>
      <c r="V127" s="706"/>
      <c r="W127" s="706"/>
      <c r="X127" s="706"/>
      <c r="Y127" s="863"/>
      <c r="Z127" s="706"/>
      <c r="AA127" s="706"/>
      <c r="AB127" s="706"/>
      <c r="AC127" s="706"/>
      <c r="AD127" s="706"/>
      <c r="AE127" s="706"/>
      <c r="AF127" s="706"/>
      <c r="AG127" s="863"/>
      <c r="AH127" s="706"/>
      <c r="AI127" s="706"/>
      <c r="AJ127" s="706"/>
      <c r="AK127" s="706"/>
      <c r="AL127" s="706"/>
      <c r="AM127" s="706"/>
      <c r="AN127" s="706"/>
      <c r="AO127" s="863"/>
      <c r="AP127" s="706"/>
      <c r="AQ127" s="706"/>
      <c r="AR127" s="706"/>
      <c r="AS127" s="706"/>
      <c r="AT127" s="49"/>
      <c r="AW127" s="706"/>
      <c r="AX127" s="706"/>
      <c r="AY127" s="706"/>
      <c r="AZ127" s="706"/>
      <c r="BA127" s="706"/>
      <c r="BB127" s="706"/>
      <c r="BC127" s="706"/>
      <c r="BD127" s="706"/>
      <c r="BE127" s="706"/>
      <c r="BF127" s="706"/>
      <c r="BG127" s="706"/>
      <c r="BH127" s="706"/>
    </row>
    <row r="128" spans="1:82" s="48" customFormat="1">
      <c r="A128" s="711"/>
      <c r="B128" s="5435"/>
      <c r="C128" s="683"/>
      <c r="D128" s="683"/>
      <c r="E128" s="683"/>
      <c r="F128" s="683"/>
      <c r="G128" s="706"/>
      <c r="H128" s="706"/>
      <c r="I128" s="863"/>
      <c r="J128" s="706"/>
      <c r="K128" s="706"/>
      <c r="L128" s="706"/>
      <c r="M128" s="706"/>
      <c r="N128" s="706"/>
      <c r="O128" s="706"/>
      <c r="P128" s="706"/>
      <c r="Q128" s="863"/>
      <c r="R128" s="706"/>
      <c r="S128" s="706"/>
      <c r="T128" s="706"/>
      <c r="U128" s="706"/>
      <c r="V128" s="706"/>
      <c r="W128" s="706"/>
      <c r="X128" s="706"/>
      <c r="Y128" s="863"/>
      <c r="Z128" s="706"/>
      <c r="AA128" s="706"/>
      <c r="AB128" s="706"/>
      <c r="AC128" s="706"/>
      <c r="AD128" s="706"/>
      <c r="AE128" s="706"/>
      <c r="AF128" s="706"/>
      <c r="AG128" s="863"/>
      <c r="AH128" s="706"/>
      <c r="AI128" s="706"/>
      <c r="AJ128" s="706"/>
      <c r="AK128" s="706"/>
      <c r="AL128" s="706"/>
      <c r="AM128" s="706"/>
      <c r="AN128" s="706"/>
      <c r="AO128" s="863"/>
      <c r="AP128" s="706"/>
      <c r="AQ128" s="706"/>
      <c r="AR128" s="706"/>
      <c r="AS128" s="706"/>
      <c r="AT128" s="706"/>
      <c r="AW128" s="706"/>
      <c r="AX128" s="706"/>
      <c r="AY128" s="706"/>
      <c r="AZ128" s="706"/>
      <c r="BA128" s="706"/>
      <c r="BB128" s="706"/>
      <c r="BC128" s="706"/>
      <c r="BD128" s="706"/>
      <c r="BE128" s="706"/>
      <c r="BF128" s="706"/>
      <c r="BG128" s="706"/>
      <c r="BH128" s="706"/>
    </row>
    <row r="129" spans="1:60" s="48" customFormat="1">
      <c r="A129" s="711"/>
      <c r="B129" s="711"/>
      <c r="C129" s="706"/>
      <c r="D129" s="706"/>
      <c r="E129" s="706"/>
      <c r="F129" s="706"/>
      <c r="G129" s="706"/>
      <c r="H129" s="706"/>
      <c r="I129" s="863"/>
      <c r="J129" s="706"/>
      <c r="K129" s="706"/>
      <c r="L129" s="706"/>
      <c r="M129" s="706"/>
      <c r="N129" s="706"/>
      <c r="O129" s="706"/>
      <c r="P129" s="706"/>
      <c r="Q129" s="863"/>
      <c r="R129" s="706"/>
      <c r="S129" s="706"/>
      <c r="T129" s="706"/>
      <c r="U129" s="706"/>
      <c r="V129" s="706"/>
      <c r="W129" s="706"/>
      <c r="X129" s="706"/>
      <c r="Y129" s="863"/>
      <c r="Z129" s="706"/>
      <c r="AA129" s="706"/>
      <c r="AB129" s="706"/>
      <c r="AC129" s="706"/>
      <c r="AD129" s="706"/>
      <c r="AE129" s="706"/>
      <c r="AF129" s="706"/>
      <c r="AG129" s="863"/>
      <c r="AH129" s="706"/>
      <c r="AI129" s="706"/>
      <c r="AJ129" s="706"/>
      <c r="AK129" s="706"/>
      <c r="AL129" s="706"/>
      <c r="AM129" s="706"/>
      <c r="AN129" s="706"/>
      <c r="AO129" s="863"/>
      <c r="AP129" s="706"/>
      <c r="AQ129" s="706"/>
      <c r="AR129" s="706"/>
      <c r="AS129" s="706"/>
      <c r="AT129" s="706"/>
      <c r="AU129" s="706"/>
      <c r="AV129" s="706"/>
      <c r="AW129" s="706"/>
      <c r="AX129" s="706"/>
      <c r="AY129" s="706"/>
      <c r="AZ129" s="706"/>
      <c r="BA129" s="706"/>
      <c r="BB129" s="706"/>
      <c r="BC129" s="706"/>
      <c r="BD129" s="706"/>
      <c r="BE129" s="706"/>
      <c r="BF129" s="706"/>
      <c r="BG129" s="706"/>
      <c r="BH129" s="706"/>
    </row>
    <row r="130" spans="1:60" s="48" customFormat="1">
      <c r="A130" s="711"/>
      <c r="B130" s="711"/>
      <c r="C130" s="706"/>
      <c r="D130" s="706"/>
      <c r="E130" s="706"/>
      <c r="F130" s="706"/>
      <c r="G130" s="706"/>
      <c r="H130" s="706"/>
      <c r="I130" s="863"/>
      <c r="J130" s="706"/>
      <c r="K130" s="706"/>
      <c r="L130" s="706"/>
      <c r="M130" s="706"/>
      <c r="N130" s="706"/>
      <c r="O130" s="706"/>
      <c r="P130" s="706"/>
      <c r="Q130" s="863"/>
      <c r="R130" s="706"/>
      <c r="S130" s="706"/>
      <c r="T130" s="706"/>
      <c r="U130" s="706"/>
      <c r="V130" s="706"/>
      <c r="W130" s="706"/>
      <c r="X130" s="706"/>
      <c r="Y130" s="863"/>
      <c r="Z130" s="706"/>
      <c r="AA130" s="706"/>
      <c r="AB130" s="706"/>
      <c r="AC130" s="706"/>
      <c r="AD130" s="706"/>
      <c r="AE130" s="706"/>
      <c r="AF130" s="706"/>
      <c r="AG130" s="863"/>
      <c r="AH130" s="706"/>
      <c r="AI130" s="706"/>
      <c r="AJ130" s="706"/>
      <c r="AK130" s="706"/>
      <c r="AL130" s="706"/>
      <c r="AM130" s="706"/>
      <c r="AN130" s="706"/>
      <c r="AO130" s="863"/>
      <c r="AP130" s="706"/>
      <c r="AQ130" s="706"/>
      <c r="AR130" s="706"/>
      <c r="AS130" s="706"/>
      <c r="AT130" s="706"/>
      <c r="AU130" s="706"/>
      <c r="AV130" s="706"/>
      <c r="AW130" s="706"/>
      <c r="AX130" s="706"/>
      <c r="AY130" s="706"/>
      <c r="AZ130" s="706"/>
      <c r="BA130" s="706"/>
      <c r="BB130" s="706"/>
      <c r="BC130" s="706"/>
      <c r="BD130" s="706"/>
      <c r="BE130" s="706"/>
      <c r="BF130" s="706"/>
      <c r="BG130" s="706"/>
      <c r="BH130" s="706"/>
    </row>
    <row r="131" spans="1:60" s="48" customFormat="1">
      <c r="A131" s="711"/>
      <c r="B131" s="711"/>
      <c r="C131" s="706"/>
      <c r="D131" s="706"/>
      <c r="E131" s="706"/>
      <c r="F131" s="706"/>
      <c r="G131" s="706"/>
      <c r="H131" s="706"/>
      <c r="I131" s="863"/>
      <c r="J131" s="706"/>
      <c r="K131" s="706"/>
      <c r="L131" s="706"/>
      <c r="M131" s="706"/>
      <c r="N131" s="706"/>
      <c r="O131" s="706"/>
      <c r="P131" s="706"/>
      <c r="Q131" s="863"/>
      <c r="R131" s="706"/>
      <c r="S131" s="706"/>
      <c r="T131" s="706"/>
      <c r="U131" s="706"/>
      <c r="V131" s="706"/>
      <c r="W131" s="706"/>
      <c r="X131" s="706"/>
      <c r="Y131" s="863"/>
      <c r="Z131" s="706"/>
      <c r="AA131" s="706"/>
      <c r="AB131" s="706"/>
      <c r="AC131" s="706"/>
      <c r="AD131" s="706"/>
      <c r="AE131" s="706"/>
      <c r="AF131" s="706"/>
      <c r="AG131" s="863"/>
      <c r="AH131" s="706"/>
      <c r="AI131" s="706"/>
      <c r="AJ131" s="706"/>
      <c r="AK131" s="706"/>
      <c r="AL131" s="706"/>
      <c r="AM131" s="706"/>
      <c r="AN131" s="706"/>
      <c r="AO131" s="863"/>
      <c r="AP131" s="706"/>
      <c r="AQ131" s="706"/>
      <c r="AR131" s="706"/>
      <c r="AS131" s="706"/>
      <c r="AT131" s="706"/>
      <c r="AU131" s="706"/>
      <c r="AV131" s="706"/>
      <c r="AW131" s="706"/>
      <c r="AX131" s="706"/>
      <c r="AY131" s="706"/>
      <c r="AZ131" s="706"/>
      <c r="BA131" s="706"/>
      <c r="BB131" s="706"/>
      <c r="BC131" s="706"/>
      <c r="BD131" s="706"/>
      <c r="BE131" s="706"/>
      <c r="BF131" s="706"/>
      <c r="BG131" s="706"/>
      <c r="BH131" s="706"/>
    </row>
    <row r="132" spans="1:60" s="48" customFormat="1">
      <c r="A132" s="711"/>
      <c r="B132" s="711"/>
      <c r="C132" s="706"/>
      <c r="D132" s="706"/>
      <c r="E132" s="706"/>
      <c r="F132" s="706"/>
      <c r="G132" s="706"/>
      <c r="H132" s="706"/>
      <c r="I132" s="863"/>
      <c r="J132" s="706"/>
      <c r="K132" s="706"/>
      <c r="L132" s="706"/>
      <c r="M132" s="706"/>
      <c r="N132" s="706"/>
      <c r="O132" s="706"/>
      <c r="P132" s="706"/>
      <c r="Q132" s="863"/>
      <c r="R132" s="706"/>
      <c r="S132" s="706"/>
      <c r="T132" s="706"/>
      <c r="U132" s="706"/>
      <c r="V132" s="706"/>
      <c r="W132" s="706"/>
      <c r="X132" s="706"/>
      <c r="Y132" s="863"/>
      <c r="Z132" s="706"/>
      <c r="AA132" s="706"/>
      <c r="AB132" s="706"/>
      <c r="AC132" s="706"/>
      <c r="AD132" s="706"/>
      <c r="AE132" s="706"/>
      <c r="AF132" s="706"/>
      <c r="AG132" s="863"/>
      <c r="AH132" s="706"/>
      <c r="AI132" s="706"/>
      <c r="AJ132" s="706"/>
      <c r="AK132" s="706"/>
      <c r="AL132" s="706"/>
      <c r="AM132" s="706"/>
      <c r="AN132" s="706"/>
      <c r="AO132" s="863"/>
      <c r="AP132" s="706"/>
      <c r="AQ132" s="706"/>
      <c r="AR132" s="706"/>
      <c r="AS132" s="706"/>
      <c r="AT132" s="706"/>
      <c r="AU132" s="706"/>
      <c r="AV132" s="710"/>
      <c r="AW132" s="706"/>
      <c r="AX132" s="706"/>
      <c r="AY132" s="706"/>
      <c r="AZ132" s="706"/>
      <c r="BA132" s="706"/>
      <c r="BB132" s="706"/>
      <c r="BC132" s="706"/>
      <c r="BD132" s="706"/>
      <c r="BE132" s="706"/>
      <c r="BF132" s="706"/>
      <c r="BG132" s="706"/>
      <c r="BH132" s="706"/>
    </row>
    <row r="133" spans="1:60" s="48" customFormat="1">
      <c r="A133" s="711"/>
      <c r="B133" s="711"/>
      <c r="C133" s="706"/>
      <c r="D133" s="706"/>
      <c r="E133" s="706"/>
      <c r="F133" s="706"/>
      <c r="G133" s="706"/>
      <c r="H133" s="706"/>
      <c r="I133" s="863"/>
      <c r="J133" s="706"/>
      <c r="K133" s="706"/>
      <c r="L133" s="706"/>
      <c r="M133" s="706"/>
      <c r="N133" s="706"/>
      <c r="O133" s="706"/>
      <c r="P133" s="706"/>
      <c r="Q133" s="863"/>
      <c r="R133" s="706"/>
      <c r="S133" s="706"/>
      <c r="T133" s="706"/>
      <c r="U133" s="706"/>
      <c r="V133" s="706"/>
      <c r="W133" s="706"/>
      <c r="X133" s="706"/>
      <c r="Y133" s="863"/>
      <c r="Z133" s="706"/>
      <c r="AA133" s="706"/>
      <c r="AB133" s="706"/>
      <c r="AC133" s="706"/>
      <c r="AD133" s="706"/>
      <c r="AE133" s="706"/>
      <c r="AF133" s="706"/>
      <c r="AG133" s="863"/>
      <c r="AH133" s="706"/>
      <c r="AI133" s="706"/>
      <c r="AJ133" s="706"/>
      <c r="AK133" s="706"/>
      <c r="AL133" s="706"/>
      <c r="AM133" s="706"/>
      <c r="AN133" s="706"/>
      <c r="AO133" s="863"/>
      <c r="AP133" s="706"/>
      <c r="AQ133" s="706"/>
      <c r="AR133" s="706"/>
      <c r="AS133" s="706"/>
      <c r="AT133" s="706"/>
      <c r="AU133" s="706"/>
      <c r="AV133" s="706"/>
      <c r="AW133" s="706"/>
      <c r="AX133" s="706"/>
      <c r="AY133" s="706"/>
      <c r="AZ133" s="706"/>
      <c r="BA133" s="706"/>
      <c r="BB133" s="706"/>
      <c r="BC133" s="706"/>
      <c r="BD133" s="706"/>
      <c r="BE133" s="706"/>
      <c r="BF133" s="706"/>
      <c r="BG133" s="706"/>
      <c r="BH133" s="706"/>
    </row>
    <row r="134" spans="1:60" s="48" customFormat="1">
      <c r="A134" s="711"/>
      <c r="B134" s="711"/>
      <c r="C134" s="706"/>
      <c r="D134" s="706"/>
      <c r="E134" s="706"/>
      <c r="F134" s="706"/>
      <c r="G134" s="706"/>
      <c r="H134" s="706"/>
      <c r="I134" s="863"/>
      <c r="J134" s="706"/>
      <c r="K134" s="706"/>
      <c r="L134" s="706"/>
      <c r="M134" s="706"/>
      <c r="N134" s="706"/>
      <c r="O134" s="706"/>
      <c r="P134" s="706"/>
      <c r="Q134" s="863"/>
      <c r="R134" s="706"/>
      <c r="S134" s="706"/>
      <c r="T134" s="706"/>
      <c r="U134" s="706"/>
      <c r="V134" s="706"/>
      <c r="W134" s="706"/>
      <c r="X134" s="706"/>
      <c r="Y134" s="863"/>
      <c r="Z134" s="706"/>
      <c r="AA134" s="706"/>
      <c r="AB134" s="706"/>
      <c r="AC134" s="706"/>
      <c r="AD134" s="706"/>
      <c r="AE134" s="706"/>
      <c r="AF134" s="706"/>
      <c r="AG134" s="863"/>
      <c r="AH134" s="706"/>
      <c r="AI134" s="706"/>
      <c r="AJ134" s="706"/>
      <c r="AK134" s="706"/>
      <c r="AL134" s="706"/>
      <c r="AM134" s="706"/>
      <c r="AN134" s="706"/>
      <c r="AO134" s="863"/>
      <c r="AP134" s="706"/>
      <c r="AQ134" s="706"/>
      <c r="AR134" s="706"/>
      <c r="AS134" s="706"/>
      <c r="AT134" s="706"/>
      <c r="AU134" s="706"/>
      <c r="AV134" s="706"/>
      <c r="AW134" s="706"/>
      <c r="AX134" s="706"/>
      <c r="AY134" s="706"/>
      <c r="AZ134" s="706"/>
      <c r="BA134" s="706"/>
      <c r="BB134" s="706"/>
      <c r="BC134" s="706"/>
      <c r="BD134" s="706"/>
      <c r="BE134" s="706"/>
      <c r="BF134" s="706"/>
      <c r="BG134" s="706"/>
      <c r="BH134" s="706"/>
    </row>
    <row r="135" spans="1:60" s="48" customFormat="1">
      <c r="A135" s="711"/>
      <c r="B135" s="711"/>
      <c r="C135" s="706"/>
      <c r="D135" s="706"/>
      <c r="E135" s="706"/>
      <c r="F135" s="706"/>
      <c r="G135" s="706"/>
      <c r="H135" s="706"/>
      <c r="I135" s="863"/>
      <c r="J135" s="706"/>
      <c r="K135" s="706"/>
      <c r="L135" s="706"/>
      <c r="M135" s="706"/>
      <c r="N135" s="706"/>
      <c r="O135" s="706"/>
      <c r="P135" s="706"/>
      <c r="Q135" s="863"/>
      <c r="R135" s="706"/>
      <c r="S135" s="706"/>
      <c r="T135" s="706"/>
      <c r="U135" s="706"/>
      <c r="V135" s="706"/>
      <c r="W135" s="706"/>
      <c r="X135" s="706"/>
      <c r="Y135" s="863"/>
      <c r="Z135" s="706"/>
      <c r="AA135" s="706"/>
      <c r="AB135" s="706"/>
      <c r="AC135" s="706"/>
      <c r="AD135" s="706"/>
      <c r="AE135" s="706"/>
      <c r="AF135" s="706"/>
      <c r="AG135" s="863"/>
      <c r="AH135" s="706"/>
      <c r="AI135" s="706"/>
      <c r="AJ135" s="706"/>
      <c r="AK135" s="706"/>
      <c r="AL135" s="706"/>
      <c r="AM135" s="706"/>
      <c r="AN135" s="706"/>
      <c r="AO135" s="863"/>
      <c r="AP135" s="706"/>
      <c r="AQ135" s="706"/>
      <c r="AR135" s="706"/>
      <c r="AS135" s="706"/>
      <c r="AT135" s="706"/>
      <c r="AU135" s="706"/>
      <c r="AV135" s="706"/>
      <c r="AW135" s="706"/>
      <c r="AX135" s="706"/>
      <c r="AY135" s="706"/>
      <c r="AZ135" s="706"/>
      <c r="BA135" s="706"/>
      <c r="BB135" s="706"/>
      <c r="BC135" s="706"/>
      <c r="BD135" s="706"/>
      <c r="BE135" s="706"/>
      <c r="BF135" s="706"/>
      <c r="BG135" s="706"/>
      <c r="BH135" s="706"/>
    </row>
    <row r="136" spans="1:60" s="48" customFormat="1">
      <c r="A136" s="711"/>
      <c r="B136" s="711"/>
      <c r="C136" s="706"/>
      <c r="D136" s="706"/>
      <c r="E136" s="706"/>
      <c r="F136" s="706"/>
      <c r="G136" s="706"/>
      <c r="H136" s="706"/>
      <c r="I136" s="863"/>
      <c r="J136" s="706"/>
      <c r="K136" s="706"/>
      <c r="L136" s="706"/>
      <c r="M136" s="706"/>
      <c r="N136" s="706"/>
      <c r="O136" s="706"/>
      <c r="P136" s="706"/>
      <c r="Q136" s="863"/>
      <c r="R136" s="706"/>
      <c r="S136" s="706"/>
      <c r="T136" s="706"/>
      <c r="U136" s="706"/>
      <c r="V136" s="706"/>
      <c r="W136" s="706"/>
      <c r="X136" s="706"/>
      <c r="Y136" s="863"/>
      <c r="Z136" s="706"/>
      <c r="AA136" s="706"/>
      <c r="AB136" s="706"/>
      <c r="AC136" s="706"/>
      <c r="AD136" s="706"/>
      <c r="AE136" s="706"/>
      <c r="AF136" s="706"/>
      <c r="AG136" s="863"/>
      <c r="AH136" s="706"/>
      <c r="AI136" s="706"/>
      <c r="AJ136" s="706"/>
      <c r="AK136" s="706"/>
      <c r="AL136" s="706"/>
      <c r="AM136" s="706"/>
      <c r="AN136" s="706"/>
      <c r="AO136" s="863"/>
      <c r="AP136" s="706"/>
      <c r="AQ136" s="706"/>
      <c r="AR136" s="706"/>
      <c r="AS136" s="706"/>
      <c r="AT136" s="706"/>
      <c r="AU136" s="706"/>
      <c r="AV136" s="706"/>
      <c r="AW136" s="706"/>
      <c r="AX136" s="706"/>
      <c r="AY136" s="706"/>
      <c r="AZ136" s="706"/>
      <c r="BA136" s="706"/>
      <c r="BB136" s="706"/>
      <c r="BC136" s="706"/>
      <c r="BD136" s="706"/>
      <c r="BE136" s="706"/>
      <c r="BF136" s="706"/>
      <c r="BG136" s="706"/>
      <c r="BH136" s="706"/>
    </row>
    <row r="137" spans="1:60" s="48" customFormat="1">
      <c r="A137" s="711"/>
      <c r="B137" s="711"/>
      <c r="C137" s="706"/>
      <c r="D137" s="706"/>
      <c r="E137" s="706"/>
      <c r="F137" s="706"/>
      <c r="G137" s="706"/>
      <c r="H137" s="706"/>
      <c r="I137" s="863"/>
      <c r="J137" s="706"/>
      <c r="K137" s="706"/>
      <c r="L137" s="706"/>
      <c r="M137" s="706"/>
      <c r="N137" s="706"/>
      <c r="O137" s="706"/>
      <c r="P137" s="706"/>
      <c r="Q137" s="863"/>
      <c r="R137" s="706"/>
      <c r="S137" s="706"/>
      <c r="T137" s="706"/>
      <c r="U137" s="706"/>
      <c r="V137" s="706"/>
      <c r="W137" s="706"/>
      <c r="X137" s="706"/>
      <c r="Y137" s="863"/>
      <c r="Z137" s="706"/>
      <c r="AA137" s="706"/>
      <c r="AB137" s="706"/>
      <c r="AC137" s="706"/>
      <c r="AD137" s="706"/>
      <c r="AE137" s="706"/>
      <c r="AF137" s="706"/>
      <c r="AG137" s="863"/>
      <c r="AH137" s="706"/>
      <c r="AI137" s="706"/>
      <c r="AJ137" s="706"/>
      <c r="AK137" s="706"/>
      <c r="AL137" s="706"/>
      <c r="AM137" s="706"/>
      <c r="AN137" s="706"/>
      <c r="AO137" s="863"/>
      <c r="AP137" s="706"/>
      <c r="AQ137" s="706"/>
      <c r="AR137" s="706"/>
      <c r="AS137" s="706"/>
      <c r="AT137" s="706"/>
      <c r="AU137" s="706"/>
      <c r="AV137" s="706"/>
      <c r="AW137" s="706"/>
      <c r="AX137" s="706"/>
      <c r="AY137" s="706"/>
      <c r="AZ137" s="706"/>
      <c r="BA137" s="706"/>
      <c r="BB137" s="706"/>
      <c r="BC137" s="706"/>
      <c r="BD137" s="706"/>
      <c r="BE137" s="706"/>
      <c r="BF137" s="706"/>
      <c r="BG137" s="706"/>
      <c r="BH137" s="706"/>
    </row>
    <row r="138" spans="1:60" s="48" customFormat="1">
      <c r="A138" s="711"/>
      <c r="B138" s="711"/>
      <c r="C138" s="706"/>
      <c r="D138" s="706"/>
      <c r="E138" s="706"/>
      <c r="F138" s="706"/>
      <c r="G138" s="706"/>
      <c r="H138" s="706"/>
      <c r="I138" s="863"/>
      <c r="J138" s="706"/>
      <c r="K138" s="706"/>
      <c r="L138" s="706"/>
      <c r="M138" s="706"/>
      <c r="N138" s="706"/>
      <c r="O138" s="706"/>
      <c r="P138" s="706"/>
      <c r="Q138" s="863"/>
      <c r="R138" s="706"/>
      <c r="S138" s="706"/>
      <c r="T138" s="706"/>
      <c r="U138" s="706"/>
      <c r="V138" s="706"/>
      <c r="W138" s="706"/>
      <c r="X138" s="706"/>
      <c r="Y138" s="863"/>
      <c r="Z138" s="706"/>
      <c r="AA138" s="706"/>
      <c r="AB138" s="706"/>
      <c r="AC138" s="706"/>
      <c r="AD138" s="706"/>
      <c r="AE138" s="706"/>
      <c r="AF138" s="706"/>
      <c r="AG138" s="863"/>
      <c r="AH138" s="706"/>
      <c r="AI138" s="706"/>
      <c r="AJ138" s="706"/>
      <c r="AK138" s="706"/>
      <c r="AL138" s="706"/>
      <c r="AM138" s="706"/>
      <c r="AN138" s="706"/>
      <c r="AO138" s="863"/>
      <c r="AP138" s="706"/>
      <c r="AQ138" s="706"/>
      <c r="AR138" s="706"/>
      <c r="AS138" s="706"/>
      <c r="AT138" s="706"/>
      <c r="AU138" s="706"/>
      <c r="AV138" s="706"/>
      <c r="AW138" s="706"/>
      <c r="AX138" s="706"/>
      <c r="AY138" s="706"/>
      <c r="AZ138" s="706"/>
      <c r="BA138" s="706"/>
      <c r="BB138" s="706"/>
      <c r="BC138" s="706"/>
      <c r="BD138" s="706"/>
      <c r="BE138" s="706"/>
      <c r="BF138" s="706"/>
      <c r="BG138" s="706"/>
      <c r="BH138" s="706"/>
    </row>
    <row r="139" spans="1:60" s="48" customFormat="1">
      <c r="A139" s="711"/>
      <c r="B139" s="711"/>
      <c r="C139" s="706"/>
      <c r="D139" s="706"/>
      <c r="E139" s="706"/>
      <c r="F139" s="706"/>
      <c r="G139" s="706"/>
      <c r="H139" s="706"/>
      <c r="I139" s="863"/>
      <c r="J139" s="706"/>
      <c r="K139" s="706"/>
      <c r="L139" s="706"/>
      <c r="M139" s="706"/>
      <c r="N139" s="706"/>
      <c r="O139" s="706"/>
      <c r="P139" s="706"/>
      <c r="Q139" s="863"/>
      <c r="R139" s="706"/>
      <c r="S139" s="706"/>
      <c r="T139" s="706"/>
      <c r="U139" s="706"/>
      <c r="V139" s="706"/>
      <c r="W139" s="706"/>
      <c r="X139" s="706"/>
      <c r="Y139" s="863"/>
      <c r="Z139" s="706"/>
      <c r="AA139" s="706"/>
      <c r="AB139" s="706"/>
      <c r="AC139" s="706"/>
      <c r="AD139" s="706"/>
      <c r="AE139" s="706"/>
      <c r="AF139" s="706"/>
      <c r="AG139" s="863"/>
      <c r="AH139" s="706"/>
      <c r="AI139" s="706"/>
      <c r="AJ139" s="706"/>
      <c r="AK139" s="706"/>
      <c r="AL139" s="706"/>
      <c r="AM139" s="706"/>
      <c r="AN139" s="706"/>
      <c r="AO139" s="863"/>
      <c r="AP139" s="706"/>
      <c r="AQ139" s="706"/>
      <c r="AR139" s="706"/>
      <c r="AS139" s="706"/>
      <c r="AT139" s="706"/>
      <c r="AU139" s="706"/>
      <c r="AV139" s="706"/>
      <c r="AW139" s="706"/>
      <c r="AX139" s="706"/>
      <c r="AY139" s="706"/>
      <c r="AZ139" s="706"/>
      <c r="BA139" s="706"/>
      <c r="BB139" s="706"/>
      <c r="BC139" s="706"/>
      <c r="BD139" s="706"/>
      <c r="BE139" s="706"/>
      <c r="BF139" s="706"/>
      <c r="BG139" s="706"/>
      <c r="BH139" s="706"/>
    </row>
    <row r="140" spans="1:60" s="48" customFormat="1">
      <c r="A140" s="711"/>
      <c r="B140" s="711"/>
      <c r="C140" s="706"/>
      <c r="D140" s="706"/>
      <c r="E140" s="706"/>
      <c r="F140" s="706"/>
      <c r="G140" s="706"/>
      <c r="H140" s="706"/>
      <c r="I140" s="863"/>
      <c r="J140" s="706"/>
      <c r="K140" s="706"/>
      <c r="L140" s="706"/>
      <c r="M140" s="706"/>
      <c r="N140" s="706"/>
      <c r="O140" s="706"/>
      <c r="P140" s="706"/>
      <c r="Q140" s="863"/>
      <c r="R140" s="706"/>
      <c r="S140" s="706"/>
      <c r="T140" s="706"/>
      <c r="U140" s="706"/>
      <c r="V140" s="706"/>
      <c r="W140" s="706"/>
      <c r="X140" s="706"/>
      <c r="Y140" s="863"/>
      <c r="Z140" s="706"/>
      <c r="AA140" s="706"/>
      <c r="AB140" s="706"/>
      <c r="AC140" s="706"/>
      <c r="AD140" s="706"/>
      <c r="AE140" s="706"/>
      <c r="AF140" s="706"/>
      <c r="AG140" s="863"/>
      <c r="AH140" s="706"/>
      <c r="AI140" s="706"/>
      <c r="AJ140" s="706"/>
      <c r="AK140" s="706"/>
      <c r="AL140" s="706"/>
      <c r="AM140" s="706"/>
      <c r="AN140" s="706"/>
      <c r="AO140" s="863"/>
      <c r="AP140" s="706"/>
      <c r="AQ140" s="706"/>
      <c r="AR140" s="706"/>
      <c r="AS140" s="706"/>
      <c r="AT140" s="706"/>
      <c r="AU140" s="706"/>
      <c r="AV140" s="706"/>
      <c r="AW140" s="706"/>
      <c r="AX140" s="706"/>
      <c r="AY140" s="706"/>
      <c r="AZ140" s="706"/>
      <c r="BA140" s="706"/>
      <c r="BB140" s="706"/>
      <c r="BC140" s="706"/>
      <c r="BD140" s="706"/>
      <c r="BE140" s="706"/>
      <c r="BF140" s="706"/>
      <c r="BG140" s="706"/>
      <c r="BH140" s="706"/>
    </row>
    <row r="141" spans="1:60" s="48" customFormat="1">
      <c r="A141" s="711"/>
      <c r="B141" s="711"/>
      <c r="C141" s="706"/>
      <c r="D141" s="706"/>
      <c r="E141" s="706"/>
      <c r="F141" s="706"/>
      <c r="G141" s="706"/>
      <c r="H141" s="706"/>
      <c r="I141" s="863"/>
      <c r="J141" s="706"/>
      <c r="K141" s="706"/>
      <c r="L141" s="706"/>
      <c r="M141" s="706"/>
      <c r="N141" s="706"/>
      <c r="O141" s="706"/>
      <c r="P141" s="706"/>
      <c r="Q141" s="863"/>
      <c r="R141" s="706"/>
      <c r="S141" s="706"/>
      <c r="T141" s="706"/>
      <c r="U141" s="706"/>
      <c r="V141" s="706"/>
      <c r="W141" s="706"/>
      <c r="X141" s="706"/>
      <c r="Y141" s="863"/>
      <c r="Z141" s="706"/>
      <c r="AA141" s="706"/>
      <c r="AB141" s="706"/>
      <c r="AC141" s="706"/>
      <c r="AD141" s="706"/>
      <c r="AE141" s="706"/>
      <c r="AF141" s="706"/>
      <c r="AG141" s="863"/>
      <c r="AH141" s="706"/>
      <c r="AI141" s="706"/>
      <c r="AJ141" s="706"/>
      <c r="AK141" s="706"/>
      <c r="AL141" s="706"/>
      <c r="AM141" s="706"/>
      <c r="AN141" s="706"/>
      <c r="AO141" s="863"/>
      <c r="AP141" s="706"/>
      <c r="AQ141" s="706"/>
      <c r="AR141" s="706"/>
      <c r="AS141" s="706"/>
      <c r="AT141" s="706"/>
      <c r="AU141" s="706"/>
      <c r="AV141" s="706"/>
      <c r="AW141" s="706"/>
      <c r="AX141" s="706"/>
      <c r="AY141" s="706"/>
      <c r="AZ141" s="706"/>
      <c r="BA141" s="706"/>
      <c r="BB141" s="706"/>
      <c r="BC141" s="706"/>
      <c r="BD141" s="706"/>
      <c r="BE141" s="706"/>
      <c r="BF141" s="706"/>
      <c r="BG141" s="706"/>
      <c r="BH141" s="706"/>
    </row>
    <row r="142" spans="1:60" s="48" customFormat="1">
      <c r="A142" s="711"/>
      <c r="B142" s="711"/>
      <c r="C142" s="706"/>
      <c r="D142" s="706"/>
      <c r="E142" s="706"/>
      <c r="F142" s="706"/>
      <c r="G142" s="706"/>
      <c r="H142" s="706"/>
      <c r="I142" s="863"/>
      <c r="J142" s="706"/>
      <c r="K142" s="706"/>
      <c r="L142" s="706"/>
      <c r="M142" s="706"/>
      <c r="N142" s="706"/>
      <c r="O142" s="706"/>
      <c r="P142" s="706"/>
      <c r="Q142" s="863"/>
      <c r="R142" s="706"/>
      <c r="S142" s="706"/>
      <c r="T142" s="706"/>
      <c r="U142" s="706"/>
      <c r="V142" s="706"/>
      <c r="W142" s="706"/>
      <c r="X142" s="706"/>
      <c r="Y142" s="863"/>
      <c r="Z142" s="706"/>
      <c r="AA142" s="706"/>
      <c r="AB142" s="706"/>
      <c r="AC142" s="706"/>
      <c r="AD142" s="706"/>
      <c r="AE142" s="706"/>
      <c r="AF142" s="706"/>
      <c r="AG142" s="863"/>
      <c r="AH142" s="706"/>
      <c r="AI142" s="706"/>
      <c r="AJ142" s="706"/>
      <c r="AK142" s="706"/>
      <c r="AL142" s="706"/>
      <c r="AM142" s="706"/>
      <c r="AN142" s="706"/>
      <c r="AO142" s="863"/>
      <c r="AP142" s="706"/>
      <c r="AQ142" s="706"/>
      <c r="AR142" s="706"/>
      <c r="AS142" s="706"/>
      <c r="AT142" s="706"/>
      <c r="AU142" s="706"/>
      <c r="AV142" s="706"/>
      <c r="AW142" s="706"/>
      <c r="AX142" s="706"/>
      <c r="AY142" s="706"/>
      <c r="AZ142" s="706"/>
      <c r="BA142" s="706"/>
      <c r="BB142" s="706"/>
      <c r="BC142" s="706"/>
      <c r="BD142" s="706"/>
      <c r="BE142" s="706"/>
      <c r="BF142" s="706"/>
      <c r="BG142" s="706"/>
      <c r="BH142" s="706"/>
    </row>
    <row r="143" spans="1:60" s="48" customFormat="1">
      <c r="A143" s="711"/>
      <c r="B143" s="711"/>
      <c r="C143" s="706"/>
      <c r="D143" s="706"/>
      <c r="E143" s="706"/>
      <c r="F143" s="706"/>
      <c r="G143" s="706"/>
      <c r="H143" s="706"/>
      <c r="I143" s="863"/>
      <c r="J143" s="706"/>
      <c r="K143" s="706"/>
      <c r="L143" s="706"/>
      <c r="M143" s="706"/>
      <c r="N143" s="706"/>
      <c r="O143" s="706"/>
      <c r="P143" s="706"/>
      <c r="Q143" s="863"/>
      <c r="R143" s="706"/>
      <c r="S143" s="706"/>
      <c r="T143" s="706"/>
      <c r="U143" s="706"/>
      <c r="V143" s="706"/>
      <c r="W143" s="706"/>
      <c r="X143" s="706"/>
      <c r="Y143" s="863"/>
      <c r="Z143" s="706"/>
      <c r="AA143" s="706"/>
      <c r="AB143" s="706"/>
      <c r="AC143" s="706"/>
      <c r="AD143" s="706"/>
      <c r="AE143" s="706"/>
      <c r="AF143" s="706"/>
      <c r="AG143" s="863"/>
      <c r="AH143" s="706"/>
      <c r="AI143" s="706"/>
      <c r="AJ143" s="706"/>
      <c r="AK143" s="706"/>
      <c r="AL143" s="706"/>
      <c r="AM143" s="706"/>
      <c r="AN143" s="706"/>
      <c r="AO143" s="863"/>
      <c r="AP143" s="706"/>
      <c r="AQ143" s="706"/>
      <c r="AR143" s="706"/>
      <c r="AS143" s="706"/>
      <c r="AT143" s="706"/>
      <c r="AU143" s="706"/>
      <c r="AV143" s="706"/>
      <c r="AW143" s="706"/>
      <c r="AX143" s="706"/>
      <c r="AY143" s="706"/>
      <c r="AZ143" s="706"/>
      <c r="BA143" s="706"/>
      <c r="BB143" s="706"/>
      <c r="BC143" s="706"/>
      <c r="BD143" s="706"/>
      <c r="BE143" s="706"/>
      <c r="BF143" s="706"/>
      <c r="BG143" s="706"/>
      <c r="BH143" s="706"/>
    </row>
    <row r="144" spans="1:60" s="48" customFormat="1">
      <c r="A144" s="711"/>
      <c r="B144" s="711"/>
      <c r="C144" s="706"/>
      <c r="D144" s="706"/>
      <c r="E144" s="706"/>
      <c r="F144" s="706"/>
      <c r="G144" s="706"/>
      <c r="H144" s="706"/>
      <c r="I144" s="863"/>
      <c r="J144" s="706"/>
      <c r="K144" s="706"/>
      <c r="L144" s="706"/>
      <c r="M144" s="706"/>
      <c r="N144" s="706"/>
      <c r="O144" s="706"/>
      <c r="P144" s="706"/>
      <c r="Q144" s="863"/>
      <c r="R144" s="706"/>
      <c r="S144" s="706"/>
      <c r="T144" s="706"/>
      <c r="U144" s="706"/>
      <c r="V144" s="706"/>
      <c r="W144" s="706"/>
      <c r="X144" s="706"/>
      <c r="Y144" s="863"/>
      <c r="Z144" s="706"/>
      <c r="AA144" s="706"/>
      <c r="AB144" s="706"/>
      <c r="AC144" s="706"/>
      <c r="AD144" s="706"/>
      <c r="AE144" s="706"/>
      <c r="AF144" s="706"/>
      <c r="AG144" s="863"/>
      <c r="AH144" s="706"/>
      <c r="AI144" s="706"/>
      <c r="AJ144" s="706"/>
      <c r="AK144" s="706"/>
      <c r="AL144" s="706"/>
      <c r="AM144" s="706"/>
      <c r="AN144" s="706"/>
      <c r="AO144" s="863"/>
      <c r="AP144" s="706"/>
      <c r="AQ144" s="706"/>
      <c r="AR144" s="706"/>
      <c r="AS144" s="706"/>
      <c r="AT144" s="706"/>
      <c r="AU144" s="706"/>
      <c r="AV144" s="706"/>
      <c r="AW144" s="706"/>
      <c r="AX144" s="706"/>
      <c r="AY144" s="706"/>
      <c r="AZ144" s="706"/>
      <c r="BA144" s="706"/>
      <c r="BB144" s="706"/>
      <c r="BC144" s="706"/>
      <c r="BD144" s="706"/>
      <c r="BE144" s="706"/>
      <c r="BF144" s="706"/>
      <c r="BG144" s="706"/>
      <c r="BH144" s="706"/>
    </row>
    <row r="145" spans="1:60" s="48" customFormat="1">
      <c r="A145" s="711"/>
      <c r="B145" s="711"/>
      <c r="C145" s="706"/>
      <c r="D145" s="706"/>
      <c r="E145" s="706"/>
      <c r="F145" s="706"/>
      <c r="G145" s="706"/>
      <c r="H145" s="706"/>
      <c r="I145" s="863"/>
      <c r="J145" s="706"/>
      <c r="K145" s="706"/>
      <c r="L145" s="706"/>
      <c r="M145" s="706"/>
      <c r="N145" s="706"/>
      <c r="O145" s="706"/>
      <c r="P145" s="706"/>
      <c r="Q145" s="863"/>
      <c r="R145" s="706"/>
      <c r="S145" s="706"/>
      <c r="T145" s="706"/>
      <c r="U145" s="706"/>
      <c r="V145" s="706"/>
      <c r="W145" s="706"/>
      <c r="X145" s="706"/>
      <c r="Y145" s="863"/>
      <c r="Z145" s="706"/>
      <c r="AA145" s="706"/>
      <c r="AB145" s="706"/>
      <c r="AC145" s="706"/>
      <c r="AD145" s="706"/>
      <c r="AE145" s="706"/>
      <c r="AF145" s="706"/>
      <c r="AG145" s="863"/>
      <c r="AH145" s="706"/>
      <c r="AI145" s="706"/>
      <c r="AJ145" s="706"/>
      <c r="AK145" s="706"/>
      <c r="AL145" s="706"/>
      <c r="AM145" s="706"/>
      <c r="AN145" s="706"/>
      <c r="AO145" s="863"/>
      <c r="AP145" s="706"/>
      <c r="AQ145" s="706"/>
      <c r="AR145" s="706"/>
      <c r="AS145" s="706"/>
      <c r="AT145" s="706"/>
      <c r="AU145" s="706"/>
      <c r="AV145" s="706"/>
      <c r="AW145" s="706"/>
      <c r="AX145" s="706"/>
      <c r="AY145" s="706"/>
      <c r="AZ145" s="706"/>
      <c r="BA145" s="706"/>
      <c r="BB145" s="706"/>
      <c r="BC145" s="706"/>
      <c r="BD145" s="706"/>
      <c r="BE145" s="706"/>
      <c r="BF145" s="706"/>
      <c r="BG145" s="706"/>
      <c r="BH145" s="706"/>
    </row>
    <row r="146" spans="1:60" s="48" customFormat="1">
      <c r="A146" s="711"/>
      <c r="B146" s="711"/>
      <c r="C146" s="706"/>
      <c r="D146" s="706"/>
      <c r="E146" s="706"/>
      <c r="F146" s="706"/>
      <c r="G146" s="706"/>
      <c r="H146" s="706"/>
      <c r="I146" s="863"/>
      <c r="J146" s="706"/>
      <c r="K146" s="706"/>
      <c r="L146" s="706"/>
      <c r="M146" s="706"/>
      <c r="N146" s="706"/>
      <c r="O146" s="706"/>
      <c r="P146" s="706"/>
      <c r="Q146" s="863"/>
      <c r="R146" s="706"/>
      <c r="S146" s="706"/>
      <c r="T146" s="706"/>
      <c r="U146" s="706"/>
      <c r="V146" s="706"/>
      <c r="W146" s="706"/>
      <c r="X146" s="706"/>
      <c r="Y146" s="863"/>
      <c r="Z146" s="706"/>
      <c r="AA146" s="706"/>
      <c r="AB146" s="706"/>
      <c r="AC146" s="706"/>
      <c r="AD146" s="706"/>
      <c r="AE146" s="706"/>
      <c r="AF146" s="706"/>
      <c r="AG146" s="863"/>
      <c r="AH146" s="706"/>
      <c r="AI146" s="706"/>
      <c r="AJ146" s="706"/>
      <c r="AK146" s="706"/>
      <c r="AL146" s="706"/>
      <c r="AM146" s="706"/>
      <c r="AN146" s="706"/>
      <c r="AO146" s="863"/>
      <c r="AP146" s="706"/>
      <c r="AQ146" s="706"/>
      <c r="AR146" s="706"/>
      <c r="AS146" s="706"/>
      <c r="AT146" s="706"/>
      <c r="AU146" s="706"/>
      <c r="AV146" s="706"/>
      <c r="AW146" s="706"/>
      <c r="AX146" s="706"/>
      <c r="AY146" s="706"/>
      <c r="AZ146" s="706"/>
      <c r="BA146" s="706"/>
      <c r="BB146" s="706"/>
      <c r="BC146" s="706"/>
      <c r="BD146" s="706"/>
      <c r="BE146" s="706"/>
      <c r="BF146" s="706"/>
      <c r="BG146" s="706"/>
      <c r="BH146" s="706"/>
    </row>
    <row r="147" spans="1:60" s="48" customFormat="1">
      <c r="A147" s="711"/>
      <c r="B147" s="711"/>
      <c r="C147" s="706"/>
      <c r="D147" s="706"/>
      <c r="E147" s="706"/>
      <c r="F147" s="706"/>
      <c r="G147" s="706"/>
      <c r="H147" s="706"/>
      <c r="I147" s="863"/>
      <c r="J147" s="706"/>
      <c r="K147" s="706"/>
      <c r="L147" s="706"/>
      <c r="M147" s="706"/>
      <c r="N147" s="706"/>
      <c r="O147" s="706"/>
      <c r="P147" s="706"/>
      <c r="Q147" s="863"/>
      <c r="R147" s="706"/>
      <c r="S147" s="706"/>
      <c r="T147" s="706"/>
      <c r="U147" s="706"/>
      <c r="V147" s="706"/>
      <c r="W147" s="706"/>
      <c r="X147" s="706"/>
      <c r="Y147" s="863"/>
      <c r="Z147" s="706"/>
      <c r="AA147" s="706"/>
      <c r="AB147" s="706"/>
      <c r="AC147" s="706"/>
      <c r="AD147" s="706"/>
      <c r="AE147" s="706"/>
      <c r="AF147" s="706"/>
      <c r="AG147" s="863"/>
      <c r="AH147" s="706"/>
      <c r="AI147" s="706"/>
      <c r="AJ147" s="706"/>
      <c r="AK147" s="706"/>
      <c r="AL147" s="706"/>
      <c r="AM147" s="706"/>
      <c r="AN147" s="706"/>
      <c r="AO147" s="863"/>
      <c r="AP147" s="706"/>
      <c r="AQ147" s="706"/>
      <c r="AR147" s="706"/>
      <c r="AS147" s="706"/>
      <c r="AT147" s="706"/>
      <c r="AU147" s="706"/>
      <c r="AV147" s="706"/>
      <c r="AW147" s="706"/>
      <c r="AX147" s="706"/>
      <c r="AY147" s="706"/>
      <c r="AZ147" s="706"/>
      <c r="BA147" s="706"/>
      <c r="BB147" s="706"/>
      <c r="BC147" s="706"/>
      <c r="BD147" s="706"/>
      <c r="BE147" s="706"/>
      <c r="BF147" s="706"/>
      <c r="BG147" s="706"/>
      <c r="BH147" s="706"/>
    </row>
    <row r="148" spans="1:60" s="48" customFormat="1">
      <c r="A148" s="711"/>
      <c r="B148" s="711"/>
      <c r="C148" s="706"/>
      <c r="D148" s="706"/>
      <c r="E148" s="706"/>
      <c r="F148" s="706"/>
      <c r="G148" s="706"/>
      <c r="H148" s="706"/>
      <c r="I148" s="863"/>
      <c r="J148" s="706"/>
      <c r="K148" s="706"/>
      <c r="L148" s="706"/>
      <c r="M148" s="706"/>
      <c r="N148" s="706"/>
      <c r="O148" s="706"/>
      <c r="P148" s="706"/>
      <c r="Q148" s="863"/>
      <c r="R148" s="706"/>
      <c r="S148" s="706"/>
      <c r="T148" s="706"/>
      <c r="U148" s="706"/>
      <c r="V148" s="706"/>
      <c r="W148" s="706"/>
      <c r="X148" s="706"/>
      <c r="Y148" s="863"/>
      <c r="Z148" s="706"/>
      <c r="AA148" s="706"/>
      <c r="AB148" s="706"/>
      <c r="AC148" s="706"/>
      <c r="AD148" s="706"/>
      <c r="AE148" s="706"/>
      <c r="AF148" s="706"/>
      <c r="AG148" s="863"/>
      <c r="AH148" s="706"/>
      <c r="AI148" s="706"/>
      <c r="AJ148" s="706"/>
      <c r="AK148" s="706"/>
      <c r="AL148" s="706"/>
      <c r="AM148" s="706"/>
      <c r="AN148" s="706"/>
      <c r="AO148" s="863"/>
      <c r="AP148" s="706"/>
      <c r="AQ148" s="706"/>
      <c r="AR148" s="706"/>
      <c r="AS148" s="706"/>
      <c r="AT148" s="706"/>
      <c r="AU148" s="706"/>
      <c r="AV148" s="706"/>
      <c r="AW148" s="706"/>
      <c r="AX148" s="706"/>
      <c r="AY148" s="706"/>
      <c r="AZ148" s="706"/>
      <c r="BA148" s="706"/>
      <c r="BB148" s="706"/>
      <c r="BC148" s="706"/>
      <c r="BD148" s="706"/>
      <c r="BE148" s="706"/>
      <c r="BF148" s="706"/>
      <c r="BG148" s="706"/>
      <c r="BH148" s="706"/>
    </row>
    <row r="149" spans="1:60" s="48" customFormat="1">
      <c r="A149" s="711"/>
      <c r="B149" s="711"/>
      <c r="C149" s="706"/>
      <c r="D149" s="706"/>
      <c r="E149" s="706"/>
      <c r="F149" s="706"/>
      <c r="G149" s="706"/>
      <c r="H149" s="706"/>
      <c r="I149" s="863"/>
      <c r="J149" s="706"/>
      <c r="K149" s="706"/>
      <c r="L149" s="706"/>
      <c r="M149" s="706"/>
      <c r="N149" s="706"/>
      <c r="O149" s="706"/>
      <c r="P149" s="706"/>
      <c r="Q149" s="863"/>
      <c r="R149" s="706"/>
      <c r="S149" s="706"/>
      <c r="T149" s="706"/>
      <c r="U149" s="706"/>
      <c r="V149" s="706"/>
      <c r="W149" s="706"/>
      <c r="X149" s="706"/>
      <c r="Y149" s="863"/>
      <c r="Z149" s="706"/>
      <c r="AA149" s="706"/>
      <c r="AB149" s="706"/>
      <c r="AC149" s="706"/>
      <c r="AD149" s="706"/>
      <c r="AE149" s="706"/>
      <c r="AF149" s="706"/>
      <c r="AG149" s="863"/>
      <c r="AH149" s="706"/>
      <c r="AI149" s="706"/>
      <c r="AJ149" s="706"/>
      <c r="AK149" s="706"/>
      <c r="AL149" s="706"/>
      <c r="AM149" s="706"/>
      <c r="AN149" s="706"/>
      <c r="AO149" s="863"/>
      <c r="AP149" s="706"/>
      <c r="AQ149" s="706"/>
      <c r="AR149" s="706"/>
      <c r="AS149" s="706"/>
      <c r="AT149" s="706"/>
      <c r="AU149" s="706"/>
      <c r="AV149" s="706"/>
      <c r="AW149" s="706"/>
      <c r="AX149" s="706"/>
      <c r="AY149" s="706"/>
      <c r="AZ149" s="706"/>
      <c r="BA149" s="706"/>
      <c r="BB149" s="706"/>
      <c r="BC149" s="706"/>
      <c r="BD149" s="706"/>
      <c r="BE149" s="706"/>
      <c r="BF149" s="706"/>
      <c r="BG149" s="706"/>
      <c r="BH149" s="706"/>
    </row>
    <row r="150" spans="1:60" s="48" customFormat="1">
      <c r="A150" s="711"/>
      <c r="B150" s="711"/>
      <c r="C150" s="706"/>
      <c r="D150" s="706"/>
      <c r="E150" s="706"/>
      <c r="F150" s="706"/>
      <c r="G150" s="706"/>
      <c r="H150" s="706"/>
      <c r="I150" s="863"/>
      <c r="J150" s="706"/>
      <c r="K150" s="706"/>
      <c r="L150" s="706"/>
      <c r="M150" s="706"/>
      <c r="N150" s="706"/>
      <c r="O150" s="706"/>
      <c r="P150" s="706"/>
      <c r="Q150" s="863"/>
      <c r="R150" s="706"/>
      <c r="S150" s="706"/>
      <c r="T150" s="706"/>
      <c r="U150" s="706"/>
      <c r="V150" s="706"/>
      <c r="W150" s="706"/>
      <c r="X150" s="706"/>
      <c r="Y150" s="863"/>
      <c r="Z150" s="706"/>
      <c r="AA150" s="706"/>
      <c r="AB150" s="706"/>
      <c r="AC150" s="706"/>
      <c r="AD150" s="706"/>
      <c r="AE150" s="706"/>
      <c r="AF150" s="706"/>
      <c r="AG150" s="863"/>
      <c r="AH150" s="706"/>
      <c r="AI150" s="706"/>
      <c r="AJ150" s="706"/>
      <c r="AK150" s="706"/>
      <c r="AL150" s="706"/>
      <c r="AM150" s="706"/>
      <c r="AN150" s="706"/>
      <c r="AO150" s="863"/>
      <c r="AP150" s="706"/>
      <c r="AQ150" s="706"/>
      <c r="AR150" s="706"/>
      <c r="AS150" s="706"/>
      <c r="AT150" s="706"/>
      <c r="AU150" s="706"/>
      <c r="AV150" s="706"/>
      <c r="AW150" s="706"/>
      <c r="AX150" s="706"/>
      <c r="AY150" s="706"/>
      <c r="AZ150" s="706"/>
      <c r="BA150" s="706"/>
      <c r="BB150" s="706"/>
      <c r="BC150" s="706"/>
      <c r="BD150" s="706"/>
      <c r="BE150" s="706"/>
      <c r="BF150" s="706"/>
      <c r="BG150" s="706"/>
      <c r="BH150" s="706"/>
    </row>
    <row r="151" spans="1:60" s="48" customFormat="1">
      <c r="A151" s="711"/>
      <c r="B151" s="711"/>
      <c r="C151" s="706"/>
      <c r="D151" s="706"/>
      <c r="E151" s="706"/>
      <c r="F151" s="706"/>
      <c r="G151" s="706"/>
      <c r="H151" s="706"/>
      <c r="I151" s="863"/>
      <c r="J151" s="706"/>
      <c r="K151" s="706"/>
      <c r="L151" s="706"/>
      <c r="M151" s="706"/>
      <c r="N151" s="706"/>
      <c r="O151" s="706"/>
      <c r="P151" s="706"/>
      <c r="Q151" s="863"/>
      <c r="R151" s="706"/>
      <c r="S151" s="706"/>
      <c r="T151" s="706"/>
      <c r="U151" s="706"/>
      <c r="V151" s="706"/>
      <c r="W151" s="706"/>
      <c r="X151" s="706"/>
      <c r="Y151" s="863"/>
      <c r="Z151" s="706"/>
      <c r="AA151" s="706"/>
      <c r="AB151" s="706"/>
      <c r="AC151" s="706"/>
      <c r="AD151" s="706"/>
      <c r="AE151" s="706"/>
      <c r="AF151" s="706"/>
      <c r="AG151" s="863"/>
      <c r="AH151" s="706"/>
      <c r="AI151" s="706"/>
      <c r="AJ151" s="706"/>
      <c r="AK151" s="706"/>
      <c r="AL151" s="706"/>
      <c r="AM151" s="706"/>
      <c r="AN151" s="706"/>
      <c r="AO151" s="863"/>
      <c r="AP151" s="706"/>
      <c r="AQ151" s="706"/>
      <c r="AR151" s="706"/>
      <c r="AS151" s="706"/>
      <c r="AT151" s="706"/>
      <c r="AU151" s="706"/>
      <c r="AV151" s="706"/>
      <c r="AW151" s="706"/>
      <c r="AX151" s="706"/>
      <c r="AY151" s="706"/>
      <c r="AZ151" s="706"/>
      <c r="BA151" s="706"/>
      <c r="BB151" s="706"/>
      <c r="BC151" s="706"/>
      <c r="BD151" s="706"/>
      <c r="BE151" s="706"/>
      <c r="BF151" s="706"/>
      <c r="BG151" s="706"/>
      <c r="BH151" s="706"/>
    </row>
    <row r="152" spans="1:60" s="48" customFormat="1">
      <c r="A152" s="711"/>
      <c r="B152" s="711"/>
      <c r="C152" s="706"/>
      <c r="D152" s="706"/>
      <c r="E152" s="706"/>
      <c r="F152" s="706"/>
      <c r="G152" s="706"/>
      <c r="H152" s="706"/>
      <c r="I152" s="863"/>
      <c r="J152" s="706"/>
      <c r="K152" s="706"/>
      <c r="L152" s="706"/>
      <c r="M152" s="706"/>
      <c r="N152" s="706"/>
      <c r="O152" s="706"/>
      <c r="P152" s="706"/>
      <c r="Q152" s="863"/>
      <c r="R152" s="706"/>
      <c r="S152" s="706"/>
      <c r="T152" s="706"/>
      <c r="U152" s="706"/>
      <c r="V152" s="706"/>
      <c r="W152" s="706"/>
      <c r="X152" s="706"/>
      <c r="Y152" s="863"/>
      <c r="Z152" s="706"/>
      <c r="AA152" s="706"/>
      <c r="AB152" s="706"/>
      <c r="AC152" s="706"/>
      <c r="AD152" s="706"/>
      <c r="AE152" s="706"/>
      <c r="AF152" s="706"/>
      <c r="AG152" s="863"/>
      <c r="AH152" s="706"/>
      <c r="AI152" s="706"/>
      <c r="AJ152" s="706"/>
      <c r="AK152" s="706"/>
      <c r="AL152" s="706"/>
      <c r="AM152" s="706"/>
      <c r="AN152" s="706"/>
      <c r="AO152" s="863"/>
      <c r="AP152" s="706"/>
      <c r="AQ152" s="706"/>
      <c r="AR152" s="706"/>
      <c r="AS152" s="706"/>
      <c r="AT152" s="706"/>
      <c r="AU152" s="706"/>
      <c r="AV152" s="706"/>
      <c r="AW152" s="706"/>
      <c r="AX152" s="706"/>
      <c r="AY152" s="706"/>
      <c r="AZ152" s="706"/>
      <c r="BA152" s="706"/>
      <c r="BB152" s="706"/>
      <c r="BC152" s="706"/>
      <c r="BD152" s="706"/>
      <c r="BE152" s="706"/>
      <c r="BF152" s="706"/>
      <c r="BG152" s="706"/>
      <c r="BH152" s="706"/>
    </row>
    <row r="153" spans="1:60" s="48" customFormat="1">
      <c r="A153" s="711"/>
      <c r="B153" s="711"/>
      <c r="C153" s="706"/>
      <c r="D153" s="706"/>
      <c r="E153" s="706"/>
      <c r="F153" s="706"/>
      <c r="G153" s="706"/>
      <c r="H153" s="706"/>
      <c r="I153" s="863"/>
      <c r="J153" s="706"/>
      <c r="K153" s="706"/>
      <c r="L153" s="706"/>
      <c r="M153" s="706"/>
      <c r="N153" s="706"/>
      <c r="O153" s="706"/>
      <c r="P153" s="706"/>
      <c r="Q153" s="863"/>
      <c r="R153" s="706"/>
      <c r="S153" s="706"/>
      <c r="T153" s="706"/>
      <c r="U153" s="706"/>
      <c r="V153" s="706"/>
      <c r="W153" s="706"/>
      <c r="X153" s="706"/>
      <c r="Y153" s="863"/>
      <c r="Z153" s="706"/>
      <c r="AA153" s="706"/>
      <c r="AB153" s="706"/>
      <c r="AC153" s="706"/>
      <c r="AD153" s="706"/>
      <c r="AE153" s="706"/>
      <c r="AF153" s="706"/>
      <c r="AG153" s="863"/>
      <c r="AH153" s="706"/>
      <c r="AI153" s="706"/>
      <c r="AJ153" s="706"/>
      <c r="AK153" s="706"/>
      <c r="AL153" s="706"/>
      <c r="AM153" s="706"/>
      <c r="AN153" s="706"/>
      <c r="AO153" s="863"/>
      <c r="AP153" s="706"/>
      <c r="AQ153" s="706"/>
      <c r="AR153" s="706"/>
      <c r="AS153" s="706"/>
      <c r="AT153" s="706"/>
      <c r="AU153" s="706"/>
      <c r="AV153" s="706"/>
      <c r="AW153" s="706"/>
      <c r="AX153" s="706"/>
      <c r="AY153" s="706"/>
      <c r="AZ153" s="706"/>
      <c r="BA153" s="706"/>
      <c r="BB153" s="706"/>
      <c r="BC153" s="706"/>
      <c r="BD153" s="706"/>
      <c r="BE153" s="706"/>
      <c r="BF153" s="706"/>
      <c r="BG153" s="706"/>
      <c r="BH153" s="706"/>
    </row>
    <row r="154" spans="1:60" s="48" customFormat="1">
      <c r="A154" s="711"/>
      <c r="B154" s="711"/>
      <c r="C154" s="706"/>
      <c r="D154" s="706"/>
      <c r="E154" s="706"/>
      <c r="F154" s="706"/>
      <c r="G154" s="706"/>
      <c r="H154" s="706"/>
      <c r="I154" s="863"/>
      <c r="J154" s="706"/>
      <c r="K154" s="706"/>
      <c r="L154" s="706"/>
      <c r="M154" s="706"/>
      <c r="N154" s="706"/>
      <c r="O154" s="706"/>
      <c r="P154" s="706"/>
      <c r="Q154" s="863"/>
      <c r="R154" s="706"/>
      <c r="S154" s="706"/>
      <c r="T154" s="706"/>
      <c r="U154" s="706"/>
      <c r="V154" s="706"/>
      <c r="W154" s="706"/>
      <c r="X154" s="706"/>
      <c r="Y154" s="863"/>
      <c r="Z154" s="706"/>
      <c r="AA154" s="706"/>
      <c r="AB154" s="706"/>
      <c r="AC154" s="706"/>
      <c r="AD154" s="706"/>
      <c r="AE154" s="706"/>
      <c r="AF154" s="706"/>
      <c r="AG154" s="863"/>
      <c r="AH154" s="706"/>
      <c r="AI154" s="706"/>
      <c r="AJ154" s="706"/>
      <c r="AK154" s="706"/>
      <c r="AL154" s="706"/>
      <c r="AM154" s="706"/>
      <c r="AN154" s="706"/>
      <c r="AO154" s="863"/>
      <c r="AP154" s="706"/>
      <c r="AQ154" s="706"/>
      <c r="AR154" s="706"/>
      <c r="AS154" s="706"/>
      <c r="AT154" s="706"/>
      <c r="AU154" s="706"/>
      <c r="AV154" s="706"/>
      <c r="AW154" s="706"/>
      <c r="AX154" s="706"/>
      <c r="AY154" s="706"/>
      <c r="AZ154" s="706"/>
      <c r="BA154" s="706"/>
      <c r="BB154" s="706"/>
      <c r="BC154" s="706"/>
      <c r="BD154" s="706"/>
      <c r="BE154" s="706"/>
      <c r="BF154" s="706"/>
      <c r="BG154" s="706"/>
      <c r="BH154" s="706"/>
    </row>
    <row r="155" spans="1:60" s="48" customFormat="1">
      <c r="A155" s="711"/>
      <c r="B155" s="711"/>
      <c r="C155" s="706"/>
      <c r="D155" s="706"/>
      <c r="E155" s="706"/>
      <c r="F155" s="706"/>
      <c r="G155" s="706"/>
      <c r="H155" s="706"/>
      <c r="I155" s="863"/>
      <c r="J155" s="706"/>
      <c r="K155" s="706"/>
      <c r="L155" s="706"/>
      <c r="M155" s="706"/>
      <c r="N155" s="706"/>
      <c r="O155" s="706"/>
      <c r="P155" s="706"/>
      <c r="Q155" s="863"/>
      <c r="R155" s="706"/>
      <c r="S155" s="706"/>
      <c r="T155" s="706"/>
      <c r="U155" s="706"/>
      <c r="V155" s="706"/>
      <c r="W155" s="706"/>
      <c r="X155" s="706"/>
      <c r="Y155" s="863"/>
      <c r="Z155" s="706"/>
      <c r="AA155" s="706"/>
      <c r="AB155" s="706"/>
      <c r="AC155" s="706"/>
      <c r="AD155" s="706"/>
      <c r="AE155" s="706"/>
      <c r="AF155" s="706"/>
      <c r="AG155" s="863"/>
      <c r="AH155" s="706"/>
      <c r="AI155" s="706"/>
      <c r="AJ155" s="706"/>
      <c r="AK155" s="706"/>
      <c r="AL155" s="706"/>
      <c r="AM155" s="706"/>
      <c r="AN155" s="706"/>
      <c r="AO155" s="863"/>
      <c r="AP155" s="706"/>
      <c r="AQ155" s="706"/>
      <c r="AR155" s="706"/>
      <c r="AS155" s="706"/>
      <c r="AT155" s="706"/>
      <c r="AU155" s="706"/>
      <c r="AV155" s="706"/>
      <c r="AW155" s="706"/>
      <c r="AX155" s="706"/>
      <c r="AY155" s="706"/>
      <c r="AZ155" s="706"/>
      <c r="BA155" s="706"/>
      <c r="BB155" s="706"/>
      <c r="BC155" s="706"/>
      <c r="BD155" s="706"/>
      <c r="BE155" s="706"/>
      <c r="BF155" s="706"/>
      <c r="BG155" s="706"/>
      <c r="BH155" s="706"/>
    </row>
    <row r="156" spans="1:60" s="48" customFormat="1">
      <c r="A156" s="711"/>
      <c r="B156" s="711"/>
      <c r="C156" s="706"/>
      <c r="D156" s="706"/>
      <c r="E156" s="706"/>
      <c r="F156" s="706"/>
      <c r="G156" s="706"/>
      <c r="H156" s="706"/>
      <c r="I156" s="863"/>
      <c r="J156" s="706"/>
      <c r="K156" s="706"/>
      <c r="L156" s="706"/>
      <c r="M156" s="706"/>
      <c r="N156" s="706"/>
      <c r="O156" s="706"/>
      <c r="P156" s="706"/>
      <c r="Q156" s="863"/>
      <c r="R156" s="706"/>
      <c r="S156" s="706"/>
      <c r="T156" s="706"/>
      <c r="U156" s="706"/>
      <c r="V156" s="706"/>
      <c r="W156" s="706"/>
      <c r="X156" s="706"/>
      <c r="Y156" s="863"/>
      <c r="Z156" s="706"/>
      <c r="AA156" s="706"/>
      <c r="AB156" s="706"/>
      <c r="AC156" s="706"/>
      <c r="AD156" s="706"/>
      <c r="AE156" s="706"/>
      <c r="AF156" s="706"/>
      <c r="AG156" s="863"/>
      <c r="AH156" s="706"/>
      <c r="AI156" s="706"/>
      <c r="AJ156" s="706"/>
      <c r="AK156" s="706"/>
      <c r="AL156" s="706"/>
      <c r="AM156" s="706"/>
      <c r="AN156" s="706"/>
      <c r="AO156" s="863"/>
      <c r="AP156" s="706"/>
      <c r="AQ156" s="706"/>
      <c r="AR156" s="706"/>
      <c r="AS156" s="706"/>
      <c r="AT156" s="706"/>
      <c r="AU156" s="706"/>
      <c r="AV156" s="706"/>
      <c r="AW156" s="706"/>
      <c r="AX156" s="706"/>
      <c r="AY156" s="706"/>
      <c r="AZ156" s="706"/>
      <c r="BA156" s="706"/>
      <c r="BB156" s="706"/>
      <c r="BC156" s="706"/>
      <c r="BD156" s="706"/>
      <c r="BE156" s="706"/>
      <c r="BF156" s="706"/>
      <c r="BG156" s="706"/>
      <c r="BH156" s="706"/>
    </row>
    <row r="157" spans="1:60" s="48" customFormat="1">
      <c r="A157" s="711"/>
      <c r="B157" s="711"/>
      <c r="C157" s="706"/>
      <c r="D157" s="706"/>
      <c r="E157" s="706"/>
      <c r="F157" s="706"/>
      <c r="G157" s="706"/>
      <c r="H157" s="706"/>
      <c r="I157" s="863"/>
      <c r="J157" s="706"/>
      <c r="K157" s="706"/>
      <c r="L157" s="706"/>
      <c r="M157" s="706"/>
      <c r="N157" s="706"/>
      <c r="O157" s="706"/>
      <c r="P157" s="706"/>
      <c r="Q157" s="863"/>
      <c r="R157" s="706"/>
      <c r="S157" s="706"/>
      <c r="T157" s="706"/>
      <c r="U157" s="706"/>
      <c r="V157" s="706"/>
      <c r="W157" s="706"/>
      <c r="X157" s="706"/>
      <c r="Y157" s="863"/>
      <c r="Z157" s="706"/>
      <c r="AA157" s="706"/>
      <c r="AB157" s="706"/>
      <c r="AC157" s="706"/>
      <c r="AD157" s="706"/>
      <c r="AE157" s="706"/>
      <c r="AF157" s="706"/>
      <c r="AG157" s="863"/>
      <c r="AH157" s="706"/>
      <c r="AI157" s="706"/>
      <c r="AJ157" s="706"/>
      <c r="AK157" s="706"/>
      <c r="AL157" s="706"/>
      <c r="AM157" s="706"/>
      <c r="AN157" s="706"/>
      <c r="AO157" s="863"/>
      <c r="AP157" s="706"/>
      <c r="AQ157" s="706"/>
      <c r="AR157" s="706"/>
      <c r="AS157" s="706"/>
      <c r="AT157" s="706"/>
      <c r="AU157" s="706"/>
      <c r="AV157" s="706"/>
      <c r="AW157" s="706"/>
      <c r="AX157" s="706"/>
      <c r="AY157" s="706"/>
      <c r="AZ157" s="706"/>
      <c r="BA157" s="706"/>
      <c r="BB157" s="706"/>
      <c r="BC157" s="706"/>
      <c r="BD157" s="706"/>
      <c r="BE157" s="706"/>
      <c r="BF157" s="706"/>
      <c r="BG157" s="706"/>
      <c r="BH157" s="706"/>
    </row>
    <row r="158" spans="1:60" s="48" customFormat="1">
      <c r="A158" s="711"/>
      <c r="B158" s="711"/>
      <c r="C158" s="706"/>
      <c r="D158" s="706"/>
      <c r="E158" s="706"/>
      <c r="F158" s="706"/>
      <c r="G158" s="706"/>
      <c r="H158" s="706"/>
      <c r="I158" s="863"/>
      <c r="J158" s="706"/>
      <c r="K158" s="706"/>
      <c r="L158" s="706"/>
      <c r="M158" s="706"/>
      <c r="N158" s="706"/>
      <c r="O158" s="706"/>
      <c r="P158" s="706"/>
      <c r="Q158" s="863"/>
      <c r="R158" s="706"/>
      <c r="S158" s="706"/>
      <c r="T158" s="706"/>
      <c r="U158" s="706"/>
      <c r="V158" s="706"/>
      <c r="W158" s="706"/>
      <c r="X158" s="706"/>
      <c r="Y158" s="863"/>
      <c r="Z158" s="706"/>
      <c r="AA158" s="706"/>
      <c r="AB158" s="706"/>
      <c r="AC158" s="706"/>
      <c r="AD158" s="706"/>
      <c r="AE158" s="706"/>
      <c r="AF158" s="706"/>
      <c r="AG158" s="863"/>
      <c r="AH158" s="706"/>
      <c r="AI158" s="706"/>
      <c r="AJ158" s="706"/>
      <c r="AK158" s="706"/>
      <c r="AL158" s="706"/>
      <c r="AM158" s="706"/>
      <c r="AN158" s="706"/>
      <c r="AO158" s="863"/>
      <c r="AP158" s="706"/>
      <c r="AQ158" s="706"/>
      <c r="AR158" s="706"/>
      <c r="AS158" s="706"/>
      <c r="AT158" s="706"/>
      <c r="AU158" s="706"/>
      <c r="AV158" s="706"/>
      <c r="AW158" s="706"/>
      <c r="AX158" s="706"/>
      <c r="AY158" s="706"/>
      <c r="AZ158" s="706"/>
      <c r="BA158" s="706"/>
      <c r="BB158" s="706"/>
      <c r="BC158" s="706"/>
      <c r="BD158" s="706"/>
      <c r="BE158" s="706"/>
      <c r="BF158" s="706"/>
      <c r="BG158" s="706"/>
      <c r="BH158" s="706"/>
    </row>
    <row r="159" spans="1:60" s="48" customFormat="1">
      <c r="A159" s="711"/>
      <c r="B159" s="711"/>
      <c r="C159" s="706"/>
      <c r="D159" s="706"/>
      <c r="E159" s="706"/>
      <c r="F159" s="706"/>
      <c r="G159" s="706"/>
      <c r="H159" s="706"/>
      <c r="I159" s="863"/>
      <c r="J159" s="706"/>
      <c r="K159" s="706"/>
      <c r="L159" s="706"/>
      <c r="M159" s="706"/>
      <c r="N159" s="706"/>
      <c r="O159" s="706"/>
      <c r="P159" s="706"/>
      <c r="Q159" s="863"/>
      <c r="R159" s="706"/>
      <c r="S159" s="706"/>
      <c r="T159" s="706"/>
      <c r="U159" s="706"/>
      <c r="V159" s="706"/>
      <c r="W159" s="706"/>
      <c r="X159" s="706"/>
      <c r="Y159" s="863"/>
      <c r="Z159" s="706"/>
      <c r="AA159" s="706"/>
      <c r="AB159" s="706"/>
      <c r="AC159" s="706"/>
      <c r="AD159" s="706"/>
      <c r="AE159" s="706"/>
      <c r="AF159" s="706"/>
      <c r="AG159" s="863"/>
      <c r="AH159" s="706"/>
      <c r="AI159" s="706"/>
      <c r="AJ159" s="706"/>
      <c r="AK159" s="706"/>
      <c r="AL159" s="706"/>
      <c r="AM159" s="706"/>
      <c r="AN159" s="706"/>
      <c r="AO159" s="863"/>
      <c r="AP159" s="706"/>
      <c r="AQ159" s="706"/>
      <c r="AR159" s="706"/>
      <c r="AS159" s="706"/>
      <c r="AT159" s="706"/>
      <c r="AU159" s="706"/>
      <c r="AV159" s="706"/>
      <c r="AW159" s="706"/>
      <c r="AX159" s="706"/>
      <c r="AY159" s="706"/>
      <c r="AZ159" s="706"/>
      <c r="BA159" s="706"/>
      <c r="BB159" s="706"/>
      <c r="BC159" s="706"/>
      <c r="BD159" s="706"/>
      <c r="BE159" s="706"/>
      <c r="BF159" s="706"/>
      <c r="BG159" s="706"/>
      <c r="BH159" s="706"/>
    </row>
    <row r="160" spans="1:60" s="48" customFormat="1">
      <c r="A160" s="711"/>
      <c r="B160" s="711"/>
      <c r="C160" s="706"/>
      <c r="D160" s="706"/>
      <c r="E160" s="706"/>
      <c r="F160" s="706"/>
      <c r="G160" s="706"/>
      <c r="H160" s="706"/>
      <c r="I160" s="863"/>
      <c r="J160" s="706"/>
      <c r="K160" s="706"/>
      <c r="L160" s="706"/>
      <c r="M160" s="706"/>
      <c r="N160" s="706"/>
      <c r="O160" s="706"/>
      <c r="P160" s="706"/>
      <c r="Q160" s="863"/>
      <c r="R160" s="706"/>
      <c r="S160" s="706"/>
      <c r="T160" s="706"/>
      <c r="U160" s="706"/>
      <c r="V160" s="706"/>
      <c r="W160" s="706"/>
      <c r="X160" s="706"/>
      <c r="Y160" s="863"/>
      <c r="Z160" s="706"/>
      <c r="AA160" s="706"/>
      <c r="AB160" s="706"/>
      <c r="AC160" s="706"/>
      <c r="AD160" s="706"/>
      <c r="AE160" s="706"/>
      <c r="AF160" s="706"/>
      <c r="AG160" s="863"/>
      <c r="AH160" s="706"/>
      <c r="AI160" s="706"/>
      <c r="AJ160" s="706"/>
      <c r="AK160" s="706"/>
      <c r="AL160" s="706"/>
      <c r="AM160" s="706"/>
      <c r="AN160" s="706"/>
      <c r="AO160" s="863"/>
      <c r="AP160" s="706"/>
      <c r="AQ160" s="706"/>
      <c r="AR160" s="706"/>
      <c r="AS160" s="706"/>
      <c r="AT160" s="706"/>
      <c r="AU160" s="706"/>
      <c r="AV160" s="706"/>
      <c r="AW160" s="706"/>
      <c r="AX160" s="706"/>
      <c r="AY160" s="706"/>
      <c r="AZ160" s="706"/>
      <c r="BA160" s="706"/>
      <c r="BB160" s="706"/>
      <c r="BC160" s="706"/>
      <c r="BD160" s="706"/>
      <c r="BE160" s="706"/>
      <c r="BF160" s="706"/>
      <c r="BG160" s="706"/>
      <c r="BH160" s="706"/>
    </row>
    <row r="161" spans="1:60" s="48" customFormat="1">
      <c r="A161" s="711"/>
      <c r="B161" s="711"/>
      <c r="C161" s="706"/>
      <c r="D161" s="706"/>
      <c r="E161" s="706"/>
      <c r="F161" s="706"/>
      <c r="G161" s="706"/>
      <c r="H161" s="706"/>
      <c r="I161" s="863"/>
      <c r="J161" s="706"/>
      <c r="K161" s="706"/>
      <c r="L161" s="706"/>
      <c r="M161" s="706"/>
      <c r="N161" s="706"/>
      <c r="O161" s="706"/>
      <c r="P161" s="706"/>
      <c r="Q161" s="863"/>
      <c r="R161" s="706"/>
      <c r="S161" s="706"/>
      <c r="T161" s="706"/>
      <c r="U161" s="706"/>
      <c r="V161" s="706"/>
      <c r="W161" s="706"/>
      <c r="X161" s="706"/>
      <c r="Y161" s="863"/>
      <c r="Z161" s="706"/>
      <c r="AA161" s="706"/>
      <c r="AB161" s="706"/>
      <c r="AC161" s="706"/>
      <c r="AD161" s="706"/>
      <c r="AE161" s="706"/>
      <c r="AF161" s="706"/>
      <c r="AG161" s="863"/>
      <c r="AH161" s="706"/>
      <c r="AI161" s="706"/>
      <c r="AJ161" s="706"/>
      <c r="AK161" s="706"/>
      <c r="AL161" s="706"/>
      <c r="AM161" s="706"/>
      <c r="AN161" s="706"/>
      <c r="AO161" s="863"/>
      <c r="AP161" s="706"/>
      <c r="AQ161" s="706"/>
      <c r="AR161" s="706"/>
      <c r="AS161" s="706"/>
      <c r="AT161" s="706"/>
      <c r="AU161" s="706"/>
      <c r="AV161" s="706"/>
      <c r="AW161" s="706"/>
      <c r="AX161" s="706"/>
      <c r="AY161" s="706"/>
      <c r="AZ161" s="706"/>
      <c r="BA161" s="706"/>
      <c r="BB161" s="706"/>
      <c r="BC161" s="706"/>
      <c r="BD161" s="706"/>
      <c r="BE161" s="706"/>
      <c r="BF161" s="706"/>
      <c r="BG161" s="706"/>
      <c r="BH161" s="706"/>
    </row>
    <row r="162" spans="1:60" s="48" customFormat="1">
      <c r="A162" s="711"/>
      <c r="B162" s="711"/>
      <c r="C162" s="706"/>
      <c r="D162" s="706"/>
      <c r="E162" s="706"/>
      <c r="F162" s="706"/>
      <c r="G162" s="706"/>
      <c r="H162" s="706"/>
      <c r="I162" s="863"/>
      <c r="J162" s="706"/>
      <c r="K162" s="706"/>
      <c r="L162" s="706"/>
      <c r="M162" s="706"/>
      <c r="N162" s="706"/>
      <c r="O162" s="706"/>
      <c r="P162" s="706"/>
      <c r="Q162" s="863"/>
      <c r="R162" s="706"/>
      <c r="S162" s="706"/>
      <c r="T162" s="706"/>
      <c r="U162" s="706"/>
      <c r="V162" s="706"/>
      <c r="W162" s="706"/>
      <c r="X162" s="706"/>
      <c r="Y162" s="863"/>
      <c r="Z162" s="706"/>
      <c r="AA162" s="706"/>
      <c r="AB162" s="706"/>
      <c r="AC162" s="706"/>
      <c r="AD162" s="706"/>
      <c r="AE162" s="706"/>
      <c r="AF162" s="706"/>
      <c r="AG162" s="863"/>
      <c r="AH162" s="706"/>
      <c r="AI162" s="706"/>
      <c r="AJ162" s="706"/>
      <c r="AK162" s="706"/>
      <c r="AL162" s="706"/>
      <c r="AM162" s="706"/>
      <c r="AN162" s="706"/>
      <c r="AO162" s="863"/>
      <c r="AP162" s="706"/>
      <c r="AQ162" s="706"/>
      <c r="AR162" s="706"/>
      <c r="AS162" s="706"/>
      <c r="AT162" s="706"/>
      <c r="AU162" s="706"/>
      <c r="AV162" s="706"/>
      <c r="AW162" s="706"/>
      <c r="AX162" s="706"/>
      <c r="AY162" s="706"/>
      <c r="AZ162" s="706"/>
      <c r="BA162" s="706"/>
      <c r="BB162" s="706"/>
      <c r="BC162" s="706"/>
      <c r="BD162" s="706"/>
      <c r="BE162" s="706"/>
      <c r="BF162" s="706"/>
      <c r="BG162" s="706"/>
      <c r="BH162" s="706"/>
    </row>
    <row r="163" spans="1:60" s="48" customFormat="1">
      <c r="A163" s="711"/>
      <c r="B163" s="711"/>
      <c r="C163" s="706"/>
      <c r="D163" s="706"/>
      <c r="E163" s="706"/>
      <c r="F163" s="706"/>
      <c r="G163" s="706"/>
      <c r="H163" s="706"/>
      <c r="I163" s="863"/>
      <c r="J163" s="706"/>
      <c r="K163" s="706"/>
      <c r="L163" s="706"/>
      <c r="M163" s="706"/>
      <c r="N163" s="706"/>
      <c r="O163" s="706"/>
      <c r="P163" s="706"/>
      <c r="Q163" s="863"/>
      <c r="R163" s="706"/>
      <c r="S163" s="706"/>
      <c r="T163" s="706"/>
      <c r="U163" s="706"/>
      <c r="V163" s="706"/>
      <c r="W163" s="706"/>
      <c r="X163" s="706"/>
      <c r="Y163" s="863"/>
      <c r="Z163" s="706"/>
      <c r="AA163" s="706"/>
      <c r="AB163" s="706"/>
      <c r="AC163" s="706"/>
      <c r="AD163" s="706"/>
      <c r="AE163" s="706"/>
      <c r="AF163" s="706"/>
      <c r="AG163" s="863"/>
      <c r="AH163" s="706"/>
      <c r="AI163" s="706"/>
      <c r="AJ163" s="706"/>
      <c r="AK163" s="706"/>
      <c r="AL163" s="706"/>
      <c r="AM163" s="706"/>
      <c r="AN163" s="706"/>
      <c r="AO163" s="863"/>
      <c r="AP163" s="706"/>
      <c r="AQ163" s="706"/>
      <c r="AR163" s="706"/>
      <c r="AS163" s="706"/>
      <c r="AT163" s="706"/>
      <c r="AU163" s="706"/>
      <c r="AV163" s="706"/>
      <c r="AW163" s="706"/>
      <c r="AX163" s="706"/>
      <c r="AY163" s="706"/>
      <c r="AZ163" s="706"/>
      <c r="BA163" s="706"/>
      <c r="BB163" s="706"/>
      <c r="BC163" s="706"/>
      <c r="BD163" s="706"/>
      <c r="BE163" s="706"/>
      <c r="BF163" s="706"/>
      <c r="BG163" s="706"/>
      <c r="BH163" s="706"/>
    </row>
    <row r="164" spans="1:60" s="48" customFormat="1">
      <c r="A164" s="711"/>
      <c r="B164" s="711"/>
      <c r="C164" s="706"/>
      <c r="D164" s="706"/>
      <c r="E164" s="706"/>
      <c r="F164" s="706"/>
      <c r="G164" s="706"/>
      <c r="H164" s="706"/>
      <c r="I164" s="863"/>
      <c r="J164" s="706"/>
      <c r="K164" s="706"/>
      <c r="L164" s="706"/>
      <c r="M164" s="706"/>
      <c r="N164" s="706"/>
      <c r="O164" s="706"/>
      <c r="P164" s="706"/>
      <c r="Q164" s="863"/>
      <c r="R164" s="706"/>
      <c r="S164" s="706"/>
      <c r="T164" s="706"/>
      <c r="U164" s="706"/>
      <c r="V164" s="706"/>
      <c r="W164" s="706"/>
      <c r="X164" s="706"/>
      <c r="Y164" s="863"/>
      <c r="Z164" s="706"/>
      <c r="AA164" s="706"/>
      <c r="AB164" s="706"/>
      <c r="AC164" s="706"/>
      <c r="AD164" s="706"/>
      <c r="AE164" s="706"/>
      <c r="AF164" s="706"/>
      <c r="AG164" s="863"/>
      <c r="AH164" s="706"/>
      <c r="AI164" s="706"/>
      <c r="AJ164" s="706"/>
      <c r="AK164" s="706"/>
      <c r="AL164" s="706"/>
      <c r="AM164" s="706"/>
      <c r="AN164" s="706"/>
      <c r="AO164" s="863"/>
      <c r="AP164" s="706"/>
      <c r="AQ164" s="706"/>
      <c r="AR164" s="706"/>
      <c r="AS164" s="706"/>
      <c r="AT164" s="706"/>
      <c r="AU164" s="706"/>
      <c r="AV164" s="706"/>
      <c r="AW164" s="706"/>
      <c r="AX164" s="706"/>
      <c r="AY164" s="706"/>
      <c r="AZ164" s="706"/>
      <c r="BA164" s="706"/>
      <c r="BB164" s="706"/>
      <c r="BC164" s="706"/>
      <c r="BD164" s="706"/>
      <c r="BE164" s="706"/>
      <c r="BF164" s="706"/>
      <c r="BG164" s="706"/>
      <c r="BH164" s="706"/>
    </row>
    <row r="165" spans="1:60" s="48" customFormat="1">
      <c r="A165" s="711"/>
      <c r="B165" s="711"/>
      <c r="C165" s="706"/>
      <c r="D165" s="706"/>
      <c r="E165" s="706"/>
      <c r="F165" s="706"/>
      <c r="G165" s="706"/>
      <c r="H165" s="706"/>
      <c r="I165" s="863"/>
      <c r="J165" s="706"/>
      <c r="K165" s="706"/>
      <c r="L165" s="706"/>
      <c r="M165" s="706"/>
      <c r="N165" s="706"/>
      <c r="O165" s="706"/>
      <c r="P165" s="706"/>
      <c r="Q165" s="863"/>
      <c r="R165" s="706"/>
      <c r="S165" s="706"/>
      <c r="T165" s="706"/>
      <c r="U165" s="706"/>
      <c r="V165" s="706"/>
      <c r="W165" s="706"/>
      <c r="X165" s="706"/>
      <c r="Y165" s="863"/>
      <c r="Z165" s="706"/>
      <c r="AA165" s="706"/>
      <c r="AB165" s="706"/>
      <c r="AC165" s="706"/>
      <c r="AD165" s="706"/>
      <c r="AE165" s="706"/>
      <c r="AF165" s="706"/>
      <c r="AG165" s="863"/>
      <c r="AH165" s="706"/>
      <c r="AI165" s="706"/>
      <c r="AJ165" s="706"/>
      <c r="AK165" s="706"/>
      <c r="AL165" s="706"/>
      <c r="AM165" s="706"/>
      <c r="AN165" s="706"/>
      <c r="AO165" s="863"/>
      <c r="AP165" s="706"/>
      <c r="AQ165" s="706"/>
      <c r="AR165" s="706"/>
      <c r="AS165" s="706"/>
      <c r="AT165" s="706"/>
      <c r="AU165" s="706"/>
      <c r="AV165" s="706"/>
      <c r="AW165" s="706"/>
      <c r="AX165" s="706"/>
      <c r="AY165" s="706"/>
      <c r="AZ165" s="706"/>
      <c r="BA165" s="706"/>
      <c r="BB165" s="706"/>
      <c r="BC165" s="706"/>
      <c r="BD165" s="706"/>
      <c r="BE165" s="706"/>
      <c r="BF165" s="706"/>
      <c r="BG165" s="706"/>
      <c r="BH165" s="706"/>
    </row>
    <row r="166" spans="1:60" s="48" customFormat="1">
      <c r="A166" s="711"/>
      <c r="B166" s="711"/>
      <c r="C166" s="706"/>
      <c r="D166" s="706"/>
      <c r="E166" s="706"/>
      <c r="F166" s="706"/>
      <c r="G166" s="706"/>
      <c r="H166" s="706"/>
      <c r="I166" s="863"/>
      <c r="J166" s="706"/>
      <c r="K166" s="706"/>
      <c r="L166" s="706"/>
      <c r="M166" s="706"/>
      <c r="N166" s="706"/>
      <c r="O166" s="706"/>
      <c r="P166" s="706"/>
      <c r="Q166" s="863"/>
      <c r="R166" s="706"/>
      <c r="S166" s="706"/>
      <c r="T166" s="706"/>
      <c r="U166" s="706"/>
      <c r="V166" s="706"/>
      <c r="W166" s="706"/>
      <c r="X166" s="706"/>
      <c r="Y166" s="863"/>
      <c r="Z166" s="706"/>
      <c r="AA166" s="706"/>
      <c r="AB166" s="706"/>
      <c r="AC166" s="706"/>
      <c r="AD166" s="706"/>
      <c r="AE166" s="706"/>
      <c r="AF166" s="706"/>
      <c r="AG166" s="863"/>
      <c r="AH166" s="706"/>
      <c r="AI166" s="706"/>
      <c r="AJ166" s="706"/>
      <c r="AK166" s="706"/>
      <c r="AL166" s="706"/>
      <c r="AM166" s="706"/>
      <c r="AN166" s="706"/>
      <c r="AO166" s="863"/>
      <c r="AP166" s="706"/>
      <c r="AQ166" s="706"/>
      <c r="AR166" s="706"/>
      <c r="AS166" s="706"/>
      <c r="AT166" s="706"/>
      <c r="AU166" s="706"/>
      <c r="AV166" s="706"/>
      <c r="AW166" s="706"/>
      <c r="AX166" s="706"/>
      <c r="AY166" s="706"/>
      <c r="AZ166" s="706"/>
      <c r="BA166" s="706"/>
      <c r="BB166" s="706"/>
      <c r="BC166" s="706"/>
      <c r="BD166" s="706"/>
      <c r="BE166" s="706"/>
      <c r="BF166" s="706"/>
      <c r="BG166" s="706"/>
      <c r="BH166" s="706"/>
    </row>
    <row r="167" spans="1:60" s="48" customFormat="1">
      <c r="A167" s="711"/>
      <c r="B167" s="711"/>
      <c r="C167" s="706"/>
      <c r="D167" s="706"/>
      <c r="E167" s="706"/>
      <c r="F167" s="706"/>
      <c r="G167" s="706"/>
      <c r="H167" s="706"/>
      <c r="I167" s="863"/>
      <c r="J167" s="706"/>
      <c r="K167" s="706"/>
      <c r="L167" s="706"/>
      <c r="M167" s="706"/>
      <c r="N167" s="706"/>
      <c r="O167" s="706"/>
      <c r="P167" s="706"/>
      <c r="Q167" s="863"/>
      <c r="R167" s="706"/>
      <c r="S167" s="706"/>
      <c r="T167" s="706"/>
      <c r="U167" s="706"/>
      <c r="V167" s="706"/>
      <c r="W167" s="706"/>
      <c r="X167" s="706"/>
      <c r="Y167" s="863"/>
      <c r="Z167" s="706"/>
      <c r="AA167" s="706"/>
      <c r="AB167" s="706"/>
      <c r="AC167" s="706"/>
      <c r="AD167" s="706"/>
      <c r="AE167" s="706"/>
      <c r="AF167" s="706"/>
      <c r="AG167" s="863"/>
      <c r="AH167" s="706"/>
      <c r="AI167" s="706"/>
      <c r="AJ167" s="706"/>
      <c r="AK167" s="706"/>
      <c r="AL167" s="706"/>
      <c r="AM167" s="706"/>
      <c r="AN167" s="706"/>
      <c r="AO167" s="863"/>
      <c r="AP167" s="706"/>
      <c r="AQ167" s="706"/>
      <c r="AR167" s="706"/>
      <c r="AS167" s="706"/>
      <c r="AT167" s="706"/>
      <c r="AU167" s="706"/>
      <c r="AV167" s="706"/>
      <c r="AW167" s="706"/>
      <c r="AX167" s="706"/>
      <c r="AY167" s="706"/>
      <c r="AZ167" s="706"/>
      <c r="BA167" s="706"/>
      <c r="BB167" s="706"/>
      <c r="BC167" s="706"/>
      <c r="BD167" s="706"/>
      <c r="BE167" s="706"/>
      <c r="BF167" s="706"/>
      <c r="BG167" s="706"/>
      <c r="BH167" s="706"/>
    </row>
    <row r="168" spans="1:60" s="48" customFormat="1">
      <c r="A168" s="711"/>
      <c r="B168" s="711"/>
      <c r="C168" s="706"/>
      <c r="D168" s="706"/>
      <c r="E168" s="706"/>
      <c r="F168" s="706"/>
      <c r="G168" s="706"/>
      <c r="H168" s="706"/>
      <c r="I168" s="863"/>
      <c r="J168" s="706"/>
      <c r="K168" s="706"/>
      <c r="L168" s="706"/>
      <c r="M168" s="706"/>
      <c r="N168" s="706"/>
      <c r="O168" s="706"/>
      <c r="P168" s="706"/>
      <c r="Q168" s="863"/>
      <c r="R168" s="706"/>
      <c r="S168" s="706"/>
      <c r="T168" s="706"/>
      <c r="U168" s="706"/>
      <c r="V168" s="706"/>
      <c r="W168" s="706"/>
      <c r="X168" s="706"/>
      <c r="Y168" s="863"/>
      <c r="Z168" s="706"/>
      <c r="AA168" s="706"/>
      <c r="AB168" s="706"/>
      <c r="AC168" s="706"/>
      <c r="AD168" s="706"/>
      <c r="AE168" s="706"/>
      <c r="AF168" s="706"/>
      <c r="AG168" s="863"/>
      <c r="AH168" s="706"/>
      <c r="AI168" s="706"/>
      <c r="AJ168" s="706"/>
      <c r="AK168" s="706"/>
      <c r="AL168" s="706"/>
      <c r="AM168" s="706"/>
      <c r="AN168" s="706"/>
      <c r="AO168" s="863"/>
      <c r="AP168" s="706"/>
      <c r="AQ168" s="706"/>
      <c r="AR168" s="706"/>
      <c r="AS168" s="706"/>
      <c r="AT168" s="706"/>
      <c r="AU168" s="706"/>
      <c r="AV168" s="706"/>
      <c r="AW168" s="706"/>
      <c r="AX168" s="706"/>
      <c r="AY168" s="706"/>
      <c r="AZ168" s="706"/>
      <c r="BA168" s="706"/>
      <c r="BB168" s="706"/>
      <c r="BC168" s="706"/>
      <c r="BD168" s="706"/>
      <c r="BE168" s="706"/>
      <c r="BF168" s="706"/>
      <c r="BG168" s="706"/>
      <c r="BH168" s="706"/>
    </row>
    <row r="169" spans="1:60" s="48" customFormat="1">
      <c r="A169" s="711"/>
      <c r="B169" s="711"/>
      <c r="C169" s="706"/>
      <c r="D169" s="706"/>
      <c r="E169" s="706"/>
      <c r="F169" s="706"/>
      <c r="G169" s="706"/>
      <c r="H169" s="706"/>
      <c r="I169" s="863"/>
      <c r="J169" s="706"/>
      <c r="K169" s="706"/>
      <c r="L169" s="706"/>
      <c r="M169" s="706"/>
      <c r="N169" s="706"/>
      <c r="O169" s="706"/>
      <c r="P169" s="706"/>
      <c r="Q169" s="863"/>
      <c r="R169" s="706"/>
      <c r="S169" s="706"/>
      <c r="T169" s="706"/>
      <c r="U169" s="706"/>
      <c r="V169" s="706"/>
      <c r="W169" s="706"/>
      <c r="X169" s="706"/>
      <c r="Y169" s="863"/>
      <c r="Z169" s="706"/>
      <c r="AA169" s="706"/>
      <c r="AB169" s="706"/>
      <c r="AC169" s="706"/>
      <c r="AD169" s="706"/>
      <c r="AE169" s="706"/>
      <c r="AF169" s="706"/>
      <c r="AG169" s="863"/>
      <c r="AH169" s="706"/>
      <c r="AI169" s="706"/>
      <c r="AJ169" s="706"/>
      <c r="AK169" s="706"/>
      <c r="AL169" s="706"/>
      <c r="AM169" s="706"/>
      <c r="AN169" s="706"/>
      <c r="AO169" s="863"/>
      <c r="AP169" s="706"/>
      <c r="AQ169" s="706"/>
      <c r="AR169" s="706"/>
      <c r="AS169" s="706"/>
      <c r="AT169" s="706"/>
      <c r="AU169" s="706"/>
      <c r="AV169" s="706"/>
      <c r="AW169" s="706"/>
      <c r="AX169" s="706"/>
      <c r="AY169" s="706"/>
      <c r="AZ169" s="706"/>
      <c r="BA169" s="706"/>
      <c r="BB169" s="706"/>
      <c r="BC169" s="706"/>
      <c r="BD169" s="706"/>
      <c r="BE169" s="706"/>
      <c r="BF169" s="706"/>
      <c r="BG169" s="706"/>
      <c r="BH169" s="706"/>
    </row>
    <row r="170" spans="1:60" s="48" customFormat="1">
      <c r="A170" s="711"/>
      <c r="B170" s="711"/>
      <c r="C170" s="706"/>
      <c r="D170" s="706"/>
      <c r="E170" s="706"/>
      <c r="F170" s="706"/>
      <c r="G170" s="706"/>
      <c r="H170" s="706"/>
      <c r="I170" s="863"/>
      <c r="J170" s="706"/>
      <c r="K170" s="706"/>
      <c r="L170" s="706"/>
      <c r="M170" s="706"/>
      <c r="N170" s="706"/>
      <c r="O170" s="706"/>
      <c r="P170" s="706"/>
      <c r="Q170" s="863"/>
      <c r="R170" s="706"/>
      <c r="S170" s="706"/>
      <c r="T170" s="706"/>
      <c r="U170" s="706"/>
      <c r="V170" s="706"/>
      <c r="W170" s="706"/>
      <c r="X170" s="706"/>
      <c r="Y170" s="863"/>
      <c r="Z170" s="706"/>
      <c r="AA170" s="706"/>
      <c r="AB170" s="706"/>
      <c r="AC170" s="706"/>
      <c r="AD170" s="706"/>
      <c r="AE170" s="706"/>
      <c r="AF170" s="706"/>
      <c r="AG170" s="863"/>
      <c r="AH170" s="706"/>
      <c r="AI170" s="706"/>
      <c r="AJ170" s="706"/>
      <c r="AK170" s="706"/>
      <c r="AL170" s="706"/>
      <c r="AM170" s="706"/>
      <c r="AN170" s="706"/>
      <c r="AO170" s="863"/>
      <c r="AP170" s="706"/>
      <c r="AQ170" s="706"/>
      <c r="AR170" s="706"/>
      <c r="AS170" s="706"/>
      <c r="AT170" s="706"/>
      <c r="AU170" s="706"/>
      <c r="AV170" s="706"/>
      <c r="AW170" s="706"/>
      <c r="AX170" s="706"/>
      <c r="AY170" s="706"/>
      <c r="AZ170" s="706"/>
      <c r="BA170" s="706"/>
      <c r="BB170" s="706"/>
      <c r="BC170" s="706"/>
      <c r="BD170" s="706"/>
      <c r="BE170" s="706"/>
      <c r="BF170" s="706"/>
      <c r="BG170" s="706"/>
      <c r="BH170" s="706"/>
    </row>
    <row r="171" spans="1:60" s="48" customFormat="1">
      <c r="A171" s="711"/>
      <c r="B171" s="711"/>
      <c r="C171" s="706"/>
      <c r="D171" s="706"/>
      <c r="E171" s="706"/>
      <c r="F171" s="706"/>
      <c r="G171" s="706"/>
      <c r="H171" s="706"/>
      <c r="I171" s="863"/>
      <c r="J171" s="706"/>
      <c r="K171" s="706"/>
      <c r="L171" s="706"/>
      <c r="M171" s="706"/>
      <c r="N171" s="706"/>
      <c r="O171" s="706"/>
      <c r="P171" s="706"/>
      <c r="Q171" s="863"/>
      <c r="R171" s="706"/>
      <c r="S171" s="706"/>
      <c r="T171" s="706"/>
      <c r="U171" s="706"/>
      <c r="V171" s="706"/>
      <c r="W171" s="706"/>
      <c r="X171" s="706"/>
      <c r="Y171" s="863"/>
      <c r="Z171" s="706"/>
      <c r="AA171" s="706"/>
      <c r="AB171" s="706"/>
      <c r="AC171" s="706"/>
      <c r="AD171" s="706"/>
      <c r="AE171" s="706"/>
      <c r="AF171" s="706"/>
      <c r="AG171" s="863"/>
      <c r="AH171" s="706"/>
      <c r="AI171" s="706"/>
      <c r="AJ171" s="706"/>
      <c r="AK171" s="706"/>
      <c r="AL171" s="706"/>
      <c r="AM171" s="706"/>
      <c r="AN171" s="706"/>
      <c r="AO171" s="863"/>
      <c r="AP171" s="706"/>
      <c r="AQ171" s="706"/>
      <c r="AR171" s="706"/>
      <c r="AS171" s="706"/>
      <c r="AT171" s="706"/>
      <c r="AU171" s="706"/>
      <c r="AV171" s="706"/>
      <c r="AW171" s="706"/>
      <c r="AX171" s="706"/>
      <c r="AY171" s="706"/>
      <c r="AZ171" s="706"/>
      <c r="BA171" s="706"/>
      <c r="BB171" s="706"/>
      <c r="BC171" s="706"/>
      <c r="BD171" s="706"/>
      <c r="BE171" s="706"/>
      <c r="BF171" s="706"/>
      <c r="BG171" s="706"/>
      <c r="BH171" s="706"/>
    </row>
    <row r="172" spans="1:60" s="48" customFormat="1">
      <c r="A172" s="711"/>
      <c r="B172" s="711"/>
      <c r="C172" s="706"/>
      <c r="D172" s="706"/>
      <c r="E172" s="706"/>
      <c r="F172" s="706"/>
      <c r="G172" s="706"/>
      <c r="H172" s="706"/>
      <c r="I172" s="863"/>
      <c r="J172" s="706"/>
      <c r="K172" s="706"/>
      <c r="L172" s="706"/>
      <c r="M172" s="706"/>
      <c r="N172" s="706"/>
      <c r="O172" s="706"/>
      <c r="P172" s="706"/>
      <c r="Q172" s="863"/>
      <c r="R172" s="706"/>
      <c r="S172" s="706"/>
      <c r="T172" s="706"/>
      <c r="U172" s="706"/>
      <c r="V172" s="706"/>
      <c r="W172" s="706"/>
      <c r="X172" s="706"/>
      <c r="Y172" s="863"/>
      <c r="Z172" s="706"/>
      <c r="AA172" s="706"/>
      <c r="AB172" s="706"/>
      <c r="AC172" s="706"/>
      <c r="AD172" s="706"/>
      <c r="AE172" s="706"/>
      <c r="AF172" s="706"/>
      <c r="AG172" s="863"/>
      <c r="AH172" s="706"/>
      <c r="AI172" s="706"/>
      <c r="AJ172" s="706"/>
      <c r="AK172" s="706"/>
      <c r="AL172" s="706"/>
      <c r="AM172" s="706"/>
      <c r="AN172" s="706"/>
      <c r="AO172" s="863"/>
      <c r="AP172" s="706"/>
      <c r="AQ172" s="706"/>
      <c r="AR172" s="706"/>
      <c r="AS172" s="706"/>
      <c r="AT172" s="706"/>
      <c r="AU172" s="706"/>
      <c r="AV172" s="706"/>
      <c r="AW172" s="706"/>
      <c r="AX172" s="706"/>
      <c r="AY172" s="706"/>
      <c r="AZ172" s="706"/>
      <c r="BA172" s="706"/>
      <c r="BB172" s="706"/>
      <c r="BC172" s="706"/>
      <c r="BD172" s="706"/>
      <c r="BE172" s="706"/>
      <c r="BF172" s="706"/>
      <c r="BG172" s="706"/>
      <c r="BH172" s="706"/>
    </row>
    <row r="173" spans="1:60" s="48" customFormat="1">
      <c r="A173" s="711"/>
      <c r="B173" s="711"/>
      <c r="C173" s="706"/>
      <c r="D173" s="706"/>
      <c r="E173" s="706"/>
      <c r="F173" s="706"/>
      <c r="G173" s="706"/>
      <c r="H173" s="706"/>
      <c r="I173" s="863"/>
      <c r="J173" s="706"/>
      <c r="K173" s="706"/>
      <c r="L173" s="706"/>
      <c r="M173" s="706"/>
      <c r="N173" s="706"/>
      <c r="O173" s="706"/>
      <c r="P173" s="706"/>
      <c r="Q173" s="863"/>
      <c r="R173" s="706"/>
      <c r="S173" s="706"/>
      <c r="T173" s="706"/>
      <c r="U173" s="706"/>
      <c r="V173" s="706"/>
      <c r="W173" s="706"/>
      <c r="X173" s="706"/>
      <c r="Y173" s="863"/>
      <c r="Z173" s="706"/>
      <c r="AA173" s="706"/>
      <c r="AB173" s="706"/>
      <c r="AC173" s="706"/>
      <c r="AD173" s="706"/>
      <c r="AE173" s="706"/>
      <c r="AF173" s="706"/>
      <c r="AG173" s="863"/>
      <c r="AH173" s="706"/>
      <c r="AI173" s="706"/>
      <c r="AJ173" s="706"/>
      <c r="AK173" s="706"/>
      <c r="AL173" s="706"/>
      <c r="AM173" s="706"/>
      <c r="AN173" s="706"/>
      <c r="AO173" s="863"/>
      <c r="AP173" s="706"/>
      <c r="AQ173" s="706"/>
      <c r="AR173" s="706"/>
      <c r="AS173" s="706"/>
      <c r="AT173" s="706"/>
      <c r="AU173" s="706"/>
      <c r="AV173" s="706"/>
      <c r="AW173" s="706"/>
      <c r="AX173" s="706"/>
      <c r="AY173" s="706"/>
      <c r="AZ173" s="706"/>
      <c r="BA173" s="706"/>
      <c r="BB173" s="706"/>
      <c r="BC173" s="706"/>
      <c r="BD173" s="706"/>
      <c r="BE173" s="706"/>
      <c r="BF173" s="706"/>
      <c r="BG173" s="706"/>
      <c r="BH173" s="706"/>
    </row>
    <row r="174" spans="1:60" s="48" customFormat="1">
      <c r="A174" s="711"/>
      <c r="B174" s="711"/>
      <c r="C174" s="706"/>
      <c r="D174" s="706"/>
      <c r="E174" s="706"/>
      <c r="F174" s="706"/>
      <c r="G174" s="706"/>
      <c r="H174" s="706"/>
      <c r="I174" s="863"/>
      <c r="J174" s="706"/>
      <c r="K174" s="706"/>
      <c r="L174" s="706"/>
      <c r="M174" s="706"/>
      <c r="N174" s="706"/>
      <c r="O174" s="706"/>
      <c r="P174" s="706"/>
      <c r="Q174" s="863"/>
      <c r="R174" s="706"/>
      <c r="S174" s="706"/>
      <c r="T174" s="706"/>
      <c r="U174" s="706"/>
      <c r="V174" s="706"/>
      <c r="W174" s="706"/>
      <c r="X174" s="706"/>
      <c r="Y174" s="863"/>
      <c r="Z174" s="706"/>
      <c r="AA174" s="706"/>
      <c r="AB174" s="706"/>
      <c r="AC174" s="706"/>
      <c r="AD174" s="706"/>
      <c r="AE174" s="706"/>
      <c r="AF174" s="706"/>
      <c r="AG174" s="863"/>
      <c r="AH174" s="706"/>
      <c r="AI174" s="706"/>
      <c r="AJ174" s="706"/>
      <c r="AK174" s="706"/>
      <c r="AL174" s="706"/>
      <c r="AM174" s="706"/>
      <c r="AN174" s="706"/>
      <c r="AO174" s="863"/>
      <c r="AP174" s="706"/>
      <c r="AQ174" s="706"/>
      <c r="AR174" s="706"/>
      <c r="AS174" s="706"/>
      <c r="AT174" s="706"/>
      <c r="AU174" s="706"/>
      <c r="AV174" s="706"/>
      <c r="AW174" s="706"/>
      <c r="AX174" s="706"/>
      <c r="AY174" s="706"/>
      <c r="AZ174" s="706"/>
      <c r="BA174" s="706"/>
      <c r="BB174" s="706"/>
      <c r="BC174" s="706"/>
      <c r="BD174" s="706"/>
      <c r="BE174" s="706"/>
      <c r="BF174" s="706"/>
      <c r="BG174" s="706"/>
      <c r="BH174" s="706"/>
    </row>
    <row r="175" spans="1:60" s="48" customFormat="1">
      <c r="A175" s="711"/>
      <c r="B175" s="711"/>
      <c r="C175" s="706"/>
      <c r="D175" s="706"/>
      <c r="E175" s="706"/>
      <c r="F175" s="706"/>
      <c r="G175" s="706"/>
      <c r="H175" s="706"/>
      <c r="I175" s="863"/>
      <c r="J175" s="706"/>
      <c r="K175" s="706"/>
      <c r="L175" s="706"/>
      <c r="M175" s="706"/>
      <c r="N175" s="706"/>
      <c r="O175" s="706"/>
      <c r="P175" s="706"/>
      <c r="Q175" s="863"/>
      <c r="R175" s="706"/>
      <c r="S175" s="706"/>
      <c r="T175" s="706"/>
      <c r="U175" s="706"/>
      <c r="V175" s="706"/>
      <c r="W175" s="706"/>
      <c r="X175" s="706"/>
      <c r="Y175" s="863"/>
      <c r="Z175" s="706"/>
      <c r="AA175" s="706"/>
      <c r="AB175" s="706"/>
      <c r="AC175" s="706"/>
      <c r="AD175" s="706"/>
      <c r="AE175" s="706"/>
      <c r="AF175" s="706"/>
      <c r="AG175" s="863"/>
      <c r="AH175" s="706"/>
      <c r="AI175" s="706"/>
      <c r="AJ175" s="706"/>
      <c r="AK175" s="706"/>
      <c r="AL175" s="706"/>
      <c r="AM175" s="706"/>
      <c r="AN175" s="706"/>
      <c r="AO175" s="863"/>
      <c r="AP175" s="706"/>
      <c r="AQ175" s="706"/>
      <c r="AR175" s="706"/>
      <c r="AS175" s="706"/>
      <c r="AT175" s="706"/>
      <c r="AU175" s="706"/>
      <c r="AV175" s="706"/>
      <c r="AW175" s="706"/>
      <c r="AX175" s="706"/>
      <c r="AY175" s="706"/>
      <c r="AZ175" s="706"/>
      <c r="BA175" s="706"/>
      <c r="BB175" s="706"/>
      <c r="BC175" s="706"/>
      <c r="BD175" s="706"/>
      <c r="BE175" s="706"/>
      <c r="BF175" s="706"/>
      <c r="BG175" s="706"/>
      <c r="BH175" s="706"/>
    </row>
    <row r="176" spans="1:60" s="48" customFormat="1">
      <c r="A176" s="711"/>
      <c r="B176" s="711"/>
      <c r="C176" s="706"/>
      <c r="D176" s="706"/>
      <c r="E176" s="706"/>
      <c r="F176" s="706"/>
      <c r="G176" s="706"/>
      <c r="H176" s="706"/>
      <c r="I176" s="863"/>
      <c r="J176" s="706"/>
      <c r="K176" s="706"/>
      <c r="L176" s="706"/>
      <c r="M176" s="706"/>
      <c r="N176" s="706"/>
      <c r="O176" s="706"/>
      <c r="P176" s="706"/>
      <c r="Q176" s="863"/>
      <c r="R176" s="706"/>
      <c r="S176" s="706"/>
      <c r="T176" s="706"/>
      <c r="U176" s="706"/>
      <c r="V176" s="706"/>
      <c r="W176" s="706"/>
      <c r="X176" s="706"/>
      <c r="Y176" s="863"/>
      <c r="Z176" s="706"/>
      <c r="AA176" s="706"/>
      <c r="AB176" s="706"/>
      <c r="AC176" s="706"/>
      <c r="AD176" s="706"/>
      <c r="AE176" s="706"/>
      <c r="AF176" s="706"/>
      <c r="AG176" s="863"/>
      <c r="AH176" s="706"/>
      <c r="AI176" s="706"/>
      <c r="AJ176" s="706"/>
      <c r="AK176" s="706"/>
      <c r="AL176" s="706"/>
      <c r="AM176" s="706"/>
      <c r="AN176" s="706"/>
      <c r="AO176" s="863"/>
      <c r="AP176" s="706"/>
      <c r="AQ176" s="706"/>
      <c r="AR176" s="706"/>
      <c r="AS176" s="706"/>
      <c r="AT176" s="706"/>
      <c r="AU176" s="706"/>
      <c r="AV176" s="706"/>
      <c r="AW176" s="706"/>
      <c r="AX176" s="706"/>
      <c r="AY176" s="706"/>
      <c r="AZ176" s="706"/>
      <c r="BA176" s="706"/>
      <c r="BB176" s="706"/>
      <c r="BC176" s="706"/>
      <c r="BD176" s="706"/>
      <c r="BE176" s="706"/>
      <c r="BF176" s="706"/>
      <c r="BG176" s="706"/>
      <c r="BH176" s="706"/>
    </row>
    <row r="177" spans="1:60" s="48" customFormat="1">
      <c r="A177" s="711"/>
      <c r="B177" s="711"/>
      <c r="C177" s="706"/>
      <c r="D177" s="706"/>
      <c r="E177" s="706"/>
      <c r="F177" s="706"/>
      <c r="G177" s="706"/>
      <c r="H177" s="706"/>
      <c r="I177" s="863"/>
      <c r="J177" s="706"/>
      <c r="K177" s="706"/>
      <c r="L177" s="706"/>
      <c r="M177" s="706"/>
      <c r="N177" s="706"/>
      <c r="O177" s="706"/>
      <c r="P177" s="706"/>
      <c r="Q177" s="863"/>
      <c r="R177" s="706"/>
      <c r="S177" s="706"/>
      <c r="T177" s="706"/>
      <c r="U177" s="706"/>
      <c r="V177" s="706"/>
      <c r="W177" s="706"/>
      <c r="X177" s="706"/>
      <c r="Y177" s="863"/>
      <c r="Z177" s="706"/>
      <c r="AA177" s="706"/>
      <c r="AB177" s="706"/>
      <c r="AC177" s="706"/>
      <c r="AD177" s="706"/>
      <c r="AE177" s="706"/>
      <c r="AF177" s="706"/>
      <c r="AG177" s="863"/>
      <c r="AH177" s="706"/>
      <c r="AI177" s="706"/>
      <c r="AJ177" s="706"/>
      <c r="AK177" s="706"/>
      <c r="AL177" s="706"/>
      <c r="AM177" s="706"/>
      <c r="AN177" s="706"/>
      <c r="AO177" s="863"/>
      <c r="AP177" s="706"/>
      <c r="AQ177" s="706"/>
      <c r="AR177" s="706"/>
      <c r="AS177" s="706"/>
      <c r="AT177" s="706"/>
      <c r="AU177" s="706"/>
      <c r="AV177" s="706"/>
      <c r="AW177" s="706"/>
      <c r="AX177" s="706"/>
      <c r="AY177" s="706"/>
      <c r="AZ177" s="706"/>
      <c r="BA177" s="706"/>
      <c r="BB177" s="706"/>
      <c r="BC177" s="706"/>
      <c r="BD177" s="706"/>
      <c r="BE177" s="706"/>
      <c r="BF177" s="706"/>
      <c r="BG177" s="706"/>
      <c r="BH177" s="706"/>
    </row>
    <row r="178" spans="1:60" s="48" customFormat="1">
      <c r="A178" s="711"/>
      <c r="B178" s="711"/>
      <c r="C178" s="706"/>
      <c r="D178" s="706"/>
      <c r="E178" s="706"/>
      <c r="F178" s="706"/>
      <c r="G178" s="706"/>
      <c r="H178" s="706"/>
      <c r="I178" s="863"/>
      <c r="J178" s="706"/>
      <c r="K178" s="706"/>
      <c r="L178" s="706"/>
      <c r="M178" s="706"/>
      <c r="N178" s="706"/>
      <c r="O178" s="706"/>
      <c r="P178" s="706"/>
      <c r="Q178" s="863"/>
      <c r="R178" s="706"/>
      <c r="S178" s="706"/>
      <c r="T178" s="706"/>
      <c r="U178" s="706"/>
      <c r="V178" s="706"/>
      <c r="W178" s="706"/>
      <c r="X178" s="706"/>
      <c r="Y178" s="863"/>
      <c r="Z178" s="706"/>
      <c r="AA178" s="706"/>
      <c r="AB178" s="706"/>
      <c r="AC178" s="706"/>
      <c r="AD178" s="706"/>
      <c r="AE178" s="706"/>
      <c r="AF178" s="706"/>
      <c r="AG178" s="863"/>
      <c r="AH178" s="706"/>
      <c r="AI178" s="706"/>
      <c r="AJ178" s="706"/>
      <c r="AK178" s="706"/>
      <c r="AL178" s="706"/>
      <c r="AM178" s="706"/>
      <c r="AN178" s="706"/>
      <c r="AO178" s="863"/>
      <c r="AP178" s="706"/>
      <c r="AQ178" s="706"/>
      <c r="AR178" s="706"/>
      <c r="AS178" s="706"/>
      <c r="AT178" s="706"/>
      <c r="AU178" s="706"/>
      <c r="AV178" s="706"/>
      <c r="AW178" s="706"/>
      <c r="AX178" s="706"/>
      <c r="AY178" s="706"/>
      <c r="AZ178" s="706"/>
      <c r="BA178" s="706"/>
      <c r="BB178" s="706"/>
      <c r="BC178" s="706"/>
      <c r="BD178" s="706"/>
      <c r="BE178" s="706"/>
      <c r="BF178" s="706"/>
      <c r="BG178" s="706"/>
      <c r="BH178" s="706"/>
    </row>
    <row r="179" spans="1:60" s="48" customFormat="1">
      <c r="A179" s="711"/>
      <c r="B179" s="711"/>
      <c r="C179" s="706"/>
      <c r="D179" s="706"/>
      <c r="E179" s="706"/>
      <c r="F179" s="706"/>
      <c r="G179" s="706"/>
      <c r="H179" s="706"/>
      <c r="I179" s="863"/>
      <c r="J179" s="706"/>
      <c r="K179" s="706"/>
      <c r="L179" s="706"/>
      <c r="M179" s="706"/>
      <c r="N179" s="706"/>
      <c r="O179" s="706"/>
      <c r="P179" s="706"/>
      <c r="Q179" s="863"/>
      <c r="R179" s="706"/>
      <c r="S179" s="706"/>
      <c r="T179" s="706"/>
      <c r="U179" s="706"/>
      <c r="V179" s="706"/>
      <c r="W179" s="706"/>
      <c r="X179" s="706"/>
      <c r="Y179" s="863"/>
      <c r="Z179" s="706"/>
      <c r="AA179" s="706"/>
      <c r="AB179" s="706"/>
      <c r="AC179" s="706"/>
      <c r="AD179" s="706"/>
      <c r="AE179" s="706"/>
      <c r="AF179" s="706"/>
      <c r="AG179" s="863"/>
      <c r="AH179" s="706"/>
      <c r="AI179" s="706"/>
      <c r="AJ179" s="706"/>
      <c r="AK179" s="706"/>
      <c r="AL179" s="706"/>
      <c r="AM179" s="706"/>
      <c r="AN179" s="706"/>
      <c r="AO179" s="863"/>
      <c r="AP179" s="706"/>
      <c r="AQ179" s="706"/>
      <c r="AR179" s="706"/>
      <c r="AS179" s="706"/>
      <c r="AT179" s="706"/>
      <c r="AU179" s="706"/>
      <c r="AV179" s="706"/>
      <c r="AW179" s="706"/>
      <c r="AX179" s="706"/>
      <c r="AY179" s="706"/>
      <c r="AZ179" s="706"/>
      <c r="BA179" s="706"/>
      <c r="BB179" s="706"/>
      <c r="BC179" s="706"/>
      <c r="BD179" s="706"/>
      <c r="BE179" s="706"/>
      <c r="BF179" s="706"/>
      <c r="BG179" s="706"/>
      <c r="BH179" s="706"/>
    </row>
    <row r="180" spans="1:60" s="48" customFormat="1">
      <c r="A180" s="711"/>
      <c r="B180" s="711"/>
      <c r="C180" s="706"/>
      <c r="D180" s="706"/>
      <c r="E180" s="706"/>
      <c r="F180" s="706"/>
      <c r="G180" s="706"/>
      <c r="H180" s="706"/>
      <c r="I180" s="863"/>
      <c r="J180" s="706"/>
      <c r="K180" s="706"/>
      <c r="L180" s="706"/>
      <c r="M180" s="706"/>
      <c r="N180" s="706"/>
      <c r="O180" s="706"/>
      <c r="P180" s="706"/>
      <c r="Q180" s="863"/>
      <c r="R180" s="706"/>
      <c r="S180" s="706"/>
      <c r="T180" s="706"/>
      <c r="U180" s="706"/>
      <c r="V180" s="706"/>
      <c r="W180" s="706"/>
      <c r="X180" s="706"/>
      <c r="Y180" s="863"/>
      <c r="Z180" s="706"/>
      <c r="AA180" s="706"/>
      <c r="AB180" s="706"/>
      <c r="AC180" s="706"/>
      <c r="AD180" s="706"/>
      <c r="AE180" s="706"/>
      <c r="AF180" s="706"/>
      <c r="AG180" s="863"/>
      <c r="AH180" s="706"/>
      <c r="AI180" s="706"/>
      <c r="AJ180" s="706"/>
      <c r="AK180" s="706"/>
      <c r="AL180" s="706"/>
      <c r="AM180" s="706"/>
      <c r="AN180" s="706"/>
      <c r="AO180" s="863"/>
      <c r="AP180" s="706"/>
      <c r="AQ180" s="706"/>
      <c r="AR180" s="706"/>
      <c r="AS180" s="706"/>
      <c r="AT180" s="706"/>
      <c r="AU180" s="706"/>
      <c r="AV180" s="706"/>
      <c r="AW180" s="706"/>
      <c r="AX180" s="706"/>
      <c r="AY180" s="706"/>
      <c r="AZ180" s="706"/>
      <c r="BA180" s="706"/>
      <c r="BB180" s="706"/>
      <c r="BC180" s="706"/>
      <c r="BD180" s="706"/>
      <c r="BE180" s="706"/>
      <c r="BF180" s="706"/>
      <c r="BG180" s="706"/>
      <c r="BH180" s="706"/>
    </row>
    <row r="181" spans="1:60" s="48" customFormat="1">
      <c r="A181" s="711"/>
      <c r="B181" s="711"/>
      <c r="C181" s="706"/>
      <c r="D181" s="706"/>
      <c r="E181" s="706"/>
      <c r="F181" s="706"/>
      <c r="G181" s="706"/>
      <c r="H181" s="706"/>
      <c r="I181" s="863"/>
      <c r="J181" s="706"/>
      <c r="K181" s="706"/>
      <c r="L181" s="706"/>
      <c r="M181" s="706"/>
      <c r="N181" s="706"/>
      <c r="O181" s="706"/>
      <c r="P181" s="706"/>
      <c r="Q181" s="863"/>
      <c r="R181" s="706"/>
      <c r="S181" s="706"/>
      <c r="T181" s="706"/>
      <c r="U181" s="706"/>
      <c r="V181" s="706"/>
      <c r="W181" s="706"/>
      <c r="X181" s="706"/>
      <c r="Y181" s="863"/>
      <c r="Z181" s="706"/>
      <c r="AA181" s="706"/>
      <c r="AB181" s="706"/>
      <c r="AC181" s="706"/>
      <c r="AD181" s="706"/>
      <c r="AE181" s="706"/>
      <c r="AF181" s="706"/>
      <c r="AG181" s="863"/>
      <c r="AH181" s="706"/>
      <c r="AI181" s="706"/>
      <c r="AJ181" s="706"/>
      <c r="AK181" s="706"/>
      <c r="AL181" s="706"/>
      <c r="AM181" s="706"/>
      <c r="AN181" s="706"/>
      <c r="AO181" s="863"/>
      <c r="AP181" s="706"/>
      <c r="AQ181" s="706"/>
      <c r="AR181" s="706"/>
      <c r="AS181" s="706"/>
      <c r="AT181" s="706"/>
      <c r="AU181" s="706"/>
      <c r="AV181" s="706"/>
      <c r="AW181" s="706"/>
      <c r="AX181" s="706"/>
      <c r="AY181" s="706"/>
      <c r="AZ181" s="706"/>
      <c r="BA181" s="706"/>
      <c r="BB181" s="706"/>
      <c r="BC181" s="706"/>
      <c r="BD181" s="706"/>
      <c r="BE181" s="706"/>
      <c r="BF181" s="706"/>
      <c r="BG181" s="706"/>
      <c r="BH181" s="706"/>
    </row>
    <row r="182" spans="1:60" s="48" customFormat="1">
      <c r="A182" s="711"/>
      <c r="B182" s="711"/>
      <c r="C182" s="706"/>
      <c r="D182" s="706"/>
      <c r="E182" s="706"/>
      <c r="F182" s="706"/>
      <c r="G182" s="706"/>
      <c r="H182" s="706"/>
      <c r="I182" s="863"/>
      <c r="J182" s="706"/>
      <c r="K182" s="706"/>
      <c r="L182" s="706"/>
      <c r="M182" s="706"/>
      <c r="N182" s="706"/>
      <c r="O182" s="706"/>
      <c r="P182" s="706"/>
      <c r="Q182" s="863"/>
      <c r="R182" s="706"/>
      <c r="S182" s="706"/>
      <c r="T182" s="706"/>
      <c r="U182" s="706"/>
      <c r="V182" s="706"/>
      <c r="W182" s="706"/>
      <c r="X182" s="706"/>
      <c r="Y182" s="863"/>
      <c r="Z182" s="706"/>
      <c r="AA182" s="706"/>
      <c r="AB182" s="706"/>
      <c r="AC182" s="706"/>
      <c r="AD182" s="706"/>
      <c r="AE182" s="706"/>
      <c r="AF182" s="706"/>
      <c r="AG182" s="863"/>
      <c r="AH182" s="706"/>
      <c r="AI182" s="706"/>
      <c r="AJ182" s="706"/>
      <c r="AK182" s="706"/>
      <c r="AL182" s="706"/>
      <c r="AM182" s="706"/>
      <c r="AN182" s="706"/>
      <c r="AO182" s="863"/>
      <c r="AP182" s="706"/>
      <c r="AQ182" s="706"/>
      <c r="AR182" s="706"/>
      <c r="AS182" s="706"/>
      <c r="AT182" s="706"/>
      <c r="AU182" s="706"/>
      <c r="AV182" s="706"/>
      <c r="AW182" s="706"/>
      <c r="AX182" s="706"/>
      <c r="AY182" s="706"/>
      <c r="AZ182" s="706"/>
      <c r="BA182" s="706"/>
      <c r="BB182" s="706"/>
      <c r="BC182" s="706"/>
      <c r="BD182" s="706"/>
      <c r="BE182" s="706"/>
      <c r="BF182" s="706"/>
      <c r="BG182" s="706"/>
      <c r="BH182" s="706"/>
    </row>
    <row r="183" spans="1:60" s="48" customFormat="1">
      <c r="A183" s="711"/>
      <c r="B183" s="711"/>
      <c r="C183" s="706"/>
      <c r="D183" s="706"/>
      <c r="E183" s="706"/>
      <c r="F183" s="706"/>
      <c r="G183" s="706"/>
      <c r="H183" s="706"/>
      <c r="I183" s="863"/>
      <c r="J183" s="706"/>
      <c r="K183" s="706"/>
      <c r="L183" s="706"/>
      <c r="M183" s="706"/>
      <c r="N183" s="706"/>
      <c r="O183" s="706"/>
      <c r="P183" s="706"/>
      <c r="Q183" s="863"/>
      <c r="R183" s="706"/>
      <c r="S183" s="706"/>
      <c r="T183" s="706"/>
      <c r="U183" s="706"/>
      <c r="V183" s="706"/>
      <c r="W183" s="706"/>
      <c r="X183" s="706"/>
      <c r="Y183" s="863"/>
      <c r="Z183" s="706"/>
      <c r="AA183" s="706"/>
      <c r="AB183" s="706"/>
      <c r="AC183" s="706"/>
      <c r="AD183" s="706"/>
      <c r="AE183" s="706"/>
      <c r="AF183" s="706"/>
      <c r="AG183" s="863"/>
      <c r="AH183" s="706"/>
      <c r="AI183" s="706"/>
      <c r="AJ183" s="706"/>
      <c r="AK183" s="706"/>
      <c r="AL183" s="706"/>
      <c r="AM183" s="706"/>
      <c r="AN183" s="706"/>
      <c r="AO183" s="863"/>
      <c r="AP183" s="706"/>
      <c r="AQ183" s="706"/>
      <c r="AR183" s="706"/>
      <c r="AS183" s="706"/>
      <c r="AT183" s="706"/>
      <c r="AU183" s="706"/>
      <c r="AV183" s="706"/>
      <c r="AW183" s="706"/>
      <c r="AX183" s="706"/>
      <c r="AY183" s="706"/>
      <c r="AZ183" s="706"/>
      <c r="BA183" s="706"/>
      <c r="BB183" s="706"/>
      <c r="BC183" s="706"/>
      <c r="BD183" s="706"/>
      <c r="BE183" s="706"/>
      <c r="BF183" s="706"/>
      <c r="BG183" s="706"/>
      <c r="BH183" s="706"/>
    </row>
    <row r="184" spans="1:60" s="48" customFormat="1">
      <c r="A184" s="711"/>
      <c r="B184" s="711"/>
      <c r="C184" s="706"/>
      <c r="D184" s="706"/>
      <c r="E184" s="706"/>
      <c r="F184" s="706"/>
      <c r="G184" s="706"/>
      <c r="H184" s="706"/>
      <c r="I184" s="863"/>
      <c r="J184" s="706"/>
      <c r="K184" s="706"/>
      <c r="L184" s="706"/>
      <c r="M184" s="706"/>
      <c r="N184" s="706"/>
      <c r="O184" s="706"/>
      <c r="P184" s="706"/>
      <c r="Q184" s="863"/>
      <c r="R184" s="706"/>
      <c r="S184" s="706"/>
      <c r="T184" s="706"/>
      <c r="U184" s="706"/>
      <c r="V184" s="706"/>
      <c r="W184" s="706"/>
      <c r="X184" s="706"/>
      <c r="Y184" s="863"/>
      <c r="Z184" s="706"/>
      <c r="AA184" s="706"/>
      <c r="AB184" s="706"/>
      <c r="AC184" s="706"/>
      <c r="AD184" s="706"/>
      <c r="AE184" s="706"/>
      <c r="AF184" s="706"/>
      <c r="AG184" s="863"/>
      <c r="AH184" s="706"/>
      <c r="AI184" s="706"/>
      <c r="AJ184" s="706"/>
      <c r="AK184" s="706"/>
      <c r="AL184" s="706"/>
      <c r="AM184" s="706"/>
      <c r="AN184" s="706"/>
      <c r="AO184" s="863"/>
      <c r="AP184" s="706"/>
      <c r="AQ184" s="706"/>
      <c r="AR184" s="706"/>
      <c r="AS184" s="706"/>
      <c r="AT184" s="706"/>
      <c r="AU184" s="706"/>
      <c r="AV184" s="706"/>
      <c r="AW184" s="706"/>
      <c r="AX184" s="706"/>
      <c r="AY184" s="706"/>
      <c r="AZ184" s="706"/>
      <c r="BA184" s="706"/>
      <c r="BB184" s="706"/>
      <c r="BC184" s="706"/>
      <c r="BD184" s="706"/>
      <c r="BE184" s="706"/>
      <c r="BF184" s="706"/>
      <c r="BG184" s="706"/>
      <c r="BH184" s="706"/>
    </row>
    <row r="185" spans="1:60" s="48" customFormat="1">
      <c r="A185" s="711"/>
      <c r="B185" s="711"/>
      <c r="C185" s="706"/>
      <c r="D185" s="706"/>
      <c r="E185" s="706"/>
      <c r="F185" s="706"/>
      <c r="G185" s="706"/>
      <c r="H185" s="706"/>
      <c r="I185" s="863"/>
      <c r="J185" s="706"/>
      <c r="K185" s="706"/>
      <c r="L185" s="706"/>
      <c r="M185" s="706"/>
      <c r="N185" s="706"/>
      <c r="O185" s="706"/>
      <c r="P185" s="706"/>
      <c r="Q185" s="863"/>
      <c r="R185" s="706"/>
      <c r="S185" s="706"/>
      <c r="T185" s="706"/>
      <c r="U185" s="706"/>
      <c r="V185" s="706"/>
      <c r="W185" s="706"/>
      <c r="X185" s="706"/>
      <c r="Y185" s="863"/>
      <c r="Z185" s="706"/>
      <c r="AA185" s="706"/>
      <c r="AB185" s="706"/>
      <c r="AC185" s="706"/>
      <c r="AD185" s="706"/>
      <c r="AE185" s="706"/>
      <c r="AF185" s="706"/>
      <c r="AG185" s="863"/>
      <c r="AH185" s="706"/>
      <c r="AI185" s="706"/>
      <c r="AJ185" s="706"/>
      <c r="AK185" s="706"/>
      <c r="AL185" s="706"/>
      <c r="AM185" s="706"/>
      <c r="AN185" s="706"/>
      <c r="AO185" s="863"/>
      <c r="AP185" s="706"/>
      <c r="AQ185" s="706"/>
      <c r="AR185" s="706"/>
      <c r="AS185" s="706"/>
      <c r="AT185" s="706"/>
      <c r="AU185" s="706"/>
      <c r="AV185" s="706"/>
      <c r="AW185" s="706"/>
      <c r="AX185" s="706"/>
      <c r="AY185" s="706"/>
      <c r="AZ185" s="706"/>
      <c r="BA185" s="706"/>
      <c r="BB185" s="706"/>
      <c r="BC185" s="706"/>
      <c r="BD185" s="706"/>
      <c r="BE185" s="706"/>
      <c r="BF185" s="706"/>
      <c r="BG185" s="706"/>
      <c r="BH185" s="706"/>
    </row>
    <row r="186" spans="1:60" s="48" customFormat="1">
      <c r="A186" s="711"/>
      <c r="B186" s="711"/>
      <c r="C186" s="706"/>
      <c r="D186" s="706"/>
      <c r="E186" s="706"/>
      <c r="F186" s="706"/>
      <c r="G186" s="706"/>
      <c r="H186" s="706"/>
      <c r="I186" s="863"/>
      <c r="J186" s="706"/>
      <c r="K186" s="706"/>
      <c r="L186" s="706"/>
      <c r="M186" s="706"/>
      <c r="N186" s="706"/>
      <c r="O186" s="706"/>
      <c r="P186" s="706"/>
      <c r="Q186" s="863"/>
      <c r="R186" s="706"/>
      <c r="S186" s="706"/>
      <c r="T186" s="706"/>
      <c r="U186" s="706"/>
      <c r="V186" s="706"/>
      <c r="W186" s="706"/>
      <c r="X186" s="706"/>
      <c r="Y186" s="863"/>
      <c r="Z186" s="706"/>
      <c r="AA186" s="706"/>
      <c r="AB186" s="706"/>
      <c r="AC186" s="706"/>
      <c r="AD186" s="706"/>
      <c r="AE186" s="706"/>
      <c r="AF186" s="706"/>
      <c r="AG186" s="863"/>
      <c r="AH186" s="706"/>
      <c r="AI186" s="706"/>
      <c r="AJ186" s="706"/>
      <c r="AK186" s="706"/>
      <c r="AL186" s="706"/>
      <c r="AM186" s="706"/>
      <c r="AN186" s="706"/>
      <c r="AO186" s="863"/>
      <c r="AP186" s="706"/>
      <c r="AQ186" s="706"/>
      <c r="AR186" s="706"/>
      <c r="AS186" s="706"/>
      <c r="AT186" s="706"/>
      <c r="AU186" s="706"/>
      <c r="AV186" s="706"/>
      <c r="AW186" s="706"/>
      <c r="AX186" s="706"/>
      <c r="AY186" s="706"/>
      <c r="AZ186" s="706"/>
      <c r="BA186" s="706"/>
      <c r="BB186" s="706"/>
      <c r="BC186" s="706"/>
      <c r="BD186" s="706"/>
      <c r="BE186" s="706"/>
      <c r="BF186" s="706"/>
      <c r="BG186" s="706"/>
      <c r="BH186" s="706"/>
    </row>
    <row r="187" spans="1:60" s="48" customFormat="1">
      <c r="A187" s="711"/>
      <c r="B187" s="711"/>
      <c r="C187" s="706"/>
      <c r="D187" s="706"/>
      <c r="E187" s="706"/>
      <c r="F187" s="706"/>
      <c r="G187" s="706"/>
      <c r="H187" s="706"/>
      <c r="I187" s="863"/>
      <c r="J187" s="706"/>
      <c r="K187" s="706"/>
      <c r="L187" s="706"/>
      <c r="M187" s="706"/>
      <c r="N187" s="706"/>
      <c r="O187" s="706"/>
      <c r="P187" s="706"/>
      <c r="Q187" s="863"/>
      <c r="R187" s="706"/>
      <c r="S187" s="706"/>
      <c r="T187" s="706"/>
      <c r="U187" s="706"/>
      <c r="V187" s="706"/>
      <c r="W187" s="706"/>
      <c r="X187" s="706"/>
      <c r="Y187" s="863"/>
      <c r="Z187" s="706"/>
      <c r="AA187" s="706"/>
      <c r="AB187" s="706"/>
      <c r="AC187" s="706"/>
      <c r="AD187" s="706"/>
      <c r="AE187" s="706"/>
      <c r="AF187" s="706"/>
      <c r="AG187" s="863"/>
      <c r="AH187" s="706"/>
      <c r="AI187" s="706"/>
      <c r="AJ187" s="706"/>
      <c r="AK187" s="706"/>
      <c r="AL187" s="706"/>
      <c r="AM187" s="706"/>
      <c r="AN187" s="706"/>
      <c r="AO187" s="863"/>
      <c r="AP187" s="706"/>
      <c r="AQ187" s="706"/>
      <c r="AR187" s="706"/>
      <c r="AS187" s="706"/>
      <c r="AT187" s="706"/>
      <c r="AU187" s="706"/>
      <c r="AV187" s="706"/>
      <c r="AW187" s="706"/>
      <c r="AX187" s="706"/>
      <c r="AY187" s="706"/>
      <c r="AZ187" s="706"/>
      <c r="BA187" s="706"/>
      <c r="BB187" s="706"/>
      <c r="BC187" s="706"/>
      <c r="BD187" s="706"/>
      <c r="BE187" s="706"/>
      <c r="BF187" s="706"/>
      <c r="BG187" s="706"/>
      <c r="BH187" s="706"/>
    </row>
    <row r="188" spans="1:60" s="48" customFormat="1">
      <c r="A188" s="711"/>
      <c r="B188" s="711"/>
      <c r="C188" s="706"/>
      <c r="D188" s="706"/>
      <c r="E188" s="706"/>
      <c r="F188" s="706"/>
      <c r="G188" s="706"/>
      <c r="H188" s="706"/>
      <c r="I188" s="863"/>
      <c r="J188" s="706"/>
      <c r="K188" s="706"/>
      <c r="L188" s="706"/>
      <c r="M188" s="706"/>
      <c r="N188" s="706"/>
      <c r="O188" s="706"/>
      <c r="P188" s="706"/>
      <c r="Q188" s="863"/>
      <c r="R188" s="706"/>
      <c r="S188" s="706"/>
      <c r="T188" s="706"/>
      <c r="U188" s="706"/>
      <c r="V188" s="706"/>
      <c r="W188" s="706"/>
      <c r="X188" s="706"/>
      <c r="Y188" s="863"/>
      <c r="Z188" s="706"/>
      <c r="AA188" s="706"/>
      <c r="AB188" s="706"/>
      <c r="AC188" s="706"/>
      <c r="AD188" s="706"/>
      <c r="AE188" s="706"/>
      <c r="AF188" s="706"/>
      <c r="AG188" s="863"/>
      <c r="AH188" s="706"/>
      <c r="AI188" s="706"/>
      <c r="AJ188" s="706"/>
      <c r="AK188" s="706"/>
      <c r="AL188" s="706"/>
      <c r="AM188" s="706"/>
      <c r="AN188" s="706"/>
      <c r="AO188" s="863"/>
      <c r="AP188" s="706"/>
      <c r="AQ188" s="706"/>
      <c r="AR188" s="706"/>
      <c r="AS188" s="706"/>
      <c r="AT188" s="706"/>
      <c r="AU188" s="706"/>
      <c r="AV188" s="706"/>
      <c r="AW188" s="706"/>
      <c r="AX188" s="706"/>
      <c r="AY188" s="706"/>
      <c r="AZ188" s="706"/>
      <c r="BA188" s="706"/>
      <c r="BB188" s="706"/>
      <c r="BC188" s="706"/>
      <c r="BD188" s="706"/>
      <c r="BE188" s="706"/>
      <c r="BF188" s="706"/>
      <c r="BG188" s="706"/>
      <c r="BH188" s="706"/>
    </row>
    <row r="189" spans="1:60" s="48" customFormat="1">
      <c r="A189" s="711"/>
      <c r="B189" s="711"/>
      <c r="C189" s="706"/>
      <c r="D189" s="706"/>
      <c r="E189" s="706"/>
      <c r="F189" s="706"/>
      <c r="G189" s="706"/>
      <c r="H189" s="706"/>
      <c r="I189" s="863"/>
      <c r="J189" s="706"/>
      <c r="K189" s="706"/>
      <c r="L189" s="706"/>
      <c r="M189" s="706"/>
      <c r="N189" s="706"/>
      <c r="O189" s="706"/>
      <c r="P189" s="706"/>
      <c r="Q189" s="863"/>
      <c r="R189" s="706"/>
      <c r="S189" s="706"/>
      <c r="T189" s="706"/>
      <c r="U189" s="706"/>
      <c r="V189" s="706"/>
      <c r="W189" s="706"/>
      <c r="X189" s="706"/>
      <c r="Y189" s="863"/>
      <c r="Z189" s="706"/>
      <c r="AA189" s="706"/>
      <c r="AB189" s="706"/>
      <c r="AC189" s="706"/>
      <c r="AD189" s="706"/>
      <c r="AE189" s="706"/>
      <c r="AF189" s="706"/>
      <c r="AG189" s="863"/>
      <c r="AH189" s="706"/>
      <c r="AI189" s="706"/>
      <c r="AJ189" s="706"/>
      <c r="AK189" s="706"/>
      <c r="AL189" s="706"/>
      <c r="AM189" s="706"/>
      <c r="AN189" s="706"/>
      <c r="AO189" s="863"/>
      <c r="AP189" s="706"/>
      <c r="AQ189" s="706"/>
      <c r="AR189" s="706"/>
      <c r="AS189" s="706"/>
      <c r="AT189" s="706"/>
      <c r="AU189" s="706"/>
      <c r="AV189" s="706"/>
      <c r="AW189" s="706"/>
      <c r="AX189" s="706"/>
      <c r="AY189" s="706"/>
      <c r="AZ189" s="706"/>
      <c r="BA189" s="706"/>
      <c r="BB189" s="706"/>
      <c r="BC189" s="706"/>
      <c r="BD189" s="706"/>
      <c r="BE189" s="706"/>
      <c r="BF189" s="706"/>
      <c r="BG189" s="706"/>
      <c r="BH189" s="706"/>
    </row>
    <row r="190" spans="1:60" s="48" customFormat="1">
      <c r="A190" s="711"/>
      <c r="B190" s="711"/>
      <c r="C190" s="706"/>
      <c r="D190" s="706"/>
      <c r="E190" s="706"/>
      <c r="F190" s="706"/>
      <c r="G190" s="706"/>
      <c r="H190" s="706"/>
      <c r="I190" s="863"/>
      <c r="J190" s="706"/>
      <c r="K190" s="706"/>
      <c r="L190" s="706"/>
      <c r="M190" s="706"/>
      <c r="N190" s="706"/>
      <c r="O190" s="706"/>
      <c r="P190" s="706"/>
      <c r="Q190" s="863"/>
      <c r="R190" s="706"/>
      <c r="S190" s="706"/>
      <c r="T190" s="706"/>
      <c r="U190" s="706"/>
      <c r="V190" s="706"/>
      <c r="W190" s="706"/>
      <c r="X190" s="706"/>
      <c r="Y190" s="863"/>
      <c r="Z190" s="706"/>
      <c r="AA190" s="706"/>
      <c r="AB190" s="706"/>
      <c r="AC190" s="706"/>
      <c r="AD190" s="706"/>
      <c r="AE190" s="706"/>
      <c r="AF190" s="706"/>
      <c r="AG190" s="863"/>
      <c r="AH190" s="706"/>
      <c r="AI190" s="706"/>
      <c r="AJ190" s="706"/>
      <c r="AK190" s="706"/>
      <c r="AL190" s="706"/>
      <c r="AM190" s="706"/>
      <c r="AN190" s="706"/>
      <c r="AO190" s="863"/>
      <c r="AP190" s="706"/>
      <c r="AQ190" s="706"/>
      <c r="AR190" s="706"/>
      <c r="AS190" s="706"/>
      <c r="AT190" s="706"/>
      <c r="AU190" s="706"/>
      <c r="AV190" s="706"/>
      <c r="AW190" s="706"/>
      <c r="AX190" s="706"/>
      <c r="AY190" s="706"/>
      <c r="AZ190" s="706"/>
      <c r="BA190" s="706"/>
      <c r="BB190" s="706"/>
      <c r="BC190" s="706"/>
      <c r="BD190" s="706"/>
      <c r="BE190" s="706"/>
      <c r="BF190" s="706"/>
      <c r="BG190" s="706"/>
      <c r="BH190" s="706"/>
    </row>
    <row r="191" spans="1:60" s="48" customFormat="1">
      <c r="A191" s="711"/>
      <c r="B191" s="711"/>
      <c r="C191" s="706"/>
      <c r="D191" s="706"/>
      <c r="E191" s="706"/>
      <c r="F191" s="706"/>
      <c r="G191" s="706"/>
      <c r="H191" s="706"/>
      <c r="I191" s="863"/>
      <c r="J191" s="706"/>
      <c r="K191" s="706"/>
      <c r="L191" s="706"/>
      <c r="M191" s="706"/>
      <c r="N191" s="706"/>
      <c r="O191" s="706"/>
      <c r="P191" s="706"/>
      <c r="Q191" s="863"/>
      <c r="R191" s="706"/>
      <c r="S191" s="706"/>
      <c r="T191" s="706"/>
      <c r="U191" s="706"/>
      <c r="V191" s="706"/>
      <c r="W191" s="706"/>
      <c r="X191" s="706"/>
      <c r="Y191" s="863"/>
      <c r="Z191" s="706"/>
      <c r="AA191" s="706"/>
      <c r="AB191" s="706"/>
      <c r="AC191" s="706"/>
      <c r="AD191" s="706"/>
      <c r="AE191" s="706"/>
      <c r="AF191" s="706"/>
      <c r="AG191" s="863"/>
      <c r="AH191" s="706"/>
      <c r="AI191" s="706"/>
      <c r="AJ191" s="706"/>
      <c r="AK191" s="706"/>
      <c r="AL191" s="706"/>
      <c r="AM191" s="706"/>
      <c r="AN191" s="706"/>
      <c r="AO191" s="863"/>
      <c r="AP191" s="706"/>
      <c r="AQ191" s="706"/>
      <c r="AR191" s="706"/>
      <c r="AS191" s="706"/>
      <c r="AT191" s="706"/>
      <c r="AU191" s="706"/>
      <c r="AV191" s="706"/>
      <c r="AW191" s="706"/>
      <c r="AX191" s="706"/>
      <c r="AY191" s="706"/>
      <c r="AZ191" s="706"/>
      <c r="BA191" s="706"/>
      <c r="BB191" s="706"/>
      <c r="BC191" s="706"/>
      <c r="BD191" s="706"/>
      <c r="BE191" s="706"/>
      <c r="BF191" s="706"/>
      <c r="BG191" s="706"/>
      <c r="BH191" s="706"/>
    </row>
    <row r="192" spans="1:60" s="48" customFormat="1">
      <c r="A192" s="711"/>
      <c r="B192" s="711"/>
      <c r="C192" s="706"/>
      <c r="D192" s="706"/>
      <c r="E192" s="706"/>
      <c r="F192" s="706"/>
      <c r="G192" s="706"/>
      <c r="H192" s="706"/>
      <c r="I192" s="863"/>
      <c r="J192" s="706"/>
      <c r="K192" s="706"/>
      <c r="L192" s="706"/>
      <c r="M192" s="706"/>
      <c r="N192" s="706"/>
      <c r="O192" s="706"/>
      <c r="P192" s="706"/>
      <c r="Q192" s="863"/>
      <c r="R192" s="706"/>
      <c r="S192" s="706"/>
      <c r="T192" s="706"/>
      <c r="U192" s="706"/>
      <c r="V192" s="706"/>
      <c r="W192" s="706"/>
      <c r="X192" s="706"/>
      <c r="Y192" s="863"/>
      <c r="Z192" s="706"/>
      <c r="AA192" s="706"/>
      <c r="AB192" s="706"/>
      <c r="AC192" s="706"/>
      <c r="AD192" s="706"/>
      <c r="AE192" s="706"/>
      <c r="AF192" s="706"/>
      <c r="AG192" s="863"/>
      <c r="AH192" s="706"/>
      <c r="AI192" s="706"/>
      <c r="AJ192" s="706"/>
      <c r="AK192" s="706"/>
      <c r="AL192" s="706"/>
      <c r="AM192" s="706"/>
      <c r="AN192" s="706"/>
      <c r="AO192" s="863"/>
      <c r="AP192" s="706"/>
      <c r="AQ192" s="706"/>
      <c r="AR192" s="706"/>
      <c r="AS192" s="706"/>
      <c r="AT192" s="706"/>
      <c r="AU192" s="706"/>
      <c r="AV192" s="706"/>
      <c r="AW192" s="706"/>
      <c r="AX192" s="706"/>
      <c r="AY192" s="706"/>
      <c r="AZ192" s="706"/>
      <c r="BA192" s="706"/>
      <c r="BB192" s="706"/>
      <c r="BC192" s="706"/>
      <c r="BD192" s="706"/>
      <c r="BE192" s="706"/>
      <c r="BF192" s="706"/>
      <c r="BG192" s="706"/>
      <c r="BH192" s="706"/>
    </row>
    <row r="193" spans="1:60" s="48" customFormat="1">
      <c r="A193" s="711"/>
      <c r="B193" s="711"/>
      <c r="C193" s="706"/>
      <c r="D193" s="706"/>
      <c r="E193" s="706"/>
      <c r="F193" s="706"/>
      <c r="G193" s="706"/>
      <c r="H193" s="706"/>
      <c r="I193" s="863"/>
      <c r="J193" s="706"/>
      <c r="K193" s="706"/>
      <c r="L193" s="706"/>
      <c r="M193" s="706"/>
      <c r="N193" s="706"/>
      <c r="O193" s="706"/>
      <c r="P193" s="706"/>
      <c r="Q193" s="863"/>
      <c r="R193" s="706"/>
      <c r="S193" s="706"/>
      <c r="T193" s="706"/>
      <c r="U193" s="706"/>
      <c r="V193" s="706"/>
      <c r="W193" s="706"/>
      <c r="X193" s="706"/>
      <c r="Y193" s="863"/>
      <c r="Z193" s="706"/>
      <c r="AA193" s="706"/>
      <c r="AB193" s="706"/>
      <c r="AC193" s="706"/>
      <c r="AD193" s="706"/>
      <c r="AE193" s="706"/>
      <c r="AF193" s="706"/>
      <c r="AG193" s="863"/>
      <c r="AH193" s="706"/>
      <c r="AI193" s="706"/>
      <c r="AJ193" s="706"/>
      <c r="AK193" s="706"/>
      <c r="AL193" s="706"/>
      <c r="AM193" s="706"/>
      <c r="AN193" s="706"/>
      <c r="AO193" s="863"/>
      <c r="AP193" s="706"/>
      <c r="AQ193" s="706"/>
      <c r="AR193" s="706"/>
      <c r="AS193" s="706"/>
      <c r="AT193" s="706"/>
      <c r="AU193" s="706"/>
      <c r="AV193" s="706"/>
      <c r="AW193" s="706"/>
      <c r="AX193" s="706"/>
      <c r="AY193" s="706"/>
      <c r="AZ193" s="706"/>
      <c r="BA193" s="706"/>
      <c r="BB193" s="706"/>
      <c r="BC193" s="706"/>
      <c r="BD193" s="706"/>
      <c r="BE193" s="706"/>
      <c r="BF193" s="706"/>
      <c r="BG193" s="706"/>
      <c r="BH193" s="706"/>
    </row>
    <row r="194" spans="1:60" s="48" customFormat="1">
      <c r="A194" s="711"/>
      <c r="B194" s="711"/>
      <c r="C194" s="706"/>
      <c r="D194" s="706"/>
      <c r="E194" s="706"/>
      <c r="F194" s="706"/>
      <c r="G194" s="706"/>
      <c r="H194" s="706"/>
      <c r="I194" s="863"/>
      <c r="J194" s="706"/>
      <c r="K194" s="706"/>
      <c r="L194" s="706"/>
      <c r="M194" s="706"/>
      <c r="N194" s="706"/>
      <c r="O194" s="706"/>
      <c r="P194" s="706"/>
      <c r="Q194" s="863"/>
      <c r="R194" s="706"/>
      <c r="S194" s="706"/>
      <c r="T194" s="706"/>
      <c r="U194" s="706"/>
      <c r="V194" s="706"/>
      <c r="W194" s="706"/>
      <c r="X194" s="706"/>
      <c r="Y194" s="863"/>
      <c r="Z194" s="706"/>
      <c r="AA194" s="706"/>
      <c r="AB194" s="706"/>
      <c r="AC194" s="706"/>
      <c r="AD194" s="706"/>
      <c r="AE194" s="706"/>
      <c r="AF194" s="706"/>
      <c r="AG194" s="863"/>
      <c r="AH194" s="706"/>
      <c r="AI194" s="706"/>
      <c r="AJ194" s="706"/>
      <c r="AK194" s="706"/>
      <c r="AL194" s="706"/>
      <c r="AM194" s="706"/>
      <c r="AN194" s="706"/>
      <c r="AO194" s="863"/>
      <c r="AP194" s="706"/>
      <c r="AQ194" s="706"/>
      <c r="AR194" s="706"/>
      <c r="AS194" s="706"/>
      <c r="AT194" s="706"/>
      <c r="AU194" s="706"/>
      <c r="AV194" s="706"/>
      <c r="AW194" s="706"/>
      <c r="AX194" s="706"/>
      <c r="AY194" s="706"/>
      <c r="AZ194" s="706"/>
      <c r="BA194" s="706"/>
      <c r="BB194" s="706"/>
      <c r="BC194" s="706"/>
      <c r="BD194" s="706"/>
      <c r="BE194" s="706"/>
      <c r="BF194" s="706"/>
      <c r="BG194" s="706"/>
      <c r="BH194" s="706"/>
    </row>
    <row r="195" spans="1:60" s="48" customFormat="1">
      <c r="A195" s="711"/>
      <c r="B195" s="711"/>
      <c r="C195" s="706"/>
      <c r="D195" s="706"/>
      <c r="E195" s="706"/>
      <c r="F195" s="706"/>
      <c r="G195" s="706"/>
      <c r="H195" s="706"/>
      <c r="I195" s="863"/>
      <c r="J195" s="706"/>
      <c r="K195" s="706"/>
      <c r="L195" s="706"/>
      <c r="M195" s="706"/>
      <c r="N195" s="706"/>
      <c r="O195" s="706"/>
      <c r="P195" s="706"/>
      <c r="Q195" s="863"/>
      <c r="R195" s="706"/>
      <c r="S195" s="706"/>
      <c r="T195" s="706"/>
      <c r="U195" s="706"/>
      <c r="V195" s="706"/>
      <c r="W195" s="706"/>
      <c r="X195" s="706"/>
      <c r="Y195" s="863"/>
      <c r="Z195" s="706"/>
      <c r="AA195" s="706"/>
      <c r="AB195" s="706"/>
      <c r="AC195" s="706"/>
      <c r="AD195" s="706"/>
      <c r="AE195" s="706"/>
      <c r="AF195" s="706"/>
      <c r="AG195" s="863"/>
      <c r="AH195" s="706"/>
      <c r="AI195" s="706"/>
      <c r="AJ195" s="706"/>
      <c r="AK195" s="706"/>
      <c r="AL195" s="706"/>
      <c r="AM195" s="706"/>
      <c r="AN195" s="706"/>
      <c r="AO195" s="863"/>
      <c r="AP195" s="706"/>
      <c r="AQ195" s="706"/>
      <c r="AR195" s="706"/>
      <c r="AS195" s="706"/>
      <c r="AT195" s="706"/>
      <c r="AU195" s="706"/>
      <c r="AV195" s="706"/>
      <c r="AW195" s="706"/>
      <c r="AX195" s="706"/>
      <c r="AY195" s="706"/>
      <c r="AZ195" s="706"/>
      <c r="BA195" s="706"/>
      <c r="BB195" s="706"/>
      <c r="BC195" s="706"/>
      <c r="BD195" s="706"/>
      <c r="BE195" s="706"/>
      <c r="BF195" s="706"/>
      <c r="BG195" s="706"/>
      <c r="BH195" s="706"/>
    </row>
    <row r="196" spans="1:60" s="48" customFormat="1">
      <c r="A196" s="711"/>
      <c r="B196" s="711"/>
      <c r="C196" s="706"/>
      <c r="D196" s="706"/>
      <c r="E196" s="706"/>
      <c r="F196" s="706"/>
      <c r="G196" s="706"/>
      <c r="H196" s="706"/>
      <c r="I196" s="863"/>
      <c r="J196" s="706"/>
      <c r="K196" s="706"/>
      <c r="L196" s="706"/>
      <c r="M196" s="706"/>
      <c r="N196" s="706"/>
      <c r="O196" s="706"/>
      <c r="P196" s="706"/>
      <c r="Q196" s="863"/>
      <c r="R196" s="706"/>
      <c r="S196" s="706"/>
      <c r="T196" s="706"/>
      <c r="U196" s="706"/>
      <c r="V196" s="706"/>
      <c r="W196" s="706"/>
      <c r="X196" s="706"/>
      <c r="Y196" s="863"/>
      <c r="Z196" s="706"/>
      <c r="AA196" s="706"/>
      <c r="AB196" s="706"/>
      <c r="AC196" s="706"/>
      <c r="AD196" s="706"/>
      <c r="AE196" s="706"/>
      <c r="AF196" s="706"/>
      <c r="AG196" s="863"/>
      <c r="AH196" s="706"/>
      <c r="AI196" s="706"/>
      <c r="AJ196" s="706"/>
      <c r="AK196" s="706"/>
      <c r="AL196" s="706"/>
      <c r="AM196" s="706"/>
      <c r="AN196" s="706"/>
      <c r="AO196" s="863"/>
      <c r="AP196" s="706"/>
      <c r="AQ196" s="706"/>
      <c r="AR196" s="706"/>
      <c r="AS196" s="706"/>
      <c r="AT196" s="706"/>
      <c r="AU196" s="706"/>
      <c r="AV196" s="706"/>
      <c r="AW196" s="706"/>
      <c r="AX196" s="706"/>
      <c r="AY196" s="706"/>
      <c r="AZ196" s="706"/>
      <c r="BA196" s="706"/>
      <c r="BB196" s="706"/>
      <c r="BC196" s="706"/>
      <c r="BD196" s="706"/>
      <c r="BE196" s="706"/>
      <c r="BF196" s="706"/>
      <c r="BG196" s="706"/>
      <c r="BH196" s="706"/>
    </row>
    <row r="197" spans="1:60" s="48" customFormat="1">
      <c r="A197" s="711"/>
      <c r="B197" s="711"/>
      <c r="C197" s="706"/>
      <c r="D197" s="706"/>
      <c r="E197" s="706"/>
      <c r="F197" s="706"/>
      <c r="G197" s="706"/>
      <c r="H197" s="706"/>
      <c r="I197" s="863"/>
      <c r="J197" s="706"/>
      <c r="K197" s="706"/>
      <c r="L197" s="706"/>
      <c r="M197" s="706"/>
      <c r="N197" s="706"/>
      <c r="O197" s="706"/>
      <c r="P197" s="706"/>
      <c r="Q197" s="863"/>
      <c r="R197" s="706"/>
      <c r="S197" s="706"/>
      <c r="T197" s="706"/>
      <c r="U197" s="706"/>
      <c r="V197" s="706"/>
      <c r="W197" s="706"/>
      <c r="X197" s="706"/>
      <c r="Y197" s="863"/>
      <c r="Z197" s="706"/>
      <c r="AA197" s="706"/>
      <c r="AB197" s="706"/>
      <c r="AC197" s="706"/>
      <c r="AD197" s="706"/>
      <c r="AE197" s="706"/>
      <c r="AF197" s="706"/>
      <c r="AG197" s="863"/>
      <c r="AH197" s="706"/>
      <c r="AI197" s="706"/>
      <c r="AJ197" s="706"/>
      <c r="AK197" s="706"/>
      <c r="AL197" s="706"/>
      <c r="AM197" s="706"/>
      <c r="AN197" s="706"/>
      <c r="AO197" s="863"/>
      <c r="AP197" s="706"/>
      <c r="AQ197" s="706"/>
      <c r="AR197" s="706"/>
      <c r="AS197" s="706"/>
      <c r="AT197" s="706"/>
      <c r="AU197" s="706"/>
      <c r="AV197" s="706"/>
      <c r="AW197" s="706"/>
      <c r="AX197" s="706"/>
      <c r="AY197" s="706"/>
      <c r="AZ197" s="706"/>
      <c r="BA197" s="706"/>
      <c r="BB197" s="706"/>
      <c r="BC197" s="706"/>
      <c r="BD197" s="706"/>
      <c r="BE197" s="706"/>
      <c r="BF197" s="706"/>
      <c r="BG197" s="706"/>
      <c r="BH197" s="706"/>
    </row>
    <row r="198" spans="1:60" s="48" customFormat="1">
      <c r="A198" s="711"/>
      <c r="B198" s="711"/>
      <c r="C198" s="706"/>
      <c r="D198" s="706"/>
      <c r="E198" s="706"/>
      <c r="F198" s="706"/>
      <c r="G198" s="706"/>
      <c r="H198" s="706"/>
      <c r="I198" s="863"/>
      <c r="J198" s="706"/>
      <c r="K198" s="706"/>
      <c r="L198" s="706"/>
      <c r="M198" s="706"/>
      <c r="N198" s="706"/>
      <c r="O198" s="706"/>
      <c r="P198" s="706"/>
      <c r="Q198" s="863"/>
      <c r="R198" s="706"/>
      <c r="S198" s="706"/>
      <c r="T198" s="706"/>
      <c r="U198" s="706"/>
      <c r="V198" s="706"/>
      <c r="W198" s="706"/>
      <c r="X198" s="706"/>
      <c r="Y198" s="863"/>
      <c r="Z198" s="706"/>
      <c r="AA198" s="706"/>
      <c r="AB198" s="706"/>
      <c r="AC198" s="706"/>
      <c r="AD198" s="706"/>
      <c r="AE198" s="706"/>
      <c r="AF198" s="706"/>
      <c r="AG198" s="863"/>
      <c r="AH198" s="706"/>
      <c r="AI198" s="706"/>
      <c r="AJ198" s="706"/>
      <c r="AK198" s="706"/>
      <c r="AL198" s="706"/>
      <c r="AM198" s="706"/>
      <c r="AN198" s="706"/>
      <c r="AO198" s="863"/>
      <c r="AP198" s="706"/>
      <c r="AQ198" s="706"/>
      <c r="AR198" s="706"/>
      <c r="AS198" s="706"/>
      <c r="AT198" s="706"/>
      <c r="AU198" s="706"/>
      <c r="AV198" s="706"/>
      <c r="AW198" s="706"/>
      <c r="AX198" s="706"/>
      <c r="AY198" s="706"/>
      <c r="AZ198" s="706"/>
      <c r="BA198" s="706"/>
      <c r="BB198" s="706"/>
      <c r="BC198" s="706"/>
      <c r="BD198" s="706"/>
      <c r="BE198" s="706"/>
      <c r="BF198" s="706"/>
      <c r="BG198" s="706"/>
      <c r="BH198" s="706"/>
    </row>
    <row r="199" spans="1:60" s="48" customFormat="1">
      <c r="A199" s="711"/>
      <c r="B199" s="711"/>
      <c r="C199" s="706"/>
      <c r="D199" s="706"/>
      <c r="E199" s="706"/>
      <c r="F199" s="706"/>
      <c r="G199" s="706"/>
      <c r="H199" s="706"/>
      <c r="I199" s="863"/>
      <c r="J199" s="706"/>
      <c r="K199" s="706"/>
      <c r="L199" s="706"/>
      <c r="M199" s="706"/>
      <c r="N199" s="706"/>
      <c r="O199" s="706"/>
      <c r="P199" s="706"/>
      <c r="Q199" s="863"/>
      <c r="R199" s="706"/>
      <c r="S199" s="706"/>
      <c r="T199" s="706"/>
      <c r="U199" s="706"/>
      <c r="V199" s="706"/>
      <c r="W199" s="706"/>
      <c r="X199" s="706"/>
      <c r="Y199" s="863"/>
      <c r="Z199" s="706"/>
      <c r="AA199" s="706"/>
      <c r="AB199" s="706"/>
      <c r="AC199" s="706"/>
      <c r="AD199" s="706"/>
      <c r="AE199" s="706"/>
      <c r="AF199" s="706"/>
      <c r="AG199" s="863"/>
      <c r="AH199" s="706"/>
      <c r="AI199" s="706"/>
      <c r="AJ199" s="706"/>
      <c r="AK199" s="706"/>
      <c r="AL199" s="706"/>
      <c r="AM199" s="706"/>
      <c r="AN199" s="706"/>
      <c r="AO199" s="863"/>
      <c r="AP199" s="706"/>
      <c r="AQ199" s="706"/>
      <c r="AR199" s="706"/>
      <c r="AS199" s="706"/>
      <c r="AT199" s="706"/>
      <c r="AU199" s="706"/>
      <c r="AV199" s="706"/>
      <c r="AW199" s="706"/>
      <c r="AX199" s="706"/>
      <c r="AY199" s="706"/>
      <c r="AZ199" s="706"/>
      <c r="BA199" s="706"/>
      <c r="BB199" s="706"/>
      <c r="BC199" s="706"/>
      <c r="BD199" s="706"/>
      <c r="BE199" s="706"/>
      <c r="BF199" s="706"/>
      <c r="BG199" s="706"/>
      <c r="BH199" s="706"/>
    </row>
    <row r="200" spans="1:60" s="48" customFormat="1">
      <c r="A200" s="711"/>
      <c r="B200" s="711"/>
      <c r="C200" s="706"/>
      <c r="D200" s="706"/>
      <c r="E200" s="706"/>
      <c r="F200" s="706"/>
      <c r="G200" s="706"/>
      <c r="H200" s="706"/>
      <c r="I200" s="863"/>
      <c r="J200" s="706"/>
      <c r="K200" s="706"/>
      <c r="L200" s="706"/>
      <c r="M200" s="706"/>
      <c r="N200" s="706"/>
      <c r="O200" s="706"/>
      <c r="P200" s="706"/>
      <c r="Q200" s="863"/>
      <c r="R200" s="706"/>
      <c r="S200" s="706"/>
      <c r="T200" s="706"/>
      <c r="U200" s="706"/>
      <c r="V200" s="706"/>
      <c r="W200" s="706"/>
      <c r="X200" s="706"/>
      <c r="Y200" s="863"/>
      <c r="Z200" s="706"/>
      <c r="AA200" s="706"/>
      <c r="AB200" s="706"/>
      <c r="AC200" s="706"/>
      <c r="AD200" s="706"/>
      <c r="AE200" s="706"/>
      <c r="AF200" s="706"/>
      <c r="AG200" s="863"/>
      <c r="AH200" s="706"/>
      <c r="AI200" s="706"/>
      <c r="AJ200" s="706"/>
      <c r="AK200" s="706"/>
      <c r="AL200" s="706"/>
      <c r="AM200" s="706"/>
      <c r="AN200" s="706"/>
      <c r="AO200" s="863"/>
      <c r="AP200" s="706"/>
      <c r="AQ200" s="706"/>
      <c r="AR200" s="706"/>
      <c r="AS200" s="706"/>
      <c r="AT200" s="706"/>
      <c r="AU200" s="706"/>
      <c r="AV200" s="706"/>
      <c r="AW200" s="706"/>
      <c r="AX200" s="706"/>
      <c r="AY200" s="706"/>
      <c r="AZ200" s="706"/>
      <c r="BA200" s="706"/>
      <c r="BB200" s="706"/>
      <c r="BC200" s="706"/>
      <c r="BD200" s="706"/>
      <c r="BE200" s="706"/>
      <c r="BF200" s="706"/>
      <c r="BG200" s="706"/>
      <c r="BH200" s="706"/>
    </row>
    <row r="201" spans="1:60" s="48" customFormat="1">
      <c r="A201" s="711"/>
      <c r="B201" s="711"/>
      <c r="C201" s="706"/>
      <c r="D201" s="706"/>
      <c r="E201" s="706"/>
      <c r="F201" s="706"/>
      <c r="G201" s="706"/>
      <c r="H201" s="706"/>
      <c r="I201" s="863"/>
      <c r="J201" s="706"/>
      <c r="K201" s="706"/>
      <c r="L201" s="706"/>
      <c r="M201" s="706"/>
      <c r="N201" s="706"/>
      <c r="O201" s="706"/>
      <c r="P201" s="706"/>
      <c r="Q201" s="863"/>
      <c r="R201" s="706"/>
      <c r="S201" s="706"/>
      <c r="T201" s="706"/>
      <c r="U201" s="706"/>
      <c r="V201" s="706"/>
      <c r="W201" s="706"/>
      <c r="X201" s="706"/>
      <c r="Y201" s="863"/>
      <c r="Z201" s="706"/>
      <c r="AA201" s="706"/>
      <c r="AB201" s="706"/>
      <c r="AC201" s="706"/>
      <c r="AD201" s="706"/>
      <c r="AE201" s="706"/>
      <c r="AF201" s="706"/>
      <c r="AG201" s="863"/>
      <c r="AH201" s="706"/>
      <c r="AI201" s="706"/>
      <c r="AJ201" s="706"/>
      <c r="AK201" s="706"/>
      <c r="AL201" s="706"/>
      <c r="AM201" s="706"/>
      <c r="AN201" s="706"/>
      <c r="AO201" s="863"/>
      <c r="AP201" s="706"/>
      <c r="AQ201" s="706"/>
      <c r="AR201" s="706"/>
      <c r="AS201" s="706"/>
      <c r="AT201" s="706"/>
      <c r="AU201" s="706"/>
      <c r="AV201" s="706"/>
      <c r="AW201" s="706"/>
      <c r="AX201" s="706"/>
      <c r="AY201" s="706"/>
      <c r="AZ201" s="706"/>
      <c r="BA201" s="706"/>
      <c r="BB201" s="706"/>
      <c r="BC201" s="706"/>
      <c r="BD201" s="706"/>
      <c r="BE201" s="706"/>
      <c r="BF201" s="706"/>
      <c r="BG201" s="706"/>
      <c r="BH201" s="706"/>
    </row>
    <row r="202" spans="1:60" s="48" customFormat="1">
      <c r="A202" s="711"/>
      <c r="B202" s="711"/>
      <c r="C202" s="706"/>
      <c r="D202" s="706"/>
      <c r="E202" s="706"/>
      <c r="F202" s="706"/>
      <c r="G202" s="706"/>
      <c r="H202" s="706"/>
      <c r="I202" s="863"/>
      <c r="J202" s="706"/>
      <c r="K202" s="706"/>
      <c r="L202" s="706"/>
      <c r="M202" s="706"/>
      <c r="N202" s="706"/>
      <c r="O202" s="706"/>
      <c r="P202" s="706"/>
      <c r="Q202" s="863"/>
      <c r="R202" s="706"/>
      <c r="S202" s="706"/>
      <c r="T202" s="706"/>
      <c r="U202" s="706"/>
      <c r="V202" s="706"/>
      <c r="W202" s="706"/>
      <c r="X202" s="706"/>
      <c r="Y202" s="863"/>
      <c r="Z202" s="706"/>
      <c r="AA202" s="706"/>
      <c r="AB202" s="706"/>
      <c r="AC202" s="706"/>
      <c r="AD202" s="706"/>
      <c r="AE202" s="706"/>
      <c r="AF202" s="706"/>
      <c r="AG202" s="863"/>
      <c r="AH202" s="706"/>
      <c r="AI202" s="706"/>
      <c r="AJ202" s="706"/>
      <c r="AK202" s="706"/>
      <c r="AL202" s="706"/>
      <c r="AM202" s="706"/>
      <c r="AN202" s="706"/>
      <c r="AO202" s="863"/>
      <c r="AP202" s="706"/>
      <c r="AQ202" s="706"/>
      <c r="AR202" s="706"/>
      <c r="AS202" s="706"/>
      <c r="AT202" s="706"/>
      <c r="AU202" s="706"/>
      <c r="AV202" s="706"/>
      <c r="AW202" s="706"/>
      <c r="AX202" s="706"/>
      <c r="AY202" s="706"/>
      <c r="AZ202" s="706"/>
      <c r="BA202" s="706"/>
      <c r="BB202" s="706"/>
      <c r="BC202" s="706"/>
      <c r="BD202" s="706"/>
      <c r="BE202" s="706"/>
      <c r="BF202" s="706"/>
      <c r="BG202" s="706"/>
      <c r="BH202" s="706"/>
    </row>
    <row r="203" spans="1:60" s="48" customFormat="1">
      <c r="A203" s="711"/>
      <c r="B203" s="711"/>
      <c r="C203" s="706"/>
      <c r="D203" s="706"/>
      <c r="E203" s="706"/>
      <c r="F203" s="706"/>
      <c r="G203" s="706"/>
      <c r="H203" s="706"/>
      <c r="I203" s="863"/>
      <c r="J203" s="706"/>
      <c r="K203" s="706"/>
      <c r="L203" s="706"/>
      <c r="M203" s="706"/>
      <c r="N203" s="706"/>
      <c r="O203" s="706"/>
      <c r="P203" s="706"/>
      <c r="Q203" s="863"/>
      <c r="R203" s="706"/>
      <c r="S203" s="706"/>
      <c r="T203" s="706"/>
      <c r="U203" s="706"/>
      <c r="V203" s="706"/>
      <c r="W203" s="706"/>
      <c r="X203" s="706"/>
      <c r="Y203" s="863"/>
      <c r="Z203" s="706"/>
      <c r="AA203" s="706"/>
      <c r="AB203" s="706"/>
      <c r="AC203" s="706"/>
      <c r="AD203" s="706"/>
      <c r="AE203" s="706"/>
      <c r="AF203" s="706"/>
      <c r="AG203" s="863"/>
      <c r="AH203" s="706"/>
      <c r="AI203" s="706"/>
      <c r="AJ203" s="706"/>
      <c r="AK203" s="706"/>
      <c r="AL203" s="706"/>
      <c r="AM203" s="706"/>
      <c r="AN203" s="706"/>
      <c r="AO203" s="863"/>
      <c r="AP203" s="706"/>
      <c r="AQ203" s="706"/>
      <c r="AR203" s="706"/>
      <c r="AS203" s="706"/>
      <c r="AT203" s="706"/>
      <c r="AU203" s="706"/>
      <c r="AV203" s="706"/>
      <c r="AW203" s="706"/>
      <c r="AX203" s="706"/>
      <c r="AY203" s="706"/>
      <c r="AZ203" s="706"/>
      <c r="BA203" s="706"/>
      <c r="BB203" s="706"/>
      <c r="BC203" s="706"/>
      <c r="BD203" s="706"/>
      <c r="BE203" s="706"/>
      <c r="BF203" s="706"/>
      <c r="BG203" s="706"/>
      <c r="BH203" s="706"/>
    </row>
    <row r="204" spans="1:60" s="48" customFormat="1">
      <c r="A204" s="711"/>
      <c r="B204" s="711"/>
      <c r="C204" s="706"/>
      <c r="D204" s="706"/>
      <c r="E204" s="706"/>
      <c r="F204" s="706"/>
      <c r="G204" s="706"/>
      <c r="H204" s="706"/>
      <c r="I204" s="863"/>
      <c r="J204" s="706"/>
      <c r="K204" s="706"/>
      <c r="L204" s="706"/>
      <c r="M204" s="706"/>
      <c r="N204" s="706"/>
      <c r="O204" s="706"/>
      <c r="P204" s="706"/>
      <c r="Q204" s="863"/>
      <c r="R204" s="706"/>
      <c r="S204" s="706"/>
      <c r="T204" s="706"/>
      <c r="U204" s="706"/>
      <c r="V204" s="706"/>
      <c r="W204" s="706"/>
      <c r="X204" s="706"/>
      <c r="Y204" s="863"/>
      <c r="Z204" s="706"/>
      <c r="AA204" s="706"/>
      <c r="AB204" s="706"/>
      <c r="AC204" s="706"/>
      <c r="AD204" s="706"/>
      <c r="AE204" s="706"/>
      <c r="AF204" s="706"/>
      <c r="AG204" s="863"/>
      <c r="AH204" s="706"/>
      <c r="AI204" s="706"/>
      <c r="AJ204" s="706"/>
      <c r="AK204" s="706"/>
      <c r="AL204" s="706"/>
      <c r="AM204" s="706"/>
      <c r="AN204" s="706"/>
      <c r="AO204" s="863"/>
      <c r="AP204" s="706"/>
      <c r="AQ204" s="706"/>
      <c r="AR204" s="706"/>
      <c r="AS204" s="706"/>
      <c r="AT204" s="706"/>
      <c r="AU204" s="706"/>
      <c r="AV204" s="706"/>
      <c r="AW204" s="706"/>
      <c r="AX204" s="706"/>
      <c r="AY204" s="706"/>
      <c r="AZ204" s="706"/>
      <c r="BA204" s="706"/>
      <c r="BB204" s="706"/>
      <c r="BC204" s="706"/>
      <c r="BD204" s="706"/>
      <c r="BE204" s="706"/>
      <c r="BF204" s="706"/>
      <c r="BG204" s="706"/>
      <c r="BH204" s="706"/>
    </row>
    <row r="205" spans="1:60" s="48" customFormat="1">
      <c r="A205" s="711"/>
      <c r="B205" s="711"/>
      <c r="C205" s="706"/>
      <c r="D205" s="706"/>
      <c r="E205" s="706"/>
      <c r="F205" s="706"/>
      <c r="G205" s="706"/>
      <c r="H205" s="706"/>
      <c r="I205" s="863"/>
      <c r="J205" s="706"/>
      <c r="K205" s="706"/>
      <c r="L205" s="706"/>
      <c r="M205" s="706"/>
      <c r="N205" s="706"/>
      <c r="O205" s="706"/>
      <c r="P205" s="706"/>
      <c r="Q205" s="863"/>
      <c r="R205" s="706"/>
      <c r="S205" s="706"/>
      <c r="T205" s="706"/>
      <c r="U205" s="706"/>
      <c r="V205" s="706"/>
      <c r="W205" s="706"/>
      <c r="X205" s="706"/>
      <c r="Y205" s="863"/>
      <c r="Z205" s="706"/>
      <c r="AA205" s="706"/>
      <c r="AB205" s="706"/>
      <c r="AC205" s="706"/>
      <c r="AD205" s="706"/>
      <c r="AE205" s="706"/>
      <c r="AF205" s="706"/>
      <c r="AG205" s="863"/>
      <c r="AH205" s="706"/>
      <c r="AI205" s="706"/>
      <c r="AJ205" s="706"/>
      <c r="AK205" s="706"/>
      <c r="AL205" s="706"/>
      <c r="AM205" s="706"/>
      <c r="AN205" s="706"/>
      <c r="AO205" s="863"/>
      <c r="AP205" s="706"/>
      <c r="AQ205" s="706"/>
      <c r="AR205" s="706"/>
      <c r="AS205" s="706"/>
      <c r="AT205" s="706"/>
      <c r="AU205" s="706"/>
      <c r="AV205" s="706"/>
      <c r="AW205" s="706"/>
      <c r="AX205" s="706"/>
      <c r="AY205" s="706"/>
      <c r="AZ205" s="706"/>
      <c r="BA205" s="706"/>
      <c r="BB205" s="706"/>
      <c r="BC205" s="706"/>
      <c r="BD205" s="706"/>
      <c r="BE205" s="706"/>
      <c r="BF205" s="706"/>
      <c r="BG205" s="706"/>
      <c r="BH205" s="706"/>
    </row>
    <row r="206" spans="1:60" s="48" customFormat="1">
      <c r="A206" s="711"/>
      <c r="B206" s="711"/>
      <c r="C206" s="706"/>
      <c r="D206" s="706"/>
      <c r="E206" s="706"/>
      <c r="F206" s="706"/>
      <c r="G206" s="706"/>
      <c r="H206" s="706"/>
      <c r="I206" s="863"/>
      <c r="J206" s="706"/>
      <c r="K206" s="706"/>
      <c r="L206" s="706"/>
      <c r="M206" s="706"/>
      <c r="N206" s="706"/>
      <c r="O206" s="706"/>
      <c r="P206" s="706"/>
      <c r="Q206" s="863"/>
      <c r="R206" s="706"/>
      <c r="S206" s="706"/>
      <c r="T206" s="706"/>
      <c r="U206" s="706"/>
      <c r="V206" s="706"/>
      <c r="W206" s="706"/>
      <c r="X206" s="706"/>
      <c r="Y206" s="863"/>
      <c r="Z206" s="706"/>
      <c r="AA206" s="706"/>
      <c r="AB206" s="706"/>
      <c r="AC206" s="706"/>
      <c r="AD206" s="706"/>
      <c r="AE206" s="706"/>
      <c r="AF206" s="706"/>
      <c r="AG206" s="863"/>
      <c r="AH206" s="706"/>
      <c r="AI206" s="706"/>
      <c r="AJ206" s="706"/>
      <c r="AK206" s="706"/>
      <c r="AL206" s="706"/>
      <c r="AM206" s="706"/>
      <c r="AN206" s="706"/>
      <c r="AO206" s="863"/>
      <c r="AP206" s="706"/>
      <c r="AQ206" s="706"/>
      <c r="AR206" s="706"/>
      <c r="AS206" s="706"/>
      <c r="AT206" s="706"/>
      <c r="AU206" s="706"/>
      <c r="AV206" s="706"/>
      <c r="AW206" s="706"/>
      <c r="AX206" s="706"/>
      <c r="AY206" s="706"/>
      <c r="AZ206" s="706"/>
      <c r="BA206" s="706"/>
      <c r="BB206" s="706"/>
      <c r="BC206" s="706"/>
      <c r="BD206" s="706"/>
      <c r="BE206" s="706"/>
      <c r="BF206" s="706"/>
      <c r="BG206" s="706"/>
      <c r="BH206" s="706"/>
    </row>
    <row r="207" spans="1:60" s="48" customFormat="1">
      <c r="A207" s="711"/>
      <c r="B207" s="711"/>
      <c r="C207" s="706"/>
      <c r="D207" s="706"/>
      <c r="E207" s="706"/>
      <c r="F207" s="706"/>
      <c r="G207" s="706"/>
      <c r="H207" s="706"/>
      <c r="I207" s="863"/>
      <c r="J207" s="706"/>
      <c r="K207" s="706"/>
      <c r="L207" s="706"/>
      <c r="M207" s="706"/>
      <c r="N207" s="706"/>
      <c r="O207" s="706"/>
      <c r="P207" s="706"/>
      <c r="Q207" s="863"/>
      <c r="R207" s="706"/>
      <c r="S207" s="706"/>
      <c r="T207" s="706"/>
      <c r="U207" s="706"/>
      <c r="V207" s="706"/>
      <c r="W207" s="706"/>
      <c r="X207" s="706"/>
      <c r="Y207" s="863"/>
      <c r="Z207" s="706"/>
      <c r="AA207" s="706"/>
      <c r="AB207" s="706"/>
      <c r="AC207" s="706"/>
      <c r="AD207" s="706"/>
      <c r="AE207" s="706"/>
      <c r="AF207" s="706"/>
      <c r="AG207" s="863"/>
      <c r="AH207" s="706"/>
      <c r="AI207" s="706"/>
      <c r="AJ207" s="706"/>
      <c r="AK207" s="706"/>
      <c r="AL207" s="706"/>
      <c r="AM207" s="706"/>
      <c r="AN207" s="706"/>
      <c r="AO207" s="863"/>
      <c r="AP207" s="706"/>
      <c r="AQ207" s="706"/>
      <c r="AR207" s="706"/>
      <c r="AS207" s="706"/>
      <c r="AT207" s="706"/>
      <c r="AU207" s="706"/>
      <c r="AV207" s="706"/>
      <c r="AW207" s="706"/>
      <c r="AX207" s="706"/>
      <c r="AY207" s="706"/>
      <c r="AZ207" s="706"/>
      <c r="BA207" s="706"/>
      <c r="BB207" s="706"/>
      <c r="BC207" s="706"/>
      <c r="BD207" s="706"/>
      <c r="BE207" s="706"/>
      <c r="BF207" s="706"/>
      <c r="BG207" s="706"/>
      <c r="BH207" s="706"/>
    </row>
    <row r="208" spans="1:60" s="48" customFormat="1">
      <c r="A208" s="711"/>
      <c r="B208" s="711"/>
      <c r="C208" s="706"/>
      <c r="D208" s="706"/>
      <c r="E208" s="706"/>
      <c r="F208" s="706"/>
      <c r="G208" s="706"/>
      <c r="H208" s="706"/>
      <c r="I208" s="863"/>
      <c r="J208" s="706"/>
      <c r="K208" s="706"/>
      <c r="L208" s="706"/>
      <c r="M208" s="706"/>
      <c r="N208" s="706"/>
      <c r="O208" s="706"/>
      <c r="P208" s="706"/>
      <c r="Q208" s="863"/>
      <c r="R208" s="706"/>
      <c r="S208" s="706"/>
      <c r="T208" s="706"/>
      <c r="U208" s="706"/>
      <c r="V208" s="706"/>
      <c r="W208" s="706"/>
      <c r="X208" s="706"/>
      <c r="Y208" s="863"/>
      <c r="Z208" s="706"/>
      <c r="AA208" s="706"/>
      <c r="AB208" s="706"/>
      <c r="AC208" s="706"/>
      <c r="AD208" s="706"/>
      <c r="AE208" s="706"/>
      <c r="AF208" s="706"/>
      <c r="AG208" s="863"/>
      <c r="AH208" s="706"/>
      <c r="AI208" s="706"/>
      <c r="AJ208" s="706"/>
      <c r="AK208" s="706"/>
      <c r="AL208" s="706"/>
      <c r="AM208" s="706"/>
      <c r="AN208" s="706"/>
      <c r="AO208" s="863"/>
      <c r="AP208" s="706"/>
      <c r="AQ208" s="706"/>
      <c r="AR208" s="706"/>
      <c r="AS208" s="706"/>
      <c r="AT208" s="706"/>
      <c r="AU208" s="706"/>
      <c r="AV208" s="706"/>
      <c r="AW208" s="706"/>
      <c r="AX208" s="706"/>
      <c r="AY208" s="706"/>
      <c r="AZ208" s="706"/>
      <c r="BA208" s="706"/>
      <c r="BB208" s="706"/>
      <c r="BC208" s="706"/>
      <c r="BD208" s="706"/>
      <c r="BE208" s="706"/>
      <c r="BF208" s="706"/>
      <c r="BG208" s="706"/>
      <c r="BH208" s="706"/>
    </row>
    <row r="209" spans="1:60" s="48" customFormat="1">
      <c r="A209" s="711"/>
      <c r="B209" s="711"/>
      <c r="C209" s="706"/>
      <c r="D209" s="706"/>
      <c r="E209" s="706"/>
      <c r="F209" s="706"/>
      <c r="G209" s="706"/>
      <c r="H209" s="706"/>
      <c r="I209" s="863"/>
      <c r="J209" s="706"/>
      <c r="K209" s="706"/>
      <c r="L209" s="706"/>
      <c r="M209" s="706"/>
      <c r="N209" s="706"/>
      <c r="O209" s="706"/>
      <c r="P209" s="706"/>
      <c r="Q209" s="863"/>
      <c r="R209" s="706"/>
      <c r="S209" s="706"/>
      <c r="T209" s="706"/>
      <c r="U209" s="706"/>
      <c r="V209" s="706"/>
      <c r="W209" s="706"/>
      <c r="X209" s="706"/>
      <c r="Y209" s="863"/>
      <c r="Z209" s="706"/>
      <c r="AA209" s="706"/>
      <c r="AB209" s="706"/>
      <c r="AC209" s="706"/>
      <c r="AD209" s="706"/>
      <c r="AE209" s="706"/>
      <c r="AF209" s="706"/>
      <c r="AG209" s="863"/>
      <c r="AH209" s="706"/>
      <c r="AI209" s="706"/>
      <c r="AJ209" s="706"/>
      <c r="AK209" s="706"/>
      <c r="AL209" s="706"/>
      <c r="AM209" s="706"/>
      <c r="AN209" s="706"/>
      <c r="AO209" s="863"/>
      <c r="AP209" s="706"/>
      <c r="AQ209" s="706"/>
      <c r="AR209" s="706"/>
      <c r="AS209" s="706"/>
      <c r="AT209" s="706"/>
      <c r="AU209" s="706"/>
      <c r="AV209" s="706"/>
      <c r="AW209" s="706"/>
      <c r="AX209" s="706"/>
      <c r="AY209" s="706"/>
      <c r="AZ209" s="706"/>
      <c r="BA209" s="706"/>
      <c r="BB209" s="706"/>
      <c r="BC209" s="706"/>
      <c r="BD209" s="706"/>
      <c r="BE209" s="706"/>
      <c r="BF209" s="706"/>
      <c r="BG209" s="706"/>
      <c r="BH209" s="706"/>
    </row>
    <row r="210" spans="1:60" s="48" customFormat="1">
      <c r="A210" s="711"/>
      <c r="B210" s="711"/>
      <c r="C210" s="706"/>
      <c r="D210" s="706"/>
      <c r="E210" s="706"/>
      <c r="F210" s="706"/>
      <c r="G210" s="706"/>
      <c r="H210" s="706"/>
      <c r="I210" s="863"/>
      <c r="J210" s="706"/>
      <c r="K210" s="706"/>
      <c r="L210" s="706"/>
      <c r="M210" s="706"/>
      <c r="N210" s="706"/>
      <c r="O210" s="706"/>
      <c r="P210" s="706"/>
      <c r="Q210" s="863"/>
      <c r="R210" s="706"/>
      <c r="S210" s="706"/>
      <c r="T210" s="706"/>
      <c r="U210" s="706"/>
      <c r="V210" s="706"/>
      <c r="W210" s="706"/>
      <c r="X210" s="706"/>
      <c r="Y210" s="863"/>
      <c r="Z210" s="706"/>
      <c r="AA210" s="706"/>
      <c r="AB210" s="706"/>
      <c r="AC210" s="706"/>
      <c r="AD210" s="706"/>
      <c r="AE210" s="706"/>
      <c r="AF210" s="706"/>
      <c r="AG210" s="863"/>
      <c r="AH210" s="706"/>
      <c r="AI210" s="706"/>
      <c r="AJ210" s="706"/>
      <c r="AK210" s="706"/>
      <c r="AL210" s="706"/>
      <c r="AM210" s="706"/>
      <c r="AN210" s="706"/>
      <c r="AO210" s="863"/>
      <c r="AP210" s="706"/>
      <c r="AQ210" s="706"/>
      <c r="AR210" s="706"/>
      <c r="AS210" s="706"/>
      <c r="AT210" s="706"/>
      <c r="AU210" s="706"/>
      <c r="AV210" s="706"/>
      <c r="AW210" s="706"/>
      <c r="AX210" s="706"/>
      <c r="AY210" s="706"/>
      <c r="AZ210" s="706"/>
      <c r="BA210" s="706"/>
      <c r="BB210" s="706"/>
      <c r="BC210" s="706"/>
      <c r="BD210" s="706"/>
      <c r="BE210" s="706"/>
      <c r="BF210" s="706"/>
      <c r="BG210" s="706"/>
      <c r="BH210" s="706"/>
    </row>
    <row r="211" spans="1:60" s="48" customFormat="1">
      <c r="A211" s="711"/>
      <c r="B211" s="711"/>
      <c r="C211" s="706"/>
      <c r="D211" s="706"/>
      <c r="E211" s="706"/>
      <c r="F211" s="706"/>
      <c r="G211" s="706"/>
      <c r="H211" s="706"/>
      <c r="I211" s="863"/>
      <c r="J211" s="706"/>
      <c r="K211" s="706"/>
      <c r="L211" s="706"/>
      <c r="M211" s="706"/>
      <c r="N211" s="706"/>
      <c r="O211" s="706"/>
      <c r="P211" s="706"/>
      <c r="Q211" s="863"/>
      <c r="R211" s="706"/>
      <c r="S211" s="706"/>
      <c r="T211" s="706"/>
      <c r="U211" s="706"/>
      <c r="V211" s="706"/>
      <c r="W211" s="706"/>
      <c r="X211" s="706"/>
      <c r="Y211" s="863"/>
      <c r="Z211" s="706"/>
      <c r="AA211" s="706"/>
      <c r="AB211" s="706"/>
      <c r="AC211" s="706"/>
      <c r="AD211" s="706"/>
      <c r="AE211" s="706"/>
      <c r="AF211" s="706"/>
      <c r="AG211" s="863"/>
      <c r="AH211" s="706"/>
      <c r="AI211" s="706"/>
      <c r="AJ211" s="706"/>
      <c r="AK211" s="706"/>
      <c r="AL211" s="706"/>
      <c r="AM211" s="706"/>
      <c r="AN211" s="706"/>
      <c r="AO211" s="863"/>
      <c r="AP211" s="706"/>
      <c r="AQ211" s="706"/>
      <c r="AR211" s="706"/>
      <c r="AS211" s="706"/>
      <c r="AT211" s="706"/>
      <c r="AU211" s="706"/>
      <c r="AV211" s="706"/>
      <c r="AW211" s="706"/>
      <c r="AX211" s="706"/>
      <c r="AY211" s="706"/>
      <c r="AZ211" s="706"/>
      <c r="BA211" s="706"/>
      <c r="BB211" s="706"/>
      <c r="BC211" s="706"/>
      <c r="BD211" s="706"/>
      <c r="BE211" s="706"/>
      <c r="BF211" s="706"/>
      <c r="BG211" s="706"/>
      <c r="BH211" s="706"/>
    </row>
    <row r="212" spans="1:60" s="48" customFormat="1">
      <c r="A212" s="711"/>
      <c r="B212" s="711"/>
      <c r="C212" s="706"/>
      <c r="D212" s="706"/>
      <c r="E212" s="706"/>
      <c r="F212" s="706"/>
      <c r="G212" s="706"/>
      <c r="H212" s="706"/>
      <c r="I212" s="863"/>
      <c r="J212" s="706"/>
      <c r="K212" s="706"/>
      <c r="L212" s="706"/>
      <c r="M212" s="706"/>
      <c r="N212" s="706"/>
      <c r="O212" s="706"/>
      <c r="P212" s="706"/>
      <c r="Q212" s="863"/>
      <c r="R212" s="706"/>
      <c r="S212" s="706"/>
      <c r="T212" s="706"/>
      <c r="U212" s="706"/>
      <c r="V212" s="706"/>
      <c r="W212" s="706"/>
      <c r="X212" s="706"/>
      <c r="Y212" s="863"/>
      <c r="Z212" s="706"/>
      <c r="AA212" s="706"/>
      <c r="AB212" s="706"/>
      <c r="AC212" s="706"/>
      <c r="AD212" s="706"/>
      <c r="AE212" s="706"/>
      <c r="AF212" s="706"/>
      <c r="AG212" s="863"/>
      <c r="AH212" s="706"/>
      <c r="AI212" s="706"/>
      <c r="AJ212" s="706"/>
      <c r="AK212" s="706"/>
      <c r="AL212" s="706"/>
      <c r="AM212" s="706"/>
      <c r="AN212" s="706"/>
      <c r="AO212" s="863"/>
      <c r="AP212" s="706"/>
      <c r="AQ212" s="706"/>
      <c r="AR212" s="706"/>
      <c r="AS212" s="706"/>
      <c r="AT212" s="706"/>
      <c r="AU212" s="706"/>
      <c r="AV212" s="706"/>
      <c r="AW212" s="706"/>
      <c r="AX212" s="706"/>
      <c r="AY212" s="706"/>
      <c r="AZ212" s="706"/>
      <c r="BA212" s="706"/>
      <c r="BB212" s="706"/>
      <c r="BC212" s="706"/>
      <c r="BD212" s="706"/>
      <c r="BE212" s="706"/>
      <c r="BF212" s="706"/>
      <c r="BG212" s="706"/>
      <c r="BH212" s="706"/>
    </row>
    <row r="213" spans="1:60" s="48" customFormat="1">
      <c r="A213" s="711"/>
      <c r="B213" s="711"/>
      <c r="C213" s="706"/>
      <c r="D213" s="706"/>
      <c r="E213" s="706"/>
      <c r="F213" s="706"/>
      <c r="G213" s="706"/>
      <c r="H213" s="706"/>
      <c r="I213" s="863"/>
      <c r="J213" s="706"/>
      <c r="K213" s="706"/>
      <c r="L213" s="706"/>
      <c r="M213" s="706"/>
      <c r="N213" s="706"/>
      <c r="O213" s="706"/>
      <c r="P213" s="706"/>
      <c r="Q213" s="863"/>
      <c r="R213" s="706"/>
      <c r="S213" s="706"/>
      <c r="T213" s="706"/>
      <c r="U213" s="706"/>
      <c r="V213" s="706"/>
      <c r="W213" s="706"/>
      <c r="X213" s="706"/>
      <c r="Y213" s="863"/>
      <c r="Z213" s="706"/>
      <c r="AA213" s="706"/>
      <c r="AB213" s="706"/>
      <c r="AC213" s="706"/>
      <c r="AD213" s="706"/>
      <c r="AE213" s="706"/>
      <c r="AF213" s="706"/>
      <c r="AG213" s="863"/>
      <c r="AH213" s="706"/>
      <c r="AI213" s="706"/>
      <c r="AJ213" s="706"/>
      <c r="AK213" s="706"/>
      <c r="AL213" s="706"/>
      <c r="AM213" s="706"/>
      <c r="AN213" s="706"/>
      <c r="AO213" s="863"/>
      <c r="AP213" s="706"/>
      <c r="AQ213" s="706"/>
      <c r="AR213" s="706"/>
      <c r="AS213" s="706"/>
      <c r="AT213" s="706"/>
      <c r="AU213" s="706"/>
      <c r="AV213" s="706"/>
      <c r="AW213" s="706"/>
      <c r="AX213" s="706"/>
      <c r="AY213" s="706"/>
      <c r="AZ213" s="706"/>
      <c r="BA213" s="706"/>
      <c r="BB213" s="706"/>
      <c r="BC213" s="706"/>
      <c r="BD213" s="706"/>
      <c r="BE213" s="706"/>
      <c r="BF213" s="706"/>
      <c r="BG213" s="706"/>
      <c r="BH213" s="706"/>
    </row>
    <row r="214" spans="1:60" s="48" customFormat="1">
      <c r="A214" s="711"/>
      <c r="B214" s="711"/>
      <c r="C214" s="706"/>
      <c r="D214" s="706"/>
      <c r="E214" s="706"/>
      <c r="F214" s="706"/>
      <c r="G214" s="706"/>
      <c r="H214" s="706"/>
      <c r="I214" s="863"/>
      <c r="J214" s="706"/>
      <c r="K214" s="706"/>
      <c r="L214" s="706"/>
      <c r="M214" s="706"/>
      <c r="N214" s="706"/>
      <c r="O214" s="706"/>
      <c r="P214" s="706"/>
      <c r="Q214" s="863"/>
      <c r="R214" s="706"/>
      <c r="S214" s="706"/>
      <c r="T214" s="706"/>
      <c r="U214" s="706"/>
      <c r="V214" s="706"/>
      <c r="W214" s="706"/>
      <c r="X214" s="706"/>
      <c r="Y214" s="863"/>
      <c r="Z214" s="706"/>
      <c r="AA214" s="706"/>
      <c r="AB214" s="706"/>
      <c r="AC214" s="706"/>
      <c r="AD214" s="706"/>
      <c r="AE214" s="706"/>
      <c r="AF214" s="706"/>
      <c r="AG214" s="863"/>
      <c r="AH214" s="706"/>
      <c r="AI214" s="706"/>
      <c r="AJ214" s="706"/>
      <c r="AK214" s="706"/>
      <c r="AL214" s="706"/>
      <c r="AM214" s="706"/>
      <c r="AN214" s="706"/>
      <c r="AO214" s="863"/>
      <c r="AP214" s="706"/>
      <c r="AQ214" s="706"/>
      <c r="AR214" s="706"/>
      <c r="AS214" s="706"/>
      <c r="AT214" s="706"/>
      <c r="AU214" s="706"/>
      <c r="AV214" s="706"/>
      <c r="AW214" s="706"/>
      <c r="AX214" s="706"/>
      <c r="AY214" s="706"/>
      <c r="AZ214" s="706"/>
      <c r="BA214" s="706"/>
      <c r="BB214" s="706"/>
      <c r="BC214" s="706"/>
      <c r="BD214" s="706"/>
      <c r="BE214" s="706"/>
      <c r="BF214" s="706"/>
      <c r="BG214" s="706"/>
      <c r="BH214" s="706"/>
    </row>
    <row r="215" spans="1:60" s="48" customFormat="1">
      <c r="A215" s="711"/>
      <c r="B215" s="711"/>
      <c r="C215" s="706"/>
      <c r="D215" s="706"/>
      <c r="E215" s="706"/>
      <c r="F215" s="706"/>
      <c r="G215" s="706"/>
      <c r="H215" s="706"/>
      <c r="I215" s="863"/>
      <c r="J215" s="706"/>
      <c r="K215" s="706"/>
      <c r="L215" s="706"/>
      <c r="M215" s="706"/>
      <c r="N215" s="706"/>
      <c r="O215" s="706"/>
      <c r="P215" s="706"/>
      <c r="Q215" s="863"/>
      <c r="R215" s="706"/>
      <c r="S215" s="706"/>
      <c r="T215" s="706"/>
      <c r="U215" s="706"/>
      <c r="V215" s="706"/>
      <c r="W215" s="706"/>
      <c r="X215" s="706"/>
      <c r="Y215" s="863"/>
      <c r="Z215" s="706"/>
      <c r="AA215" s="706"/>
      <c r="AB215" s="706"/>
      <c r="AC215" s="706"/>
      <c r="AD215" s="706"/>
      <c r="AE215" s="706"/>
      <c r="AF215" s="706"/>
      <c r="AG215" s="863"/>
      <c r="AH215" s="706"/>
      <c r="AI215" s="706"/>
      <c r="AJ215" s="706"/>
      <c r="AK215" s="706"/>
      <c r="AL215" s="706"/>
      <c r="AM215" s="706"/>
      <c r="AN215" s="706"/>
      <c r="AO215" s="863"/>
      <c r="AP215" s="706"/>
      <c r="AQ215" s="706"/>
      <c r="AR215" s="706"/>
      <c r="AS215" s="706"/>
      <c r="AT215" s="706"/>
      <c r="AU215" s="706"/>
      <c r="AV215" s="706"/>
      <c r="AW215" s="706"/>
      <c r="AX215" s="706"/>
      <c r="AY215" s="706"/>
      <c r="AZ215" s="706"/>
      <c r="BA215" s="706"/>
      <c r="BB215" s="706"/>
      <c r="BC215" s="706"/>
      <c r="BD215" s="706"/>
      <c r="BE215" s="706"/>
      <c r="BF215" s="706"/>
      <c r="BG215" s="706"/>
      <c r="BH215" s="706"/>
    </row>
    <row r="216" spans="1:60" s="48" customFormat="1">
      <c r="A216" s="711"/>
      <c r="B216" s="711"/>
      <c r="C216" s="706"/>
      <c r="D216" s="706"/>
      <c r="E216" s="706"/>
      <c r="F216" s="706"/>
      <c r="G216" s="706"/>
      <c r="H216" s="706"/>
      <c r="I216" s="863"/>
      <c r="J216" s="706"/>
      <c r="K216" s="706"/>
      <c r="L216" s="706"/>
      <c r="M216" s="706"/>
      <c r="N216" s="706"/>
      <c r="O216" s="706"/>
      <c r="P216" s="706"/>
      <c r="Q216" s="863"/>
      <c r="R216" s="706"/>
      <c r="S216" s="706"/>
      <c r="T216" s="706"/>
      <c r="U216" s="706"/>
      <c r="V216" s="706"/>
      <c r="W216" s="706"/>
      <c r="X216" s="706"/>
      <c r="Y216" s="863"/>
      <c r="Z216" s="706"/>
      <c r="AA216" s="706"/>
      <c r="AB216" s="706"/>
      <c r="AC216" s="706"/>
      <c r="AD216" s="706"/>
      <c r="AE216" s="706"/>
      <c r="AF216" s="706"/>
      <c r="AG216" s="863"/>
      <c r="AH216" s="706"/>
      <c r="AI216" s="706"/>
      <c r="AJ216" s="706"/>
      <c r="AK216" s="706"/>
      <c r="AL216" s="706"/>
      <c r="AM216" s="706"/>
      <c r="AN216" s="706"/>
      <c r="AO216" s="863"/>
      <c r="AP216" s="706"/>
      <c r="AQ216" s="706"/>
      <c r="AR216" s="706"/>
      <c r="AS216" s="706"/>
      <c r="AT216" s="706"/>
      <c r="AU216" s="706"/>
      <c r="AV216" s="706"/>
      <c r="AW216" s="706"/>
      <c r="AX216" s="706"/>
      <c r="AY216" s="706"/>
      <c r="AZ216" s="706"/>
      <c r="BA216" s="706"/>
      <c r="BB216" s="706"/>
      <c r="BC216" s="706"/>
      <c r="BD216" s="706"/>
      <c r="BE216" s="706"/>
      <c r="BF216" s="706"/>
      <c r="BG216" s="706"/>
      <c r="BH216" s="706"/>
    </row>
    <row r="217" spans="1:60" s="48" customFormat="1">
      <c r="A217" s="711"/>
      <c r="B217" s="711"/>
      <c r="C217" s="706"/>
      <c r="D217" s="706"/>
      <c r="E217" s="706"/>
      <c r="F217" s="706"/>
      <c r="G217" s="706"/>
      <c r="H217" s="706"/>
      <c r="I217" s="863"/>
      <c r="J217" s="706"/>
      <c r="K217" s="706"/>
      <c r="L217" s="706"/>
      <c r="M217" s="706"/>
      <c r="N217" s="706"/>
      <c r="O217" s="706"/>
      <c r="P217" s="706"/>
      <c r="Q217" s="863"/>
      <c r="R217" s="706"/>
      <c r="S217" s="706"/>
      <c r="T217" s="706"/>
      <c r="U217" s="706"/>
      <c r="V217" s="706"/>
      <c r="W217" s="706"/>
      <c r="X217" s="706"/>
      <c r="Y217" s="863"/>
      <c r="Z217" s="706"/>
      <c r="AA217" s="706"/>
      <c r="AB217" s="706"/>
      <c r="AC217" s="706"/>
      <c r="AD217" s="706"/>
      <c r="AE217" s="706"/>
      <c r="AF217" s="706"/>
      <c r="AG217" s="863"/>
      <c r="AH217" s="706"/>
      <c r="AI217" s="706"/>
      <c r="AJ217" s="706"/>
      <c r="AK217" s="706"/>
      <c r="AL217" s="706"/>
      <c r="AM217" s="706"/>
      <c r="AN217" s="706"/>
      <c r="AO217" s="863"/>
      <c r="AP217" s="706"/>
      <c r="AQ217" s="706"/>
      <c r="AR217" s="706"/>
      <c r="AS217" s="706"/>
      <c r="AT217" s="706"/>
      <c r="AU217" s="706"/>
      <c r="AV217" s="706"/>
      <c r="AW217" s="706"/>
      <c r="AX217" s="706"/>
      <c r="AY217" s="706"/>
      <c r="AZ217" s="706"/>
      <c r="BA217" s="706"/>
      <c r="BB217" s="706"/>
      <c r="BC217" s="706"/>
      <c r="BD217" s="706"/>
      <c r="BE217" s="706"/>
      <c r="BF217" s="706"/>
      <c r="BG217" s="706"/>
      <c r="BH217" s="706"/>
    </row>
    <row r="218" spans="1:60" s="48" customFormat="1">
      <c r="A218" s="711"/>
      <c r="B218" s="711"/>
      <c r="C218" s="706"/>
      <c r="D218" s="706"/>
      <c r="E218" s="706"/>
      <c r="F218" s="706"/>
      <c r="G218" s="706"/>
      <c r="H218" s="706"/>
      <c r="I218" s="863"/>
      <c r="J218" s="706"/>
      <c r="K218" s="706"/>
      <c r="L218" s="706"/>
      <c r="M218" s="706"/>
      <c r="N218" s="706"/>
      <c r="O218" s="706"/>
      <c r="P218" s="706"/>
      <c r="Q218" s="863"/>
      <c r="R218" s="706"/>
      <c r="S218" s="706"/>
      <c r="T218" s="706"/>
      <c r="U218" s="706"/>
      <c r="V218" s="706"/>
      <c r="W218" s="706"/>
      <c r="X218" s="706"/>
      <c r="Y218" s="863"/>
      <c r="Z218" s="706"/>
      <c r="AA218" s="706"/>
      <c r="AB218" s="706"/>
      <c r="AC218" s="706"/>
      <c r="AD218" s="706"/>
      <c r="AE218" s="706"/>
      <c r="AF218" s="706"/>
      <c r="AG218" s="863"/>
      <c r="AH218" s="706"/>
      <c r="AI218" s="706"/>
      <c r="AJ218" s="706"/>
      <c r="AK218" s="706"/>
      <c r="AL218" s="706"/>
      <c r="AM218" s="706"/>
      <c r="AN218" s="706"/>
      <c r="AO218" s="863"/>
      <c r="AP218" s="706"/>
      <c r="AQ218" s="706"/>
      <c r="AR218" s="706"/>
      <c r="AS218" s="706"/>
      <c r="AT218" s="706"/>
      <c r="AU218" s="706"/>
      <c r="AV218" s="706"/>
      <c r="AW218" s="706"/>
      <c r="AX218" s="706"/>
      <c r="AY218" s="706"/>
      <c r="AZ218" s="706"/>
      <c r="BA218" s="706"/>
      <c r="BB218" s="706"/>
      <c r="BC218" s="706"/>
      <c r="BD218" s="706"/>
      <c r="BE218" s="706"/>
      <c r="BF218" s="706"/>
      <c r="BG218" s="706"/>
      <c r="BH218" s="706"/>
    </row>
    <row r="219" spans="1:60" s="48" customFormat="1">
      <c r="A219" s="711"/>
      <c r="B219" s="711"/>
      <c r="C219" s="706"/>
      <c r="D219" s="706"/>
      <c r="E219" s="706"/>
      <c r="F219" s="706"/>
      <c r="G219" s="706"/>
      <c r="H219" s="706"/>
      <c r="I219" s="863"/>
      <c r="J219" s="706"/>
      <c r="K219" s="706"/>
      <c r="L219" s="706"/>
      <c r="M219" s="706"/>
      <c r="N219" s="706"/>
      <c r="O219" s="706"/>
      <c r="P219" s="706"/>
      <c r="Q219" s="863"/>
      <c r="R219" s="706"/>
      <c r="S219" s="706"/>
      <c r="T219" s="706"/>
      <c r="U219" s="706"/>
      <c r="V219" s="706"/>
      <c r="W219" s="706"/>
      <c r="X219" s="706"/>
      <c r="Y219" s="863"/>
      <c r="Z219" s="706"/>
      <c r="AA219" s="706"/>
      <c r="AB219" s="706"/>
      <c r="AC219" s="706"/>
      <c r="AD219" s="706"/>
      <c r="AE219" s="706"/>
      <c r="AF219" s="706"/>
      <c r="AG219" s="863"/>
      <c r="AH219" s="706"/>
      <c r="AI219" s="706"/>
      <c r="AJ219" s="706"/>
      <c r="AK219" s="706"/>
      <c r="AL219" s="706"/>
      <c r="AM219" s="706"/>
      <c r="AN219" s="706"/>
      <c r="AO219" s="863"/>
      <c r="AP219" s="706"/>
      <c r="AQ219" s="706"/>
      <c r="AR219" s="706"/>
      <c r="AS219" s="706"/>
      <c r="AT219" s="706"/>
      <c r="AU219" s="706"/>
      <c r="AV219" s="706"/>
      <c r="AW219" s="706"/>
      <c r="AX219" s="706"/>
      <c r="AY219" s="706"/>
      <c r="AZ219" s="706"/>
      <c r="BA219" s="706"/>
      <c r="BB219" s="706"/>
      <c r="BC219" s="706"/>
      <c r="BD219" s="706"/>
      <c r="BE219" s="706"/>
      <c r="BF219" s="706"/>
      <c r="BG219" s="706"/>
      <c r="BH219" s="706"/>
    </row>
    <row r="220" spans="1:60" s="48" customFormat="1">
      <c r="A220" s="711"/>
      <c r="B220" s="711"/>
      <c r="C220" s="706"/>
      <c r="D220" s="706"/>
      <c r="E220" s="706"/>
      <c r="F220" s="706"/>
      <c r="G220" s="706"/>
      <c r="H220" s="706"/>
      <c r="I220" s="863"/>
      <c r="J220" s="706"/>
      <c r="K220" s="706"/>
      <c r="L220" s="706"/>
      <c r="M220" s="706"/>
      <c r="N220" s="706"/>
      <c r="O220" s="706"/>
      <c r="P220" s="706"/>
      <c r="Q220" s="863"/>
      <c r="R220" s="706"/>
      <c r="S220" s="706"/>
      <c r="T220" s="706"/>
      <c r="U220" s="706"/>
      <c r="V220" s="706"/>
      <c r="W220" s="706"/>
      <c r="X220" s="706"/>
      <c r="Y220" s="863"/>
      <c r="Z220" s="706"/>
      <c r="AA220" s="706"/>
      <c r="AB220" s="706"/>
      <c r="AC220" s="706"/>
      <c r="AD220" s="706"/>
      <c r="AE220" s="706"/>
      <c r="AF220" s="706"/>
      <c r="AG220" s="863"/>
      <c r="AH220" s="706"/>
      <c r="AI220" s="706"/>
      <c r="AJ220" s="706"/>
      <c r="AK220" s="706"/>
      <c r="AL220" s="706"/>
      <c r="AM220" s="706"/>
      <c r="AN220" s="706"/>
      <c r="AO220" s="863"/>
      <c r="AP220" s="706"/>
      <c r="AQ220" s="706"/>
      <c r="AR220" s="706"/>
      <c r="AS220" s="706"/>
      <c r="AT220" s="706"/>
      <c r="AU220" s="706"/>
      <c r="AV220" s="706"/>
      <c r="AW220" s="706"/>
      <c r="AX220" s="706"/>
      <c r="AY220" s="706"/>
      <c r="AZ220" s="706"/>
      <c r="BA220" s="706"/>
      <c r="BB220" s="706"/>
      <c r="BC220" s="706"/>
      <c r="BD220" s="706"/>
      <c r="BE220" s="706"/>
      <c r="BF220" s="706"/>
      <c r="BG220" s="706"/>
      <c r="BH220" s="706"/>
    </row>
    <row r="221" spans="1:60" s="48" customFormat="1">
      <c r="A221" s="711"/>
      <c r="B221" s="711"/>
      <c r="C221" s="706"/>
      <c r="D221" s="706"/>
      <c r="E221" s="706"/>
      <c r="F221" s="706"/>
      <c r="G221" s="706"/>
      <c r="H221" s="706"/>
      <c r="I221" s="863"/>
      <c r="J221" s="706"/>
      <c r="K221" s="706"/>
      <c r="L221" s="706"/>
      <c r="M221" s="706"/>
      <c r="N221" s="706"/>
      <c r="O221" s="706"/>
      <c r="P221" s="706"/>
      <c r="Q221" s="863"/>
      <c r="R221" s="706"/>
      <c r="S221" s="706"/>
      <c r="T221" s="706"/>
      <c r="U221" s="706"/>
      <c r="V221" s="706"/>
      <c r="W221" s="706"/>
      <c r="X221" s="706"/>
      <c r="Y221" s="863"/>
      <c r="Z221" s="706"/>
      <c r="AA221" s="706"/>
      <c r="AB221" s="706"/>
      <c r="AC221" s="706"/>
      <c r="AD221" s="706"/>
      <c r="AE221" s="706"/>
      <c r="AF221" s="706"/>
      <c r="AG221" s="863"/>
      <c r="AH221" s="706"/>
      <c r="AI221" s="706"/>
      <c r="AJ221" s="706"/>
      <c r="AK221" s="706"/>
      <c r="AL221" s="706"/>
      <c r="AM221" s="706"/>
      <c r="AN221" s="706"/>
      <c r="AO221" s="863"/>
      <c r="AP221" s="706"/>
      <c r="AQ221" s="706"/>
      <c r="AR221" s="706"/>
      <c r="AS221" s="706"/>
      <c r="AT221" s="706"/>
      <c r="AU221" s="706"/>
      <c r="AV221" s="706"/>
      <c r="AW221" s="706"/>
      <c r="AX221" s="706"/>
      <c r="AY221" s="706"/>
      <c r="AZ221" s="706"/>
      <c r="BA221" s="706"/>
      <c r="BB221" s="706"/>
      <c r="BC221" s="706"/>
      <c r="BD221" s="706"/>
      <c r="BE221" s="706"/>
      <c r="BF221" s="706"/>
      <c r="BG221" s="706"/>
      <c r="BH221" s="706"/>
    </row>
    <row r="222" spans="1:60" s="48" customFormat="1">
      <c r="A222" s="711"/>
      <c r="B222" s="711"/>
      <c r="C222" s="706"/>
      <c r="D222" s="706"/>
      <c r="E222" s="706"/>
      <c r="F222" s="706"/>
      <c r="G222" s="706"/>
      <c r="H222" s="706"/>
      <c r="I222" s="863"/>
      <c r="J222" s="706"/>
      <c r="K222" s="706"/>
      <c r="L222" s="706"/>
      <c r="M222" s="706"/>
      <c r="N222" s="706"/>
      <c r="O222" s="706"/>
      <c r="P222" s="706"/>
      <c r="Q222" s="863"/>
      <c r="R222" s="706"/>
      <c r="S222" s="706"/>
      <c r="T222" s="706"/>
      <c r="U222" s="706"/>
      <c r="V222" s="706"/>
      <c r="W222" s="706"/>
      <c r="X222" s="706"/>
      <c r="Y222" s="863"/>
      <c r="Z222" s="706"/>
      <c r="AA222" s="706"/>
      <c r="AB222" s="706"/>
      <c r="AC222" s="706"/>
      <c r="AD222" s="706"/>
      <c r="AE222" s="706"/>
      <c r="AF222" s="706"/>
      <c r="AG222" s="863"/>
      <c r="AH222" s="706"/>
      <c r="AI222" s="706"/>
      <c r="AJ222" s="706"/>
      <c r="AK222" s="706"/>
      <c r="AL222" s="706"/>
      <c r="AM222" s="706"/>
      <c r="AN222" s="706"/>
      <c r="AO222" s="863"/>
      <c r="AP222" s="706"/>
      <c r="AQ222" s="706"/>
      <c r="AR222" s="706"/>
      <c r="AS222" s="706"/>
      <c r="AT222" s="706"/>
      <c r="AU222" s="706"/>
      <c r="AV222" s="706"/>
      <c r="AW222" s="706"/>
      <c r="AX222" s="706"/>
      <c r="AY222" s="706"/>
      <c r="AZ222" s="706"/>
      <c r="BA222" s="706"/>
      <c r="BB222" s="706"/>
      <c r="BC222" s="706"/>
      <c r="BD222" s="706"/>
      <c r="BE222" s="706"/>
      <c r="BF222" s="706"/>
      <c r="BG222" s="706"/>
      <c r="BH222" s="706"/>
    </row>
    <row r="223" spans="1:60" s="48" customFormat="1">
      <c r="A223" s="711"/>
      <c r="B223" s="711"/>
      <c r="C223" s="706"/>
      <c r="D223" s="706"/>
      <c r="E223" s="706"/>
      <c r="F223" s="706"/>
      <c r="G223" s="706"/>
      <c r="H223" s="706"/>
      <c r="I223" s="863"/>
      <c r="J223" s="706"/>
      <c r="K223" s="706"/>
      <c r="L223" s="706"/>
      <c r="M223" s="706"/>
      <c r="N223" s="706"/>
      <c r="O223" s="706"/>
      <c r="P223" s="706"/>
      <c r="Q223" s="863"/>
      <c r="R223" s="706"/>
      <c r="S223" s="706"/>
      <c r="T223" s="706"/>
      <c r="U223" s="706"/>
      <c r="V223" s="706"/>
      <c r="W223" s="706"/>
      <c r="X223" s="706"/>
      <c r="Y223" s="863"/>
      <c r="Z223" s="706"/>
      <c r="AA223" s="706"/>
      <c r="AB223" s="706"/>
      <c r="AC223" s="706"/>
      <c r="AD223" s="706"/>
      <c r="AE223" s="706"/>
      <c r="AF223" s="706"/>
      <c r="AG223" s="863"/>
      <c r="AH223" s="706"/>
      <c r="AI223" s="706"/>
      <c r="AJ223" s="706"/>
      <c r="AK223" s="706"/>
      <c r="AL223" s="706"/>
      <c r="AM223" s="706"/>
      <c r="AN223" s="706"/>
      <c r="AO223" s="863"/>
      <c r="AP223" s="706"/>
      <c r="AQ223" s="706"/>
      <c r="AR223" s="706"/>
      <c r="AS223" s="706"/>
      <c r="AT223" s="706"/>
      <c r="AU223" s="706"/>
      <c r="AV223" s="706"/>
      <c r="AW223" s="706"/>
      <c r="AX223" s="706"/>
      <c r="AY223" s="706"/>
      <c r="AZ223" s="706"/>
      <c r="BA223" s="706"/>
      <c r="BB223" s="706"/>
      <c r="BC223" s="706"/>
      <c r="BD223" s="706"/>
      <c r="BE223" s="706"/>
      <c r="BF223" s="706"/>
      <c r="BG223" s="706"/>
      <c r="BH223" s="706"/>
    </row>
    <row r="224" spans="1:60" s="48" customFormat="1">
      <c r="A224" s="711"/>
      <c r="B224" s="711"/>
      <c r="C224" s="706"/>
      <c r="D224" s="706"/>
      <c r="E224" s="706"/>
      <c r="F224" s="706"/>
      <c r="G224" s="706"/>
      <c r="H224" s="706"/>
      <c r="I224" s="863"/>
      <c r="J224" s="706"/>
      <c r="K224" s="706"/>
      <c r="L224" s="706"/>
      <c r="M224" s="706"/>
      <c r="N224" s="706"/>
      <c r="O224" s="706"/>
      <c r="P224" s="706"/>
      <c r="Q224" s="863"/>
      <c r="R224" s="706"/>
      <c r="S224" s="706"/>
      <c r="T224" s="706"/>
      <c r="U224" s="706"/>
      <c r="V224" s="706"/>
      <c r="W224" s="706"/>
      <c r="X224" s="706"/>
      <c r="Y224" s="863"/>
      <c r="Z224" s="706"/>
      <c r="AA224" s="706"/>
      <c r="AB224" s="706"/>
      <c r="AC224" s="706"/>
      <c r="AD224" s="706"/>
      <c r="AE224" s="706"/>
      <c r="AF224" s="706"/>
      <c r="AG224" s="863"/>
      <c r="AH224" s="706"/>
      <c r="AI224" s="706"/>
      <c r="AJ224" s="706"/>
      <c r="AK224" s="706"/>
      <c r="AL224" s="706"/>
      <c r="AM224" s="706"/>
      <c r="AN224" s="706"/>
      <c r="AO224" s="863"/>
      <c r="AP224" s="706"/>
      <c r="AQ224" s="706"/>
      <c r="AR224" s="706"/>
      <c r="AS224" s="706"/>
      <c r="AT224" s="706"/>
      <c r="AU224" s="706"/>
      <c r="AV224" s="706"/>
      <c r="AW224" s="706"/>
      <c r="AX224" s="706"/>
      <c r="AY224" s="706"/>
      <c r="AZ224" s="706"/>
      <c r="BA224" s="706"/>
      <c r="BB224" s="706"/>
      <c r="BC224" s="706"/>
      <c r="BD224" s="706"/>
      <c r="BE224" s="706"/>
      <c r="BF224" s="706"/>
      <c r="BG224" s="706"/>
      <c r="BH224" s="706"/>
    </row>
    <row r="225" spans="1:60" s="48" customFormat="1">
      <c r="A225" s="711"/>
      <c r="B225" s="711"/>
      <c r="C225" s="706"/>
      <c r="D225" s="706"/>
      <c r="E225" s="706"/>
      <c r="F225" s="706"/>
      <c r="G225" s="706"/>
      <c r="H225" s="706"/>
      <c r="I225" s="863"/>
      <c r="J225" s="706"/>
      <c r="K225" s="706"/>
      <c r="L225" s="706"/>
      <c r="M225" s="706"/>
      <c r="N225" s="706"/>
      <c r="O225" s="706"/>
      <c r="P225" s="706"/>
      <c r="Q225" s="863"/>
      <c r="R225" s="706"/>
      <c r="S225" s="706"/>
      <c r="T225" s="706"/>
      <c r="U225" s="706"/>
      <c r="V225" s="706"/>
      <c r="W225" s="706"/>
      <c r="X225" s="706"/>
      <c r="Y225" s="863"/>
      <c r="Z225" s="706"/>
      <c r="AA225" s="706"/>
      <c r="AB225" s="706"/>
      <c r="AC225" s="706"/>
      <c r="AD225" s="706"/>
      <c r="AE225" s="706"/>
      <c r="AF225" s="706"/>
      <c r="AG225" s="863"/>
      <c r="AH225" s="706"/>
      <c r="AI225" s="706"/>
      <c r="AJ225" s="706"/>
      <c r="AK225" s="706"/>
      <c r="AL225" s="706"/>
      <c r="AM225" s="706"/>
      <c r="AN225" s="706"/>
      <c r="AO225" s="863"/>
      <c r="AP225" s="706"/>
      <c r="AQ225" s="706"/>
      <c r="AR225" s="706"/>
      <c r="AS225" s="706"/>
      <c r="AT225" s="706"/>
      <c r="AU225" s="706"/>
      <c r="AV225" s="706"/>
      <c r="AW225" s="706"/>
      <c r="AX225" s="706"/>
      <c r="AY225" s="706"/>
      <c r="AZ225" s="706"/>
      <c r="BA225" s="706"/>
      <c r="BB225" s="706"/>
      <c r="BC225" s="706"/>
      <c r="BD225" s="706"/>
      <c r="BE225" s="706"/>
      <c r="BF225" s="706"/>
      <c r="BG225" s="706"/>
      <c r="BH225" s="706"/>
    </row>
    <row r="226" spans="1:60" s="48" customFormat="1">
      <c r="A226" s="711"/>
      <c r="B226" s="711"/>
      <c r="C226" s="706"/>
      <c r="D226" s="706"/>
      <c r="E226" s="706"/>
      <c r="F226" s="706"/>
      <c r="G226" s="706"/>
      <c r="H226" s="706"/>
      <c r="I226" s="863"/>
      <c r="J226" s="706"/>
      <c r="K226" s="706"/>
      <c r="L226" s="706"/>
      <c r="M226" s="706"/>
      <c r="N226" s="706"/>
      <c r="O226" s="706"/>
      <c r="P226" s="706"/>
      <c r="Q226" s="863"/>
      <c r="R226" s="706"/>
      <c r="S226" s="706"/>
      <c r="T226" s="706"/>
      <c r="U226" s="706"/>
      <c r="V226" s="706"/>
      <c r="W226" s="706"/>
      <c r="X226" s="706"/>
      <c r="Y226" s="863"/>
      <c r="Z226" s="706"/>
      <c r="AA226" s="706"/>
      <c r="AB226" s="706"/>
      <c r="AC226" s="706"/>
      <c r="AD226" s="706"/>
      <c r="AE226" s="706"/>
      <c r="AF226" s="706"/>
      <c r="AG226" s="863"/>
      <c r="AH226" s="706"/>
      <c r="AI226" s="706"/>
      <c r="AJ226" s="706"/>
      <c r="AK226" s="706"/>
      <c r="AL226" s="706"/>
      <c r="AM226" s="706"/>
      <c r="AN226" s="706"/>
      <c r="AO226" s="863"/>
      <c r="AP226" s="706"/>
      <c r="AQ226" s="706"/>
      <c r="AR226" s="706"/>
      <c r="AS226" s="706"/>
      <c r="AT226" s="706"/>
      <c r="AU226" s="706"/>
      <c r="AV226" s="706"/>
      <c r="AW226" s="706"/>
      <c r="AX226" s="706"/>
      <c r="AY226" s="706"/>
      <c r="AZ226" s="706"/>
      <c r="BA226" s="706"/>
      <c r="BB226" s="706"/>
      <c r="BC226" s="706"/>
      <c r="BD226" s="706"/>
      <c r="BE226" s="706"/>
      <c r="BF226" s="706"/>
      <c r="BG226" s="706"/>
      <c r="BH226" s="706"/>
    </row>
    <row r="227" spans="1:60" s="48" customFormat="1">
      <c r="A227" s="711"/>
      <c r="B227" s="711"/>
      <c r="C227" s="706"/>
      <c r="D227" s="706"/>
      <c r="E227" s="706"/>
      <c r="F227" s="706"/>
      <c r="G227" s="706"/>
      <c r="H227" s="706"/>
      <c r="I227" s="863"/>
      <c r="J227" s="706"/>
      <c r="K227" s="706"/>
      <c r="L227" s="706"/>
      <c r="M227" s="706"/>
      <c r="N227" s="706"/>
      <c r="O227" s="706"/>
      <c r="P227" s="706"/>
      <c r="Q227" s="863"/>
      <c r="R227" s="706"/>
      <c r="S227" s="706"/>
      <c r="T227" s="706"/>
      <c r="U227" s="706"/>
      <c r="V227" s="706"/>
      <c r="W227" s="706"/>
      <c r="X227" s="706"/>
      <c r="Y227" s="863"/>
      <c r="Z227" s="706"/>
      <c r="AA227" s="706"/>
      <c r="AB227" s="706"/>
      <c r="AC227" s="706"/>
      <c r="AD227" s="706"/>
      <c r="AE227" s="706"/>
      <c r="AF227" s="706"/>
      <c r="AG227" s="863"/>
      <c r="AH227" s="706"/>
      <c r="AI227" s="706"/>
      <c r="AJ227" s="706"/>
      <c r="AK227" s="706"/>
      <c r="AL227" s="706"/>
      <c r="AM227" s="706"/>
      <c r="AN227" s="706"/>
      <c r="AO227" s="863"/>
      <c r="AP227" s="706"/>
      <c r="AQ227" s="706"/>
      <c r="AR227" s="706"/>
      <c r="AS227" s="706"/>
      <c r="AT227" s="706"/>
      <c r="AU227" s="706"/>
      <c r="AV227" s="706"/>
      <c r="AW227" s="706"/>
      <c r="AX227" s="706"/>
      <c r="AY227" s="706"/>
      <c r="AZ227" s="706"/>
      <c r="BA227" s="706"/>
      <c r="BB227" s="706"/>
      <c r="BC227" s="706"/>
      <c r="BD227" s="706"/>
      <c r="BE227" s="706"/>
      <c r="BF227" s="706"/>
      <c r="BG227" s="706"/>
      <c r="BH227" s="706"/>
    </row>
    <row r="228" spans="1:60" s="48" customFormat="1">
      <c r="A228" s="711"/>
      <c r="B228" s="711"/>
      <c r="C228" s="706"/>
      <c r="D228" s="706"/>
      <c r="E228" s="706"/>
      <c r="F228" s="706"/>
      <c r="G228" s="706"/>
      <c r="H228" s="706"/>
      <c r="I228" s="863"/>
      <c r="J228" s="706"/>
      <c r="K228" s="706"/>
      <c r="L228" s="706"/>
      <c r="M228" s="706"/>
      <c r="N228" s="706"/>
      <c r="O228" s="706"/>
      <c r="P228" s="706"/>
      <c r="Q228" s="863"/>
      <c r="R228" s="706"/>
      <c r="S228" s="706"/>
      <c r="T228" s="706"/>
      <c r="U228" s="706"/>
      <c r="V228" s="706"/>
      <c r="W228" s="706"/>
      <c r="X228" s="706"/>
      <c r="Y228" s="863"/>
      <c r="Z228" s="706"/>
      <c r="AA228" s="706"/>
      <c r="AB228" s="706"/>
      <c r="AC228" s="706"/>
      <c r="AD228" s="706"/>
      <c r="AE228" s="706"/>
      <c r="AF228" s="706"/>
      <c r="AG228" s="863"/>
      <c r="AH228" s="706"/>
      <c r="AI228" s="706"/>
      <c r="AJ228" s="706"/>
      <c r="AK228" s="706"/>
      <c r="AL228" s="706"/>
      <c r="AM228" s="706"/>
      <c r="AN228" s="706"/>
      <c r="AO228" s="863"/>
      <c r="AP228" s="706"/>
      <c r="AQ228" s="706"/>
      <c r="AR228" s="706"/>
      <c r="AS228" s="706"/>
      <c r="AT228" s="706"/>
      <c r="AU228" s="706"/>
      <c r="AV228" s="706"/>
      <c r="AW228" s="706"/>
      <c r="AX228" s="706"/>
      <c r="AY228" s="706"/>
      <c r="AZ228" s="706"/>
      <c r="BA228" s="706"/>
      <c r="BB228" s="706"/>
      <c r="BC228" s="706"/>
      <c r="BD228" s="706"/>
      <c r="BE228" s="706"/>
      <c r="BF228" s="706"/>
      <c r="BG228" s="706"/>
      <c r="BH228" s="706"/>
    </row>
    <row r="229" spans="1:60" s="48" customFormat="1">
      <c r="A229" s="711"/>
      <c r="B229" s="711"/>
      <c r="C229" s="706"/>
      <c r="D229" s="706"/>
      <c r="E229" s="706"/>
      <c r="F229" s="706"/>
      <c r="G229" s="706"/>
      <c r="H229" s="706"/>
      <c r="I229" s="863"/>
      <c r="J229" s="706"/>
      <c r="K229" s="706"/>
      <c r="L229" s="706"/>
      <c r="M229" s="706"/>
      <c r="N229" s="706"/>
      <c r="O229" s="706"/>
      <c r="P229" s="706"/>
      <c r="Q229" s="863"/>
      <c r="R229" s="706"/>
      <c r="S229" s="706"/>
      <c r="T229" s="706"/>
      <c r="U229" s="706"/>
      <c r="V229" s="706"/>
      <c r="W229" s="706"/>
      <c r="X229" s="706"/>
      <c r="Y229" s="863"/>
      <c r="Z229" s="706"/>
      <c r="AA229" s="706"/>
      <c r="AB229" s="706"/>
      <c r="AC229" s="706"/>
      <c r="AD229" s="706"/>
      <c r="AE229" s="706"/>
      <c r="AF229" s="706"/>
      <c r="AG229" s="863"/>
      <c r="AH229" s="706"/>
      <c r="AI229" s="706"/>
      <c r="AJ229" s="706"/>
      <c r="AK229" s="706"/>
      <c r="AL229" s="706"/>
      <c r="AM229" s="706"/>
      <c r="AN229" s="706"/>
      <c r="AO229" s="863"/>
      <c r="AP229" s="706"/>
      <c r="AQ229" s="706"/>
      <c r="AR229" s="706"/>
      <c r="AS229" s="706"/>
      <c r="AT229" s="706"/>
      <c r="AU229" s="706"/>
      <c r="AV229" s="706"/>
      <c r="AW229" s="706"/>
      <c r="AX229" s="706"/>
      <c r="AY229" s="706"/>
      <c r="AZ229" s="706"/>
      <c r="BA229" s="706"/>
      <c r="BB229" s="706"/>
      <c r="BC229" s="706"/>
      <c r="BD229" s="706"/>
      <c r="BE229" s="706"/>
      <c r="BF229" s="706"/>
      <c r="BG229" s="706"/>
      <c r="BH229" s="706"/>
    </row>
    <row r="230" spans="1:60" s="48" customFormat="1">
      <c r="A230" s="711"/>
      <c r="B230" s="711"/>
      <c r="C230" s="706"/>
      <c r="D230" s="706"/>
      <c r="E230" s="706"/>
      <c r="F230" s="706"/>
      <c r="G230" s="706"/>
      <c r="H230" s="706"/>
      <c r="I230" s="863"/>
      <c r="J230" s="706"/>
      <c r="K230" s="706"/>
      <c r="L230" s="706"/>
      <c r="M230" s="706"/>
      <c r="N230" s="706"/>
      <c r="O230" s="706"/>
      <c r="P230" s="706"/>
      <c r="Q230" s="863"/>
      <c r="R230" s="706"/>
      <c r="S230" s="706"/>
      <c r="T230" s="706"/>
      <c r="U230" s="706"/>
      <c r="V230" s="706"/>
      <c r="W230" s="706"/>
      <c r="X230" s="706"/>
      <c r="Y230" s="863"/>
      <c r="Z230" s="706"/>
      <c r="AA230" s="706"/>
      <c r="AB230" s="706"/>
      <c r="AC230" s="706"/>
      <c r="AD230" s="706"/>
      <c r="AE230" s="706"/>
      <c r="AF230" s="706"/>
      <c r="AG230" s="863"/>
      <c r="AH230" s="706"/>
      <c r="AI230" s="706"/>
      <c r="AJ230" s="706"/>
      <c r="AK230" s="706"/>
      <c r="AL230" s="706"/>
      <c r="AM230" s="706"/>
      <c r="AN230" s="706"/>
      <c r="AO230" s="863"/>
      <c r="AP230" s="706"/>
      <c r="AQ230" s="706"/>
      <c r="AR230" s="706"/>
      <c r="AS230" s="706"/>
      <c r="AT230" s="706"/>
      <c r="AU230" s="706"/>
      <c r="AV230" s="706"/>
      <c r="AW230" s="706"/>
      <c r="AX230" s="706"/>
      <c r="AY230" s="706"/>
      <c r="AZ230" s="706"/>
      <c r="BA230" s="706"/>
      <c r="BB230" s="706"/>
      <c r="BC230" s="706"/>
      <c r="BD230" s="706"/>
      <c r="BE230" s="706"/>
      <c r="BF230" s="706"/>
      <c r="BG230" s="706"/>
      <c r="BH230" s="706"/>
    </row>
    <row r="231" spans="1:60" s="48" customFormat="1">
      <c r="A231" s="711"/>
      <c r="B231" s="711"/>
      <c r="C231" s="706"/>
      <c r="D231" s="706"/>
      <c r="E231" s="706"/>
      <c r="F231" s="706"/>
      <c r="G231" s="706"/>
      <c r="H231" s="706"/>
      <c r="I231" s="863"/>
      <c r="J231" s="706"/>
      <c r="K231" s="706"/>
      <c r="L231" s="706"/>
      <c r="M231" s="706"/>
      <c r="N231" s="706"/>
      <c r="O231" s="706"/>
      <c r="P231" s="706"/>
      <c r="Q231" s="863"/>
      <c r="R231" s="706"/>
      <c r="S231" s="706"/>
      <c r="T231" s="706"/>
      <c r="U231" s="706"/>
      <c r="V231" s="706"/>
      <c r="W231" s="706"/>
      <c r="X231" s="706"/>
      <c r="Y231" s="863"/>
      <c r="Z231" s="706"/>
      <c r="AA231" s="706"/>
      <c r="AB231" s="706"/>
      <c r="AC231" s="706"/>
      <c r="AD231" s="706"/>
      <c r="AE231" s="706"/>
      <c r="AF231" s="706"/>
      <c r="AG231" s="863"/>
      <c r="AH231" s="706"/>
      <c r="AI231" s="706"/>
      <c r="AJ231" s="706"/>
      <c r="AK231" s="706"/>
      <c r="AL231" s="706"/>
      <c r="AM231" s="706"/>
      <c r="AN231" s="706"/>
      <c r="AO231" s="863"/>
      <c r="AP231" s="706"/>
      <c r="AQ231" s="706"/>
      <c r="AR231" s="706"/>
      <c r="AS231" s="706"/>
      <c r="AT231" s="706"/>
      <c r="AU231" s="706"/>
      <c r="AV231" s="706"/>
      <c r="AW231" s="706"/>
      <c r="AX231" s="706"/>
      <c r="AY231" s="706"/>
      <c r="AZ231" s="706"/>
      <c r="BA231" s="706"/>
      <c r="BB231" s="706"/>
      <c r="BC231" s="706"/>
      <c r="BD231" s="706"/>
      <c r="BE231" s="706"/>
      <c r="BF231" s="706"/>
      <c r="BG231" s="706"/>
      <c r="BH231" s="706"/>
    </row>
    <row r="232" spans="1:60" s="48" customFormat="1">
      <c r="A232" s="711"/>
      <c r="B232" s="711"/>
      <c r="C232" s="706"/>
      <c r="D232" s="706"/>
      <c r="E232" s="706"/>
      <c r="F232" s="706"/>
      <c r="G232" s="706"/>
      <c r="H232" s="706"/>
      <c r="I232" s="863"/>
      <c r="J232" s="706"/>
      <c r="K232" s="706"/>
      <c r="L232" s="706"/>
      <c r="M232" s="706"/>
      <c r="N232" s="706"/>
      <c r="O232" s="706"/>
      <c r="P232" s="706"/>
      <c r="Q232" s="863"/>
      <c r="R232" s="706"/>
      <c r="S232" s="706"/>
      <c r="T232" s="706"/>
      <c r="U232" s="706"/>
      <c r="V232" s="706"/>
      <c r="W232" s="706"/>
      <c r="X232" s="706"/>
      <c r="Y232" s="863"/>
      <c r="Z232" s="706"/>
      <c r="AA232" s="706"/>
      <c r="AB232" s="706"/>
      <c r="AC232" s="706"/>
      <c r="AD232" s="706"/>
      <c r="AE232" s="706"/>
      <c r="AF232" s="706"/>
      <c r="AG232" s="863"/>
      <c r="AH232" s="706"/>
      <c r="AI232" s="706"/>
      <c r="AJ232" s="706"/>
      <c r="AK232" s="706"/>
      <c r="AL232" s="706"/>
      <c r="AM232" s="706"/>
      <c r="AN232" s="706"/>
      <c r="AO232" s="863"/>
      <c r="AP232" s="706"/>
      <c r="AQ232" s="706"/>
      <c r="AR232" s="706"/>
      <c r="AS232" s="706"/>
      <c r="AT232" s="706"/>
      <c r="AU232" s="706"/>
      <c r="AV232" s="706"/>
      <c r="AW232" s="706"/>
      <c r="AX232" s="706"/>
      <c r="AY232" s="706"/>
      <c r="AZ232" s="706"/>
      <c r="BA232" s="706"/>
      <c r="BB232" s="706"/>
      <c r="BC232" s="706"/>
      <c r="BD232" s="706"/>
      <c r="BE232" s="706"/>
      <c r="BF232" s="706"/>
      <c r="BG232" s="706"/>
      <c r="BH232" s="706"/>
    </row>
    <row r="233" spans="1:60" s="48" customFormat="1">
      <c r="A233" s="711"/>
      <c r="B233" s="711"/>
      <c r="C233" s="706"/>
      <c r="D233" s="706"/>
      <c r="E233" s="706"/>
      <c r="F233" s="706"/>
      <c r="G233" s="706"/>
      <c r="H233" s="706"/>
      <c r="I233" s="863"/>
      <c r="J233" s="706"/>
      <c r="K233" s="706"/>
      <c r="L233" s="706"/>
      <c r="M233" s="706"/>
      <c r="N233" s="706"/>
      <c r="O233" s="706"/>
      <c r="P233" s="706"/>
      <c r="Q233" s="863"/>
      <c r="R233" s="706"/>
      <c r="S233" s="706"/>
      <c r="T233" s="706"/>
      <c r="U233" s="706"/>
      <c r="V233" s="706"/>
      <c r="W233" s="706"/>
      <c r="X233" s="706"/>
      <c r="Y233" s="863"/>
      <c r="Z233" s="706"/>
      <c r="AA233" s="706"/>
      <c r="AB233" s="706"/>
      <c r="AC233" s="706"/>
      <c r="AD233" s="706"/>
      <c r="AE233" s="706"/>
      <c r="AF233" s="706"/>
      <c r="AG233" s="863"/>
      <c r="AH233" s="706"/>
      <c r="AI233" s="706"/>
      <c r="AJ233" s="706"/>
      <c r="AK233" s="706"/>
      <c r="AL233" s="706"/>
      <c r="AM233" s="706"/>
      <c r="AN233" s="706"/>
      <c r="AO233" s="863"/>
      <c r="AP233" s="706"/>
      <c r="AQ233" s="706"/>
      <c r="AR233" s="706"/>
      <c r="AS233" s="706"/>
      <c r="AT233" s="706"/>
      <c r="AU233" s="706"/>
      <c r="AV233" s="706"/>
      <c r="AW233" s="706"/>
      <c r="AX233" s="706"/>
      <c r="AY233" s="706"/>
      <c r="AZ233" s="706"/>
      <c r="BA233" s="706"/>
      <c r="BB233" s="706"/>
      <c r="BC233" s="706"/>
      <c r="BD233" s="706"/>
      <c r="BE233" s="706"/>
      <c r="BF233" s="706"/>
      <c r="BG233" s="706"/>
      <c r="BH233" s="706"/>
    </row>
    <row r="234" spans="1:60" s="48" customFormat="1">
      <c r="A234" s="711"/>
      <c r="B234" s="711"/>
      <c r="C234" s="706"/>
      <c r="D234" s="706"/>
      <c r="E234" s="706"/>
      <c r="F234" s="706"/>
      <c r="G234" s="706"/>
      <c r="H234" s="706"/>
      <c r="I234" s="863"/>
      <c r="J234" s="706"/>
      <c r="K234" s="706"/>
      <c r="L234" s="706"/>
      <c r="M234" s="706"/>
      <c r="N234" s="706"/>
      <c r="O234" s="706"/>
      <c r="P234" s="706"/>
      <c r="Q234" s="863"/>
      <c r="R234" s="706"/>
      <c r="S234" s="706"/>
      <c r="T234" s="706"/>
      <c r="U234" s="706"/>
      <c r="V234" s="706"/>
      <c r="W234" s="706"/>
      <c r="X234" s="706"/>
      <c r="Y234" s="863"/>
      <c r="Z234" s="706"/>
      <c r="AA234" s="706"/>
      <c r="AB234" s="706"/>
      <c r="AC234" s="706"/>
      <c r="AD234" s="706"/>
      <c r="AE234" s="706"/>
      <c r="AF234" s="706"/>
      <c r="AG234" s="863"/>
      <c r="AH234" s="706"/>
      <c r="AI234" s="706"/>
      <c r="AJ234" s="706"/>
      <c r="AK234" s="706"/>
      <c r="AL234" s="706"/>
      <c r="AM234" s="706"/>
      <c r="AN234" s="706"/>
      <c r="AO234" s="863"/>
      <c r="AP234" s="706"/>
      <c r="AQ234" s="706"/>
      <c r="AR234" s="706"/>
      <c r="AS234" s="706"/>
      <c r="AT234" s="706"/>
      <c r="AU234" s="706"/>
      <c r="AV234" s="706"/>
      <c r="AW234" s="706"/>
      <c r="AX234" s="706"/>
      <c r="AY234" s="706"/>
      <c r="AZ234" s="706"/>
      <c r="BA234" s="706"/>
      <c r="BB234" s="706"/>
      <c r="BC234" s="706"/>
      <c r="BD234" s="706"/>
      <c r="BE234" s="706"/>
      <c r="BF234" s="706"/>
      <c r="BG234" s="706"/>
      <c r="BH234" s="706"/>
    </row>
    <row r="235" spans="1:60" s="48" customFormat="1">
      <c r="A235" s="711"/>
      <c r="B235" s="711"/>
      <c r="C235" s="706"/>
      <c r="D235" s="706"/>
      <c r="E235" s="706"/>
      <c r="F235" s="706"/>
      <c r="G235" s="706"/>
      <c r="H235" s="706"/>
      <c r="I235" s="863"/>
      <c r="J235" s="706"/>
      <c r="K235" s="706"/>
      <c r="L235" s="706"/>
      <c r="M235" s="706"/>
      <c r="N235" s="706"/>
      <c r="O235" s="706"/>
      <c r="P235" s="706"/>
      <c r="Q235" s="863"/>
      <c r="R235" s="706"/>
      <c r="S235" s="706"/>
      <c r="T235" s="706"/>
      <c r="U235" s="706"/>
      <c r="V235" s="706"/>
      <c r="W235" s="706"/>
      <c r="X235" s="706"/>
      <c r="Y235" s="863"/>
      <c r="Z235" s="706"/>
      <c r="AA235" s="706"/>
      <c r="AB235" s="706"/>
      <c r="AC235" s="706"/>
      <c r="AD235" s="706"/>
      <c r="AE235" s="706"/>
      <c r="AF235" s="706"/>
      <c r="AG235" s="863"/>
      <c r="AH235" s="706"/>
      <c r="AI235" s="706"/>
      <c r="AJ235" s="706"/>
      <c r="AK235" s="706"/>
      <c r="AL235" s="706"/>
      <c r="AM235" s="706"/>
      <c r="AN235" s="706"/>
      <c r="AO235" s="863"/>
      <c r="AP235" s="706"/>
      <c r="AQ235" s="706"/>
      <c r="AR235" s="706"/>
      <c r="AS235" s="706"/>
      <c r="AT235" s="706"/>
      <c r="AU235" s="706"/>
      <c r="AV235" s="706"/>
      <c r="AW235" s="706"/>
      <c r="AX235" s="706"/>
      <c r="AY235" s="706"/>
      <c r="AZ235" s="706"/>
      <c r="BA235" s="706"/>
      <c r="BB235" s="706"/>
      <c r="BC235" s="706"/>
      <c r="BD235" s="706"/>
      <c r="BE235" s="706"/>
      <c r="BF235" s="706"/>
      <c r="BG235" s="706"/>
      <c r="BH235" s="706"/>
    </row>
    <row r="236" spans="1:60" s="48" customFormat="1">
      <c r="A236" s="711"/>
      <c r="B236" s="711"/>
      <c r="C236" s="706"/>
      <c r="D236" s="706"/>
      <c r="E236" s="706"/>
      <c r="F236" s="706"/>
      <c r="G236" s="706"/>
      <c r="H236" s="706"/>
      <c r="I236" s="863"/>
      <c r="J236" s="706"/>
      <c r="K236" s="706"/>
      <c r="L236" s="706"/>
      <c r="M236" s="706"/>
      <c r="N236" s="706"/>
      <c r="O236" s="706"/>
      <c r="P236" s="706"/>
      <c r="Q236" s="863"/>
      <c r="R236" s="706"/>
      <c r="S236" s="706"/>
      <c r="T236" s="706"/>
      <c r="U236" s="706"/>
      <c r="V236" s="706"/>
      <c r="W236" s="706"/>
      <c r="X236" s="706"/>
      <c r="Y236" s="863"/>
      <c r="Z236" s="706"/>
      <c r="AA236" s="706"/>
      <c r="AB236" s="706"/>
      <c r="AC236" s="706"/>
      <c r="AD236" s="706"/>
      <c r="AE236" s="706"/>
      <c r="AF236" s="706"/>
      <c r="AG236" s="863"/>
      <c r="AH236" s="706"/>
      <c r="AI236" s="706"/>
      <c r="AJ236" s="706"/>
      <c r="AK236" s="706"/>
      <c r="AL236" s="706"/>
      <c r="AM236" s="706"/>
      <c r="AN236" s="706"/>
      <c r="AO236" s="863"/>
      <c r="AP236" s="706"/>
      <c r="AQ236" s="706"/>
      <c r="AR236" s="706"/>
      <c r="AS236" s="706"/>
      <c r="AT236" s="706"/>
      <c r="AU236" s="706"/>
      <c r="AV236" s="706"/>
      <c r="AW236" s="706"/>
      <c r="AX236" s="706"/>
      <c r="AY236" s="706"/>
      <c r="AZ236" s="706"/>
      <c r="BA236" s="706"/>
      <c r="BB236" s="706"/>
      <c r="BC236" s="706"/>
      <c r="BD236" s="706"/>
      <c r="BE236" s="706"/>
      <c r="BF236" s="706"/>
      <c r="BG236" s="706"/>
      <c r="BH236" s="706"/>
    </row>
    <row r="237" spans="1:60" s="48" customFormat="1">
      <c r="A237" s="711"/>
      <c r="B237" s="711"/>
      <c r="C237" s="706"/>
      <c r="D237" s="706"/>
      <c r="E237" s="706"/>
      <c r="F237" s="706"/>
      <c r="G237" s="706"/>
      <c r="H237" s="706"/>
      <c r="I237" s="863"/>
      <c r="J237" s="706"/>
      <c r="K237" s="706"/>
      <c r="L237" s="706"/>
      <c r="M237" s="706"/>
      <c r="N237" s="706"/>
      <c r="O237" s="706"/>
      <c r="P237" s="706"/>
      <c r="Q237" s="863"/>
      <c r="R237" s="706"/>
      <c r="S237" s="706"/>
      <c r="T237" s="706"/>
      <c r="U237" s="706"/>
      <c r="V237" s="706"/>
      <c r="W237" s="706"/>
      <c r="X237" s="706"/>
      <c r="Y237" s="863"/>
      <c r="Z237" s="706"/>
      <c r="AA237" s="706"/>
      <c r="AB237" s="706"/>
      <c r="AC237" s="706"/>
      <c r="AD237" s="706"/>
      <c r="AE237" s="706"/>
      <c r="AF237" s="706"/>
      <c r="AG237" s="863"/>
      <c r="AH237" s="706"/>
      <c r="AI237" s="706"/>
      <c r="AJ237" s="706"/>
      <c r="AK237" s="706"/>
      <c r="AL237" s="706"/>
      <c r="AM237" s="706"/>
      <c r="AN237" s="706"/>
      <c r="AO237" s="863"/>
      <c r="AP237" s="706"/>
      <c r="AQ237" s="706"/>
      <c r="AR237" s="706"/>
      <c r="AS237" s="706"/>
      <c r="AT237" s="706"/>
      <c r="AU237" s="706"/>
      <c r="AV237" s="706"/>
      <c r="AW237" s="706"/>
      <c r="AX237" s="706"/>
      <c r="AY237" s="706"/>
      <c r="AZ237" s="706"/>
      <c r="BA237" s="706"/>
      <c r="BB237" s="706"/>
      <c r="BC237" s="706"/>
      <c r="BD237" s="706"/>
      <c r="BE237" s="706"/>
      <c r="BF237" s="706"/>
      <c r="BG237" s="706"/>
      <c r="BH237" s="706"/>
    </row>
    <row r="238" spans="1:60" s="48" customFormat="1">
      <c r="A238" s="711"/>
      <c r="B238" s="711"/>
      <c r="C238" s="706"/>
      <c r="D238" s="706"/>
      <c r="E238" s="706"/>
      <c r="F238" s="706"/>
      <c r="G238" s="706"/>
      <c r="H238" s="706"/>
      <c r="I238" s="863"/>
      <c r="J238" s="706"/>
      <c r="K238" s="706"/>
      <c r="L238" s="706"/>
      <c r="M238" s="706"/>
      <c r="N238" s="706"/>
      <c r="O238" s="706"/>
      <c r="P238" s="706"/>
      <c r="Q238" s="863"/>
      <c r="R238" s="706"/>
      <c r="S238" s="706"/>
      <c r="T238" s="706"/>
      <c r="U238" s="706"/>
      <c r="V238" s="706"/>
      <c r="W238" s="706"/>
      <c r="X238" s="706"/>
      <c r="Y238" s="863"/>
      <c r="Z238" s="706"/>
      <c r="AA238" s="706"/>
      <c r="AB238" s="706"/>
      <c r="AC238" s="706"/>
      <c r="AD238" s="706"/>
      <c r="AE238" s="706"/>
      <c r="AF238" s="706"/>
      <c r="AG238" s="863"/>
      <c r="AH238" s="706"/>
      <c r="AI238" s="706"/>
      <c r="AJ238" s="706"/>
      <c r="AK238" s="706"/>
      <c r="AL238" s="706"/>
      <c r="AM238" s="706"/>
      <c r="AN238" s="706"/>
      <c r="AO238" s="863"/>
      <c r="AP238" s="706"/>
      <c r="AQ238" s="706"/>
      <c r="AR238" s="706"/>
      <c r="AS238" s="706"/>
      <c r="AT238" s="706"/>
      <c r="AU238" s="706"/>
      <c r="AV238" s="706"/>
      <c r="AW238" s="706"/>
      <c r="AX238" s="706"/>
      <c r="AY238" s="706"/>
      <c r="AZ238" s="706"/>
      <c r="BA238" s="706"/>
      <c r="BB238" s="706"/>
      <c r="BC238" s="706"/>
      <c r="BD238" s="706"/>
      <c r="BE238" s="706"/>
      <c r="BF238" s="706"/>
      <c r="BG238" s="706"/>
      <c r="BH238" s="706"/>
    </row>
    <row r="239" spans="1:60" s="48" customFormat="1">
      <c r="A239" s="711"/>
      <c r="B239" s="711"/>
      <c r="C239" s="706"/>
      <c r="D239" s="706"/>
      <c r="E239" s="706"/>
      <c r="F239" s="706"/>
      <c r="G239" s="706"/>
      <c r="H239" s="706"/>
      <c r="I239" s="863"/>
      <c r="J239" s="706"/>
      <c r="K239" s="706"/>
      <c r="L239" s="706"/>
      <c r="M239" s="706"/>
      <c r="N239" s="706"/>
      <c r="O239" s="706"/>
      <c r="P239" s="706"/>
      <c r="Q239" s="863"/>
      <c r="R239" s="706"/>
      <c r="S239" s="706"/>
      <c r="T239" s="706"/>
      <c r="U239" s="706"/>
      <c r="V239" s="706"/>
      <c r="W239" s="706"/>
      <c r="X239" s="706"/>
      <c r="Y239" s="863"/>
      <c r="Z239" s="706"/>
      <c r="AA239" s="706"/>
      <c r="AB239" s="706"/>
      <c r="AC239" s="706"/>
      <c r="AD239" s="706"/>
      <c r="AE239" s="706"/>
      <c r="AF239" s="706"/>
      <c r="AG239" s="863"/>
      <c r="AH239" s="706"/>
      <c r="AI239" s="706"/>
      <c r="AJ239" s="706"/>
      <c r="AK239" s="706"/>
      <c r="AL239" s="706"/>
      <c r="AM239" s="706"/>
      <c r="AN239" s="706"/>
      <c r="AO239" s="863"/>
      <c r="AP239" s="706"/>
      <c r="AQ239" s="706"/>
      <c r="AR239" s="706"/>
      <c r="AS239" s="706"/>
      <c r="AT239" s="706"/>
      <c r="AU239" s="706"/>
      <c r="AV239" s="706"/>
      <c r="AW239" s="706"/>
      <c r="AX239" s="706"/>
      <c r="AY239" s="706"/>
      <c r="AZ239" s="706"/>
      <c r="BA239" s="706"/>
      <c r="BB239" s="706"/>
      <c r="BC239" s="706"/>
      <c r="BD239" s="706"/>
      <c r="BE239" s="706"/>
      <c r="BF239" s="706"/>
      <c r="BG239" s="706"/>
      <c r="BH239" s="706"/>
    </row>
    <row r="240" spans="1:60" s="48" customFormat="1">
      <c r="A240" s="711"/>
      <c r="B240" s="711"/>
      <c r="C240" s="706"/>
      <c r="D240" s="706"/>
      <c r="E240" s="706"/>
      <c r="F240" s="706"/>
      <c r="G240" s="706"/>
      <c r="H240" s="706"/>
      <c r="I240" s="863"/>
      <c r="J240" s="706"/>
      <c r="K240" s="706"/>
      <c r="L240" s="706"/>
      <c r="M240" s="706"/>
      <c r="N240" s="706"/>
      <c r="O240" s="706"/>
      <c r="P240" s="706"/>
      <c r="Q240" s="863"/>
      <c r="R240" s="706"/>
      <c r="S240" s="706"/>
      <c r="T240" s="706"/>
      <c r="U240" s="706"/>
      <c r="V240" s="706"/>
      <c r="W240" s="706"/>
      <c r="X240" s="706"/>
      <c r="Y240" s="863"/>
      <c r="Z240" s="706"/>
      <c r="AA240" s="706"/>
      <c r="AB240" s="706"/>
      <c r="AC240" s="706"/>
      <c r="AD240" s="706"/>
      <c r="AE240" s="706"/>
      <c r="AF240" s="706"/>
      <c r="AG240" s="863"/>
      <c r="AH240" s="706"/>
      <c r="AI240" s="706"/>
      <c r="AJ240" s="706"/>
      <c r="AK240" s="706"/>
      <c r="AL240" s="706"/>
      <c r="AM240" s="706"/>
      <c r="AN240" s="706"/>
      <c r="AO240" s="863"/>
      <c r="AP240" s="706"/>
      <c r="AQ240" s="706"/>
      <c r="AR240" s="706"/>
      <c r="AS240" s="706"/>
      <c r="AT240" s="706"/>
      <c r="AU240" s="706"/>
      <c r="AV240" s="706"/>
      <c r="AW240" s="706"/>
      <c r="AX240" s="706"/>
      <c r="AY240" s="706"/>
      <c r="AZ240" s="706"/>
      <c r="BA240" s="706"/>
      <c r="BB240" s="706"/>
      <c r="BC240" s="706"/>
      <c r="BD240" s="706"/>
      <c r="BE240" s="706"/>
      <c r="BF240" s="706"/>
      <c r="BG240" s="706"/>
      <c r="BH240" s="706"/>
    </row>
    <row r="241" spans="1:60" s="48" customFormat="1">
      <c r="A241" s="711"/>
      <c r="B241" s="711"/>
      <c r="C241" s="706"/>
      <c r="D241" s="706"/>
      <c r="E241" s="706"/>
      <c r="F241" s="706"/>
      <c r="G241" s="706"/>
      <c r="H241" s="706"/>
      <c r="I241" s="863"/>
      <c r="J241" s="706"/>
      <c r="K241" s="706"/>
      <c r="L241" s="706"/>
      <c r="M241" s="706"/>
      <c r="N241" s="706"/>
      <c r="O241" s="706"/>
      <c r="P241" s="706"/>
      <c r="Q241" s="863"/>
      <c r="R241" s="706"/>
      <c r="S241" s="706"/>
      <c r="T241" s="706"/>
      <c r="U241" s="706"/>
      <c r="V241" s="706"/>
      <c r="W241" s="706"/>
      <c r="X241" s="706"/>
      <c r="Y241" s="863"/>
      <c r="Z241" s="706"/>
      <c r="AA241" s="706"/>
      <c r="AB241" s="706"/>
      <c r="AC241" s="706"/>
      <c r="AD241" s="706"/>
      <c r="AE241" s="706"/>
      <c r="AF241" s="706"/>
      <c r="AG241" s="863"/>
      <c r="AH241" s="706"/>
      <c r="AI241" s="706"/>
      <c r="AJ241" s="706"/>
      <c r="AK241" s="706"/>
      <c r="AL241" s="706"/>
      <c r="AM241" s="706"/>
      <c r="AN241" s="706"/>
      <c r="AO241" s="863"/>
      <c r="AP241" s="706"/>
      <c r="AQ241" s="706"/>
      <c r="AR241" s="706"/>
      <c r="AS241" s="706"/>
      <c r="AT241" s="706"/>
      <c r="AU241" s="706"/>
      <c r="AV241" s="706"/>
      <c r="AW241" s="706"/>
      <c r="AX241" s="706"/>
      <c r="AY241" s="706"/>
      <c r="AZ241" s="706"/>
      <c r="BA241" s="706"/>
      <c r="BB241" s="706"/>
      <c r="BC241" s="706"/>
      <c r="BD241" s="706"/>
      <c r="BE241" s="706"/>
      <c r="BF241" s="706"/>
      <c r="BG241" s="706"/>
      <c r="BH241" s="706"/>
    </row>
    <row r="242" spans="1:60" s="48" customFormat="1">
      <c r="A242" s="711"/>
      <c r="B242" s="711"/>
      <c r="C242" s="706"/>
      <c r="D242" s="706"/>
      <c r="E242" s="706"/>
      <c r="F242" s="706"/>
      <c r="G242" s="706"/>
      <c r="H242" s="706"/>
      <c r="I242" s="863"/>
      <c r="J242" s="706"/>
      <c r="K242" s="706"/>
      <c r="L242" s="706"/>
      <c r="M242" s="706"/>
      <c r="N242" s="706"/>
      <c r="O242" s="706"/>
      <c r="P242" s="706"/>
      <c r="Q242" s="863"/>
      <c r="R242" s="706"/>
      <c r="S242" s="706"/>
      <c r="T242" s="706"/>
      <c r="U242" s="706"/>
      <c r="V242" s="706"/>
      <c r="W242" s="706"/>
      <c r="X242" s="706"/>
      <c r="Y242" s="863"/>
      <c r="Z242" s="706"/>
      <c r="AA242" s="706"/>
      <c r="AB242" s="706"/>
      <c r="AC242" s="706"/>
      <c r="AD242" s="706"/>
      <c r="AE242" s="706"/>
      <c r="AF242" s="706"/>
      <c r="AG242" s="863"/>
      <c r="AH242" s="706"/>
      <c r="AI242" s="706"/>
      <c r="AJ242" s="706"/>
      <c r="AK242" s="706"/>
      <c r="AL242" s="706"/>
      <c r="AM242" s="706"/>
      <c r="AN242" s="706"/>
      <c r="AO242" s="863"/>
      <c r="AP242" s="706"/>
      <c r="AQ242" s="706"/>
      <c r="AR242" s="706"/>
      <c r="AS242" s="706"/>
      <c r="AT242" s="706"/>
      <c r="AU242" s="706"/>
      <c r="AV242" s="706"/>
      <c r="AW242" s="706"/>
      <c r="AX242" s="706"/>
      <c r="AY242" s="706"/>
      <c r="AZ242" s="706"/>
      <c r="BA242" s="706"/>
      <c r="BB242" s="706"/>
      <c r="BC242" s="706"/>
      <c r="BD242" s="706"/>
      <c r="BE242" s="706"/>
      <c r="BF242" s="706"/>
      <c r="BG242" s="706"/>
      <c r="BH242" s="706"/>
    </row>
    <row r="243" spans="1:60" s="48" customFormat="1">
      <c r="A243" s="711"/>
      <c r="B243" s="711"/>
      <c r="C243" s="706"/>
      <c r="D243" s="706"/>
      <c r="E243" s="706"/>
      <c r="F243" s="706"/>
      <c r="G243" s="706"/>
      <c r="H243" s="706"/>
      <c r="I243" s="863"/>
      <c r="J243" s="706"/>
      <c r="K243" s="706"/>
      <c r="L243" s="706"/>
      <c r="M243" s="706"/>
      <c r="N243" s="706"/>
      <c r="O243" s="706"/>
      <c r="P243" s="706"/>
      <c r="Q243" s="863"/>
      <c r="R243" s="706"/>
      <c r="S243" s="706"/>
      <c r="T243" s="706"/>
      <c r="U243" s="706"/>
      <c r="V243" s="706"/>
      <c r="W243" s="706"/>
      <c r="X243" s="706"/>
      <c r="Y243" s="863"/>
      <c r="Z243" s="706"/>
      <c r="AA243" s="706"/>
      <c r="AB243" s="706"/>
      <c r="AC243" s="706"/>
      <c r="AD243" s="706"/>
      <c r="AE243" s="706"/>
      <c r="AF243" s="706"/>
      <c r="AG243" s="863"/>
      <c r="AH243" s="706"/>
      <c r="AI243" s="706"/>
      <c r="AJ243" s="706"/>
      <c r="AK243" s="706"/>
      <c r="AL243" s="706"/>
      <c r="AM243" s="706"/>
      <c r="AN243" s="706"/>
      <c r="AO243" s="863"/>
      <c r="AP243" s="706"/>
      <c r="AQ243" s="706"/>
      <c r="AR243" s="706"/>
      <c r="AS243" s="706"/>
      <c r="AT243" s="706"/>
      <c r="AU243" s="706"/>
      <c r="AV243" s="706"/>
      <c r="AW243" s="706"/>
      <c r="AX243" s="706"/>
      <c r="AY243" s="706"/>
      <c r="AZ243" s="706"/>
      <c r="BA243" s="706"/>
      <c r="BB243" s="706"/>
      <c r="BC243" s="706"/>
      <c r="BD243" s="706"/>
      <c r="BE243" s="706"/>
      <c r="BF243" s="706"/>
      <c r="BG243" s="706"/>
      <c r="BH243" s="706"/>
    </row>
    <row r="244" spans="1:60" s="48" customFormat="1">
      <c r="A244" s="711"/>
      <c r="B244" s="711"/>
      <c r="C244" s="706"/>
      <c r="D244" s="706"/>
      <c r="E244" s="706"/>
      <c r="F244" s="706"/>
      <c r="G244" s="706"/>
      <c r="H244" s="706"/>
      <c r="I244" s="863"/>
      <c r="J244" s="706"/>
      <c r="K244" s="706"/>
      <c r="L244" s="706"/>
      <c r="M244" s="706"/>
      <c r="N244" s="706"/>
      <c r="O244" s="706"/>
      <c r="P244" s="706"/>
      <c r="Q244" s="863"/>
      <c r="R244" s="706"/>
      <c r="S244" s="706"/>
      <c r="T244" s="706"/>
      <c r="U244" s="706"/>
      <c r="V244" s="706"/>
      <c r="W244" s="706"/>
      <c r="X244" s="706"/>
      <c r="Y244" s="863"/>
      <c r="Z244" s="706"/>
      <c r="AA244" s="706"/>
      <c r="AB244" s="706"/>
      <c r="AC244" s="706"/>
      <c r="AD244" s="706"/>
      <c r="AE244" s="706"/>
      <c r="AF244" s="706"/>
      <c r="AG244" s="863"/>
      <c r="AH244" s="706"/>
      <c r="AI244" s="706"/>
      <c r="AJ244" s="706"/>
      <c r="AK244" s="706"/>
      <c r="AL244" s="706"/>
      <c r="AM244" s="706"/>
      <c r="AN244" s="706"/>
      <c r="AO244" s="863"/>
      <c r="AP244" s="706"/>
      <c r="AQ244" s="706"/>
      <c r="AR244" s="706"/>
      <c r="AS244" s="706"/>
      <c r="AT244" s="706"/>
      <c r="AU244" s="706"/>
      <c r="AV244" s="706"/>
      <c r="AW244" s="706"/>
      <c r="AX244" s="706"/>
      <c r="AY244" s="706"/>
      <c r="AZ244" s="706"/>
      <c r="BA244" s="706"/>
      <c r="BB244" s="706"/>
      <c r="BC244" s="706"/>
      <c r="BD244" s="706"/>
      <c r="BE244" s="706"/>
      <c r="BF244" s="706"/>
      <c r="BG244" s="706"/>
      <c r="BH244" s="706"/>
    </row>
    <row r="245" spans="1:60" s="48" customFormat="1">
      <c r="A245" s="711"/>
      <c r="B245" s="711"/>
      <c r="C245" s="706"/>
      <c r="D245" s="706"/>
      <c r="E245" s="706"/>
      <c r="F245" s="706"/>
      <c r="G245" s="706"/>
      <c r="H245" s="706"/>
      <c r="I245" s="863"/>
      <c r="J245" s="706"/>
      <c r="K245" s="706"/>
      <c r="L245" s="706"/>
      <c r="M245" s="706"/>
      <c r="N245" s="706"/>
      <c r="O245" s="706"/>
      <c r="P245" s="706"/>
      <c r="Q245" s="863"/>
      <c r="R245" s="706"/>
      <c r="S245" s="706"/>
      <c r="T245" s="706"/>
      <c r="U245" s="706"/>
      <c r="V245" s="706"/>
      <c r="W245" s="706"/>
      <c r="X245" s="706"/>
      <c r="Y245" s="863"/>
      <c r="Z245" s="706"/>
      <c r="AA245" s="706"/>
      <c r="AB245" s="706"/>
      <c r="AC245" s="706"/>
      <c r="AD245" s="706"/>
      <c r="AE245" s="706"/>
      <c r="AF245" s="706"/>
      <c r="AG245" s="863"/>
      <c r="AH245" s="706"/>
      <c r="AI245" s="706"/>
      <c r="AJ245" s="706"/>
      <c r="AK245" s="706"/>
      <c r="AL245" s="706"/>
      <c r="AM245" s="706"/>
      <c r="AN245" s="706"/>
      <c r="AO245" s="863"/>
      <c r="AP245" s="706"/>
      <c r="AQ245" s="706"/>
      <c r="AR245" s="706"/>
      <c r="AS245" s="706"/>
      <c r="AT245" s="706"/>
      <c r="AU245" s="706"/>
      <c r="AV245" s="706"/>
      <c r="AW245" s="706"/>
      <c r="AX245" s="706"/>
      <c r="AY245" s="706"/>
      <c r="AZ245" s="706"/>
      <c r="BA245" s="706"/>
      <c r="BB245" s="706"/>
      <c r="BC245" s="706"/>
      <c r="BD245" s="706"/>
      <c r="BE245" s="706"/>
      <c r="BF245" s="706"/>
      <c r="BG245" s="706"/>
      <c r="BH245" s="706"/>
    </row>
    <row r="246" spans="1:60" s="48" customFormat="1">
      <c r="A246" s="711"/>
      <c r="B246" s="711"/>
      <c r="C246" s="706"/>
      <c r="D246" s="706"/>
      <c r="E246" s="706"/>
      <c r="F246" s="706"/>
      <c r="G246" s="706"/>
      <c r="H246" s="706"/>
      <c r="I246" s="863"/>
      <c r="J246" s="706"/>
      <c r="K246" s="706"/>
      <c r="L246" s="706"/>
      <c r="M246" s="706"/>
      <c r="N246" s="706"/>
      <c r="O246" s="706"/>
      <c r="P246" s="706"/>
      <c r="Q246" s="863"/>
      <c r="R246" s="706"/>
      <c r="S246" s="706"/>
      <c r="T246" s="706"/>
      <c r="U246" s="706"/>
      <c r="V246" s="706"/>
      <c r="W246" s="706"/>
      <c r="X246" s="706"/>
      <c r="Y246" s="863"/>
      <c r="Z246" s="706"/>
      <c r="AA246" s="706"/>
      <c r="AB246" s="706"/>
      <c r="AC246" s="706"/>
      <c r="AD246" s="706"/>
      <c r="AE246" s="706"/>
      <c r="AF246" s="706"/>
      <c r="AG246" s="863"/>
      <c r="AH246" s="706"/>
      <c r="AI246" s="706"/>
      <c r="AJ246" s="706"/>
      <c r="AK246" s="706"/>
      <c r="AL246" s="706"/>
      <c r="AM246" s="706"/>
      <c r="AN246" s="706"/>
      <c r="AO246" s="863"/>
      <c r="AP246" s="706"/>
      <c r="AQ246" s="706"/>
      <c r="AR246" s="706"/>
      <c r="AS246" s="706"/>
      <c r="AT246" s="706"/>
      <c r="AU246" s="706"/>
      <c r="AV246" s="706"/>
      <c r="AW246" s="706"/>
      <c r="AX246" s="706"/>
      <c r="AY246" s="706"/>
      <c r="AZ246" s="706"/>
      <c r="BA246" s="706"/>
      <c r="BB246" s="706"/>
      <c r="BC246" s="706"/>
      <c r="BD246" s="706"/>
      <c r="BE246" s="706"/>
      <c r="BF246" s="706"/>
      <c r="BG246" s="706"/>
      <c r="BH246" s="706"/>
    </row>
    <row r="247" spans="1:60" s="48" customFormat="1">
      <c r="A247" s="711"/>
      <c r="B247" s="711"/>
      <c r="C247" s="706"/>
      <c r="D247" s="706"/>
      <c r="E247" s="706"/>
      <c r="F247" s="706"/>
      <c r="G247" s="706"/>
      <c r="H247" s="706"/>
      <c r="I247" s="863"/>
      <c r="J247" s="706"/>
      <c r="K247" s="706"/>
      <c r="L247" s="706"/>
      <c r="M247" s="706"/>
      <c r="N247" s="706"/>
      <c r="O247" s="706"/>
      <c r="P247" s="706"/>
      <c r="Q247" s="863"/>
      <c r="R247" s="706"/>
      <c r="S247" s="706"/>
      <c r="T247" s="706"/>
      <c r="U247" s="706"/>
      <c r="V247" s="706"/>
      <c r="W247" s="706"/>
      <c r="X247" s="706"/>
      <c r="Y247" s="863"/>
      <c r="Z247" s="706"/>
      <c r="AA247" s="706"/>
      <c r="AB247" s="706"/>
      <c r="AC247" s="706"/>
      <c r="AD247" s="706"/>
      <c r="AE247" s="706"/>
      <c r="AF247" s="706"/>
      <c r="AG247" s="863"/>
      <c r="AH247" s="706"/>
      <c r="AI247" s="706"/>
      <c r="AJ247" s="706"/>
      <c r="AK247" s="706"/>
      <c r="AL247" s="706"/>
      <c r="AM247" s="706"/>
      <c r="AN247" s="706"/>
      <c r="AO247" s="863"/>
      <c r="AP247" s="706"/>
      <c r="AQ247" s="706"/>
      <c r="AR247" s="706"/>
      <c r="AS247" s="706"/>
      <c r="AT247" s="706"/>
      <c r="AU247" s="706"/>
      <c r="AV247" s="706"/>
      <c r="AW247" s="706"/>
      <c r="AX247" s="706"/>
      <c r="AY247" s="706"/>
      <c r="AZ247" s="706"/>
      <c r="BA247" s="706"/>
      <c r="BB247" s="706"/>
      <c r="BC247" s="706"/>
      <c r="BD247" s="706"/>
      <c r="BE247" s="706"/>
      <c r="BF247" s="706"/>
      <c r="BG247" s="706"/>
      <c r="BH247" s="706"/>
    </row>
    <row r="248" spans="1:60" s="48" customFormat="1">
      <c r="A248" s="711"/>
      <c r="B248" s="711"/>
      <c r="C248" s="706"/>
      <c r="D248" s="706"/>
      <c r="E248" s="706"/>
      <c r="F248" s="706"/>
      <c r="G248" s="706"/>
      <c r="H248" s="706"/>
      <c r="I248" s="863"/>
      <c r="J248" s="706"/>
      <c r="K248" s="706"/>
      <c r="L248" s="706"/>
      <c r="M248" s="706"/>
      <c r="N248" s="706"/>
      <c r="O248" s="706"/>
      <c r="P248" s="706"/>
      <c r="Q248" s="863"/>
      <c r="R248" s="706"/>
      <c r="S248" s="706"/>
      <c r="T248" s="706"/>
      <c r="U248" s="706"/>
      <c r="V248" s="706"/>
      <c r="W248" s="706"/>
      <c r="X248" s="706"/>
      <c r="Y248" s="863"/>
      <c r="Z248" s="706"/>
      <c r="AA248" s="706"/>
      <c r="AB248" s="706"/>
      <c r="AC248" s="706"/>
      <c r="AD248" s="706"/>
      <c r="AE248" s="706"/>
      <c r="AF248" s="706"/>
      <c r="AG248" s="863"/>
      <c r="AH248" s="706"/>
      <c r="AI248" s="706"/>
      <c r="AJ248" s="706"/>
      <c r="AK248" s="706"/>
      <c r="AL248" s="706"/>
      <c r="AM248" s="706"/>
      <c r="AN248" s="706"/>
      <c r="AO248" s="863"/>
      <c r="AP248" s="706"/>
      <c r="AQ248" s="706"/>
      <c r="AR248" s="706"/>
      <c r="AS248" s="706"/>
      <c r="AT248" s="706"/>
      <c r="AU248" s="706"/>
      <c r="AV248" s="706"/>
      <c r="AW248" s="706"/>
      <c r="AX248" s="706"/>
      <c r="AY248" s="706"/>
      <c r="AZ248" s="706"/>
      <c r="BA248" s="706"/>
      <c r="BB248" s="706"/>
      <c r="BC248" s="706"/>
      <c r="BD248" s="706"/>
      <c r="BE248" s="706"/>
      <c r="BF248" s="706"/>
      <c r="BG248" s="706"/>
      <c r="BH248" s="706"/>
    </row>
    <row r="249" spans="1:60" s="48" customFormat="1">
      <c r="A249" s="711"/>
      <c r="B249" s="711"/>
      <c r="C249" s="706"/>
      <c r="D249" s="706"/>
      <c r="E249" s="706"/>
      <c r="F249" s="706"/>
      <c r="G249" s="706"/>
      <c r="H249" s="706"/>
      <c r="I249" s="863"/>
      <c r="J249" s="706"/>
      <c r="K249" s="706"/>
      <c r="L249" s="706"/>
      <c r="M249" s="706"/>
      <c r="N249" s="706"/>
      <c r="O249" s="706"/>
      <c r="P249" s="706"/>
      <c r="Q249" s="863"/>
      <c r="R249" s="706"/>
      <c r="S249" s="706"/>
      <c r="T249" s="706"/>
      <c r="U249" s="706"/>
      <c r="V249" s="706"/>
      <c r="W249" s="706"/>
      <c r="X249" s="706"/>
      <c r="Y249" s="863"/>
      <c r="Z249" s="706"/>
      <c r="AA249" s="706"/>
      <c r="AB249" s="706"/>
      <c r="AC249" s="706"/>
      <c r="AD249" s="706"/>
      <c r="AE249" s="706"/>
      <c r="AF249" s="706"/>
      <c r="AG249" s="863"/>
      <c r="AH249" s="706"/>
      <c r="AI249" s="706"/>
      <c r="AJ249" s="706"/>
      <c r="AK249" s="706"/>
      <c r="AL249" s="706"/>
      <c r="AM249" s="706"/>
      <c r="AN249" s="706"/>
      <c r="AO249" s="863"/>
      <c r="AP249" s="706"/>
      <c r="AQ249" s="706"/>
      <c r="AR249" s="706"/>
      <c r="AS249" s="706"/>
      <c r="AT249" s="706"/>
      <c r="AU249" s="706"/>
      <c r="AV249" s="706"/>
      <c r="AW249" s="706"/>
      <c r="AX249" s="706"/>
      <c r="AY249" s="706"/>
      <c r="AZ249" s="706"/>
      <c r="BA249" s="706"/>
      <c r="BB249" s="706"/>
      <c r="BC249" s="706"/>
      <c r="BD249" s="706"/>
      <c r="BE249" s="706"/>
      <c r="BF249" s="706"/>
      <c r="BG249" s="706"/>
      <c r="BH249" s="706"/>
    </row>
    <row r="250" spans="1:60" s="48" customFormat="1">
      <c r="A250" s="711"/>
      <c r="B250" s="711"/>
      <c r="C250" s="706"/>
      <c r="D250" s="706"/>
      <c r="E250" s="706"/>
      <c r="F250" s="706"/>
      <c r="G250" s="706"/>
      <c r="H250" s="706"/>
      <c r="I250" s="863"/>
      <c r="J250" s="706"/>
      <c r="K250" s="706"/>
      <c r="L250" s="706"/>
      <c r="M250" s="706"/>
      <c r="N250" s="706"/>
      <c r="O250" s="706"/>
      <c r="P250" s="706"/>
      <c r="Q250" s="863"/>
      <c r="R250" s="706"/>
      <c r="S250" s="706"/>
      <c r="T250" s="706"/>
      <c r="U250" s="706"/>
      <c r="V250" s="706"/>
      <c r="W250" s="706"/>
      <c r="X250" s="706"/>
      <c r="Y250" s="863"/>
      <c r="Z250" s="706"/>
      <c r="AA250" s="706"/>
      <c r="AB250" s="706"/>
      <c r="AC250" s="706"/>
      <c r="AD250" s="706"/>
      <c r="AE250" s="706"/>
      <c r="AF250" s="706"/>
      <c r="AG250" s="863"/>
      <c r="AH250" s="706"/>
      <c r="AI250" s="706"/>
      <c r="AJ250" s="706"/>
      <c r="AK250" s="706"/>
      <c r="AL250" s="706"/>
      <c r="AM250" s="706"/>
      <c r="AN250" s="706"/>
      <c r="AO250" s="863"/>
      <c r="AP250" s="706"/>
      <c r="AQ250" s="706"/>
      <c r="AR250" s="706"/>
      <c r="AS250" s="706"/>
      <c r="AT250" s="706"/>
      <c r="AU250" s="706"/>
      <c r="AV250" s="706"/>
      <c r="AW250" s="706"/>
      <c r="AX250" s="706"/>
      <c r="AY250" s="706"/>
      <c r="AZ250" s="706"/>
      <c r="BA250" s="706"/>
      <c r="BB250" s="706"/>
      <c r="BC250" s="706"/>
      <c r="BD250" s="706"/>
      <c r="BE250" s="706"/>
      <c r="BF250" s="706"/>
      <c r="BG250" s="706"/>
      <c r="BH250" s="706"/>
    </row>
    <row r="251" spans="1:60" s="48" customFormat="1">
      <c r="A251" s="711"/>
      <c r="B251" s="711"/>
      <c r="C251" s="706"/>
      <c r="D251" s="706"/>
      <c r="E251" s="706"/>
      <c r="F251" s="706"/>
      <c r="G251" s="706"/>
      <c r="H251" s="706"/>
      <c r="I251" s="863"/>
      <c r="J251" s="706"/>
      <c r="K251" s="706"/>
      <c r="L251" s="706"/>
      <c r="M251" s="706"/>
      <c r="N251" s="706"/>
      <c r="O251" s="706"/>
      <c r="P251" s="706"/>
      <c r="Q251" s="863"/>
      <c r="R251" s="706"/>
      <c r="S251" s="706"/>
      <c r="T251" s="706"/>
      <c r="U251" s="706"/>
      <c r="V251" s="706"/>
      <c r="W251" s="706"/>
      <c r="X251" s="706"/>
      <c r="Y251" s="863"/>
      <c r="Z251" s="706"/>
      <c r="AA251" s="706"/>
      <c r="AB251" s="706"/>
      <c r="AC251" s="706"/>
      <c r="AD251" s="706"/>
      <c r="AE251" s="706"/>
      <c r="AF251" s="706"/>
      <c r="AG251" s="863"/>
      <c r="AH251" s="706"/>
      <c r="AI251" s="706"/>
      <c r="AJ251" s="706"/>
      <c r="AK251" s="706"/>
      <c r="AL251" s="706"/>
      <c r="AM251" s="706"/>
      <c r="AN251" s="706"/>
      <c r="AO251" s="863"/>
      <c r="AP251" s="706"/>
      <c r="AQ251" s="706"/>
      <c r="AR251" s="706"/>
      <c r="AS251" s="706"/>
      <c r="AT251" s="706"/>
      <c r="AU251" s="706"/>
      <c r="AV251" s="706"/>
      <c r="AW251" s="706"/>
      <c r="AX251" s="706"/>
      <c r="AY251" s="706"/>
      <c r="AZ251" s="706"/>
      <c r="BA251" s="706"/>
      <c r="BB251" s="706"/>
      <c r="BC251" s="706"/>
      <c r="BD251" s="706"/>
      <c r="BE251" s="706"/>
      <c r="BF251" s="706"/>
      <c r="BG251" s="706"/>
      <c r="BH251" s="706"/>
    </row>
    <row r="252" spans="1:60" s="48" customFormat="1">
      <c r="A252" s="711"/>
      <c r="B252" s="711"/>
      <c r="C252" s="706"/>
      <c r="D252" s="706"/>
      <c r="E252" s="706"/>
      <c r="F252" s="706"/>
      <c r="G252" s="706"/>
      <c r="H252" s="706"/>
      <c r="I252" s="863"/>
      <c r="J252" s="706"/>
      <c r="K252" s="706"/>
      <c r="L252" s="706"/>
      <c r="M252" s="706"/>
      <c r="N252" s="706"/>
      <c r="O252" s="706"/>
      <c r="P252" s="706"/>
      <c r="Q252" s="863"/>
      <c r="R252" s="706"/>
      <c r="S252" s="706"/>
      <c r="T252" s="706"/>
      <c r="U252" s="706"/>
      <c r="V252" s="706"/>
      <c r="W252" s="706"/>
      <c r="X252" s="706"/>
      <c r="Y252" s="863"/>
      <c r="Z252" s="706"/>
      <c r="AA252" s="706"/>
      <c r="AB252" s="706"/>
      <c r="AC252" s="706"/>
      <c r="AD252" s="706"/>
      <c r="AE252" s="706"/>
      <c r="AF252" s="706"/>
      <c r="AG252" s="863"/>
      <c r="AH252" s="706"/>
      <c r="AI252" s="706"/>
      <c r="AJ252" s="706"/>
      <c r="AK252" s="706"/>
      <c r="AL252" s="706"/>
      <c r="AM252" s="706"/>
      <c r="AN252" s="706"/>
      <c r="AO252" s="863"/>
      <c r="AP252" s="706"/>
      <c r="AQ252" s="706"/>
      <c r="AR252" s="706"/>
      <c r="AS252" s="706"/>
      <c r="AT252" s="706"/>
      <c r="AU252" s="706"/>
      <c r="AV252" s="706"/>
      <c r="AW252" s="706"/>
      <c r="AX252" s="706"/>
      <c r="AY252" s="706"/>
      <c r="AZ252" s="706"/>
      <c r="BA252" s="706"/>
      <c r="BB252" s="706"/>
      <c r="BC252" s="706"/>
      <c r="BD252" s="706"/>
      <c r="BE252" s="706"/>
      <c r="BF252" s="706"/>
      <c r="BG252" s="706"/>
      <c r="BH252" s="706"/>
    </row>
    <row r="253" spans="1:60" s="48" customFormat="1">
      <c r="A253" s="711"/>
      <c r="B253" s="711"/>
      <c r="C253" s="706"/>
      <c r="D253" s="706"/>
      <c r="E253" s="706"/>
      <c r="F253" s="706"/>
      <c r="G253" s="706"/>
      <c r="H253" s="706"/>
      <c r="I253" s="863"/>
      <c r="J253" s="706"/>
      <c r="K253" s="706"/>
      <c r="L253" s="706"/>
      <c r="M253" s="706"/>
      <c r="N253" s="706"/>
      <c r="O253" s="706"/>
      <c r="P253" s="706"/>
      <c r="Q253" s="863"/>
      <c r="R253" s="706"/>
      <c r="S253" s="706"/>
      <c r="T253" s="706"/>
      <c r="U253" s="706"/>
      <c r="V253" s="706"/>
      <c r="W253" s="706"/>
      <c r="X253" s="706"/>
      <c r="Y253" s="863"/>
      <c r="Z253" s="706"/>
      <c r="AA253" s="706"/>
      <c r="AB253" s="706"/>
      <c r="AC253" s="706"/>
      <c r="AD253" s="706"/>
      <c r="AE253" s="706"/>
      <c r="AF253" s="706"/>
      <c r="AG253" s="863"/>
      <c r="AH253" s="706"/>
      <c r="AI253" s="706"/>
      <c r="AJ253" s="706"/>
      <c r="AK253" s="706"/>
      <c r="AL253" s="706"/>
      <c r="AM253" s="706"/>
      <c r="AN253" s="706"/>
      <c r="AO253" s="863"/>
      <c r="AP253" s="706"/>
      <c r="AQ253" s="706"/>
      <c r="AR253" s="706"/>
      <c r="AS253" s="706"/>
      <c r="AT253" s="706"/>
      <c r="AU253" s="706"/>
      <c r="AV253" s="706"/>
      <c r="AW253" s="706"/>
      <c r="AX253" s="706"/>
      <c r="AY253" s="706"/>
      <c r="AZ253" s="706"/>
      <c r="BA253" s="706"/>
      <c r="BB253" s="706"/>
      <c r="BC253" s="706"/>
      <c r="BD253" s="706"/>
      <c r="BE253" s="706"/>
      <c r="BF253" s="706"/>
      <c r="BG253" s="706"/>
      <c r="BH253" s="706"/>
    </row>
    <row r="254" spans="1:60" s="48" customFormat="1">
      <c r="A254" s="711"/>
      <c r="B254" s="711"/>
      <c r="C254" s="706"/>
      <c r="D254" s="706"/>
      <c r="E254" s="706"/>
      <c r="F254" s="706"/>
      <c r="G254" s="706"/>
      <c r="H254" s="706"/>
      <c r="I254" s="863"/>
      <c r="J254" s="706"/>
      <c r="K254" s="706"/>
      <c r="L254" s="706"/>
      <c r="M254" s="706"/>
      <c r="N254" s="706"/>
      <c r="O254" s="706"/>
      <c r="P254" s="706"/>
      <c r="Q254" s="863"/>
      <c r="R254" s="706"/>
      <c r="S254" s="706"/>
      <c r="T254" s="706"/>
      <c r="U254" s="706"/>
      <c r="V254" s="706"/>
      <c r="W254" s="706"/>
      <c r="X254" s="706"/>
      <c r="Y254" s="863"/>
      <c r="Z254" s="706"/>
      <c r="AA254" s="706"/>
      <c r="AB254" s="706"/>
      <c r="AC254" s="706"/>
      <c r="AD254" s="706"/>
      <c r="AE254" s="706"/>
      <c r="AF254" s="706"/>
      <c r="AG254" s="863"/>
      <c r="AH254" s="706"/>
      <c r="AI254" s="706"/>
      <c r="AJ254" s="706"/>
      <c r="AK254" s="706"/>
      <c r="AL254" s="706"/>
      <c r="AM254" s="706"/>
      <c r="AN254" s="706"/>
      <c r="AO254" s="863"/>
      <c r="AP254" s="706"/>
      <c r="AQ254" s="706"/>
      <c r="AR254" s="706"/>
      <c r="AS254" s="706"/>
      <c r="AT254" s="706"/>
      <c r="AU254" s="706"/>
      <c r="AV254" s="706"/>
      <c r="AW254" s="706"/>
      <c r="AX254" s="706"/>
      <c r="AY254" s="706"/>
      <c r="AZ254" s="706"/>
      <c r="BA254" s="706"/>
      <c r="BB254" s="706"/>
      <c r="BC254" s="706"/>
      <c r="BD254" s="706"/>
      <c r="BE254" s="706"/>
      <c r="BF254" s="706"/>
      <c r="BG254" s="706"/>
      <c r="BH254" s="706"/>
    </row>
    <row r="255" spans="1:60" s="48" customFormat="1">
      <c r="A255" s="711"/>
      <c r="B255" s="711"/>
      <c r="C255" s="706"/>
      <c r="D255" s="706"/>
      <c r="E255" s="706"/>
      <c r="F255" s="706"/>
      <c r="G255" s="706"/>
      <c r="H255" s="706"/>
      <c r="I255" s="863"/>
      <c r="J255" s="706"/>
      <c r="K255" s="706"/>
      <c r="L255" s="706"/>
      <c r="M255" s="706"/>
      <c r="N255" s="706"/>
      <c r="O255" s="706"/>
      <c r="P255" s="706"/>
      <c r="Q255" s="863"/>
      <c r="R255" s="706"/>
      <c r="S255" s="706"/>
      <c r="T255" s="706"/>
      <c r="U255" s="706"/>
      <c r="V255" s="706"/>
      <c r="W255" s="706"/>
      <c r="X255" s="706"/>
      <c r="Y255" s="863"/>
      <c r="Z255" s="706"/>
      <c r="AA255" s="706"/>
      <c r="AB255" s="706"/>
      <c r="AC255" s="706"/>
      <c r="AD255" s="706"/>
      <c r="AE255" s="706"/>
      <c r="AF255" s="706"/>
      <c r="AG255" s="863"/>
      <c r="AH255" s="706"/>
      <c r="AI255" s="706"/>
      <c r="AJ255" s="706"/>
      <c r="AK255" s="706"/>
      <c r="AL255" s="706"/>
      <c r="AM255" s="706"/>
      <c r="AN255" s="706"/>
      <c r="AO255" s="863"/>
      <c r="AP255" s="706"/>
      <c r="AQ255" s="706"/>
      <c r="AR255" s="706"/>
      <c r="AS255" s="706"/>
      <c r="AT255" s="706"/>
      <c r="AU255" s="706"/>
      <c r="AV255" s="706"/>
      <c r="AW255" s="706"/>
      <c r="AX255" s="706"/>
      <c r="AY255" s="706"/>
      <c r="AZ255" s="706"/>
      <c r="BA255" s="706"/>
      <c r="BB255" s="706"/>
      <c r="BC255" s="706"/>
      <c r="BD255" s="706"/>
      <c r="BE255" s="706"/>
      <c r="BF255" s="706"/>
      <c r="BG255" s="706"/>
      <c r="BH255" s="706"/>
    </row>
    <row r="256" spans="1:60" s="48" customFormat="1">
      <c r="A256" s="711"/>
      <c r="B256" s="711"/>
      <c r="C256" s="706"/>
      <c r="D256" s="706"/>
      <c r="E256" s="706"/>
      <c r="F256" s="706"/>
      <c r="G256" s="706"/>
      <c r="H256" s="706"/>
      <c r="I256" s="863"/>
      <c r="J256" s="706"/>
      <c r="K256" s="706"/>
      <c r="L256" s="706"/>
      <c r="M256" s="706"/>
      <c r="N256" s="706"/>
      <c r="O256" s="706"/>
      <c r="P256" s="706"/>
      <c r="Q256" s="863"/>
      <c r="R256" s="706"/>
      <c r="S256" s="706"/>
      <c r="T256" s="706"/>
      <c r="U256" s="706"/>
      <c r="V256" s="706"/>
      <c r="W256" s="706"/>
      <c r="X256" s="706"/>
      <c r="Y256" s="863"/>
      <c r="Z256" s="706"/>
      <c r="AA256" s="706"/>
      <c r="AB256" s="706"/>
      <c r="AC256" s="706"/>
      <c r="AD256" s="706"/>
      <c r="AE256" s="706"/>
      <c r="AF256" s="706"/>
      <c r="AG256" s="863"/>
      <c r="AH256" s="706"/>
      <c r="AI256" s="706"/>
      <c r="AJ256" s="706"/>
      <c r="AK256" s="706"/>
      <c r="AL256" s="706"/>
      <c r="AM256" s="706"/>
      <c r="AN256" s="706"/>
      <c r="AO256" s="863"/>
      <c r="AP256" s="706"/>
      <c r="AQ256" s="706"/>
      <c r="AR256" s="706"/>
      <c r="AS256" s="706"/>
      <c r="AT256" s="706"/>
      <c r="AU256" s="706"/>
      <c r="AV256" s="706"/>
      <c r="AW256" s="706"/>
      <c r="AX256" s="706"/>
      <c r="AY256" s="706"/>
      <c r="AZ256" s="706"/>
      <c r="BA256" s="706"/>
      <c r="BB256" s="706"/>
      <c r="BC256" s="706"/>
      <c r="BD256" s="706"/>
      <c r="BE256" s="706"/>
      <c r="BF256" s="706"/>
      <c r="BG256" s="706"/>
      <c r="BH256" s="706"/>
    </row>
    <row r="257" spans="1:60" s="48" customFormat="1">
      <c r="A257" s="711"/>
      <c r="B257" s="711"/>
      <c r="C257" s="706"/>
      <c r="D257" s="706"/>
      <c r="E257" s="706"/>
      <c r="F257" s="706"/>
      <c r="G257" s="706"/>
      <c r="H257" s="706"/>
      <c r="I257" s="863"/>
      <c r="J257" s="706"/>
      <c r="K257" s="706"/>
      <c r="L257" s="706"/>
      <c r="M257" s="706"/>
      <c r="N257" s="706"/>
      <c r="O257" s="706"/>
      <c r="P257" s="706"/>
      <c r="Q257" s="863"/>
      <c r="R257" s="706"/>
      <c r="S257" s="706"/>
      <c r="T257" s="706"/>
      <c r="U257" s="706"/>
      <c r="V257" s="706"/>
      <c r="W257" s="706"/>
      <c r="X257" s="706"/>
      <c r="Y257" s="863"/>
      <c r="Z257" s="706"/>
      <c r="AA257" s="706"/>
      <c r="AB257" s="706"/>
      <c r="AC257" s="706"/>
      <c r="AD257" s="706"/>
      <c r="AE257" s="706"/>
      <c r="AF257" s="706"/>
      <c r="AG257" s="863"/>
      <c r="AH257" s="706"/>
      <c r="AI257" s="706"/>
      <c r="AJ257" s="706"/>
      <c r="AK257" s="706"/>
      <c r="AL257" s="706"/>
      <c r="AM257" s="706"/>
      <c r="AN257" s="706"/>
      <c r="AO257" s="863"/>
      <c r="AP257" s="706"/>
      <c r="AQ257" s="706"/>
      <c r="AR257" s="706"/>
      <c r="AS257" s="706"/>
      <c r="AT257" s="706"/>
      <c r="AU257" s="706"/>
      <c r="AV257" s="706"/>
      <c r="AW257" s="706"/>
      <c r="AX257" s="706"/>
      <c r="AY257" s="706"/>
      <c r="AZ257" s="706"/>
      <c r="BA257" s="706"/>
      <c r="BB257" s="706"/>
      <c r="BC257" s="706"/>
      <c r="BD257" s="706"/>
      <c r="BE257" s="706"/>
      <c r="BF257" s="706"/>
      <c r="BG257" s="706"/>
      <c r="BH257" s="706"/>
    </row>
    <row r="258" spans="1:60" s="48" customFormat="1">
      <c r="A258" s="711"/>
      <c r="B258" s="711"/>
      <c r="C258" s="706"/>
      <c r="D258" s="706"/>
      <c r="E258" s="706"/>
      <c r="F258" s="706"/>
      <c r="G258" s="706"/>
      <c r="H258" s="706"/>
      <c r="I258" s="863"/>
      <c r="J258" s="706"/>
      <c r="K258" s="706"/>
      <c r="L258" s="706"/>
      <c r="M258" s="706"/>
      <c r="N258" s="706"/>
      <c r="O258" s="706"/>
      <c r="P258" s="706"/>
      <c r="Q258" s="863"/>
      <c r="R258" s="706"/>
      <c r="S258" s="706"/>
      <c r="T258" s="706"/>
      <c r="U258" s="706"/>
      <c r="V258" s="706"/>
      <c r="W258" s="706"/>
      <c r="X258" s="706"/>
      <c r="Y258" s="863"/>
      <c r="Z258" s="706"/>
      <c r="AA258" s="706"/>
      <c r="AB258" s="706"/>
      <c r="AC258" s="706"/>
      <c r="AD258" s="706"/>
      <c r="AE258" s="706"/>
      <c r="AF258" s="706"/>
      <c r="AG258" s="863"/>
      <c r="AH258" s="706"/>
      <c r="AI258" s="706"/>
      <c r="AJ258" s="706"/>
      <c r="AK258" s="706"/>
      <c r="AL258" s="706"/>
      <c r="AM258" s="706"/>
      <c r="AN258" s="706"/>
      <c r="AO258" s="863"/>
      <c r="AP258" s="706"/>
      <c r="AQ258" s="706"/>
      <c r="AR258" s="706"/>
      <c r="AS258" s="706"/>
      <c r="AT258" s="706"/>
      <c r="AU258" s="706"/>
      <c r="AV258" s="706"/>
      <c r="AW258" s="706"/>
      <c r="AX258" s="706"/>
      <c r="AY258" s="706"/>
      <c r="AZ258" s="706"/>
      <c r="BA258" s="706"/>
      <c r="BB258" s="706"/>
      <c r="BC258" s="706"/>
      <c r="BD258" s="706"/>
      <c r="BE258" s="706"/>
      <c r="BF258" s="706"/>
      <c r="BG258" s="706"/>
      <c r="BH258" s="706"/>
    </row>
    <row r="259" spans="1:60" s="48" customFormat="1">
      <c r="A259" s="711"/>
      <c r="B259" s="711"/>
      <c r="C259" s="706"/>
      <c r="D259" s="706"/>
      <c r="E259" s="706"/>
      <c r="F259" s="706"/>
      <c r="G259" s="706"/>
      <c r="H259" s="706"/>
      <c r="I259" s="863"/>
      <c r="J259" s="706"/>
      <c r="K259" s="706"/>
      <c r="L259" s="706"/>
      <c r="M259" s="706"/>
      <c r="N259" s="706"/>
      <c r="O259" s="706"/>
      <c r="P259" s="706"/>
      <c r="Q259" s="863"/>
      <c r="R259" s="706"/>
      <c r="S259" s="706"/>
      <c r="T259" s="706"/>
      <c r="U259" s="706"/>
      <c r="V259" s="706"/>
      <c r="W259" s="706"/>
      <c r="X259" s="706"/>
      <c r="Y259" s="863"/>
      <c r="Z259" s="706"/>
      <c r="AA259" s="706"/>
      <c r="AB259" s="706"/>
      <c r="AC259" s="706"/>
      <c r="AD259" s="706"/>
      <c r="AE259" s="706"/>
      <c r="AF259" s="706"/>
      <c r="AG259" s="863"/>
      <c r="AH259" s="706"/>
      <c r="AI259" s="706"/>
      <c r="AJ259" s="706"/>
      <c r="AK259" s="706"/>
      <c r="AL259" s="706"/>
      <c r="AM259" s="706"/>
      <c r="AN259" s="706"/>
      <c r="AO259" s="863"/>
      <c r="AP259" s="706"/>
      <c r="AQ259" s="706"/>
      <c r="AR259" s="706"/>
      <c r="AS259" s="706"/>
      <c r="AT259" s="706"/>
      <c r="AU259" s="706"/>
      <c r="AV259" s="706"/>
      <c r="AW259" s="706"/>
      <c r="AX259" s="706"/>
      <c r="AY259" s="706"/>
      <c r="AZ259" s="706"/>
      <c r="BA259" s="706"/>
      <c r="BB259" s="706"/>
      <c r="BC259" s="706"/>
      <c r="BD259" s="706"/>
      <c r="BE259" s="706"/>
      <c r="BF259" s="706"/>
      <c r="BG259" s="706"/>
      <c r="BH259" s="706"/>
    </row>
    <row r="260" spans="1:60" s="48" customFormat="1">
      <c r="A260" s="711"/>
      <c r="B260" s="711"/>
      <c r="C260" s="706"/>
      <c r="D260" s="706"/>
      <c r="E260" s="706"/>
      <c r="F260" s="706"/>
      <c r="G260" s="706"/>
      <c r="H260" s="706"/>
      <c r="I260" s="863"/>
      <c r="J260" s="706"/>
      <c r="K260" s="706"/>
      <c r="L260" s="706"/>
      <c r="M260" s="706"/>
      <c r="N260" s="706"/>
      <c r="O260" s="706"/>
      <c r="P260" s="706"/>
      <c r="Q260" s="863"/>
      <c r="R260" s="706"/>
      <c r="S260" s="706"/>
      <c r="T260" s="706"/>
      <c r="U260" s="706"/>
      <c r="V260" s="706"/>
      <c r="W260" s="706"/>
      <c r="X260" s="706"/>
      <c r="Y260" s="863"/>
      <c r="Z260" s="706"/>
      <c r="AA260" s="706"/>
      <c r="AB260" s="706"/>
      <c r="AC260" s="706"/>
      <c r="AD260" s="706"/>
      <c r="AE260" s="706"/>
      <c r="AF260" s="706"/>
      <c r="AG260" s="863"/>
      <c r="AH260" s="706"/>
      <c r="AI260" s="706"/>
      <c r="AJ260" s="706"/>
      <c r="AK260" s="706"/>
      <c r="AL260" s="706"/>
      <c r="AM260" s="706"/>
      <c r="AN260" s="706"/>
      <c r="AO260" s="863"/>
      <c r="AP260" s="706"/>
      <c r="AQ260" s="706"/>
      <c r="AR260" s="706"/>
      <c r="AS260" s="706"/>
      <c r="AT260" s="706"/>
      <c r="AU260" s="706"/>
      <c r="AV260" s="706"/>
      <c r="AW260" s="706"/>
      <c r="AX260" s="706"/>
      <c r="AY260" s="706"/>
      <c r="AZ260" s="706"/>
      <c r="BA260" s="706"/>
      <c r="BB260" s="706"/>
      <c r="BC260" s="706"/>
      <c r="BD260" s="706"/>
      <c r="BE260" s="706"/>
      <c r="BF260" s="706"/>
      <c r="BG260" s="706"/>
      <c r="BH260" s="706"/>
    </row>
    <row r="261" spans="1:60" s="48" customFormat="1">
      <c r="A261" s="711"/>
      <c r="B261" s="711"/>
      <c r="C261" s="706"/>
      <c r="D261" s="706"/>
      <c r="E261" s="706"/>
      <c r="F261" s="706"/>
      <c r="G261" s="706"/>
      <c r="H261" s="706"/>
      <c r="I261" s="863"/>
      <c r="J261" s="706"/>
      <c r="K261" s="706"/>
      <c r="L261" s="706"/>
      <c r="M261" s="706"/>
      <c r="N261" s="706"/>
      <c r="O261" s="706"/>
      <c r="P261" s="706"/>
      <c r="Q261" s="863"/>
      <c r="R261" s="706"/>
      <c r="S261" s="706"/>
      <c r="T261" s="706"/>
      <c r="U261" s="706"/>
      <c r="V261" s="706"/>
      <c r="W261" s="706"/>
      <c r="X261" s="706"/>
      <c r="Y261" s="863"/>
      <c r="Z261" s="706"/>
      <c r="AA261" s="706"/>
      <c r="AB261" s="706"/>
      <c r="AC261" s="706"/>
      <c r="AD261" s="706"/>
      <c r="AE261" s="706"/>
      <c r="AF261" s="706"/>
      <c r="AG261" s="863"/>
      <c r="AH261" s="706"/>
      <c r="AI261" s="706"/>
      <c r="AJ261" s="706"/>
      <c r="AK261" s="706"/>
      <c r="AL261" s="706"/>
      <c r="AM261" s="706"/>
      <c r="AN261" s="706"/>
      <c r="AO261" s="863"/>
      <c r="AP261" s="706"/>
      <c r="AQ261" s="706"/>
      <c r="AR261" s="706"/>
      <c r="AS261" s="706"/>
      <c r="AT261" s="706"/>
      <c r="AU261" s="706"/>
      <c r="AV261" s="706"/>
      <c r="AW261" s="706"/>
      <c r="AX261" s="706"/>
      <c r="AY261" s="706"/>
      <c r="AZ261" s="706"/>
      <c r="BA261" s="706"/>
      <c r="BB261" s="706"/>
      <c r="BC261" s="706"/>
      <c r="BD261" s="706"/>
      <c r="BE261" s="706"/>
      <c r="BF261" s="706"/>
      <c r="BG261" s="706"/>
      <c r="BH261" s="706"/>
    </row>
    <row r="262" spans="1:60" s="48" customFormat="1">
      <c r="A262" s="711"/>
      <c r="B262" s="711"/>
      <c r="C262" s="706"/>
      <c r="D262" s="706"/>
      <c r="E262" s="706"/>
      <c r="F262" s="706"/>
      <c r="G262" s="706"/>
      <c r="H262" s="706"/>
      <c r="I262" s="863"/>
      <c r="J262" s="706"/>
      <c r="K262" s="706"/>
      <c r="L262" s="706"/>
      <c r="M262" s="706"/>
      <c r="N262" s="706"/>
      <c r="O262" s="706"/>
      <c r="P262" s="706"/>
      <c r="Q262" s="863"/>
      <c r="R262" s="706"/>
      <c r="S262" s="706"/>
      <c r="T262" s="706"/>
      <c r="U262" s="706"/>
      <c r="V262" s="706"/>
      <c r="W262" s="706"/>
      <c r="X262" s="706"/>
      <c r="Y262" s="863"/>
      <c r="Z262" s="706"/>
      <c r="AA262" s="706"/>
      <c r="AB262" s="706"/>
      <c r="AC262" s="706"/>
      <c r="AD262" s="706"/>
      <c r="AE262" s="706"/>
      <c r="AF262" s="706"/>
      <c r="AG262" s="863"/>
      <c r="AH262" s="706"/>
      <c r="AI262" s="706"/>
      <c r="AJ262" s="706"/>
      <c r="AK262" s="706"/>
      <c r="AL262" s="706"/>
      <c r="AM262" s="706"/>
      <c r="AN262" s="706"/>
      <c r="AO262" s="863"/>
      <c r="AP262" s="706"/>
      <c r="AQ262" s="706"/>
      <c r="AR262" s="706"/>
      <c r="AS262" s="706"/>
      <c r="AT262" s="706"/>
      <c r="AU262" s="706"/>
      <c r="AV262" s="706"/>
      <c r="AW262" s="706"/>
      <c r="AX262" s="706"/>
      <c r="AY262" s="706"/>
      <c r="AZ262" s="706"/>
      <c r="BA262" s="706"/>
      <c r="BB262" s="706"/>
      <c r="BC262" s="706"/>
      <c r="BD262" s="706"/>
      <c r="BE262" s="706"/>
      <c r="BF262" s="706"/>
      <c r="BG262" s="706"/>
      <c r="BH262" s="706"/>
    </row>
    <row r="263" spans="1:60" s="48" customFormat="1">
      <c r="A263" s="711"/>
      <c r="B263" s="711"/>
      <c r="C263" s="706"/>
      <c r="D263" s="706"/>
      <c r="E263" s="706"/>
      <c r="F263" s="706"/>
      <c r="G263" s="706"/>
      <c r="H263" s="706"/>
      <c r="I263" s="863"/>
      <c r="J263" s="706"/>
      <c r="K263" s="706"/>
      <c r="L263" s="706"/>
      <c r="M263" s="706"/>
      <c r="N263" s="706"/>
      <c r="O263" s="706"/>
      <c r="P263" s="706"/>
      <c r="Q263" s="863"/>
      <c r="R263" s="706"/>
      <c r="S263" s="706"/>
      <c r="T263" s="706"/>
      <c r="U263" s="706"/>
      <c r="V263" s="706"/>
      <c r="W263" s="706"/>
      <c r="X263" s="706"/>
      <c r="Y263" s="863"/>
      <c r="Z263" s="706"/>
      <c r="AA263" s="706"/>
      <c r="AB263" s="706"/>
      <c r="AC263" s="706"/>
      <c r="AD263" s="706"/>
      <c r="AE263" s="706"/>
      <c r="AF263" s="706"/>
      <c r="AG263" s="863"/>
      <c r="AH263" s="706"/>
      <c r="AI263" s="706"/>
      <c r="AJ263" s="706"/>
      <c r="AK263" s="706"/>
      <c r="AL263" s="706"/>
      <c r="AM263" s="706"/>
      <c r="AN263" s="706"/>
      <c r="AO263" s="863"/>
      <c r="AP263" s="706"/>
      <c r="AQ263" s="706"/>
      <c r="AR263" s="706"/>
      <c r="AS263" s="706"/>
      <c r="AT263" s="706"/>
      <c r="AU263" s="706"/>
      <c r="AV263" s="706"/>
      <c r="AW263" s="706"/>
      <c r="AX263" s="706"/>
      <c r="AY263" s="706"/>
      <c r="AZ263" s="706"/>
      <c r="BA263" s="706"/>
      <c r="BB263" s="706"/>
      <c r="BC263" s="706"/>
      <c r="BD263" s="706"/>
      <c r="BE263" s="706"/>
      <c r="BF263" s="706"/>
      <c r="BG263" s="706"/>
      <c r="BH263" s="706"/>
    </row>
    <row r="264" spans="1:60" s="48" customFormat="1">
      <c r="A264" s="711"/>
      <c r="B264" s="711"/>
      <c r="C264" s="706"/>
      <c r="D264" s="706"/>
      <c r="E264" s="706"/>
      <c r="F264" s="706"/>
      <c r="G264" s="706"/>
      <c r="H264" s="706"/>
      <c r="I264" s="863"/>
      <c r="J264" s="706"/>
      <c r="K264" s="706"/>
      <c r="L264" s="706"/>
      <c r="M264" s="706"/>
      <c r="N264" s="706"/>
      <c r="O264" s="706"/>
      <c r="P264" s="706"/>
      <c r="Q264" s="863"/>
      <c r="R264" s="706"/>
      <c r="S264" s="706"/>
      <c r="T264" s="706"/>
      <c r="U264" s="706"/>
      <c r="V264" s="706"/>
      <c r="W264" s="706"/>
      <c r="X264" s="706"/>
      <c r="Y264" s="863"/>
      <c r="Z264" s="706"/>
      <c r="AA264" s="706"/>
      <c r="AB264" s="706"/>
      <c r="AC264" s="706"/>
      <c r="AD264" s="706"/>
      <c r="AE264" s="706"/>
      <c r="AF264" s="706"/>
      <c r="AG264" s="863"/>
      <c r="AH264" s="706"/>
      <c r="AI264" s="706"/>
      <c r="AJ264" s="706"/>
      <c r="AK264" s="706"/>
      <c r="AL264" s="706"/>
      <c r="AM264" s="706"/>
      <c r="AN264" s="706"/>
      <c r="AO264" s="863"/>
      <c r="AP264" s="706"/>
      <c r="AQ264" s="706"/>
      <c r="AR264" s="706"/>
      <c r="AS264" s="706"/>
      <c r="AT264" s="706"/>
      <c r="AU264" s="706"/>
      <c r="AV264" s="706"/>
      <c r="AW264" s="706"/>
      <c r="AX264" s="706"/>
      <c r="AY264" s="706"/>
      <c r="AZ264" s="706"/>
      <c r="BA264" s="706"/>
      <c r="BB264" s="706"/>
      <c r="BC264" s="706"/>
      <c r="BD264" s="706"/>
      <c r="BE264" s="706"/>
      <c r="BF264" s="706"/>
      <c r="BG264" s="706"/>
      <c r="BH264" s="706"/>
    </row>
    <row r="265" spans="1:60" s="48" customFormat="1">
      <c r="A265" s="711"/>
      <c r="B265" s="711"/>
      <c r="C265" s="706"/>
      <c r="D265" s="706"/>
      <c r="E265" s="706"/>
      <c r="F265" s="706"/>
      <c r="G265" s="706"/>
      <c r="H265" s="706"/>
      <c r="I265" s="863"/>
      <c r="J265" s="706"/>
      <c r="K265" s="706"/>
      <c r="L265" s="706"/>
      <c r="M265" s="706"/>
      <c r="N265" s="706"/>
      <c r="O265" s="706"/>
      <c r="P265" s="706"/>
      <c r="Q265" s="863"/>
      <c r="R265" s="706"/>
      <c r="S265" s="706"/>
      <c r="T265" s="706"/>
      <c r="U265" s="706"/>
      <c r="V265" s="706"/>
      <c r="W265" s="706"/>
      <c r="X265" s="706"/>
      <c r="Y265" s="863"/>
      <c r="Z265" s="706"/>
      <c r="AA265" s="706"/>
      <c r="AB265" s="706"/>
      <c r="AC265" s="706"/>
      <c r="AD265" s="706"/>
      <c r="AE265" s="706"/>
      <c r="AF265" s="706"/>
      <c r="AG265" s="863"/>
      <c r="AH265" s="706"/>
      <c r="AI265" s="706"/>
      <c r="AJ265" s="706"/>
      <c r="AK265" s="706"/>
      <c r="AL265" s="706"/>
      <c r="AM265" s="706"/>
      <c r="AN265" s="706"/>
      <c r="AO265" s="863"/>
      <c r="AP265" s="706"/>
      <c r="AQ265" s="706"/>
      <c r="AR265" s="706"/>
      <c r="AS265" s="706"/>
      <c r="AT265" s="706"/>
      <c r="AU265" s="706"/>
      <c r="AV265" s="706"/>
      <c r="AW265" s="706"/>
      <c r="AX265" s="706"/>
      <c r="AY265" s="706"/>
      <c r="AZ265" s="706"/>
      <c r="BA265" s="706"/>
      <c r="BB265" s="706"/>
      <c r="BC265" s="706"/>
      <c r="BD265" s="706"/>
      <c r="BE265" s="706"/>
      <c r="BF265" s="706"/>
      <c r="BG265" s="706"/>
      <c r="BH265" s="706"/>
    </row>
    <row r="266" spans="1:60" s="48" customFormat="1">
      <c r="A266" s="711"/>
      <c r="B266" s="711"/>
      <c r="C266" s="706"/>
      <c r="D266" s="706"/>
      <c r="E266" s="706"/>
      <c r="F266" s="706"/>
      <c r="G266" s="706"/>
      <c r="H266" s="706"/>
      <c r="I266" s="863"/>
      <c r="J266" s="706"/>
      <c r="K266" s="706"/>
      <c r="L266" s="706"/>
      <c r="M266" s="706"/>
      <c r="N266" s="706"/>
      <c r="O266" s="706"/>
      <c r="P266" s="706"/>
      <c r="Q266" s="863"/>
      <c r="R266" s="706"/>
      <c r="S266" s="706"/>
      <c r="T266" s="706"/>
      <c r="U266" s="706"/>
      <c r="V266" s="706"/>
      <c r="W266" s="706"/>
      <c r="X266" s="706"/>
      <c r="Y266" s="863"/>
      <c r="Z266" s="706"/>
      <c r="AA266" s="706"/>
      <c r="AB266" s="706"/>
      <c r="AC266" s="706"/>
      <c r="AD266" s="706"/>
      <c r="AE266" s="706"/>
      <c r="AF266" s="706"/>
      <c r="AG266" s="863"/>
      <c r="AH266" s="706"/>
      <c r="AI266" s="706"/>
      <c r="AJ266" s="706"/>
      <c r="AK266" s="706"/>
      <c r="AL266" s="706"/>
      <c r="AM266" s="706"/>
      <c r="AN266" s="706"/>
      <c r="AO266" s="863"/>
      <c r="AP266" s="706"/>
      <c r="AQ266" s="706"/>
      <c r="AR266" s="706"/>
      <c r="AS266" s="706"/>
      <c r="AT266" s="706"/>
      <c r="AU266" s="706"/>
      <c r="AV266" s="706"/>
      <c r="AW266" s="706"/>
      <c r="AX266" s="706"/>
      <c r="AY266" s="706"/>
      <c r="AZ266" s="706"/>
      <c r="BA266" s="706"/>
      <c r="BB266" s="706"/>
      <c r="BC266" s="706"/>
      <c r="BD266" s="706"/>
      <c r="BE266" s="706"/>
      <c r="BF266" s="706"/>
      <c r="BG266" s="706"/>
      <c r="BH266" s="706"/>
    </row>
    <row r="267" spans="1:60" s="48" customFormat="1">
      <c r="A267" s="711"/>
      <c r="B267" s="711"/>
      <c r="C267" s="706"/>
      <c r="D267" s="706"/>
      <c r="E267" s="706"/>
      <c r="F267" s="706"/>
      <c r="G267" s="706"/>
      <c r="H267" s="706"/>
      <c r="I267" s="863"/>
      <c r="J267" s="706"/>
      <c r="K267" s="706"/>
      <c r="L267" s="706"/>
      <c r="M267" s="706"/>
      <c r="N267" s="706"/>
      <c r="O267" s="706"/>
      <c r="P267" s="706"/>
      <c r="Q267" s="863"/>
      <c r="R267" s="706"/>
      <c r="S267" s="706"/>
      <c r="T267" s="706"/>
      <c r="U267" s="706"/>
      <c r="V267" s="706"/>
      <c r="W267" s="706"/>
      <c r="X267" s="706"/>
      <c r="Y267" s="863"/>
      <c r="Z267" s="706"/>
      <c r="AA267" s="706"/>
      <c r="AB267" s="706"/>
      <c r="AC267" s="706"/>
      <c r="AD267" s="706"/>
      <c r="AE267" s="706"/>
      <c r="AF267" s="706"/>
      <c r="AG267" s="863"/>
      <c r="AH267" s="706"/>
      <c r="AI267" s="706"/>
      <c r="AJ267" s="706"/>
      <c r="AK267" s="706"/>
      <c r="AL267" s="706"/>
      <c r="AM267" s="706"/>
      <c r="AN267" s="706"/>
      <c r="AO267" s="863"/>
      <c r="AP267" s="706"/>
      <c r="AQ267" s="706"/>
      <c r="AR267" s="706"/>
      <c r="AS267" s="706"/>
      <c r="AT267" s="706"/>
      <c r="AU267" s="706"/>
      <c r="AV267" s="706"/>
      <c r="AW267" s="706"/>
      <c r="AX267" s="706"/>
      <c r="AY267" s="706"/>
      <c r="AZ267" s="706"/>
      <c r="BA267" s="706"/>
      <c r="BB267" s="706"/>
      <c r="BC267" s="706"/>
      <c r="BD267" s="706"/>
      <c r="BE267" s="706"/>
      <c r="BF267" s="706"/>
      <c r="BG267" s="706"/>
      <c r="BH267" s="706"/>
    </row>
    <row r="268" spans="1:60" s="48" customFormat="1">
      <c r="A268" s="711"/>
      <c r="B268" s="711"/>
      <c r="C268" s="706"/>
      <c r="D268" s="706"/>
      <c r="E268" s="706"/>
      <c r="F268" s="706"/>
      <c r="G268" s="706"/>
      <c r="H268" s="706"/>
      <c r="I268" s="863"/>
      <c r="J268" s="706"/>
      <c r="K268" s="706"/>
      <c r="L268" s="706"/>
      <c r="M268" s="706"/>
      <c r="N268" s="706"/>
      <c r="O268" s="706"/>
      <c r="P268" s="706"/>
      <c r="Q268" s="863"/>
      <c r="R268" s="706"/>
      <c r="S268" s="706"/>
      <c r="T268" s="706"/>
      <c r="U268" s="706"/>
      <c r="V268" s="706"/>
      <c r="W268" s="706"/>
      <c r="X268" s="706"/>
      <c r="Y268" s="863"/>
      <c r="Z268" s="706"/>
      <c r="AA268" s="706"/>
      <c r="AB268" s="706"/>
      <c r="AC268" s="706"/>
      <c r="AD268" s="706"/>
      <c r="AE268" s="706"/>
      <c r="AF268" s="706"/>
      <c r="AG268" s="863"/>
      <c r="AH268" s="706"/>
      <c r="AI268" s="706"/>
      <c r="AJ268" s="706"/>
      <c r="AK268" s="706"/>
      <c r="AL268" s="706"/>
      <c r="AM268" s="706"/>
      <c r="AN268" s="706"/>
      <c r="AO268" s="863"/>
      <c r="AP268" s="706"/>
      <c r="AQ268" s="706"/>
      <c r="AR268" s="706"/>
      <c r="AS268" s="706"/>
      <c r="AT268" s="706"/>
      <c r="AU268" s="706"/>
      <c r="AV268" s="706"/>
      <c r="AW268" s="706"/>
      <c r="AX268" s="706"/>
      <c r="AY268" s="706"/>
      <c r="AZ268" s="706"/>
      <c r="BA268" s="706"/>
      <c r="BB268" s="706"/>
      <c r="BC268" s="706"/>
      <c r="BD268" s="706"/>
      <c r="BE268" s="706"/>
      <c r="BF268" s="706"/>
      <c r="BG268" s="706"/>
      <c r="BH268" s="706"/>
    </row>
    <row r="269" spans="1:60" s="48" customFormat="1">
      <c r="A269" s="711"/>
      <c r="B269" s="711"/>
      <c r="C269" s="706"/>
      <c r="D269" s="706"/>
      <c r="E269" s="706"/>
      <c r="F269" s="706"/>
      <c r="G269" s="706"/>
      <c r="H269" s="706"/>
      <c r="I269" s="863"/>
      <c r="J269" s="706"/>
      <c r="K269" s="706"/>
      <c r="L269" s="706"/>
      <c r="M269" s="706"/>
      <c r="N269" s="706"/>
      <c r="O269" s="706"/>
      <c r="P269" s="706"/>
      <c r="Q269" s="863"/>
      <c r="R269" s="706"/>
      <c r="S269" s="706"/>
      <c r="T269" s="706"/>
      <c r="U269" s="706"/>
      <c r="V269" s="706"/>
      <c r="W269" s="706"/>
      <c r="X269" s="706"/>
      <c r="Y269" s="863"/>
      <c r="Z269" s="706"/>
      <c r="AA269" s="706"/>
      <c r="AB269" s="706"/>
      <c r="AC269" s="706"/>
      <c r="AD269" s="706"/>
      <c r="AE269" s="706"/>
      <c r="AF269" s="706"/>
      <c r="AG269" s="863"/>
      <c r="AH269" s="706"/>
      <c r="AI269" s="706"/>
      <c r="AJ269" s="706"/>
      <c r="AK269" s="706"/>
      <c r="AL269" s="706"/>
      <c r="AM269" s="706"/>
      <c r="AN269" s="706"/>
      <c r="AO269" s="863"/>
      <c r="AP269" s="706"/>
      <c r="AQ269" s="706"/>
      <c r="AR269" s="706"/>
      <c r="AS269" s="706"/>
      <c r="AT269" s="706"/>
      <c r="AU269" s="706"/>
      <c r="AV269" s="706"/>
      <c r="AW269" s="706"/>
      <c r="AX269" s="706"/>
      <c r="AY269" s="706"/>
      <c r="AZ269" s="706"/>
      <c r="BA269" s="706"/>
      <c r="BB269" s="706"/>
      <c r="BC269" s="706"/>
      <c r="BD269" s="706"/>
      <c r="BE269" s="706"/>
      <c r="BF269" s="706"/>
      <c r="BG269" s="706"/>
      <c r="BH269" s="706"/>
    </row>
    <row r="270" spans="1:60" s="48" customFormat="1">
      <c r="A270" s="711"/>
      <c r="B270" s="711"/>
      <c r="C270" s="706"/>
      <c r="D270" s="706"/>
      <c r="E270" s="706"/>
      <c r="F270" s="706"/>
      <c r="G270" s="706"/>
      <c r="H270" s="706"/>
      <c r="I270" s="863"/>
      <c r="J270" s="706"/>
      <c r="K270" s="706"/>
      <c r="L270" s="706"/>
      <c r="M270" s="706"/>
      <c r="N270" s="706"/>
      <c r="O270" s="706"/>
      <c r="P270" s="706"/>
      <c r="Q270" s="863"/>
      <c r="R270" s="706"/>
      <c r="S270" s="706"/>
      <c r="T270" s="706"/>
      <c r="U270" s="706"/>
      <c r="V270" s="706"/>
      <c r="W270" s="706"/>
      <c r="X270" s="706"/>
      <c r="Y270" s="863"/>
      <c r="Z270" s="706"/>
      <c r="AA270" s="706"/>
      <c r="AB270" s="706"/>
      <c r="AC270" s="706"/>
      <c r="AD270" s="706"/>
      <c r="AE270" s="706"/>
      <c r="AF270" s="706"/>
      <c r="AG270" s="863"/>
      <c r="AH270" s="706"/>
      <c r="AI270" s="706"/>
      <c r="AJ270" s="706"/>
      <c r="AK270" s="706"/>
      <c r="AL270" s="706"/>
      <c r="AM270" s="706"/>
      <c r="AN270" s="706"/>
      <c r="AO270" s="863"/>
      <c r="AP270" s="706"/>
      <c r="AQ270" s="706"/>
      <c r="AR270" s="706"/>
      <c r="AS270" s="706"/>
      <c r="AT270" s="706"/>
      <c r="AU270" s="706"/>
      <c r="AV270" s="706"/>
      <c r="AW270" s="706"/>
      <c r="AX270" s="706"/>
      <c r="AY270" s="706"/>
      <c r="AZ270" s="706"/>
      <c r="BA270" s="706"/>
      <c r="BB270" s="706"/>
      <c r="BC270" s="706"/>
      <c r="BD270" s="706"/>
      <c r="BE270" s="706"/>
      <c r="BF270" s="706"/>
      <c r="BG270" s="706"/>
      <c r="BH270" s="706"/>
    </row>
    <row r="271" spans="1:60" s="48" customFormat="1">
      <c r="A271" s="711"/>
      <c r="B271" s="711"/>
      <c r="C271" s="706"/>
      <c r="D271" s="706"/>
      <c r="E271" s="706"/>
      <c r="F271" s="706"/>
      <c r="G271" s="706"/>
      <c r="H271" s="706"/>
      <c r="I271" s="863"/>
      <c r="J271" s="706"/>
      <c r="K271" s="706"/>
      <c r="L271" s="706"/>
      <c r="M271" s="706"/>
      <c r="N271" s="706"/>
      <c r="O271" s="706"/>
      <c r="P271" s="706"/>
      <c r="Q271" s="863"/>
      <c r="R271" s="706"/>
      <c r="S271" s="706"/>
      <c r="T271" s="706"/>
      <c r="U271" s="706"/>
      <c r="V271" s="706"/>
      <c r="W271" s="706"/>
      <c r="X271" s="706"/>
      <c r="Y271" s="863"/>
      <c r="Z271" s="706"/>
      <c r="AA271" s="706"/>
      <c r="AB271" s="706"/>
      <c r="AC271" s="706"/>
      <c r="AD271" s="706"/>
      <c r="AE271" s="706"/>
      <c r="AF271" s="706"/>
      <c r="AG271" s="863"/>
      <c r="AH271" s="706"/>
      <c r="AI271" s="706"/>
      <c r="AJ271" s="706"/>
      <c r="AK271" s="706"/>
      <c r="AL271" s="706"/>
      <c r="AM271" s="706"/>
      <c r="AN271" s="706"/>
      <c r="AO271" s="863"/>
      <c r="AP271" s="706"/>
      <c r="AQ271" s="706"/>
      <c r="AR271" s="706"/>
      <c r="AS271" s="706"/>
      <c r="AT271" s="706"/>
      <c r="AU271" s="706"/>
      <c r="AV271" s="706"/>
      <c r="AW271" s="706"/>
      <c r="AX271" s="706"/>
      <c r="AY271" s="706"/>
      <c r="AZ271" s="706"/>
      <c r="BA271" s="706"/>
      <c r="BB271" s="706"/>
      <c r="BC271" s="706"/>
      <c r="BD271" s="706"/>
      <c r="BE271" s="706"/>
      <c r="BF271" s="706"/>
      <c r="BG271" s="706"/>
      <c r="BH271" s="706"/>
    </row>
    <row r="272" spans="1:60" s="48" customFormat="1">
      <c r="A272" s="711"/>
      <c r="B272" s="711"/>
      <c r="C272" s="706"/>
      <c r="D272" s="706"/>
      <c r="E272" s="706"/>
      <c r="F272" s="706"/>
      <c r="G272" s="706"/>
      <c r="H272" s="706"/>
      <c r="I272" s="863"/>
      <c r="J272" s="706"/>
      <c r="K272" s="706"/>
      <c r="L272" s="706"/>
      <c r="M272" s="706"/>
      <c r="N272" s="706"/>
      <c r="O272" s="706"/>
      <c r="P272" s="706"/>
      <c r="Q272" s="863"/>
      <c r="R272" s="706"/>
      <c r="S272" s="706"/>
      <c r="T272" s="706"/>
      <c r="U272" s="706"/>
      <c r="V272" s="706"/>
      <c r="W272" s="706"/>
      <c r="X272" s="706"/>
      <c r="Y272" s="863"/>
      <c r="Z272" s="706"/>
      <c r="AA272" s="706"/>
      <c r="AB272" s="706"/>
      <c r="AC272" s="706"/>
      <c r="AD272" s="706"/>
      <c r="AE272" s="706"/>
      <c r="AF272" s="706"/>
      <c r="AG272" s="863"/>
      <c r="AH272" s="706"/>
      <c r="AI272" s="706"/>
      <c r="AJ272" s="706"/>
      <c r="AK272" s="706"/>
      <c r="AL272" s="706"/>
      <c r="AM272" s="706"/>
      <c r="AN272" s="706"/>
      <c r="AO272" s="863"/>
      <c r="AP272" s="706"/>
      <c r="AQ272" s="706"/>
      <c r="AR272" s="706"/>
      <c r="AS272" s="706"/>
      <c r="AT272" s="706"/>
      <c r="AU272" s="706"/>
      <c r="AV272" s="706"/>
      <c r="AW272" s="706"/>
      <c r="AX272" s="706"/>
      <c r="AY272" s="706"/>
      <c r="AZ272" s="706"/>
      <c r="BA272" s="706"/>
      <c r="BB272" s="706"/>
      <c r="BC272" s="706"/>
      <c r="BD272" s="706"/>
      <c r="BE272" s="706"/>
      <c r="BF272" s="706"/>
      <c r="BG272" s="706"/>
      <c r="BH272" s="706"/>
    </row>
    <row r="273" spans="1:60" s="48" customFormat="1">
      <c r="A273" s="711"/>
      <c r="B273" s="711"/>
      <c r="C273" s="706"/>
      <c r="D273" s="706"/>
      <c r="E273" s="706"/>
      <c r="F273" s="706"/>
      <c r="G273" s="706"/>
      <c r="H273" s="706"/>
      <c r="I273" s="863"/>
      <c r="J273" s="706"/>
      <c r="K273" s="706"/>
      <c r="L273" s="706"/>
      <c r="M273" s="706"/>
      <c r="N273" s="706"/>
      <c r="O273" s="706"/>
      <c r="P273" s="706"/>
      <c r="Q273" s="863"/>
      <c r="R273" s="706"/>
      <c r="S273" s="706"/>
      <c r="T273" s="706"/>
      <c r="U273" s="706"/>
      <c r="V273" s="706"/>
      <c r="W273" s="706"/>
      <c r="X273" s="706"/>
      <c r="Y273" s="863"/>
      <c r="Z273" s="706"/>
      <c r="AA273" s="706"/>
      <c r="AB273" s="706"/>
      <c r="AC273" s="706"/>
      <c r="AD273" s="706"/>
      <c r="AE273" s="706"/>
      <c r="AF273" s="706"/>
      <c r="AG273" s="863"/>
      <c r="AH273" s="706"/>
      <c r="AI273" s="706"/>
      <c r="AJ273" s="706"/>
      <c r="AK273" s="706"/>
      <c r="AL273" s="706"/>
      <c r="AM273" s="706"/>
      <c r="AN273" s="706"/>
      <c r="AO273" s="863"/>
      <c r="AP273" s="706"/>
      <c r="AQ273" s="706"/>
      <c r="AR273" s="706"/>
      <c r="AS273" s="706"/>
      <c r="AT273" s="706"/>
      <c r="AU273" s="706"/>
      <c r="AV273" s="706"/>
      <c r="AW273" s="706"/>
      <c r="AX273" s="706"/>
      <c r="AY273" s="706"/>
      <c r="AZ273" s="706"/>
      <c r="BA273" s="706"/>
      <c r="BB273" s="706"/>
      <c r="BC273" s="706"/>
      <c r="BD273" s="706"/>
      <c r="BE273" s="706"/>
      <c r="BF273" s="706"/>
      <c r="BG273" s="706"/>
      <c r="BH273" s="706"/>
    </row>
    <row r="274" spans="1:60" s="48" customFormat="1">
      <c r="A274" s="711"/>
      <c r="B274" s="711"/>
      <c r="C274" s="706"/>
      <c r="D274" s="706"/>
      <c r="E274" s="706"/>
      <c r="F274" s="706"/>
      <c r="G274" s="706"/>
      <c r="H274" s="706"/>
      <c r="I274" s="863"/>
      <c r="J274" s="706"/>
      <c r="K274" s="706"/>
      <c r="L274" s="706"/>
      <c r="M274" s="706"/>
      <c r="N274" s="706"/>
      <c r="O274" s="706"/>
      <c r="P274" s="706"/>
      <c r="Q274" s="863"/>
      <c r="R274" s="706"/>
      <c r="S274" s="706"/>
      <c r="T274" s="706"/>
      <c r="U274" s="706"/>
      <c r="V274" s="706"/>
      <c r="W274" s="706"/>
      <c r="X274" s="706"/>
      <c r="Y274" s="863"/>
      <c r="Z274" s="706"/>
      <c r="AA274" s="706"/>
      <c r="AB274" s="706"/>
      <c r="AC274" s="706"/>
      <c r="AD274" s="706"/>
      <c r="AE274" s="706"/>
      <c r="AF274" s="706"/>
      <c r="AG274" s="863"/>
      <c r="AH274" s="706"/>
      <c r="AI274" s="706"/>
      <c r="AJ274" s="706"/>
      <c r="AK274" s="706"/>
      <c r="AL274" s="706"/>
      <c r="AM274" s="706"/>
      <c r="AN274" s="706"/>
      <c r="AO274" s="863"/>
      <c r="AP274" s="706"/>
      <c r="AQ274" s="706"/>
      <c r="AR274" s="706"/>
      <c r="AS274" s="706"/>
      <c r="AT274" s="706"/>
      <c r="AU274" s="706"/>
      <c r="AV274" s="706"/>
      <c r="AW274" s="706"/>
      <c r="AX274" s="706"/>
      <c r="AY274" s="706"/>
      <c r="AZ274" s="706"/>
      <c r="BA274" s="706"/>
      <c r="BB274" s="706"/>
      <c r="BC274" s="706"/>
      <c r="BD274" s="706"/>
      <c r="BE274" s="706"/>
      <c r="BF274" s="706"/>
      <c r="BG274" s="706"/>
      <c r="BH274" s="706"/>
    </row>
    <row r="275" spans="1:60" s="48" customFormat="1">
      <c r="A275" s="711"/>
      <c r="B275" s="711"/>
      <c r="C275" s="706"/>
      <c r="D275" s="706"/>
      <c r="E275" s="706"/>
      <c r="F275" s="706"/>
      <c r="G275" s="706"/>
      <c r="H275" s="706"/>
      <c r="I275" s="863"/>
      <c r="J275" s="706"/>
      <c r="K275" s="706"/>
      <c r="L275" s="706"/>
      <c r="M275" s="706"/>
      <c r="N275" s="706"/>
      <c r="O275" s="706"/>
      <c r="P275" s="706"/>
      <c r="Q275" s="863"/>
      <c r="R275" s="706"/>
      <c r="S275" s="706"/>
      <c r="T275" s="706"/>
      <c r="U275" s="706"/>
      <c r="V275" s="706"/>
      <c r="W275" s="706"/>
      <c r="X275" s="706"/>
      <c r="Y275" s="863"/>
      <c r="Z275" s="706"/>
      <c r="AA275" s="706"/>
      <c r="AB275" s="706"/>
      <c r="AC275" s="706"/>
      <c r="AD275" s="706"/>
      <c r="AE275" s="706"/>
      <c r="AF275" s="706"/>
      <c r="AG275" s="863"/>
      <c r="AH275" s="706"/>
      <c r="AI275" s="706"/>
      <c r="AJ275" s="706"/>
      <c r="AK275" s="706"/>
      <c r="AL275" s="706"/>
      <c r="AM275" s="706"/>
      <c r="AN275" s="706"/>
      <c r="AO275" s="863"/>
      <c r="AP275" s="706"/>
      <c r="AQ275" s="706"/>
      <c r="AR275" s="706"/>
      <c r="AS275" s="706"/>
      <c r="AT275" s="706"/>
      <c r="AU275" s="706"/>
      <c r="AV275" s="706"/>
      <c r="AW275" s="706"/>
      <c r="AX275" s="706"/>
      <c r="AY275" s="706"/>
      <c r="AZ275" s="706"/>
      <c r="BA275" s="706"/>
      <c r="BB275" s="706"/>
      <c r="BC275" s="706"/>
      <c r="BD275" s="706"/>
      <c r="BE275" s="706"/>
      <c r="BF275" s="706"/>
      <c r="BG275" s="706"/>
      <c r="BH275" s="706"/>
    </row>
    <row r="276" spans="1:60" s="48" customFormat="1">
      <c r="A276" s="711"/>
      <c r="B276" s="711"/>
      <c r="C276" s="706"/>
      <c r="D276" s="706"/>
      <c r="E276" s="706"/>
      <c r="F276" s="706"/>
      <c r="G276" s="706"/>
      <c r="H276" s="706"/>
      <c r="I276" s="863"/>
      <c r="J276" s="706"/>
      <c r="K276" s="706"/>
      <c r="L276" s="706"/>
      <c r="M276" s="706"/>
      <c r="N276" s="706"/>
      <c r="O276" s="706"/>
      <c r="P276" s="706"/>
      <c r="Q276" s="863"/>
      <c r="R276" s="706"/>
      <c r="S276" s="706"/>
      <c r="T276" s="706"/>
      <c r="U276" s="706"/>
      <c r="V276" s="706"/>
      <c r="W276" s="706"/>
      <c r="X276" s="706"/>
      <c r="Y276" s="863"/>
      <c r="Z276" s="706"/>
      <c r="AA276" s="706"/>
      <c r="AB276" s="706"/>
      <c r="AC276" s="706"/>
      <c r="AD276" s="706"/>
      <c r="AE276" s="706"/>
      <c r="AF276" s="706"/>
      <c r="AG276" s="863"/>
      <c r="AH276" s="706"/>
      <c r="AI276" s="706"/>
      <c r="AJ276" s="706"/>
      <c r="AK276" s="706"/>
      <c r="AL276" s="706"/>
      <c r="AM276" s="706"/>
      <c r="AN276" s="706"/>
      <c r="AO276" s="863"/>
      <c r="AP276" s="706"/>
      <c r="AQ276" s="706"/>
      <c r="AR276" s="706"/>
      <c r="AS276" s="706"/>
      <c r="AT276" s="706"/>
      <c r="AU276" s="706"/>
      <c r="AV276" s="706"/>
      <c r="AW276" s="706"/>
      <c r="AX276" s="706"/>
      <c r="AY276" s="706"/>
      <c r="AZ276" s="706"/>
      <c r="BA276" s="706"/>
      <c r="BB276" s="706"/>
      <c r="BC276" s="706"/>
      <c r="BD276" s="706"/>
      <c r="BE276" s="706"/>
      <c r="BF276" s="706"/>
      <c r="BG276" s="706"/>
      <c r="BH276" s="706"/>
    </row>
    <row r="277" spans="1:60" s="48" customFormat="1">
      <c r="A277" s="711"/>
      <c r="B277" s="711"/>
      <c r="C277" s="706"/>
      <c r="D277" s="706"/>
      <c r="E277" s="706"/>
      <c r="F277" s="706"/>
      <c r="G277" s="706"/>
      <c r="H277" s="706"/>
      <c r="I277" s="863"/>
      <c r="J277" s="706"/>
      <c r="K277" s="706"/>
      <c r="L277" s="706"/>
      <c r="M277" s="706"/>
      <c r="N277" s="706"/>
      <c r="O277" s="706"/>
      <c r="P277" s="706"/>
      <c r="Q277" s="863"/>
      <c r="R277" s="706"/>
      <c r="S277" s="706"/>
      <c r="T277" s="706"/>
      <c r="U277" s="706"/>
      <c r="V277" s="706"/>
      <c r="W277" s="706"/>
      <c r="X277" s="706"/>
      <c r="Y277" s="863"/>
      <c r="Z277" s="706"/>
      <c r="AA277" s="706"/>
      <c r="AB277" s="706"/>
      <c r="AC277" s="706"/>
      <c r="AD277" s="706"/>
      <c r="AE277" s="706"/>
      <c r="AF277" s="706"/>
      <c r="AG277" s="863"/>
      <c r="AH277" s="706"/>
      <c r="AI277" s="706"/>
      <c r="AJ277" s="706"/>
      <c r="AK277" s="706"/>
      <c r="AL277" s="706"/>
      <c r="AM277" s="706"/>
      <c r="AN277" s="706"/>
      <c r="AO277" s="863"/>
      <c r="AP277" s="706"/>
      <c r="AQ277" s="706"/>
      <c r="AR277" s="706"/>
      <c r="AS277" s="706"/>
      <c r="AT277" s="706"/>
      <c r="AU277" s="706"/>
      <c r="AV277" s="706"/>
      <c r="AW277" s="706"/>
      <c r="AX277" s="706"/>
      <c r="AY277" s="706"/>
      <c r="AZ277" s="706"/>
      <c r="BA277" s="706"/>
      <c r="BB277" s="706"/>
      <c r="BC277" s="706"/>
      <c r="BD277" s="706"/>
      <c r="BE277" s="706"/>
      <c r="BF277" s="706"/>
      <c r="BG277" s="706"/>
      <c r="BH277" s="706"/>
    </row>
    <row r="278" spans="1:60" s="48" customFormat="1">
      <c r="A278" s="711"/>
      <c r="B278" s="711"/>
      <c r="C278" s="706"/>
      <c r="D278" s="706"/>
      <c r="E278" s="706"/>
      <c r="F278" s="706"/>
      <c r="G278" s="706"/>
      <c r="H278" s="706"/>
      <c r="I278" s="863"/>
      <c r="J278" s="706"/>
      <c r="K278" s="706"/>
      <c r="L278" s="706"/>
      <c r="M278" s="706"/>
      <c r="N278" s="706"/>
      <c r="O278" s="706"/>
      <c r="P278" s="706"/>
      <c r="Q278" s="863"/>
      <c r="R278" s="706"/>
      <c r="S278" s="706"/>
      <c r="T278" s="706"/>
      <c r="U278" s="706"/>
      <c r="V278" s="706"/>
      <c r="W278" s="706"/>
      <c r="X278" s="706"/>
      <c r="Y278" s="863"/>
      <c r="Z278" s="706"/>
      <c r="AA278" s="706"/>
      <c r="AB278" s="706"/>
      <c r="AC278" s="706"/>
      <c r="AD278" s="706"/>
      <c r="AE278" s="706"/>
      <c r="AF278" s="706"/>
      <c r="AG278" s="863"/>
      <c r="AH278" s="706"/>
      <c r="AI278" s="706"/>
      <c r="AJ278" s="706"/>
      <c r="AK278" s="706"/>
      <c r="AL278" s="706"/>
      <c r="AM278" s="706"/>
      <c r="AN278" s="706"/>
      <c r="AO278" s="863"/>
      <c r="AP278" s="706"/>
      <c r="AQ278" s="706"/>
      <c r="AR278" s="706"/>
      <c r="AS278" s="706"/>
      <c r="AT278" s="706"/>
      <c r="AU278" s="706"/>
      <c r="AV278" s="706"/>
      <c r="AW278" s="706"/>
      <c r="AX278" s="706"/>
      <c r="AY278" s="706"/>
      <c r="AZ278" s="706"/>
      <c r="BA278" s="706"/>
      <c r="BB278" s="706"/>
      <c r="BC278" s="706"/>
      <c r="BD278" s="706"/>
      <c r="BE278" s="706"/>
      <c r="BF278" s="706"/>
      <c r="BG278" s="706"/>
      <c r="BH278" s="706"/>
    </row>
    <row r="279" spans="1:60" s="48" customFormat="1">
      <c r="A279" s="711"/>
      <c r="B279" s="711"/>
      <c r="C279" s="706"/>
      <c r="D279" s="706"/>
      <c r="E279" s="706"/>
      <c r="F279" s="706"/>
      <c r="G279" s="706"/>
      <c r="H279" s="706"/>
      <c r="I279" s="863"/>
      <c r="J279" s="706"/>
      <c r="K279" s="706"/>
      <c r="L279" s="706"/>
      <c r="M279" s="706"/>
      <c r="N279" s="706"/>
      <c r="O279" s="706"/>
      <c r="P279" s="706"/>
      <c r="Q279" s="863"/>
      <c r="R279" s="706"/>
      <c r="S279" s="706"/>
      <c r="T279" s="706"/>
      <c r="U279" s="706"/>
      <c r="V279" s="706"/>
      <c r="W279" s="706"/>
      <c r="X279" s="706"/>
      <c r="Y279" s="863"/>
      <c r="Z279" s="706"/>
      <c r="AA279" s="706"/>
      <c r="AB279" s="706"/>
      <c r="AC279" s="706"/>
      <c r="AD279" s="706"/>
      <c r="AE279" s="706"/>
      <c r="AF279" s="706"/>
      <c r="AG279" s="863"/>
      <c r="AH279" s="706"/>
      <c r="AI279" s="706"/>
      <c r="AJ279" s="706"/>
      <c r="AK279" s="706"/>
      <c r="AL279" s="706"/>
      <c r="AM279" s="706"/>
      <c r="AN279" s="706"/>
      <c r="AO279" s="863"/>
      <c r="AP279" s="706"/>
      <c r="AQ279" s="706"/>
      <c r="AR279" s="706"/>
      <c r="AS279" s="706"/>
      <c r="AT279" s="706"/>
      <c r="AU279" s="706"/>
      <c r="AV279" s="706"/>
      <c r="AW279" s="706"/>
      <c r="AX279" s="706"/>
      <c r="AY279" s="706"/>
      <c r="AZ279" s="706"/>
      <c r="BA279" s="706"/>
      <c r="BB279" s="706"/>
      <c r="BC279" s="706"/>
      <c r="BD279" s="706"/>
      <c r="BE279" s="706"/>
      <c r="BF279" s="706"/>
      <c r="BG279" s="706"/>
      <c r="BH279" s="706"/>
    </row>
    <row r="280" spans="1:60" s="48" customFormat="1">
      <c r="A280" s="711"/>
      <c r="B280" s="711"/>
      <c r="C280" s="706"/>
      <c r="D280" s="706"/>
      <c r="E280" s="706"/>
      <c r="F280" s="706"/>
      <c r="G280" s="706"/>
      <c r="H280" s="706"/>
      <c r="I280" s="863"/>
      <c r="J280" s="706"/>
      <c r="K280" s="706"/>
      <c r="L280" s="706"/>
      <c r="M280" s="706"/>
      <c r="N280" s="706"/>
      <c r="O280" s="706"/>
      <c r="P280" s="706"/>
      <c r="Q280" s="863"/>
      <c r="R280" s="706"/>
      <c r="S280" s="706"/>
      <c r="T280" s="706"/>
      <c r="U280" s="706"/>
      <c r="V280" s="706"/>
      <c r="W280" s="706"/>
      <c r="X280" s="706"/>
      <c r="Y280" s="863"/>
      <c r="Z280" s="706"/>
      <c r="AA280" s="706"/>
      <c r="AB280" s="706"/>
      <c r="AC280" s="706"/>
      <c r="AD280" s="706"/>
      <c r="AE280" s="706"/>
      <c r="AF280" s="706"/>
      <c r="AG280" s="863"/>
      <c r="AH280" s="706"/>
      <c r="AI280" s="706"/>
      <c r="AJ280" s="706"/>
      <c r="AK280" s="706"/>
      <c r="AL280" s="706"/>
      <c r="AM280" s="706"/>
      <c r="AN280" s="706"/>
      <c r="AO280" s="863"/>
      <c r="AP280" s="706"/>
      <c r="AQ280" s="706"/>
      <c r="AR280" s="706"/>
      <c r="AS280" s="706"/>
      <c r="AT280" s="706"/>
      <c r="AU280" s="706"/>
      <c r="AV280" s="706"/>
      <c r="AW280" s="706"/>
      <c r="AX280" s="706"/>
      <c r="AY280" s="706"/>
      <c r="AZ280" s="706"/>
      <c r="BA280" s="706"/>
      <c r="BB280" s="706"/>
      <c r="BC280" s="706"/>
      <c r="BD280" s="706"/>
      <c r="BE280" s="706"/>
      <c r="BF280" s="706"/>
      <c r="BG280" s="706"/>
      <c r="BH280" s="706"/>
    </row>
    <row r="281" spans="1:60" s="48" customFormat="1">
      <c r="A281" s="711"/>
      <c r="B281" s="711"/>
      <c r="C281" s="706"/>
      <c r="D281" s="706"/>
      <c r="E281" s="706"/>
      <c r="F281" s="706"/>
      <c r="G281" s="706"/>
      <c r="H281" s="706"/>
      <c r="I281" s="863"/>
      <c r="J281" s="706"/>
      <c r="K281" s="706"/>
      <c r="L281" s="706"/>
      <c r="M281" s="706"/>
      <c r="N281" s="706"/>
      <c r="O281" s="706"/>
      <c r="P281" s="706"/>
      <c r="Q281" s="863"/>
      <c r="R281" s="706"/>
      <c r="S281" s="706"/>
      <c r="T281" s="706"/>
      <c r="U281" s="706"/>
      <c r="V281" s="706"/>
      <c r="W281" s="706"/>
      <c r="X281" s="706"/>
      <c r="Y281" s="863"/>
      <c r="Z281" s="706"/>
      <c r="AA281" s="706"/>
      <c r="AB281" s="706"/>
      <c r="AC281" s="706"/>
      <c r="AD281" s="706"/>
      <c r="AE281" s="706"/>
      <c r="AF281" s="706"/>
      <c r="AG281" s="863"/>
      <c r="AH281" s="706"/>
      <c r="AI281" s="706"/>
      <c r="AJ281" s="706"/>
      <c r="AK281" s="706"/>
      <c r="AL281" s="706"/>
      <c r="AM281" s="706"/>
      <c r="AN281" s="706"/>
      <c r="AO281" s="863"/>
      <c r="AP281" s="706"/>
      <c r="AQ281" s="706"/>
      <c r="AR281" s="706"/>
      <c r="AS281" s="706"/>
      <c r="AT281" s="706"/>
      <c r="AU281" s="706"/>
      <c r="AV281" s="706"/>
      <c r="AW281" s="706"/>
      <c r="AX281" s="706"/>
      <c r="AY281" s="706"/>
      <c r="AZ281" s="706"/>
      <c r="BA281" s="706"/>
      <c r="BB281" s="706"/>
      <c r="BC281" s="706"/>
      <c r="BD281" s="706"/>
      <c r="BE281" s="706"/>
      <c r="BF281" s="706"/>
      <c r="BG281" s="706"/>
      <c r="BH281" s="706"/>
    </row>
    <row r="282" spans="1:60" s="48" customFormat="1">
      <c r="A282" s="711"/>
      <c r="B282" s="711"/>
      <c r="C282" s="706"/>
      <c r="D282" s="706"/>
      <c r="E282" s="706"/>
      <c r="F282" s="706"/>
      <c r="G282" s="706"/>
      <c r="H282" s="706"/>
      <c r="I282" s="863"/>
      <c r="J282" s="706"/>
      <c r="K282" s="706"/>
      <c r="L282" s="706"/>
      <c r="M282" s="706"/>
      <c r="N282" s="706"/>
      <c r="O282" s="706"/>
      <c r="P282" s="706"/>
      <c r="Q282" s="863"/>
      <c r="R282" s="706"/>
      <c r="S282" s="706"/>
      <c r="T282" s="706"/>
      <c r="U282" s="706"/>
      <c r="V282" s="706"/>
      <c r="W282" s="706"/>
      <c r="X282" s="706"/>
      <c r="Y282" s="863"/>
      <c r="Z282" s="706"/>
      <c r="AA282" s="706"/>
      <c r="AB282" s="706"/>
      <c r="AC282" s="706"/>
      <c r="AD282" s="706"/>
      <c r="AE282" s="706"/>
      <c r="AF282" s="706"/>
      <c r="AG282" s="863"/>
      <c r="AH282" s="706"/>
      <c r="AI282" s="706"/>
      <c r="AJ282" s="706"/>
      <c r="AK282" s="706"/>
      <c r="AL282" s="706"/>
      <c r="AM282" s="706"/>
      <c r="AN282" s="706"/>
      <c r="AO282" s="863"/>
      <c r="AP282" s="706"/>
      <c r="AQ282" s="706"/>
      <c r="AR282" s="706"/>
      <c r="AS282" s="706"/>
      <c r="AT282" s="706"/>
      <c r="AU282" s="706"/>
      <c r="AV282" s="706"/>
      <c r="AW282" s="706"/>
      <c r="AX282" s="706"/>
      <c r="AY282" s="706"/>
      <c r="AZ282" s="706"/>
      <c r="BA282" s="706"/>
      <c r="BB282" s="706"/>
      <c r="BC282" s="706"/>
      <c r="BD282" s="706"/>
      <c r="BE282" s="706"/>
      <c r="BF282" s="706"/>
      <c r="BG282" s="706"/>
      <c r="BH282" s="706"/>
    </row>
    <row r="283" spans="1:60" s="48" customFormat="1">
      <c r="A283" s="711"/>
      <c r="B283" s="711"/>
      <c r="C283" s="706"/>
      <c r="D283" s="706"/>
      <c r="E283" s="706"/>
      <c r="F283" s="706"/>
      <c r="G283" s="706"/>
      <c r="H283" s="706"/>
      <c r="I283" s="863"/>
      <c r="J283" s="706"/>
      <c r="K283" s="706"/>
      <c r="L283" s="706"/>
      <c r="M283" s="706"/>
      <c r="N283" s="706"/>
      <c r="O283" s="706"/>
      <c r="P283" s="706"/>
      <c r="Q283" s="863"/>
      <c r="R283" s="706"/>
      <c r="S283" s="706"/>
      <c r="T283" s="706"/>
      <c r="U283" s="706"/>
      <c r="V283" s="706"/>
      <c r="W283" s="706"/>
      <c r="X283" s="706"/>
      <c r="Y283" s="863"/>
      <c r="Z283" s="706"/>
      <c r="AA283" s="706"/>
      <c r="AB283" s="706"/>
      <c r="AC283" s="706"/>
      <c r="AD283" s="706"/>
      <c r="AE283" s="706"/>
      <c r="AF283" s="706"/>
      <c r="AG283" s="863"/>
      <c r="AH283" s="706"/>
      <c r="AI283" s="706"/>
      <c r="AJ283" s="706"/>
      <c r="AK283" s="706"/>
      <c r="AL283" s="706"/>
      <c r="AM283" s="706"/>
      <c r="AN283" s="706"/>
      <c r="AO283" s="863"/>
      <c r="AP283" s="706"/>
      <c r="AQ283" s="706"/>
      <c r="AR283" s="706"/>
      <c r="AS283" s="706"/>
      <c r="AT283" s="706"/>
      <c r="AU283" s="706"/>
      <c r="AV283" s="706"/>
      <c r="AW283" s="706"/>
      <c r="AX283" s="706"/>
      <c r="AY283" s="706"/>
      <c r="AZ283" s="706"/>
      <c r="BA283" s="706"/>
      <c r="BB283" s="706"/>
      <c r="BC283" s="706"/>
      <c r="BD283" s="706"/>
      <c r="BE283" s="706"/>
      <c r="BF283" s="706"/>
      <c r="BG283" s="706"/>
      <c r="BH283" s="706"/>
    </row>
    <row r="284" spans="1:60" s="48" customFormat="1">
      <c r="A284" s="711"/>
      <c r="B284" s="711"/>
      <c r="C284" s="706"/>
      <c r="D284" s="706"/>
      <c r="E284" s="706"/>
      <c r="F284" s="706"/>
      <c r="G284" s="706"/>
      <c r="H284" s="706"/>
      <c r="I284" s="863"/>
      <c r="J284" s="706"/>
      <c r="K284" s="706"/>
      <c r="L284" s="706"/>
      <c r="M284" s="706"/>
      <c r="N284" s="706"/>
      <c r="O284" s="706"/>
      <c r="P284" s="706"/>
      <c r="Q284" s="863"/>
      <c r="R284" s="706"/>
      <c r="S284" s="706"/>
      <c r="T284" s="706"/>
      <c r="U284" s="706"/>
      <c r="V284" s="706"/>
      <c r="W284" s="706"/>
      <c r="X284" s="706"/>
      <c r="Y284" s="863"/>
      <c r="Z284" s="706"/>
      <c r="AA284" s="706"/>
      <c r="AB284" s="706"/>
      <c r="AC284" s="706"/>
      <c r="AD284" s="706"/>
      <c r="AE284" s="706"/>
      <c r="AF284" s="706"/>
      <c r="AG284" s="863"/>
      <c r="AH284" s="706"/>
      <c r="AI284" s="706"/>
      <c r="AJ284" s="706"/>
      <c r="AK284" s="706"/>
      <c r="AL284" s="706"/>
      <c r="AM284" s="706"/>
      <c r="AN284" s="706"/>
      <c r="AO284" s="863"/>
      <c r="AP284" s="706"/>
      <c r="AQ284" s="706"/>
      <c r="AR284" s="706"/>
      <c r="AS284" s="706"/>
      <c r="AT284" s="706"/>
      <c r="AU284" s="706"/>
      <c r="AV284" s="706"/>
      <c r="AW284" s="706"/>
      <c r="AX284" s="706"/>
      <c r="AY284" s="706"/>
      <c r="AZ284" s="706"/>
      <c r="BA284" s="706"/>
      <c r="BB284" s="706"/>
      <c r="BC284" s="706"/>
      <c r="BD284" s="706"/>
      <c r="BE284" s="706"/>
      <c r="BF284" s="706"/>
      <c r="BG284" s="706"/>
      <c r="BH284" s="706"/>
    </row>
    <row r="285" spans="1:60" s="48" customFormat="1">
      <c r="A285" s="711"/>
      <c r="B285" s="711"/>
      <c r="C285" s="706"/>
      <c r="D285" s="706"/>
      <c r="E285" s="706"/>
      <c r="F285" s="706"/>
      <c r="G285" s="706"/>
      <c r="H285" s="706"/>
      <c r="I285" s="863"/>
      <c r="J285" s="706"/>
      <c r="K285" s="706"/>
      <c r="L285" s="706"/>
      <c r="M285" s="706"/>
      <c r="N285" s="706"/>
      <c r="O285" s="706"/>
      <c r="P285" s="706"/>
      <c r="Q285" s="863"/>
      <c r="R285" s="706"/>
      <c r="S285" s="706"/>
      <c r="T285" s="706"/>
      <c r="U285" s="706"/>
      <c r="V285" s="706"/>
      <c r="W285" s="706"/>
      <c r="X285" s="706"/>
      <c r="Y285" s="863"/>
      <c r="Z285" s="706"/>
      <c r="AA285" s="706"/>
      <c r="AB285" s="706"/>
      <c r="AC285" s="706"/>
      <c r="AD285" s="706"/>
      <c r="AE285" s="706"/>
      <c r="AF285" s="706"/>
      <c r="AG285" s="863"/>
      <c r="AH285" s="706"/>
      <c r="AI285" s="706"/>
      <c r="AJ285" s="706"/>
      <c r="AK285" s="706"/>
      <c r="AL285" s="706"/>
      <c r="AM285" s="706"/>
      <c r="AN285" s="706"/>
      <c r="AO285" s="863"/>
      <c r="AP285" s="706"/>
      <c r="AQ285" s="706"/>
      <c r="AR285" s="706"/>
      <c r="AS285" s="706"/>
      <c r="AT285" s="706"/>
      <c r="AU285" s="706"/>
      <c r="AV285" s="706"/>
      <c r="AW285" s="706"/>
      <c r="AX285" s="706"/>
      <c r="AY285" s="706"/>
      <c r="AZ285" s="706"/>
      <c r="BA285" s="706"/>
      <c r="BB285" s="706"/>
      <c r="BC285" s="706"/>
      <c r="BD285" s="706"/>
      <c r="BE285" s="706"/>
      <c r="BF285" s="706"/>
      <c r="BG285" s="706"/>
      <c r="BH285" s="706"/>
    </row>
    <row r="286" spans="1:60" s="48" customFormat="1">
      <c r="A286" s="711"/>
      <c r="B286" s="711"/>
      <c r="C286" s="706"/>
      <c r="D286" s="706"/>
      <c r="E286" s="706"/>
      <c r="F286" s="706"/>
      <c r="G286" s="706"/>
      <c r="H286" s="706"/>
      <c r="I286" s="863"/>
      <c r="J286" s="706"/>
      <c r="K286" s="706"/>
      <c r="L286" s="706"/>
      <c r="M286" s="706"/>
      <c r="N286" s="706"/>
      <c r="O286" s="706"/>
      <c r="P286" s="706"/>
      <c r="Q286" s="863"/>
      <c r="R286" s="706"/>
      <c r="S286" s="706"/>
      <c r="T286" s="706"/>
      <c r="U286" s="706"/>
      <c r="V286" s="706"/>
      <c r="W286" s="706"/>
      <c r="X286" s="706"/>
      <c r="Y286" s="863"/>
      <c r="Z286" s="706"/>
      <c r="AA286" s="706"/>
      <c r="AB286" s="706"/>
      <c r="AC286" s="706"/>
      <c r="AD286" s="706"/>
      <c r="AE286" s="706"/>
      <c r="AF286" s="706"/>
      <c r="AG286" s="863"/>
      <c r="AH286" s="706"/>
      <c r="AI286" s="706"/>
      <c r="AJ286" s="706"/>
      <c r="AK286" s="706"/>
      <c r="AL286" s="706"/>
      <c r="AM286" s="706"/>
      <c r="AN286" s="706"/>
      <c r="AO286" s="863"/>
      <c r="AP286" s="706"/>
      <c r="AQ286" s="706"/>
      <c r="AR286" s="706"/>
      <c r="AS286" s="706"/>
      <c r="AT286" s="706"/>
      <c r="AU286" s="706"/>
      <c r="AV286" s="706"/>
      <c r="AW286" s="706"/>
      <c r="AX286" s="706"/>
      <c r="AY286" s="706"/>
      <c r="AZ286" s="706"/>
      <c r="BA286" s="706"/>
      <c r="BB286" s="706"/>
      <c r="BC286" s="706"/>
      <c r="BD286" s="706"/>
      <c r="BE286" s="706"/>
      <c r="BF286" s="706"/>
      <c r="BG286" s="706"/>
      <c r="BH286" s="706"/>
    </row>
    <row r="287" spans="1:60" s="48" customFormat="1">
      <c r="A287" s="711"/>
      <c r="B287" s="711"/>
      <c r="C287" s="706"/>
      <c r="D287" s="706"/>
      <c r="E287" s="706"/>
      <c r="F287" s="706"/>
      <c r="G287" s="706"/>
      <c r="H287" s="706"/>
      <c r="I287" s="863"/>
      <c r="J287" s="706"/>
      <c r="K287" s="706"/>
      <c r="L287" s="706"/>
      <c r="M287" s="706"/>
      <c r="N287" s="706"/>
      <c r="O287" s="706"/>
      <c r="P287" s="706"/>
      <c r="Q287" s="863"/>
      <c r="R287" s="706"/>
      <c r="S287" s="706"/>
      <c r="T287" s="706"/>
      <c r="U287" s="706"/>
      <c r="V287" s="706"/>
      <c r="W287" s="706"/>
      <c r="X287" s="706"/>
      <c r="Y287" s="863"/>
      <c r="Z287" s="706"/>
      <c r="AA287" s="706"/>
      <c r="AB287" s="706"/>
      <c r="AC287" s="706"/>
      <c r="AD287" s="706"/>
      <c r="AE287" s="706"/>
      <c r="AF287" s="706"/>
      <c r="AG287" s="863"/>
      <c r="AH287" s="706"/>
      <c r="AI287" s="706"/>
      <c r="AJ287" s="706"/>
      <c r="AK287" s="706"/>
      <c r="AL287" s="706"/>
      <c r="AM287" s="706"/>
      <c r="AN287" s="706"/>
      <c r="AO287" s="863"/>
      <c r="AP287" s="706"/>
      <c r="AQ287" s="706"/>
      <c r="AR287" s="706"/>
      <c r="AS287" s="706"/>
      <c r="AT287" s="706"/>
      <c r="AU287" s="706"/>
      <c r="AV287" s="706"/>
      <c r="AW287" s="706"/>
      <c r="AX287" s="706"/>
      <c r="AY287" s="706"/>
      <c r="AZ287" s="706"/>
      <c r="BA287" s="706"/>
      <c r="BB287" s="706"/>
      <c r="BC287" s="706"/>
      <c r="BD287" s="706"/>
      <c r="BE287" s="706"/>
      <c r="BF287" s="706"/>
      <c r="BG287" s="706"/>
      <c r="BH287" s="706"/>
    </row>
    <row r="288" spans="1:60" s="48" customFormat="1">
      <c r="A288" s="711"/>
      <c r="B288" s="711"/>
      <c r="C288" s="706"/>
      <c r="D288" s="706"/>
      <c r="E288" s="706"/>
      <c r="F288" s="706"/>
      <c r="G288" s="706"/>
      <c r="H288" s="706"/>
      <c r="I288" s="863"/>
      <c r="J288" s="706"/>
      <c r="K288" s="706"/>
      <c r="L288" s="706"/>
      <c r="M288" s="706"/>
      <c r="N288" s="706"/>
      <c r="O288" s="706"/>
      <c r="P288" s="706"/>
      <c r="Q288" s="863"/>
      <c r="R288" s="706"/>
      <c r="S288" s="706"/>
      <c r="T288" s="706"/>
      <c r="U288" s="706"/>
      <c r="V288" s="706"/>
      <c r="W288" s="706"/>
      <c r="X288" s="706"/>
      <c r="Y288" s="863"/>
      <c r="Z288" s="706"/>
      <c r="AA288" s="706"/>
      <c r="AB288" s="706"/>
      <c r="AC288" s="706"/>
      <c r="AD288" s="706"/>
      <c r="AE288" s="706"/>
      <c r="AF288" s="706"/>
      <c r="AG288" s="863"/>
      <c r="AH288" s="706"/>
      <c r="AI288" s="706"/>
      <c r="AJ288" s="706"/>
      <c r="AK288" s="706"/>
      <c r="AL288" s="706"/>
      <c r="AM288" s="706"/>
      <c r="AN288" s="706"/>
      <c r="AO288" s="863"/>
      <c r="AP288" s="706"/>
      <c r="AQ288" s="706"/>
      <c r="AR288" s="706"/>
      <c r="AS288" s="706"/>
      <c r="AT288" s="706"/>
      <c r="AU288" s="706"/>
      <c r="AV288" s="706"/>
      <c r="AW288" s="706"/>
      <c r="AX288" s="706"/>
      <c r="AY288" s="706"/>
      <c r="AZ288" s="706"/>
      <c r="BA288" s="706"/>
      <c r="BB288" s="706"/>
      <c r="BC288" s="706"/>
      <c r="BD288" s="706"/>
      <c r="BE288" s="706"/>
      <c r="BF288" s="706"/>
      <c r="BG288" s="706"/>
      <c r="BH288" s="706"/>
    </row>
    <row r="289" spans="1:60" s="48" customFormat="1">
      <c r="A289" s="711"/>
      <c r="B289" s="711"/>
      <c r="C289" s="706"/>
      <c r="D289" s="706"/>
      <c r="E289" s="706"/>
      <c r="F289" s="706"/>
      <c r="G289" s="706"/>
      <c r="H289" s="706"/>
      <c r="I289" s="863"/>
      <c r="J289" s="706"/>
      <c r="K289" s="706"/>
      <c r="L289" s="706"/>
      <c r="M289" s="706"/>
      <c r="N289" s="706"/>
      <c r="O289" s="706"/>
      <c r="P289" s="706"/>
      <c r="Q289" s="863"/>
      <c r="R289" s="706"/>
      <c r="S289" s="706"/>
      <c r="T289" s="706"/>
      <c r="U289" s="706"/>
      <c r="V289" s="706"/>
      <c r="W289" s="706"/>
      <c r="X289" s="706"/>
      <c r="Y289" s="863"/>
      <c r="Z289" s="706"/>
      <c r="AA289" s="706"/>
      <c r="AB289" s="706"/>
      <c r="AC289" s="706"/>
      <c r="AD289" s="706"/>
      <c r="AE289" s="706"/>
      <c r="AF289" s="706"/>
      <c r="AG289" s="863"/>
      <c r="AH289" s="706"/>
      <c r="AI289" s="706"/>
      <c r="AJ289" s="706"/>
      <c r="AK289" s="706"/>
      <c r="AL289" s="706"/>
      <c r="AM289" s="706"/>
      <c r="AN289" s="706"/>
      <c r="AO289" s="863"/>
      <c r="AP289" s="706"/>
      <c r="AQ289" s="706"/>
      <c r="AR289" s="706"/>
      <c r="AS289" s="706"/>
      <c r="AT289" s="706"/>
      <c r="AU289" s="706"/>
      <c r="AV289" s="706"/>
      <c r="AW289" s="706"/>
      <c r="AX289" s="706"/>
      <c r="AY289" s="706"/>
      <c r="AZ289" s="706"/>
      <c r="BA289" s="706"/>
      <c r="BB289" s="706"/>
      <c r="BC289" s="706"/>
      <c r="BD289" s="706"/>
      <c r="BE289" s="706"/>
      <c r="BF289" s="706"/>
      <c r="BG289" s="706"/>
      <c r="BH289" s="706"/>
    </row>
    <row r="290" spans="1:60" s="48" customFormat="1">
      <c r="A290" s="711"/>
      <c r="B290" s="711"/>
      <c r="C290" s="706"/>
      <c r="D290" s="706"/>
      <c r="E290" s="706"/>
      <c r="F290" s="706"/>
      <c r="G290" s="706"/>
      <c r="H290" s="706"/>
      <c r="I290" s="863"/>
      <c r="J290" s="706"/>
      <c r="K290" s="706"/>
      <c r="L290" s="706"/>
      <c r="M290" s="706"/>
      <c r="N290" s="706"/>
      <c r="O290" s="706"/>
      <c r="P290" s="706"/>
      <c r="Q290" s="863"/>
      <c r="R290" s="706"/>
      <c r="S290" s="706"/>
      <c r="T290" s="706"/>
      <c r="U290" s="706"/>
      <c r="V290" s="706"/>
      <c r="W290" s="706"/>
      <c r="X290" s="706"/>
      <c r="Y290" s="863"/>
      <c r="Z290" s="706"/>
      <c r="AA290" s="706"/>
      <c r="AB290" s="706"/>
      <c r="AC290" s="706"/>
      <c r="AD290" s="706"/>
      <c r="AE290" s="706"/>
      <c r="AF290" s="706"/>
      <c r="AG290" s="863"/>
      <c r="AH290" s="706"/>
      <c r="AI290" s="706"/>
      <c r="AJ290" s="706"/>
      <c r="AK290" s="706"/>
      <c r="AL290" s="706"/>
      <c r="AM290" s="706"/>
      <c r="AN290" s="706"/>
      <c r="AO290" s="863"/>
      <c r="AP290" s="706"/>
      <c r="AQ290" s="706"/>
      <c r="AR290" s="706"/>
      <c r="AS290" s="706"/>
      <c r="AT290" s="706"/>
      <c r="AU290" s="706"/>
      <c r="AV290" s="706"/>
      <c r="AW290" s="706"/>
      <c r="AX290" s="706"/>
      <c r="AY290" s="706"/>
      <c r="AZ290" s="706"/>
      <c r="BA290" s="706"/>
      <c r="BB290" s="706"/>
      <c r="BC290" s="706"/>
      <c r="BD290" s="706"/>
      <c r="BE290" s="706"/>
      <c r="BF290" s="706"/>
      <c r="BG290" s="706"/>
      <c r="BH290" s="706"/>
    </row>
    <row r="291" spans="1:60" s="48" customFormat="1">
      <c r="A291" s="711"/>
      <c r="B291" s="711"/>
      <c r="C291" s="706"/>
      <c r="D291" s="706"/>
      <c r="E291" s="706"/>
      <c r="F291" s="706"/>
      <c r="G291" s="706"/>
      <c r="H291" s="706"/>
      <c r="I291" s="863"/>
      <c r="J291" s="706"/>
      <c r="K291" s="706"/>
      <c r="L291" s="706"/>
      <c r="M291" s="706"/>
      <c r="N291" s="706"/>
      <c r="O291" s="706"/>
      <c r="P291" s="706"/>
      <c r="Q291" s="863"/>
      <c r="R291" s="706"/>
      <c r="S291" s="706"/>
      <c r="T291" s="706"/>
      <c r="U291" s="706"/>
      <c r="V291" s="706"/>
      <c r="W291" s="706"/>
      <c r="X291" s="706"/>
      <c r="Y291" s="863"/>
      <c r="Z291" s="706"/>
      <c r="AA291" s="706"/>
      <c r="AB291" s="706"/>
      <c r="AC291" s="706"/>
      <c r="AD291" s="706"/>
      <c r="AE291" s="706"/>
      <c r="AF291" s="706"/>
      <c r="AG291" s="863"/>
      <c r="AH291" s="706"/>
      <c r="AI291" s="706"/>
      <c r="AJ291" s="706"/>
      <c r="AK291" s="706"/>
      <c r="AL291" s="706"/>
      <c r="AM291" s="706"/>
      <c r="AN291" s="706"/>
      <c r="AO291" s="863"/>
      <c r="AP291" s="706"/>
      <c r="AQ291" s="706"/>
      <c r="AR291" s="706"/>
      <c r="AS291" s="706"/>
      <c r="AT291" s="706"/>
      <c r="AU291" s="706"/>
      <c r="AV291" s="706"/>
      <c r="AW291" s="706"/>
      <c r="AX291" s="706"/>
      <c r="AY291" s="706"/>
      <c r="AZ291" s="706"/>
      <c r="BA291" s="706"/>
      <c r="BB291" s="706"/>
      <c r="BC291" s="706"/>
      <c r="BD291" s="706"/>
      <c r="BE291" s="706"/>
      <c r="BF291" s="706"/>
      <c r="BG291" s="706"/>
      <c r="BH291" s="706"/>
    </row>
    <row r="292" spans="1:60" s="48" customFormat="1">
      <c r="A292" s="711"/>
      <c r="B292" s="711"/>
      <c r="C292" s="706"/>
      <c r="D292" s="706"/>
      <c r="E292" s="706"/>
      <c r="F292" s="706"/>
      <c r="G292" s="706"/>
      <c r="H292" s="706"/>
      <c r="I292" s="863"/>
      <c r="J292" s="706"/>
      <c r="K292" s="706"/>
      <c r="L292" s="706"/>
      <c r="M292" s="706"/>
      <c r="N292" s="706"/>
      <c r="O292" s="706"/>
      <c r="P292" s="706"/>
      <c r="Q292" s="863"/>
      <c r="R292" s="706"/>
      <c r="S292" s="706"/>
      <c r="T292" s="706"/>
      <c r="U292" s="706"/>
      <c r="V292" s="706"/>
      <c r="W292" s="706"/>
      <c r="X292" s="706"/>
      <c r="Y292" s="863"/>
      <c r="Z292" s="706"/>
      <c r="AA292" s="706"/>
      <c r="AB292" s="706"/>
      <c r="AC292" s="706"/>
      <c r="AD292" s="706"/>
      <c r="AE292" s="706"/>
      <c r="AF292" s="706"/>
      <c r="AG292" s="863"/>
      <c r="AH292" s="706"/>
      <c r="AI292" s="706"/>
      <c r="AJ292" s="706"/>
      <c r="AK292" s="706"/>
      <c r="AL292" s="706"/>
      <c r="AM292" s="706"/>
      <c r="AN292" s="706"/>
      <c r="AO292" s="863"/>
      <c r="AP292" s="706"/>
      <c r="AQ292" s="706"/>
      <c r="AR292" s="706"/>
      <c r="AS292" s="706"/>
      <c r="AT292" s="706"/>
      <c r="AU292" s="706"/>
      <c r="AV292" s="706"/>
      <c r="AW292" s="706"/>
      <c r="AX292" s="706"/>
      <c r="AY292" s="706"/>
      <c r="AZ292" s="706"/>
      <c r="BA292" s="706"/>
      <c r="BB292" s="706"/>
      <c r="BC292" s="706"/>
      <c r="BD292" s="706"/>
      <c r="BE292" s="706"/>
      <c r="BF292" s="706"/>
      <c r="BG292" s="706"/>
      <c r="BH292" s="706"/>
    </row>
    <row r="293" spans="1:60" s="48" customFormat="1">
      <c r="A293" s="711"/>
      <c r="B293" s="711"/>
      <c r="C293" s="706"/>
      <c r="D293" s="706"/>
      <c r="E293" s="706"/>
      <c r="F293" s="706"/>
      <c r="G293" s="706"/>
      <c r="H293" s="706"/>
      <c r="I293" s="863"/>
      <c r="J293" s="706"/>
      <c r="K293" s="706"/>
      <c r="L293" s="706"/>
      <c r="M293" s="706"/>
      <c r="N293" s="706"/>
      <c r="O293" s="706"/>
      <c r="P293" s="706"/>
      <c r="Q293" s="863"/>
      <c r="R293" s="706"/>
      <c r="S293" s="706"/>
      <c r="T293" s="706"/>
      <c r="U293" s="706"/>
      <c r="V293" s="706"/>
      <c r="W293" s="706"/>
      <c r="X293" s="706"/>
      <c r="Y293" s="863"/>
      <c r="Z293" s="706"/>
      <c r="AA293" s="706"/>
      <c r="AB293" s="706"/>
      <c r="AC293" s="706"/>
      <c r="AD293" s="706"/>
      <c r="AE293" s="706"/>
      <c r="AF293" s="706"/>
      <c r="AG293" s="863"/>
      <c r="AH293" s="706"/>
      <c r="AI293" s="706"/>
      <c r="AJ293" s="706"/>
      <c r="AK293" s="706"/>
      <c r="AL293" s="706"/>
      <c r="AM293" s="706"/>
      <c r="AN293" s="706"/>
      <c r="AO293" s="863"/>
      <c r="AP293" s="706"/>
      <c r="AQ293" s="706"/>
      <c r="AR293" s="706"/>
      <c r="AS293" s="706"/>
      <c r="AT293" s="706"/>
      <c r="AU293" s="706"/>
      <c r="AV293" s="706"/>
      <c r="AW293" s="706"/>
      <c r="AX293" s="706"/>
      <c r="AY293" s="706"/>
      <c r="AZ293" s="706"/>
      <c r="BA293" s="706"/>
      <c r="BB293" s="706"/>
      <c r="BC293" s="706"/>
      <c r="BD293" s="706"/>
      <c r="BE293" s="706"/>
      <c r="BF293" s="706"/>
      <c r="BG293" s="706"/>
      <c r="BH293" s="706"/>
    </row>
    <row r="294" spans="1:60" s="48" customFormat="1">
      <c r="A294" s="711"/>
      <c r="B294" s="711"/>
      <c r="C294" s="706"/>
      <c r="D294" s="706"/>
      <c r="E294" s="706"/>
      <c r="F294" s="706"/>
      <c r="G294" s="706"/>
      <c r="H294" s="706"/>
      <c r="I294" s="863"/>
      <c r="J294" s="706"/>
      <c r="K294" s="706"/>
      <c r="L294" s="706"/>
      <c r="M294" s="706"/>
      <c r="N294" s="706"/>
      <c r="O294" s="706"/>
      <c r="P294" s="706"/>
      <c r="Q294" s="863"/>
      <c r="R294" s="706"/>
      <c r="S294" s="706"/>
      <c r="T294" s="706"/>
      <c r="U294" s="706"/>
      <c r="V294" s="706"/>
      <c r="W294" s="706"/>
      <c r="X294" s="706"/>
      <c r="Y294" s="863"/>
      <c r="Z294" s="706"/>
      <c r="AA294" s="706"/>
      <c r="AB294" s="706"/>
      <c r="AC294" s="706"/>
      <c r="AD294" s="706"/>
      <c r="AE294" s="706"/>
      <c r="AF294" s="706"/>
      <c r="AG294" s="863"/>
      <c r="AH294" s="706"/>
      <c r="AI294" s="706"/>
      <c r="AJ294" s="706"/>
      <c r="AK294" s="706"/>
      <c r="AL294" s="706"/>
      <c r="AM294" s="706"/>
      <c r="AN294" s="706"/>
      <c r="AO294" s="863"/>
      <c r="AP294" s="706"/>
      <c r="AQ294" s="706"/>
      <c r="AR294" s="706"/>
      <c r="AS294" s="706"/>
      <c r="AT294" s="706"/>
      <c r="AU294" s="706"/>
      <c r="AV294" s="706"/>
      <c r="AW294" s="706"/>
      <c r="AX294" s="706"/>
      <c r="AY294" s="706"/>
      <c r="AZ294" s="706"/>
      <c r="BA294" s="706"/>
      <c r="BB294" s="706"/>
      <c r="BC294" s="706"/>
      <c r="BD294" s="706"/>
      <c r="BE294" s="706"/>
      <c r="BF294" s="706"/>
      <c r="BG294" s="706"/>
      <c r="BH294" s="706"/>
    </row>
    <row r="295" spans="1:60" s="48" customFormat="1">
      <c r="A295" s="711"/>
      <c r="B295" s="711"/>
      <c r="C295" s="706"/>
      <c r="D295" s="706"/>
      <c r="E295" s="706"/>
      <c r="F295" s="706"/>
      <c r="G295" s="706"/>
      <c r="H295" s="706"/>
      <c r="I295" s="863"/>
      <c r="J295" s="706"/>
      <c r="K295" s="706"/>
      <c r="L295" s="706"/>
      <c r="M295" s="706"/>
      <c r="N295" s="706"/>
      <c r="O295" s="706"/>
      <c r="P295" s="706"/>
      <c r="Q295" s="863"/>
      <c r="R295" s="706"/>
      <c r="S295" s="706"/>
      <c r="T295" s="706"/>
      <c r="U295" s="706"/>
      <c r="V295" s="706"/>
      <c r="W295" s="706"/>
      <c r="X295" s="706"/>
      <c r="Y295" s="863"/>
      <c r="Z295" s="706"/>
      <c r="AA295" s="706"/>
      <c r="AB295" s="706"/>
      <c r="AC295" s="706"/>
      <c r="AD295" s="706"/>
      <c r="AE295" s="706"/>
      <c r="AF295" s="706"/>
      <c r="AG295" s="863"/>
      <c r="AH295" s="706"/>
      <c r="AI295" s="706"/>
      <c r="AJ295" s="706"/>
      <c r="AK295" s="706"/>
      <c r="AL295" s="706"/>
      <c r="AM295" s="706"/>
      <c r="AN295" s="706"/>
      <c r="AO295" s="863"/>
      <c r="AP295" s="706"/>
      <c r="AQ295" s="706"/>
      <c r="AR295" s="706"/>
      <c r="AS295" s="706"/>
      <c r="AT295" s="706"/>
      <c r="AU295" s="706"/>
      <c r="AV295" s="706"/>
      <c r="AW295" s="706"/>
      <c r="AX295" s="706"/>
      <c r="AY295" s="706"/>
      <c r="AZ295" s="706"/>
      <c r="BA295" s="706"/>
      <c r="BB295" s="706"/>
      <c r="BC295" s="706"/>
      <c r="BD295" s="706"/>
      <c r="BE295" s="706"/>
      <c r="BF295" s="706"/>
      <c r="BG295" s="706"/>
      <c r="BH295" s="706"/>
    </row>
    <row r="296" spans="1:60" s="48" customFormat="1">
      <c r="A296" s="711"/>
      <c r="B296" s="711"/>
      <c r="C296" s="706"/>
      <c r="D296" s="706"/>
      <c r="E296" s="706"/>
      <c r="F296" s="706"/>
      <c r="G296" s="706"/>
      <c r="H296" s="706"/>
      <c r="I296" s="863"/>
      <c r="J296" s="706"/>
      <c r="K296" s="706"/>
      <c r="L296" s="706"/>
      <c r="M296" s="706"/>
      <c r="N296" s="706"/>
      <c r="O296" s="706"/>
      <c r="P296" s="706"/>
      <c r="Q296" s="863"/>
      <c r="R296" s="706"/>
      <c r="S296" s="706"/>
      <c r="T296" s="706"/>
      <c r="U296" s="706"/>
      <c r="V296" s="706"/>
      <c r="W296" s="706"/>
      <c r="X296" s="706"/>
      <c r="Y296" s="863"/>
      <c r="Z296" s="706"/>
      <c r="AA296" s="706"/>
      <c r="AB296" s="706"/>
      <c r="AC296" s="706"/>
      <c r="AD296" s="706"/>
      <c r="AE296" s="706"/>
      <c r="AF296" s="706"/>
      <c r="AG296" s="863"/>
      <c r="AH296" s="706"/>
      <c r="AI296" s="706"/>
      <c r="AJ296" s="706"/>
      <c r="AK296" s="706"/>
      <c r="AL296" s="706"/>
      <c r="AM296" s="706"/>
      <c r="AN296" s="706"/>
      <c r="AO296" s="863"/>
      <c r="AP296" s="706"/>
      <c r="AQ296" s="706"/>
      <c r="AR296" s="706"/>
      <c r="AS296" s="706"/>
      <c r="AT296" s="706"/>
      <c r="AU296" s="706"/>
      <c r="AV296" s="706"/>
      <c r="AW296" s="706"/>
      <c r="AX296" s="706"/>
      <c r="AY296" s="706"/>
      <c r="AZ296" s="706"/>
      <c r="BA296" s="706"/>
      <c r="BB296" s="706"/>
      <c r="BC296" s="706"/>
      <c r="BD296" s="706"/>
      <c r="BE296" s="706"/>
      <c r="BF296" s="706"/>
      <c r="BG296" s="706"/>
      <c r="BH296" s="706"/>
    </row>
    <row r="297" spans="1:60" s="48" customFormat="1">
      <c r="A297" s="711"/>
      <c r="B297" s="711"/>
      <c r="C297" s="706"/>
      <c r="D297" s="706"/>
      <c r="E297" s="706"/>
      <c r="F297" s="706"/>
      <c r="G297" s="706"/>
      <c r="H297" s="706"/>
      <c r="I297" s="863"/>
      <c r="J297" s="706"/>
      <c r="K297" s="706"/>
      <c r="L297" s="706"/>
      <c r="M297" s="706"/>
      <c r="N297" s="706"/>
      <c r="O297" s="706"/>
      <c r="P297" s="706"/>
      <c r="Q297" s="863"/>
      <c r="R297" s="706"/>
      <c r="S297" s="706"/>
      <c r="T297" s="706"/>
      <c r="U297" s="706"/>
      <c r="V297" s="706"/>
      <c r="W297" s="706"/>
      <c r="X297" s="706"/>
      <c r="Y297" s="863"/>
      <c r="Z297" s="706"/>
      <c r="AA297" s="706"/>
      <c r="AB297" s="706"/>
      <c r="AC297" s="706"/>
      <c r="AD297" s="706"/>
      <c r="AE297" s="706"/>
      <c r="AF297" s="706"/>
      <c r="AG297" s="863"/>
      <c r="AH297" s="706"/>
      <c r="AI297" s="706"/>
      <c r="AJ297" s="706"/>
      <c r="AK297" s="706"/>
      <c r="AL297" s="706"/>
      <c r="AM297" s="706"/>
      <c r="AN297" s="706"/>
      <c r="AO297" s="863"/>
      <c r="AP297" s="706"/>
      <c r="AQ297" s="706"/>
      <c r="AR297" s="706"/>
      <c r="AS297" s="706"/>
      <c r="AT297" s="706"/>
      <c r="AU297" s="706"/>
      <c r="AV297" s="706"/>
      <c r="AW297" s="706"/>
      <c r="AX297" s="706"/>
      <c r="AY297" s="706"/>
      <c r="AZ297" s="706"/>
      <c r="BA297" s="706"/>
      <c r="BB297" s="706"/>
      <c r="BC297" s="706"/>
      <c r="BD297" s="706"/>
      <c r="BE297" s="706"/>
      <c r="BF297" s="706"/>
      <c r="BG297" s="706"/>
      <c r="BH297" s="706"/>
    </row>
    <row r="298" spans="1:60" s="48" customFormat="1">
      <c r="A298" s="711"/>
      <c r="B298" s="711"/>
      <c r="C298" s="706"/>
      <c r="D298" s="706"/>
      <c r="E298" s="706"/>
      <c r="F298" s="706"/>
      <c r="G298" s="706"/>
      <c r="H298" s="706"/>
      <c r="I298" s="863"/>
      <c r="J298" s="706"/>
      <c r="K298" s="706"/>
      <c r="L298" s="706"/>
      <c r="M298" s="706"/>
      <c r="N298" s="706"/>
      <c r="O298" s="706"/>
      <c r="P298" s="706"/>
      <c r="Q298" s="863"/>
      <c r="R298" s="706"/>
      <c r="S298" s="706"/>
      <c r="T298" s="706"/>
      <c r="U298" s="706"/>
      <c r="V298" s="706"/>
      <c r="W298" s="706"/>
      <c r="X298" s="706"/>
      <c r="Y298" s="863"/>
      <c r="Z298" s="706"/>
      <c r="AA298" s="706"/>
      <c r="AB298" s="706"/>
      <c r="AC298" s="706"/>
      <c r="AD298" s="706"/>
      <c r="AE298" s="706"/>
      <c r="AF298" s="706"/>
      <c r="AG298" s="863"/>
      <c r="AH298" s="706"/>
      <c r="AI298" s="706"/>
      <c r="AJ298" s="706"/>
      <c r="AK298" s="706"/>
      <c r="AL298" s="706"/>
      <c r="AM298" s="706"/>
      <c r="AN298" s="706"/>
      <c r="AO298" s="863"/>
      <c r="AP298" s="706"/>
      <c r="AQ298" s="706"/>
      <c r="AR298" s="706"/>
      <c r="AS298" s="706"/>
      <c r="AT298" s="706"/>
      <c r="AU298" s="706"/>
      <c r="AV298" s="706"/>
      <c r="AW298" s="706"/>
      <c r="AX298" s="706"/>
      <c r="AY298" s="706"/>
      <c r="AZ298" s="706"/>
      <c r="BA298" s="706"/>
      <c r="BB298" s="706"/>
      <c r="BC298" s="706"/>
      <c r="BD298" s="706"/>
      <c r="BE298" s="706"/>
      <c r="BF298" s="706"/>
      <c r="BG298" s="706"/>
      <c r="BH298" s="706"/>
    </row>
    <row r="299" spans="1:60" s="48" customFormat="1">
      <c r="A299" s="711"/>
      <c r="B299" s="711"/>
      <c r="C299" s="706"/>
      <c r="D299" s="706"/>
      <c r="E299" s="706"/>
      <c r="F299" s="706"/>
      <c r="G299" s="706"/>
      <c r="H299" s="706"/>
      <c r="I299" s="863"/>
      <c r="J299" s="706"/>
      <c r="K299" s="706"/>
      <c r="L299" s="706"/>
      <c r="M299" s="706"/>
      <c r="N299" s="706"/>
      <c r="O299" s="706"/>
      <c r="P299" s="706"/>
      <c r="Q299" s="863"/>
      <c r="R299" s="706"/>
      <c r="S299" s="706"/>
      <c r="T299" s="706"/>
      <c r="U299" s="706"/>
      <c r="V299" s="706"/>
      <c r="W299" s="706"/>
      <c r="X299" s="706"/>
      <c r="Y299" s="863"/>
      <c r="Z299" s="706"/>
      <c r="AA299" s="706"/>
      <c r="AB299" s="706"/>
      <c r="AC299" s="706"/>
      <c r="AD299" s="706"/>
      <c r="AE299" s="706"/>
      <c r="AF299" s="706"/>
      <c r="AG299" s="863"/>
      <c r="AH299" s="706"/>
      <c r="AI299" s="706"/>
      <c r="AJ299" s="706"/>
      <c r="AK299" s="706"/>
      <c r="AL299" s="706"/>
      <c r="AM299" s="706"/>
      <c r="AN299" s="706"/>
      <c r="AO299" s="863"/>
      <c r="AP299" s="706"/>
      <c r="AQ299" s="706"/>
      <c r="AR299" s="706"/>
      <c r="AS299" s="706"/>
      <c r="AT299" s="706"/>
      <c r="AU299" s="706"/>
      <c r="AV299" s="706"/>
      <c r="AW299" s="706"/>
      <c r="AX299" s="706"/>
      <c r="AY299" s="706"/>
      <c r="AZ299" s="706"/>
      <c r="BA299" s="706"/>
      <c r="BB299" s="706"/>
      <c r="BC299" s="706"/>
      <c r="BD299" s="706"/>
      <c r="BE299" s="706"/>
      <c r="BF299" s="706"/>
      <c r="BG299" s="706"/>
      <c r="BH299" s="706"/>
    </row>
    <row r="300" spans="1:60" s="48" customFormat="1">
      <c r="A300" s="711"/>
      <c r="B300" s="711"/>
      <c r="C300" s="706"/>
      <c r="D300" s="706"/>
      <c r="E300" s="706"/>
      <c r="F300" s="706"/>
      <c r="G300" s="706"/>
      <c r="H300" s="706"/>
      <c r="I300" s="863"/>
      <c r="J300" s="706"/>
      <c r="K300" s="706"/>
      <c r="L300" s="706"/>
      <c r="M300" s="706"/>
      <c r="N300" s="706"/>
      <c r="O300" s="706"/>
      <c r="P300" s="706"/>
      <c r="Q300" s="863"/>
      <c r="R300" s="706"/>
      <c r="S300" s="706"/>
      <c r="T300" s="706"/>
      <c r="U300" s="706"/>
      <c r="V300" s="706"/>
      <c r="W300" s="706"/>
      <c r="X300" s="706"/>
      <c r="Y300" s="863"/>
      <c r="Z300" s="706"/>
      <c r="AA300" s="706"/>
      <c r="AB300" s="706"/>
      <c r="AC300" s="706"/>
      <c r="AD300" s="706"/>
      <c r="AE300" s="706"/>
      <c r="AF300" s="706"/>
      <c r="AG300" s="863"/>
      <c r="AH300" s="706"/>
      <c r="AI300" s="706"/>
      <c r="AJ300" s="706"/>
      <c r="AK300" s="706"/>
      <c r="AL300" s="706"/>
      <c r="AM300" s="706"/>
      <c r="AN300" s="706"/>
      <c r="AO300" s="863"/>
      <c r="AP300" s="706"/>
      <c r="AQ300" s="706"/>
      <c r="AR300" s="706"/>
      <c r="AS300" s="706"/>
      <c r="AT300" s="706"/>
      <c r="AU300" s="706"/>
      <c r="AV300" s="706"/>
      <c r="AW300" s="706"/>
      <c r="AX300" s="706"/>
      <c r="AY300" s="706"/>
      <c r="AZ300" s="706"/>
      <c r="BA300" s="706"/>
      <c r="BB300" s="706"/>
      <c r="BC300" s="706"/>
      <c r="BD300" s="706"/>
      <c r="BE300" s="706"/>
      <c r="BF300" s="706"/>
      <c r="BG300" s="706"/>
      <c r="BH300" s="706"/>
    </row>
    <row r="301" spans="1:60" s="48" customFormat="1">
      <c r="A301" s="711"/>
      <c r="B301" s="711"/>
      <c r="C301" s="706"/>
      <c r="D301" s="706"/>
      <c r="E301" s="706"/>
      <c r="F301" s="706"/>
      <c r="G301" s="706"/>
      <c r="H301" s="706"/>
      <c r="I301" s="863"/>
      <c r="J301" s="706"/>
      <c r="K301" s="706"/>
      <c r="L301" s="706"/>
      <c r="M301" s="706"/>
      <c r="N301" s="706"/>
      <c r="O301" s="706"/>
      <c r="P301" s="706"/>
      <c r="Q301" s="863"/>
      <c r="R301" s="706"/>
      <c r="S301" s="706"/>
      <c r="T301" s="706"/>
      <c r="U301" s="706"/>
      <c r="V301" s="706"/>
      <c r="W301" s="706"/>
      <c r="X301" s="706"/>
      <c r="Y301" s="863"/>
      <c r="Z301" s="706"/>
      <c r="AA301" s="706"/>
      <c r="AB301" s="706"/>
      <c r="AC301" s="706"/>
      <c r="AD301" s="706"/>
      <c r="AE301" s="706"/>
      <c r="AF301" s="706"/>
      <c r="AG301" s="863"/>
      <c r="AH301" s="706"/>
      <c r="AI301" s="706"/>
      <c r="AJ301" s="706"/>
      <c r="AK301" s="706"/>
      <c r="AL301" s="706"/>
      <c r="AM301" s="706"/>
      <c r="AN301" s="706"/>
      <c r="AO301" s="863"/>
      <c r="AP301" s="706"/>
      <c r="AQ301" s="706"/>
      <c r="AR301" s="706"/>
      <c r="AS301" s="706"/>
      <c r="AT301" s="706"/>
      <c r="AU301" s="706"/>
      <c r="AV301" s="706"/>
      <c r="AW301" s="706"/>
      <c r="AX301" s="706"/>
      <c r="AY301" s="706"/>
      <c r="AZ301" s="706"/>
      <c r="BA301" s="706"/>
      <c r="BB301" s="706"/>
      <c r="BC301" s="706"/>
      <c r="BD301" s="706"/>
      <c r="BE301" s="706"/>
      <c r="BF301" s="706"/>
      <c r="BG301" s="706"/>
      <c r="BH301" s="706"/>
    </row>
    <row r="302" spans="1:60" s="48" customFormat="1">
      <c r="A302" s="711"/>
      <c r="B302" s="711"/>
      <c r="C302" s="706"/>
      <c r="D302" s="706"/>
      <c r="E302" s="706"/>
      <c r="F302" s="706"/>
      <c r="G302" s="706"/>
      <c r="H302" s="706"/>
      <c r="I302" s="863"/>
      <c r="J302" s="706"/>
      <c r="K302" s="706"/>
      <c r="L302" s="706"/>
      <c r="M302" s="706"/>
      <c r="N302" s="706"/>
      <c r="O302" s="706"/>
      <c r="P302" s="706"/>
      <c r="Q302" s="863"/>
      <c r="R302" s="706"/>
      <c r="S302" s="706"/>
      <c r="T302" s="706"/>
      <c r="U302" s="706"/>
      <c r="V302" s="706"/>
      <c r="W302" s="706"/>
      <c r="X302" s="706"/>
      <c r="Y302" s="863"/>
      <c r="Z302" s="706"/>
      <c r="AA302" s="706"/>
      <c r="AB302" s="706"/>
      <c r="AC302" s="706"/>
      <c r="AD302" s="706"/>
      <c r="AE302" s="706"/>
      <c r="AF302" s="706"/>
      <c r="AG302" s="863"/>
      <c r="AH302" s="706"/>
      <c r="AI302" s="706"/>
      <c r="AJ302" s="706"/>
      <c r="AK302" s="706"/>
      <c r="AL302" s="706"/>
      <c r="AM302" s="706"/>
      <c r="AN302" s="706"/>
      <c r="AO302" s="863"/>
      <c r="AP302" s="706"/>
      <c r="AQ302" s="706"/>
      <c r="AR302" s="706"/>
      <c r="AS302" s="706"/>
      <c r="AT302" s="706"/>
      <c r="AU302" s="706"/>
      <c r="AV302" s="706"/>
      <c r="AW302" s="706"/>
      <c r="AX302" s="706"/>
      <c r="AY302" s="706"/>
      <c r="AZ302" s="706"/>
      <c r="BA302" s="706"/>
      <c r="BB302" s="706"/>
      <c r="BC302" s="706"/>
      <c r="BD302" s="706"/>
      <c r="BE302" s="706"/>
      <c r="BF302" s="706"/>
      <c r="BG302" s="706"/>
      <c r="BH302" s="706"/>
    </row>
    <row r="303" spans="1:60" s="48" customFormat="1">
      <c r="A303" s="711"/>
      <c r="B303" s="711"/>
      <c r="C303" s="706"/>
      <c r="D303" s="706"/>
      <c r="E303" s="706"/>
      <c r="F303" s="706"/>
      <c r="G303" s="706"/>
      <c r="H303" s="706"/>
      <c r="I303" s="863"/>
      <c r="J303" s="706"/>
      <c r="K303" s="706"/>
      <c r="L303" s="706"/>
      <c r="M303" s="706"/>
      <c r="N303" s="706"/>
      <c r="O303" s="706"/>
      <c r="P303" s="706"/>
      <c r="Q303" s="863"/>
      <c r="R303" s="706"/>
      <c r="S303" s="706"/>
      <c r="T303" s="706"/>
      <c r="U303" s="706"/>
      <c r="V303" s="706"/>
      <c r="W303" s="706"/>
      <c r="X303" s="706"/>
      <c r="Y303" s="863"/>
      <c r="Z303" s="706"/>
      <c r="AA303" s="706"/>
      <c r="AB303" s="706"/>
      <c r="AC303" s="706"/>
      <c r="AD303" s="706"/>
      <c r="AE303" s="706"/>
      <c r="AF303" s="706"/>
      <c r="AG303" s="863"/>
      <c r="AH303" s="706"/>
      <c r="AI303" s="706"/>
      <c r="AJ303" s="706"/>
      <c r="AK303" s="706"/>
      <c r="AL303" s="706"/>
      <c r="AM303" s="706"/>
      <c r="AN303" s="706"/>
      <c r="AO303" s="863"/>
      <c r="AP303" s="706"/>
      <c r="AQ303" s="706"/>
      <c r="AR303" s="706"/>
      <c r="AS303" s="706"/>
      <c r="AT303" s="706"/>
      <c r="AU303" s="706"/>
      <c r="AV303" s="706"/>
      <c r="AW303" s="706"/>
      <c r="AX303" s="706"/>
      <c r="AY303" s="706"/>
      <c r="AZ303" s="706"/>
      <c r="BA303" s="706"/>
      <c r="BB303" s="706"/>
      <c r="BC303" s="706"/>
      <c r="BD303" s="706"/>
      <c r="BE303" s="706"/>
      <c r="BF303" s="706"/>
      <c r="BG303" s="706"/>
      <c r="BH303" s="706"/>
    </row>
    <row r="304" spans="1:60" s="48" customFormat="1">
      <c r="A304" s="711"/>
      <c r="B304" s="711"/>
      <c r="C304" s="706"/>
      <c r="D304" s="706"/>
      <c r="E304" s="706"/>
      <c r="F304" s="706"/>
      <c r="G304" s="706"/>
      <c r="H304" s="706"/>
      <c r="I304" s="863"/>
      <c r="J304" s="706"/>
      <c r="K304" s="706"/>
      <c r="L304" s="706"/>
      <c r="M304" s="706"/>
      <c r="N304" s="706"/>
      <c r="O304" s="706"/>
      <c r="P304" s="706"/>
      <c r="Q304" s="863"/>
      <c r="R304" s="706"/>
      <c r="S304" s="706"/>
      <c r="T304" s="706"/>
      <c r="U304" s="706"/>
      <c r="V304" s="706"/>
      <c r="W304" s="706"/>
      <c r="X304" s="706"/>
      <c r="Y304" s="863"/>
      <c r="Z304" s="706"/>
      <c r="AA304" s="706"/>
      <c r="AB304" s="706"/>
      <c r="AC304" s="706"/>
      <c r="AD304" s="706"/>
      <c r="AE304" s="706"/>
      <c r="AF304" s="706"/>
      <c r="AG304" s="863"/>
      <c r="AH304" s="706"/>
      <c r="AI304" s="706"/>
      <c r="AJ304" s="706"/>
      <c r="AK304" s="706"/>
      <c r="AL304" s="706"/>
      <c r="AM304" s="706"/>
      <c r="AN304" s="706"/>
      <c r="AO304" s="863"/>
      <c r="AP304" s="706"/>
      <c r="AQ304" s="706"/>
      <c r="AR304" s="706"/>
      <c r="AS304" s="706"/>
      <c r="AT304" s="706"/>
      <c r="AU304" s="706"/>
      <c r="AV304" s="706"/>
      <c r="AW304" s="706"/>
      <c r="AX304" s="706"/>
      <c r="AY304" s="706"/>
      <c r="AZ304" s="706"/>
      <c r="BA304" s="706"/>
      <c r="BB304" s="706"/>
      <c r="BC304" s="706"/>
      <c r="BD304" s="706"/>
      <c r="BE304" s="706"/>
      <c r="BF304" s="706"/>
      <c r="BG304" s="706"/>
      <c r="BH304" s="706"/>
    </row>
    <row r="305" spans="1:60" s="48" customFormat="1">
      <c r="A305" s="711"/>
      <c r="B305" s="711"/>
      <c r="C305" s="706"/>
      <c r="D305" s="706"/>
      <c r="E305" s="706"/>
      <c r="F305" s="706"/>
      <c r="G305" s="706"/>
      <c r="H305" s="706"/>
      <c r="I305" s="863"/>
      <c r="J305" s="706"/>
      <c r="K305" s="706"/>
      <c r="L305" s="706"/>
      <c r="M305" s="706"/>
      <c r="N305" s="706"/>
      <c r="O305" s="706"/>
      <c r="P305" s="706"/>
      <c r="Q305" s="863"/>
      <c r="R305" s="706"/>
      <c r="S305" s="706"/>
      <c r="T305" s="706"/>
      <c r="U305" s="706"/>
      <c r="V305" s="706"/>
      <c r="W305" s="706"/>
      <c r="X305" s="706"/>
      <c r="Y305" s="863"/>
      <c r="Z305" s="706"/>
      <c r="AA305" s="706"/>
      <c r="AB305" s="706"/>
      <c r="AC305" s="706"/>
      <c r="AD305" s="706"/>
      <c r="AE305" s="706"/>
      <c r="AF305" s="706"/>
      <c r="AG305" s="863"/>
      <c r="AH305" s="706"/>
      <c r="AI305" s="706"/>
      <c r="AJ305" s="706"/>
      <c r="AK305" s="706"/>
      <c r="AL305" s="706"/>
      <c r="AM305" s="706"/>
      <c r="AN305" s="706"/>
      <c r="AO305" s="863"/>
      <c r="AP305" s="706"/>
      <c r="AQ305" s="706"/>
      <c r="AR305" s="706"/>
      <c r="AS305" s="706"/>
      <c r="AT305" s="706"/>
      <c r="AU305" s="706"/>
      <c r="AV305" s="706"/>
      <c r="AW305" s="706"/>
      <c r="AX305" s="706"/>
      <c r="AY305" s="706"/>
      <c r="AZ305" s="706"/>
      <c r="BA305" s="706"/>
      <c r="BB305" s="706"/>
      <c r="BC305" s="706"/>
      <c r="BD305" s="706"/>
      <c r="BE305" s="706"/>
      <c r="BF305" s="706"/>
      <c r="BG305" s="706"/>
      <c r="BH305" s="706"/>
    </row>
    <row r="306" spans="1:60" s="48" customFormat="1">
      <c r="A306" s="711"/>
      <c r="B306" s="711"/>
      <c r="C306" s="706"/>
      <c r="D306" s="706"/>
      <c r="E306" s="706"/>
      <c r="F306" s="706"/>
      <c r="G306" s="706"/>
      <c r="H306" s="706"/>
      <c r="I306" s="863"/>
      <c r="J306" s="706"/>
      <c r="K306" s="706"/>
      <c r="L306" s="706"/>
      <c r="M306" s="706"/>
      <c r="N306" s="706"/>
      <c r="O306" s="706"/>
      <c r="P306" s="706"/>
      <c r="Q306" s="863"/>
      <c r="R306" s="706"/>
      <c r="S306" s="706"/>
      <c r="T306" s="706"/>
      <c r="U306" s="706"/>
      <c r="V306" s="706"/>
      <c r="W306" s="706"/>
      <c r="X306" s="706"/>
      <c r="Y306" s="863"/>
      <c r="Z306" s="706"/>
      <c r="AA306" s="706"/>
      <c r="AB306" s="706"/>
      <c r="AC306" s="706"/>
      <c r="AD306" s="706"/>
      <c r="AE306" s="706"/>
      <c r="AF306" s="706"/>
      <c r="AG306" s="863"/>
      <c r="AH306" s="706"/>
      <c r="AI306" s="706"/>
      <c r="AJ306" s="706"/>
      <c r="AK306" s="706"/>
      <c r="AL306" s="706"/>
      <c r="AM306" s="706"/>
      <c r="AN306" s="706"/>
      <c r="AO306" s="863"/>
      <c r="AP306" s="706"/>
      <c r="AQ306" s="706"/>
      <c r="AR306" s="706"/>
      <c r="AS306" s="706"/>
      <c r="AT306" s="706"/>
      <c r="AU306" s="706"/>
      <c r="AV306" s="706"/>
      <c r="AW306" s="706"/>
      <c r="AX306" s="706"/>
      <c r="AY306" s="706"/>
      <c r="AZ306" s="706"/>
      <c r="BA306" s="706"/>
      <c r="BB306" s="706"/>
      <c r="BC306" s="706"/>
      <c r="BD306" s="706"/>
      <c r="BE306" s="706"/>
      <c r="BF306" s="706"/>
      <c r="BG306" s="706"/>
      <c r="BH306" s="706"/>
    </row>
    <row r="307" spans="1:60" s="48" customFormat="1">
      <c r="A307" s="711"/>
      <c r="B307" s="711"/>
      <c r="C307" s="706"/>
      <c r="D307" s="706"/>
      <c r="E307" s="706"/>
      <c r="F307" s="706"/>
      <c r="G307" s="706"/>
      <c r="H307" s="706"/>
      <c r="I307" s="863"/>
      <c r="J307" s="706"/>
      <c r="K307" s="706"/>
      <c r="L307" s="706"/>
      <c r="M307" s="706"/>
      <c r="N307" s="706"/>
      <c r="O307" s="706"/>
      <c r="P307" s="706"/>
      <c r="Q307" s="863"/>
      <c r="R307" s="706"/>
      <c r="S307" s="706"/>
      <c r="T307" s="706"/>
      <c r="U307" s="706"/>
      <c r="V307" s="706"/>
      <c r="W307" s="706"/>
      <c r="X307" s="706"/>
      <c r="Y307" s="863"/>
      <c r="Z307" s="706"/>
      <c r="AA307" s="706"/>
      <c r="AB307" s="706"/>
      <c r="AC307" s="706"/>
      <c r="AD307" s="706"/>
      <c r="AE307" s="706"/>
      <c r="AF307" s="706"/>
      <c r="AG307" s="863"/>
      <c r="AH307" s="706"/>
      <c r="AI307" s="706"/>
      <c r="AJ307" s="706"/>
      <c r="AK307" s="706"/>
      <c r="AL307" s="706"/>
      <c r="AM307" s="706"/>
      <c r="AN307" s="706"/>
      <c r="AO307" s="863"/>
      <c r="AP307" s="706"/>
      <c r="AQ307" s="706"/>
      <c r="AR307" s="706"/>
      <c r="AS307" s="706"/>
      <c r="AT307" s="706"/>
      <c r="AU307" s="706"/>
      <c r="AV307" s="706"/>
      <c r="AW307" s="706"/>
      <c r="AX307" s="706"/>
      <c r="AY307" s="706"/>
      <c r="AZ307" s="706"/>
      <c r="BA307" s="706"/>
      <c r="BB307" s="706"/>
      <c r="BC307" s="706"/>
      <c r="BD307" s="706"/>
      <c r="BE307" s="706"/>
      <c r="BF307" s="706"/>
      <c r="BG307" s="706"/>
      <c r="BH307" s="706"/>
    </row>
    <row r="308" spans="1:60" s="48" customFormat="1">
      <c r="A308" s="711"/>
      <c r="B308" s="711"/>
      <c r="C308" s="706"/>
      <c r="D308" s="706"/>
      <c r="E308" s="706"/>
      <c r="F308" s="706"/>
      <c r="G308" s="706"/>
      <c r="H308" s="706"/>
      <c r="I308" s="863"/>
      <c r="J308" s="706"/>
      <c r="K308" s="706"/>
      <c r="L308" s="706"/>
      <c r="M308" s="706"/>
      <c r="N308" s="706"/>
      <c r="O308" s="706"/>
      <c r="P308" s="706"/>
      <c r="Q308" s="863"/>
      <c r="R308" s="706"/>
      <c r="S308" s="706"/>
      <c r="T308" s="706"/>
      <c r="U308" s="706"/>
      <c r="V308" s="706"/>
      <c r="W308" s="706"/>
      <c r="X308" s="706"/>
      <c r="Y308" s="863"/>
      <c r="Z308" s="706"/>
      <c r="AA308" s="706"/>
      <c r="AB308" s="706"/>
      <c r="AC308" s="706"/>
      <c r="AD308" s="706"/>
      <c r="AE308" s="706"/>
      <c r="AF308" s="706"/>
      <c r="AG308" s="863"/>
      <c r="AH308" s="706"/>
      <c r="AI308" s="706"/>
      <c r="AJ308" s="706"/>
      <c r="AK308" s="706"/>
      <c r="AL308" s="706"/>
      <c r="AM308" s="706"/>
      <c r="AN308" s="706"/>
      <c r="AO308" s="863"/>
      <c r="AP308" s="706"/>
      <c r="AQ308" s="706"/>
      <c r="AR308" s="706"/>
      <c r="AS308" s="706"/>
      <c r="AT308" s="706"/>
      <c r="AU308" s="706"/>
      <c r="AV308" s="706"/>
      <c r="AW308" s="706"/>
      <c r="AX308" s="706"/>
      <c r="AY308" s="706"/>
      <c r="AZ308" s="706"/>
      <c r="BA308" s="706"/>
      <c r="BB308" s="706"/>
      <c r="BC308" s="706"/>
      <c r="BD308" s="706"/>
      <c r="BE308" s="706"/>
      <c r="BF308" s="706"/>
      <c r="BG308" s="706"/>
      <c r="BH308" s="706"/>
    </row>
    <row r="309" spans="1:60" s="48" customFormat="1">
      <c r="A309" s="711"/>
      <c r="B309" s="711"/>
      <c r="C309" s="706"/>
      <c r="D309" s="706"/>
      <c r="E309" s="706"/>
      <c r="F309" s="706"/>
      <c r="G309" s="706"/>
      <c r="H309" s="706"/>
      <c r="I309" s="863"/>
      <c r="J309" s="706"/>
      <c r="K309" s="706"/>
      <c r="L309" s="706"/>
      <c r="M309" s="706"/>
      <c r="N309" s="706"/>
      <c r="O309" s="706"/>
      <c r="P309" s="706"/>
      <c r="Q309" s="863"/>
      <c r="R309" s="706"/>
      <c r="S309" s="706"/>
      <c r="T309" s="706"/>
      <c r="U309" s="706"/>
      <c r="V309" s="706"/>
      <c r="W309" s="706"/>
      <c r="X309" s="706"/>
      <c r="Y309" s="863"/>
      <c r="Z309" s="706"/>
      <c r="AA309" s="706"/>
      <c r="AB309" s="706"/>
      <c r="AC309" s="706"/>
      <c r="AD309" s="706"/>
      <c r="AE309" s="706"/>
      <c r="AF309" s="706"/>
      <c r="AG309" s="863"/>
      <c r="AH309" s="706"/>
      <c r="AI309" s="706"/>
      <c r="AJ309" s="706"/>
      <c r="AK309" s="706"/>
      <c r="AL309" s="706"/>
      <c r="AM309" s="706"/>
      <c r="AN309" s="706"/>
      <c r="AO309" s="863"/>
      <c r="AP309" s="706"/>
      <c r="AQ309" s="706"/>
      <c r="AR309" s="706"/>
      <c r="AS309" s="706"/>
      <c r="AT309" s="706"/>
      <c r="AU309" s="706"/>
      <c r="AV309" s="706"/>
      <c r="AW309" s="706"/>
      <c r="AX309" s="706"/>
      <c r="AY309" s="706"/>
      <c r="AZ309" s="706"/>
      <c r="BA309" s="706"/>
      <c r="BB309" s="706"/>
      <c r="BC309" s="706"/>
      <c r="BD309" s="706"/>
      <c r="BE309" s="706"/>
      <c r="BF309" s="706"/>
      <c r="BG309" s="706"/>
      <c r="BH309" s="706"/>
    </row>
    <row r="310" spans="1:60" s="48" customFormat="1">
      <c r="A310" s="711"/>
      <c r="B310" s="711"/>
      <c r="C310" s="706"/>
      <c r="D310" s="706"/>
      <c r="E310" s="706"/>
      <c r="F310" s="706"/>
      <c r="G310" s="706"/>
      <c r="H310" s="706"/>
      <c r="I310" s="863"/>
      <c r="J310" s="706"/>
      <c r="K310" s="706"/>
      <c r="L310" s="706"/>
      <c r="M310" s="706"/>
      <c r="N310" s="706"/>
      <c r="O310" s="706"/>
      <c r="P310" s="706"/>
      <c r="Q310" s="863"/>
      <c r="R310" s="706"/>
      <c r="S310" s="706"/>
      <c r="T310" s="706"/>
      <c r="U310" s="706"/>
      <c r="V310" s="706"/>
      <c r="W310" s="706"/>
      <c r="X310" s="706"/>
      <c r="Y310" s="863"/>
      <c r="Z310" s="706"/>
      <c r="AA310" s="706"/>
      <c r="AB310" s="706"/>
      <c r="AC310" s="706"/>
      <c r="AD310" s="706"/>
      <c r="AE310" s="706"/>
      <c r="AF310" s="706"/>
      <c r="AG310" s="863"/>
      <c r="AH310" s="706"/>
      <c r="AI310" s="706"/>
      <c r="AJ310" s="706"/>
      <c r="AK310" s="706"/>
      <c r="AL310" s="706"/>
      <c r="AM310" s="706"/>
      <c r="AN310" s="706"/>
      <c r="AO310" s="863"/>
      <c r="AP310" s="706"/>
      <c r="AQ310" s="706"/>
      <c r="AR310" s="706"/>
      <c r="AS310" s="706"/>
      <c r="AT310" s="706"/>
      <c r="AU310" s="706"/>
      <c r="AV310" s="706"/>
      <c r="AW310" s="706"/>
      <c r="AX310" s="706"/>
      <c r="AY310" s="706"/>
      <c r="AZ310" s="706"/>
      <c r="BA310" s="706"/>
      <c r="BB310" s="706"/>
      <c r="BC310" s="706"/>
      <c r="BD310" s="706"/>
      <c r="BE310" s="706"/>
      <c r="BF310" s="706"/>
      <c r="BG310" s="706"/>
      <c r="BH310" s="706"/>
    </row>
    <row r="311" spans="1:60" s="48" customFormat="1">
      <c r="A311" s="711"/>
      <c r="B311" s="711"/>
      <c r="C311" s="706"/>
      <c r="D311" s="706"/>
      <c r="E311" s="706"/>
      <c r="F311" s="706"/>
      <c r="G311" s="706"/>
      <c r="H311" s="706"/>
      <c r="I311" s="863"/>
      <c r="J311" s="706"/>
      <c r="K311" s="706"/>
      <c r="L311" s="706"/>
      <c r="M311" s="706"/>
      <c r="N311" s="706"/>
      <c r="O311" s="706"/>
      <c r="P311" s="706"/>
      <c r="Q311" s="863"/>
      <c r="R311" s="706"/>
      <c r="S311" s="706"/>
      <c r="T311" s="706"/>
      <c r="U311" s="706"/>
      <c r="V311" s="706"/>
      <c r="W311" s="706"/>
      <c r="X311" s="706"/>
      <c r="Y311" s="863"/>
      <c r="Z311" s="706"/>
      <c r="AA311" s="706"/>
      <c r="AB311" s="706"/>
      <c r="AC311" s="706"/>
      <c r="AD311" s="706"/>
      <c r="AE311" s="706"/>
      <c r="AF311" s="706"/>
      <c r="AG311" s="863"/>
      <c r="AH311" s="706"/>
      <c r="AI311" s="706"/>
      <c r="AJ311" s="706"/>
      <c r="AK311" s="706"/>
      <c r="AL311" s="706"/>
      <c r="AM311" s="706"/>
      <c r="AN311" s="706"/>
      <c r="AO311" s="863"/>
      <c r="AP311" s="706"/>
      <c r="AQ311" s="706"/>
      <c r="AR311" s="706"/>
      <c r="AS311" s="706"/>
      <c r="AT311" s="706"/>
      <c r="AU311" s="706"/>
      <c r="AV311" s="706"/>
      <c r="AW311" s="706"/>
      <c r="AX311" s="706"/>
      <c r="AY311" s="706"/>
      <c r="AZ311" s="706"/>
      <c r="BA311" s="706"/>
      <c r="BB311" s="706"/>
      <c r="BC311" s="706"/>
      <c r="BD311" s="706"/>
      <c r="BE311" s="706"/>
      <c r="BF311" s="706"/>
      <c r="BG311" s="706"/>
      <c r="BH311" s="706"/>
    </row>
    <row r="312" spans="1:60" s="48" customFormat="1">
      <c r="A312" s="711"/>
      <c r="B312" s="711"/>
      <c r="C312" s="706"/>
      <c r="D312" s="706"/>
      <c r="E312" s="706"/>
      <c r="F312" s="706"/>
      <c r="G312" s="706"/>
      <c r="H312" s="706"/>
      <c r="I312" s="863"/>
      <c r="J312" s="706"/>
      <c r="K312" s="706"/>
      <c r="L312" s="706"/>
      <c r="M312" s="706"/>
      <c r="N312" s="706"/>
      <c r="O312" s="706"/>
      <c r="P312" s="706"/>
      <c r="Q312" s="863"/>
      <c r="R312" s="706"/>
      <c r="S312" s="706"/>
      <c r="T312" s="706"/>
      <c r="U312" s="706"/>
      <c r="V312" s="706"/>
      <c r="W312" s="706"/>
      <c r="X312" s="706"/>
      <c r="Y312" s="863"/>
      <c r="Z312" s="706"/>
      <c r="AA312" s="706"/>
      <c r="AB312" s="706"/>
      <c r="AC312" s="706"/>
      <c r="AD312" s="706"/>
      <c r="AE312" s="706"/>
      <c r="AF312" s="706"/>
      <c r="AG312" s="863"/>
      <c r="AH312" s="706"/>
      <c r="AI312" s="706"/>
      <c r="AJ312" s="706"/>
      <c r="AK312" s="706"/>
      <c r="AL312" s="706"/>
      <c r="AM312" s="706"/>
      <c r="AN312" s="706"/>
      <c r="AO312" s="863"/>
      <c r="AP312" s="706"/>
      <c r="AQ312" s="706"/>
      <c r="AR312" s="706"/>
      <c r="AS312" s="706"/>
      <c r="AT312" s="706"/>
      <c r="AU312" s="706"/>
      <c r="AV312" s="706"/>
      <c r="AW312" s="706"/>
      <c r="AX312" s="706"/>
      <c r="AY312" s="706"/>
      <c r="AZ312" s="706"/>
      <c r="BA312" s="706"/>
      <c r="BB312" s="706"/>
      <c r="BC312" s="706"/>
      <c r="BD312" s="706"/>
      <c r="BE312" s="706"/>
      <c r="BF312" s="706"/>
      <c r="BG312" s="706"/>
      <c r="BH312" s="706"/>
    </row>
    <row r="313" spans="1:60" s="48" customFormat="1">
      <c r="A313" s="711"/>
      <c r="B313" s="711"/>
      <c r="C313" s="706"/>
      <c r="D313" s="706"/>
      <c r="E313" s="706"/>
      <c r="F313" s="706"/>
      <c r="G313" s="706"/>
      <c r="H313" s="706"/>
      <c r="I313" s="863"/>
      <c r="J313" s="706"/>
      <c r="K313" s="706"/>
      <c r="L313" s="706"/>
      <c r="M313" s="706"/>
      <c r="N313" s="706"/>
      <c r="O313" s="706"/>
      <c r="P313" s="706"/>
      <c r="Q313" s="863"/>
      <c r="R313" s="706"/>
      <c r="S313" s="706"/>
      <c r="T313" s="706"/>
      <c r="U313" s="706"/>
      <c r="V313" s="706"/>
      <c r="W313" s="706"/>
      <c r="X313" s="706"/>
      <c r="Y313" s="863"/>
      <c r="Z313" s="706"/>
      <c r="AA313" s="706"/>
      <c r="AB313" s="706"/>
      <c r="AC313" s="706"/>
      <c r="AD313" s="706"/>
      <c r="AE313" s="706"/>
      <c r="AF313" s="706"/>
      <c r="AG313" s="863"/>
      <c r="AH313" s="706"/>
      <c r="AI313" s="706"/>
      <c r="AJ313" s="706"/>
      <c r="AK313" s="706"/>
      <c r="AL313" s="706"/>
      <c r="AM313" s="706"/>
      <c r="AN313" s="706"/>
      <c r="AO313" s="863"/>
      <c r="AP313" s="706"/>
      <c r="AQ313" s="706"/>
      <c r="AR313" s="706"/>
      <c r="AS313" s="706"/>
      <c r="AT313" s="706"/>
      <c r="AU313" s="706"/>
      <c r="AV313" s="706"/>
      <c r="AW313" s="706"/>
      <c r="AX313" s="706"/>
      <c r="AY313" s="706"/>
      <c r="AZ313" s="706"/>
      <c r="BA313" s="706"/>
      <c r="BB313" s="706"/>
      <c r="BC313" s="706"/>
      <c r="BD313" s="706"/>
      <c r="BE313" s="706"/>
      <c r="BF313" s="706"/>
      <c r="BG313" s="706"/>
      <c r="BH313" s="706"/>
    </row>
    <row r="314" spans="1:60" s="48" customFormat="1">
      <c r="A314" s="711"/>
      <c r="B314" s="711"/>
      <c r="C314" s="706"/>
      <c r="D314" s="706"/>
      <c r="E314" s="706"/>
      <c r="F314" s="706"/>
      <c r="G314" s="706"/>
      <c r="H314" s="706"/>
      <c r="I314" s="863"/>
      <c r="J314" s="706"/>
      <c r="K314" s="706"/>
      <c r="L314" s="706"/>
      <c r="M314" s="706"/>
      <c r="N314" s="706"/>
      <c r="O314" s="706"/>
      <c r="P314" s="706"/>
      <c r="Q314" s="863"/>
      <c r="R314" s="706"/>
      <c r="S314" s="706"/>
      <c r="T314" s="706"/>
      <c r="U314" s="706"/>
      <c r="V314" s="706"/>
      <c r="W314" s="706"/>
      <c r="X314" s="706"/>
      <c r="Y314" s="863"/>
      <c r="Z314" s="706"/>
      <c r="AA314" s="706"/>
      <c r="AB314" s="706"/>
      <c r="AC314" s="706"/>
      <c r="AD314" s="706"/>
      <c r="AE314" s="706"/>
      <c r="AF314" s="706"/>
      <c r="AG314" s="863"/>
      <c r="AH314" s="706"/>
      <c r="AI314" s="706"/>
      <c r="AJ314" s="706"/>
      <c r="AK314" s="706"/>
      <c r="AL314" s="706"/>
      <c r="AM314" s="706"/>
      <c r="AN314" s="706"/>
      <c r="AO314" s="863"/>
      <c r="AP314" s="706"/>
      <c r="AQ314" s="706"/>
      <c r="AR314" s="706"/>
      <c r="AS314" s="706"/>
      <c r="AT314" s="706"/>
      <c r="AU314" s="706"/>
      <c r="AV314" s="706"/>
      <c r="AW314" s="706"/>
      <c r="AX314" s="706"/>
      <c r="AY314" s="706"/>
      <c r="AZ314" s="706"/>
      <c r="BA314" s="706"/>
      <c r="BB314" s="706"/>
      <c r="BC314" s="706"/>
      <c r="BD314" s="706"/>
      <c r="BE314" s="706"/>
      <c r="BF314" s="706"/>
      <c r="BG314" s="706"/>
      <c r="BH314" s="706"/>
    </row>
    <row r="315" spans="1:60" s="48" customFormat="1">
      <c r="A315" s="711"/>
      <c r="B315" s="711"/>
      <c r="C315" s="706"/>
      <c r="D315" s="706"/>
      <c r="E315" s="706"/>
      <c r="F315" s="706"/>
      <c r="G315" s="706"/>
      <c r="H315" s="706"/>
      <c r="I315" s="863"/>
      <c r="J315" s="706"/>
      <c r="K315" s="706"/>
      <c r="L315" s="706"/>
      <c r="M315" s="706"/>
      <c r="N315" s="706"/>
      <c r="O315" s="706"/>
      <c r="P315" s="706"/>
      <c r="Q315" s="863"/>
      <c r="R315" s="706"/>
      <c r="S315" s="706"/>
      <c r="T315" s="706"/>
      <c r="U315" s="706"/>
      <c r="V315" s="706"/>
      <c r="W315" s="706"/>
      <c r="X315" s="706"/>
      <c r="Y315" s="863"/>
      <c r="Z315" s="706"/>
      <c r="AA315" s="706"/>
      <c r="AB315" s="706"/>
      <c r="AC315" s="706"/>
      <c r="AD315" s="706"/>
      <c r="AE315" s="706"/>
      <c r="AF315" s="706"/>
      <c r="AG315" s="863"/>
      <c r="AH315" s="706"/>
      <c r="AI315" s="706"/>
      <c r="AJ315" s="706"/>
      <c r="AK315" s="706"/>
      <c r="AL315" s="706"/>
      <c r="AM315" s="706"/>
      <c r="AN315" s="706"/>
      <c r="AO315" s="863"/>
      <c r="AP315" s="706"/>
      <c r="AQ315" s="706"/>
      <c r="AR315" s="706"/>
      <c r="AS315" s="706"/>
      <c r="AT315" s="706"/>
      <c r="AU315" s="706"/>
      <c r="AV315" s="706"/>
      <c r="AW315" s="706"/>
      <c r="AX315" s="706"/>
      <c r="AY315" s="706"/>
      <c r="AZ315" s="706"/>
      <c r="BA315" s="706"/>
      <c r="BB315" s="706"/>
      <c r="BC315" s="706"/>
      <c r="BD315" s="706"/>
      <c r="BE315" s="706"/>
      <c r="BF315" s="706"/>
      <c r="BG315" s="706"/>
      <c r="BH315" s="706"/>
    </row>
    <row r="316" spans="1:60" s="48" customFormat="1">
      <c r="A316" s="711"/>
      <c r="B316" s="711"/>
      <c r="C316" s="706"/>
      <c r="D316" s="706"/>
      <c r="E316" s="706"/>
      <c r="F316" s="706"/>
      <c r="G316" s="706"/>
      <c r="H316" s="706"/>
      <c r="I316" s="863"/>
      <c r="J316" s="706"/>
      <c r="K316" s="706"/>
      <c r="L316" s="706"/>
      <c r="M316" s="706"/>
      <c r="N316" s="706"/>
      <c r="O316" s="706"/>
      <c r="P316" s="706"/>
      <c r="Q316" s="863"/>
      <c r="R316" s="706"/>
      <c r="S316" s="706"/>
      <c r="T316" s="706"/>
      <c r="U316" s="706"/>
      <c r="V316" s="706"/>
      <c r="W316" s="706"/>
      <c r="X316" s="706"/>
      <c r="Y316" s="863"/>
      <c r="Z316" s="706"/>
      <c r="AA316" s="706"/>
      <c r="AB316" s="706"/>
      <c r="AC316" s="706"/>
      <c r="AD316" s="706"/>
      <c r="AE316" s="706"/>
      <c r="AF316" s="706"/>
      <c r="AG316" s="863"/>
      <c r="AH316" s="706"/>
      <c r="AI316" s="706"/>
      <c r="AJ316" s="706"/>
      <c r="AK316" s="706"/>
      <c r="AL316" s="706"/>
      <c r="AM316" s="706"/>
      <c r="AN316" s="706"/>
      <c r="AO316" s="863"/>
      <c r="AP316" s="706"/>
      <c r="AQ316" s="706"/>
      <c r="AR316" s="706"/>
      <c r="AS316" s="706"/>
      <c r="AT316" s="706"/>
      <c r="AU316" s="706"/>
      <c r="AV316" s="706"/>
      <c r="AW316" s="706"/>
      <c r="AX316" s="706"/>
      <c r="AY316" s="706"/>
      <c r="AZ316" s="706"/>
      <c r="BA316" s="706"/>
      <c r="BB316" s="706"/>
      <c r="BC316" s="706"/>
      <c r="BD316" s="706"/>
      <c r="BE316" s="706"/>
      <c r="BF316" s="706"/>
      <c r="BG316" s="706"/>
      <c r="BH316" s="706"/>
    </row>
    <row r="317" spans="1:60" s="48" customFormat="1">
      <c r="A317" s="711"/>
      <c r="B317" s="711"/>
      <c r="C317" s="706"/>
      <c r="D317" s="706"/>
      <c r="E317" s="706"/>
      <c r="F317" s="706"/>
      <c r="G317" s="706"/>
      <c r="H317" s="706"/>
      <c r="I317" s="863"/>
      <c r="J317" s="706"/>
      <c r="K317" s="706"/>
      <c r="L317" s="706"/>
      <c r="M317" s="706"/>
      <c r="N317" s="706"/>
      <c r="O317" s="706"/>
      <c r="P317" s="706"/>
      <c r="Q317" s="863"/>
      <c r="R317" s="706"/>
      <c r="S317" s="706"/>
      <c r="T317" s="706"/>
      <c r="U317" s="706"/>
      <c r="V317" s="706"/>
      <c r="W317" s="706"/>
      <c r="X317" s="706"/>
      <c r="Y317" s="863"/>
      <c r="Z317" s="706"/>
      <c r="AA317" s="706"/>
      <c r="AB317" s="706"/>
      <c r="AC317" s="706"/>
      <c r="AD317" s="706"/>
      <c r="AE317" s="706"/>
      <c r="AF317" s="706"/>
      <c r="AG317" s="863"/>
      <c r="AH317" s="706"/>
      <c r="AI317" s="706"/>
      <c r="AJ317" s="706"/>
      <c r="AK317" s="706"/>
      <c r="AL317" s="706"/>
      <c r="AM317" s="706"/>
      <c r="AN317" s="706"/>
      <c r="AO317" s="863"/>
      <c r="AP317" s="706"/>
      <c r="AQ317" s="706"/>
      <c r="AR317" s="706"/>
      <c r="AS317" s="706"/>
      <c r="AT317" s="706"/>
      <c r="AU317" s="706"/>
      <c r="AV317" s="706"/>
      <c r="AW317" s="706"/>
      <c r="AX317" s="706"/>
      <c r="AY317" s="706"/>
      <c r="AZ317" s="706"/>
      <c r="BA317" s="706"/>
      <c r="BB317" s="706"/>
      <c r="BC317" s="706"/>
      <c r="BD317" s="706"/>
      <c r="BE317" s="706"/>
      <c r="BF317" s="706"/>
      <c r="BG317" s="706"/>
      <c r="BH317" s="706"/>
    </row>
    <row r="318" spans="1:60" s="48" customFormat="1">
      <c r="A318" s="711"/>
      <c r="B318" s="711"/>
      <c r="C318" s="706"/>
      <c r="D318" s="706"/>
      <c r="E318" s="706"/>
      <c r="F318" s="706"/>
      <c r="G318" s="706"/>
      <c r="H318" s="706"/>
      <c r="I318" s="863"/>
      <c r="J318" s="706"/>
      <c r="K318" s="706"/>
      <c r="L318" s="706"/>
      <c r="M318" s="706"/>
      <c r="N318" s="706"/>
      <c r="O318" s="706"/>
      <c r="P318" s="706"/>
      <c r="Q318" s="863"/>
      <c r="R318" s="706"/>
      <c r="S318" s="706"/>
      <c r="T318" s="706"/>
      <c r="U318" s="706"/>
      <c r="V318" s="706"/>
      <c r="W318" s="706"/>
      <c r="X318" s="706"/>
      <c r="Y318" s="863"/>
      <c r="Z318" s="706"/>
      <c r="AA318" s="706"/>
      <c r="AB318" s="706"/>
      <c r="AC318" s="706"/>
      <c r="AD318" s="706"/>
      <c r="AE318" s="706"/>
      <c r="AF318" s="706"/>
      <c r="AG318" s="863"/>
      <c r="AH318" s="706"/>
      <c r="AI318" s="706"/>
      <c r="AJ318" s="706"/>
      <c r="AK318" s="706"/>
      <c r="AL318" s="706"/>
      <c r="AM318" s="706"/>
      <c r="AN318" s="706"/>
      <c r="AO318" s="863"/>
      <c r="AP318" s="706"/>
      <c r="AQ318" s="706"/>
      <c r="AR318" s="706"/>
      <c r="AS318" s="706"/>
      <c r="AT318" s="706"/>
      <c r="AU318" s="706"/>
      <c r="AV318" s="706"/>
      <c r="AW318" s="706"/>
      <c r="AX318" s="706"/>
      <c r="AY318" s="706"/>
      <c r="AZ318" s="706"/>
      <c r="BA318" s="706"/>
      <c r="BB318" s="706"/>
      <c r="BC318" s="706"/>
      <c r="BD318" s="706"/>
      <c r="BE318" s="706"/>
      <c r="BF318" s="706"/>
      <c r="BG318" s="706"/>
      <c r="BH318" s="706"/>
    </row>
    <row r="319" spans="1:60" s="48" customFormat="1">
      <c r="A319" s="711"/>
      <c r="B319" s="711"/>
      <c r="C319" s="706"/>
      <c r="D319" s="706"/>
      <c r="E319" s="706"/>
      <c r="F319" s="706"/>
      <c r="G319" s="706"/>
      <c r="H319" s="706"/>
      <c r="I319" s="863"/>
      <c r="J319" s="706"/>
      <c r="K319" s="706"/>
      <c r="L319" s="706"/>
      <c r="M319" s="706"/>
      <c r="N319" s="706"/>
      <c r="O319" s="706"/>
      <c r="P319" s="706"/>
      <c r="Q319" s="863"/>
      <c r="R319" s="706"/>
      <c r="S319" s="706"/>
      <c r="T319" s="706"/>
      <c r="U319" s="706"/>
      <c r="V319" s="706"/>
      <c r="W319" s="706"/>
      <c r="X319" s="706"/>
      <c r="Y319" s="863"/>
      <c r="Z319" s="706"/>
      <c r="AA319" s="706"/>
      <c r="AB319" s="706"/>
      <c r="AC319" s="706"/>
      <c r="AD319" s="706"/>
      <c r="AE319" s="706"/>
      <c r="AF319" s="706"/>
      <c r="AG319" s="863"/>
      <c r="AH319" s="706"/>
      <c r="AI319" s="706"/>
      <c r="AJ319" s="706"/>
      <c r="AK319" s="706"/>
      <c r="AL319" s="706"/>
      <c r="AM319" s="706"/>
      <c r="AN319" s="706"/>
      <c r="AO319" s="863"/>
      <c r="AP319" s="706"/>
      <c r="AQ319" s="706"/>
      <c r="AR319" s="706"/>
      <c r="AS319" s="706"/>
      <c r="AT319" s="706"/>
      <c r="AU319" s="706"/>
      <c r="AV319" s="706"/>
      <c r="AW319" s="706"/>
      <c r="AX319" s="706"/>
      <c r="AY319" s="706"/>
      <c r="AZ319" s="706"/>
      <c r="BA319" s="706"/>
      <c r="BB319" s="706"/>
      <c r="BC319" s="706"/>
      <c r="BD319" s="706"/>
      <c r="BE319" s="706"/>
      <c r="BF319" s="706"/>
      <c r="BG319" s="706"/>
      <c r="BH319" s="706"/>
    </row>
    <row r="320" spans="1:60" s="48" customFormat="1">
      <c r="A320" s="711"/>
      <c r="B320" s="711"/>
      <c r="C320" s="706"/>
      <c r="D320" s="706"/>
      <c r="E320" s="706"/>
      <c r="F320" s="706"/>
      <c r="G320" s="706"/>
      <c r="H320" s="706"/>
      <c r="I320" s="863"/>
      <c r="J320" s="706"/>
      <c r="K320" s="706"/>
      <c r="L320" s="706"/>
      <c r="M320" s="706"/>
      <c r="N320" s="706"/>
      <c r="O320" s="706"/>
      <c r="P320" s="706"/>
      <c r="Q320" s="863"/>
      <c r="R320" s="706"/>
      <c r="S320" s="706"/>
      <c r="T320" s="706"/>
      <c r="U320" s="706"/>
      <c r="V320" s="706"/>
      <c r="W320" s="706"/>
      <c r="X320" s="706"/>
      <c r="Y320" s="863"/>
      <c r="Z320" s="706"/>
      <c r="AA320" s="706"/>
      <c r="AB320" s="706"/>
      <c r="AC320" s="706"/>
      <c r="AD320" s="706"/>
      <c r="AE320" s="706"/>
      <c r="AF320" s="706"/>
      <c r="AG320" s="863"/>
      <c r="AH320" s="706"/>
      <c r="AI320" s="706"/>
      <c r="AJ320" s="706"/>
      <c r="AK320" s="706"/>
      <c r="AL320" s="706"/>
      <c r="AM320" s="706"/>
      <c r="AN320" s="706"/>
      <c r="AO320" s="863"/>
      <c r="AP320" s="706"/>
      <c r="AQ320" s="706"/>
      <c r="AR320" s="706"/>
      <c r="AS320" s="706"/>
      <c r="AT320" s="706"/>
      <c r="AU320" s="706"/>
      <c r="AV320" s="706"/>
      <c r="AW320" s="706"/>
      <c r="AX320" s="706"/>
      <c r="AY320" s="706"/>
      <c r="AZ320" s="706"/>
      <c r="BA320" s="706"/>
      <c r="BB320" s="706"/>
      <c r="BC320" s="706"/>
      <c r="BD320" s="706"/>
      <c r="BE320" s="706"/>
      <c r="BF320" s="706"/>
      <c r="BG320" s="706"/>
      <c r="BH320" s="706"/>
    </row>
    <row r="321" spans="1:60" s="48" customFormat="1">
      <c r="A321" s="711"/>
      <c r="B321" s="711"/>
      <c r="C321" s="706"/>
      <c r="D321" s="706"/>
      <c r="E321" s="706"/>
      <c r="F321" s="706"/>
      <c r="G321" s="706"/>
      <c r="H321" s="706"/>
      <c r="I321" s="863"/>
      <c r="J321" s="706"/>
      <c r="K321" s="706"/>
      <c r="L321" s="706"/>
      <c r="M321" s="706"/>
      <c r="N321" s="706"/>
      <c r="O321" s="706"/>
      <c r="P321" s="706"/>
      <c r="Q321" s="863"/>
      <c r="R321" s="706"/>
      <c r="S321" s="706"/>
      <c r="T321" s="706"/>
      <c r="U321" s="706"/>
      <c r="V321" s="706"/>
      <c r="W321" s="706"/>
      <c r="X321" s="706"/>
      <c r="Y321" s="863"/>
      <c r="Z321" s="706"/>
      <c r="AA321" s="706"/>
      <c r="AB321" s="706"/>
      <c r="AC321" s="706"/>
      <c r="AD321" s="706"/>
      <c r="AE321" s="706"/>
      <c r="AF321" s="706"/>
      <c r="AG321" s="863"/>
      <c r="AH321" s="706"/>
      <c r="AI321" s="706"/>
      <c r="AJ321" s="706"/>
      <c r="AK321" s="706"/>
      <c r="AL321" s="706"/>
      <c r="AM321" s="706"/>
      <c r="AN321" s="706"/>
      <c r="AO321" s="863"/>
      <c r="AP321" s="706"/>
      <c r="AQ321" s="706"/>
      <c r="AR321" s="706"/>
      <c r="AS321" s="706"/>
      <c r="AT321" s="706"/>
      <c r="AU321" s="706"/>
      <c r="AV321" s="706"/>
      <c r="AW321" s="706"/>
      <c r="AX321" s="706"/>
      <c r="AY321" s="706"/>
      <c r="AZ321" s="706"/>
      <c r="BA321" s="706"/>
      <c r="BB321" s="706"/>
      <c r="BC321" s="706"/>
      <c r="BD321" s="706"/>
      <c r="BE321" s="706"/>
      <c r="BF321" s="706"/>
      <c r="BG321" s="706"/>
      <c r="BH321" s="706"/>
    </row>
    <row r="322" spans="1:60" s="48" customFormat="1">
      <c r="A322" s="711"/>
      <c r="B322" s="711"/>
      <c r="C322" s="706"/>
      <c r="D322" s="706"/>
      <c r="E322" s="706"/>
      <c r="F322" s="706"/>
      <c r="G322" s="706"/>
      <c r="H322" s="706"/>
      <c r="I322" s="863"/>
      <c r="J322" s="706"/>
      <c r="K322" s="706"/>
      <c r="L322" s="706"/>
      <c r="M322" s="706"/>
      <c r="N322" s="706"/>
      <c r="O322" s="706"/>
      <c r="P322" s="706"/>
      <c r="Q322" s="863"/>
      <c r="R322" s="706"/>
      <c r="S322" s="706"/>
      <c r="T322" s="706"/>
      <c r="U322" s="706"/>
      <c r="V322" s="706"/>
      <c r="W322" s="706"/>
      <c r="X322" s="706"/>
      <c r="Y322" s="863"/>
      <c r="Z322" s="706"/>
      <c r="AA322" s="706"/>
      <c r="AB322" s="706"/>
      <c r="AC322" s="706"/>
      <c r="AD322" s="706"/>
      <c r="AE322" s="706"/>
      <c r="AF322" s="706"/>
      <c r="AG322" s="863"/>
      <c r="AH322" s="706"/>
      <c r="AI322" s="706"/>
      <c r="AJ322" s="706"/>
      <c r="AK322" s="706"/>
      <c r="AL322" s="706"/>
      <c r="AM322" s="706"/>
      <c r="AN322" s="706"/>
      <c r="AO322" s="863"/>
      <c r="AP322" s="706"/>
      <c r="AQ322" s="706"/>
      <c r="AR322" s="706"/>
      <c r="AS322" s="706"/>
      <c r="AT322" s="706"/>
      <c r="AU322" s="706"/>
      <c r="AV322" s="706"/>
      <c r="AW322" s="706"/>
      <c r="AX322" s="706"/>
      <c r="AY322" s="706"/>
      <c r="AZ322" s="706"/>
      <c r="BA322" s="706"/>
      <c r="BB322" s="706"/>
      <c r="BC322" s="706"/>
      <c r="BD322" s="706"/>
      <c r="BE322" s="706"/>
      <c r="BF322" s="706"/>
      <c r="BG322" s="706"/>
      <c r="BH322" s="706"/>
    </row>
    <row r="323" spans="1:60" s="48" customFormat="1">
      <c r="A323" s="711"/>
      <c r="B323" s="711"/>
      <c r="C323" s="706"/>
      <c r="D323" s="706"/>
      <c r="E323" s="706"/>
      <c r="F323" s="706"/>
      <c r="G323" s="706"/>
      <c r="H323" s="706"/>
      <c r="I323" s="863"/>
      <c r="J323" s="706"/>
      <c r="K323" s="706"/>
      <c r="L323" s="706"/>
      <c r="M323" s="706"/>
      <c r="N323" s="706"/>
      <c r="O323" s="706"/>
      <c r="P323" s="706"/>
      <c r="Q323" s="863"/>
      <c r="R323" s="706"/>
      <c r="S323" s="706"/>
      <c r="T323" s="706"/>
      <c r="U323" s="706"/>
      <c r="V323" s="706"/>
      <c r="W323" s="706"/>
      <c r="X323" s="706"/>
      <c r="Y323" s="863"/>
      <c r="Z323" s="706"/>
      <c r="AA323" s="706"/>
      <c r="AB323" s="706"/>
      <c r="AC323" s="706"/>
      <c r="AD323" s="706"/>
      <c r="AE323" s="706"/>
      <c r="AF323" s="706"/>
      <c r="AG323" s="863"/>
      <c r="AH323" s="706"/>
      <c r="AI323" s="706"/>
      <c r="AJ323" s="706"/>
      <c r="AK323" s="706"/>
      <c r="AL323" s="706"/>
      <c r="AM323" s="706"/>
      <c r="AN323" s="706"/>
      <c r="AO323" s="863"/>
      <c r="AP323" s="706"/>
      <c r="AQ323" s="706"/>
      <c r="AR323" s="706"/>
      <c r="AS323" s="706"/>
      <c r="AT323" s="706"/>
      <c r="AU323" s="706"/>
      <c r="AV323" s="706"/>
      <c r="AW323" s="706"/>
      <c r="AX323" s="706"/>
      <c r="AY323" s="706"/>
      <c r="AZ323" s="706"/>
      <c r="BA323" s="706"/>
      <c r="BB323" s="706"/>
      <c r="BC323" s="706"/>
      <c r="BD323" s="706"/>
      <c r="BE323" s="706"/>
      <c r="BF323" s="706"/>
      <c r="BG323" s="706"/>
      <c r="BH323" s="706"/>
    </row>
    <row r="324" spans="1:60" s="48" customFormat="1">
      <c r="A324" s="711"/>
      <c r="B324" s="711"/>
      <c r="C324" s="706"/>
      <c r="D324" s="706"/>
      <c r="E324" s="706"/>
      <c r="F324" s="706"/>
      <c r="G324" s="706"/>
      <c r="H324" s="706"/>
      <c r="I324" s="863"/>
      <c r="J324" s="706"/>
      <c r="K324" s="706"/>
      <c r="L324" s="706"/>
      <c r="M324" s="706"/>
      <c r="N324" s="706"/>
      <c r="O324" s="706"/>
      <c r="P324" s="706"/>
      <c r="Q324" s="863"/>
      <c r="R324" s="706"/>
      <c r="S324" s="706"/>
      <c r="T324" s="706"/>
      <c r="U324" s="706"/>
      <c r="V324" s="706"/>
      <c r="W324" s="706"/>
      <c r="X324" s="706"/>
      <c r="Y324" s="863"/>
      <c r="Z324" s="706"/>
      <c r="AA324" s="706"/>
      <c r="AB324" s="706"/>
      <c r="AC324" s="706"/>
      <c r="AD324" s="706"/>
      <c r="AE324" s="706"/>
      <c r="AF324" s="706"/>
      <c r="AG324" s="863"/>
      <c r="AH324" s="706"/>
      <c r="AI324" s="706"/>
      <c r="AJ324" s="706"/>
      <c r="AK324" s="706"/>
      <c r="AL324" s="706"/>
      <c r="AM324" s="706"/>
      <c r="AN324" s="706"/>
      <c r="AO324" s="863"/>
      <c r="AP324" s="706"/>
      <c r="AQ324" s="706"/>
      <c r="AR324" s="706"/>
      <c r="AS324" s="706"/>
      <c r="AT324" s="706"/>
      <c r="AU324" s="706"/>
      <c r="AV324" s="706"/>
      <c r="AW324" s="706"/>
      <c r="AX324" s="706"/>
      <c r="AY324" s="706"/>
      <c r="AZ324" s="706"/>
      <c r="BA324" s="706"/>
      <c r="BB324" s="706"/>
      <c r="BC324" s="706"/>
      <c r="BD324" s="706"/>
      <c r="BE324" s="706"/>
      <c r="BF324" s="706"/>
      <c r="BG324" s="706"/>
      <c r="BH324" s="706"/>
    </row>
    <row r="325" spans="1:60" s="48" customFormat="1">
      <c r="A325" s="711"/>
      <c r="B325" s="711"/>
      <c r="C325" s="706"/>
      <c r="D325" s="706"/>
      <c r="E325" s="706"/>
      <c r="F325" s="706"/>
      <c r="G325" s="706"/>
      <c r="H325" s="706"/>
      <c r="I325" s="863"/>
      <c r="J325" s="706"/>
      <c r="K325" s="706"/>
      <c r="L325" s="706"/>
      <c r="M325" s="706"/>
      <c r="N325" s="706"/>
      <c r="O325" s="706"/>
      <c r="P325" s="706"/>
      <c r="Q325" s="863"/>
      <c r="R325" s="706"/>
      <c r="S325" s="706"/>
      <c r="T325" s="706"/>
      <c r="U325" s="706"/>
      <c r="V325" s="706"/>
      <c r="W325" s="706"/>
      <c r="X325" s="706"/>
      <c r="Y325" s="863"/>
      <c r="Z325" s="706"/>
      <c r="AA325" s="706"/>
      <c r="AB325" s="706"/>
      <c r="AC325" s="706"/>
      <c r="AD325" s="706"/>
      <c r="AE325" s="706"/>
      <c r="AF325" s="706"/>
      <c r="AG325" s="863"/>
      <c r="AH325" s="706"/>
      <c r="AI325" s="706"/>
      <c r="AJ325" s="706"/>
      <c r="AK325" s="706"/>
      <c r="AL325" s="706"/>
      <c r="AM325" s="706"/>
      <c r="AN325" s="706"/>
      <c r="AO325" s="863"/>
      <c r="AP325" s="706"/>
      <c r="AQ325" s="706"/>
      <c r="AR325" s="706"/>
      <c r="AS325" s="706"/>
      <c r="AT325" s="706"/>
      <c r="AU325" s="706"/>
      <c r="AV325" s="706"/>
      <c r="AW325" s="706"/>
      <c r="AX325" s="706"/>
      <c r="AY325" s="706"/>
      <c r="AZ325" s="706"/>
      <c r="BA325" s="706"/>
      <c r="BB325" s="706"/>
      <c r="BC325" s="706"/>
      <c r="BD325" s="706"/>
      <c r="BE325" s="706"/>
      <c r="BF325" s="706"/>
      <c r="BG325" s="706"/>
      <c r="BH325" s="706"/>
    </row>
    <row r="326" spans="1:60" s="48" customFormat="1">
      <c r="A326" s="711"/>
      <c r="B326" s="711"/>
      <c r="C326" s="706"/>
      <c r="D326" s="706"/>
      <c r="E326" s="706"/>
      <c r="F326" s="706"/>
      <c r="G326" s="706"/>
      <c r="H326" s="706"/>
      <c r="I326" s="863"/>
      <c r="J326" s="706"/>
      <c r="K326" s="706"/>
      <c r="L326" s="706"/>
      <c r="M326" s="706"/>
      <c r="N326" s="706"/>
      <c r="O326" s="706"/>
      <c r="P326" s="706"/>
      <c r="Q326" s="863"/>
      <c r="R326" s="706"/>
      <c r="S326" s="706"/>
      <c r="T326" s="706"/>
      <c r="U326" s="706"/>
      <c r="V326" s="706"/>
      <c r="W326" s="706"/>
      <c r="X326" s="706"/>
      <c r="Y326" s="863"/>
      <c r="Z326" s="706"/>
      <c r="AA326" s="706"/>
      <c r="AB326" s="706"/>
      <c r="AC326" s="706"/>
      <c r="AD326" s="706"/>
      <c r="AE326" s="706"/>
      <c r="AF326" s="706"/>
      <c r="AG326" s="863"/>
      <c r="AH326" s="706"/>
      <c r="AI326" s="706"/>
      <c r="AJ326" s="706"/>
      <c r="AK326" s="706"/>
      <c r="AL326" s="706"/>
      <c r="AM326" s="706"/>
      <c r="AN326" s="706"/>
      <c r="AO326" s="863"/>
      <c r="AP326" s="706"/>
      <c r="AQ326" s="706"/>
      <c r="AR326" s="706"/>
      <c r="AS326" s="706"/>
      <c r="AT326" s="706"/>
      <c r="AU326" s="706"/>
      <c r="AV326" s="706"/>
      <c r="AW326" s="706"/>
      <c r="AX326" s="706"/>
      <c r="AY326" s="706"/>
      <c r="AZ326" s="706"/>
      <c r="BA326" s="706"/>
      <c r="BB326" s="706"/>
      <c r="BC326" s="706"/>
      <c r="BD326" s="706"/>
      <c r="BE326" s="706"/>
      <c r="BF326" s="706"/>
      <c r="BG326" s="706"/>
      <c r="BH326" s="706"/>
    </row>
    <row r="327" spans="1:60" s="48" customFormat="1">
      <c r="A327" s="711"/>
      <c r="B327" s="711"/>
      <c r="C327" s="706"/>
      <c r="D327" s="706"/>
      <c r="E327" s="706"/>
      <c r="F327" s="706"/>
      <c r="G327" s="706"/>
      <c r="H327" s="706"/>
      <c r="I327" s="863"/>
      <c r="J327" s="706"/>
      <c r="K327" s="706"/>
      <c r="L327" s="706"/>
      <c r="M327" s="706"/>
      <c r="N327" s="706"/>
      <c r="O327" s="706"/>
      <c r="P327" s="706"/>
      <c r="Q327" s="863"/>
      <c r="R327" s="706"/>
      <c r="S327" s="706"/>
      <c r="T327" s="706"/>
      <c r="U327" s="706"/>
      <c r="V327" s="706"/>
      <c r="W327" s="706"/>
      <c r="X327" s="706"/>
      <c r="Y327" s="863"/>
      <c r="Z327" s="706"/>
      <c r="AA327" s="706"/>
      <c r="AB327" s="706"/>
      <c r="AC327" s="706"/>
      <c r="AD327" s="706"/>
      <c r="AE327" s="706"/>
      <c r="AF327" s="706"/>
      <c r="AG327" s="863"/>
      <c r="AH327" s="706"/>
      <c r="AI327" s="706"/>
      <c r="AJ327" s="706"/>
      <c r="AK327" s="706"/>
      <c r="AL327" s="706"/>
      <c r="AM327" s="706"/>
      <c r="AN327" s="706"/>
      <c r="AO327" s="863"/>
      <c r="AP327" s="706"/>
      <c r="AQ327" s="706"/>
      <c r="AR327" s="706"/>
      <c r="AS327" s="706"/>
      <c r="AT327" s="706"/>
      <c r="AU327" s="706"/>
      <c r="AV327" s="706"/>
      <c r="AW327" s="706"/>
      <c r="AX327" s="706"/>
      <c r="AY327" s="706"/>
      <c r="AZ327" s="706"/>
      <c r="BA327" s="706"/>
      <c r="BB327" s="706"/>
      <c r="BC327" s="706"/>
      <c r="BD327" s="706"/>
      <c r="BE327" s="706"/>
      <c r="BF327" s="706"/>
      <c r="BG327" s="706"/>
      <c r="BH327" s="706"/>
    </row>
    <row r="328" spans="1:60" s="48" customFormat="1">
      <c r="A328" s="711"/>
      <c r="B328" s="711"/>
      <c r="C328" s="706"/>
      <c r="D328" s="706"/>
      <c r="E328" s="706"/>
      <c r="F328" s="706"/>
      <c r="G328" s="706"/>
      <c r="H328" s="706"/>
      <c r="I328" s="863"/>
      <c r="J328" s="706"/>
      <c r="K328" s="706"/>
      <c r="L328" s="706"/>
      <c r="M328" s="706"/>
      <c r="N328" s="706"/>
      <c r="O328" s="706"/>
      <c r="P328" s="706"/>
      <c r="Q328" s="863"/>
      <c r="R328" s="706"/>
      <c r="S328" s="706"/>
      <c r="T328" s="706"/>
      <c r="U328" s="706"/>
      <c r="V328" s="706"/>
      <c r="W328" s="706"/>
      <c r="X328" s="706"/>
      <c r="Y328" s="863"/>
      <c r="Z328" s="706"/>
      <c r="AA328" s="706"/>
      <c r="AB328" s="706"/>
      <c r="AC328" s="706"/>
      <c r="AD328" s="706"/>
      <c r="AE328" s="706"/>
      <c r="AF328" s="706"/>
      <c r="AG328" s="863"/>
      <c r="AH328" s="706"/>
      <c r="AI328" s="706"/>
      <c r="AJ328" s="706"/>
      <c r="AK328" s="706"/>
      <c r="AL328" s="706"/>
      <c r="AM328" s="706"/>
      <c r="AN328" s="706"/>
      <c r="AO328" s="863"/>
      <c r="AP328" s="706"/>
      <c r="AQ328" s="706"/>
      <c r="AR328" s="706"/>
      <c r="AS328" s="706"/>
      <c r="AT328" s="706"/>
      <c r="AU328" s="706"/>
      <c r="AV328" s="706"/>
      <c r="AW328" s="706"/>
      <c r="AX328" s="706"/>
      <c r="AY328" s="706"/>
      <c r="AZ328" s="706"/>
      <c r="BA328" s="706"/>
      <c r="BB328" s="706"/>
      <c r="BC328" s="706"/>
      <c r="BD328" s="706"/>
      <c r="BE328" s="706"/>
      <c r="BF328" s="706"/>
      <c r="BG328" s="706"/>
      <c r="BH328" s="706"/>
    </row>
    <row r="329" spans="1:60" s="48" customFormat="1">
      <c r="A329" s="711"/>
      <c r="B329" s="711"/>
      <c r="C329" s="706"/>
      <c r="D329" s="706"/>
      <c r="E329" s="706"/>
      <c r="F329" s="706"/>
      <c r="G329" s="706"/>
      <c r="H329" s="706"/>
      <c r="I329" s="863"/>
      <c r="J329" s="706"/>
      <c r="K329" s="706"/>
      <c r="L329" s="706"/>
      <c r="M329" s="706"/>
      <c r="N329" s="706"/>
      <c r="O329" s="706"/>
      <c r="P329" s="706"/>
      <c r="Q329" s="863"/>
      <c r="R329" s="706"/>
      <c r="S329" s="706"/>
      <c r="T329" s="706"/>
      <c r="U329" s="706"/>
      <c r="V329" s="706"/>
      <c r="W329" s="706"/>
      <c r="X329" s="706"/>
      <c r="Y329" s="863"/>
      <c r="Z329" s="706"/>
      <c r="AA329" s="706"/>
      <c r="AB329" s="706"/>
      <c r="AC329" s="706"/>
      <c r="AD329" s="706"/>
      <c r="AE329" s="706"/>
      <c r="AF329" s="706"/>
      <c r="AG329" s="863"/>
      <c r="AH329" s="706"/>
      <c r="AI329" s="706"/>
      <c r="AJ329" s="706"/>
      <c r="AK329" s="706"/>
      <c r="AL329" s="706"/>
      <c r="AM329" s="706"/>
      <c r="AN329" s="706"/>
      <c r="AO329" s="863"/>
      <c r="AP329" s="706"/>
      <c r="AQ329" s="706"/>
      <c r="AR329" s="706"/>
      <c r="AS329" s="706"/>
      <c r="AT329" s="706"/>
      <c r="AU329" s="706"/>
      <c r="AV329" s="706"/>
      <c r="AW329" s="706"/>
      <c r="AX329" s="706"/>
      <c r="AY329" s="706"/>
      <c r="AZ329" s="706"/>
      <c r="BA329" s="706"/>
      <c r="BB329" s="706"/>
      <c r="BC329" s="706"/>
      <c r="BD329" s="706"/>
      <c r="BE329" s="706"/>
      <c r="BF329" s="706"/>
      <c r="BG329" s="706"/>
      <c r="BH329" s="706"/>
    </row>
    <row r="330" spans="1:60" s="48" customFormat="1">
      <c r="A330" s="711"/>
      <c r="B330" s="711"/>
      <c r="C330" s="706"/>
      <c r="D330" s="706"/>
      <c r="E330" s="706"/>
      <c r="F330" s="706"/>
      <c r="G330" s="706"/>
      <c r="H330" s="706"/>
      <c r="I330" s="863"/>
      <c r="J330" s="706"/>
      <c r="K330" s="706"/>
      <c r="L330" s="706"/>
      <c r="M330" s="706"/>
      <c r="N330" s="706"/>
      <c r="O330" s="706"/>
      <c r="P330" s="706"/>
      <c r="Q330" s="863"/>
      <c r="R330" s="706"/>
      <c r="S330" s="706"/>
      <c r="T330" s="706"/>
      <c r="U330" s="706"/>
      <c r="V330" s="706"/>
      <c r="W330" s="706"/>
      <c r="X330" s="706"/>
      <c r="Y330" s="863"/>
      <c r="Z330" s="706"/>
      <c r="AA330" s="706"/>
      <c r="AB330" s="706"/>
      <c r="AC330" s="706"/>
      <c r="AD330" s="706"/>
      <c r="AE330" s="706"/>
      <c r="AF330" s="706"/>
      <c r="AG330" s="863"/>
      <c r="AH330" s="706"/>
      <c r="AI330" s="706"/>
      <c r="AJ330" s="706"/>
      <c r="AK330" s="706"/>
      <c r="AL330" s="706"/>
      <c r="AM330" s="706"/>
      <c r="AN330" s="706"/>
      <c r="AO330" s="863"/>
      <c r="AP330" s="706"/>
      <c r="AQ330" s="706"/>
      <c r="AR330" s="706"/>
      <c r="AS330" s="706"/>
      <c r="AT330" s="706"/>
      <c r="AU330" s="706"/>
      <c r="AV330" s="706"/>
      <c r="AW330" s="706"/>
      <c r="AX330" s="706"/>
      <c r="AY330" s="706"/>
      <c r="AZ330" s="706"/>
      <c r="BA330" s="706"/>
      <c r="BB330" s="706"/>
      <c r="BC330" s="706"/>
      <c r="BD330" s="706"/>
      <c r="BE330" s="706"/>
      <c r="BF330" s="706"/>
      <c r="BG330" s="706"/>
      <c r="BH330" s="706"/>
    </row>
    <row r="331" spans="1:60" s="48" customFormat="1">
      <c r="A331" s="711"/>
      <c r="B331" s="711"/>
      <c r="C331" s="706"/>
      <c r="D331" s="706"/>
      <c r="E331" s="706"/>
      <c r="F331" s="706"/>
      <c r="G331" s="706"/>
      <c r="H331" s="706"/>
      <c r="I331" s="863"/>
      <c r="J331" s="706"/>
      <c r="K331" s="706"/>
      <c r="L331" s="706"/>
      <c r="M331" s="706"/>
      <c r="N331" s="706"/>
      <c r="O331" s="706"/>
      <c r="P331" s="706"/>
      <c r="Q331" s="863"/>
      <c r="R331" s="706"/>
      <c r="S331" s="706"/>
      <c r="T331" s="706"/>
      <c r="U331" s="706"/>
      <c r="V331" s="706"/>
      <c r="W331" s="706"/>
      <c r="X331" s="706"/>
      <c r="Y331" s="863"/>
      <c r="Z331" s="706"/>
      <c r="AA331" s="706"/>
      <c r="AB331" s="706"/>
      <c r="AC331" s="706"/>
      <c r="AD331" s="706"/>
      <c r="AE331" s="706"/>
      <c r="AF331" s="706"/>
      <c r="AG331" s="863"/>
      <c r="AH331" s="706"/>
      <c r="AI331" s="706"/>
      <c r="AJ331" s="706"/>
      <c r="AK331" s="706"/>
      <c r="AL331" s="706"/>
      <c r="AM331" s="706"/>
      <c r="AN331" s="706"/>
      <c r="AO331" s="863"/>
      <c r="AP331" s="706"/>
      <c r="AQ331" s="706"/>
      <c r="AR331" s="706"/>
      <c r="AS331" s="706"/>
      <c r="AT331" s="706"/>
      <c r="AU331" s="706"/>
      <c r="AV331" s="706"/>
      <c r="AW331" s="706"/>
      <c r="AX331" s="706"/>
      <c r="AY331" s="706"/>
      <c r="AZ331" s="706"/>
      <c r="BA331" s="706"/>
      <c r="BB331" s="706"/>
      <c r="BC331" s="706"/>
      <c r="BD331" s="706"/>
      <c r="BE331" s="706"/>
      <c r="BF331" s="706"/>
      <c r="BG331" s="706"/>
      <c r="BH331" s="706"/>
    </row>
    <row r="332" spans="1:60" s="48" customFormat="1">
      <c r="A332" s="711"/>
      <c r="B332" s="711"/>
      <c r="C332" s="706"/>
      <c r="D332" s="706"/>
      <c r="E332" s="706"/>
      <c r="F332" s="706"/>
      <c r="G332" s="706"/>
      <c r="H332" s="706"/>
      <c r="I332" s="863"/>
      <c r="J332" s="706"/>
      <c r="K332" s="706"/>
      <c r="L332" s="706"/>
      <c r="M332" s="706"/>
      <c r="N332" s="706"/>
      <c r="O332" s="706"/>
      <c r="P332" s="706"/>
      <c r="Q332" s="863"/>
      <c r="R332" s="706"/>
      <c r="S332" s="706"/>
      <c r="T332" s="706"/>
      <c r="U332" s="706"/>
      <c r="V332" s="706"/>
      <c r="W332" s="706"/>
      <c r="X332" s="706"/>
      <c r="Y332" s="863"/>
      <c r="Z332" s="706"/>
      <c r="AA332" s="706"/>
      <c r="AB332" s="706"/>
      <c r="AC332" s="706"/>
      <c r="AD332" s="706"/>
      <c r="AE332" s="706"/>
      <c r="AF332" s="706"/>
      <c r="AG332" s="863"/>
      <c r="AH332" s="706"/>
      <c r="AI332" s="706"/>
      <c r="AJ332" s="706"/>
      <c r="AK332" s="706"/>
      <c r="AL332" s="706"/>
      <c r="AM332" s="706"/>
      <c r="AN332" s="706"/>
      <c r="AO332" s="863"/>
      <c r="AP332" s="706"/>
      <c r="AQ332" s="706"/>
      <c r="AR332" s="706"/>
      <c r="AS332" s="706"/>
      <c r="AT332" s="706"/>
      <c r="AU332" s="706"/>
      <c r="AV332" s="706"/>
      <c r="AW332" s="706"/>
      <c r="AX332" s="706"/>
      <c r="AY332" s="706"/>
      <c r="AZ332" s="706"/>
      <c r="BA332" s="706"/>
      <c r="BB332" s="706"/>
      <c r="BC332" s="706"/>
      <c r="BD332" s="706"/>
      <c r="BE332" s="706"/>
      <c r="BF332" s="706"/>
      <c r="BG332" s="706"/>
      <c r="BH332" s="706"/>
    </row>
    <row r="333" spans="1:60" s="48" customFormat="1">
      <c r="A333" s="711"/>
      <c r="B333" s="711"/>
      <c r="C333" s="706"/>
      <c r="D333" s="706"/>
      <c r="E333" s="706"/>
      <c r="F333" s="706"/>
      <c r="G333" s="706"/>
      <c r="H333" s="706"/>
      <c r="I333" s="863"/>
      <c r="J333" s="706"/>
      <c r="K333" s="706"/>
      <c r="L333" s="706"/>
      <c r="M333" s="706"/>
      <c r="N333" s="706"/>
      <c r="O333" s="706"/>
      <c r="P333" s="706"/>
      <c r="Q333" s="863"/>
      <c r="R333" s="706"/>
      <c r="S333" s="706"/>
      <c r="T333" s="706"/>
      <c r="U333" s="706"/>
      <c r="V333" s="706"/>
      <c r="W333" s="706"/>
      <c r="X333" s="706"/>
      <c r="Y333" s="863"/>
      <c r="Z333" s="706"/>
      <c r="AA333" s="706"/>
      <c r="AB333" s="706"/>
      <c r="AC333" s="706"/>
      <c r="AD333" s="706"/>
      <c r="AE333" s="706"/>
      <c r="AF333" s="706"/>
      <c r="AG333" s="863"/>
      <c r="AH333" s="706"/>
      <c r="AI333" s="706"/>
      <c r="AJ333" s="706"/>
      <c r="AK333" s="706"/>
      <c r="AL333" s="706"/>
      <c r="AM333" s="706"/>
      <c r="AN333" s="706"/>
      <c r="AO333" s="863"/>
      <c r="AP333" s="706"/>
      <c r="AQ333" s="706"/>
      <c r="AR333" s="706"/>
      <c r="AS333" s="706"/>
      <c r="AT333" s="706"/>
      <c r="AU333" s="706"/>
      <c r="AV333" s="706"/>
      <c r="AW333" s="706"/>
      <c r="AX333" s="706"/>
      <c r="AY333" s="706"/>
      <c r="AZ333" s="706"/>
      <c r="BA333" s="706"/>
      <c r="BB333" s="706"/>
      <c r="BC333" s="706"/>
      <c r="BD333" s="706"/>
      <c r="BE333" s="706"/>
      <c r="BF333" s="706"/>
      <c r="BG333" s="706"/>
      <c r="BH333" s="706"/>
    </row>
    <row r="334" spans="1:60" s="48" customFormat="1">
      <c r="A334" s="711"/>
      <c r="B334" s="711"/>
      <c r="C334" s="706"/>
      <c r="D334" s="706"/>
      <c r="E334" s="706"/>
      <c r="F334" s="706"/>
      <c r="G334" s="706"/>
      <c r="H334" s="706"/>
      <c r="I334" s="863"/>
      <c r="J334" s="706"/>
      <c r="K334" s="706"/>
      <c r="L334" s="706"/>
      <c r="M334" s="706"/>
      <c r="N334" s="706"/>
      <c r="O334" s="706"/>
      <c r="P334" s="706"/>
      <c r="Q334" s="863"/>
      <c r="R334" s="706"/>
      <c r="S334" s="706"/>
      <c r="T334" s="706"/>
      <c r="U334" s="706"/>
      <c r="V334" s="706"/>
      <c r="W334" s="706"/>
      <c r="X334" s="706"/>
      <c r="Y334" s="863"/>
      <c r="Z334" s="706"/>
      <c r="AA334" s="706"/>
      <c r="AB334" s="706"/>
      <c r="AC334" s="706"/>
      <c r="AD334" s="706"/>
      <c r="AE334" s="706"/>
      <c r="AF334" s="706"/>
      <c r="AG334" s="863"/>
      <c r="AH334" s="706"/>
      <c r="AI334" s="706"/>
      <c r="AJ334" s="706"/>
      <c r="AK334" s="706"/>
      <c r="AL334" s="706"/>
      <c r="AM334" s="706"/>
      <c r="AN334" s="706"/>
      <c r="AO334" s="863"/>
      <c r="AP334" s="706"/>
      <c r="AQ334" s="706"/>
      <c r="AR334" s="706"/>
      <c r="AS334" s="706"/>
      <c r="AT334" s="706"/>
      <c r="AU334" s="706"/>
      <c r="AV334" s="706"/>
      <c r="AW334" s="706"/>
      <c r="AX334" s="706"/>
      <c r="AY334" s="706"/>
      <c r="AZ334" s="706"/>
      <c r="BA334" s="706"/>
      <c r="BB334" s="706"/>
      <c r="BC334" s="706"/>
      <c r="BD334" s="706"/>
      <c r="BE334" s="706"/>
      <c r="BF334" s="706"/>
      <c r="BG334" s="706"/>
      <c r="BH334" s="706"/>
    </row>
    <row r="335" spans="1:60" s="48" customFormat="1">
      <c r="A335" s="711"/>
      <c r="B335" s="711"/>
      <c r="C335" s="706"/>
      <c r="D335" s="706"/>
      <c r="E335" s="706"/>
      <c r="F335" s="706"/>
      <c r="G335" s="706"/>
      <c r="H335" s="706"/>
      <c r="I335" s="863"/>
      <c r="J335" s="706"/>
      <c r="K335" s="706"/>
      <c r="L335" s="706"/>
      <c r="M335" s="706"/>
      <c r="N335" s="706"/>
      <c r="O335" s="706"/>
      <c r="P335" s="706"/>
      <c r="Q335" s="863"/>
      <c r="R335" s="706"/>
      <c r="S335" s="706"/>
      <c r="T335" s="706"/>
      <c r="U335" s="706"/>
      <c r="V335" s="706"/>
      <c r="W335" s="706"/>
      <c r="X335" s="706"/>
      <c r="Y335" s="863"/>
      <c r="Z335" s="706"/>
      <c r="AA335" s="706"/>
      <c r="AB335" s="706"/>
      <c r="AC335" s="706"/>
      <c r="AD335" s="706"/>
      <c r="AE335" s="706"/>
      <c r="AF335" s="706"/>
      <c r="AG335" s="863"/>
      <c r="AH335" s="706"/>
      <c r="AI335" s="706"/>
      <c r="AJ335" s="706"/>
      <c r="AK335" s="706"/>
      <c r="AL335" s="706"/>
      <c r="AM335" s="706"/>
      <c r="AN335" s="706"/>
      <c r="AO335" s="863"/>
      <c r="AP335" s="706"/>
      <c r="AQ335" s="706"/>
      <c r="AR335" s="706"/>
      <c r="AS335" s="706"/>
      <c r="AT335" s="706"/>
      <c r="AU335" s="706"/>
      <c r="AV335" s="706"/>
      <c r="AW335" s="706"/>
      <c r="AX335" s="706"/>
      <c r="AY335" s="706"/>
      <c r="AZ335" s="706"/>
      <c r="BA335" s="706"/>
      <c r="BB335" s="706"/>
      <c r="BC335" s="706"/>
      <c r="BD335" s="706"/>
      <c r="BE335" s="706"/>
      <c r="BF335" s="706"/>
      <c r="BG335" s="706"/>
      <c r="BH335" s="706"/>
    </row>
    <row r="336" spans="1:60" s="48" customFormat="1">
      <c r="A336" s="711"/>
      <c r="B336" s="711"/>
      <c r="C336" s="706"/>
      <c r="D336" s="706"/>
      <c r="E336" s="706"/>
      <c r="F336" s="706"/>
      <c r="G336" s="706"/>
      <c r="H336" s="706"/>
      <c r="I336" s="863"/>
      <c r="J336" s="706"/>
      <c r="K336" s="706"/>
      <c r="L336" s="706"/>
      <c r="M336" s="706"/>
      <c r="N336" s="706"/>
      <c r="O336" s="706"/>
      <c r="P336" s="706"/>
      <c r="Q336" s="863"/>
      <c r="R336" s="706"/>
      <c r="S336" s="706"/>
      <c r="T336" s="706"/>
      <c r="U336" s="706"/>
      <c r="V336" s="706"/>
      <c r="W336" s="706"/>
      <c r="X336" s="706"/>
      <c r="Y336" s="863"/>
      <c r="Z336" s="706"/>
      <c r="AA336" s="706"/>
      <c r="AB336" s="706"/>
      <c r="AC336" s="706"/>
      <c r="AD336" s="706"/>
      <c r="AE336" s="706"/>
      <c r="AF336" s="706"/>
      <c r="AG336" s="863"/>
      <c r="AH336" s="706"/>
      <c r="AI336" s="706"/>
      <c r="AJ336" s="706"/>
      <c r="AK336" s="706"/>
      <c r="AL336" s="706"/>
      <c r="AM336" s="706"/>
      <c r="AN336" s="706"/>
      <c r="AO336" s="863"/>
      <c r="AP336" s="706"/>
      <c r="AQ336" s="706"/>
      <c r="AR336" s="706"/>
      <c r="AS336" s="706"/>
      <c r="AT336" s="706"/>
      <c r="AU336" s="706"/>
      <c r="AV336" s="706"/>
      <c r="AW336" s="706"/>
      <c r="AX336" s="706"/>
      <c r="AY336" s="706"/>
      <c r="AZ336" s="706"/>
      <c r="BA336" s="706"/>
      <c r="BB336" s="706"/>
      <c r="BC336" s="706"/>
      <c r="BD336" s="706"/>
      <c r="BE336" s="706"/>
      <c r="BF336" s="706"/>
      <c r="BG336" s="706"/>
      <c r="BH336" s="706"/>
    </row>
    <row r="337" spans="1:60" s="48" customFormat="1">
      <c r="A337" s="711"/>
      <c r="B337" s="711"/>
      <c r="C337" s="706"/>
      <c r="D337" s="706"/>
      <c r="E337" s="706"/>
      <c r="F337" s="706"/>
      <c r="G337" s="706"/>
      <c r="H337" s="706"/>
      <c r="I337" s="863"/>
      <c r="J337" s="706"/>
      <c r="K337" s="706"/>
      <c r="L337" s="706"/>
      <c r="M337" s="706"/>
      <c r="N337" s="706"/>
      <c r="O337" s="706"/>
      <c r="P337" s="706"/>
      <c r="Q337" s="863"/>
      <c r="R337" s="706"/>
      <c r="S337" s="706"/>
      <c r="T337" s="706"/>
      <c r="U337" s="706"/>
      <c r="V337" s="706"/>
      <c r="W337" s="706"/>
      <c r="X337" s="706"/>
      <c r="Y337" s="863"/>
      <c r="Z337" s="706"/>
      <c r="AA337" s="706"/>
      <c r="AB337" s="706"/>
      <c r="AC337" s="706"/>
      <c r="AD337" s="706"/>
      <c r="AE337" s="706"/>
      <c r="AF337" s="706"/>
      <c r="AG337" s="863"/>
      <c r="AH337" s="706"/>
      <c r="AI337" s="706"/>
      <c r="AJ337" s="706"/>
      <c r="AK337" s="706"/>
      <c r="AL337" s="706"/>
      <c r="AM337" s="706"/>
      <c r="AN337" s="706"/>
      <c r="AO337" s="863"/>
      <c r="AP337" s="706"/>
      <c r="AQ337" s="706"/>
      <c r="AR337" s="706"/>
      <c r="AS337" s="706"/>
      <c r="AT337" s="706"/>
      <c r="AU337" s="706"/>
      <c r="AV337" s="706"/>
      <c r="AW337" s="706"/>
      <c r="AX337" s="706"/>
      <c r="AY337" s="706"/>
      <c r="AZ337" s="706"/>
      <c r="BA337" s="706"/>
      <c r="BB337" s="706"/>
      <c r="BC337" s="706"/>
      <c r="BD337" s="706"/>
      <c r="BE337" s="706"/>
      <c r="BF337" s="706"/>
      <c r="BG337" s="706"/>
      <c r="BH337" s="706"/>
    </row>
    <row r="338" spans="1:60" s="48" customFormat="1">
      <c r="A338" s="711"/>
      <c r="B338" s="711"/>
      <c r="C338" s="706"/>
      <c r="D338" s="706"/>
      <c r="E338" s="706"/>
      <c r="F338" s="706"/>
      <c r="G338" s="706"/>
      <c r="H338" s="706"/>
      <c r="I338" s="863"/>
      <c r="J338" s="706"/>
      <c r="K338" s="706"/>
      <c r="L338" s="706"/>
      <c r="M338" s="706"/>
      <c r="N338" s="706"/>
      <c r="O338" s="706"/>
      <c r="P338" s="706"/>
      <c r="Q338" s="863"/>
      <c r="R338" s="706"/>
      <c r="S338" s="706"/>
      <c r="T338" s="706"/>
      <c r="U338" s="706"/>
      <c r="V338" s="706"/>
      <c r="W338" s="706"/>
      <c r="X338" s="706"/>
      <c r="Y338" s="863"/>
      <c r="Z338" s="706"/>
      <c r="AA338" s="706"/>
      <c r="AB338" s="706"/>
      <c r="AC338" s="706"/>
      <c r="AD338" s="706"/>
      <c r="AE338" s="706"/>
      <c r="AF338" s="706"/>
      <c r="AG338" s="863"/>
      <c r="AH338" s="706"/>
      <c r="AI338" s="706"/>
      <c r="AJ338" s="706"/>
      <c r="AK338" s="706"/>
      <c r="AL338" s="706"/>
      <c r="AM338" s="706"/>
      <c r="AN338" s="706"/>
      <c r="AO338" s="863"/>
      <c r="AP338" s="706"/>
      <c r="AQ338" s="706"/>
      <c r="AR338" s="706"/>
      <c r="AS338" s="706"/>
      <c r="AT338" s="706"/>
      <c r="AU338" s="706"/>
      <c r="AV338" s="706"/>
      <c r="AW338" s="706"/>
      <c r="AX338" s="706"/>
      <c r="AY338" s="706"/>
      <c r="AZ338" s="706"/>
      <c r="BA338" s="706"/>
      <c r="BB338" s="706"/>
      <c r="BC338" s="706"/>
      <c r="BD338" s="706"/>
      <c r="BE338" s="706"/>
      <c r="BF338" s="706"/>
      <c r="BG338" s="706"/>
      <c r="BH338" s="706"/>
    </row>
    <row r="339" spans="1:60" s="48" customFormat="1">
      <c r="A339" s="711"/>
      <c r="B339" s="711"/>
      <c r="C339" s="706"/>
      <c r="D339" s="706"/>
      <c r="E339" s="706"/>
      <c r="F339" s="706"/>
      <c r="G339" s="706"/>
      <c r="H339" s="706"/>
      <c r="I339" s="863"/>
      <c r="J339" s="706"/>
      <c r="K339" s="706"/>
      <c r="L339" s="706"/>
      <c r="M339" s="706"/>
      <c r="N339" s="706"/>
      <c r="O339" s="706"/>
      <c r="P339" s="706"/>
      <c r="Q339" s="863"/>
      <c r="R339" s="706"/>
      <c r="S339" s="706"/>
      <c r="T339" s="706"/>
      <c r="U339" s="706"/>
      <c r="V339" s="706"/>
      <c r="W339" s="706"/>
      <c r="X339" s="706"/>
      <c r="Y339" s="863"/>
      <c r="Z339" s="706"/>
      <c r="AA339" s="706"/>
      <c r="AB339" s="706"/>
      <c r="AC339" s="706"/>
      <c r="AD339" s="706"/>
      <c r="AE339" s="706"/>
      <c r="AF339" s="706"/>
      <c r="AG339" s="863"/>
      <c r="AH339" s="706"/>
      <c r="AI339" s="706"/>
      <c r="AJ339" s="706"/>
      <c r="AK339" s="706"/>
      <c r="AL339" s="706"/>
      <c r="AM339" s="706"/>
      <c r="AN339" s="706"/>
      <c r="AO339" s="863"/>
      <c r="AP339" s="706"/>
      <c r="AQ339" s="706"/>
      <c r="AR339" s="706"/>
      <c r="AS339" s="706"/>
      <c r="AT339" s="706"/>
      <c r="AU339" s="706"/>
      <c r="AV339" s="706"/>
      <c r="AW339" s="706"/>
      <c r="AX339" s="706"/>
      <c r="AY339" s="706"/>
      <c r="AZ339" s="706"/>
      <c r="BA339" s="706"/>
      <c r="BB339" s="706"/>
      <c r="BC339" s="706"/>
      <c r="BD339" s="706"/>
      <c r="BE339" s="706"/>
      <c r="BF339" s="706"/>
      <c r="BG339" s="706"/>
      <c r="BH339" s="706"/>
    </row>
    <row r="340" spans="1:60" s="48" customFormat="1">
      <c r="A340" s="711"/>
      <c r="B340" s="711"/>
      <c r="C340" s="706"/>
      <c r="D340" s="706"/>
      <c r="E340" s="706"/>
      <c r="F340" s="706"/>
      <c r="G340" s="706"/>
      <c r="H340" s="706"/>
      <c r="I340" s="863"/>
      <c r="J340" s="706"/>
      <c r="K340" s="706"/>
      <c r="L340" s="706"/>
      <c r="M340" s="706"/>
      <c r="N340" s="706"/>
      <c r="O340" s="706"/>
      <c r="P340" s="706"/>
      <c r="Q340" s="863"/>
      <c r="R340" s="706"/>
      <c r="S340" s="706"/>
      <c r="T340" s="706"/>
      <c r="U340" s="706"/>
      <c r="V340" s="706"/>
      <c r="W340" s="706"/>
      <c r="X340" s="706"/>
      <c r="Y340" s="863"/>
      <c r="Z340" s="706"/>
      <c r="AA340" s="706"/>
      <c r="AB340" s="706"/>
      <c r="AC340" s="706"/>
      <c r="AD340" s="706"/>
      <c r="AE340" s="706"/>
      <c r="AF340" s="706"/>
      <c r="AG340" s="863"/>
      <c r="AH340" s="706"/>
      <c r="AI340" s="706"/>
      <c r="AJ340" s="706"/>
      <c r="AK340" s="706"/>
      <c r="AL340" s="706"/>
      <c r="AM340" s="706"/>
      <c r="AN340" s="706"/>
      <c r="AO340" s="863"/>
      <c r="AP340" s="706"/>
      <c r="AQ340" s="706"/>
      <c r="AR340" s="706"/>
      <c r="AS340" s="706"/>
      <c r="AT340" s="706"/>
      <c r="AU340" s="706"/>
      <c r="AV340" s="706"/>
      <c r="AW340" s="706"/>
      <c r="AX340" s="706"/>
      <c r="AY340" s="706"/>
      <c r="AZ340" s="706"/>
      <c r="BA340" s="706"/>
      <c r="BB340" s="706"/>
      <c r="BC340" s="706"/>
      <c r="BD340" s="706"/>
      <c r="BE340" s="706"/>
      <c r="BF340" s="706"/>
      <c r="BG340" s="706"/>
      <c r="BH340" s="706"/>
    </row>
    <row r="341" spans="1:60" s="48" customFormat="1">
      <c r="A341" s="711"/>
      <c r="B341" s="711"/>
      <c r="C341" s="706"/>
      <c r="D341" s="706"/>
      <c r="E341" s="706"/>
      <c r="F341" s="706"/>
      <c r="G341" s="706"/>
      <c r="H341" s="706"/>
      <c r="I341" s="863"/>
      <c r="J341" s="706"/>
      <c r="K341" s="706"/>
      <c r="L341" s="706"/>
      <c r="M341" s="706"/>
      <c r="N341" s="706"/>
      <c r="O341" s="706"/>
      <c r="P341" s="706"/>
      <c r="Q341" s="863"/>
      <c r="R341" s="706"/>
      <c r="S341" s="706"/>
      <c r="T341" s="706"/>
      <c r="U341" s="706"/>
      <c r="V341" s="706"/>
      <c r="W341" s="706"/>
      <c r="X341" s="706"/>
      <c r="Y341" s="863"/>
      <c r="Z341" s="706"/>
      <c r="AA341" s="706"/>
      <c r="AB341" s="706"/>
      <c r="AC341" s="706"/>
      <c r="AD341" s="706"/>
      <c r="AE341" s="706"/>
      <c r="AF341" s="706"/>
      <c r="AG341" s="863"/>
      <c r="AH341" s="706"/>
      <c r="AI341" s="706"/>
      <c r="AJ341" s="706"/>
      <c r="AK341" s="706"/>
      <c r="AL341" s="706"/>
      <c r="AM341" s="706"/>
      <c r="AN341" s="706"/>
      <c r="AO341" s="863"/>
      <c r="AP341" s="706"/>
      <c r="AQ341" s="706"/>
      <c r="AR341" s="706"/>
      <c r="AS341" s="706"/>
      <c r="AT341" s="706"/>
      <c r="AU341" s="706"/>
      <c r="AV341" s="706"/>
      <c r="AW341" s="706"/>
      <c r="AX341" s="706"/>
      <c r="AY341" s="706"/>
      <c r="AZ341" s="706"/>
      <c r="BA341" s="706"/>
      <c r="BB341" s="706"/>
      <c r="BC341" s="706"/>
      <c r="BD341" s="706"/>
      <c r="BE341" s="706"/>
      <c r="BF341" s="706"/>
      <c r="BG341" s="706"/>
      <c r="BH341" s="706"/>
    </row>
    <row r="342" spans="1:60" s="48" customFormat="1">
      <c r="A342" s="711"/>
      <c r="B342" s="711"/>
      <c r="C342" s="706"/>
      <c r="D342" s="706"/>
      <c r="E342" s="706"/>
      <c r="F342" s="706"/>
      <c r="G342" s="706"/>
      <c r="H342" s="706"/>
      <c r="I342" s="863"/>
      <c r="J342" s="706"/>
      <c r="K342" s="706"/>
      <c r="L342" s="706"/>
      <c r="M342" s="706"/>
      <c r="N342" s="706"/>
      <c r="O342" s="706"/>
      <c r="P342" s="706"/>
      <c r="Q342" s="863"/>
      <c r="R342" s="706"/>
      <c r="S342" s="706"/>
      <c r="T342" s="706"/>
      <c r="U342" s="706"/>
      <c r="V342" s="706"/>
      <c r="W342" s="706"/>
      <c r="X342" s="706"/>
      <c r="Y342" s="863"/>
      <c r="Z342" s="706"/>
      <c r="AA342" s="706"/>
      <c r="AB342" s="706"/>
      <c r="AC342" s="706"/>
      <c r="AD342" s="706"/>
      <c r="AE342" s="706"/>
      <c r="AF342" s="706"/>
      <c r="AG342" s="863"/>
      <c r="AH342" s="706"/>
      <c r="AI342" s="706"/>
      <c r="AJ342" s="706"/>
      <c r="AK342" s="706"/>
      <c r="AL342" s="706"/>
      <c r="AM342" s="706"/>
      <c r="AN342" s="706"/>
      <c r="AO342" s="863"/>
      <c r="AP342" s="706"/>
      <c r="AQ342" s="706"/>
      <c r="AR342" s="706"/>
      <c r="AS342" s="706"/>
      <c r="AT342" s="706"/>
      <c r="AU342" s="706"/>
      <c r="AV342" s="706"/>
      <c r="AW342" s="706"/>
      <c r="AX342" s="706"/>
      <c r="AY342" s="706"/>
      <c r="AZ342" s="706"/>
      <c r="BA342" s="706"/>
      <c r="BB342" s="706"/>
      <c r="BC342" s="706"/>
      <c r="BD342" s="706"/>
      <c r="BE342" s="706"/>
      <c r="BF342" s="706"/>
      <c r="BG342" s="706"/>
      <c r="BH342" s="706"/>
    </row>
    <row r="343" spans="1:60" s="48" customFormat="1">
      <c r="A343" s="711"/>
      <c r="B343" s="711"/>
      <c r="C343" s="706"/>
      <c r="D343" s="706"/>
      <c r="E343" s="706"/>
      <c r="F343" s="706"/>
      <c r="G343" s="706"/>
      <c r="H343" s="706"/>
      <c r="I343" s="863"/>
      <c r="J343" s="706"/>
      <c r="K343" s="706"/>
      <c r="L343" s="706"/>
      <c r="M343" s="706"/>
      <c r="N343" s="706"/>
      <c r="O343" s="706"/>
      <c r="P343" s="706"/>
      <c r="Q343" s="863"/>
      <c r="R343" s="706"/>
      <c r="S343" s="706"/>
      <c r="T343" s="706"/>
      <c r="U343" s="706"/>
      <c r="V343" s="706"/>
      <c r="W343" s="706"/>
      <c r="X343" s="706"/>
      <c r="Y343" s="863"/>
      <c r="Z343" s="706"/>
      <c r="AA343" s="706"/>
      <c r="AB343" s="706"/>
      <c r="AC343" s="706"/>
      <c r="AD343" s="706"/>
      <c r="AE343" s="706"/>
      <c r="AF343" s="706"/>
      <c r="AG343" s="863"/>
      <c r="AH343" s="706"/>
      <c r="AI343" s="706"/>
      <c r="AJ343" s="706"/>
      <c r="AK343" s="706"/>
      <c r="AL343" s="706"/>
      <c r="AM343" s="706"/>
      <c r="AN343" s="706"/>
      <c r="AO343" s="863"/>
      <c r="AP343" s="706"/>
      <c r="AQ343" s="706"/>
      <c r="AR343" s="706"/>
      <c r="AS343" s="706"/>
      <c r="AT343" s="706"/>
      <c r="AU343" s="706"/>
      <c r="AV343" s="706"/>
      <c r="AW343" s="706"/>
      <c r="AX343" s="706"/>
      <c r="AY343" s="706"/>
      <c r="AZ343" s="706"/>
      <c r="BA343" s="706"/>
      <c r="BB343" s="706"/>
      <c r="BC343" s="706"/>
      <c r="BD343" s="706"/>
      <c r="BE343" s="706"/>
      <c r="BF343" s="706"/>
      <c r="BG343" s="706"/>
      <c r="BH343" s="706"/>
    </row>
    <row r="344" spans="1:60" s="48" customFormat="1">
      <c r="A344" s="711"/>
      <c r="B344" s="711"/>
      <c r="C344" s="706"/>
      <c r="D344" s="706"/>
      <c r="E344" s="706"/>
      <c r="F344" s="706"/>
      <c r="G344" s="706"/>
      <c r="H344" s="706"/>
      <c r="I344" s="863"/>
      <c r="J344" s="706"/>
      <c r="K344" s="706"/>
      <c r="L344" s="706"/>
      <c r="M344" s="706"/>
      <c r="N344" s="706"/>
      <c r="O344" s="706"/>
      <c r="P344" s="706"/>
      <c r="Q344" s="863"/>
      <c r="R344" s="706"/>
      <c r="S344" s="706"/>
      <c r="T344" s="706"/>
      <c r="U344" s="706"/>
      <c r="V344" s="706"/>
      <c r="W344" s="706"/>
      <c r="X344" s="706"/>
      <c r="Y344" s="863"/>
      <c r="Z344" s="706"/>
      <c r="AA344" s="706"/>
      <c r="AB344" s="706"/>
      <c r="AC344" s="706"/>
      <c r="AD344" s="706"/>
      <c r="AE344" s="706"/>
      <c r="AF344" s="706"/>
      <c r="AG344" s="863"/>
      <c r="AH344" s="706"/>
      <c r="AI344" s="706"/>
      <c r="AJ344" s="706"/>
      <c r="AK344" s="706"/>
      <c r="AL344" s="706"/>
      <c r="AM344" s="706"/>
      <c r="AN344" s="706"/>
      <c r="AO344" s="863"/>
      <c r="AP344" s="706"/>
      <c r="AQ344" s="706"/>
      <c r="AR344" s="706"/>
      <c r="AS344" s="706"/>
      <c r="AT344" s="706"/>
      <c r="AU344" s="706"/>
      <c r="AV344" s="706"/>
      <c r="AW344" s="706"/>
      <c r="AX344" s="706"/>
      <c r="AY344" s="706"/>
      <c r="AZ344" s="706"/>
      <c r="BA344" s="706"/>
      <c r="BB344" s="706"/>
      <c r="BC344" s="706"/>
      <c r="BD344" s="706"/>
      <c r="BE344" s="706"/>
      <c r="BF344" s="706"/>
      <c r="BG344" s="706"/>
      <c r="BH344" s="706"/>
    </row>
    <row r="345" spans="1:60" s="48" customFormat="1">
      <c r="A345" s="711"/>
      <c r="B345" s="711"/>
      <c r="C345" s="706"/>
      <c r="D345" s="706"/>
      <c r="E345" s="706"/>
      <c r="F345" s="706"/>
      <c r="G345" s="706"/>
      <c r="H345" s="706"/>
      <c r="I345" s="863"/>
      <c r="J345" s="706"/>
      <c r="K345" s="706"/>
      <c r="L345" s="706"/>
      <c r="M345" s="706"/>
      <c r="N345" s="706"/>
      <c r="O345" s="706"/>
      <c r="P345" s="706"/>
      <c r="Q345" s="863"/>
      <c r="R345" s="706"/>
      <c r="S345" s="706"/>
      <c r="T345" s="706"/>
      <c r="U345" s="706"/>
      <c r="V345" s="706"/>
      <c r="W345" s="706"/>
      <c r="X345" s="706"/>
      <c r="Y345" s="863"/>
      <c r="Z345" s="706"/>
      <c r="AA345" s="706"/>
      <c r="AB345" s="706"/>
      <c r="AC345" s="706"/>
      <c r="AD345" s="706"/>
      <c r="AE345" s="706"/>
      <c r="AF345" s="706"/>
      <c r="AG345" s="863"/>
      <c r="AH345" s="706"/>
      <c r="AI345" s="706"/>
      <c r="AJ345" s="706"/>
      <c r="AK345" s="706"/>
      <c r="AL345" s="706"/>
      <c r="AM345" s="706"/>
      <c r="AN345" s="706"/>
      <c r="AO345" s="863"/>
      <c r="AP345" s="706"/>
      <c r="AQ345" s="706"/>
      <c r="AR345" s="706"/>
      <c r="AS345" s="706"/>
      <c r="AT345" s="706"/>
      <c r="AU345" s="706"/>
      <c r="AV345" s="706"/>
      <c r="AW345" s="706"/>
      <c r="AX345" s="706"/>
      <c r="AY345" s="706"/>
      <c r="AZ345" s="706"/>
      <c r="BA345" s="706"/>
      <c r="BB345" s="706"/>
      <c r="BC345" s="706"/>
      <c r="BD345" s="706"/>
      <c r="BE345" s="706"/>
      <c r="BF345" s="706"/>
      <c r="BG345" s="706"/>
      <c r="BH345" s="706"/>
    </row>
    <row r="346" spans="1:60" s="48" customFormat="1">
      <c r="A346" s="711"/>
      <c r="B346" s="711"/>
      <c r="C346" s="706"/>
      <c r="D346" s="706"/>
      <c r="E346" s="706"/>
      <c r="F346" s="706"/>
      <c r="G346" s="706"/>
      <c r="H346" s="706"/>
      <c r="I346" s="863"/>
      <c r="J346" s="706"/>
      <c r="K346" s="706"/>
      <c r="L346" s="706"/>
      <c r="M346" s="706"/>
      <c r="N346" s="706"/>
      <c r="O346" s="706"/>
      <c r="P346" s="706"/>
      <c r="Q346" s="863"/>
      <c r="R346" s="706"/>
      <c r="S346" s="706"/>
      <c r="T346" s="706"/>
      <c r="U346" s="706"/>
      <c r="V346" s="706"/>
      <c r="W346" s="706"/>
      <c r="X346" s="706"/>
      <c r="Y346" s="863"/>
      <c r="Z346" s="706"/>
      <c r="AA346" s="706"/>
      <c r="AB346" s="706"/>
      <c r="AC346" s="706"/>
      <c r="AD346" s="706"/>
      <c r="AE346" s="706"/>
      <c r="AF346" s="706"/>
      <c r="AG346" s="863"/>
      <c r="AH346" s="706"/>
      <c r="AI346" s="706"/>
      <c r="AJ346" s="706"/>
      <c r="AK346" s="706"/>
      <c r="AL346" s="706"/>
      <c r="AM346" s="706"/>
      <c r="AN346" s="706"/>
      <c r="AO346" s="863"/>
      <c r="AP346" s="706"/>
      <c r="AQ346" s="706"/>
      <c r="AR346" s="706"/>
      <c r="AS346" s="706"/>
      <c r="AT346" s="706"/>
      <c r="AU346" s="706"/>
      <c r="AV346" s="706"/>
      <c r="AW346" s="706"/>
      <c r="AX346" s="706"/>
      <c r="AY346" s="706"/>
      <c r="AZ346" s="706"/>
      <c r="BA346" s="706"/>
      <c r="BB346" s="706"/>
      <c r="BC346" s="706"/>
      <c r="BD346" s="706"/>
      <c r="BE346" s="706"/>
      <c r="BF346" s="706"/>
      <c r="BG346" s="706"/>
      <c r="BH346" s="706"/>
    </row>
    <row r="347" spans="1:60" s="48" customFormat="1">
      <c r="A347" s="711"/>
      <c r="B347" s="711"/>
      <c r="C347" s="706"/>
      <c r="D347" s="706"/>
      <c r="E347" s="706"/>
      <c r="F347" s="706"/>
      <c r="G347" s="706"/>
      <c r="H347" s="706"/>
      <c r="I347" s="863"/>
      <c r="J347" s="706"/>
      <c r="K347" s="706"/>
      <c r="L347" s="706"/>
      <c r="M347" s="706"/>
      <c r="N347" s="706"/>
      <c r="O347" s="706"/>
      <c r="P347" s="706"/>
      <c r="Q347" s="863"/>
      <c r="R347" s="706"/>
      <c r="S347" s="706"/>
      <c r="T347" s="706"/>
      <c r="U347" s="706"/>
      <c r="V347" s="706"/>
      <c r="W347" s="706"/>
      <c r="X347" s="706"/>
      <c r="Y347" s="863"/>
      <c r="Z347" s="706"/>
      <c r="AA347" s="706"/>
      <c r="AB347" s="706"/>
      <c r="AC347" s="706"/>
      <c r="AD347" s="706"/>
      <c r="AE347" s="706"/>
      <c r="AF347" s="706"/>
      <c r="AG347" s="863"/>
      <c r="AH347" s="706"/>
      <c r="AI347" s="706"/>
      <c r="AJ347" s="706"/>
      <c r="AK347" s="706"/>
      <c r="AL347" s="706"/>
      <c r="AM347" s="706"/>
      <c r="AN347" s="706"/>
      <c r="AO347" s="863"/>
      <c r="AP347" s="706"/>
      <c r="AQ347" s="706"/>
      <c r="AR347" s="706"/>
      <c r="AS347" s="706"/>
      <c r="AT347" s="706"/>
      <c r="AU347" s="706"/>
      <c r="AV347" s="706"/>
      <c r="AW347" s="706"/>
      <c r="AX347" s="706"/>
      <c r="AY347" s="706"/>
      <c r="AZ347" s="706"/>
      <c r="BA347" s="706"/>
      <c r="BB347" s="706"/>
      <c r="BC347" s="706"/>
      <c r="BD347" s="706"/>
      <c r="BE347" s="706"/>
      <c r="BF347" s="706"/>
      <c r="BG347" s="706"/>
      <c r="BH347" s="706"/>
    </row>
    <row r="348" spans="1:60" s="48" customFormat="1">
      <c r="A348" s="711"/>
      <c r="B348" s="711"/>
      <c r="C348" s="706"/>
      <c r="D348" s="706"/>
      <c r="E348" s="706"/>
      <c r="F348" s="706"/>
      <c r="G348" s="706"/>
      <c r="H348" s="706"/>
      <c r="I348" s="863"/>
      <c r="J348" s="706"/>
      <c r="K348" s="706"/>
      <c r="L348" s="706"/>
      <c r="M348" s="706"/>
      <c r="N348" s="706"/>
      <c r="O348" s="706"/>
      <c r="P348" s="706"/>
      <c r="Q348" s="863"/>
      <c r="R348" s="706"/>
      <c r="S348" s="706"/>
      <c r="T348" s="706"/>
      <c r="U348" s="706"/>
      <c r="V348" s="706"/>
      <c r="W348" s="706"/>
      <c r="X348" s="706"/>
      <c r="Y348" s="863"/>
      <c r="Z348" s="706"/>
      <c r="AA348" s="706"/>
      <c r="AB348" s="706"/>
      <c r="AC348" s="706"/>
      <c r="AD348" s="706"/>
      <c r="AE348" s="706"/>
      <c r="AF348" s="706"/>
      <c r="AG348" s="863"/>
      <c r="AH348" s="706"/>
      <c r="AI348" s="706"/>
      <c r="AJ348" s="706"/>
      <c r="AK348" s="706"/>
      <c r="AL348" s="706"/>
      <c r="AM348" s="706"/>
      <c r="AN348" s="706"/>
      <c r="AO348" s="863"/>
      <c r="AP348" s="706"/>
      <c r="AQ348" s="706"/>
      <c r="AR348" s="706"/>
      <c r="AS348" s="706"/>
      <c r="AT348" s="706"/>
      <c r="AU348" s="706"/>
      <c r="AV348" s="706"/>
      <c r="AW348" s="706"/>
      <c r="AX348" s="706"/>
      <c r="AY348" s="706"/>
      <c r="AZ348" s="706"/>
      <c r="BA348" s="706"/>
      <c r="BB348" s="706"/>
      <c r="BC348" s="706"/>
      <c r="BD348" s="706"/>
      <c r="BE348" s="706"/>
      <c r="BF348" s="706"/>
      <c r="BG348" s="706"/>
      <c r="BH348" s="706"/>
    </row>
    <row r="349" spans="1:60" s="48" customFormat="1">
      <c r="A349" s="711"/>
      <c r="B349" s="711"/>
      <c r="C349" s="706"/>
      <c r="D349" s="706"/>
      <c r="E349" s="706"/>
      <c r="F349" s="706"/>
      <c r="G349" s="706"/>
      <c r="H349" s="706"/>
      <c r="I349" s="863"/>
      <c r="J349" s="706"/>
      <c r="K349" s="706"/>
      <c r="L349" s="706"/>
      <c r="M349" s="706"/>
      <c r="N349" s="706"/>
      <c r="O349" s="706"/>
      <c r="P349" s="706"/>
      <c r="Q349" s="863"/>
      <c r="R349" s="706"/>
      <c r="S349" s="706"/>
      <c r="T349" s="706"/>
      <c r="U349" s="706"/>
      <c r="V349" s="706"/>
      <c r="W349" s="706"/>
      <c r="X349" s="706"/>
      <c r="Y349" s="863"/>
      <c r="Z349" s="706"/>
      <c r="AA349" s="706"/>
      <c r="AB349" s="706"/>
      <c r="AC349" s="706"/>
      <c r="AD349" s="706"/>
      <c r="AE349" s="706"/>
      <c r="AF349" s="706"/>
      <c r="AG349" s="863"/>
      <c r="AH349" s="706"/>
      <c r="AI349" s="706"/>
      <c r="AJ349" s="706"/>
      <c r="AK349" s="706"/>
      <c r="AL349" s="706"/>
      <c r="AM349" s="706"/>
      <c r="AN349" s="706"/>
      <c r="AO349" s="863"/>
      <c r="AP349" s="706"/>
      <c r="AQ349" s="706"/>
      <c r="AR349" s="706"/>
      <c r="AS349" s="706"/>
      <c r="AT349" s="706"/>
      <c r="AU349" s="706"/>
      <c r="AV349" s="706"/>
      <c r="AW349" s="706"/>
      <c r="AX349" s="706"/>
      <c r="AY349" s="706"/>
      <c r="AZ349" s="706"/>
      <c r="BA349" s="706"/>
      <c r="BB349" s="706"/>
      <c r="BC349" s="706"/>
      <c r="BD349" s="706"/>
      <c r="BE349" s="706"/>
      <c r="BF349" s="706"/>
      <c r="BG349" s="706"/>
      <c r="BH349" s="706"/>
    </row>
    <row r="350" spans="1:60" s="48" customFormat="1">
      <c r="A350" s="711"/>
      <c r="B350" s="711"/>
      <c r="C350" s="706"/>
      <c r="D350" s="706"/>
      <c r="E350" s="706"/>
      <c r="F350" s="706"/>
      <c r="G350" s="706"/>
      <c r="H350" s="706"/>
      <c r="I350" s="863"/>
      <c r="J350" s="706"/>
      <c r="K350" s="706"/>
      <c r="L350" s="706"/>
      <c r="M350" s="706"/>
      <c r="N350" s="706"/>
      <c r="O350" s="706"/>
      <c r="P350" s="706"/>
      <c r="Q350" s="863"/>
      <c r="R350" s="706"/>
      <c r="S350" s="706"/>
      <c r="T350" s="706"/>
      <c r="U350" s="706"/>
      <c r="V350" s="706"/>
      <c r="W350" s="706"/>
      <c r="X350" s="706"/>
      <c r="Y350" s="863"/>
      <c r="Z350" s="706"/>
      <c r="AA350" s="706"/>
      <c r="AB350" s="706"/>
      <c r="AC350" s="706"/>
      <c r="AD350" s="706"/>
      <c r="AE350" s="706"/>
      <c r="AF350" s="706"/>
      <c r="AG350" s="863"/>
      <c r="AH350" s="706"/>
      <c r="AI350" s="706"/>
      <c r="AJ350" s="706"/>
      <c r="AK350" s="706"/>
      <c r="AL350" s="706"/>
      <c r="AM350" s="706"/>
      <c r="AN350" s="706"/>
      <c r="AO350" s="863"/>
      <c r="AP350" s="706"/>
      <c r="AQ350" s="706"/>
      <c r="AR350" s="706"/>
      <c r="AS350" s="706"/>
      <c r="AT350" s="706"/>
      <c r="AU350" s="706"/>
      <c r="AV350" s="706"/>
      <c r="AW350" s="706"/>
      <c r="AX350" s="706"/>
      <c r="AY350" s="706"/>
      <c r="AZ350" s="706"/>
      <c r="BA350" s="706"/>
      <c r="BB350" s="706"/>
      <c r="BC350" s="706"/>
      <c r="BD350" s="706"/>
      <c r="BE350" s="706"/>
      <c r="BF350" s="706"/>
      <c r="BG350" s="706"/>
      <c r="BH350" s="706"/>
    </row>
    <row r="351" spans="1:60" s="48" customFormat="1">
      <c r="A351" s="711"/>
      <c r="B351" s="711"/>
      <c r="C351" s="706"/>
      <c r="D351" s="706"/>
      <c r="E351" s="706"/>
      <c r="F351" s="706"/>
      <c r="G351" s="706"/>
      <c r="H351" s="706"/>
      <c r="I351" s="863"/>
      <c r="J351" s="706"/>
      <c r="K351" s="706"/>
      <c r="L351" s="706"/>
      <c r="M351" s="706"/>
      <c r="N351" s="706"/>
      <c r="O351" s="706"/>
      <c r="P351" s="706"/>
      <c r="Q351" s="863"/>
      <c r="R351" s="706"/>
      <c r="S351" s="706"/>
      <c r="T351" s="706"/>
      <c r="U351" s="706"/>
      <c r="V351" s="706"/>
      <c r="W351" s="706"/>
      <c r="X351" s="706"/>
      <c r="Y351" s="863"/>
      <c r="Z351" s="706"/>
      <c r="AA351" s="706"/>
      <c r="AB351" s="706"/>
      <c r="AC351" s="706"/>
      <c r="AD351" s="706"/>
      <c r="AE351" s="706"/>
      <c r="AF351" s="706"/>
      <c r="AG351" s="863"/>
      <c r="AH351" s="706"/>
      <c r="AI351" s="706"/>
      <c r="AJ351" s="706"/>
      <c r="AK351" s="706"/>
      <c r="AL351" s="706"/>
      <c r="AM351" s="706"/>
      <c r="AN351" s="706"/>
      <c r="AO351" s="863"/>
      <c r="AP351" s="706"/>
      <c r="AQ351" s="706"/>
      <c r="AR351" s="706"/>
      <c r="AS351" s="706"/>
      <c r="AT351" s="706"/>
      <c r="AU351" s="706"/>
      <c r="AV351" s="706"/>
      <c r="AW351" s="706"/>
      <c r="AX351" s="706"/>
      <c r="AY351" s="706"/>
      <c r="AZ351" s="706"/>
      <c r="BA351" s="706"/>
      <c r="BB351" s="706"/>
      <c r="BC351" s="706"/>
      <c r="BD351" s="706"/>
      <c r="BE351" s="706"/>
      <c r="BF351" s="706"/>
      <c r="BG351" s="706"/>
      <c r="BH351" s="706"/>
    </row>
    <row r="352" spans="1:60" s="48" customFormat="1">
      <c r="A352" s="711"/>
      <c r="B352" s="711"/>
      <c r="C352" s="706"/>
      <c r="D352" s="706"/>
      <c r="E352" s="706"/>
      <c r="F352" s="706"/>
      <c r="G352" s="706"/>
      <c r="H352" s="706"/>
      <c r="I352" s="863"/>
      <c r="J352" s="706"/>
      <c r="K352" s="706"/>
      <c r="L352" s="706"/>
      <c r="M352" s="706"/>
      <c r="N352" s="706"/>
      <c r="O352" s="706"/>
      <c r="P352" s="706"/>
      <c r="Q352" s="863"/>
      <c r="R352" s="706"/>
      <c r="S352" s="706"/>
      <c r="T352" s="706"/>
      <c r="U352" s="706"/>
      <c r="V352" s="706"/>
      <c r="W352" s="706"/>
      <c r="X352" s="706"/>
      <c r="Y352" s="863"/>
      <c r="Z352" s="706"/>
      <c r="AA352" s="706"/>
      <c r="AB352" s="706"/>
      <c r="AC352" s="706"/>
      <c r="AD352" s="706"/>
      <c r="AE352" s="706"/>
      <c r="AF352" s="706"/>
      <c r="AG352" s="863"/>
      <c r="AH352" s="706"/>
      <c r="AI352" s="706"/>
      <c r="AJ352" s="706"/>
      <c r="AK352" s="706"/>
      <c r="AL352" s="706"/>
      <c r="AM352" s="706"/>
      <c r="AN352" s="706"/>
      <c r="AO352" s="863"/>
      <c r="AP352" s="706"/>
      <c r="AQ352" s="706"/>
      <c r="AR352" s="706"/>
      <c r="AS352" s="706"/>
      <c r="AT352" s="706"/>
      <c r="AU352" s="706"/>
      <c r="AV352" s="706"/>
      <c r="AW352" s="706"/>
      <c r="AX352" s="706"/>
      <c r="AY352" s="706"/>
      <c r="AZ352" s="706"/>
      <c r="BA352" s="706"/>
      <c r="BB352" s="706"/>
      <c r="BC352" s="706"/>
      <c r="BD352" s="706"/>
      <c r="BE352" s="706"/>
      <c r="BF352" s="706"/>
      <c r="BG352" s="706"/>
      <c r="BH352" s="706"/>
    </row>
    <row r="353" spans="1:60" s="48" customFormat="1">
      <c r="A353" s="711"/>
      <c r="B353" s="711"/>
      <c r="C353" s="706"/>
      <c r="D353" s="706"/>
      <c r="E353" s="706"/>
      <c r="F353" s="706"/>
      <c r="G353" s="706"/>
      <c r="H353" s="706"/>
      <c r="I353" s="863"/>
      <c r="J353" s="706"/>
      <c r="K353" s="706"/>
      <c r="L353" s="706"/>
      <c r="M353" s="706"/>
      <c r="N353" s="706"/>
      <c r="O353" s="706"/>
      <c r="P353" s="706"/>
      <c r="Q353" s="863"/>
      <c r="R353" s="706"/>
      <c r="S353" s="706"/>
      <c r="T353" s="706"/>
      <c r="U353" s="706"/>
      <c r="V353" s="706"/>
      <c r="W353" s="706"/>
      <c r="X353" s="706"/>
      <c r="Y353" s="863"/>
      <c r="Z353" s="706"/>
      <c r="AA353" s="706"/>
      <c r="AB353" s="706"/>
      <c r="AC353" s="706"/>
      <c r="AD353" s="706"/>
      <c r="AE353" s="706"/>
      <c r="AF353" s="706"/>
      <c r="AG353" s="863"/>
      <c r="AH353" s="706"/>
      <c r="AI353" s="706"/>
      <c r="AJ353" s="706"/>
      <c r="AK353" s="706"/>
      <c r="AL353" s="706"/>
      <c r="AM353" s="706"/>
      <c r="AN353" s="706"/>
      <c r="AO353" s="863"/>
      <c r="AP353" s="706"/>
      <c r="AQ353" s="706"/>
      <c r="AR353" s="706"/>
      <c r="AS353" s="706"/>
      <c r="AT353" s="706"/>
      <c r="AU353" s="706"/>
      <c r="AV353" s="706"/>
      <c r="AW353" s="706"/>
      <c r="AX353" s="706"/>
      <c r="AY353" s="706"/>
      <c r="AZ353" s="706"/>
      <c r="BA353" s="706"/>
      <c r="BB353" s="706"/>
      <c r="BC353" s="706"/>
      <c r="BD353" s="706"/>
      <c r="BE353" s="706"/>
      <c r="BF353" s="706"/>
      <c r="BG353" s="706"/>
      <c r="BH353" s="706"/>
    </row>
    <row r="354" spans="1:60" s="48" customFormat="1">
      <c r="A354" s="711"/>
      <c r="B354" s="711"/>
      <c r="C354" s="706"/>
      <c r="D354" s="706"/>
      <c r="E354" s="706"/>
      <c r="F354" s="706"/>
      <c r="G354" s="706"/>
      <c r="H354" s="706"/>
      <c r="I354" s="863"/>
      <c r="J354" s="706"/>
      <c r="K354" s="706"/>
      <c r="L354" s="706"/>
      <c r="M354" s="706"/>
      <c r="N354" s="706"/>
      <c r="O354" s="706"/>
      <c r="P354" s="706"/>
      <c r="Q354" s="863"/>
      <c r="R354" s="706"/>
      <c r="S354" s="706"/>
      <c r="T354" s="706"/>
      <c r="U354" s="706"/>
      <c r="V354" s="706"/>
      <c r="W354" s="706"/>
      <c r="X354" s="706"/>
      <c r="Y354" s="863"/>
      <c r="Z354" s="706"/>
      <c r="AA354" s="706"/>
      <c r="AB354" s="706"/>
      <c r="AC354" s="706"/>
      <c r="AD354" s="706"/>
      <c r="AE354" s="706"/>
      <c r="AF354" s="706"/>
      <c r="AG354" s="863"/>
      <c r="AH354" s="706"/>
      <c r="AI354" s="706"/>
      <c r="AJ354" s="706"/>
      <c r="AK354" s="706"/>
      <c r="AL354" s="706"/>
      <c r="AM354" s="706"/>
      <c r="AN354" s="706"/>
      <c r="AO354" s="863"/>
      <c r="AP354" s="706"/>
      <c r="AQ354" s="706"/>
      <c r="AR354" s="706"/>
      <c r="AS354" s="706"/>
      <c r="AT354" s="706"/>
      <c r="AU354" s="706"/>
      <c r="AV354" s="706"/>
      <c r="AW354" s="706"/>
      <c r="AX354" s="706"/>
      <c r="AY354" s="706"/>
      <c r="AZ354" s="706"/>
      <c r="BA354" s="706"/>
      <c r="BB354" s="706"/>
      <c r="BC354" s="706"/>
      <c r="BD354" s="706"/>
      <c r="BE354" s="706"/>
      <c r="BF354" s="706"/>
      <c r="BG354" s="706"/>
      <c r="BH354" s="706"/>
    </row>
    <row r="355" spans="1:60" s="48" customFormat="1">
      <c r="A355" s="711"/>
      <c r="B355" s="711"/>
      <c r="C355" s="706"/>
      <c r="D355" s="706"/>
      <c r="E355" s="706"/>
      <c r="F355" s="706"/>
      <c r="G355" s="706"/>
      <c r="H355" s="706"/>
      <c r="I355" s="863"/>
      <c r="J355" s="706"/>
      <c r="K355" s="706"/>
      <c r="L355" s="706"/>
      <c r="M355" s="706"/>
      <c r="N355" s="706"/>
      <c r="O355" s="706"/>
      <c r="P355" s="706"/>
      <c r="Q355" s="863"/>
      <c r="R355" s="706"/>
      <c r="S355" s="706"/>
      <c r="T355" s="706"/>
      <c r="U355" s="706"/>
      <c r="V355" s="706"/>
      <c r="W355" s="706"/>
      <c r="X355" s="706"/>
      <c r="Y355" s="863"/>
      <c r="Z355" s="706"/>
      <c r="AA355" s="706"/>
      <c r="AB355" s="706"/>
      <c r="AC355" s="706"/>
      <c r="AD355" s="706"/>
      <c r="AE355" s="706"/>
      <c r="AF355" s="706"/>
      <c r="AG355" s="863"/>
      <c r="AH355" s="706"/>
      <c r="AI355" s="706"/>
      <c r="AJ355" s="706"/>
      <c r="AK355" s="706"/>
      <c r="AL355" s="706"/>
      <c r="AM355" s="706"/>
      <c r="AN355" s="706"/>
      <c r="AO355" s="863"/>
      <c r="AP355" s="706"/>
      <c r="AQ355" s="706"/>
      <c r="AR355" s="706"/>
      <c r="AS355" s="706"/>
      <c r="AT355" s="706"/>
      <c r="AU355" s="706"/>
      <c r="AV355" s="706"/>
      <c r="AW355" s="706"/>
      <c r="AX355" s="706"/>
      <c r="AY355" s="706"/>
      <c r="AZ355" s="706"/>
      <c r="BA355" s="706"/>
      <c r="BB355" s="706"/>
      <c r="BC355" s="706"/>
      <c r="BD355" s="706"/>
      <c r="BE355" s="706"/>
      <c r="BF355" s="706"/>
      <c r="BG355" s="706"/>
      <c r="BH355" s="706"/>
    </row>
    <row r="356" spans="1:60" s="48" customFormat="1">
      <c r="A356" s="711"/>
      <c r="B356" s="711"/>
      <c r="C356" s="706"/>
      <c r="D356" s="706"/>
      <c r="E356" s="706"/>
      <c r="F356" s="706"/>
      <c r="G356" s="706"/>
      <c r="H356" s="706"/>
      <c r="I356" s="863"/>
      <c r="J356" s="706"/>
      <c r="K356" s="706"/>
      <c r="L356" s="706"/>
      <c r="M356" s="706"/>
      <c r="N356" s="706"/>
      <c r="O356" s="706"/>
      <c r="P356" s="706"/>
      <c r="Q356" s="863"/>
      <c r="R356" s="706"/>
      <c r="S356" s="706"/>
      <c r="T356" s="706"/>
      <c r="U356" s="706"/>
      <c r="V356" s="706"/>
      <c r="W356" s="706"/>
      <c r="X356" s="706"/>
      <c r="Y356" s="863"/>
      <c r="Z356" s="706"/>
      <c r="AA356" s="706"/>
      <c r="AB356" s="706"/>
      <c r="AC356" s="706"/>
      <c r="AD356" s="706"/>
      <c r="AE356" s="706"/>
      <c r="AF356" s="706"/>
      <c r="AG356" s="863"/>
      <c r="AH356" s="706"/>
      <c r="AI356" s="706"/>
      <c r="AJ356" s="706"/>
      <c r="AK356" s="706"/>
      <c r="AL356" s="706"/>
      <c r="AM356" s="706"/>
      <c r="AN356" s="706"/>
      <c r="AO356" s="863"/>
      <c r="AP356" s="706"/>
      <c r="AQ356" s="706"/>
      <c r="AR356" s="706"/>
      <c r="AS356" s="706"/>
      <c r="AT356" s="706"/>
      <c r="AU356" s="706"/>
      <c r="AV356" s="706"/>
      <c r="AW356" s="706"/>
      <c r="AX356" s="706"/>
      <c r="AY356" s="706"/>
      <c r="AZ356" s="706"/>
      <c r="BA356" s="706"/>
      <c r="BB356" s="706"/>
      <c r="BC356" s="706"/>
      <c r="BD356" s="706"/>
      <c r="BE356" s="706"/>
      <c r="BF356" s="706"/>
      <c r="BG356" s="706"/>
      <c r="BH356" s="706"/>
    </row>
    <row r="357" spans="1:60" s="48" customFormat="1">
      <c r="A357" s="711"/>
      <c r="B357" s="711"/>
      <c r="C357" s="706"/>
      <c r="D357" s="706"/>
      <c r="E357" s="706"/>
      <c r="F357" s="706"/>
      <c r="G357" s="706"/>
      <c r="H357" s="706"/>
      <c r="I357" s="863"/>
      <c r="J357" s="706"/>
      <c r="K357" s="706"/>
      <c r="L357" s="706"/>
      <c r="M357" s="706"/>
      <c r="N357" s="706"/>
      <c r="O357" s="706"/>
      <c r="P357" s="706"/>
      <c r="Q357" s="863"/>
      <c r="R357" s="706"/>
      <c r="S357" s="706"/>
      <c r="T357" s="706"/>
      <c r="U357" s="706"/>
      <c r="V357" s="706"/>
      <c r="W357" s="706"/>
      <c r="X357" s="706"/>
      <c r="Y357" s="863"/>
      <c r="Z357" s="706"/>
      <c r="AA357" s="706"/>
      <c r="AB357" s="706"/>
      <c r="AC357" s="706"/>
      <c r="AD357" s="706"/>
      <c r="AE357" s="706"/>
      <c r="AF357" s="706"/>
      <c r="AG357" s="863"/>
      <c r="AH357" s="706"/>
      <c r="AI357" s="706"/>
      <c r="AJ357" s="706"/>
      <c r="AK357" s="706"/>
      <c r="AL357" s="706"/>
      <c r="AM357" s="706"/>
      <c r="AN357" s="706"/>
      <c r="AO357" s="863"/>
      <c r="AP357" s="706"/>
      <c r="AQ357" s="706"/>
      <c r="AR357" s="706"/>
      <c r="AS357" s="706"/>
      <c r="AT357" s="706"/>
      <c r="AU357" s="706"/>
      <c r="AV357" s="706"/>
      <c r="AW357" s="706"/>
      <c r="AX357" s="706"/>
      <c r="AY357" s="706"/>
      <c r="AZ357" s="706"/>
      <c r="BA357" s="706"/>
      <c r="BB357" s="706"/>
      <c r="BC357" s="706"/>
      <c r="BD357" s="706"/>
      <c r="BE357" s="706"/>
      <c r="BF357" s="706"/>
      <c r="BG357" s="706"/>
      <c r="BH357" s="706"/>
    </row>
    <row r="358" spans="1:60" s="48" customFormat="1">
      <c r="A358" s="711"/>
      <c r="B358" s="711"/>
      <c r="C358" s="706"/>
      <c r="D358" s="706"/>
      <c r="E358" s="706"/>
      <c r="F358" s="706"/>
      <c r="G358" s="706"/>
      <c r="H358" s="706"/>
      <c r="I358" s="863"/>
      <c r="J358" s="706"/>
      <c r="K358" s="706"/>
      <c r="L358" s="706"/>
      <c r="M358" s="706"/>
      <c r="N358" s="706"/>
      <c r="O358" s="706"/>
      <c r="P358" s="706"/>
      <c r="Q358" s="863"/>
      <c r="R358" s="706"/>
      <c r="S358" s="706"/>
      <c r="T358" s="706"/>
      <c r="U358" s="706"/>
      <c r="V358" s="706"/>
      <c r="W358" s="706"/>
      <c r="X358" s="706"/>
      <c r="Y358" s="863"/>
      <c r="Z358" s="706"/>
      <c r="AA358" s="706"/>
      <c r="AB358" s="706"/>
      <c r="AC358" s="706"/>
      <c r="AD358" s="706"/>
      <c r="AE358" s="706"/>
      <c r="AF358" s="706"/>
      <c r="AG358" s="863"/>
      <c r="AH358" s="706"/>
      <c r="AI358" s="706"/>
      <c r="AJ358" s="706"/>
      <c r="AK358" s="706"/>
      <c r="AL358" s="706"/>
      <c r="AM358" s="706"/>
      <c r="AN358" s="706"/>
      <c r="AO358" s="863"/>
      <c r="AP358" s="706"/>
      <c r="AQ358" s="706"/>
      <c r="AR358" s="706"/>
      <c r="AS358" s="706"/>
      <c r="AT358" s="706"/>
      <c r="AU358" s="706"/>
      <c r="AV358" s="706"/>
      <c r="AW358" s="706"/>
      <c r="AX358" s="706"/>
      <c r="AY358" s="706"/>
      <c r="AZ358" s="706"/>
      <c r="BA358" s="706"/>
      <c r="BB358" s="706"/>
      <c r="BC358" s="706"/>
      <c r="BD358" s="706"/>
      <c r="BE358" s="706"/>
      <c r="BF358" s="706"/>
      <c r="BG358" s="706"/>
      <c r="BH358" s="706"/>
    </row>
    <row r="359" spans="1:60" s="48" customFormat="1">
      <c r="A359" s="711"/>
      <c r="B359" s="711"/>
      <c r="C359" s="706"/>
      <c r="D359" s="706"/>
      <c r="E359" s="706"/>
      <c r="F359" s="706"/>
      <c r="G359" s="706"/>
      <c r="H359" s="706"/>
      <c r="I359" s="863"/>
      <c r="J359" s="706"/>
      <c r="K359" s="706"/>
      <c r="L359" s="706"/>
      <c r="M359" s="706"/>
      <c r="N359" s="706"/>
      <c r="O359" s="706"/>
      <c r="P359" s="706"/>
      <c r="Q359" s="863"/>
      <c r="R359" s="706"/>
      <c r="S359" s="706"/>
      <c r="T359" s="706"/>
      <c r="U359" s="706"/>
      <c r="V359" s="706"/>
      <c r="W359" s="706"/>
      <c r="X359" s="706"/>
      <c r="Y359" s="863"/>
      <c r="Z359" s="706"/>
      <c r="AA359" s="706"/>
      <c r="AB359" s="706"/>
      <c r="AC359" s="706"/>
      <c r="AD359" s="706"/>
      <c r="AE359" s="706"/>
      <c r="AF359" s="706"/>
      <c r="AG359" s="863"/>
      <c r="AH359" s="706"/>
      <c r="AI359" s="706"/>
      <c r="AJ359" s="706"/>
      <c r="AK359" s="706"/>
      <c r="AL359" s="706"/>
      <c r="AM359" s="706"/>
      <c r="AN359" s="706"/>
      <c r="AO359" s="863"/>
      <c r="AP359" s="706"/>
      <c r="AQ359" s="706"/>
      <c r="AR359" s="706"/>
      <c r="AS359" s="706"/>
      <c r="AT359" s="706"/>
      <c r="AU359" s="706"/>
      <c r="AV359" s="706"/>
      <c r="AW359" s="706"/>
      <c r="AX359" s="706"/>
      <c r="AY359" s="706"/>
      <c r="AZ359" s="706"/>
      <c r="BA359" s="706"/>
      <c r="BB359" s="706"/>
      <c r="BC359" s="706"/>
      <c r="BD359" s="706"/>
      <c r="BE359" s="706"/>
      <c r="BF359" s="706"/>
      <c r="BG359" s="706"/>
      <c r="BH359" s="706"/>
    </row>
    <row r="360" spans="1:60" s="48" customFormat="1">
      <c r="A360" s="711"/>
      <c r="B360" s="711"/>
      <c r="C360" s="706"/>
      <c r="D360" s="706"/>
      <c r="E360" s="706"/>
      <c r="F360" s="706"/>
      <c r="G360" s="706"/>
      <c r="H360" s="706"/>
      <c r="I360" s="863"/>
      <c r="J360" s="706"/>
      <c r="K360" s="706"/>
      <c r="L360" s="706"/>
      <c r="M360" s="706"/>
      <c r="N360" s="706"/>
      <c r="O360" s="706"/>
      <c r="P360" s="706"/>
      <c r="Q360" s="863"/>
      <c r="R360" s="706"/>
      <c r="S360" s="706"/>
      <c r="T360" s="706"/>
      <c r="U360" s="706"/>
      <c r="V360" s="706"/>
      <c r="W360" s="706"/>
      <c r="X360" s="706"/>
      <c r="Y360" s="863"/>
      <c r="Z360" s="706"/>
      <c r="AA360" s="706"/>
      <c r="AB360" s="706"/>
      <c r="AC360" s="706"/>
      <c r="AD360" s="706"/>
      <c r="AE360" s="706"/>
      <c r="AF360" s="706"/>
      <c r="AG360" s="863"/>
      <c r="AH360" s="706"/>
      <c r="AI360" s="706"/>
      <c r="AJ360" s="706"/>
      <c r="AK360" s="706"/>
      <c r="AL360" s="706"/>
      <c r="AM360" s="706"/>
      <c r="AN360" s="706"/>
      <c r="AO360" s="863"/>
      <c r="AP360" s="706"/>
      <c r="AQ360" s="706"/>
      <c r="AR360" s="706"/>
      <c r="AS360" s="706"/>
      <c r="AT360" s="706"/>
      <c r="AU360" s="706"/>
      <c r="AV360" s="706"/>
      <c r="AW360" s="706"/>
      <c r="AX360" s="706"/>
      <c r="AY360" s="706"/>
      <c r="AZ360" s="706"/>
      <c r="BA360" s="706"/>
      <c r="BB360" s="706"/>
      <c r="BC360" s="706"/>
      <c r="BD360" s="706"/>
      <c r="BE360" s="706"/>
      <c r="BF360" s="706"/>
      <c r="BG360" s="706"/>
      <c r="BH360" s="706"/>
    </row>
    <row r="361" spans="1:60" s="48" customFormat="1">
      <c r="A361" s="711"/>
      <c r="B361" s="711"/>
      <c r="C361" s="706"/>
      <c r="D361" s="706"/>
      <c r="E361" s="706"/>
      <c r="F361" s="706"/>
      <c r="G361" s="706"/>
      <c r="H361" s="706"/>
      <c r="I361" s="863"/>
      <c r="J361" s="706"/>
      <c r="K361" s="706"/>
      <c r="L361" s="706"/>
      <c r="M361" s="706"/>
      <c r="N361" s="706"/>
      <c r="O361" s="706"/>
      <c r="P361" s="706"/>
      <c r="Q361" s="863"/>
      <c r="R361" s="706"/>
      <c r="S361" s="706"/>
      <c r="T361" s="706"/>
      <c r="U361" s="706"/>
      <c r="V361" s="706"/>
      <c r="W361" s="706"/>
      <c r="X361" s="706"/>
      <c r="Y361" s="863"/>
      <c r="Z361" s="706"/>
      <c r="AA361" s="706"/>
      <c r="AB361" s="706"/>
      <c r="AC361" s="706"/>
      <c r="AD361" s="706"/>
      <c r="AE361" s="706"/>
      <c r="AF361" s="706"/>
      <c r="AG361" s="863"/>
      <c r="AH361" s="706"/>
      <c r="AI361" s="706"/>
      <c r="AJ361" s="706"/>
      <c r="AK361" s="706"/>
      <c r="AL361" s="706"/>
      <c r="AM361" s="706"/>
      <c r="AN361" s="706"/>
      <c r="AO361" s="863"/>
      <c r="AP361" s="706"/>
      <c r="AQ361" s="706"/>
      <c r="AR361" s="706"/>
      <c r="AS361" s="706"/>
      <c r="AT361" s="706"/>
      <c r="AU361" s="706"/>
      <c r="AV361" s="706"/>
      <c r="AW361" s="706"/>
      <c r="AX361" s="706"/>
      <c r="AY361" s="706"/>
      <c r="AZ361" s="706"/>
      <c r="BA361" s="706"/>
      <c r="BB361" s="706"/>
      <c r="BC361" s="706"/>
      <c r="BD361" s="706"/>
      <c r="BE361" s="706"/>
      <c r="BF361" s="706"/>
      <c r="BG361" s="706"/>
      <c r="BH361" s="706"/>
    </row>
    <row r="362" spans="1:60" s="48" customFormat="1">
      <c r="A362" s="711"/>
      <c r="B362" s="711"/>
      <c r="C362" s="706"/>
      <c r="D362" s="706"/>
      <c r="E362" s="706"/>
      <c r="F362" s="706"/>
      <c r="G362" s="706"/>
      <c r="H362" s="706"/>
      <c r="I362" s="863"/>
      <c r="J362" s="706"/>
      <c r="K362" s="706"/>
      <c r="L362" s="706"/>
      <c r="M362" s="706"/>
      <c r="N362" s="706"/>
      <c r="O362" s="706"/>
      <c r="P362" s="706"/>
      <c r="Q362" s="863"/>
      <c r="R362" s="706"/>
      <c r="S362" s="706"/>
      <c r="T362" s="706"/>
      <c r="U362" s="706"/>
      <c r="V362" s="706"/>
      <c r="W362" s="706"/>
      <c r="X362" s="706"/>
      <c r="Y362" s="863"/>
      <c r="Z362" s="706"/>
      <c r="AA362" s="706"/>
      <c r="AB362" s="706"/>
      <c r="AC362" s="706"/>
      <c r="AD362" s="706"/>
      <c r="AE362" s="706"/>
      <c r="AF362" s="706"/>
      <c r="AG362" s="863"/>
      <c r="AH362" s="706"/>
      <c r="AI362" s="706"/>
      <c r="AJ362" s="706"/>
      <c r="AK362" s="706"/>
      <c r="AL362" s="706"/>
      <c r="AM362" s="706"/>
      <c r="AN362" s="706"/>
      <c r="AO362" s="863"/>
      <c r="AP362" s="706"/>
      <c r="AQ362" s="706"/>
      <c r="AR362" s="706"/>
      <c r="AS362" s="706"/>
      <c r="AT362" s="706"/>
      <c r="AU362" s="706"/>
      <c r="AV362" s="706"/>
      <c r="AW362" s="706"/>
      <c r="AX362" s="706"/>
      <c r="AY362" s="706"/>
      <c r="AZ362" s="706"/>
      <c r="BA362" s="706"/>
      <c r="BB362" s="706"/>
      <c r="BC362" s="706"/>
      <c r="BD362" s="706"/>
      <c r="BE362" s="706"/>
      <c r="BF362" s="706"/>
      <c r="BG362" s="706"/>
      <c r="BH362" s="706"/>
    </row>
    <row r="363" spans="1:60" s="48" customFormat="1">
      <c r="A363" s="711"/>
      <c r="B363" s="711"/>
      <c r="C363" s="706"/>
      <c r="D363" s="706"/>
      <c r="E363" s="706"/>
      <c r="F363" s="706"/>
      <c r="G363" s="706"/>
      <c r="H363" s="706"/>
      <c r="I363" s="863"/>
      <c r="J363" s="706"/>
      <c r="K363" s="706"/>
      <c r="L363" s="706"/>
      <c r="M363" s="706"/>
      <c r="N363" s="706"/>
      <c r="O363" s="706"/>
      <c r="P363" s="706"/>
      <c r="Q363" s="863"/>
      <c r="R363" s="706"/>
      <c r="S363" s="706"/>
      <c r="T363" s="706"/>
      <c r="U363" s="706"/>
      <c r="V363" s="706"/>
      <c r="W363" s="706"/>
      <c r="X363" s="706"/>
      <c r="Y363" s="863"/>
      <c r="Z363" s="706"/>
      <c r="AA363" s="706"/>
      <c r="AB363" s="706"/>
      <c r="AC363" s="706"/>
      <c r="AD363" s="706"/>
      <c r="AE363" s="706"/>
      <c r="AF363" s="706"/>
      <c r="AG363" s="863"/>
      <c r="AH363" s="706"/>
      <c r="AI363" s="706"/>
      <c r="AJ363" s="706"/>
      <c r="AK363" s="706"/>
      <c r="AL363" s="706"/>
      <c r="AM363" s="706"/>
      <c r="AN363" s="706"/>
      <c r="AO363" s="863"/>
      <c r="AP363" s="706"/>
      <c r="AQ363" s="706"/>
      <c r="AR363" s="706"/>
      <c r="AS363" s="706"/>
      <c r="AT363" s="706"/>
      <c r="AU363" s="706"/>
      <c r="AV363" s="706"/>
      <c r="AW363" s="706"/>
      <c r="AX363" s="706"/>
      <c r="AY363" s="706"/>
      <c r="AZ363" s="706"/>
      <c r="BA363" s="706"/>
      <c r="BB363" s="706"/>
      <c r="BC363" s="706"/>
      <c r="BD363" s="706"/>
      <c r="BE363" s="706"/>
      <c r="BF363" s="706"/>
      <c r="BG363" s="706"/>
      <c r="BH363" s="706"/>
    </row>
    <row r="364" spans="1:60" s="48" customFormat="1">
      <c r="A364" s="711"/>
      <c r="B364" s="711"/>
      <c r="C364" s="706"/>
      <c r="D364" s="706"/>
      <c r="E364" s="706"/>
      <c r="F364" s="706"/>
      <c r="G364" s="706"/>
      <c r="H364" s="706"/>
      <c r="I364" s="863"/>
      <c r="J364" s="706"/>
      <c r="K364" s="706"/>
      <c r="L364" s="706"/>
      <c r="M364" s="706"/>
      <c r="N364" s="706"/>
      <c r="O364" s="706"/>
      <c r="P364" s="706"/>
      <c r="Q364" s="863"/>
      <c r="R364" s="706"/>
      <c r="S364" s="706"/>
      <c r="T364" s="706"/>
      <c r="U364" s="706"/>
      <c r="V364" s="706"/>
      <c r="W364" s="706"/>
      <c r="X364" s="706"/>
      <c r="Y364" s="863"/>
      <c r="Z364" s="706"/>
      <c r="AA364" s="706"/>
      <c r="AB364" s="706"/>
      <c r="AC364" s="706"/>
      <c r="AD364" s="706"/>
      <c r="AE364" s="706"/>
      <c r="AF364" s="706"/>
      <c r="AG364" s="863"/>
      <c r="AH364" s="706"/>
      <c r="AI364" s="706"/>
      <c r="AJ364" s="706"/>
      <c r="AK364" s="706"/>
      <c r="AL364" s="706"/>
      <c r="AM364" s="706"/>
      <c r="AN364" s="706"/>
      <c r="AO364" s="863"/>
      <c r="AP364" s="706"/>
      <c r="AQ364" s="706"/>
      <c r="AR364" s="706"/>
      <c r="AS364" s="706"/>
      <c r="AT364" s="706"/>
      <c r="AU364" s="706"/>
      <c r="AV364" s="706"/>
      <c r="AW364" s="706"/>
      <c r="AX364" s="706"/>
      <c r="AY364" s="706"/>
      <c r="AZ364" s="706"/>
      <c r="BA364" s="706"/>
      <c r="BB364" s="706"/>
      <c r="BC364" s="706"/>
      <c r="BD364" s="706"/>
      <c r="BE364" s="706"/>
      <c r="BF364" s="706"/>
      <c r="BG364" s="706"/>
      <c r="BH364" s="706"/>
    </row>
    <row r="365" spans="1:60" s="48" customFormat="1">
      <c r="A365" s="711"/>
      <c r="B365" s="711"/>
      <c r="C365" s="706"/>
      <c r="D365" s="706"/>
      <c r="E365" s="706"/>
      <c r="F365" s="706"/>
      <c r="G365" s="706"/>
      <c r="H365" s="706"/>
      <c r="I365" s="863"/>
      <c r="J365" s="706"/>
      <c r="K365" s="706"/>
      <c r="L365" s="706"/>
      <c r="M365" s="706"/>
      <c r="N365" s="706"/>
      <c r="O365" s="706"/>
      <c r="P365" s="706"/>
      <c r="Q365" s="863"/>
      <c r="R365" s="706"/>
      <c r="S365" s="706"/>
      <c r="T365" s="706"/>
      <c r="U365" s="706"/>
      <c r="V365" s="706"/>
      <c r="W365" s="706"/>
      <c r="X365" s="706"/>
      <c r="Y365" s="863"/>
      <c r="Z365" s="706"/>
      <c r="AA365" s="706"/>
      <c r="AB365" s="706"/>
      <c r="AC365" s="706"/>
      <c r="AD365" s="706"/>
      <c r="AE365" s="706"/>
      <c r="AF365" s="706"/>
      <c r="AG365" s="863"/>
      <c r="AH365" s="706"/>
      <c r="AI365" s="706"/>
      <c r="AJ365" s="706"/>
      <c r="AK365" s="706"/>
      <c r="AL365" s="706"/>
      <c r="AM365" s="706"/>
      <c r="AN365" s="706"/>
      <c r="AO365" s="863"/>
      <c r="AP365" s="706"/>
      <c r="AQ365" s="706"/>
      <c r="AR365" s="706"/>
      <c r="AS365" s="706"/>
      <c r="AT365" s="706"/>
      <c r="AU365" s="706"/>
      <c r="AV365" s="706"/>
      <c r="AW365" s="706"/>
      <c r="AX365" s="706"/>
      <c r="AY365" s="706"/>
      <c r="AZ365" s="706"/>
      <c r="BA365" s="706"/>
      <c r="BB365" s="706"/>
      <c r="BC365" s="706"/>
      <c r="BD365" s="706"/>
      <c r="BE365" s="706"/>
      <c r="BF365" s="706"/>
      <c r="BG365" s="706"/>
      <c r="BH365" s="706"/>
    </row>
    <row r="366" spans="1:60" s="48" customFormat="1">
      <c r="A366" s="711"/>
      <c r="B366" s="711"/>
      <c r="C366" s="706"/>
      <c r="D366" s="706"/>
      <c r="E366" s="706"/>
      <c r="F366" s="706"/>
      <c r="G366" s="706"/>
      <c r="H366" s="706"/>
      <c r="I366" s="863"/>
      <c r="J366" s="706"/>
      <c r="K366" s="706"/>
      <c r="L366" s="706"/>
      <c r="M366" s="706"/>
      <c r="N366" s="706"/>
      <c r="O366" s="706"/>
      <c r="P366" s="706"/>
      <c r="Q366" s="863"/>
      <c r="R366" s="706"/>
      <c r="S366" s="706"/>
      <c r="T366" s="706"/>
      <c r="U366" s="706"/>
      <c r="V366" s="706"/>
      <c r="W366" s="706"/>
      <c r="X366" s="706"/>
      <c r="Y366" s="863"/>
      <c r="Z366" s="706"/>
      <c r="AA366" s="706"/>
      <c r="AB366" s="706"/>
      <c r="AC366" s="706"/>
      <c r="AD366" s="706"/>
      <c r="AE366" s="706"/>
      <c r="AF366" s="706"/>
      <c r="AG366" s="863"/>
      <c r="AH366" s="706"/>
      <c r="AI366" s="706"/>
      <c r="AJ366" s="706"/>
      <c r="AK366" s="706"/>
      <c r="AL366" s="706"/>
      <c r="AM366" s="706"/>
      <c r="AN366" s="706"/>
      <c r="AO366" s="863"/>
      <c r="AP366" s="706"/>
      <c r="AQ366" s="706"/>
      <c r="AR366" s="706"/>
      <c r="AS366" s="706"/>
      <c r="AT366" s="706"/>
      <c r="AU366" s="706"/>
      <c r="AV366" s="706"/>
      <c r="AW366" s="706"/>
      <c r="AX366" s="706"/>
      <c r="AY366" s="706"/>
      <c r="AZ366" s="706"/>
      <c r="BA366" s="706"/>
      <c r="BB366" s="706"/>
      <c r="BC366" s="706"/>
      <c r="BD366" s="706"/>
      <c r="BE366" s="706"/>
      <c r="BF366" s="706"/>
      <c r="BG366" s="706"/>
      <c r="BH366" s="706"/>
    </row>
    <row r="367" spans="1:60" s="48" customFormat="1">
      <c r="A367" s="711"/>
      <c r="B367" s="711"/>
      <c r="C367" s="706"/>
      <c r="D367" s="706"/>
      <c r="E367" s="706"/>
      <c r="F367" s="706"/>
      <c r="G367" s="706"/>
      <c r="H367" s="706"/>
      <c r="I367" s="863"/>
      <c r="J367" s="706"/>
      <c r="K367" s="706"/>
      <c r="L367" s="706"/>
      <c r="M367" s="706"/>
      <c r="N367" s="706"/>
      <c r="O367" s="706"/>
      <c r="P367" s="706"/>
      <c r="Q367" s="863"/>
      <c r="R367" s="706"/>
      <c r="S367" s="706"/>
      <c r="T367" s="706"/>
      <c r="U367" s="706"/>
      <c r="V367" s="706"/>
      <c r="W367" s="706"/>
      <c r="X367" s="706"/>
      <c r="Y367" s="863"/>
      <c r="Z367" s="706"/>
      <c r="AA367" s="706"/>
      <c r="AB367" s="706"/>
      <c r="AC367" s="706"/>
      <c r="AD367" s="706"/>
      <c r="AE367" s="706"/>
      <c r="AF367" s="706"/>
      <c r="AG367" s="863"/>
      <c r="AH367" s="706"/>
      <c r="AI367" s="706"/>
      <c r="AJ367" s="706"/>
      <c r="AK367" s="706"/>
      <c r="AL367" s="706"/>
      <c r="AM367" s="706"/>
      <c r="AN367" s="706"/>
      <c r="AO367" s="863"/>
      <c r="AP367" s="706"/>
      <c r="AQ367" s="706"/>
      <c r="AR367" s="706"/>
      <c r="AS367" s="706"/>
      <c r="AT367" s="706"/>
      <c r="AU367" s="706"/>
      <c r="AV367" s="706"/>
      <c r="AW367" s="706"/>
      <c r="AX367" s="706"/>
      <c r="AY367" s="706"/>
      <c r="AZ367" s="706"/>
      <c r="BA367" s="706"/>
      <c r="BB367" s="706"/>
      <c r="BC367" s="706"/>
      <c r="BD367" s="706"/>
      <c r="BE367" s="706"/>
      <c r="BF367" s="706"/>
      <c r="BG367" s="706"/>
      <c r="BH367" s="706"/>
    </row>
    <row r="368" spans="1:60" s="48" customFormat="1">
      <c r="A368" s="711"/>
      <c r="B368" s="711"/>
      <c r="C368" s="706"/>
      <c r="D368" s="706"/>
      <c r="E368" s="706"/>
      <c r="F368" s="706"/>
      <c r="G368" s="706"/>
      <c r="H368" s="706"/>
      <c r="I368" s="863"/>
      <c r="J368" s="706"/>
      <c r="K368" s="706"/>
      <c r="L368" s="706"/>
      <c r="M368" s="706"/>
      <c r="N368" s="706"/>
      <c r="O368" s="706"/>
      <c r="P368" s="706"/>
      <c r="Q368" s="863"/>
      <c r="R368" s="706"/>
      <c r="S368" s="706"/>
      <c r="T368" s="706"/>
      <c r="U368" s="706"/>
      <c r="V368" s="706"/>
      <c r="W368" s="706"/>
      <c r="X368" s="706"/>
      <c r="Y368" s="863"/>
      <c r="Z368" s="706"/>
      <c r="AA368" s="706"/>
      <c r="AB368" s="706"/>
      <c r="AC368" s="706"/>
      <c r="AD368" s="706"/>
      <c r="AE368" s="706"/>
      <c r="AF368" s="706"/>
      <c r="AG368" s="863"/>
      <c r="AH368" s="706"/>
      <c r="AI368" s="706"/>
      <c r="AJ368" s="706"/>
      <c r="AK368" s="706"/>
      <c r="AL368" s="706"/>
      <c r="AM368" s="706"/>
      <c r="AN368" s="706"/>
      <c r="AO368" s="863"/>
      <c r="AP368" s="706"/>
      <c r="AQ368" s="706"/>
      <c r="AR368" s="706"/>
      <c r="AS368" s="706"/>
      <c r="AT368" s="706"/>
      <c r="AU368" s="706"/>
      <c r="AV368" s="706"/>
      <c r="AW368" s="706"/>
      <c r="AX368" s="706"/>
      <c r="AY368" s="706"/>
      <c r="AZ368" s="706"/>
      <c r="BA368" s="706"/>
      <c r="BB368" s="706"/>
      <c r="BC368" s="706"/>
      <c r="BD368" s="706"/>
      <c r="BE368" s="706"/>
      <c r="BF368" s="706"/>
      <c r="BG368" s="706"/>
      <c r="BH368" s="706"/>
    </row>
    <row r="369" spans="1:60" s="48" customFormat="1">
      <c r="A369" s="711"/>
      <c r="B369" s="711"/>
      <c r="C369" s="706"/>
      <c r="D369" s="706"/>
      <c r="E369" s="706"/>
      <c r="F369" s="706"/>
      <c r="G369" s="706"/>
      <c r="H369" s="706"/>
      <c r="I369" s="863"/>
      <c r="J369" s="706"/>
      <c r="K369" s="706"/>
      <c r="L369" s="706"/>
      <c r="M369" s="706"/>
      <c r="N369" s="706"/>
      <c r="O369" s="706"/>
      <c r="P369" s="706"/>
      <c r="Q369" s="863"/>
      <c r="R369" s="706"/>
      <c r="S369" s="706"/>
      <c r="T369" s="706"/>
      <c r="U369" s="706"/>
      <c r="V369" s="706"/>
      <c r="W369" s="706"/>
      <c r="X369" s="706"/>
      <c r="Y369" s="863"/>
      <c r="Z369" s="706"/>
      <c r="AA369" s="706"/>
      <c r="AB369" s="706"/>
      <c r="AC369" s="706"/>
      <c r="AD369" s="706"/>
      <c r="AE369" s="706"/>
      <c r="AF369" s="706"/>
      <c r="AG369" s="863"/>
      <c r="AH369" s="706"/>
      <c r="AI369" s="706"/>
      <c r="AJ369" s="706"/>
      <c r="AK369" s="706"/>
      <c r="AL369" s="706"/>
      <c r="AM369" s="706"/>
      <c r="AN369" s="706"/>
      <c r="AO369" s="863"/>
      <c r="AP369" s="706"/>
      <c r="AQ369" s="706"/>
      <c r="AR369" s="706"/>
      <c r="AS369" s="706"/>
      <c r="AT369" s="706"/>
      <c r="AU369" s="706"/>
      <c r="AV369" s="706"/>
      <c r="AW369" s="706"/>
      <c r="AX369" s="706"/>
      <c r="AY369" s="706"/>
      <c r="AZ369" s="706"/>
      <c r="BA369" s="706"/>
      <c r="BB369" s="706"/>
      <c r="BC369" s="706"/>
      <c r="BD369" s="706"/>
      <c r="BE369" s="706"/>
      <c r="BF369" s="706"/>
      <c r="BG369" s="706"/>
      <c r="BH369" s="706"/>
    </row>
    <row r="370" spans="1:60" s="48" customFormat="1">
      <c r="A370" s="711"/>
      <c r="B370" s="711"/>
      <c r="C370" s="706"/>
      <c r="D370" s="706"/>
      <c r="E370" s="706"/>
      <c r="F370" s="706"/>
      <c r="G370" s="706"/>
      <c r="H370" s="706"/>
      <c r="I370" s="863"/>
      <c r="J370" s="706"/>
      <c r="K370" s="706"/>
      <c r="L370" s="706"/>
      <c r="M370" s="706"/>
      <c r="N370" s="706"/>
      <c r="O370" s="706"/>
      <c r="P370" s="706"/>
      <c r="Q370" s="863"/>
      <c r="R370" s="706"/>
      <c r="S370" s="706"/>
      <c r="T370" s="706"/>
      <c r="U370" s="706"/>
      <c r="V370" s="706"/>
      <c r="W370" s="706"/>
      <c r="X370" s="706"/>
      <c r="Y370" s="863"/>
      <c r="Z370" s="706"/>
      <c r="AA370" s="706"/>
      <c r="AB370" s="706"/>
      <c r="AC370" s="706"/>
      <c r="AD370" s="706"/>
      <c r="AE370" s="706"/>
      <c r="AF370" s="706"/>
      <c r="AG370" s="863"/>
      <c r="AH370" s="706"/>
      <c r="AI370" s="706"/>
      <c r="AJ370" s="706"/>
      <c r="AK370" s="706"/>
      <c r="AL370" s="706"/>
      <c r="AM370" s="706"/>
      <c r="AN370" s="706"/>
      <c r="AO370" s="863"/>
      <c r="AP370" s="706"/>
      <c r="AQ370" s="706"/>
      <c r="AR370" s="706"/>
      <c r="AS370" s="706"/>
      <c r="AT370" s="706"/>
      <c r="AU370" s="706"/>
      <c r="AV370" s="706"/>
      <c r="AW370" s="706"/>
      <c r="AX370" s="706"/>
      <c r="AY370" s="706"/>
      <c r="AZ370" s="706"/>
      <c r="BA370" s="706"/>
      <c r="BB370" s="706"/>
      <c r="BC370" s="706"/>
      <c r="BD370" s="706"/>
      <c r="BE370" s="706"/>
      <c r="BF370" s="706"/>
      <c r="BG370" s="706"/>
      <c r="BH370" s="706"/>
    </row>
    <row r="371" spans="1:60" s="48" customFormat="1">
      <c r="A371" s="711"/>
      <c r="B371" s="711"/>
      <c r="C371" s="706"/>
      <c r="D371" s="706"/>
      <c r="E371" s="706"/>
      <c r="F371" s="706"/>
      <c r="G371" s="706"/>
      <c r="H371" s="706"/>
      <c r="I371" s="863"/>
      <c r="J371" s="706"/>
      <c r="K371" s="706"/>
      <c r="L371" s="706"/>
      <c r="M371" s="706"/>
      <c r="N371" s="706"/>
      <c r="O371" s="706"/>
      <c r="P371" s="706"/>
      <c r="Q371" s="863"/>
      <c r="R371" s="706"/>
      <c r="S371" s="706"/>
      <c r="T371" s="706"/>
      <c r="U371" s="706"/>
      <c r="V371" s="706"/>
      <c r="W371" s="706"/>
      <c r="X371" s="706"/>
      <c r="Y371" s="863"/>
      <c r="Z371" s="706"/>
      <c r="AA371" s="706"/>
      <c r="AB371" s="706"/>
      <c r="AC371" s="706"/>
      <c r="AD371" s="706"/>
      <c r="AE371" s="706"/>
      <c r="AF371" s="706"/>
      <c r="AG371" s="863"/>
      <c r="AH371" s="706"/>
      <c r="AI371" s="706"/>
      <c r="AJ371" s="706"/>
      <c r="AK371" s="706"/>
      <c r="AL371" s="706"/>
      <c r="AM371" s="706"/>
      <c r="AN371" s="706"/>
      <c r="AO371" s="863"/>
      <c r="AP371" s="706"/>
      <c r="AQ371" s="706"/>
      <c r="AR371" s="706"/>
      <c r="AS371" s="706"/>
      <c r="AT371" s="706"/>
      <c r="AU371" s="706"/>
      <c r="AV371" s="706"/>
      <c r="AW371" s="706"/>
      <c r="AX371" s="706"/>
      <c r="AY371" s="706"/>
      <c r="AZ371" s="706"/>
      <c r="BA371" s="706"/>
      <c r="BB371" s="706"/>
      <c r="BC371" s="706"/>
      <c r="BD371" s="706"/>
      <c r="BE371" s="706"/>
      <c r="BF371" s="706"/>
      <c r="BG371" s="706"/>
      <c r="BH371" s="706"/>
    </row>
    <row r="372" spans="1:60" s="48" customFormat="1">
      <c r="A372" s="711"/>
      <c r="B372" s="711"/>
      <c r="C372" s="706"/>
      <c r="D372" s="706"/>
      <c r="E372" s="706"/>
      <c r="F372" s="706"/>
      <c r="G372" s="706"/>
      <c r="H372" s="706"/>
      <c r="I372" s="863"/>
      <c r="J372" s="706"/>
      <c r="K372" s="706"/>
      <c r="L372" s="706"/>
      <c r="M372" s="706"/>
      <c r="N372" s="706"/>
      <c r="O372" s="706"/>
      <c r="P372" s="706"/>
      <c r="Q372" s="863"/>
      <c r="R372" s="706"/>
      <c r="S372" s="706"/>
      <c r="T372" s="706"/>
      <c r="U372" s="706"/>
      <c r="V372" s="706"/>
      <c r="W372" s="706"/>
      <c r="X372" s="706"/>
      <c r="Y372" s="863"/>
      <c r="Z372" s="706"/>
      <c r="AA372" s="706"/>
      <c r="AB372" s="706"/>
      <c r="AC372" s="706"/>
      <c r="AD372" s="706"/>
      <c r="AE372" s="706"/>
      <c r="AF372" s="706"/>
      <c r="AG372" s="863"/>
      <c r="AH372" s="706"/>
      <c r="AI372" s="706"/>
      <c r="AJ372" s="706"/>
      <c r="AK372" s="706"/>
      <c r="AL372" s="706"/>
      <c r="AM372" s="706"/>
      <c r="AN372" s="706"/>
      <c r="AO372" s="863"/>
      <c r="AP372" s="706"/>
      <c r="AQ372" s="706"/>
      <c r="AR372" s="706"/>
      <c r="AS372" s="706"/>
      <c r="AT372" s="706"/>
      <c r="AU372" s="706"/>
      <c r="AV372" s="706"/>
      <c r="AW372" s="706"/>
      <c r="AX372" s="706"/>
      <c r="AY372" s="706"/>
      <c r="AZ372" s="706"/>
      <c r="BA372" s="706"/>
      <c r="BB372" s="706"/>
      <c r="BC372" s="706"/>
      <c r="BD372" s="706"/>
      <c r="BE372" s="706"/>
      <c r="BF372" s="706"/>
      <c r="BG372" s="706"/>
      <c r="BH372" s="706"/>
    </row>
    <row r="373" spans="1:60" s="48" customFormat="1">
      <c r="A373" s="711"/>
      <c r="B373" s="711"/>
      <c r="C373" s="706"/>
      <c r="D373" s="706"/>
      <c r="E373" s="706"/>
      <c r="F373" s="706"/>
      <c r="G373" s="706"/>
      <c r="H373" s="706"/>
      <c r="I373" s="863"/>
      <c r="J373" s="706"/>
      <c r="K373" s="706"/>
      <c r="L373" s="706"/>
      <c r="M373" s="706"/>
      <c r="N373" s="706"/>
      <c r="O373" s="706"/>
      <c r="P373" s="706"/>
      <c r="Q373" s="863"/>
      <c r="R373" s="706"/>
      <c r="S373" s="706"/>
      <c r="T373" s="706"/>
      <c r="U373" s="706"/>
      <c r="V373" s="706"/>
      <c r="W373" s="706"/>
      <c r="X373" s="706"/>
      <c r="Y373" s="863"/>
      <c r="Z373" s="706"/>
      <c r="AA373" s="706"/>
      <c r="AB373" s="706"/>
      <c r="AC373" s="706"/>
      <c r="AD373" s="706"/>
      <c r="AE373" s="706"/>
      <c r="AF373" s="706"/>
      <c r="AG373" s="863"/>
      <c r="AH373" s="706"/>
      <c r="AI373" s="706"/>
      <c r="AJ373" s="706"/>
      <c r="AK373" s="706"/>
      <c r="AL373" s="706"/>
      <c r="AM373" s="706"/>
      <c r="AN373" s="706"/>
      <c r="AO373" s="863"/>
      <c r="AP373" s="706"/>
      <c r="AQ373" s="706"/>
      <c r="AR373" s="706"/>
      <c r="AS373" s="706"/>
      <c r="AT373" s="706"/>
      <c r="AU373" s="706"/>
      <c r="AV373" s="706"/>
      <c r="AW373" s="706"/>
      <c r="AX373" s="706"/>
      <c r="AY373" s="706"/>
      <c r="AZ373" s="706"/>
      <c r="BA373" s="706"/>
      <c r="BB373" s="706"/>
      <c r="BC373" s="706"/>
      <c r="BD373" s="706"/>
      <c r="BE373" s="706"/>
      <c r="BF373" s="706"/>
      <c r="BG373" s="706"/>
      <c r="BH373" s="706"/>
    </row>
    <row r="374" spans="1:60" s="48" customFormat="1">
      <c r="A374" s="711"/>
      <c r="B374" s="711"/>
      <c r="C374" s="706"/>
      <c r="D374" s="706"/>
      <c r="E374" s="706"/>
      <c r="F374" s="706"/>
      <c r="G374" s="706"/>
      <c r="H374" s="706"/>
      <c r="I374" s="863"/>
      <c r="J374" s="706"/>
      <c r="K374" s="706"/>
      <c r="L374" s="706"/>
      <c r="M374" s="706"/>
      <c r="N374" s="706"/>
      <c r="O374" s="706"/>
      <c r="P374" s="706"/>
      <c r="Q374" s="863"/>
      <c r="R374" s="706"/>
      <c r="S374" s="706"/>
      <c r="T374" s="706"/>
      <c r="U374" s="706"/>
      <c r="V374" s="706"/>
      <c r="W374" s="706"/>
      <c r="X374" s="706"/>
      <c r="Y374" s="863"/>
      <c r="Z374" s="706"/>
      <c r="AA374" s="706"/>
      <c r="AB374" s="706"/>
      <c r="AC374" s="706"/>
      <c r="AD374" s="706"/>
      <c r="AE374" s="706"/>
      <c r="AF374" s="706"/>
      <c r="AG374" s="863"/>
      <c r="AH374" s="706"/>
      <c r="AI374" s="706"/>
      <c r="AJ374" s="706"/>
      <c r="AK374" s="706"/>
      <c r="AL374" s="706"/>
      <c r="AM374" s="706"/>
      <c r="AN374" s="706"/>
      <c r="AO374" s="863"/>
      <c r="AP374" s="706"/>
      <c r="AQ374" s="706"/>
      <c r="AR374" s="706"/>
      <c r="AS374" s="706"/>
      <c r="AT374" s="706"/>
      <c r="AU374" s="706"/>
      <c r="AV374" s="706"/>
      <c r="AW374" s="706"/>
      <c r="AX374" s="706"/>
      <c r="AY374" s="706"/>
      <c r="AZ374" s="706"/>
      <c r="BA374" s="706"/>
      <c r="BB374" s="706"/>
      <c r="BC374" s="706"/>
      <c r="BD374" s="706"/>
      <c r="BE374" s="706"/>
      <c r="BF374" s="706"/>
      <c r="BG374" s="706"/>
      <c r="BH374" s="706"/>
    </row>
    <row r="375" spans="1:60" s="48" customFormat="1">
      <c r="A375" s="711"/>
      <c r="B375" s="711"/>
      <c r="C375" s="706"/>
      <c r="D375" s="706"/>
      <c r="E375" s="706"/>
      <c r="F375" s="706"/>
      <c r="G375" s="706"/>
      <c r="H375" s="706"/>
      <c r="I375" s="863"/>
      <c r="J375" s="706"/>
      <c r="K375" s="706"/>
      <c r="L375" s="706"/>
      <c r="M375" s="706"/>
      <c r="N375" s="706"/>
      <c r="O375" s="706"/>
      <c r="P375" s="706"/>
      <c r="Q375" s="863"/>
      <c r="R375" s="706"/>
      <c r="S375" s="706"/>
      <c r="T375" s="706"/>
      <c r="U375" s="706"/>
      <c r="V375" s="706"/>
      <c r="W375" s="706"/>
      <c r="X375" s="706"/>
      <c r="Y375" s="863"/>
      <c r="Z375" s="706"/>
      <c r="AA375" s="706"/>
      <c r="AB375" s="706"/>
      <c r="AC375" s="706"/>
      <c r="AD375" s="706"/>
      <c r="AE375" s="706"/>
      <c r="AF375" s="706"/>
      <c r="AG375" s="863"/>
      <c r="AH375" s="706"/>
      <c r="AI375" s="706"/>
      <c r="AJ375" s="706"/>
      <c r="AK375" s="706"/>
      <c r="AL375" s="706"/>
      <c r="AM375" s="706"/>
      <c r="AN375" s="706"/>
      <c r="AO375" s="863"/>
      <c r="AP375" s="706"/>
      <c r="AQ375" s="706"/>
      <c r="AR375" s="706"/>
      <c r="AS375" s="706"/>
      <c r="AT375" s="706"/>
      <c r="AU375" s="706"/>
      <c r="AV375" s="706"/>
      <c r="AW375" s="706"/>
      <c r="AX375" s="706"/>
      <c r="AY375" s="706"/>
      <c r="AZ375" s="706"/>
      <c r="BA375" s="706"/>
      <c r="BB375" s="706"/>
      <c r="BC375" s="706"/>
      <c r="BD375" s="706"/>
      <c r="BE375" s="706"/>
      <c r="BF375" s="706"/>
      <c r="BG375" s="706"/>
      <c r="BH375" s="706"/>
    </row>
    <row r="376" spans="1:60" s="48" customFormat="1">
      <c r="A376" s="711"/>
      <c r="B376" s="711"/>
      <c r="C376" s="706"/>
      <c r="D376" s="706"/>
      <c r="E376" s="706"/>
      <c r="F376" s="706"/>
      <c r="G376" s="706"/>
      <c r="H376" s="706"/>
      <c r="I376" s="863"/>
      <c r="J376" s="706"/>
      <c r="K376" s="706"/>
      <c r="L376" s="706"/>
      <c r="M376" s="706"/>
      <c r="N376" s="706"/>
      <c r="O376" s="706"/>
      <c r="P376" s="706"/>
      <c r="Q376" s="863"/>
      <c r="R376" s="706"/>
      <c r="S376" s="706"/>
      <c r="T376" s="706"/>
      <c r="U376" s="706"/>
      <c r="V376" s="706"/>
      <c r="W376" s="706"/>
      <c r="X376" s="706"/>
      <c r="Y376" s="863"/>
      <c r="Z376" s="706"/>
      <c r="AA376" s="706"/>
      <c r="AB376" s="706"/>
      <c r="AC376" s="706"/>
      <c r="AD376" s="706"/>
      <c r="AE376" s="706"/>
      <c r="AF376" s="706"/>
      <c r="AG376" s="863"/>
      <c r="AH376" s="706"/>
      <c r="AI376" s="706"/>
      <c r="AJ376" s="706"/>
      <c r="AK376" s="706"/>
      <c r="AL376" s="706"/>
      <c r="AM376" s="706"/>
      <c r="AN376" s="706"/>
      <c r="AO376" s="863"/>
      <c r="AP376" s="706"/>
      <c r="AQ376" s="706"/>
      <c r="AR376" s="706"/>
      <c r="AS376" s="706"/>
      <c r="AT376" s="706"/>
      <c r="AU376" s="706"/>
      <c r="AV376" s="706"/>
      <c r="AW376" s="706"/>
      <c r="AX376" s="706"/>
      <c r="AY376" s="706"/>
      <c r="AZ376" s="706"/>
      <c r="BA376" s="706"/>
      <c r="BB376" s="706"/>
      <c r="BC376" s="706"/>
      <c r="BD376" s="706"/>
      <c r="BE376" s="706"/>
      <c r="BF376" s="706"/>
      <c r="BG376" s="706"/>
      <c r="BH376" s="706"/>
    </row>
    <row r="377" spans="1:60" s="48" customFormat="1">
      <c r="A377" s="711"/>
      <c r="B377" s="711"/>
      <c r="C377" s="706"/>
      <c r="D377" s="706"/>
      <c r="E377" s="706"/>
      <c r="F377" s="706"/>
      <c r="G377" s="706"/>
      <c r="H377" s="706"/>
      <c r="I377" s="863"/>
      <c r="J377" s="706"/>
      <c r="K377" s="706"/>
      <c r="L377" s="706"/>
      <c r="M377" s="706"/>
      <c r="N377" s="706"/>
      <c r="O377" s="706"/>
      <c r="P377" s="706"/>
      <c r="Q377" s="863"/>
      <c r="R377" s="706"/>
      <c r="S377" s="706"/>
      <c r="T377" s="706"/>
      <c r="U377" s="706"/>
      <c r="V377" s="706"/>
      <c r="W377" s="706"/>
      <c r="X377" s="706"/>
      <c r="Y377" s="863"/>
      <c r="Z377" s="706"/>
      <c r="AA377" s="706"/>
      <c r="AB377" s="706"/>
      <c r="AC377" s="706"/>
      <c r="AD377" s="706"/>
      <c r="AE377" s="706"/>
      <c r="AF377" s="706"/>
      <c r="AG377" s="863"/>
      <c r="AH377" s="706"/>
      <c r="AI377" s="706"/>
      <c r="AJ377" s="706"/>
      <c r="AK377" s="706"/>
      <c r="AL377" s="706"/>
      <c r="AM377" s="706"/>
      <c r="AN377" s="706"/>
      <c r="AO377" s="863"/>
      <c r="AP377" s="706"/>
      <c r="AQ377" s="706"/>
      <c r="AR377" s="706"/>
      <c r="AS377" s="706"/>
      <c r="AT377" s="706"/>
      <c r="AU377" s="706"/>
      <c r="AV377" s="706"/>
      <c r="AW377" s="706"/>
      <c r="AX377" s="706"/>
      <c r="AY377" s="706"/>
      <c r="AZ377" s="706"/>
      <c r="BA377" s="706"/>
      <c r="BB377" s="706"/>
      <c r="BC377" s="706"/>
      <c r="BD377" s="706"/>
      <c r="BE377" s="706"/>
      <c r="BF377" s="706"/>
      <c r="BG377" s="706"/>
      <c r="BH377" s="706"/>
    </row>
    <row r="378" spans="1:60" s="48" customFormat="1">
      <c r="A378" s="711"/>
      <c r="B378" s="711"/>
      <c r="C378" s="706"/>
      <c r="D378" s="706"/>
      <c r="E378" s="706"/>
      <c r="F378" s="706"/>
      <c r="G378" s="706"/>
      <c r="H378" s="706"/>
      <c r="I378" s="863"/>
      <c r="J378" s="706"/>
      <c r="K378" s="706"/>
      <c r="L378" s="706"/>
      <c r="M378" s="706"/>
      <c r="N378" s="706"/>
      <c r="O378" s="706"/>
      <c r="P378" s="706"/>
      <c r="Q378" s="863"/>
      <c r="R378" s="706"/>
      <c r="S378" s="706"/>
      <c r="T378" s="706"/>
      <c r="U378" s="706"/>
      <c r="V378" s="706"/>
      <c r="W378" s="706"/>
      <c r="X378" s="706"/>
      <c r="Y378" s="863"/>
      <c r="Z378" s="706"/>
      <c r="AA378" s="706"/>
      <c r="AB378" s="706"/>
      <c r="AC378" s="706"/>
      <c r="AD378" s="706"/>
      <c r="AE378" s="706"/>
      <c r="AF378" s="706"/>
      <c r="AG378" s="863"/>
      <c r="AH378" s="706"/>
      <c r="AI378" s="706"/>
      <c r="AJ378" s="706"/>
      <c r="AK378" s="706"/>
      <c r="AL378" s="706"/>
      <c r="AM378" s="706"/>
      <c r="AN378" s="706"/>
      <c r="AO378" s="863"/>
      <c r="AP378" s="706"/>
      <c r="AQ378" s="706"/>
      <c r="AR378" s="706"/>
      <c r="AS378" s="706"/>
      <c r="AT378" s="706"/>
      <c r="AU378" s="706"/>
      <c r="AV378" s="706"/>
      <c r="AW378" s="706"/>
      <c r="AX378" s="706"/>
      <c r="AY378" s="706"/>
      <c r="AZ378" s="706"/>
      <c r="BA378" s="706"/>
      <c r="BB378" s="706"/>
      <c r="BC378" s="706"/>
      <c r="BD378" s="706"/>
      <c r="BE378" s="706"/>
      <c r="BF378" s="706"/>
      <c r="BG378" s="706"/>
      <c r="BH378" s="706"/>
    </row>
    <row r="379" spans="1:60" s="48" customFormat="1">
      <c r="A379" s="711"/>
      <c r="B379" s="711"/>
      <c r="C379" s="706"/>
      <c r="D379" s="706"/>
      <c r="E379" s="706"/>
      <c r="F379" s="706"/>
      <c r="G379" s="706"/>
      <c r="H379" s="706"/>
      <c r="I379" s="863"/>
      <c r="J379" s="706"/>
      <c r="K379" s="706"/>
      <c r="L379" s="706"/>
      <c r="M379" s="706"/>
      <c r="N379" s="706"/>
      <c r="O379" s="706"/>
      <c r="P379" s="706"/>
      <c r="Q379" s="863"/>
      <c r="R379" s="706"/>
      <c r="S379" s="706"/>
      <c r="T379" s="706"/>
      <c r="U379" s="706"/>
      <c r="V379" s="706"/>
      <c r="W379" s="706"/>
      <c r="X379" s="706"/>
      <c r="Y379" s="863"/>
      <c r="Z379" s="706"/>
      <c r="AA379" s="706"/>
      <c r="AB379" s="706"/>
      <c r="AC379" s="706"/>
      <c r="AD379" s="706"/>
      <c r="AE379" s="706"/>
      <c r="AF379" s="706"/>
      <c r="AG379" s="863"/>
      <c r="AH379" s="706"/>
      <c r="AI379" s="706"/>
      <c r="AJ379" s="706"/>
      <c r="AK379" s="706"/>
      <c r="AL379" s="706"/>
      <c r="AM379" s="706"/>
      <c r="AN379" s="706"/>
      <c r="AO379" s="863"/>
      <c r="AP379" s="706"/>
      <c r="AQ379" s="706"/>
      <c r="AR379" s="706"/>
      <c r="AS379" s="706"/>
      <c r="AT379" s="706"/>
      <c r="AU379" s="706"/>
      <c r="AV379" s="706"/>
      <c r="AW379" s="706"/>
      <c r="AX379" s="706"/>
      <c r="AY379" s="706"/>
      <c r="AZ379" s="706"/>
      <c r="BA379" s="706"/>
      <c r="BB379" s="706"/>
      <c r="BC379" s="706"/>
      <c r="BD379" s="706"/>
      <c r="BE379" s="706"/>
      <c r="BF379" s="706"/>
      <c r="BG379" s="706"/>
      <c r="BH379" s="706"/>
    </row>
    <row r="380" spans="1:60" s="48" customFormat="1">
      <c r="A380" s="711"/>
      <c r="B380" s="711"/>
      <c r="C380" s="706"/>
      <c r="D380" s="706"/>
      <c r="E380" s="706"/>
      <c r="F380" s="706"/>
      <c r="G380" s="706"/>
      <c r="H380" s="706"/>
      <c r="I380" s="863"/>
      <c r="J380" s="706"/>
      <c r="K380" s="706"/>
      <c r="L380" s="706"/>
      <c r="M380" s="706"/>
      <c r="N380" s="706"/>
      <c r="O380" s="706"/>
      <c r="P380" s="706"/>
      <c r="Q380" s="863"/>
      <c r="R380" s="706"/>
      <c r="S380" s="706"/>
      <c r="T380" s="706"/>
      <c r="U380" s="706"/>
      <c r="V380" s="706"/>
      <c r="W380" s="706"/>
      <c r="X380" s="706"/>
      <c r="Y380" s="863"/>
      <c r="Z380" s="706"/>
      <c r="AA380" s="706"/>
      <c r="AB380" s="706"/>
      <c r="AC380" s="706"/>
      <c r="AD380" s="706"/>
      <c r="AE380" s="706"/>
      <c r="AF380" s="706"/>
      <c r="AG380" s="863"/>
      <c r="AH380" s="706"/>
      <c r="AI380" s="706"/>
      <c r="AJ380" s="706"/>
      <c r="AK380" s="706"/>
      <c r="AL380" s="706"/>
      <c r="AM380" s="706"/>
      <c r="AN380" s="706"/>
      <c r="AO380" s="863"/>
      <c r="AP380" s="706"/>
      <c r="AQ380" s="706"/>
      <c r="AR380" s="706"/>
      <c r="AS380" s="706"/>
      <c r="AT380" s="706"/>
      <c r="AU380" s="706"/>
      <c r="AV380" s="706"/>
      <c r="AW380" s="706"/>
      <c r="AX380" s="706"/>
      <c r="AY380" s="706"/>
      <c r="AZ380" s="706"/>
      <c r="BA380" s="706"/>
      <c r="BB380" s="706"/>
      <c r="BC380" s="706"/>
      <c r="BD380" s="706"/>
      <c r="BE380" s="706"/>
      <c r="BF380" s="706"/>
      <c r="BG380" s="706"/>
      <c r="BH380" s="706"/>
    </row>
    <row r="381" spans="1:60" s="48" customFormat="1">
      <c r="A381" s="711"/>
      <c r="B381" s="711"/>
      <c r="C381" s="706"/>
      <c r="D381" s="706"/>
      <c r="E381" s="706"/>
      <c r="F381" s="706"/>
      <c r="G381" s="706"/>
      <c r="H381" s="706"/>
      <c r="I381" s="863"/>
      <c r="J381" s="706"/>
      <c r="K381" s="706"/>
      <c r="L381" s="706"/>
      <c r="M381" s="706"/>
      <c r="N381" s="706"/>
      <c r="O381" s="706"/>
      <c r="P381" s="706"/>
      <c r="Q381" s="863"/>
      <c r="R381" s="706"/>
      <c r="S381" s="706"/>
      <c r="T381" s="706"/>
      <c r="U381" s="706"/>
      <c r="V381" s="706"/>
      <c r="W381" s="706"/>
      <c r="X381" s="706"/>
      <c r="Y381" s="863"/>
      <c r="Z381" s="706"/>
      <c r="AA381" s="706"/>
      <c r="AB381" s="706"/>
      <c r="AC381" s="706"/>
      <c r="AD381" s="706"/>
      <c r="AE381" s="706"/>
      <c r="AF381" s="706"/>
      <c r="AG381" s="863"/>
      <c r="AH381" s="706"/>
      <c r="AI381" s="706"/>
      <c r="AJ381" s="706"/>
      <c r="AK381" s="706"/>
      <c r="AL381" s="706"/>
      <c r="AM381" s="706"/>
      <c r="AN381" s="706"/>
      <c r="AO381" s="863"/>
      <c r="AP381" s="706"/>
      <c r="AQ381" s="706"/>
      <c r="AR381" s="706"/>
      <c r="AS381" s="706"/>
      <c r="AT381" s="706"/>
      <c r="AU381" s="706"/>
      <c r="AV381" s="706"/>
      <c r="AW381" s="706"/>
      <c r="AX381" s="706"/>
      <c r="AY381" s="706"/>
      <c r="AZ381" s="706"/>
      <c r="BA381" s="706"/>
      <c r="BB381" s="706"/>
      <c r="BC381" s="706"/>
      <c r="BD381" s="706"/>
      <c r="BE381" s="706"/>
      <c r="BF381" s="706"/>
      <c r="BG381" s="706"/>
      <c r="BH381" s="706"/>
    </row>
    <row r="382" spans="1:60" s="48" customFormat="1">
      <c r="A382" s="711"/>
      <c r="B382" s="711"/>
      <c r="C382" s="706"/>
      <c r="D382" s="706"/>
      <c r="E382" s="706"/>
      <c r="F382" s="706"/>
      <c r="G382" s="706"/>
      <c r="H382" s="706"/>
      <c r="I382" s="863"/>
      <c r="J382" s="706"/>
      <c r="K382" s="706"/>
      <c r="L382" s="706"/>
      <c r="M382" s="706"/>
      <c r="N382" s="706"/>
      <c r="O382" s="706"/>
      <c r="P382" s="706"/>
      <c r="Q382" s="863"/>
      <c r="R382" s="706"/>
      <c r="S382" s="706"/>
      <c r="T382" s="706"/>
      <c r="U382" s="706"/>
      <c r="V382" s="706"/>
      <c r="W382" s="706"/>
      <c r="X382" s="706"/>
      <c r="Y382" s="863"/>
      <c r="Z382" s="706"/>
      <c r="AA382" s="706"/>
      <c r="AB382" s="706"/>
      <c r="AC382" s="706"/>
      <c r="AD382" s="706"/>
      <c r="AE382" s="706"/>
      <c r="AF382" s="706"/>
      <c r="AG382" s="863"/>
      <c r="AH382" s="706"/>
      <c r="AI382" s="706"/>
      <c r="AJ382" s="706"/>
      <c r="AK382" s="706"/>
      <c r="AL382" s="706"/>
      <c r="AM382" s="706"/>
      <c r="AN382" s="706"/>
      <c r="AO382" s="863"/>
      <c r="AP382" s="706"/>
      <c r="AQ382" s="706"/>
      <c r="AR382" s="706"/>
      <c r="AS382" s="706"/>
      <c r="AT382" s="706"/>
      <c r="AU382" s="706"/>
      <c r="AV382" s="706"/>
      <c r="AW382" s="706"/>
      <c r="AX382" s="706"/>
      <c r="AY382" s="706"/>
      <c r="AZ382" s="706"/>
      <c r="BA382" s="706"/>
      <c r="BB382" s="706"/>
      <c r="BC382" s="706"/>
      <c r="BD382" s="706"/>
      <c r="BE382" s="706"/>
      <c r="BF382" s="706"/>
      <c r="BG382" s="706"/>
      <c r="BH382" s="706"/>
    </row>
    <row r="383" spans="1:60" s="48" customFormat="1">
      <c r="A383" s="711"/>
      <c r="B383" s="711"/>
      <c r="C383" s="706"/>
      <c r="D383" s="706"/>
      <c r="E383" s="706"/>
      <c r="F383" s="706"/>
      <c r="G383" s="706"/>
      <c r="H383" s="706"/>
      <c r="I383" s="863"/>
      <c r="J383" s="706"/>
      <c r="K383" s="706"/>
      <c r="L383" s="706"/>
      <c r="M383" s="706"/>
      <c r="N383" s="706"/>
      <c r="O383" s="706"/>
      <c r="P383" s="706"/>
      <c r="Q383" s="863"/>
      <c r="R383" s="706"/>
      <c r="S383" s="706"/>
      <c r="T383" s="706"/>
      <c r="U383" s="706"/>
      <c r="V383" s="706"/>
      <c r="W383" s="706"/>
      <c r="X383" s="706"/>
      <c r="Y383" s="863"/>
      <c r="Z383" s="706"/>
      <c r="AA383" s="706"/>
      <c r="AB383" s="706"/>
      <c r="AC383" s="706"/>
      <c r="AD383" s="706"/>
      <c r="AE383" s="706"/>
      <c r="AF383" s="706"/>
      <c r="AG383" s="863"/>
      <c r="AH383" s="706"/>
      <c r="AI383" s="706"/>
      <c r="AJ383" s="706"/>
      <c r="AK383" s="706"/>
      <c r="AL383" s="706"/>
      <c r="AM383" s="706"/>
      <c r="AN383" s="706"/>
      <c r="AO383" s="863"/>
      <c r="AP383" s="706"/>
      <c r="AQ383" s="706"/>
      <c r="AR383" s="706"/>
      <c r="AS383" s="706"/>
      <c r="AT383" s="706"/>
      <c r="AU383" s="706"/>
      <c r="AV383" s="706"/>
      <c r="AW383" s="706"/>
      <c r="AX383" s="706"/>
      <c r="AY383" s="706"/>
      <c r="AZ383" s="706"/>
      <c r="BA383" s="706"/>
      <c r="BB383" s="706"/>
      <c r="BC383" s="706"/>
      <c r="BD383" s="706"/>
      <c r="BE383" s="706"/>
      <c r="BF383" s="706"/>
      <c r="BG383" s="706"/>
      <c r="BH383" s="706"/>
    </row>
    <row r="384" spans="1:60" s="48" customFormat="1">
      <c r="A384" s="711"/>
      <c r="B384" s="711"/>
      <c r="C384" s="706"/>
      <c r="D384" s="706"/>
      <c r="E384" s="706"/>
      <c r="F384" s="706"/>
      <c r="G384" s="706"/>
      <c r="H384" s="706"/>
      <c r="I384" s="863"/>
      <c r="J384" s="706"/>
      <c r="K384" s="706"/>
      <c r="L384" s="706"/>
      <c r="M384" s="706"/>
      <c r="N384" s="706"/>
      <c r="O384" s="706"/>
      <c r="P384" s="706"/>
      <c r="Q384" s="863"/>
      <c r="R384" s="706"/>
      <c r="S384" s="706"/>
      <c r="T384" s="706"/>
      <c r="U384" s="706"/>
      <c r="V384" s="706"/>
      <c r="W384" s="706"/>
      <c r="X384" s="706"/>
      <c r="Y384" s="863"/>
      <c r="Z384" s="706"/>
      <c r="AA384" s="706"/>
      <c r="AB384" s="706"/>
      <c r="AC384" s="706"/>
      <c r="AD384" s="706"/>
      <c r="AE384" s="706"/>
      <c r="AF384" s="706"/>
      <c r="AG384" s="863"/>
      <c r="AH384" s="706"/>
      <c r="AI384" s="706"/>
      <c r="AJ384" s="706"/>
      <c r="AK384" s="706"/>
      <c r="AL384" s="706"/>
      <c r="AM384" s="706"/>
      <c r="AN384" s="706"/>
      <c r="AO384" s="863"/>
      <c r="AP384" s="706"/>
      <c r="AQ384" s="706"/>
      <c r="AR384" s="706"/>
      <c r="AS384" s="706"/>
      <c r="AT384" s="706"/>
      <c r="AU384" s="706"/>
      <c r="AV384" s="706"/>
      <c r="AW384" s="706"/>
      <c r="AX384" s="706"/>
      <c r="AY384" s="706"/>
      <c r="AZ384" s="706"/>
      <c r="BA384" s="706"/>
      <c r="BB384" s="706"/>
      <c r="BC384" s="706"/>
      <c r="BD384" s="706"/>
      <c r="BE384" s="706"/>
      <c r="BF384" s="706"/>
      <c r="BG384" s="706"/>
      <c r="BH384" s="706"/>
    </row>
    <row r="385" spans="1:60" s="48" customFormat="1">
      <c r="A385" s="711"/>
      <c r="B385" s="711"/>
      <c r="C385" s="706"/>
      <c r="D385" s="706"/>
      <c r="E385" s="706"/>
      <c r="F385" s="706"/>
      <c r="G385" s="706"/>
      <c r="H385" s="706"/>
      <c r="I385" s="863"/>
      <c r="J385" s="706"/>
      <c r="K385" s="706"/>
      <c r="L385" s="706"/>
      <c r="M385" s="706"/>
      <c r="N385" s="706"/>
      <c r="O385" s="706"/>
      <c r="P385" s="706"/>
      <c r="Q385" s="863"/>
      <c r="R385" s="706"/>
      <c r="S385" s="706"/>
      <c r="T385" s="706"/>
      <c r="U385" s="706"/>
      <c r="V385" s="706"/>
      <c r="W385" s="706"/>
      <c r="X385" s="706"/>
      <c r="Y385" s="863"/>
      <c r="Z385" s="706"/>
      <c r="AA385" s="706"/>
      <c r="AB385" s="706"/>
      <c r="AC385" s="706"/>
      <c r="AD385" s="706"/>
      <c r="AE385" s="706"/>
      <c r="AF385" s="706"/>
      <c r="AG385" s="863"/>
      <c r="AH385" s="706"/>
      <c r="AI385" s="706"/>
      <c r="AJ385" s="706"/>
      <c r="AK385" s="706"/>
      <c r="AL385" s="706"/>
      <c r="AM385" s="706"/>
      <c r="AN385" s="706"/>
      <c r="AO385" s="863"/>
      <c r="AP385" s="706"/>
      <c r="AQ385" s="706"/>
      <c r="AR385" s="706"/>
      <c r="AS385" s="706"/>
      <c r="AT385" s="706"/>
      <c r="AU385" s="706"/>
      <c r="AV385" s="706"/>
      <c r="AW385" s="706"/>
      <c r="AX385" s="706"/>
      <c r="AY385" s="706"/>
      <c r="AZ385" s="706"/>
      <c r="BA385" s="706"/>
      <c r="BB385" s="706"/>
      <c r="BC385" s="706"/>
      <c r="BD385" s="706"/>
      <c r="BE385" s="706"/>
      <c r="BF385" s="706"/>
      <c r="BG385" s="706"/>
      <c r="BH385" s="706"/>
    </row>
    <row r="386" spans="1:60" s="48" customFormat="1">
      <c r="A386" s="711"/>
      <c r="B386" s="711"/>
      <c r="C386" s="706"/>
      <c r="D386" s="706"/>
      <c r="E386" s="706"/>
      <c r="F386" s="706"/>
      <c r="G386" s="706"/>
      <c r="H386" s="706"/>
      <c r="I386" s="863"/>
      <c r="J386" s="706"/>
      <c r="K386" s="706"/>
      <c r="L386" s="706"/>
      <c r="M386" s="706"/>
      <c r="N386" s="706"/>
      <c r="O386" s="706"/>
      <c r="P386" s="706"/>
      <c r="Q386" s="863"/>
      <c r="R386" s="706"/>
      <c r="S386" s="706"/>
      <c r="T386" s="706"/>
      <c r="U386" s="706"/>
      <c r="V386" s="706"/>
      <c r="W386" s="706"/>
      <c r="X386" s="706"/>
      <c r="Y386" s="863"/>
      <c r="Z386" s="706"/>
      <c r="AA386" s="706"/>
      <c r="AB386" s="706"/>
      <c r="AC386" s="706"/>
      <c r="AD386" s="706"/>
      <c r="AE386" s="706"/>
      <c r="AF386" s="706"/>
      <c r="AG386" s="863"/>
      <c r="AH386" s="706"/>
      <c r="AI386" s="706"/>
      <c r="AJ386" s="706"/>
      <c r="AK386" s="706"/>
      <c r="AL386" s="706"/>
      <c r="AM386" s="706"/>
      <c r="AN386" s="706"/>
      <c r="AO386" s="863"/>
      <c r="AP386" s="706"/>
      <c r="AQ386" s="706"/>
      <c r="AR386" s="706"/>
      <c r="AS386" s="706"/>
      <c r="AT386" s="706"/>
      <c r="AU386" s="706"/>
      <c r="AV386" s="706"/>
      <c r="AW386" s="706"/>
      <c r="AX386" s="706"/>
      <c r="AY386" s="706"/>
      <c r="AZ386" s="706"/>
      <c r="BA386" s="706"/>
      <c r="BB386" s="706"/>
      <c r="BC386" s="706"/>
      <c r="BD386" s="706"/>
      <c r="BE386" s="706"/>
      <c r="BF386" s="706"/>
      <c r="BG386" s="706"/>
      <c r="BH386" s="706"/>
    </row>
    <row r="387" spans="1:60" s="48" customFormat="1">
      <c r="A387" s="711"/>
      <c r="B387" s="711"/>
      <c r="C387" s="706"/>
      <c r="D387" s="706"/>
      <c r="E387" s="706"/>
      <c r="F387" s="706"/>
      <c r="G387" s="706"/>
      <c r="H387" s="706"/>
      <c r="I387" s="863"/>
      <c r="J387" s="706"/>
      <c r="K387" s="706"/>
      <c r="L387" s="706"/>
      <c r="M387" s="706"/>
      <c r="N387" s="706"/>
      <c r="O387" s="706"/>
      <c r="P387" s="706"/>
      <c r="Q387" s="863"/>
      <c r="R387" s="706"/>
      <c r="S387" s="706"/>
      <c r="T387" s="706"/>
      <c r="U387" s="706"/>
      <c r="V387" s="706"/>
      <c r="W387" s="706"/>
      <c r="X387" s="706"/>
      <c r="Y387" s="863"/>
      <c r="Z387" s="706"/>
      <c r="AA387" s="706"/>
      <c r="AB387" s="706"/>
      <c r="AC387" s="706"/>
      <c r="AD387" s="706"/>
      <c r="AE387" s="706"/>
      <c r="AF387" s="706"/>
      <c r="AG387" s="863"/>
      <c r="AH387" s="706"/>
      <c r="AI387" s="706"/>
      <c r="AJ387" s="706"/>
      <c r="AK387" s="706"/>
      <c r="AL387" s="706"/>
      <c r="AM387" s="706"/>
      <c r="AN387" s="706"/>
      <c r="AO387" s="863"/>
      <c r="AP387" s="706"/>
      <c r="AQ387" s="706"/>
      <c r="AR387" s="706"/>
      <c r="AS387" s="706"/>
      <c r="AT387" s="706"/>
      <c r="AU387" s="706"/>
      <c r="AV387" s="706"/>
      <c r="AW387" s="706"/>
      <c r="AX387" s="706"/>
      <c r="AY387" s="706"/>
      <c r="AZ387" s="706"/>
      <c r="BA387" s="706"/>
      <c r="BB387" s="706"/>
      <c r="BC387" s="706"/>
      <c r="BD387" s="706"/>
      <c r="BE387" s="706"/>
      <c r="BF387" s="706"/>
      <c r="BG387" s="706"/>
      <c r="BH387" s="706"/>
    </row>
    <row r="388" spans="1:60" s="48" customFormat="1">
      <c r="A388" s="711"/>
      <c r="B388" s="711"/>
      <c r="C388" s="706"/>
      <c r="D388" s="706"/>
      <c r="E388" s="706"/>
      <c r="F388" s="706"/>
      <c r="G388" s="706"/>
      <c r="H388" s="706"/>
      <c r="I388" s="863"/>
      <c r="J388" s="706"/>
      <c r="K388" s="706"/>
      <c r="L388" s="706"/>
      <c r="M388" s="706"/>
      <c r="N388" s="706"/>
      <c r="O388" s="706"/>
      <c r="P388" s="706"/>
      <c r="Q388" s="863"/>
      <c r="R388" s="706"/>
      <c r="S388" s="706"/>
      <c r="T388" s="706"/>
      <c r="U388" s="706"/>
      <c r="V388" s="706"/>
      <c r="W388" s="706"/>
      <c r="X388" s="706"/>
      <c r="Y388" s="863"/>
      <c r="Z388" s="706"/>
      <c r="AA388" s="706"/>
      <c r="AB388" s="706"/>
      <c r="AC388" s="706"/>
      <c r="AD388" s="706"/>
      <c r="AE388" s="706"/>
      <c r="AF388" s="706"/>
      <c r="AG388" s="863"/>
      <c r="AH388" s="706"/>
      <c r="AI388" s="706"/>
      <c r="AJ388" s="706"/>
      <c r="AK388" s="706"/>
      <c r="AL388" s="706"/>
      <c r="AM388" s="706"/>
      <c r="AN388" s="706"/>
      <c r="AO388" s="863"/>
      <c r="AP388" s="706"/>
      <c r="AQ388" s="706"/>
      <c r="AR388" s="706"/>
      <c r="AS388" s="706"/>
      <c r="AT388" s="706"/>
      <c r="AU388" s="706"/>
      <c r="AV388" s="706"/>
      <c r="AW388" s="706"/>
      <c r="AX388" s="706"/>
      <c r="AY388" s="706"/>
      <c r="AZ388" s="706"/>
      <c r="BA388" s="706"/>
      <c r="BB388" s="706"/>
      <c r="BC388" s="706"/>
      <c r="BD388" s="706"/>
      <c r="BE388" s="706"/>
      <c r="BF388" s="706"/>
      <c r="BG388" s="706"/>
      <c r="BH388" s="706"/>
    </row>
    <row r="389" spans="1:60" s="48" customFormat="1">
      <c r="A389" s="711"/>
      <c r="B389" s="711"/>
      <c r="C389" s="706"/>
      <c r="D389" s="706"/>
      <c r="E389" s="706"/>
      <c r="F389" s="706"/>
      <c r="G389" s="706"/>
      <c r="H389" s="706"/>
      <c r="I389" s="863"/>
      <c r="J389" s="706"/>
      <c r="K389" s="706"/>
      <c r="L389" s="706"/>
      <c r="M389" s="706"/>
      <c r="N389" s="706"/>
      <c r="O389" s="706"/>
      <c r="P389" s="706"/>
      <c r="Q389" s="863"/>
      <c r="R389" s="706"/>
      <c r="S389" s="706"/>
      <c r="T389" s="706"/>
      <c r="U389" s="706"/>
      <c r="V389" s="706"/>
      <c r="W389" s="706"/>
      <c r="X389" s="706"/>
      <c r="Y389" s="863"/>
      <c r="Z389" s="706"/>
      <c r="AA389" s="706"/>
      <c r="AB389" s="706"/>
      <c r="AC389" s="706"/>
      <c r="AD389" s="706"/>
      <c r="AE389" s="706"/>
      <c r="AF389" s="706"/>
      <c r="AG389" s="863"/>
      <c r="AH389" s="706"/>
      <c r="AI389" s="706"/>
      <c r="AJ389" s="706"/>
      <c r="AK389" s="706"/>
      <c r="AL389" s="706"/>
      <c r="AM389" s="706"/>
      <c r="AN389" s="706"/>
      <c r="AO389" s="863"/>
      <c r="AP389" s="706"/>
      <c r="AQ389" s="706"/>
      <c r="AR389" s="706"/>
      <c r="AS389" s="706"/>
      <c r="AT389" s="706"/>
      <c r="AU389" s="706"/>
      <c r="AV389" s="706"/>
      <c r="AW389" s="706"/>
      <c r="AX389" s="706"/>
      <c r="AY389" s="706"/>
      <c r="AZ389" s="706"/>
      <c r="BA389" s="706"/>
      <c r="BB389" s="706"/>
      <c r="BC389" s="706"/>
      <c r="BD389" s="706"/>
      <c r="BE389" s="706"/>
      <c r="BF389" s="706"/>
      <c r="BG389" s="706"/>
      <c r="BH389" s="706"/>
    </row>
    <row r="390" spans="1:60" s="48" customFormat="1">
      <c r="A390" s="711"/>
      <c r="B390" s="711"/>
      <c r="C390" s="706"/>
      <c r="D390" s="706"/>
      <c r="E390" s="706"/>
      <c r="F390" s="706"/>
      <c r="G390" s="706"/>
      <c r="H390" s="706"/>
      <c r="I390" s="863"/>
      <c r="J390" s="706"/>
      <c r="K390" s="706"/>
      <c r="L390" s="706"/>
      <c r="M390" s="706"/>
      <c r="N390" s="706"/>
      <c r="O390" s="706"/>
      <c r="P390" s="706"/>
      <c r="Q390" s="863"/>
      <c r="R390" s="706"/>
      <c r="S390" s="706"/>
      <c r="T390" s="706"/>
      <c r="U390" s="706"/>
      <c r="V390" s="706"/>
      <c r="W390" s="706"/>
      <c r="X390" s="706"/>
      <c r="Y390" s="863"/>
      <c r="Z390" s="706"/>
      <c r="AA390" s="706"/>
      <c r="AB390" s="706"/>
      <c r="AC390" s="706"/>
      <c r="AD390" s="706"/>
      <c r="AE390" s="706"/>
      <c r="AF390" s="706"/>
      <c r="AG390" s="863"/>
      <c r="AH390" s="706"/>
      <c r="AI390" s="706"/>
      <c r="AJ390" s="706"/>
      <c r="AK390" s="706"/>
      <c r="AL390" s="706"/>
      <c r="AM390" s="706"/>
      <c r="AN390" s="706"/>
      <c r="AO390" s="863"/>
      <c r="AP390" s="706"/>
      <c r="AQ390" s="706"/>
      <c r="AR390" s="706"/>
      <c r="AS390" s="706"/>
      <c r="AT390" s="706"/>
      <c r="AU390" s="706"/>
      <c r="AV390" s="706"/>
      <c r="AW390" s="706"/>
      <c r="AX390" s="706"/>
      <c r="AY390" s="706"/>
      <c r="AZ390" s="706"/>
      <c r="BA390" s="706"/>
      <c r="BB390" s="706"/>
      <c r="BC390" s="706"/>
      <c r="BD390" s="706"/>
      <c r="BE390" s="706"/>
      <c r="BF390" s="706"/>
      <c r="BG390" s="706"/>
      <c r="BH390" s="706"/>
    </row>
    <row r="391" spans="1:60" s="48" customFormat="1">
      <c r="A391" s="711"/>
      <c r="B391" s="711"/>
      <c r="C391" s="706"/>
      <c r="D391" s="706"/>
      <c r="E391" s="706"/>
      <c r="F391" s="706"/>
      <c r="G391" s="706"/>
      <c r="H391" s="706"/>
      <c r="I391" s="863"/>
      <c r="J391" s="706"/>
      <c r="K391" s="706"/>
      <c r="L391" s="706"/>
      <c r="M391" s="706"/>
      <c r="N391" s="706"/>
      <c r="O391" s="706"/>
      <c r="P391" s="706"/>
      <c r="Q391" s="863"/>
      <c r="R391" s="706"/>
      <c r="S391" s="706"/>
      <c r="T391" s="706"/>
      <c r="U391" s="706"/>
      <c r="V391" s="706"/>
      <c r="W391" s="706"/>
      <c r="X391" s="706"/>
      <c r="Y391" s="863"/>
      <c r="Z391" s="706"/>
      <c r="AA391" s="706"/>
      <c r="AB391" s="706"/>
      <c r="AC391" s="706"/>
      <c r="AD391" s="706"/>
      <c r="AE391" s="706"/>
      <c r="AF391" s="706"/>
      <c r="AG391" s="863"/>
      <c r="AH391" s="706"/>
      <c r="AI391" s="706"/>
      <c r="AJ391" s="706"/>
      <c r="AK391" s="706"/>
      <c r="AL391" s="706"/>
      <c r="AM391" s="706"/>
      <c r="AN391" s="706"/>
      <c r="AO391" s="863"/>
      <c r="AP391" s="706"/>
      <c r="AQ391" s="706"/>
      <c r="AR391" s="706"/>
      <c r="AS391" s="706"/>
      <c r="AT391" s="706"/>
      <c r="AU391" s="706"/>
      <c r="AV391" s="706"/>
      <c r="AW391" s="706"/>
      <c r="AX391" s="706"/>
      <c r="AY391" s="706"/>
      <c r="AZ391" s="706"/>
      <c r="BA391" s="706"/>
      <c r="BB391" s="706"/>
      <c r="BC391" s="706"/>
      <c r="BD391" s="706"/>
      <c r="BE391" s="706"/>
      <c r="BF391" s="706"/>
      <c r="BG391" s="706"/>
      <c r="BH391" s="706"/>
    </row>
    <row r="392" spans="1:60" s="48" customFormat="1">
      <c r="A392" s="711"/>
      <c r="B392" s="711"/>
      <c r="C392" s="706"/>
      <c r="D392" s="706"/>
      <c r="E392" s="706"/>
      <c r="F392" s="706"/>
      <c r="G392" s="706"/>
      <c r="H392" s="706"/>
      <c r="I392" s="863"/>
      <c r="J392" s="706"/>
      <c r="K392" s="706"/>
      <c r="L392" s="706"/>
      <c r="M392" s="706"/>
      <c r="N392" s="706"/>
      <c r="O392" s="706"/>
      <c r="P392" s="706"/>
      <c r="Q392" s="863"/>
      <c r="R392" s="706"/>
      <c r="S392" s="706"/>
      <c r="T392" s="706"/>
      <c r="U392" s="706"/>
      <c r="V392" s="706"/>
      <c r="W392" s="706"/>
      <c r="X392" s="706"/>
      <c r="Y392" s="863"/>
      <c r="Z392" s="706"/>
      <c r="AA392" s="706"/>
      <c r="AB392" s="706"/>
      <c r="AC392" s="706"/>
      <c r="AD392" s="706"/>
      <c r="AE392" s="706"/>
      <c r="AF392" s="706"/>
      <c r="AG392" s="863"/>
      <c r="AH392" s="706"/>
      <c r="AI392" s="706"/>
      <c r="AJ392" s="706"/>
      <c r="AK392" s="706"/>
      <c r="AL392" s="706"/>
      <c r="AM392" s="706"/>
      <c r="AN392" s="706"/>
      <c r="AO392" s="863"/>
      <c r="AP392" s="706"/>
      <c r="AQ392" s="706"/>
      <c r="AR392" s="706"/>
      <c r="AS392" s="706"/>
      <c r="AT392" s="706"/>
      <c r="AU392" s="706"/>
      <c r="AV392" s="706"/>
      <c r="AW392" s="706"/>
      <c r="AX392" s="706"/>
      <c r="AY392" s="706"/>
      <c r="AZ392" s="706"/>
      <c r="BA392" s="706"/>
      <c r="BB392" s="706"/>
      <c r="BC392" s="706"/>
      <c r="BD392" s="706"/>
      <c r="BE392" s="706"/>
      <c r="BF392" s="706"/>
      <c r="BG392" s="706"/>
      <c r="BH392" s="706"/>
    </row>
    <row r="393" spans="1:60" s="48" customFormat="1">
      <c r="A393" s="711"/>
      <c r="B393" s="711"/>
      <c r="C393" s="706"/>
      <c r="D393" s="706"/>
      <c r="E393" s="706"/>
      <c r="F393" s="706"/>
      <c r="G393" s="706"/>
      <c r="H393" s="706"/>
      <c r="I393" s="863"/>
      <c r="J393" s="706"/>
      <c r="K393" s="706"/>
      <c r="L393" s="706"/>
      <c r="M393" s="706"/>
      <c r="N393" s="706"/>
      <c r="O393" s="706"/>
      <c r="P393" s="706"/>
      <c r="Q393" s="863"/>
      <c r="R393" s="706"/>
      <c r="S393" s="706"/>
      <c r="T393" s="706"/>
      <c r="U393" s="706"/>
      <c r="V393" s="706"/>
      <c r="W393" s="706"/>
      <c r="X393" s="706"/>
      <c r="Y393" s="863"/>
      <c r="Z393" s="706"/>
      <c r="AA393" s="706"/>
      <c r="AB393" s="706"/>
      <c r="AC393" s="706"/>
      <c r="AD393" s="706"/>
      <c r="AE393" s="706"/>
      <c r="AF393" s="706"/>
      <c r="AG393" s="863"/>
      <c r="AH393" s="706"/>
      <c r="AI393" s="706"/>
      <c r="AJ393" s="706"/>
      <c r="AK393" s="706"/>
      <c r="AL393" s="706"/>
      <c r="AM393" s="706"/>
      <c r="AN393" s="706"/>
      <c r="AO393" s="863"/>
      <c r="AP393" s="706"/>
      <c r="AQ393" s="706"/>
      <c r="AR393" s="706"/>
      <c r="AS393" s="706"/>
      <c r="AT393" s="706"/>
      <c r="AU393" s="706"/>
      <c r="AV393" s="706"/>
      <c r="AW393" s="706"/>
      <c r="AX393" s="706"/>
      <c r="AY393" s="706"/>
      <c r="AZ393" s="706"/>
      <c r="BA393" s="706"/>
      <c r="BB393" s="706"/>
      <c r="BC393" s="706"/>
      <c r="BD393" s="706"/>
      <c r="BE393" s="706"/>
      <c r="BF393" s="706"/>
      <c r="BG393" s="706"/>
      <c r="BH393" s="706"/>
    </row>
    <row r="394" spans="1:60" s="48" customFormat="1">
      <c r="A394" s="711"/>
      <c r="B394" s="711"/>
      <c r="C394" s="706"/>
      <c r="D394" s="706"/>
      <c r="E394" s="706"/>
      <c r="F394" s="706"/>
      <c r="G394" s="706"/>
      <c r="H394" s="706"/>
      <c r="I394" s="863"/>
      <c r="J394" s="706"/>
      <c r="K394" s="706"/>
      <c r="L394" s="706"/>
      <c r="M394" s="706"/>
      <c r="N394" s="706"/>
      <c r="O394" s="706"/>
      <c r="P394" s="706"/>
      <c r="Q394" s="863"/>
      <c r="R394" s="706"/>
      <c r="S394" s="706"/>
      <c r="T394" s="706"/>
      <c r="U394" s="706"/>
      <c r="V394" s="706"/>
      <c r="W394" s="706"/>
      <c r="X394" s="706"/>
      <c r="Y394" s="863"/>
      <c r="Z394" s="706"/>
      <c r="AA394" s="706"/>
      <c r="AB394" s="706"/>
      <c r="AC394" s="706"/>
      <c r="AD394" s="706"/>
      <c r="AE394" s="706"/>
      <c r="AF394" s="706"/>
      <c r="AG394" s="863"/>
      <c r="AH394" s="706"/>
      <c r="AI394" s="706"/>
      <c r="AJ394" s="706"/>
      <c r="AK394" s="706"/>
      <c r="AL394" s="706"/>
      <c r="AM394" s="706"/>
      <c r="AN394" s="706"/>
      <c r="AO394" s="863"/>
      <c r="AP394" s="706"/>
      <c r="AQ394" s="706"/>
      <c r="AR394" s="706"/>
      <c r="AS394" s="706"/>
      <c r="AT394" s="706"/>
      <c r="AU394" s="706"/>
      <c r="AV394" s="706"/>
      <c r="AW394" s="706"/>
      <c r="AX394" s="706"/>
      <c r="AY394" s="706"/>
      <c r="AZ394" s="706"/>
      <c r="BA394" s="706"/>
      <c r="BB394" s="706"/>
      <c r="BC394" s="706"/>
      <c r="BD394" s="706"/>
      <c r="BE394" s="706"/>
      <c r="BF394" s="706"/>
      <c r="BG394" s="706"/>
      <c r="BH394" s="706"/>
    </row>
    <row r="395" spans="1:60" s="48" customFormat="1">
      <c r="A395" s="711"/>
      <c r="B395" s="711"/>
      <c r="C395" s="706"/>
      <c r="D395" s="706"/>
      <c r="E395" s="706"/>
      <c r="F395" s="706"/>
      <c r="G395" s="706"/>
      <c r="H395" s="706"/>
      <c r="I395" s="863"/>
      <c r="J395" s="706"/>
      <c r="K395" s="706"/>
      <c r="L395" s="706"/>
      <c r="M395" s="706"/>
      <c r="N395" s="706"/>
      <c r="O395" s="706"/>
      <c r="P395" s="706"/>
      <c r="Q395" s="863"/>
      <c r="R395" s="706"/>
      <c r="S395" s="706"/>
      <c r="T395" s="706"/>
      <c r="U395" s="706"/>
      <c r="V395" s="706"/>
      <c r="W395" s="706"/>
      <c r="X395" s="706"/>
      <c r="Y395" s="863"/>
      <c r="Z395" s="706"/>
      <c r="AA395" s="706"/>
      <c r="AB395" s="706"/>
      <c r="AC395" s="706"/>
      <c r="AD395" s="706"/>
      <c r="AE395" s="706"/>
      <c r="AF395" s="706"/>
      <c r="AG395" s="863"/>
      <c r="AH395" s="706"/>
      <c r="AI395" s="706"/>
      <c r="AJ395" s="706"/>
      <c r="AK395" s="706"/>
      <c r="AL395" s="706"/>
      <c r="AM395" s="706"/>
      <c r="AN395" s="706"/>
      <c r="AO395" s="863"/>
      <c r="AP395" s="706"/>
      <c r="AQ395" s="706"/>
      <c r="AR395" s="706"/>
      <c r="AS395" s="706"/>
      <c r="AT395" s="706"/>
      <c r="AU395" s="706"/>
      <c r="AV395" s="706"/>
      <c r="AW395" s="706"/>
      <c r="AX395" s="706"/>
      <c r="AY395" s="706"/>
      <c r="AZ395" s="706"/>
      <c r="BA395" s="706"/>
      <c r="BB395" s="706"/>
      <c r="BC395" s="706"/>
      <c r="BD395" s="706"/>
      <c r="BE395" s="706"/>
      <c r="BF395" s="706"/>
      <c r="BG395" s="706"/>
      <c r="BH395" s="706"/>
    </row>
    <row r="396" spans="1:60" s="48" customFormat="1">
      <c r="A396" s="711"/>
      <c r="B396" s="711"/>
      <c r="C396" s="706"/>
      <c r="D396" s="706"/>
      <c r="E396" s="706"/>
      <c r="F396" s="706"/>
      <c r="G396" s="706"/>
      <c r="H396" s="706"/>
      <c r="I396" s="863"/>
      <c r="J396" s="706"/>
      <c r="K396" s="706"/>
      <c r="L396" s="706"/>
      <c r="M396" s="706"/>
      <c r="N396" s="706"/>
      <c r="O396" s="706"/>
      <c r="P396" s="706"/>
      <c r="Q396" s="863"/>
      <c r="R396" s="706"/>
      <c r="S396" s="706"/>
      <c r="T396" s="706"/>
      <c r="U396" s="706"/>
      <c r="V396" s="706"/>
      <c r="W396" s="706"/>
      <c r="X396" s="706"/>
      <c r="Y396" s="863"/>
      <c r="Z396" s="706"/>
      <c r="AA396" s="706"/>
      <c r="AB396" s="706"/>
      <c r="AC396" s="706"/>
      <c r="AD396" s="706"/>
      <c r="AE396" s="706"/>
      <c r="AF396" s="706"/>
      <c r="AG396" s="863"/>
      <c r="AH396" s="706"/>
      <c r="AI396" s="706"/>
      <c r="AJ396" s="706"/>
      <c r="AK396" s="706"/>
      <c r="AL396" s="706"/>
      <c r="AM396" s="706"/>
      <c r="AN396" s="706"/>
      <c r="AO396" s="863"/>
      <c r="AP396" s="706"/>
      <c r="AQ396" s="706"/>
      <c r="AR396" s="706"/>
      <c r="AS396" s="706"/>
      <c r="AT396" s="706"/>
      <c r="AU396" s="706"/>
      <c r="AV396" s="706"/>
      <c r="AW396" s="706"/>
      <c r="AX396" s="706"/>
      <c r="AY396" s="706"/>
      <c r="AZ396" s="706"/>
      <c r="BA396" s="706"/>
      <c r="BB396" s="706"/>
      <c r="BC396" s="706"/>
      <c r="BD396" s="706"/>
      <c r="BE396" s="706"/>
      <c r="BF396" s="706"/>
      <c r="BG396" s="706"/>
      <c r="BH396" s="706"/>
    </row>
    <row r="397" spans="1:60" s="48" customFormat="1">
      <c r="A397" s="711"/>
      <c r="B397" s="711"/>
      <c r="C397" s="706"/>
      <c r="D397" s="706"/>
      <c r="E397" s="706"/>
      <c r="F397" s="706"/>
      <c r="G397" s="706"/>
      <c r="H397" s="706"/>
      <c r="I397" s="863"/>
      <c r="J397" s="706"/>
      <c r="K397" s="706"/>
      <c r="L397" s="706"/>
      <c r="M397" s="706"/>
      <c r="N397" s="706"/>
      <c r="O397" s="706"/>
      <c r="P397" s="706"/>
      <c r="Q397" s="863"/>
      <c r="R397" s="706"/>
      <c r="S397" s="706"/>
      <c r="T397" s="706"/>
      <c r="U397" s="706"/>
      <c r="V397" s="706"/>
      <c r="W397" s="706"/>
      <c r="X397" s="706"/>
      <c r="Y397" s="863"/>
      <c r="Z397" s="706"/>
      <c r="AA397" s="706"/>
      <c r="AB397" s="706"/>
      <c r="AC397" s="706"/>
      <c r="AD397" s="706"/>
      <c r="AE397" s="706"/>
      <c r="AF397" s="706"/>
      <c r="AG397" s="863"/>
      <c r="AH397" s="706"/>
      <c r="AI397" s="706"/>
      <c r="AJ397" s="706"/>
      <c r="AK397" s="706"/>
      <c r="AL397" s="706"/>
      <c r="AM397" s="706"/>
      <c r="AN397" s="706"/>
      <c r="AO397" s="863"/>
      <c r="AP397" s="706"/>
      <c r="AQ397" s="706"/>
      <c r="AR397" s="706"/>
      <c r="AS397" s="706"/>
      <c r="AT397" s="706"/>
      <c r="AU397" s="706"/>
      <c r="AV397" s="706"/>
      <c r="AW397" s="706"/>
      <c r="AX397" s="706"/>
      <c r="AY397" s="706"/>
      <c r="AZ397" s="706"/>
      <c r="BA397" s="706"/>
      <c r="BB397" s="706"/>
      <c r="BC397" s="706"/>
      <c r="BD397" s="706"/>
      <c r="BE397" s="706"/>
      <c r="BF397" s="706"/>
      <c r="BG397" s="706"/>
      <c r="BH397" s="706"/>
    </row>
    <row r="398" spans="1:60" s="48" customFormat="1">
      <c r="A398" s="711"/>
      <c r="B398" s="711"/>
      <c r="C398" s="706"/>
      <c r="D398" s="706"/>
      <c r="E398" s="706"/>
      <c r="F398" s="706"/>
      <c r="G398" s="706"/>
      <c r="H398" s="706"/>
      <c r="I398" s="863"/>
      <c r="J398" s="706"/>
      <c r="K398" s="706"/>
      <c r="L398" s="706"/>
      <c r="M398" s="706"/>
      <c r="N398" s="706"/>
      <c r="O398" s="706"/>
      <c r="P398" s="706"/>
      <c r="Q398" s="863"/>
      <c r="R398" s="706"/>
      <c r="S398" s="706"/>
      <c r="T398" s="706"/>
      <c r="U398" s="706"/>
      <c r="V398" s="706"/>
      <c r="W398" s="706"/>
      <c r="X398" s="706"/>
      <c r="Y398" s="863"/>
      <c r="Z398" s="706"/>
      <c r="AA398" s="706"/>
      <c r="AB398" s="706"/>
      <c r="AC398" s="706"/>
      <c r="AD398" s="706"/>
      <c r="AE398" s="706"/>
      <c r="AF398" s="706"/>
      <c r="AG398" s="863"/>
      <c r="AH398" s="706"/>
      <c r="AI398" s="706"/>
      <c r="AJ398" s="706"/>
      <c r="AK398" s="706"/>
      <c r="AL398" s="706"/>
      <c r="AM398" s="706"/>
      <c r="AN398" s="706"/>
      <c r="AO398" s="863"/>
      <c r="AP398" s="706"/>
      <c r="AQ398" s="706"/>
      <c r="AR398" s="706"/>
      <c r="AS398" s="706"/>
      <c r="AT398" s="706"/>
      <c r="AU398" s="706"/>
      <c r="AV398" s="706"/>
      <c r="AW398" s="706"/>
      <c r="AX398" s="706"/>
      <c r="AY398" s="706"/>
      <c r="AZ398" s="706"/>
      <c r="BA398" s="706"/>
      <c r="BB398" s="706"/>
      <c r="BC398" s="706"/>
      <c r="BD398" s="706"/>
      <c r="BE398" s="706"/>
      <c r="BF398" s="706"/>
      <c r="BG398" s="706"/>
      <c r="BH398" s="706"/>
    </row>
    <row r="399" spans="1:60" s="48" customFormat="1">
      <c r="A399" s="711"/>
      <c r="B399" s="711"/>
      <c r="C399" s="706"/>
      <c r="D399" s="706"/>
      <c r="E399" s="706"/>
      <c r="F399" s="706"/>
      <c r="G399" s="706"/>
      <c r="H399" s="706"/>
      <c r="I399" s="863"/>
      <c r="J399" s="706"/>
      <c r="K399" s="706"/>
      <c r="L399" s="706"/>
      <c r="M399" s="706"/>
      <c r="N399" s="706"/>
      <c r="O399" s="706"/>
      <c r="P399" s="706"/>
      <c r="Q399" s="863"/>
      <c r="R399" s="706"/>
      <c r="S399" s="706"/>
      <c r="T399" s="706"/>
      <c r="U399" s="706"/>
      <c r="V399" s="706"/>
      <c r="W399" s="706"/>
      <c r="X399" s="706"/>
      <c r="Y399" s="863"/>
      <c r="Z399" s="706"/>
      <c r="AA399" s="706"/>
      <c r="AB399" s="706"/>
      <c r="AC399" s="706"/>
      <c r="AD399" s="706"/>
      <c r="AE399" s="706"/>
      <c r="AF399" s="706"/>
      <c r="AG399" s="863"/>
      <c r="AH399" s="706"/>
      <c r="AI399" s="706"/>
      <c r="AJ399" s="706"/>
      <c r="AK399" s="706"/>
      <c r="AL399" s="706"/>
      <c r="AM399" s="706"/>
      <c r="AN399" s="706"/>
      <c r="AO399" s="863"/>
      <c r="AP399" s="706"/>
      <c r="AQ399" s="706"/>
      <c r="AR399" s="706"/>
      <c r="AS399" s="706"/>
      <c r="AT399" s="706"/>
      <c r="AU399" s="706"/>
      <c r="AV399" s="706"/>
      <c r="AW399" s="706"/>
      <c r="AX399" s="706"/>
      <c r="AY399" s="706"/>
      <c r="AZ399" s="706"/>
      <c r="BA399" s="706"/>
      <c r="BB399" s="706"/>
      <c r="BC399" s="706"/>
      <c r="BD399" s="706"/>
      <c r="BE399" s="706"/>
      <c r="BF399" s="706"/>
      <c r="BG399" s="706"/>
      <c r="BH399" s="706"/>
    </row>
    <row r="400" spans="1:60" s="48" customFormat="1">
      <c r="A400" s="711"/>
      <c r="B400" s="711"/>
      <c r="C400" s="706"/>
      <c r="D400" s="706"/>
      <c r="E400" s="706"/>
      <c r="F400" s="706"/>
      <c r="G400" s="706"/>
      <c r="H400" s="706"/>
      <c r="I400" s="863"/>
      <c r="J400" s="706"/>
      <c r="K400" s="706"/>
      <c r="L400" s="706"/>
      <c r="M400" s="706"/>
      <c r="N400" s="706"/>
      <c r="O400" s="706"/>
      <c r="P400" s="706"/>
      <c r="Q400" s="863"/>
      <c r="R400" s="706"/>
      <c r="S400" s="706"/>
      <c r="T400" s="706"/>
      <c r="U400" s="706"/>
      <c r="V400" s="706"/>
      <c r="W400" s="706"/>
      <c r="X400" s="706"/>
      <c r="Y400" s="863"/>
      <c r="Z400" s="706"/>
      <c r="AA400" s="706"/>
      <c r="AB400" s="706"/>
      <c r="AC400" s="706"/>
      <c r="AD400" s="706"/>
      <c r="AE400" s="706"/>
      <c r="AF400" s="706"/>
      <c r="AG400" s="863"/>
      <c r="AH400" s="706"/>
      <c r="AI400" s="706"/>
      <c r="AJ400" s="706"/>
      <c r="AK400" s="706"/>
      <c r="AL400" s="706"/>
      <c r="AM400" s="706"/>
      <c r="AN400" s="706"/>
      <c r="AO400" s="863"/>
      <c r="AP400" s="706"/>
      <c r="AQ400" s="706"/>
      <c r="AR400" s="706"/>
      <c r="AS400" s="706"/>
      <c r="AT400" s="706"/>
      <c r="AU400" s="706"/>
      <c r="AV400" s="706"/>
      <c r="AW400" s="706"/>
      <c r="AX400" s="706"/>
      <c r="AY400" s="706"/>
      <c r="AZ400" s="706"/>
      <c r="BA400" s="706"/>
      <c r="BB400" s="706"/>
      <c r="BC400" s="706"/>
      <c r="BD400" s="706"/>
      <c r="BE400" s="706"/>
      <c r="BF400" s="706"/>
      <c r="BG400" s="706"/>
      <c r="BH400" s="706"/>
    </row>
    <row r="401" spans="1:60" s="48" customFormat="1">
      <c r="A401" s="711"/>
      <c r="B401" s="711"/>
      <c r="C401" s="706"/>
      <c r="D401" s="706"/>
      <c r="E401" s="706"/>
      <c r="F401" s="706"/>
      <c r="G401" s="706"/>
      <c r="H401" s="706"/>
      <c r="I401" s="863"/>
      <c r="J401" s="706"/>
      <c r="K401" s="706"/>
      <c r="L401" s="706"/>
      <c r="M401" s="706"/>
      <c r="N401" s="706"/>
      <c r="O401" s="706"/>
      <c r="P401" s="706"/>
      <c r="Q401" s="863"/>
      <c r="R401" s="706"/>
      <c r="S401" s="706"/>
      <c r="T401" s="706"/>
      <c r="U401" s="706"/>
      <c r="V401" s="706"/>
      <c r="W401" s="706"/>
      <c r="X401" s="706"/>
      <c r="Y401" s="863"/>
      <c r="Z401" s="706"/>
      <c r="AA401" s="706"/>
      <c r="AB401" s="706"/>
      <c r="AC401" s="706"/>
      <c r="AD401" s="706"/>
      <c r="AE401" s="706"/>
      <c r="AF401" s="706"/>
      <c r="AG401" s="863"/>
      <c r="AH401" s="706"/>
      <c r="AI401" s="706"/>
      <c r="AJ401" s="706"/>
      <c r="AK401" s="706"/>
      <c r="AL401" s="706"/>
      <c r="AM401" s="706"/>
      <c r="AN401" s="706"/>
      <c r="AO401" s="863"/>
      <c r="AP401" s="706"/>
      <c r="AQ401" s="706"/>
      <c r="AR401" s="706"/>
      <c r="AS401" s="706"/>
      <c r="AT401" s="706"/>
      <c r="AU401" s="706"/>
      <c r="AV401" s="706"/>
      <c r="AW401" s="706"/>
      <c r="AX401" s="706"/>
      <c r="AY401" s="706"/>
      <c r="AZ401" s="706"/>
      <c r="BA401" s="706"/>
      <c r="BB401" s="706"/>
      <c r="BC401" s="706"/>
      <c r="BD401" s="706"/>
      <c r="BE401" s="706"/>
      <c r="BF401" s="706"/>
      <c r="BG401" s="706"/>
      <c r="BH401" s="706"/>
    </row>
    <row r="402" spans="1:60" s="48" customFormat="1">
      <c r="A402" s="711"/>
      <c r="B402" s="711"/>
      <c r="C402" s="706"/>
      <c r="D402" s="706"/>
      <c r="E402" s="706"/>
      <c r="F402" s="706"/>
      <c r="G402" s="706"/>
      <c r="H402" s="706"/>
      <c r="I402" s="863"/>
      <c r="J402" s="706"/>
      <c r="K402" s="706"/>
      <c r="L402" s="706"/>
      <c r="M402" s="706"/>
      <c r="N402" s="706"/>
      <c r="O402" s="706"/>
      <c r="P402" s="706"/>
      <c r="Q402" s="863"/>
      <c r="R402" s="706"/>
      <c r="S402" s="706"/>
      <c r="T402" s="706"/>
      <c r="U402" s="706"/>
      <c r="V402" s="706"/>
      <c r="W402" s="706"/>
      <c r="X402" s="706"/>
      <c r="Y402" s="863"/>
      <c r="Z402" s="706"/>
      <c r="AA402" s="706"/>
      <c r="AB402" s="706"/>
      <c r="AC402" s="706"/>
      <c r="AD402" s="706"/>
      <c r="AE402" s="706"/>
      <c r="AF402" s="706"/>
      <c r="AG402" s="863"/>
      <c r="AH402" s="706"/>
      <c r="AI402" s="706"/>
      <c r="AJ402" s="706"/>
      <c r="AK402" s="706"/>
      <c r="AL402" s="706"/>
      <c r="AM402" s="706"/>
      <c r="AN402" s="706"/>
      <c r="AO402" s="863"/>
      <c r="AP402" s="706"/>
      <c r="AQ402" s="706"/>
      <c r="AR402" s="706"/>
      <c r="AS402" s="706"/>
      <c r="AT402" s="706"/>
      <c r="AU402" s="706"/>
      <c r="AV402" s="706"/>
      <c r="AW402" s="706"/>
      <c r="AX402" s="706"/>
      <c r="AY402" s="706"/>
      <c r="AZ402" s="706"/>
      <c r="BA402" s="706"/>
      <c r="BB402" s="706"/>
      <c r="BC402" s="706"/>
      <c r="BD402" s="706"/>
      <c r="BE402" s="706"/>
      <c r="BF402" s="706"/>
      <c r="BG402" s="706"/>
      <c r="BH402" s="706"/>
    </row>
    <row r="403" spans="1:60" s="48" customFormat="1">
      <c r="A403" s="711"/>
      <c r="B403" s="711"/>
      <c r="C403" s="706"/>
      <c r="D403" s="706"/>
      <c r="E403" s="706"/>
      <c r="F403" s="706"/>
      <c r="G403" s="706"/>
      <c r="H403" s="706"/>
      <c r="I403" s="863"/>
      <c r="J403" s="706"/>
      <c r="K403" s="706"/>
      <c r="L403" s="706"/>
      <c r="M403" s="706"/>
      <c r="N403" s="706"/>
      <c r="O403" s="706"/>
      <c r="P403" s="706"/>
      <c r="Q403" s="863"/>
      <c r="R403" s="706"/>
      <c r="S403" s="706"/>
      <c r="T403" s="706"/>
      <c r="U403" s="706"/>
      <c r="V403" s="706"/>
      <c r="W403" s="706"/>
      <c r="X403" s="706"/>
      <c r="Y403" s="863"/>
      <c r="Z403" s="706"/>
      <c r="AA403" s="706"/>
      <c r="AB403" s="706"/>
      <c r="AC403" s="706"/>
      <c r="AD403" s="706"/>
      <c r="AE403" s="706"/>
      <c r="AF403" s="706"/>
      <c r="AG403" s="863"/>
      <c r="AH403" s="706"/>
      <c r="AI403" s="706"/>
      <c r="AJ403" s="706"/>
      <c r="AK403" s="706"/>
      <c r="AL403" s="706"/>
      <c r="AM403" s="706"/>
      <c r="AN403" s="706"/>
      <c r="AO403" s="863"/>
      <c r="AP403" s="706"/>
      <c r="AQ403" s="706"/>
      <c r="AR403" s="706"/>
      <c r="AS403" s="706"/>
      <c r="AT403" s="706"/>
      <c r="AU403" s="706"/>
      <c r="AV403" s="706"/>
      <c r="AW403" s="706"/>
      <c r="AX403" s="706"/>
      <c r="AY403" s="706"/>
      <c r="AZ403" s="706"/>
      <c r="BA403" s="706"/>
      <c r="BB403" s="706"/>
      <c r="BC403" s="706"/>
      <c r="BD403" s="706"/>
      <c r="BE403" s="706"/>
      <c r="BF403" s="706"/>
      <c r="BG403" s="706"/>
      <c r="BH403" s="706"/>
    </row>
    <row r="404" spans="1:60" s="48" customFormat="1">
      <c r="A404" s="711"/>
      <c r="B404" s="711"/>
      <c r="C404" s="706"/>
      <c r="D404" s="706"/>
      <c r="E404" s="706"/>
      <c r="F404" s="706"/>
      <c r="G404" s="706"/>
      <c r="H404" s="706"/>
      <c r="I404" s="863"/>
      <c r="J404" s="706"/>
      <c r="K404" s="706"/>
      <c r="L404" s="706"/>
      <c r="M404" s="706"/>
      <c r="N404" s="706"/>
      <c r="O404" s="706"/>
      <c r="P404" s="706"/>
      <c r="Q404" s="863"/>
      <c r="R404" s="706"/>
      <c r="S404" s="706"/>
      <c r="T404" s="706"/>
      <c r="U404" s="706"/>
      <c r="V404" s="706"/>
      <c r="W404" s="706"/>
      <c r="X404" s="706"/>
      <c r="Y404" s="863"/>
      <c r="Z404" s="706"/>
      <c r="AA404" s="706"/>
      <c r="AB404" s="706"/>
      <c r="AC404" s="706"/>
      <c r="AD404" s="706"/>
      <c r="AE404" s="706"/>
      <c r="AF404" s="706"/>
      <c r="AG404" s="863"/>
      <c r="AH404" s="706"/>
      <c r="AI404" s="706"/>
      <c r="AJ404" s="706"/>
      <c r="AK404" s="706"/>
      <c r="AL404" s="706"/>
      <c r="AM404" s="706"/>
      <c r="AN404" s="706"/>
      <c r="AO404" s="863"/>
      <c r="AP404" s="706"/>
      <c r="AQ404" s="706"/>
      <c r="AR404" s="706"/>
      <c r="AS404" s="706"/>
      <c r="AT404" s="706"/>
      <c r="AU404" s="706"/>
      <c r="AV404" s="706"/>
      <c r="AW404" s="706"/>
      <c r="AX404" s="706"/>
      <c r="AY404" s="706"/>
      <c r="AZ404" s="706"/>
      <c r="BA404" s="706"/>
      <c r="BB404" s="706"/>
      <c r="BC404" s="706"/>
      <c r="BD404" s="706"/>
      <c r="BE404" s="706"/>
      <c r="BF404" s="706"/>
      <c r="BG404" s="706"/>
      <c r="BH404" s="706"/>
    </row>
    <row r="405" spans="1:60" s="48" customFormat="1">
      <c r="A405" s="711"/>
      <c r="B405" s="711"/>
      <c r="C405" s="706"/>
      <c r="D405" s="706"/>
      <c r="E405" s="706"/>
      <c r="F405" s="706"/>
      <c r="G405" s="706"/>
      <c r="H405" s="706"/>
      <c r="I405" s="863"/>
      <c r="J405" s="706"/>
      <c r="K405" s="706"/>
      <c r="L405" s="706"/>
      <c r="M405" s="706"/>
      <c r="N405" s="706"/>
      <c r="O405" s="706"/>
      <c r="P405" s="706"/>
      <c r="Q405" s="863"/>
      <c r="R405" s="706"/>
      <c r="S405" s="706"/>
      <c r="T405" s="706"/>
      <c r="U405" s="706"/>
      <c r="V405" s="706"/>
      <c r="W405" s="706"/>
      <c r="X405" s="706"/>
      <c r="Y405" s="863"/>
      <c r="Z405" s="706"/>
      <c r="AA405" s="706"/>
      <c r="AB405" s="706"/>
      <c r="AC405" s="706"/>
      <c r="AD405" s="706"/>
      <c r="AE405" s="706"/>
      <c r="AF405" s="706"/>
      <c r="AG405" s="863"/>
      <c r="AH405" s="706"/>
      <c r="AI405" s="706"/>
      <c r="AJ405" s="706"/>
      <c r="AK405" s="706"/>
      <c r="AL405" s="706"/>
      <c r="AM405" s="706"/>
      <c r="AN405" s="706"/>
      <c r="AO405" s="863"/>
      <c r="AP405" s="706"/>
      <c r="AQ405" s="706"/>
      <c r="AR405" s="706"/>
      <c r="AS405" s="706"/>
      <c r="AT405" s="706"/>
      <c r="AU405" s="706"/>
      <c r="AV405" s="706"/>
      <c r="AW405" s="706"/>
      <c r="AX405" s="706"/>
      <c r="AY405" s="706"/>
      <c r="AZ405" s="706"/>
      <c r="BA405" s="706"/>
      <c r="BB405" s="706"/>
      <c r="BC405" s="706"/>
      <c r="BD405" s="706"/>
      <c r="BE405" s="706"/>
      <c r="BF405" s="706"/>
      <c r="BG405" s="706"/>
      <c r="BH405" s="706"/>
    </row>
    <row r="406" spans="1:60" s="48" customFormat="1">
      <c r="A406" s="711"/>
      <c r="B406" s="711"/>
      <c r="C406" s="706"/>
      <c r="D406" s="706"/>
      <c r="E406" s="706"/>
      <c r="F406" s="706"/>
      <c r="G406" s="706"/>
      <c r="H406" s="706"/>
      <c r="I406" s="863"/>
      <c r="J406" s="706"/>
      <c r="K406" s="706"/>
      <c r="L406" s="706"/>
      <c r="M406" s="706"/>
      <c r="N406" s="706"/>
      <c r="O406" s="706"/>
      <c r="P406" s="706"/>
      <c r="Q406" s="863"/>
      <c r="R406" s="706"/>
      <c r="S406" s="706"/>
      <c r="T406" s="706"/>
      <c r="U406" s="706"/>
      <c r="V406" s="706"/>
      <c r="W406" s="706"/>
      <c r="X406" s="706"/>
      <c r="Y406" s="863"/>
      <c r="Z406" s="706"/>
      <c r="AA406" s="706"/>
      <c r="AB406" s="706"/>
      <c r="AC406" s="706"/>
      <c r="AD406" s="706"/>
      <c r="AE406" s="706"/>
      <c r="AF406" s="706"/>
      <c r="AG406" s="863"/>
      <c r="AH406" s="706"/>
      <c r="AI406" s="706"/>
      <c r="AJ406" s="706"/>
      <c r="AK406" s="706"/>
      <c r="AL406" s="706"/>
      <c r="AM406" s="706"/>
      <c r="AN406" s="706"/>
      <c r="AO406" s="863"/>
      <c r="AP406" s="706"/>
      <c r="AQ406" s="706"/>
      <c r="AR406" s="706"/>
      <c r="AS406" s="706"/>
      <c r="AT406" s="706"/>
      <c r="AU406" s="706"/>
      <c r="AV406" s="706"/>
      <c r="AW406" s="706"/>
      <c r="AX406" s="706"/>
      <c r="AY406" s="706"/>
      <c r="AZ406" s="706"/>
      <c r="BA406" s="706"/>
      <c r="BB406" s="706"/>
      <c r="BC406" s="706"/>
      <c r="BD406" s="706"/>
      <c r="BE406" s="706"/>
      <c r="BF406" s="706"/>
      <c r="BG406" s="706"/>
      <c r="BH406" s="706"/>
    </row>
    <row r="407" spans="1:60" s="48" customFormat="1">
      <c r="A407" s="711"/>
      <c r="B407" s="711"/>
      <c r="C407" s="706"/>
      <c r="D407" s="706"/>
      <c r="E407" s="706"/>
      <c r="F407" s="706"/>
      <c r="G407" s="706"/>
      <c r="H407" s="706"/>
      <c r="I407" s="863"/>
      <c r="J407" s="706"/>
      <c r="K407" s="706"/>
      <c r="L407" s="706"/>
      <c r="M407" s="706"/>
      <c r="N407" s="706"/>
      <c r="O407" s="706"/>
      <c r="P407" s="706"/>
      <c r="Q407" s="863"/>
      <c r="R407" s="706"/>
      <c r="S407" s="706"/>
      <c r="T407" s="706"/>
      <c r="U407" s="706"/>
      <c r="V407" s="706"/>
      <c r="W407" s="706"/>
      <c r="X407" s="706"/>
      <c r="Y407" s="863"/>
      <c r="Z407" s="706"/>
      <c r="AA407" s="706"/>
      <c r="AB407" s="706"/>
      <c r="AC407" s="706"/>
      <c r="AD407" s="706"/>
      <c r="AE407" s="706"/>
      <c r="AF407" s="706"/>
      <c r="AG407" s="863"/>
      <c r="AH407" s="706"/>
      <c r="AI407" s="706"/>
      <c r="AJ407" s="706"/>
      <c r="AK407" s="706"/>
      <c r="AL407" s="706"/>
      <c r="AM407" s="706"/>
      <c r="AN407" s="706"/>
      <c r="AO407" s="863"/>
      <c r="AP407" s="706"/>
      <c r="AQ407" s="706"/>
      <c r="AR407" s="706"/>
      <c r="AS407" s="706"/>
      <c r="AT407" s="706"/>
      <c r="AU407" s="706"/>
      <c r="AV407" s="706"/>
      <c r="AW407" s="706"/>
      <c r="AX407" s="706"/>
      <c r="AY407" s="706"/>
      <c r="AZ407" s="706"/>
      <c r="BA407" s="706"/>
      <c r="BB407" s="706"/>
      <c r="BC407" s="706"/>
      <c r="BD407" s="706"/>
      <c r="BE407" s="706"/>
      <c r="BF407" s="706"/>
      <c r="BG407" s="706"/>
      <c r="BH407" s="706"/>
    </row>
    <row r="408" spans="1:60" s="48" customFormat="1">
      <c r="A408" s="711"/>
      <c r="B408" s="711"/>
      <c r="C408" s="706"/>
      <c r="D408" s="706"/>
      <c r="E408" s="706"/>
      <c r="F408" s="706"/>
      <c r="G408" s="706"/>
      <c r="H408" s="706"/>
      <c r="I408" s="863"/>
      <c r="J408" s="706"/>
      <c r="K408" s="706"/>
      <c r="L408" s="706"/>
      <c r="M408" s="706"/>
      <c r="N408" s="706"/>
      <c r="O408" s="706"/>
      <c r="P408" s="706"/>
      <c r="Q408" s="863"/>
      <c r="R408" s="706"/>
      <c r="S408" s="706"/>
      <c r="T408" s="706"/>
      <c r="U408" s="706"/>
      <c r="V408" s="706"/>
      <c r="W408" s="706"/>
      <c r="X408" s="706"/>
      <c r="Y408" s="863"/>
      <c r="Z408" s="706"/>
      <c r="AA408" s="706"/>
      <c r="AB408" s="706"/>
      <c r="AC408" s="706"/>
      <c r="AD408" s="706"/>
      <c r="AE408" s="706"/>
      <c r="AF408" s="706"/>
      <c r="AG408" s="863"/>
      <c r="AH408" s="706"/>
      <c r="AI408" s="706"/>
      <c r="AJ408" s="706"/>
      <c r="AK408" s="706"/>
      <c r="AL408" s="706"/>
      <c r="AM408" s="706"/>
      <c r="AN408" s="706"/>
      <c r="AO408" s="863"/>
      <c r="AP408" s="706"/>
      <c r="AQ408" s="706"/>
      <c r="AR408" s="706"/>
      <c r="AS408" s="706"/>
      <c r="AT408" s="706"/>
      <c r="AU408" s="706"/>
      <c r="AV408" s="706"/>
      <c r="AW408" s="706"/>
      <c r="AX408" s="706"/>
      <c r="AY408" s="706"/>
      <c r="AZ408" s="706"/>
      <c r="BA408" s="706"/>
      <c r="BB408" s="706"/>
      <c r="BC408" s="706"/>
      <c r="BD408" s="706"/>
      <c r="BE408" s="706"/>
      <c r="BF408" s="706"/>
      <c r="BG408" s="706"/>
      <c r="BH408" s="706"/>
    </row>
    <row r="409" spans="1:60" s="48" customFormat="1">
      <c r="A409" s="711"/>
      <c r="B409" s="711"/>
      <c r="C409" s="706"/>
      <c r="D409" s="706"/>
      <c r="E409" s="706"/>
      <c r="F409" s="706"/>
      <c r="G409" s="706"/>
      <c r="H409" s="706"/>
      <c r="I409" s="863"/>
      <c r="J409" s="706"/>
      <c r="K409" s="706"/>
      <c r="L409" s="706"/>
      <c r="M409" s="706"/>
      <c r="N409" s="706"/>
      <c r="O409" s="706"/>
      <c r="P409" s="706"/>
      <c r="Q409" s="863"/>
      <c r="R409" s="706"/>
      <c r="S409" s="706"/>
      <c r="T409" s="706"/>
      <c r="U409" s="706"/>
      <c r="V409" s="706"/>
      <c r="W409" s="706"/>
      <c r="X409" s="706"/>
      <c r="Y409" s="863"/>
      <c r="Z409" s="706"/>
      <c r="AA409" s="706"/>
      <c r="AB409" s="706"/>
      <c r="AC409" s="706"/>
      <c r="AD409" s="706"/>
      <c r="AE409" s="706"/>
      <c r="AF409" s="706"/>
      <c r="AG409" s="863"/>
      <c r="AH409" s="706"/>
      <c r="AI409" s="706"/>
      <c r="AJ409" s="706"/>
      <c r="AK409" s="706"/>
      <c r="AL409" s="706"/>
      <c r="AM409" s="706"/>
      <c r="AN409" s="706"/>
      <c r="AO409" s="863"/>
      <c r="AP409" s="706"/>
      <c r="AQ409" s="706"/>
      <c r="AR409" s="706"/>
      <c r="AS409" s="706"/>
      <c r="AT409" s="706"/>
      <c r="AU409" s="706"/>
      <c r="AV409" s="706"/>
      <c r="AW409" s="706"/>
      <c r="AX409" s="706"/>
      <c r="AY409" s="706"/>
      <c r="AZ409" s="706"/>
      <c r="BA409" s="706"/>
      <c r="BB409" s="706"/>
      <c r="BC409" s="706"/>
      <c r="BD409" s="706"/>
      <c r="BE409" s="706"/>
      <c r="BF409" s="706"/>
      <c r="BG409" s="706"/>
      <c r="BH409" s="706"/>
    </row>
    <row r="410" spans="1:60" s="48" customFormat="1">
      <c r="A410" s="711"/>
      <c r="B410" s="711"/>
      <c r="C410" s="706"/>
      <c r="D410" s="706"/>
      <c r="E410" s="706"/>
      <c r="F410" s="706"/>
      <c r="G410" s="706"/>
      <c r="H410" s="706"/>
      <c r="I410" s="863"/>
      <c r="J410" s="706"/>
      <c r="K410" s="706"/>
      <c r="L410" s="706"/>
      <c r="M410" s="706"/>
      <c r="N410" s="706"/>
      <c r="O410" s="706"/>
      <c r="P410" s="706"/>
      <c r="Q410" s="863"/>
      <c r="R410" s="706"/>
      <c r="S410" s="706"/>
      <c r="T410" s="706"/>
      <c r="U410" s="706"/>
      <c r="V410" s="706"/>
      <c r="W410" s="706"/>
      <c r="X410" s="706"/>
      <c r="Y410" s="863"/>
      <c r="Z410" s="706"/>
      <c r="AA410" s="706"/>
      <c r="AB410" s="706"/>
      <c r="AC410" s="706"/>
      <c r="AD410" s="706"/>
      <c r="AE410" s="706"/>
      <c r="AF410" s="706"/>
      <c r="AG410" s="863"/>
      <c r="AH410" s="706"/>
      <c r="AI410" s="706"/>
      <c r="AJ410" s="706"/>
      <c r="AK410" s="706"/>
      <c r="AL410" s="706"/>
      <c r="AM410" s="706"/>
      <c r="AN410" s="706"/>
      <c r="AO410" s="863"/>
      <c r="AP410" s="706"/>
      <c r="AQ410" s="706"/>
      <c r="AR410" s="706"/>
      <c r="AS410" s="706"/>
      <c r="AT410" s="706"/>
      <c r="AU410" s="706"/>
      <c r="AV410" s="706"/>
      <c r="AW410" s="706"/>
      <c r="AX410" s="706"/>
      <c r="AY410" s="706"/>
      <c r="AZ410" s="706"/>
      <c r="BA410" s="706"/>
      <c r="BB410" s="706"/>
      <c r="BC410" s="706"/>
      <c r="BD410" s="706"/>
      <c r="BE410" s="706"/>
      <c r="BF410" s="706"/>
      <c r="BG410" s="706"/>
      <c r="BH410" s="706"/>
    </row>
    <row r="411" spans="1:60" s="48" customFormat="1">
      <c r="A411" s="711"/>
      <c r="B411" s="711"/>
      <c r="C411" s="706"/>
      <c r="D411" s="706"/>
      <c r="E411" s="706"/>
      <c r="F411" s="706"/>
      <c r="G411" s="706"/>
      <c r="H411" s="706"/>
      <c r="I411" s="863"/>
      <c r="J411" s="706"/>
      <c r="K411" s="706"/>
      <c r="L411" s="706"/>
      <c r="M411" s="706"/>
      <c r="N411" s="706"/>
      <c r="O411" s="706"/>
      <c r="P411" s="706"/>
      <c r="Q411" s="863"/>
      <c r="R411" s="706"/>
      <c r="S411" s="706"/>
      <c r="T411" s="706"/>
      <c r="U411" s="706"/>
      <c r="V411" s="706"/>
      <c r="W411" s="706"/>
      <c r="X411" s="706"/>
      <c r="Y411" s="863"/>
      <c r="Z411" s="706"/>
      <c r="AA411" s="706"/>
      <c r="AB411" s="706"/>
      <c r="AC411" s="706"/>
      <c r="AD411" s="706"/>
      <c r="AE411" s="706"/>
      <c r="AF411" s="706"/>
      <c r="AG411" s="863"/>
      <c r="AH411" s="706"/>
      <c r="AI411" s="706"/>
      <c r="AJ411" s="706"/>
      <c r="AK411" s="706"/>
      <c r="AL411" s="706"/>
      <c r="AM411" s="706"/>
      <c r="AN411" s="706"/>
      <c r="AO411" s="863"/>
      <c r="AP411" s="706"/>
      <c r="AQ411" s="706"/>
      <c r="AR411" s="706"/>
      <c r="AS411" s="706"/>
      <c r="AT411" s="706"/>
      <c r="AU411" s="706"/>
      <c r="AV411" s="706"/>
      <c r="AW411" s="706"/>
      <c r="AX411" s="706"/>
      <c r="AY411" s="706"/>
      <c r="AZ411" s="706"/>
      <c r="BA411" s="706"/>
      <c r="BB411" s="706"/>
      <c r="BC411" s="706"/>
      <c r="BD411" s="706"/>
      <c r="BE411" s="706"/>
      <c r="BF411" s="706"/>
      <c r="BG411" s="706"/>
      <c r="BH411" s="706"/>
    </row>
    <row r="412" spans="1:60" s="48" customFormat="1">
      <c r="A412" s="711"/>
      <c r="B412" s="711"/>
      <c r="C412" s="706"/>
      <c r="D412" s="706"/>
      <c r="E412" s="706"/>
      <c r="F412" s="706"/>
      <c r="G412" s="706"/>
      <c r="H412" s="706"/>
      <c r="I412" s="863"/>
      <c r="J412" s="706"/>
      <c r="K412" s="706"/>
      <c r="L412" s="706"/>
      <c r="M412" s="706"/>
      <c r="N412" s="706"/>
      <c r="O412" s="706"/>
      <c r="P412" s="706"/>
      <c r="Q412" s="863"/>
      <c r="R412" s="706"/>
      <c r="S412" s="706"/>
      <c r="T412" s="706"/>
      <c r="U412" s="706"/>
      <c r="V412" s="706"/>
      <c r="W412" s="706"/>
      <c r="X412" s="706"/>
      <c r="Y412" s="863"/>
      <c r="Z412" s="706"/>
      <c r="AA412" s="706"/>
      <c r="AB412" s="706"/>
      <c r="AC412" s="706"/>
      <c r="AD412" s="706"/>
      <c r="AE412" s="706"/>
      <c r="AF412" s="706"/>
      <c r="AG412" s="863"/>
      <c r="AH412" s="706"/>
      <c r="AI412" s="706"/>
      <c r="AJ412" s="706"/>
      <c r="AK412" s="706"/>
      <c r="AL412" s="706"/>
      <c r="AM412" s="706"/>
      <c r="AN412" s="706"/>
      <c r="AO412" s="863"/>
      <c r="AP412" s="706"/>
      <c r="AQ412" s="706"/>
      <c r="AR412" s="706"/>
      <c r="AS412" s="706"/>
      <c r="AT412" s="706"/>
      <c r="AU412" s="706"/>
      <c r="AV412" s="706"/>
      <c r="AW412" s="706"/>
      <c r="AX412" s="706"/>
      <c r="AY412" s="706"/>
      <c r="AZ412" s="706"/>
      <c r="BA412" s="706"/>
      <c r="BB412" s="706"/>
      <c r="BC412" s="706"/>
      <c r="BD412" s="706"/>
      <c r="BE412" s="706"/>
      <c r="BF412" s="706"/>
      <c r="BG412" s="706"/>
      <c r="BH412" s="706"/>
    </row>
    <row r="413" spans="1:60" s="48" customFormat="1">
      <c r="A413" s="711"/>
      <c r="B413" s="711"/>
      <c r="C413" s="706"/>
      <c r="D413" s="706"/>
      <c r="E413" s="706"/>
      <c r="F413" s="706"/>
      <c r="G413" s="706"/>
      <c r="H413" s="706"/>
      <c r="I413" s="863"/>
      <c r="J413" s="706"/>
      <c r="K413" s="706"/>
      <c r="L413" s="706"/>
      <c r="M413" s="706"/>
      <c r="N413" s="706"/>
      <c r="O413" s="706"/>
      <c r="P413" s="706"/>
      <c r="Q413" s="863"/>
      <c r="R413" s="706"/>
      <c r="S413" s="706"/>
      <c r="T413" s="706"/>
      <c r="U413" s="706"/>
      <c r="V413" s="706"/>
      <c r="W413" s="706"/>
      <c r="X413" s="706"/>
      <c r="Y413" s="863"/>
      <c r="Z413" s="706"/>
      <c r="AA413" s="706"/>
      <c r="AB413" s="706"/>
      <c r="AC413" s="706"/>
      <c r="AD413" s="706"/>
      <c r="AE413" s="706"/>
      <c r="AF413" s="706"/>
      <c r="AG413" s="863"/>
      <c r="AH413" s="706"/>
      <c r="AI413" s="706"/>
      <c r="AJ413" s="706"/>
      <c r="AK413" s="706"/>
      <c r="AL413" s="706"/>
      <c r="AM413" s="706"/>
      <c r="AN413" s="706"/>
      <c r="AO413" s="863"/>
      <c r="AP413" s="706"/>
      <c r="AQ413" s="706"/>
      <c r="AR413" s="706"/>
      <c r="AS413" s="706"/>
      <c r="AT413" s="706"/>
      <c r="AU413" s="706"/>
      <c r="AV413" s="706"/>
      <c r="AW413" s="706"/>
      <c r="AX413" s="706"/>
      <c r="AY413" s="706"/>
      <c r="AZ413" s="706"/>
      <c r="BA413" s="706"/>
      <c r="BB413" s="706"/>
      <c r="BC413" s="706"/>
      <c r="BD413" s="706"/>
      <c r="BE413" s="706"/>
      <c r="BF413" s="706"/>
      <c r="BG413" s="706"/>
      <c r="BH413" s="706"/>
    </row>
    <row r="414" spans="1:60" s="48" customFormat="1">
      <c r="A414" s="711"/>
      <c r="B414" s="711"/>
      <c r="C414" s="706"/>
      <c r="D414" s="706"/>
      <c r="E414" s="706"/>
      <c r="F414" s="706"/>
      <c r="G414" s="706"/>
      <c r="H414" s="706"/>
      <c r="I414" s="863"/>
      <c r="J414" s="706"/>
      <c r="K414" s="706"/>
      <c r="L414" s="706"/>
      <c r="M414" s="706"/>
      <c r="N414" s="706"/>
      <c r="O414" s="706"/>
      <c r="P414" s="706"/>
      <c r="Q414" s="863"/>
      <c r="R414" s="706"/>
      <c r="S414" s="706"/>
      <c r="T414" s="706"/>
      <c r="U414" s="706"/>
      <c r="V414" s="706"/>
      <c r="W414" s="706"/>
      <c r="X414" s="706"/>
      <c r="Y414" s="863"/>
      <c r="Z414" s="706"/>
      <c r="AA414" s="706"/>
      <c r="AB414" s="706"/>
      <c r="AC414" s="706"/>
      <c r="AD414" s="706"/>
      <c r="AE414" s="706"/>
      <c r="AF414" s="706"/>
      <c r="AG414" s="863"/>
      <c r="AH414" s="706"/>
      <c r="AI414" s="706"/>
      <c r="AJ414" s="706"/>
      <c r="AK414" s="706"/>
      <c r="AL414" s="706"/>
      <c r="AM414" s="706"/>
      <c r="AN414" s="706"/>
      <c r="AO414" s="863"/>
      <c r="AP414" s="706"/>
      <c r="AQ414" s="706"/>
      <c r="AR414" s="706"/>
      <c r="AS414" s="706"/>
      <c r="AT414" s="706"/>
      <c r="AU414" s="706"/>
      <c r="AV414" s="706"/>
      <c r="AW414" s="706"/>
      <c r="AX414" s="706"/>
      <c r="AY414" s="706"/>
      <c r="AZ414" s="706"/>
      <c r="BA414" s="706"/>
      <c r="BB414" s="706"/>
      <c r="BC414" s="706"/>
      <c r="BD414" s="706"/>
      <c r="BE414" s="706"/>
      <c r="BF414" s="706"/>
      <c r="BG414" s="706"/>
      <c r="BH414" s="706"/>
    </row>
    <row r="415" spans="1:60" s="48" customFormat="1">
      <c r="A415" s="711"/>
      <c r="B415" s="711"/>
      <c r="C415" s="706"/>
      <c r="D415" s="706"/>
      <c r="E415" s="706"/>
      <c r="F415" s="706"/>
      <c r="G415" s="706"/>
      <c r="H415" s="706"/>
      <c r="I415" s="863"/>
      <c r="J415" s="706"/>
      <c r="K415" s="706"/>
      <c r="L415" s="706"/>
      <c r="M415" s="706"/>
      <c r="N415" s="706"/>
      <c r="O415" s="706"/>
      <c r="P415" s="706"/>
      <c r="Q415" s="863"/>
      <c r="R415" s="706"/>
      <c r="S415" s="706"/>
      <c r="T415" s="706"/>
      <c r="U415" s="706"/>
      <c r="V415" s="706"/>
      <c r="W415" s="706"/>
      <c r="X415" s="706"/>
      <c r="Y415" s="863"/>
      <c r="Z415" s="706"/>
      <c r="AA415" s="706"/>
      <c r="AB415" s="706"/>
      <c r="AC415" s="706"/>
      <c r="AD415" s="706"/>
      <c r="AE415" s="706"/>
      <c r="AF415" s="706"/>
      <c r="AG415" s="863"/>
      <c r="AH415" s="706"/>
      <c r="AI415" s="706"/>
      <c r="AJ415" s="706"/>
      <c r="AK415" s="706"/>
      <c r="AL415" s="706"/>
      <c r="AM415" s="706"/>
      <c r="AN415" s="706"/>
      <c r="AO415" s="863"/>
      <c r="AP415" s="706"/>
      <c r="AQ415" s="706"/>
      <c r="AR415" s="706"/>
      <c r="AS415" s="706"/>
      <c r="AT415" s="706"/>
      <c r="AU415" s="706"/>
      <c r="AV415" s="706"/>
      <c r="AW415" s="706"/>
      <c r="AX415" s="706"/>
      <c r="AY415" s="706"/>
      <c r="AZ415" s="706"/>
      <c r="BA415" s="706"/>
      <c r="BB415" s="706"/>
      <c r="BC415" s="706"/>
      <c r="BD415" s="706"/>
      <c r="BE415" s="706"/>
      <c r="BF415" s="706"/>
      <c r="BG415" s="706"/>
      <c r="BH415" s="706"/>
    </row>
    <row r="416" spans="1:60" s="48" customFormat="1">
      <c r="A416" s="711"/>
      <c r="B416" s="711"/>
      <c r="C416" s="706"/>
      <c r="D416" s="706"/>
      <c r="E416" s="706"/>
      <c r="F416" s="706"/>
      <c r="G416" s="706"/>
      <c r="H416" s="706"/>
      <c r="I416" s="863"/>
      <c r="J416" s="706"/>
      <c r="K416" s="706"/>
      <c r="L416" s="706"/>
      <c r="M416" s="706"/>
      <c r="N416" s="706"/>
      <c r="O416" s="706"/>
      <c r="P416" s="706"/>
      <c r="Q416" s="863"/>
      <c r="R416" s="706"/>
      <c r="S416" s="706"/>
      <c r="T416" s="706"/>
      <c r="U416" s="706"/>
      <c r="V416" s="706"/>
      <c r="W416" s="706"/>
      <c r="X416" s="706"/>
      <c r="Y416" s="863"/>
      <c r="Z416" s="706"/>
      <c r="AA416" s="706"/>
      <c r="AB416" s="706"/>
      <c r="AC416" s="706"/>
      <c r="AD416" s="706"/>
      <c r="AE416" s="706"/>
      <c r="AF416" s="706"/>
      <c r="AG416" s="863"/>
      <c r="AH416" s="706"/>
      <c r="AI416" s="706"/>
      <c r="AJ416" s="706"/>
      <c r="AK416" s="706"/>
      <c r="AL416" s="706"/>
      <c r="AM416" s="706"/>
      <c r="AN416" s="706"/>
      <c r="AO416" s="863"/>
      <c r="AP416" s="706"/>
      <c r="AQ416" s="706"/>
      <c r="AR416" s="706"/>
      <c r="AS416" s="706"/>
      <c r="AT416" s="706"/>
      <c r="AU416" s="706"/>
      <c r="AV416" s="706"/>
      <c r="AW416" s="706"/>
      <c r="AX416" s="706"/>
      <c r="AY416" s="706"/>
      <c r="AZ416" s="706"/>
      <c r="BA416" s="706"/>
      <c r="BB416" s="706"/>
      <c r="BC416" s="706"/>
      <c r="BD416" s="706"/>
      <c r="BE416" s="706"/>
      <c r="BF416" s="706"/>
      <c r="BG416" s="706"/>
      <c r="BH416" s="706"/>
    </row>
    <row r="417" spans="1:60" s="48" customFormat="1">
      <c r="A417" s="711"/>
      <c r="B417" s="711"/>
      <c r="C417" s="706"/>
      <c r="D417" s="706"/>
      <c r="E417" s="706"/>
      <c r="F417" s="706"/>
      <c r="G417" s="706"/>
      <c r="H417" s="706"/>
      <c r="I417" s="863"/>
      <c r="J417" s="706"/>
      <c r="K417" s="706"/>
      <c r="L417" s="706"/>
      <c r="M417" s="706"/>
      <c r="N417" s="706"/>
      <c r="O417" s="706"/>
      <c r="P417" s="706"/>
      <c r="Q417" s="863"/>
      <c r="R417" s="706"/>
      <c r="S417" s="706"/>
      <c r="T417" s="706"/>
      <c r="U417" s="706"/>
      <c r="V417" s="706"/>
      <c r="W417" s="706"/>
      <c r="X417" s="706"/>
      <c r="Y417" s="863"/>
      <c r="Z417" s="706"/>
      <c r="AA417" s="706"/>
      <c r="AB417" s="706"/>
      <c r="AC417" s="706"/>
      <c r="AD417" s="706"/>
      <c r="AE417" s="706"/>
      <c r="AF417" s="706"/>
      <c r="AG417" s="863"/>
      <c r="AH417" s="706"/>
      <c r="AI417" s="706"/>
      <c r="AJ417" s="706"/>
      <c r="AK417" s="706"/>
      <c r="AL417" s="706"/>
      <c r="AM417" s="706"/>
      <c r="AN417" s="706"/>
      <c r="AO417" s="863"/>
      <c r="AP417" s="706"/>
      <c r="AQ417" s="706"/>
      <c r="AR417" s="706"/>
      <c r="AS417" s="706"/>
      <c r="AT417" s="706"/>
      <c r="AU417" s="706"/>
      <c r="AV417" s="706"/>
      <c r="AW417" s="706"/>
      <c r="AX417" s="706"/>
      <c r="AY417" s="706"/>
      <c r="AZ417" s="706"/>
      <c r="BA417" s="706"/>
      <c r="BB417" s="706"/>
      <c r="BC417" s="706"/>
      <c r="BD417" s="706"/>
      <c r="BE417" s="706"/>
      <c r="BF417" s="706"/>
      <c r="BG417" s="706"/>
      <c r="BH417" s="706"/>
    </row>
    <row r="418" spans="1:60" s="48" customFormat="1">
      <c r="A418" s="711"/>
      <c r="B418" s="711"/>
      <c r="C418" s="706"/>
      <c r="D418" s="706"/>
      <c r="E418" s="706"/>
      <c r="F418" s="706"/>
      <c r="G418" s="706"/>
      <c r="H418" s="706"/>
      <c r="I418" s="863"/>
      <c r="J418" s="706"/>
      <c r="K418" s="706"/>
      <c r="L418" s="706"/>
      <c r="M418" s="706"/>
      <c r="N418" s="706"/>
      <c r="O418" s="706"/>
      <c r="P418" s="706"/>
      <c r="Q418" s="863"/>
      <c r="R418" s="706"/>
      <c r="S418" s="706"/>
      <c r="T418" s="706"/>
      <c r="U418" s="706"/>
      <c r="V418" s="706"/>
      <c r="W418" s="706"/>
      <c r="X418" s="706"/>
      <c r="Y418" s="863"/>
      <c r="Z418" s="706"/>
      <c r="AA418" s="706"/>
      <c r="AB418" s="706"/>
      <c r="AC418" s="706"/>
      <c r="AD418" s="706"/>
      <c r="AE418" s="706"/>
      <c r="AF418" s="706"/>
      <c r="AG418" s="863"/>
      <c r="AH418" s="706"/>
      <c r="AI418" s="706"/>
      <c r="AJ418" s="706"/>
      <c r="AK418" s="706"/>
      <c r="AL418" s="706"/>
      <c r="AM418" s="706"/>
      <c r="AN418" s="706"/>
      <c r="AO418" s="863"/>
      <c r="AP418" s="706"/>
      <c r="AQ418" s="706"/>
      <c r="AR418" s="706"/>
      <c r="AS418" s="706"/>
      <c r="AT418" s="706"/>
      <c r="AU418" s="706"/>
      <c r="AV418" s="706"/>
      <c r="AW418" s="706"/>
      <c r="AX418" s="706"/>
      <c r="AY418" s="706"/>
      <c r="AZ418" s="706"/>
      <c r="BA418" s="706"/>
      <c r="BB418" s="706"/>
      <c r="BC418" s="706"/>
      <c r="BD418" s="706"/>
      <c r="BE418" s="706"/>
      <c r="BF418" s="706"/>
      <c r="BG418" s="706"/>
      <c r="BH418" s="706"/>
    </row>
    <row r="419" spans="1:60" s="48" customFormat="1">
      <c r="A419" s="711"/>
      <c r="B419" s="711"/>
      <c r="C419" s="706"/>
      <c r="D419" s="706"/>
      <c r="E419" s="706"/>
      <c r="F419" s="706"/>
      <c r="G419" s="706"/>
      <c r="H419" s="706"/>
      <c r="I419" s="863"/>
      <c r="J419" s="706"/>
      <c r="K419" s="706"/>
      <c r="L419" s="706"/>
      <c r="M419" s="706"/>
      <c r="N419" s="706"/>
      <c r="O419" s="706"/>
      <c r="P419" s="706"/>
      <c r="Q419" s="863"/>
      <c r="R419" s="706"/>
      <c r="S419" s="706"/>
      <c r="T419" s="706"/>
      <c r="U419" s="706"/>
      <c r="V419" s="706"/>
      <c r="W419" s="706"/>
      <c r="X419" s="706"/>
      <c r="Y419" s="863"/>
      <c r="Z419" s="706"/>
      <c r="AA419" s="706"/>
      <c r="AB419" s="706"/>
      <c r="AC419" s="706"/>
      <c r="AD419" s="706"/>
      <c r="AE419" s="706"/>
      <c r="AF419" s="706"/>
      <c r="AG419" s="863"/>
      <c r="AH419" s="706"/>
      <c r="AI419" s="706"/>
      <c r="AJ419" s="706"/>
      <c r="AK419" s="706"/>
      <c r="AL419" s="706"/>
      <c r="AM419" s="706"/>
      <c r="AN419" s="706"/>
      <c r="AO419" s="863"/>
      <c r="AP419" s="706"/>
      <c r="AQ419" s="706"/>
      <c r="AR419" s="706"/>
      <c r="AS419" s="706"/>
      <c r="AT419" s="706"/>
      <c r="AU419" s="706"/>
      <c r="AV419" s="706"/>
      <c r="AW419" s="706"/>
      <c r="AX419" s="706"/>
      <c r="AY419" s="706"/>
      <c r="AZ419" s="706"/>
      <c r="BA419" s="706"/>
      <c r="BB419" s="706"/>
      <c r="BC419" s="706"/>
      <c r="BD419" s="706"/>
      <c r="BE419" s="706"/>
      <c r="BF419" s="706"/>
      <c r="BG419" s="706"/>
      <c r="BH419" s="706"/>
    </row>
    <row r="420" spans="1:60" s="48" customFormat="1">
      <c r="A420" s="711"/>
      <c r="B420" s="711"/>
      <c r="C420" s="706"/>
      <c r="D420" s="706"/>
      <c r="E420" s="706"/>
      <c r="F420" s="706"/>
      <c r="G420" s="706"/>
      <c r="H420" s="706"/>
      <c r="I420" s="863"/>
      <c r="J420" s="706"/>
      <c r="K420" s="706"/>
      <c r="L420" s="706"/>
      <c r="M420" s="706"/>
      <c r="N420" s="706"/>
      <c r="O420" s="706"/>
      <c r="P420" s="706"/>
      <c r="Q420" s="863"/>
      <c r="R420" s="706"/>
      <c r="S420" s="706"/>
      <c r="T420" s="706"/>
      <c r="U420" s="706"/>
      <c r="V420" s="706"/>
      <c r="W420" s="706"/>
      <c r="X420" s="706"/>
      <c r="Y420" s="863"/>
      <c r="Z420" s="706"/>
      <c r="AA420" s="706"/>
      <c r="AB420" s="706"/>
      <c r="AC420" s="706"/>
      <c r="AD420" s="706"/>
      <c r="AE420" s="706"/>
      <c r="AF420" s="706"/>
      <c r="AG420" s="863"/>
      <c r="AH420" s="706"/>
      <c r="AI420" s="706"/>
      <c r="AJ420" s="706"/>
      <c r="AK420" s="706"/>
      <c r="AL420" s="706"/>
      <c r="AM420" s="706"/>
      <c r="AN420" s="706"/>
      <c r="AO420" s="863"/>
      <c r="AP420" s="706"/>
      <c r="AQ420" s="706"/>
      <c r="AR420" s="706"/>
      <c r="AS420" s="706"/>
      <c r="AT420" s="706"/>
      <c r="AU420" s="706"/>
      <c r="AV420" s="706"/>
      <c r="AW420" s="706"/>
      <c r="AX420" s="706"/>
      <c r="AY420" s="706"/>
      <c r="AZ420" s="706"/>
      <c r="BA420" s="706"/>
      <c r="BB420" s="706"/>
      <c r="BC420" s="706"/>
      <c r="BD420" s="706"/>
      <c r="BE420" s="706"/>
      <c r="BF420" s="706"/>
      <c r="BG420" s="706"/>
      <c r="BH420" s="706"/>
    </row>
    <row r="421" spans="1:60" s="48" customFormat="1">
      <c r="A421" s="711"/>
      <c r="B421" s="711"/>
      <c r="C421" s="706"/>
      <c r="D421" s="706"/>
      <c r="E421" s="706"/>
      <c r="F421" s="706"/>
      <c r="G421" s="706"/>
      <c r="H421" s="706"/>
      <c r="I421" s="863"/>
      <c r="J421" s="706"/>
      <c r="K421" s="706"/>
      <c r="L421" s="706"/>
      <c r="M421" s="706"/>
      <c r="N421" s="706"/>
      <c r="O421" s="706"/>
      <c r="P421" s="706"/>
      <c r="Q421" s="863"/>
      <c r="R421" s="706"/>
      <c r="S421" s="706"/>
      <c r="T421" s="706"/>
      <c r="U421" s="706"/>
      <c r="V421" s="706"/>
      <c r="W421" s="706"/>
      <c r="X421" s="706"/>
      <c r="Y421" s="863"/>
      <c r="Z421" s="706"/>
      <c r="AA421" s="706"/>
      <c r="AB421" s="706"/>
      <c r="AC421" s="706"/>
      <c r="AD421" s="706"/>
      <c r="AE421" s="706"/>
      <c r="AF421" s="706"/>
      <c r="AG421" s="863"/>
      <c r="AH421" s="706"/>
      <c r="AI421" s="706"/>
      <c r="AJ421" s="706"/>
      <c r="AK421" s="706"/>
      <c r="AL421" s="706"/>
      <c r="AM421" s="706"/>
      <c r="AN421" s="706"/>
      <c r="AO421" s="863"/>
      <c r="AP421" s="706"/>
      <c r="AQ421" s="706"/>
      <c r="AR421" s="706"/>
      <c r="AS421" s="706"/>
      <c r="AT421" s="706"/>
      <c r="AU421" s="706"/>
      <c r="AV421" s="706"/>
      <c r="AW421" s="706"/>
      <c r="AX421" s="706"/>
      <c r="AY421" s="706"/>
      <c r="AZ421" s="706"/>
      <c r="BA421" s="706"/>
      <c r="BB421" s="706"/>
      <c r="BC421" s="706"/>
      <c r="BD421" s="706"/>
      <c r="BE421" s="706"/>
      <c r="BF421" s="706"/>
      <c r="BG421" s="706"/>
      <c r="BH421" s="706"/>
    </row>
    <row r="422" spans="1:60" s="48" customFormat="1">
      <c r="A422" s="711"/>
      <c r="B422" s="711"/>
      <c r="C422" s="706"/>
      <c r="D422" s="706"/>
      <c r="E422" s="706"/>
      <c r="F422" s="706"/>
      <c r="G422" s="706"/>
      <c r="H422" s="706"/>
      <c r="I422" s="863"/>
      <c r="J422" s="706"/>
      <c r="K422" s="706"/>
      <c r="L422" s="706"/>
      <c r="M422" s="706"/>
      <c r="N422" s="706"/>
      <c r="O422" s="706"/>
      <c r="P422" s="706"/>
      <c r="Q422" s="863"/>
      <c r="R422" s="706"/>
      <c r="S422" s="706"/>
      <c r="T422" s="706"/>
      <c r="U422" s="706"/>
      <c r="V422" s="706"/>
      <c r="W422" s="706"/>
      <c r="X422" s="706"/>
      <c r="Y422" s="863"/>
      <c r="Z422" s="706"/>
      <c r="AA422" s="706"/>
      <c r="AB422" s="706"/>
      <c r="AC422" s="706"/>
      <c r="AD422" s="706"/>
      <c r="AE422" s="706"/>
      <c r="AF422" s="706"/>
      <c r="AG422" s="863"/>
      <c r="AH422" s="706"/>
      <c r="AI422" s="706"/>
      <c r="AJ422" s="706"/>
      <c r="AK422" s="706"/>
      <c r="AL422" s="706"/>
      <c r="AM422" s="706"/>
      <c r="AN422" s="706"/>
      <c r="AO422" s="863"/>
      <c r="AP422" s="706"/>
      <c r="AQ422" s="706"/>
      <c r="AR422" s="706"/>
      <c r="AS422" s="706"/>
      <c r="AT422" s="706"/>
      <c r="AU422" s="706"/>
      <c r="AV422" s="706"/>
      <c r="AW422" s="706"/>
      <c r="AX422" s="706"/>
      <c r="AY422" s="706"/>
      <c r="AZ422" s="706"/>
      <c r="BA422" s="706"/>
      <c r="BB422" s="706"/>
      <c r="BC422" s="706"/>
      <c r="BD422" s="706"/>
      <c r="BE422" s="706"/>
      <c r="BF422" s="706"/>
      <c r="BG422" s="706"/>
      <c r="BH422" s="706"/>
    </row>
    <row r="423" spans="1:60" s="48" customFormat="1">
      <c r="A423" s="711"/>
      <c r="B423" s="711"/>
      <c r="C423" s="706"/>
      <c r="D423" s="706"/>
      <c r="E423" s="706"/>
      <c r="F423" s="706"/>
      <c r="G423" s="706"/>
      <c r="H423" s="706"/>
      <c r="I423" s="863"/>
      <c r="J423" s="706"/>
      <c r="K423" s="706"/>
      <c r="L423" s="706"/>
      <c r="M423" s="706"/>
      <c r="N423" s="706"/>
      <c r="O423" s="706"/>
      <c r="P423" s="706"/>
      <c r="Q423" s="863"/>
      <c r="R423" s="706"/>
      <c r="S423" s="706"/>
      <c r="T423" s="706"/>
      <c r="U423" s="706"/>
      <c r="V423" s="706"/>
      <c r="W423" s="706"/>
      <c r="X423" s="706"/>
      <c r="Y423" s="863"/>
      <c r="Z423" s="706"/>
      <c r="AA423" s="706"/>
      <c r="AB423" s="706"/>
      <c r="AC423" s="706"/>
      <c r="AD423" s="706"/>
      <c r="AE423" s="706"/>
      <c r="AF423" s="706"/>
      <c r="AG423" s="863"/>
      <c r="AH423" s="706"/>
      <c r="AI423" s="706"/>
      <c r="AJ423" s="706"/>
      <c r="AK423" s="706"/>
      <c r="AL423" s="706"/>
      <c r="AM423" s="706"/>
      <c r="AN423" s="706"/>
      <c r="AO423" s="863"/>
      <c r="AP423" s="706"/>
      <c r="AQ423" s="706"/>
      <c r="AR423" s="706"/>
      <c r="AS423" s="706"/>
      <c r="AT423" s="706"/>
      <c r="AU423" s="706"/>
      <c r="AV423" s="706"/>
      <c r="AW423" s="706"/>
      <c r="AX423" s="706"/>
      <c r="AY423" s="706"/>
      <c r="AZ423" s="706"/>
      <c r="BA423" s="706"/>
      <c r="BB423" s="706"/>
      <c r="BC423" s="706"/>
      <c r="BD423" s="706"/>
      <c r="BE423" s="706"/>
      <c r="BF423" s="706"/>
      <c r="BG423" s="706"/>
      <c r="BH423" s="706"/>
    </row>
    <row r="424" spans="1:60" s="48" customFormat="1">
      <c r="A424" s="711"/>
      <c r="B424" s="711"/>
      <c r="C424" s="706"/>
      <c r="D424" s="706"/>
      <c r="E424" s="706"/>
      <c r="F424" s="706"/>
      <c r="G424" s="706"/>
      <c r="H424" s="706"/>
      <c r="I424" s="863"/>
      <c r="J424" s="706"/>
      <c r="K424" s="706"/>
      <c r="L424" s="706"/>
      <c r="M424" s="706"/>
      <c r="N424" s="706"/>
      <c r="O424" s="706"/>
      <c r="P424" s="706"/>
      <c r="Q424" s="863"/>
      <c r="R424" s="706"/>
      <c r="S424" s="706"/>
      <c r="T424" s="706"/>
      <c r="U424" s="706"/>
      <c r="V424" s="706"/>
      <c r="W424" s="706"/>
      <c r="X424" s="706"/>
      <c r="Y424" s="863"/>
      <c r="Z424" s="706"/>
      <c r="AA424" s="706"/>
      <c r="AB424" s="706"/>
      <c r="AC424" s="706"/>
      <c r="AD424" s="706"/>
      <c r="AE424" s="706"/>
      <c r="AF424" s="706"/>
      <c r="AG424" s="863"/>
      <c r="AH424" s="706"/>
      <c r="AI424" s="706"/>
      <c r="AJ424" s="706"/>
      <c r="AK424" s="706"/>
      <c r="AL424" s="706"/>
      <c r="AM424" s="706"/>
      <c r="AN424" s="706"/>
      <c r="AO424" s="863"/>
      <c r="AP424" s="706"/>
      <c r="AQ424" s="706"/>
      <c r="AR424" s="706"/>
      <c r="AS424" s="706"/>
      <c r="AT424" s="706"/>
      <c r="AU424" s="706"/>
      <c r="AV424" s="706"/>
      <c r="AW424" s="706"/>
      <c r="AX424" s="706"/>
      <c r="AY424" s="706"/>
      <c r="AZ424" s="706"/>
      <c r="BA424" s="706"/>
      <c r="BB424" s="706"/>
      <c r="BC424" s="706"/>
      <c r="BD424" s="706"/>
      <c r="BE424" s="706"/>
      <c r="BF424" s="706"/>
      <c r="BG424" s="706"/>
      <c r="BH424" s="706"/>
    </row>
    <row r="425" spans="1:60" s="48" customFormat="1">
      <c r="A425" s="711"/>
      <c r="B425" s="711"/>
      <c r="C425" s="706"/>
      <c r="D425" s="706"/>
      <c r="E425" s="706"/>
      <c r="F425" s="706"/>
      <c r="G425" s="706"/>
      <c r="H425" s="706"/>
      <c r="I425" s="863"/>
      <c r="J425" s="706"/>
      <c r="K425" s="706"/>
      <c r="L425" s="706"/>
      <c r="M425" s="706"/>
      <c r="N425" s="706"/>
      <c r="O425" s="706"/>
      <c r="P425" s="706"/>
      <c r="Q425" s="863"/>
      <c r="R425" s="706"/>
      <c r="S425" s="706"/>
      <c r="T425" s="706"/>
      <c r="U425" s="706"/>
      <c r="V425" s="706"/>
      <c r="W425" s="706"/>
      <c r="X425" s="706"/>
      <c r="Y425" s="863"/>
      <c r="Z425" s="706"/>
      <c r="AA425" s="706"/>
      <c r="AB425" s="706"/>
      <c r="AC425" s="706"/>
      <c r="AD425" s="706"/>
      <c r="AE425" s="706"/>
      <c r="AF425" s="706"/>
      <c r="AG425" s="863"/>
      <c r="AH425" s="706"/>
      <c r="AI425" s="706"/>
      <c r="AJ425" s="706"/>
      <c r="AK425" s="706"/>
      <c r="AL425" s="706"/>
      <c r="AM425" s="706"/>
      <c r="AN425" s="706"/>
      <c r="AO425" s="863"/>
      <c r="AP425" s="706"/>
      <c r="AQ425" s="706"/>
      <c r="AR425" s="706"/>
      <c r="AS425" s="706"/>
      <c r="AT425" s="706"/>
      <c r="AU425" s="706"/>
      <c r="AV425" s="706"/>
      <c r="AW425" s="706"/>
      <c r="AX425" s="706"/>
      <c r="AY425" s="706"/>
      <c r="AZ425" s="706"/>
      <c r="BA425" s="706"/>
      <c r="BB425" s="706"/>
      <c r="BC425" s="706"/>
      <c r="BD425" s="706"/>
      <c r="BE425" s="706"/>
      <c r="BF425" s="706"/>
      <c r="BG425" s="706"/>
      <c r="BH425" s="706"/>
    </row>
    <row r="426" spans="1:60" s="48" customFormat="1">
      <c r="A426" s="711"/>
      <c r="B426" s="711"/>
      <c r="C426" s="706"/>
      <c r="D426" s="706"/>
      <c r="E426" s="706"/>
      <c r="F426" s="706"/>
      <c r="G426" s="706"/>
      <c r="H426" s="706"/>
      <c r="I426" s="863"/>
      <c r="J426" s="706"/>
      <c r="K426" s="706"/>
      <c r="L426" s="706"/>
      <c r="M426" s="706"/>
      <c r="N426" s="706"/>
      <c r="O426" s="706"/>
      <c r="P426" s="706"/>
      <c r="Q426" s="863"/>
      <c r="R426" s="706"/>
      <c r="S426" s="706"/>
      <c r="T426" s="706"/>
      <c r="U426" s="706"/>
      <c r="V426" s="706"/>
      <c r="W426" s="706"/>
      <c r="X426" s="706"/>
      <c r="Y426" s="863"/>
      <c r="Z426" s="706"/>
      <c r="AA426" s="706"/>
      <c r="AB426" s="706"/>
      <c r="AC426" s="706"/>
      <c r="AD426" s="706"/>
      <c r="AE426" s="706"/>
      <c r="AF426" s="706"/>
      <c r="AG426" s="863"/>
      <c r="AH426" s="706"/>
      <c r="AI426" s="706"/>
      <c r="AJ426" s="706"/>
      <c r="AK426" s="706"/>
      <c r="AL426" s="706"/>
      <c r="AM426" s="706"/>
      <c r="AN426" s="706"/>
      <c r="AO426" s="863"/>
      <c r="AP426" s="706"/>
      <c r="AQ426" s="706"/>
      <c r="AR426" s="706"/>
      <c r="AS426" s="706"/>
      <c r="AT426" s="706"/>
      <c r="AU426" s="706"/>
      <c r="AV426" s="706"/>
      <c r="AW426" s="706"/>
      <c r="AX426" s="706"/>
      <c r="AY426" s="706"/>
      <c r="AZ426" s="706"/>
      <c r="BA426" s="706"/>
      <c r="BB426" s="706"/>
      <c r="BC426" s="706"/>
      <c r="BD426" s="706"/>
      <c r="BE426" s="706"/>
      <c r="BF426" s="706"/>
      <c r="BG426" s="706"/>
      <c r="BH426" s="706"/>
    </row>
    <row r="427" spans="1:60" s="48" customFormat="1">
      <c r="A427" s="711"/>
      <c r="B427" s="711"/>
      <c r="C427" s="706"/>
      <c r="D427" s="706"/>
      <c r="E427" s="706"/>
      <c r="F427" s="706"/>
      <c r="G427" s="706"/>
      <c r="H427" s="706"/>
      <c r="I427" s="863"/>
      <c r="J427" s="706"/>
      <c r="K427" s="706"/>
      <c r="L427" s="706"/>
      <c r="M427" s="706"/>
      <c r="N427" s="706"/>
      <c r="O427" s="706"/>
      <c r="P427" s="706"/>
      <c r="Q427" s="863"/>
      <c r="R427" s="706"/>
      <c r="S427" s="706"/>
      <c r="T427" s="706"/>
      <c r="U427" s="706"/>
      <c r="V427" s="706"/>
      <c r="W427" s="706"/>
      <c r="X427" s="706"/>
      <c r="Y427" s="863"/>
      <c r="Z427" s="706"/>
      <c r="AA427" s="706"/>
      <c r="AB427" s="706"/>
      <c r="AC427" s="706"/>
      <c r="AD427" s="706"/>
      <c r="AE427" s="706"/>
      <c r="AF427" s="706"/>
      <c r="AG427" s="863"/>
      <c r="AH427" s="706"/>
      <c r="AI427" s="706"/>
      <c r="AJ427" s="706"/>
      <c r="AK427" s="706"/>
      <c r="AL427" s="706"/>
      <c r="AM427" s="706"/>
      <c r="AN427" s="706"/>
      <c r="AO427" s="863"/>
      <c r="AP427" s="706"/>
      <c r="AQ427" s="706"/>
      <c r="AR427" s="706"/>
      <c r="AS427" s="706"/>
      <c r="AT427" s="706"/>
      <c r="AU427" s="706"/>
      <c r="AV427" s="706"/>
      <c r="AW427" s="706"/>
      <c r="AX427" s="706"/>
      <c r="AY427" s="706"/>
      <c r="AZ427" s="706"/>
      <c r="BA427" s="706"/>
      <c r="BB427" s="706"/>
      <c r="BC427" s="706"/>
      <c r="BD427" s="706"/>
      <c r="BE427" s="706"/>
      <c r="BF427" s="706"/>
      <c r="BG427" s="706"/>
      <c r="BH427" s="706"/>
    </row>
    <row r="428" spans="1:60" s="48" customFormat="1">
      <c r="A428" s="711"/>
      <c r="B428" s="711"/>
      <c r="C428" s="706"/>
      <c r="D428" s="706"/>
      <c r="E428" s="706"/>
      <c r="F428" s="706"/>
      <c r="G428" s="706"/>
      <c r="H428" s="706"/>
      <c r="I428" s="863"/>
      <c r="J428" s="706"/>
      <c r="K428" s="706"/>
      <c r="L428" s="706"/>
      <c r="M428" s="706"/>
      <c r="N428" s="706"/>
      <c r="O428" s="706"/>
      <c r="P428" s="706"/>
      <c r="Q428" s="863"/>
      <c r="R428" s="706"/>
      <c r="S428" s="706"/>
      <c r="T428" s="706"/>
      <c r="U428" s="706"/>
      <c r="V428" s="706"/>
      <c r="W428" s="706"/>
      <c r="X428" s="706"/>
      <c r="Y428" s="863"/>
      <c r="Z428" s="706"/>
      <c r="AA428" s="706"/>
      <c r="AB428" s="706"/>
      <c r="AC428" s="706"/>
      <c r="AD428" s="706"/>
      <c r="AE428" s="706"/>
      <c r="AF428" s="706"/>
      <c r="AG428" s="863"/>
      <c r="AH428" s="706"/>
      <c r="AI428" s="706"/>
      <c r="AJ428" s="706"/>
      <c r="AK428" s="706"/>
      <c r="AL428" s="706"/>
      <c r="AM428" s="706"/>
      <c r="AN428" s="706"/>
      <c r="AO428" s="863"/>
      <c r="AP428" s="706"/>
      <c r="AQ428" s="706"/>
      <c r="AR428" s="706"/>
      <c r="AS428" s="706"/>
      <c r="AT428" s="706"/>
      <c r="AU428" s="706"/>
      <c r="AV428" s="706"/>
      <c r="AW428" s="706"/>
      <c r="AX428" s="706"/>
      <c r="AY428" s="706"/>
      <c r="AZ428" s="706"/>
      <c r="BA428" s="706"/>
      <c r="BB428" s="706"/>
      <c r="BC428" s="706"/>
      <c r="BD428" s="706"/>
      <c r="BE428" s="706"/>
      <c r="BF428" s="706"/>
      <c r="BG428" s="706"/>
      <c r="BH428" s="706"/>
    </row>
    <row r="429" spans="1:60" s="48" customFormat="1">
      <c r="A429" s="711"/>
      <c r="B429" s="711"/>
      <c r="C429" s="706"/>
      <c r="D429" s="706"/>
      <c r="E429" s="706"/>
      <c r="F429" s="706"/>
      <c r="G429" s="706"/>
      <c r="H429" s="706"/>
      <c r="I429" s="863"/>
      <c r="J429" s="706"/>
      <c r="K429" s="706"/>
      <c r="L429" s="706"/>
      <c r="M429" s="706"/>
      <c r="N429" s="706"/>
      <c r="O429" s="706"/>
      <c r="P429" s="706"/>
      <c r="Q429" s="863"/>
      <c r="R429" s="706"/>
      <c r="S429" s="706"/>
      <c r="T429" s="706"/>
      <c r="U429" s="706"/>
      <c r="V429" s="706"/>
      <c r="W429" s="706"/>
      <c r="X429" s="706"/>
      <c r="Y429" s="863"/>
      <c r="Z429" s="706"/>
      <c r="AA429" s="706"/>
      <c r="AB429" s="706"/>
      <c r="AC429" s="706"/>
      <c r="AD429" s="706"/>
      <c r="AE429" s="706"/>
      <c r="AF429" s="706"/>
      <c r="AG429" s="863"/>
      <c r="AH429" s="706"/>
      <c r="AI429" s="706"/>
      <c r="AJ429" s="706"/>
      <c r="AK429" s="706"/>
      <c r="AL429" s="706"/>
      <c r="AM429" s="706"/>
      <c r="AN429" s="706"/>
      <c r="AO429" s="863"/>
      <c r="AP429" s="706"/>
      <c r="AQ429" s="706"/>
      <c r="AR429" s="706"/>
      <c r="AS429" s="706"/>
      <c r="AT429" s="706"/>
      <c r="AU429" s="706"/>
      <c r="AV429" s="706"/>
      <c r="AW429" s="706"/>
      <c r="AX429" s="706"/>
      <c r="AY429" s="706"/>
      <c r="AZ429" s="706"/>
      <c r="BA429" s="706"/>
      <c r="BB429" s="706"/>
      <c r="BC429" s="706"/>
      <c r="BD429" s="706"/>
      <c r="BE429" s="706"/>
      <c r="BF429" s="706"/>
      <c r="BG429" s="706"/>
      <c r="BH429" s="706"/>
    </row>
    <row r="430" spans="1:60" s="48" customFormat="1">
      <c r="A430" s="711"/>
      <c r="B430" s="711"/>
      <c r="C430" s="706"/>
      <c r="D430" s="706"/>
      <c r="E430" s="706"/>
      <c r="F430" s="706"/>
      <c r="G430" s="706"/>
      <c r="H430" s="706"/>
      <c r="I430" s="863"/>
      <c r="J430" s="706"/>
      <c r="K430" s="706"/>
      <c r="L430" s="706"/>
      <c r="M430" s="706"/>
      <c r="N430" s="706"/>
      <c r="O430" s="706"/>
      <c r="P430" s="706"/>
      <c r="Q430" s="863"/>
      <c r="R430" s="706"/>
      <c r="S430" s="706"/>
      <c r="T430" s="706"/>
      <c r="U430" s="706"/>
      <c r="V430" s="706"/>
      <c r="W430" s="706"/>
      <c r="X430" s="706"/>
      <c r="Y430" s="863"/>
      <c r="Z430" s="706"/>
      <c r="AA430" s="706"/>
      <c r="AB430" s="706"/>
      <c r="AC430" s="706"/>
      <c r="AD430" s="706"/>
      <c r="AE430" s="706"/>
      <c r="AF430" s="706"/>
      <c r="AG430" s="863"/>
      <c r="AH430" s="706"/>
      <c r="AI430" s="706"/>
      <c r="AJ430" s="706"/>
      <c r="AK430" s="706"/>
      <c r="AL430" s="706"/>
      <c r="AM430" s="706"/>
      <c r="AN430" s="706"/>
      <c r="AO430" s="863"/>
      <c r="AP430" s="706"/>
      <c r="AQ430" s="706"/>
      <c r="AR430" s="706"/>
      <c r="AS430" s="706"/>
      <c r="AT430" s="706"/>
      <c r="AU430" s="706"/>
      <c r="AV430" s="706"/>
      <c r="AW430" s="706"/>
      <c r="AX430" s="706"/>
      <c r="AY430" s="706"/>
      <c r="AZ430" s="706"/>
      <c r="BA430" s="706"/>
      <c r="BB430" s="706"/>
      <c r="BC430" s="706"/>
      <c r="BD430" s="706"/>
      <c r="BE430" s="706"/>
      <c r="BF430" s="706"/>
      <c r="BG430" s="706"/>
      <c r="BH430" s="706"/>
    </row>
    <row r="431" spans="1:60" s="48" customFormat="1">
      <c r="A431" s="712"/>
      <c r="B431" s="712"/>
      <c r="C431" s="706"/>
      <c r="D431" s="706"/>
      <c r="E431" s="706"/>
      <c r="F431" s="706"/>
      <c r="G431" s="706"/>
      <c r="H431" s="706"/>
      <c r="I431" s="863"/>
      <c r="J431" s="706"/>
      <c r="K431" s="706"/>
      <c r="L431" s="706"/>
      <c r="M431" s="706"/>
      <c r="N431" s="706"/>
      <c r="O431" s="706"/>
      <c r="P431" s="706"/>
      <c r="Q431" s="863"/>
      <c r="R431" s="706"/>
      <c r="S431" s="706"/>
      <c r="T431" s="706"/>
      <c r="U431" s="706"/>
      <c r="V431" s="706"/>
      <c r="W431" s="706"/>
      <c r="X431" s="706"/>
      <c r="Y431" s="863"/>
      <c r="Z431" s="706"/>
      <c r="AA431" s="706"/>
      <c r="AB431" s="706"/>
      <c r="AC431" s="706"/>
      <c r="AD431" s="706"/>
      <c r="AE431" s="706"/>
      <c r="AF431" s="706"/>
      <c r="AG431" s="863"/>
      <c r="AH431" s="706"/>
      <c r="AI431" s="706"/>
      <c r="AJ431" s="706"/>
      <c r="AK431" s="706"/>
      <c r="AL431" s="706"/>
      <c r="AM431" s="706"/>
      <c r="AN431" s="706"/>
      <c r="AO431" s="863"/>
      <c r="AP431" s="706"/>
      <c r="AQ431" s="706"/>
      <c r="AR431" s="706"/>
      <c r="AS431" s="706"/>
      <c r="AT431" s="706"/>
      <c r="AU431" s="706"/>
      <c r="AV431" s="706"/>
      <c r="AW431" s="706"/>
      <c r="AX431" s="706"/>
      <c r="AY431" s="706"/>
      <c r="AZ431" s="706"/>
      <c r="BA431" s="706"/>
      <c r="BB431" s="706"/>
      <c r="BC431" s="706"/>
      <c r="BD431" s="706"/>
      <c r="BE431" s="706"/>
      <c r="BF431" s="706"/>
      <c r="BG431" s="706"/>
      <c r="BH431" s="706"/>
    </row>
    <row r="432" spans="1:60" s="48" customFormat="1">
      <c r="A432" s="712"/>
      <c r="B432" s="712"/>
      <c r="C432" s="706"/>
      <c r="D432" s="706"/>
      <c r="E432" s="706"/>
      <c r="F432" s="706"/>
      <c r="G432" s="706"/>
      <c r="H432" s="706"/>
      <c r="I432" s="863"/>
      <c r="J432" s="706"/>
      <c r="K432" s="706"/>
      <c r="L432" s="706"/>
      <c r="M432" s="706"/>
      <c r="N432" s="706"/>
      <c r="O432" s="706"/>
      <c r="P432" s="706"/>
      <c r="Q432" s="863"/>
      <c r="R432" s="706"/>
      <c r="S432" s="706"/>
      <c r="T432" s="706"/>
      <c r="U432" s="706"/>
      <c r="V432" s="706"/>
      <c r="W432" s="706"/>
      <c r="X432" s="706"/>
      <c r="Y432" s="863"/>
      <c r="Z432" s="706"/>
      <c r="AA432" s="706"/>
      <c r="AB432" s="706"/>
      <c r="AC432" s="706"/>
      <c r="AD432" s="706"/>
      <c r="AE432" s="706"/>
      <c r="AF432" s="706"/>
      <c r="AG432" s="863"/>
      <c r="AH432" s="706"/>
      <c r="AI432" s="706"/>
      <c r="AJ432" s="706"/>
      <c r="AK432" s="706"/>
      <c r="AL432" s="706"/>
      <c r="AM432" s="706"/>
      <c r="AN432" s="706"/>
      <c r="AO432" s="863"/>
      <c r="AP432" s="706"/>
      <c r="AQ432" s="706"/>
      <c r="AR432" s="706"/>
      <c r="AS432" s="706"/>
      <c r="AT432" s="706"/>
      <c r="AU432" s="706"/>
      <c r="AV432" s="706"/>
      <c r="AW432" s="706"/>
      <c r="AX432" s="706"/>
      <c r="AY432" s="706"/>
      <c r="AZ432" s="706"/>
      <c r="BA432" s="706"/>
      <c r="BB432" s="706"/>
      <c r="BC432" s="706"/>
      <c r="BD432" s="706"/>
      <c r="BE432" s="706"/>
      <c r="BF432" s="706"/>
      <c r="BG432" s="706"/>
      <c r="BH432" s="706"/>
    </row>
    <row r="433" spans="1:60" s="48" customFormat="1">
      <c r="A433" s="712"/>
      <c r="B433" s="712"/>
      <c r="C433" s="706"/>
      <c r="D433" s="706"/>
      <c r="E433" s="706"/>
      <c r="F433" s="706"/>
      <c r="G433" s="706"/>
      <c r="H433" s="706"/>
      <c r="I433" s="863"/>
      <c r="J433" s="706"/>
      <c r="K433" s="706"/>
      <c r="L433" s="706"/>
      <c r="M433" s="706"/>
      <c r="N433" s="706"/>
      <c r="O433" s="706"/>
      <c r="P433" s="706"/>
      <c r="Q433" s="863"/>
      <c r="R433" s="706"/>
      <c r="S433" s="706"/>
      <c r="T433" s="706"/>
      <c r="U433" s="706"/>
      <c r="V433" s="706"/>
      <c r="W433" s="706"/>
      <c r="X433" s="706"/>
      <c r="Y433" s="863"/>
      <c r="Z433" s="706"/>
      <c r="AA433" s="706"/>
      <c r="AB433" s="706"/>
      <c r="AC433" s="706"/>
      <c r="AD433" s="706"/>
      <c r="AE433" s="706"/>
      <c r="AF433" s="706"/>
      <c r="AG433" s="863"/>
      <c r="AH433" s="706"/>
      <c r="AI433" s="706"/>
      <c r="AJ433" s="706"/>
      <c r="AK433" s="706"/>
      <c r="AL433" s="706"/>
      <c r="AM433" s="706"/>
      <c r="AN433" s="706"/>
      <c r="AO433" s="863"/>
      <c r="AP433" s="706"/>
      <c r="AQ433" s="706"/>
      <c r="AR433" s="706"/>
      <c r="AS433" s="706"/>
      <c r="AT433" s="706"/>
      <c r="AU433" s="706"/>
      <c r="AV433" s="706"/>
      <c r="AW433" s="706"/>
      <c r="AX433" s="706"/>
      <c r="AY433" s="706"/>
      <c r="AZ433" s="706"/>
      <c r="BA433" s="706"/>
      <c r="BB433" s="706"/>
      <c r="BC433" s="706"/>
      <c r="BD433" s="706"/>
      <c r="BE433" s="706"/>
      <c r="BF433" s="706"/>
      <c r="BG433" s="706"/>
      <c r="BH433" s="706"/>
    </row>
    <row r="434" spans="1:60" s="48" customFormat="1">
      <c r="A434" s="712"/>
      <c r="B434" s="712"/>
      <c r="C434" s="706"/>
      <c r="D434" s="706"/>
      <c r="E434" s="706"/>
      <c r="F434" s="706"/>
      <c r="G434" s="706"/>
      <c r="H434" s="706"/>
      <c r="I434" s="863"/>
      <c r="J434" s="706"/>
      <c r="K434" s="706"/>
      <c r="L434" s="706"/>
      <c r="M434" s="706"/>
      <c r="N434" s="706"/>
      <c r="O434" s="706"/>
      <c r="P434" s="706"/>
      <c r="Q434" s="863"/>
      <c r="R434" s="706"/>
      <c r="S434" s="706"/>
      <c r="T434" s="706"/>
      <c r="U434" s="706"/>
      <c r="V434" s="706"/>
      <c r="W434" s="706"/>
      <c r="X434" s="706"/>
      <c r="Y434" s="863"/>
      <c r="Z434" s="706"/>
      <c r="AA434" s="706"/>
      <c r="AB434" s="706"/>
      <c r="AC434" s="706"/>
      <c r="AD434" s="706"/>
      <c r="AE434" s="706"/>
      <c r="AF434" s="706"/>
      <c r="AG434" s="863"/>
      <c r="AH434" s="706"/>
      <c r="AI434" s="706"/>
      <c r="AJ434" s="706"/>
      <c r="AK434" s="706"/>
      <c r="AL434" s="706"/>
      <c r="AM434" s="706"/>
      <c r="AN434" s="706"/>
      <c r="AO434" s="863"/>
      <c r="AP434" s="706"/>
      <c r="AQ434" s="706"/>
      <c r="AR434" s="706"/>
      <c r="AS434" s="706"/>
      <c r="AT434" s="706"/>
      <c r="AU434" s="706"/>
      <c r="AV434" s="706"/>
      <c r="AW434" s="706"/>
      <c r="AX434" s="706"/>
      <c r="AY434" s="706"/>
      <c r="AZ434" s="706"/>
      <c r="BA434" s="706"/>
      <c r="BB434" s="706"/>
      <c r="BC434" s="706"/>
      <c r="BD434" s="706"/>
      <c r="BE434" s="706"/>
      <c r="BF434" s="706"/>
      <c r="BG434" s="706"/>
      <c r="BH434" s="706"/>
    </row>
    <row r="435" spans="1:60" s="48" customFormat="1">
      <c r="A435" s="712"/>
      <c r="B435" s="712"/>
      <c r="C435" s="706"/>
      <c r="D435" s="706"/>
      <c r="E435" s="706"/>
      <c r="F435" s="706"/>
      <c r="G435" s="706"/>
      <c r="H435" s="706"/>
      <c r="I435" s="863"/>
      <c r="J435" s="706"/>
      <c r="K435" s="706"/>
      <c r="L435" s="706"/>
      <c r="M435" s="706"/>
      <c r="N435" s="706"/>
      <c r="O435" s="706"/>
      <c r="P435" s="706"/>
      <c r="Q435" s="863"/>
      <c r="R435" s="706"/>
      <c r="S435" s="706"/>
      <c r="T435" s="706"/>
      <c r="U435" s="706"/>
      <c r="V435" s="706"/>
      <c r="W435" s="706"/>
      <c r="X435" s="706"/>
      <c r="Y435" s="863"/>
      <c r="Z435" s="706"/>
      <c r="AA435" s="706"/>
      <c r="AB435" s="706"/>
      <c r="AC435" s="706"/>
      <c r="AD435" s="706"/>
      <c r="AE435" s="706"/>
      <c r="AF435" s="706"/>
      <c r="AG435" s="863"/>
      <c r="AH435" s="706"/>
      <c r="AI435" s="706"/>
      <c r="AJ435" s="706"/>
      <c r="AK435" s="706"/>
      <c r="AL435" s="706"/>
      <c r="AM435" s="706"/>
      <c r="AN435" s="706"/>
      <c r="AO435" s="863"/>
      <c r="AP435" s="706"/>
      <c r="AQ435" s="706"/>
      <c r="AR435" s="706"/>
      <c r="AS435" s="706"/>
      <c r="AT435" s="706"/>
      <c r="AU435" s="706"/>
      <c r="AV435" s="706"/>
      <c r="AW435" s="706"/>
      <c r="AX435" s="706"/>
      <c r="AY435" s="706"/>
      <c r="AZ435" s="706"/>
      <c r="BA435" s="706"/>
      <c r="BB435" s="706"/>
      <c r="BC435" s="706"/>
      <c r="BD435" s="706"/>
      <c r="BE435" s="706"/>
      <c r="BF435" s="706"/>
      <c r="BG435" s="706"/>
      <c r="BH435" s="706"/>
    </row>
    <row r="436" spans="1:60" s="48" customFormat="1">
      <c r="A436" s="712"/>
      <c r="B436" s="712"/>
      <c r="C436" s="706"/>
      <c r="D436" s="706"/>
      <c r="E436" s="706"/>
      <c r="F436" s="706"/>
      <c r="G436" s="706"/>
      <c r="H436" s="706"/>
      <c r="I436" s="863"/>
      <c r="J436" s="706"/>
      <c r="K436" s="706"/>
      <c r="L436" s="706"/>
      <c r="M436" s="706"/>
      <c r="N436" s="706"/>
      <c r="O436" s="706"/>
      <c r="P436" s="706"/>
      <c r="Q436" s="863"/>
      <c r="R436" s="706"/>
      <c r="S436" s="706"/>
      <c r="T436" s="706"/>
      <c r="U436" s="706"/>
      <c r="V436" s="706"/>
      <c r="W436" s="706"/>
      <c r="X436" s="706"/>
      <c r="Y436" s="863"/>
      <c r="Z436" s="706"/>
      <c r="AA436" s="706"/>
      <c r="AB436" s="706"/>
      <c r="AC436" s="706"/>
      <c r="AD436" s="706"/>
      <c r="AE436" s="706"/>
      <c r="AF436" s="706"/>
      <c r="AG436" s="863"/>
      <c r="AH436" s="706"/>
      <c r="AI436" s="706"/>
      <c r="AJ436" s="706"/>
      <c r="AK436" s="706"/>
      <c r="AL436" s="706"/>
      <c r="AM436" s="706"/>
      <c r="AN436" s="706"/>
      <c r="AO436" s="863"/>
      <c r="AP436" s="706"/>
      <c r="AQ436" s="706"/>
      <c r="AR436" s="706"/>
      <c r="AS436" s="706"/>
      <c r="AT436" s="706"/>
      <c r="AU436" s="706"/>
      <c r="AV436" s="706"/>
      <c r="AW436" s="706"/>
      <c r="AX436" s="706"/>
      <c r="AY436" s="706"/>
      <c r="AZ436" s="706"/>
      <c r="BA436" s="706"/>
      <c r="BB436" s="706"/>
      <c r="BC436" s="706"/>
      <c r="BD436" s="706"/>
      <c r="BE436" s="706"/>
      <c r="BF436" s="706"/>
      <c r="BG436" s="706"/>
      <c r="BH436" s="706"/>
    </row>
    <row r="437" spans="1:60" s="48" customFormat="1">
      <c r="A437" s="712"/>
      <c r="B437" s="712"/>
      <c r="C437" s="706"/>
      <c r="D437" s="706"/>
      <c r="E437" s="706"/>
      <c r="F437" s="706"/>
      <c r="G437" s="706"/>
      <c r="H437" s="706"/>
      <c r="I437" s="863"/>
      <c r="J437" s="706"/>
      <c r="K437" s="706"/>
      <c r="L437" s="706"/>
      <c r="M437" s="706"/>
      <c r="N437" s="706"/>
      <c r="O437" s="706"/>
      <c r="P437" s="706"/>
      <c r="Q437" s="863"/>
      <c r="R437" s="706"/>
      <c r="S437" s="706"/>
      <c r="T437" s="706"/>
      <c r="U437" s="706"/>
      <c r="V437" s="706"/>
      <c r="W437" s="706"/>
      <c r="X437" s="706"/>
      <c r="Y437" s="863"/>
      <c r="Z437" s="706"/>
      <c r="AA437" s="706"/>
      <c r="AB437" s="706"/>
      <c r="AC437" s="706"/>
      <c r="AD437" s="706"/>
      <c r="AE437" s="706"/>
      <c r="AF437" s="706"/>
      <c r="AG437" s="863"/>
      <c r="AH437" s="706"/>
      <c r="AI437" s="706"/>
      <c r="AJ437" s="706"/>
      <c r="AK437" s="706"/>
      <c r="AL437" s="706"/>
      <c r="AM437" s="706"/>
      <c r="AN437" s="706"/>
      <c r="AO437" s="863"/>
      <c r="AP437" s="706"/>
      <c r="AQ437" s="706"/>
      <c r="AR437" s="706"/>
      <c r="AS437" s="706"/>
      <c r="AT437" s="706"/>
      <c r="AU437" s="706"/>
      <c r="AV437" s="706"/>
      <c r="AW437" s="706"/>
      <c r="AX437" s="706"/>
      <c r="AY437" s="706"/>
      <c r="AZ437" s="706"/>
      <c r="BA437" s="706"/>
      <c r="BB437" s="706"/>
      <c r="BC437" s="706"/>
      <c r="BD437" s="706"/>
      <c r="BE437" s="706"/>
      <c r="BF437" s="706"/>
      <c r="BG437" s="706"/>
      <c r="BH437" s="706"/>
    </row>
    <row r="438" spans="1:60" s="48" customFormat="1">
      <c r="A438" s="712"/>
      <c r="B438" s="712"/>
      <c r="C438" s="706"/>
      <c r="D438" s="706"/>
      <c r="E438" s="706"/>
      <c r="F438" s="706"/>
      <c r="G438" s="706"/>
      <c r="H438" s="706"/>
      <c r="I438" s="863"/>
      <c r="J438" s="706"/>
      <c r="K438" s="706"/>
      <c r="L438" s="706"/>
      <c r="M438" s="706"/>
      <c r="N438" s="706"/>
      <c r="O438" s="706"/>
      <c r="P438" s="706"/>
      <c r="Q438" s="863"/>
      <c r="R438" s="706"/>
      <c r="S438" s="706"/>
      <c r="T438" s="706"/>
      <c r="U438" s="706"/>
      <c r="V438" s="706"/>
      <c r="W438" s="706"/>
      <c r="X438" s="706"/>
      <c r="Y438" s="863"/>
      <c r="Z438" s="706"/>
      <c r="AA438" s="706"/>
      <c r="AB438" s="706"/>
      <c r="AC438" s="706"/>
      <c r="AD438" s="706"/>
      <c r="AE438" s="706"/>
      <c r="AF438" s="706"/>
      <c r="AG438" s="863"/>
      <c r="AH438" s="706"/>
      <c r="AI438" s="706"/>
      <c r="AJ438" s="706"/>
      <c r="AK438" s="706"/>
      <c r="AL438" s="706"/>
      <c r="AM438" s="706"/>
      <c r="AN438" s="706"/>
      <c r="AO438" s="863"/>
      <c r="AP438" s="706"/>
      <c r="AQ438" s="706"/>
      <c r="AR438" s="706"/>
      <c r="AS438" s="706"/>
      <c r="AT438" s="706"/>
      <c r="AU438" s="706"/>
      <c r="AV438" s="706"/>
      <c r="AW438" s="706"/>
      <c r="AX438" s="706"/>
      <c r="AY438" s="706"/>
      <c r="AZ438" s="706"/>
      <c r="BA438" s="706"/>
      <c r="BB438" s="706"/>
      <c r="BC438" s="706"/>
      <c r="BD438" s="706"/>
      <c r="BE438" s="706"/>
      <c r="BF438" s="706"/>
      <c r="BG438" s="706"/>
      <c r="BH438" s="706"/>
    </row>
    <row r="439" spans="1:60" s="48" customFormat="1">
      <c r="A439" s="712"/>
      <c r="B439" s="712"/>
      <c r="C439" s="706"/>
      <c r="D439" s="706"/>
      <c r="E439" s="706"/>
      <c r="F439" s="706"/>
      <c r="G439" s="706"/>
      <c r="H439" s="706"/>
      <c r="I439" s="863"/>
      <c r="J439" s="706"/>
      <c r="K439" s="706"/>
      <c r="L439" s="706"/>
      <c r="M439" s="706"/>
      <c r="N439" s="706"/>
      <c r="O439" s="706"/>
      <c r="P439" s="706"/>
      <c r="Q439" s="863"/>
      <c r="R439" s="706"/>
      <c r="S439" s="706"/>
      <c r="T439" s="706"/>
      <c r="U439" s="706"/>
      <c r="V439" s="706"/>
      <c r="W439" s="706"/>
      <c r="X439" s="706"/>
      <c r="Y439" s="863"/>
      <c r="Z439" s="706"/>
      <c r="AA439" s="706"/>
      <c r="AB439" s="706"/>
      <c r="AC439" s="706"/>
      <c r="AD439" s="706"/>
      <c r="AE439" s="706"/>
      <c r="AF439" s="706"/>
      <c r="AG439" s="863"/>
      <c r="AH439" s="706"/>
      <c r="AI439" s="706"/>
      <c r="AJ439" s="706"/>
      <c r="AK439" s="706"/>
      <c r="AL439" s="706"/>
      <c r="AM439" s="706"/>
      <c r="AN439" s="706"/>
      <c r="AO439" s="863"/>
      <c r="AP439" s="706"/>
      <c r="AQ439" s="706"/>
      <c r="AR439" s="706"/>
      <c r="AS439" s="706"/>
      <c r="AT439" s="706"/>
      <c r="AU439" s="706"/>
      <c r="AV439" s="706"/>
      <c r="AW439" s="706"/>
      <c r="AX439" s="706"/>
      <c r="AY439" s="706"/>
      <c r="AZ439" s="706"/>
      <c r="BA439" s="706"/>
      <c r="BB439" s="706"/>
      <c r="BC439" s="706"/>
      <c r="BD439" s="706"/>
      <c r="BE439" s="706"/>
      <c r="BF439" s="706"/>
      <c r="BG439" s="706"/>
      <c r="BH439" s="706"/>
    </row>
    <row r="440" spans="1:60" s="48" customFormat="1">
      <c r="A440" s="712"/>
      <c r="B440" s="712"/>
      <c r="C440" s="706"/>
      <c r="D440" s="706"/>
      <c r="E440" s="706"/>
      <c r="F440" s="706"/>
      <c r="G440" s="706"/>
      <c r="H440" s="706"/>
      <c r="I440" s="863"/>
      <c r="J440" s="706"/>
      <c r="K440" s="706"/>
      <c r="L440" s="706"/>
      <c r="M440" s="706"/>
      <c r="N440" s="706"/>
      <c r="O440" s="706"/>
      <c r="P440" s="706"/>
      <c r="Q440" s="863"/>
      <c r="R440" s="706"/>
      <c r="S440" s="706"/>
      <c r="T440" s="706"/>
      <c r="U440" s="706"/>
      <c r="V440" s="706"/>
      <c r="W440" s="706"/>
      <c r="X440" s="706"/>
      <c r="Y440" s="863"/>
      <c r="Z440" s="706"/>
      <c r="AA440" s="706"/>
      <c r="AB440" s="706"/>
      <c r="AC440" s="706"/>
      <c r="AD440" s="706"/>
      <c r="AE440" s="706"/>
      <c r="AF440" s="706"/>
      <c r="AG440" s="863"/>
      <c r="AH440" s="706"/>
      <c r="AI440" s="706"/>
      <c r="AJ440" s="706"/>
      <c r="AK440" s="706"/>
      <c r="AL440" s="706"/>
      <c r="AM440" s="706"/>
      <c r="AN440" s="706"/>
      <c r="AO440" s="863"/>
      <c r="AP440" s="706"/>
      <c r="AQ440" s="706"/>
      <c r="AR440" s="706"/>
      <c r="AS440" s="706"/>
      <c r="AT440" s="706"/>
      <c r="AU440" s="706"/>
      <c r="AV440" s="706"/>
      <c r="AW440" s="706"/>
      <c r="AX440" s="706"/>
      <c r="AY440" s="706"/>
      <c r="AZ440" s="706"/>
      <c r="BA440" s="706"/>
      <c r="BB440" s="706"/>
      <c r="BC440" s="706"/>
      <c r="BD440" s="706"/>
      <c r="BE440" s="706"/>
      <c r="BF440" s="706"/>
      <c r="BG440" s="706"/>
      <c r="BH440" s="706"/>
    </row>
    <row r="441" spans="1:60" s="48" customFormat="1">
      <c r="A441" s="712"/>
      <c r="B441" s="712"/>
      <c r="C441" s="706"/>
      <c r="D441" s="706"/>
      <c r="E441" s="706"/>
      <c r="F441" s="706"/>
      <c r="G441" s="706"/>
      <c r="H441" s="706"/>
      <c r="I441" s="863"/>
      <c r="J441" s="706"/>
      <c r="K441" s="706"/>
      <c r="L441" s="706"/>
      <c r="M441" s="706"/>
      <c r="N441" s="706"/>
      <c r="O441" s="706"/>
      <c r="P441" s="706"/>
      <c r="Q441" s="863"/>
      <c r="R441" s="706"/>
      <c r="S441" s="706"/>
      <c r="T441" s="706"/>
      <c r="U441" s="706"/>
      <c r="V441" s="706"/>
      <c r="W441" s="706"/>
      <c r="X441" s="706"/>
      <c r="Y441" s="863"/>
      <c r="Z441" s="706"/>
      <c r="AA441" s="706"/>
      <c r="AB441" s="706"/>
      <c r="AC441" s="706"/>
      <c r="AD441" s="706"/>
      <c r="AE441" s="706"/>
      <c r="AF441" s="706"/>
      <c r="AG441" s="863"/>
      <c r="AH441" s="706"/>
      <c r="AI441" s="706"/>
      <c r="AJ441" s="706"/>
      <c r="AK441" s="706"/>
      <c r="AL441" s="706"/>
      <c r="AM441" s="706"/>
      <c r="AN441" s="706"/>
      <c r="AO441" s="863"/>
      <c r="AP441" s="706"/>
      <c r="AQ441" s="706"/>
      <c r="AR441" s="706"/>
      <c r="AS441" s="706"/>
      <c r="AT441" s="706"/>
      <c r="AU441" s="706"/>
      <c r="AV441" s="706"/>
      <c r="AW441" s="706"/>
      <c r="AX441" s="706"/>
      <c r="AY441" s="706"/>
      <c r="AZ441" s="706"/>
      <c r="BA441" s="706"/>
      <c r="BB441" s="706"/>
      <c r="BC441" s="706"/>
      <c r="BD441" s="706"/>
      <c r="BE441" s="706"/>
      <c r="BF441" s="706"/>
      <c r="BG441" s="706"/>
      <c r="BH441" s="706"/>
    </row>
    <row r="442" spans="1:60" s="48" customFormat="1">
      <c r="A442" s="712"/>
      <c r="B442" s="712"/>
      <c r="C442" s="706"/>
      <c r="D442" s="706"/>
      <c r="E442" s="706"/>
      <c r="F442" s="706"/>
      <c r="G442" s="706"/>
      <c r="H442" s="706"/>
      <c r="I442" s="863"/>
      <c r="J442" s="706"/>
      <c r="K442" s="706"/>
      <c r="L442" s="706"/>
      <c r="M442" s="706"/>
      <c r="N442" s="706"/>
      <c r="O442" s="706"/>
      <c r="P442" s="706"/>
      <c r="Q442" s="863"/>
      <c r="R442" s="706"/>
      <c r="S442" s="706"/>
      <c r="T442" s="706"/>
      <c r="U442" s="706"/>
      <c r="V442" s="706"/>
      <c r="W442" s="706"/>
      <c r="X442" s="706"/>
      <c r="Y442" s="863"/>
      <c r="Z442" s="706"/>
      <c r="AA442" s="706"/>
      <c r="AB442" s="706"/>
      <c r="AC442" s="706"/>
      <c r="AD442" s="706"/>
      <c r="AE442" s="706"/>
      <c r="AF442" s="706"/>
      <c r="AG442" s="863"/>
      <c r="AH442" s="706"/>
      <c r="AI442" s="706"/>
      <c r="AJ442" s="706"/>
      <c r="AK442" s="706"/>
      <c r="AL442" s="706"/>
      <c r="AM442" s="706"/>
      <c r="AN442" s="706"/>
      <c r="AO442" s="863"/>
      <c r="AP442" s="706"/>
      <c r="AQ442" s="706"/>
      <c r="AR442" s="706"/>
      <c r="AS442" s="706"/>
      <c r="AT442" s="706"/>
      <c r="AU442" s="706"/>
      <c r="AV442" s="706"/>
      <c r="AW442" s="706"/>
      <c r="AX442" s="706"/>
      <c r="AY442" s="706"/>
      <c r="AZ442" s="706"/>
      <c r="BA442" s="706"/>
      <c r="BB442" s="706"/>
      <c r="BC442" s="706"/>
      <c r="BD442" s="706"/>
      <c r="BE442" s="706"/>
      <c r="BF442" s="706"/>
      <c r="BG442" s="706"/>
      <c r="BH442" s="706"/>
    </row>
    <row r="443" spans="1:60" s="48" customFormat="1">
      <c r="A443" s="712"/>
      <c r="B443" s="712"/>
      <c r="C443" s="706"/>
      <c r="D443" s="706"/>
      <c r="E443" s="706"/>
      <c r="F443" s="706"/>
      <c r="G443" s="706"/>
      <c r="H443" s="706"/>
      <c r="I443" s="863"/>
      <c r="J443" s="706"/>
      <c r="K443" s="706"/>
      <c r="L443" s="706"/>
      <c r="M443" s="706"/>
      <c r="N443" s="706"/>
      <c r="O443" s="706"/>
      <c r="P443" s="706"/>
      <c r="Q443" s="863"/>
      <c r="R443" s="706"/>
      <c r="S443" s="706"/>
      <c r="T443" s="706"/>
      <c r="U443" s="706"/>
      <c r="V443" s="706"/>
      <c r="W443" s="706"/>
      <c r="X443" s="706"/>
      <c r="Y443" s="863"/>
      <c r="Z443" s="706"/>
      <c r="AA443" s="706"/>
      <c r="AB443" s="706"/>
      <c r="AC443" s="706"/>
      <c r="AD443" s="706"/>
      <c r="AE443" s="706"/>
      <c r="AF443" s="706"/>
      <c r="AG443" s="863"/>
      <c r="AH443" s="706"/>
      <c r="AI443" s="706"/>
      <c r="AJ443" s="706"/>
      <c r="AK443" s="706"/>
      <c r="AL443" s="706"/>
      <c r="AM443" s="706"/>
      <c r="AN443" s="706"/>
      <c r="AO443" s="863"/>
      <c r="AP443" s="706"/>
      <c r="AQ443" s="706"/>
      <c r="AR443" s="706"/>
      <c r="AS443" s="706"/>
      <c r="AT443" s="706"/>
      <c r="AU443" s="706"/>
      <c r="AV443" s="706"/>
      <c r="AW443" s="706"/>
      <c r="AX443" s="706"/>
      <c r="AY443" s="706"/>
      <c r="AZ443" s="706"/>
      <c r="BA443" s="706"/>
      <c r="BB443" s="706"/>
      <c r="BC443" s="706"/>
      <c r="BD443" s="706"/>
      <c r="BE443" s="706"/>
      <c r="BF443" s="706"/>
      <c r="BG443" s="706"/>
      <c r="BH443" s="706"/>
    </row>
    <row r="444" spans="1:60" s="48" customFormat="1">
      <c r="C444" s="706"/>
      <c r="D444" s="706"/>
      <c r="E444" s="706"/>
      <c r="F444" s="706"/>
      <c r="G444" s="706"/>
      <c r="H444" s="706"/>
      <c r="I444" s="863"/>
      <c r="J444" s="706"/>
      <c r="K444" s="706"/>
      <c r="L444" s="706"/>
      <c r="M444" s="706"/>
      <c r="N444" s="706"/>
      <c r="O444" s="706"/>
      <c r="P444" s="706"/>
      <c r="Q444" s="863"/>
      <c r="R444" s="706"/>
      <c r="S444" s="706"/>
      <c r="T444" s="706"/>
      <c r="U444" s="706"/>
      <c r="V444" s="706"/>
      <c r="W444" s="706"/>
      <c r="X444" s="706"/>
      <c r="Y444" s="863"/>
      <c r="Z444" s="706"/>
      <c r="AA444" s="706"/>
      <c r="AB444" s="706"/>
      <c r="AC444" s="706"/>
      <c r="AD444" s="706"/>
      <c r="AE444" s="706"/>
      <c r="AF444" s="706"/>
      <c r="AG444" s="863"/>
      <c r="AH444" s="706"/>
      <c r="AI444" s="706"/>
      <c r="AJ444" s="706"/>
      <c r="AK444" s="706"/>
      <c r="AL444" s="706"/>
      <c r="AM444" s="706"/>
      <c r="AN444" s="706"/>
      <c r="AO444" s="863"/>
      <c r="AP444" s="706"/>
      <c r="AQ444" s="706"/>
      <c r="AR444" s="706"/>
      <c r="AS444" s="706"/>
      <c r="AT444" s="706"/>
      <c r="AU444" s="706"/>
      <c r="AV444" s="706"/>
      <c r="AW444" s="706"/>
      <c r="AX444" s="706"/>
      <c r="AY444" s="706"/>
      <c r="AZ444" s="706"/>
      <c r="BA444" s="706"/>
      <c r="BB444" s="706"/>
      <c r="BC444" s="706"/>
      <c r="BD444" s="706"/>
      <c r="BE444" s="706"/>
      <c r="BF444" s="706"/>
      <c r="BG444" s="706"/>
      <c r="BH444" s="706"/>
    </row>
    <row r="445" spans="1:60" s="48" customFormat="1">
      <c r="C445" s="706"/>
      <c r="D445" s="706"/>
      <c r="E445" s="706"/>
      <c r="F445" s="706"/>
      <c r="G445" s="706"/>
      <c r="H445" s="706"/>
      <c r="I445" s="863"/>
      <c r="J445" s="706"/>
      <c r="K445" s="706"/>
      <c r="L445" s="706"/>
      <c r="M445" s="706"/>
      <c r="N445" s="706"/>
      <c r="O445" s="706"/>
      <c r="P445" s="706"/>
      <c r="Q445" s="863"/>
      <c r="R445" s="706"/>
      <c r="S445" s="706"/>
      <c r="T445" s="706"/>
      <c r="U445" s="706"/>
      <c r="V445" s="706"/>
      <c r="W445" s="706"/>
      <c r="X445" s="706"/>
      <c r="Y445" s="863"/>
      <c r="Z445" s="706"/>
      <c r="AA445" s="706"/>
      <c r="AB445" s="706"/>
      <c r="AC445" s="706"/>
      <c r="AD445" s="706"/>
      <c r="AE445" s="706"/>
      <c r="AF445" s="706"/>
      <c r="AG445" s="863"/>
      <c r="AH445" s="706"/>
      <c r="AI445" s="706"/>
      <c r="AJ445" s="706"/>
      <c r="AK445" s="706"/>
      <c r="AL445" s="706"/>
      <c r="AM445" s="706"/>
      <c r="AN445" s="706"/>
      <c r="AO445" s="863"/>
      <c r="AP445" s="706"/>
      <c r="AQ445" s="706"/>
      <c r="AR445" s="706"/>
      <c r="AS445" s="706"/>
      <c r="AT445" s="706"/>
      <c r="AU445" s="706"/>
      <c r="AV445" s="706"/>
      <c r="AW445" s="706"/>
      <c r="AX445" s="706"/>
      <c r="AY445" s="706"/>
      <c r="AZ445" s="706"/>
      <c r="BA445" s="706"/>
      <c r="BB445" s="706"/>
      <c r="BC445" s="706"/>
      <c r="BD445" s="706"/>
      <c r="BE445" s="706"/>
      <c r="BF445" s="706"/>
      <c r="BG445" s="706"/>
      <c r="BH445" s="706"/>
    </row>
    <row r="446" spans="1:60" s="48" customFormat="1">
      <c r="C446" s="706"/>
      <c r="D446" s="706"/>
      <c r="E446" s="706"/>
      <c r="F446" s="706"/>
      <c r="G446" s="706"/>
      <c r="H446" s="706"/>
      <c r="I446" s="863"/>
      <c r="J446" s="706"/>
      <c r="K446" s="706"/>
      <c r="L446" s="706"/>
      <c r="M446" s="706"/>
      <c r="N446" s="706"/>
      <c r="O446" s="706"/>
      <c r="P446" s="706"/>
      <c r="Q446" s="863"/>
      <c r="R446" s="706"/>
      <c r="S446" s="706"/>
      <c r="T446" s="706"/>
      <c r="U446" s="706"/>
      <c r="V446" s="706"/>
      <c r="W446" s="706"/>
      <c r="X446" s="706"/>
      <c r="Y446" s="863"/>
      <c r="Z446" s="706"/>
      <c r="AA446" s="706"/>
      <c r="AB446" s="706"/>
      <c r="AC446" s="706"/>
      <c r="AD446" s="706"/>
      <c r="AE446" s="706"/>
      <c r="AF446" s="706"/>
      <c r="AG446" s="863"/>
      <c r="AH446" s="706"/>
      <c r="AI446" s="706"/>
      <c r="AJ446" s="706"/>
      <c r="AK446" s="706"/>
      <c r="AL446" s="706"/>
      <c r="AM446" s="706"/>
      <c r="AN446" s="706"/>
      <c r="AO446" s="863"/>
      <c r="AP446" s="706"/>
      <c r="AQ446" s="706"/>
      <c r="AR446" s="706"/>
      <c r="AS446" s="706"/>
      <c r="AT446" s="706"/>
      <c r="AU446" s="706"/>
      <c r="AV446" s="706"/>
      <c r="AW446" s="706"/>
      <c r="AX446" s="706"/>
      <c r="AY446" s="706"/>
      <c r="AZ446" s="706"/>
      <c r="BA446" s="706"/>
      <c r="BB446" s="706"/>
      <c r="BC446" s="706"/>
      <c r="BD446" s="706"/>
      <c r="BE446" s="706"/>
      <c r="BF446" s="706"/>
      <c r="BG446" s="706"/>
      <c r="BH446" s="706"/>
    </row>
    <row r="447" spans="1:60" s="48" customFormat="1">
      <c r="C447" s="706"/>
      <c r="D447" s="706"/>
      <c r="E447" s="706"/>
      <c r="F447" s="706"/>
      <c r="G447" s="706"/>
      <c r="H447" s="706"/>
      <c r="I447" s="863"/>
      <c r="J447" s="706"/>
      <c r="K447" s="706"/>
      <c r="L447" s="706"/>
      <c r="M447" s="706"/>
      <c r="N447" s="706"/>
      <c r="O447" s="706"/>
      <c r="P447" s="706"/>
      <c r="Q447" s="863"/>
      <c r="R447" s="706"/>
      <c r="S447" s="706"/>
      <c r="T447" s="706"/>
      <c r="U447" s="706"/>
      <c r="V447" s="706"/>
      <c r="W447" s="706"/>
      <c r="X447" s="706"/>
      <c r="Y447" s="863"/>
      <c r="Z447" s="706"/>
      <c r="AA447" s="706"/>
      <c r="AB447" s="706"/>
      <c r="AC447" s="706"/>
      <c r="AD447" s="706"/>
      <c r="AE447" s="706"/>
      <c r="AF447" s="706"/>
      <c r="AG447" s="863"/>
      <c r="AH447" s="706"/>
      <c r="AI447" s="706"/>
      <c r="AJ447" s="706"/>
      <c r="AK447" s="706"/>
      <c r="AL447" s="706"/>
      <c r="AM447" s="706"/>
      <c r="AN447" s="706"/>
      <c r="AO447" s="863"/>
      <c r="AP447" s="706"/>
      <c r="AQ447" s="706"/>
      <c r="AR447" s="706"/>
      <c r="AS447" s="706"/>
      <c r="AT447" s="706"/>
      <c r="AU447" s="706"/>
      <c r="AV447" s="706"/>
      <c r="AW447" s="706"/>
      <c r="AX447" s="706"/>
      <c r="AY447" s="706"/>
      <c r="AZ447" s="706"/>
      <c r="BA447" s="706"/>
      <c r="BB447" s="706"/>
      <c r="BC447" s="706"/>
      <c r="BD447" s="706"/>
      <c r="BE447" s="706"/>
      <c r="BF447" s="706"/>
      <c r="BG447" s="706"/>
      <c r="BH447" s="706"/>
    </row>
    <row r="448" spans="1:60" s="48" customFormat="1">
      <c r="C448" s="706"/>
      <c r="D448" s="706"/>
      <c r="E448" s="706"/>
      <c r="F448" s="706"/>
      <c r="G448" s="706"/>
      <c r="H448" s="706"/>
      <c r="I448" s="863"/>
      <c r="J448" s="706"/>
      <c r="K448" s="706"/>
      <c r="L448" s="706"/>
      <c r="M448" s="706"/>
      <c r="N448" s="706"/>
      <c r="O448" s="706"/>
      <c r="P448" s="706"/>
      <c r="Q448" s="863"/>
      <c r="R448" s="706"/>
      <c r="S448" s="706"/>
      <c r="T448" s="706"/>
      <c r="U448" s="706"/>
      <c r="V448" s="706"/>
      <c r="W448" s="706"/>
      <c r="X448" s="706"/>
      <c r="Y448" s="863"/>
      <c r="Z448" s="706"/>
      <c r="AA448" s="706"/>
      <c r="AB448" s="706"/>
      <c r="AC448" s="706"/>
      <c r="AD448" s="706"/>
      <c r="AE448" s="706"/>
      <c r="AF448" s="706"/>
      <c r="AG448" s="863"/>
      <c r="AH448" s="706"/>
      <c r="AI448" s="706"/>
      <c r="AJ448" s="706"/>
      <c r="AK448" s="706"/>
      <c r="AL448" s="706"/>
      <c r="AM448" s="706"/>
      <c r="AN448" s="706"/>
      <c r="AO448" s="863"/>
      <c r="AP448" s="706"/>
      <c r="AQ448" s="706"/>
      <c r="AR448" s="706"/>
      <c r="AS448" s="706"/>
      <c r="AT448" s="706"/>
      <c r="AU448" s="706"/>
      <c r="AV448" s="706"/>
      <c r="AW448" s="706"/>
      <c r="AX448" s="706"/>
      <c r="AY448" s="706"/>
      <c r="AZ448" s="706"/>
      <c r="BA448" s="706"/>
      <c r="BB448" s="706"/>
      <c r="BC448" s="706"/>
      <c r="BD448" s="706"/>
      <c r="BE448" s="706"/>
      <c r="BF448" s="706"/>
      <c r="BG448" s="706"/>
      <c r="BH448" s="706"/>
    </row>
    <row r="449" spans="3:60" s="48" customFormat="1">
      <c r="C449" s="706"/>
      <c r="D449" s="706"/>
      <c r="E449" s="706"/>
      <c r="F449" s="706"/>
      <c r="G449" s="706"/>
      <c r="H449" s="706"/>
      <c r="I449" s="863"/>
      <c r="J449" s="706"/>
      <c r="K449" s="706"/>
      <c r="L449" s="706"/>
      <c r="M449" s="706"/>
      <c r="N449" s="706"/>
      <c r="O449" s="706"/>
      <c r="P449" s="706"/>
      <c r="Q449" s="863"/>
      <c r="R449" s="706"/>
      <c r="S449" s="706"/>
      <c r="T449" s="706"/>
      <c r="U449" s="706"/>
      <c r="V449" s="706"/>
      <c r="W449" s="706"/>
      <c r="X449" s="706"/>
      <c r="Y449" s="863"/>
      <c r="Z449" s="706"/>
      <c r="AA449" s="706"/>
      <c r="AB449" s="706"/>
      <c r="AC449" s="706"/>
      <c r="AD449" s="706"/>
      <c r="AE449" s="706"/>
      <c r="AF449" s="706"/>
      <c r="AG449" s="863"/>
      <c r="AH449" s="706"/>
      <c r="AI449" s="706"/>
      <c r="AJ449" s="706"/>
      <c r="AK449" s="706"/>
      <c r="AL449" s="706"/>
      <c r="AM449" s="706"/>
      <c r="AN449" s="706"/>
      <c r="AO449" s="863"/>
      <c r="AP449" s="706"/>
      <c r="AQ449" s="706"/>
      <c r="AR449" s="706"/>
      <c r="AS449" s="706"/>
      <c r="AT449" s="706"/>
      <c r="AU449" s="706"/>
      <c r="AV449" s="706"/>
      <c r="AW449" s="706"/>
      <c r="AX449" s="706"/>
      <c r="AY449" s="706"/>
      <c r="AZ449" s="706"/>
      <c r="BA449" s="706"/>
      <c r="BB449" s="706"/>
      <c r="BC449" s="706"/>
      <c r="BD449" s="706"/>
      <c r="BE449" s="706"/>
      <c r="BF449" s="706"/>
      <c r="BG449" s="706"/>
      <c r="BH449" s="706"/>
    </row>
    <row r="450" spans="3:60" s="48" customFormat="1">
      <c r="C450" s="706"/>
      <c r="D450" s="706"/>
      <c r="E450" s="706"/>
      <c r="F450" s="706"/>
      <c r="G450" s="706"/>
      <c r="H450" s="706"/>
      <c r="I450" s="863"/>
      <c r="J450" s="706"/>
      <c r="K450" s="706"/>
      <c r="L450" s="706"/>
      <c r="M450" s="706"/>
      <c r="N450" s="706"/>
      <c r="O450" s="706"/>
      <c r="P450" s="706"/>
      <c r="Q450" s="863"/>
      <c r="R450" s="706"/>
      <c r="S450" s="706"/>
      <c r="T450" s="706"/>
      <c r="U450" s="706"/>
      <c r="V450" s="706"/>
      <c r="W450" s="706"/>
      <c r="X450" s="706"/>
      <c r="Y450" s="863"/>
      <c r="Z450" s="706"/>
      <c r="AA450" s="706"/>
      <c r="AB450" s="706"/>
      <c r="AC450" s="706"/>
      <c r="AD450" s="706"/>
      <c r="AE450" s="706"/>
      <c r="AF450" s="706"/>
      <c r="AG450" s="863"/>
      <c r="AH450" s="706"/>
      <c r="AI450" s="706"/>
      <c r="AJ450" s="706"/>
      <c r="AK450" s="706"/>
      <c r="AL450" s="706"/>
      <c r="AM450" s="706"/>
      <c r="AN450" s="706"/>
      <c r="AO450" s="863"/>
      <c r="AP450" s="706"/>
      <c r="AQ450" s="706"/>
      <c r="AR450" s="706"/>
      <c r="AS450" s="706"/>
      <c r="AT450" s="706"/>
      <c r="AU450" s="706"/>
      <c r="AV450" s="706"/>
      <c r="AW450" s="706"/>
      <c r="AX450" s="706"/>
      <c r="AY450" s="706"/>
      <c r="AZ450" s="706"/>
      <c r="BA450" s="706"/>
      <c r="BB450" s="706"/>
      <c r="BC450" s="706"/>
      <c r="BD450" s="706"/>
      <c r="BE450" s="706"/>
      <c r="BF450" s="706"/>
      <c r="BG450" s="706"/>
      <c r="BH450" s="706"/>
    </row>
    <row r="451" spans="3:60" s="48" customFormat="1">
      <c r="C451" s="706"/>
      <c r="D451" s="706"/>
      <c r="E451" s="706"/>
      <c r="F451" s="706"/>
      <c r="G451" s="706"/>
      <c r="H451" s="706"/>
      <c r="I451" s="863"/>
      <c r="J451" s="706"/>
      <c r="K451" s="706"/>
      <c r="L451" s="706"/>
      <c r="M451" s="706"/>
      <c r="N451" s="706"/>
      <c r="O451" s="706"/>
      <c r="P451" s="706"/>
      <c r="Q451" s="863"/>
      <c r="R451" s="706"/>
      <c r="S451" s="706"/>
      <c r="T451" s="706"/>
      <c r="U451" s="706"/>
      <c r="V451" s="706"/>
      <c r="W451" s="706"/>
      <c r="X451" s="706"/>
      <c r="Y451" s="863"/>
      <c r="Z451" s="706"/>
      <c r="AA451" s="706"/>
      <c r="AB451" s="706"/>
      <c r="AC451" s="706"/>
      <c r="AD451" s="706"/>
      <c r="AE451" s="706"/>
      <c r="AF451" s="706"/>
      <c r="AG451" s="863"/>
      <c r="AH451" s="706"/>
      <c r="AI451" s="706"/>
      <c r="AJ451" s="706"/>
      <c r="AK451" s="706"/>
      <c r="AL451" s="706"/>
      <c r="AM451" s="706"/>
      <c r="AN451" s="706"/>
      <c r="AO451" s="863"/>
      <c r="AP451" s="706"/>
      <c r="AQ451" s="706"/>
      <c r="AR451" s="706"/>
      <c r="AS451" s="706"/>
      <c r="AT451" s="706"/>
      <c r="AU451" s="706"/>
      <c r="AV451" s="706"/>
      <c r="AW451" s="706"/>
      <c r="AX451" s="706"/>
      <c r="AY451" s="706"/>
      <c r="AZ451" s="706"/>
      <c r="BA451" s="706"/>
      <c r="BB451" s="706"/>
      <c r="BC451" s="706"/>
      <c r="BD451" s="706"/>
      <c r="BE451" s="706"/>
      <c r="BF451" s="706"/>
      <c r="BG451" s="706"/>
      <c r="BH451" s="706"/>
    </row>
    <row r="452" spans="3:60" s="48" customFormat="1">
      <c r="C452" s="706"/>
      <c r="D452" s="706"/>
      <c r="E452" s="706"/>
      <c r="F452" s="706"/>
      <c r="G452" s="706"/>
      <c r="H452" s="706"/>
      <c r="I452" s="863"/>
      <c r="J452" s="706"/>
      <c r="K452" s="706"/>
      <c r="L452" s="706"/>
      <c r="M452" s="706"/>
      <c r="N452" s="706"/>
      <c r="O452" s="706"/>
      <c r="P452" s="706"/>
      <c r="Q452" s="863"/>
      <c r="R452" s="706"/>
      <c r="S452" s="706"/>
      <c r="T452" s="706"/>
      <c r="U452" s="706"/>
      <c r="V452" s="706"/>
      <c r="W452" s="706"/>
      <c r="X452" s="706"/>
      <c r="Y452" s="863"/>
      <c r="Z452" s="706"/>
      <c r="AA452" s="706"/>
      <c r="AB452" s="706"/>
      <c r="AC452" s="706"/>
      <c r="AD452" s="706"/>
      <c r="AE452" s="706"/>
      <c r="AF452" s="706"/>
      <c r="AG452" s="863"/>
      <c r="AH452" s="706"/>
      <c r="AI452" s="706"/>
      <c r="AJ452" s="706"/>
      <c r="AK452" s="706"/>
      <c r="AL452" s="706"/>
      <c r="AM452" s="706"/>
      <c r="AN452" s="706"/>
      <c r="AO452" s="863"/>
      <c r="AP452" s="706"/>
      <c r="AQ452" s="706"/>
      <c r="AR452" s="706"/>
      <c r="AS452" s="706"/>
      <c r="AT452" s="706"/>
      <c r="AU452" s="706"/>
      <c r="AV452" s="706"/>
      <c r="AW452" s="706"/>
      <c r="AX452" s="706"/>
      <c r="AY452" s="706"/>
      <c r="AZ452" s="706"/>
      <c r="BA452" s="706"/>
      <c r="BB452" s="706"/>
      <c r="BC452" s="706"/>
      <c r="BD452" s="706"/>
      <c r="BE452" s="706"/>
      <c r="BF452" s="706"/>
      <c r="BG452" s="706"/>
      <c r="BH452" s="706"/>
    </row>
    <row r="453" spans="3:60" s="48" customFormat="1">
      <c r="C453" s="706"/>
      <c r="D453" s="706"/>
      <c r="E453" s="706"/>
      <c r="F453" s="706"/>
      <c r="G453" s="706"/>
      <c r="H453" s="706"/>
      <c r="I453" s="863"/>
      <c r="J453" s="706"/>
      <c r="K453" s="706"/>
      <c r="L453" s="706"/>
      <c r="M453" s="706"/>
      <c r="N453" s="706"/>
      <c r="O453" s="706"/>
      <c r="P453" s="706"/>
      <c r="Q453" s="863"/>
      <c r="R453" s="706"/>
      <c r="S453" s="706"/>
      <c r="T453" s="706"/>
      <c r="U453" s="706"/>
      <c r="V453" s="706"/>
      <c r="W453" s="706"/>
      <c r="X453" s="706"/>
      <c r="Y453" s="863"/>
      <c r="Z453" s="706"/>
      <c r="AA453" s="706"/>
      <c r="AB453" s="706"/>
      <c r="AC453" s="706"/>
      <c r="AD453" s="706"/>
      <c r="AE453" s="706"/>
      <c r="AF453" s="706"/>
      <c r="AG453" s="863"/>
      <c r="AH453" s="706"/>
      <c r="AI453" s="706"/>
      <c r="AJ453" s="706"/>
      <c r="AK453" s="706"/>
      <c r="AL453" s="706"/>
      <c r="AM453" s="706"/>
      <c r="AN453" s="706"/>
      <c r="AO453" s="863"/>
      <c r="AP453" s="706"/>
      <c r="AQ453" s="706"/>
      <c r="AR453" s="706"/>
      <c r="AS453" s="706"/>
      <c r="AT453" s="706"/>
      <c r="AU453" s="706"/>
      <c r="AV453" s="706"/>
      <c r="AW453" s="706"/>
      <c r="AX453" s="706"/>
      <c r="AY453" s="706"/>
      <c r="AZ453" s="706"/>
      <c r="BA453" s="706"/>
      <c r="BB453" s="706"/>
      <c r="BC453" s="706"/>
      <c r="BD453" s="706"/>
      <c r="BE453" s="706"/>
      <c r="BF453" s="706"/>
      <c r="BG453" s="706"/>
      <c r="BH453" s="706"/>
    </row>
    <row r="454" spans="3:60" s="48" customFormat="1">
      <c r="C454" s="706"/>
      <c r="D454" s="706"/>
      <c r="E454" s="706"/>
      <c r="F454" s="706"/>
      <c r="G454" s="706"/>
      <c r="H454" s="706"/>
      <c r="I454" s="863"/>
      <c r="J454" s="706"/>
      <c r="K454" s="706"/>
      <c r="L454" s="706"/>
      <c r="M454" s="706"/>
      <c r="N454" s="706"/>
      <c r="O454" s="706"/>
      <c r="P454" s="706"/>
      <c r="Q454" s="863"/>
      <c r="R454" s="706"/>
      <c r="S454" s="706"/>
      <c r="T454" s="706"/>
      <c r="U454" s="706"/>
      <c r="V454" s="706"/>
      <c r="W454" s="706"/>
      <c r="X454" s="706"/>
      <c r="Y454" s="863"/>
      <c r="Z454" s="706"/>
      <c r="AA454" s="706"/>
      <c r="AB454" s="706"/>
      <c r="AC454" s="706"/>
      <c r="AD454" s="706"/>
      <c r="AE454" s="706"/>
      <c r="AF454" s="706"/>
      <c r="AG454" s="863"/>
      <c r="AH454" s="706"/>
      <c r="AI454" s="706"/>
      <c r="AJ454" s="706"/>
      <c r="AK454" s="706"/>
      <c r="AL454" s="706"/>
      <c r="AM454" s="706"/>
      <c r="AN454" s="706"/>
      <c r="AO454" s="863"/>
      <c r="AP454" s="706"/>
      <c r="AQ454" s="706"/>
      <c r="AR454" s="706"/>
      <c r="AS454" s="706"/>
      <c r="AT454" s="706"/>
      <c r="AU454" s="706"/>
      <c r="AV454" s="706"/>
      <c r="AW454" s="706"/>
      <c r="AX454" s="706"/>
      <c r="AY454" s="706"/>
      <c r="AZ454" s="706"/>
      <c r="BA454" s="706"/>
      <c r="BB454" s="706"/>
      <c r="BC454" s="706"/>
      <c r="BD454" s="706"/>
      <c r="BE454" s="706"/>
      <c r="BF454" s="706"/>
      <c r="BG454" s="706"/>
      <c r="BH454" s="706"/>
    </row>
    <row r="455" spans="3:60" s="48" customFormat="1">
      <c r="C455" s="706"/>
      <c r="D455" s="706"/>
      <c r="E455" s="706"/>
      <c r="F455" s="706"/>
      <c r="G455" s="706"/>
      <c r="H455" s="706"/>
      <c r="I455" s="863"/>
      <c r="J455" s="706"/>
      <c r="K455" s="706"/>
      <c r="L455" s="706"/>
      <c r="M455" s="706"/>
      <c r="N455" s="706"/>
      <c r="O455" s="706"/>
      <c r="P455" s="706"/>
      <c r="Q455" s="863"/>
      <c r="R455" s="706"/>
      <c r="S455" s="706"/>
      <c r="T455" s="706"/>
      <c r="U455" s="706"/>
      <c r="V455" s="706"/>
      <c r="W455" s="706"/>
      <c r="X455" s="706"/>
      <c r="Y455" s="863"/>
      <c r="Z455" s="706"/>
      <c r="AA455" s="706"/>
      <c r="AB455" s="706"/>
      <c r="AC455" s="706"/>
      <c r="AD455" s="706"/>
      <c r="AE455" s="706"/>
      <c r="AF455" s="706"/>
      <c r="AG455" s="863"/>
      <c r="AH455" s="706"/>
      <c r="AI455" s="706"/>
      <c r="AJ455" s="706"/>
      <c r="AK455" s="706"/>
      <c r="AL455" s="706"/>
      <c r="AM455" s="706"/>
      <c r="AN455" s="706"/>
      <c r="AO455" s="863"/>
      <c r="AP455" s="706"/>
      <c r="AQ455" s="706"/>
      <c r="AR455" s="706"/>
      <c r="AS455" s="706"/>
      <c r="AT455" s="706"/>
      <c r="AU455" s="706"/>
      <c r="AV455" s="706"/>
      <c r="AW455" s="706"/>
      <c r="AX455" s="706"/>
      <c r="AY455" s="706"/>
      <c r="AZ455" s="706"/>
      <c r="BA455" s="706"/>
      <c r="BB455" s="706"/>
      <c r="BC455" s="706"/>
      <c r="BD455" s="706"/>
      <c r="BE455" s="706"/>
      <c r="BF455" s="706"/>
      <c r="BG455" s="706"/>
      <c r="BH455" s="706"/>
    </row>
    <row r="456" spans="3:60" s="48" customFormat="1">
      <c r="C456" s="706"/>
      <c r="D456" s="706"/>
      <c r="E456" s="706"/>
      <c r="F456" s="706"/>
      <c r="G456" s="706"/>
      <c r="H456" s="706"/>
      <c r="I456" s="863"/>
      <c r="J456" s="706"/>
      <c r="K456" s="706"/>
      <c r="L456" s="706"/>
      <c r="M456" s="706"/>
      <c r="N456" s="706"/>
      <c r="O456" s="706"/>
      <c r="P456" s="706"/>
      <c r="Q456" s="863"/>
      <c r="R456" s="706"/>
      <c r="S456" s="706"/>
      <c r="T456" s="706"/>
      <c r="U456" s="706"/>
      <c r="V456" s="706"/>
      <c r="W456" s="706"/>
      <c r="X456" s="706"/>
      <c r="Y456" s="863"/>
      <c r="Z456" s="706"/>
      <c r="AA456" s="706"/>
      <c r="AB456" s="706"/>
      <c r="AC456" s="706"/>
      <c r="AD456" s="706"/>
      <c r="AE456" s="706"/>
      <c r="AF456" s="706"/>
      <c r="AG456" s="863"/>
      <c r="AH456" s="706"/>
      <c r="AI456" s="706"/>
      <c r="AJ456" s="706"/>
      <c r="AK456" s="706"/>
      <c r="AL456" s="706"/>
      <c r="AM456" s="706"/>
      <c r="AN456" s="706"/>
      <c r="AO456" s="863"/>
      <c r="AP456" s="706"/>
      <c r="AQ456" s="706"/>
      <c r="AR456" s="706"/>
      <c r="AS456" s="706"/>
      <c r="AT456" s="706"/>
      <c r="AU456" s="706"/>
      <c r="AV456" s="706"/>
      <c r="AW456" s="706"/>
      <c r="AX456" s="706"/>
      <c r="AY456" s="706"/>
      <c r="AZ456" s="706"/>
      <c r="BA456" s="706"/>
      <c r="BB456" s="706"/>
      <c r="BC456" s="706"/>
      <c r="BD456" s="706"/>
      <c r="BE456" s="706"/>
      <c r="BF456" s="706"/>
      <c r="BG456" s="706"/>
      <c r="BH456" s="706"/>
    </row>
    <row r="457" spans="3:60" s="48" customFormat="1">
      <c r="C457" s="706"/>
      <c r="D457" s="706"/>
      <c r="E457" s="706"/>
      <c r="F457" s="706"/>
      <c r="G457" s="706"/>
      <c r="H457" s="706"/>
      <c r="I457" s="863"/>
      <c r="J457" s="706"/>
      <c r="K457" s="706"/>
      <c r="L457" s="706"/>
      <c r="M457" s="706"/>
      <c r="N457" s="706"/>
      <c r="O457" s="706"/>
      <c r="P457" s="706"/>
      <c r="Q457" s="863"/>
      <c r="R457" s="706"/>
      <c r="S457" s="706"/>
      <c r="T457" s="706"/>
      <c r="U457" s="706"/>
      <c r="V457" s="706"/>
      <c r="W457" s="706"/>
      <c r="X457" s="706"/>
      <c r="Y457" s="863"/>
      <c r="Z457" s="706"/>
      <c r="AA457" s="706"/>
      <c r="AB457" s="706"/>
      <c r="AC457" s="706"/>
      <c r="AD457" s="706"/>
      <c r="AE457" s="706"/>
      <c r="AF457" s="706"/>
      <c r="AG457" s="863"/>
      <c r="AH457" s="706"/>
      <c r="AI457" s="706"/>
      <c r="AJ457" s="706"/>
      <c r="AK457" s="706"/>
      <c r="AL457" s="706"/>
      <c r="AM457" s="706"/>
      <c r="AN457" s="706"/>
      <c r="AO457" s="863"/>
      <c r="AP457" s="706"/>
      <c r="AQ457" s="706"/>
      <c r="AR457" s="706"/>
      <c r="AS457" s="706"/>
      <c r="AT457" s="706"/>
      <c r="AU457" s="706"/>
      <c r="AV457" s="706"/>
      <c r="AW457" s="706"/>
      <c r="AX457" s="706"/>
      <c r="AY457" s="706"/>
      <c r="AZ457" s="706"/>
      <c r="BA457" s="706"/>
      <c r="BB457" s="706"/>
      <c r="BC457" s="706"/>
      <c r="BD457" s="706"/>
      <c r="BE457" s="706"/>
      <c r="BF457" s="706"/>
      <c r="BG457" s="706"/>
      <c r="BH457" s="706"/>
    </row>
    <row r="458" spans="3:60" s="48" customFormat="1">
      <c r="C458" s="706"/>
      <c r="D458" s="706"/>
      <c r="E458" s="706"/>
      <c r="F458" s="706"/>
      <c r="G458" s="706"/>
      <c r="H458" s="706"/>
      <c r="I458" s="863"/>
      <c r="J458" s="706"/>
      <c r="K458" s="706"/>
      <c r="L458" s="706"/>
      <c r="M458" s="706"/>
      <c r="N458" s="706"/>
      <c r="O458" s="706"/>
      <c r="P458" s="706"/>
      <c r="Q458" s="863"/>
      <c r="R458" s="706"/>
      <c r="S458" s="706"/>
      <c r="T458" s="706"/>
      <c r="U458" s="706"/>
      <c r="V458" s="706"/>
      <c r="W458" s="706"/>
      <c r="X458" s="706"/>
      <c r="Y458" s="863"/>
      <c r="Z458" s="706"/>
      <c r="AA458" s="706"/>
      <c r="AB458" s="706"/>
      <c r="AC458" s="706"/>
      <c r="AD458" s="706"/>
      <c r="AE458" s="706"/>
      <c r="AF458" s="706"/>
      <c r="AG458" s="863"/>
      <c r="AH458" s="706"/>
      <c r="AI458" s="706"/>
      <c r="AJ458" s="706"/>
      <c r="AK458" s="706"/>
      <c r="AL458" s="706"/>
      <c r="AM458" s="706"/>
      <c r="AN458" s="706"/>
      <c r="AO458" s="863"/>
      <c r="AP458" s="706"/>
      <c r="AQ458" s="706"/>
      <c r="AR458" s="706"/>
      <c r="AS458" s="706"/>
      <c r="AT458" s="706"/>
      <c r="AU458" s="706"/>
      <c r="AV458" s="706"/>
      <c r="AW458" s="706"/>
      <c r="AX458" s="706"/>
      <c r="AY458" s="706"/>
      <c r="AZ458" s="706"/>
      <c r="BA458" s="706"/>
      <c r="BB458" s="706"/>
      <c r="BC458" s="706"/>
      <c r="BD458" s="706"/>
      <c r="BE458" s="706"/>
      <c r="BF458" s="706"/>
      <c r="BG458" s="706"/>
      <c r="BH458" s="706"/>
    </row>
    <row r="459" spans="3:60" s="48" customFormat="1">
      <c r="C459" s="706"/>
      <c r="D459" s="706"/>
      <c r="E459" s="706"/>
      <c r="F459" s="706"/>
      <c r="G459" s="706"/>
      <c r="H459" s="706"/>
      <c r="I459" s="863"/>
      <c r="J459" s="706"/>
      <c r="K459" s="706"/>
      <c r="L459" s="706"/>
      <c r="M459" s="706"/>
      <c r="N459" s="706"/>
      <c r="O459" s="706"/>
      <c r="P459" s="706"/>
      <c r="Q459" s="863"/>
      <c r="R459" s="706"/>
      <c r="S459" s="706"/>
      <c r="T459" s="706"/>
      <c r="U459" s="706"/>
      <c r="V459" s="706"/>
      <c r="W459" s="706"/>
      <c r="X459" s="706"/>
      <c r="Y459" s="863"/>
      <c r="Z459" s="706"/>
      <c r="AA459" s="706"/>
      <c r="AB459" s="706"/>
      <c r="AC459" s="706"/>
      <c r="AD459" s="706"/>
      <c r="AE459" s="706"/>
      <c r="AF459" s="706"/>
      <c r="AG459" s="863"/>
      <c r="AH459" s="706"/>
      <c r="AI459" s="706"/>
      <c r="AJ459" s="706"/>
      <c r="AK459" s="706"/>
      <c r="AL459" s="706"/>
      <c r="AM459" s="706"/>
      <c r="AN459" s="706"/>
      <c r="AO459" s="863"/>
      <c r="AP459" s="706"/>
      <c r="AQ459" s="706"/>
      <c r="AR459" s="706"/>
      <c r="AS459" s="706"/>
      <c r="AT459" s="706"/>
      <c r="AU459" s="706"/>
      <c r="AV459" s="706"/>
      <c r="AW459" s="706"/>
      <c r="AX459" s="706"/>
      <c r="AY459" s="706"/>
      <c r="AZ459" s="706"/>
      <c r="BA459" s="706"/>
      <c r="BB459" s="706"/>
      <c r="BC459" s="706"/>
      <c r="BD459" s="706"/>
      <c r="BE459" s="706"/>
      <c r="BF459" s="706"/>
      <c r="BG459" s="706"/>
      <c r="BH459" s="706"/>
    </row>
    <row r="460" spans="3:60" s="48" customFormat="1">
      <c r="C460" s="706"/>
      <c r="D460" s="706"/>
      <c r="E460" s="706"/>
      <c r="F460" s="706"/>
      <c r="G460" s="706"/>
      <c r="H460" s="706"/>
      <c r="I460" s="863"/>
      <c r="J460" s="706"/>
      <c r="K460" s="706"/>
      <c r="L460" s="706"/>
      <c r="M460" s="706"/>
      <c r="N460" s="706"/>
      <c r="O460" s="706"/>
      <c r="P460" s="706"/>
      <c r="Q460" s="863"/>
      <c r="R460" s="706"/>
      <c r="S460" s="706"/>
      <c r="T460" s="706"/>
      <c r="U460" s="706"/>
      <c r="V460" s="706"/>
      <c r="W460" s="706"/>
      <c r="X460" s="706"/>
      <c r="Y460" s="863"/>
      <c r="Z460" s="706"/>
      <c r="AA460" s="706"/>
      <c r="AB460" s="706"/>
      <c r="AC460" s="706"/>
      <c r="AD460" s="706"/>
      <c r="AE460" s="706"/>
      <c r="AF460" s="706"/>
      <c r="AG460" s="863"/>
      <c r="AH460" s="706"/>
      <c r="AI460" s="706"/>
      <c r="AJ460" s="706"/>
      <c r="AK460" s="706"/>
      <c r="AL460" s="706"/>
      <c r="AM460" s="706"/>
      <c r="AN460" s="706"/>
      <c r="AO460" s="863"/>
      <c r="AP460" s="706"/>
      <c r="AQ460" s="706"/>
      <c r="AR460" s="706"/>
      <c r="AS460" s="706"/>
      <c r="AT460" s="706"/>
      <c r="AU460" s="706"/>
      <c r="AV460" s="706"/>
      <c r="AW460" s="706"/>
      <c r="AX460" s="706"/>
      <c r="AY460" s="706"/>
      <c r="AZ460" s="706"/>
      <c r="BA460" s="706"/>
      <c r="BB460" s="706"/>
      <c r="BC460" s="706"/>
      <c r="BD460" s="706"/>
      <c r="BE460" s="706"/>
      <c r="BF460" s="706"/>
      <c r="BG460" s="706"/>
      <c r="BH460" s="706"/>
    </row>
    <row r="461" spans="3:60" s="48" customFormat="1">
      <c r="C461" s="706"/>
      <c r="D461" s="706"/>
      <c r="E461" s="706"/>
      <c r="F461" s="706"/>
      <c r="G461" s="706"/>
      <c r="H461" s="706"/>
      <c r="I461" s="863"/>
      <c r="J461" s="706"/>
      <c r="K461" s="706"/>
      <c r="L461" s="706"/>
      <c r="M461" s="706"/>
      <c r="N461" s="706"/>
      <c r="O461" s="706"/>
      <c r="P461" s="706"/>
      <c r="Q461" s="863"/>
      <c r="R461" s="706"/>
      <c r="S461" s="706"/>
      <c r="T461" s="706"/>
      <c r="U461" s="706"/>
      <c r="V461" s="706"/>
      <c r="W461" s="706"/>
      <c r="X461" s="706"/>
      <c r="Y461" s="863"/>
      <c r="Z461" s="706"/>
      <c r="AA461" s="706"/>
      <c r="AB461" s="706"/>
      <c r="AC461" s="706"/>
      <c r="AD461" s="706"/>
      <c r="AE461" s="706"/>
      <c r="AF461" s="706"/>
      <c r="AG461" s="863"/>
      <c r="AH461" s="706"/>
      <c r="AI461" s="706"/>
      <c r="AJ461" s="706"/>
      <c r="AK461" s="706"/>
      <c r="AL461" s="706"/>
      <c r="AM461" s="706"/>
      <c r="AN461" s="706"/>
      <c r="AO461" s="863"/>
      <c r="AP461" s="706"/>
      <c r="AQ461" s="706"/>
      <c r="AR461" s="706"/>
      <c r="AS461" s="706"/>
      <c r="AT461" s="706"/>
      <c r="AU461" s="706"/>
      <c r="AV461" s="706"/>
      <c r="AW461" s="706"/>
      <c r="AX461" s="706"/>
      <c r="AY461" s="706"/>
      <c r="AZ461" s="706"/>
      <c r="BA461" s="706"/>
      <c r="BB461" s="706"/>
      <c r="BC461" s="706"/>
      <c r="BD461" s="706"/>
      <c r="BE461" s="706"/>
      <c r="BF461" s="706"/>
      <c r="BG461" s="706"/>
      <c r="BH461" s="706"/>
    </row>
    <row r="462" spans="3:60" s="48" customFormat="1">
      <c r="C462" s="706"/>
      <c r="D462" s="706"/>
      <c r="E462" s="706"/>
      <c r="F462" s="706"/>
      <c r="G462" s="706"/>
      <c r="H462" s="706"/>
      <c r="I462" s="863"/>
      <c r="J462" s="706"/>
      <c r="K462" s="706"/>
      <c r="L462" s="706"/>
      <c r="M462" s="706"/>
      <c r="N462" s="706"/>
      <c r="O462" s="706"/>
      <c r="P462" s="706"/>
      <c r="Q462" s="863"/>
      <c r="R462" s="706"/>
      <c r="S462" s="706"/>
      <c r="T462" s="706"/>
      <c r="U462" s="706"/>
      <c r="V462" s="706"/>
      <c r="W462" s="706"/>
      <c r="X462" s="706"/>
      <c r="Y462" s="863"/>
      <c r="Z462" s="706"/>
      <c r="AA462" s="706"/>
      <c r="AB462" s="706"/>
      <c r="AC462" s="706"/>
      <c r="AD462" s="706"/>
      <c r="AE462" s="706"/>
      <c r="AF462" s="706"/>
      <c r="AG462" s="863"/>
      <c r="AH462" s="706"/>
      <c r="AI462" s="706"/>
      <c r="AJ462" s="706"/>
      <c r="AK462" s="706"/>
      <c r="AL462" s="706"/>
      <c r="AM462" s="706"/>
      <c r="AN462" s="706"/>
      <c r="AO462" s="863"/>
      <c r="AP462" s="706"/>
      <c r="AQ462" s="706"/>
      <c r="AR462" s="706"/>
      <c r="AS462" s="706"/>
      <c r="AT462" s="706"/>
      <c r="AU462" s="706"/>
      <c r="AV462" s="706"/>
      <c r="AW462" s="706"/>
      <c r="AX462" s="706"/>
      <c r="AY462" s="706"/>
      <c r="AZ462" s="706"/>
      <c r="BA462" s="706"/>
      <c r="BB462" s="706"/>
      <c r="BC462" s="706"/>
      <c r="BD462" s="706"/>
      <c r="BE462" s="706"/>
      <c r="BF462" s="706"/>
      <c r="BG462" s="706"/>
      <c r="BH462" s="706"/>
    </row>
    <row r="463" spans="3:60" s="48" customFormat="1">
      <c r="C463" s="706"/>
      <c r="D463" s="706"/>
      <c r="E463" s="706"/>
      <c r="F463" s="706"/>
      <c r="G463" s="706"/>
      <c r="H463" s="706"/>
      <c r="I463" s="863"/>
      <c r="J463" s="706"/>
      <c r="K463" s="706"/>
      <c r="L463" s="706"/>
      <c r="M463" s="706"/>
      <c r="N463" s="706"/>
      <c r="O463" s="706"/>
      <c r="P463" s="706"/>
      <c r="Q463" s="863"/>
      <c r="R463" s="706"/>
      <c r="S463" s="706"/>
      <c r="T463" s="706"/>
      <c r="U463" s="706"/>
      <c r="V463" s="706"/>
      <c r="W463" s="706"/>
      <c r="X463" s="706"/>
      <c r="Y463" s="863"/>
      <c r="Z463" s="706"/>
      <c r="AA463" s="706"/>
      <c r="AB463" s="706"/>
      <c r="AC463" s="706"/>
      <c r="AD463" s="706"/>
      <c r="AE463" s="706"/>
      <c r="AF463" s="706"/>
      <c r="AG463" s="863"/>
      <c r="AH463" s="706"/>
      <c r="AI463" s="706"/>
      <c r="AJ463" s="706"/>
      <c r="AK463" s="706"/>
      <c r="AL463" s="706"/>
      <c r="AM463" s="706"/>
      <c r="AN463" s="706"/>
      <c r="AO463" s="863"/>
      <c r="AP463" s="706"/>
      <c r="AQ463" s="706"/>
      <c r="AR463" s="706"/>
      <c r="AS463" s="706"/>
      <c r="AT463" s="706"/>
      <c r="AU463" s="706"/>
      <c r="AV463" s="706"/>
      <c r="AW463" s="706"/>
      <c r="AX463" s="706"/>
      <c r="AY463" s="706"/>
      <c r="AZ463" s="706"/>
      <c r="BA463" s="706"/>
      <c r="BB463" s="706"/>
      <c r="BC463" s="706"/>
      <c r="BD463" s="706"/>
      <c r="BE463" s="706"/>
      <c r="BF463" s="706"/>
      <c r="BG463" s="706"/>
      <c r="BH463" s="706"/>
    </row>
    <row r="464" spans="3:60" s="48" customFormat="1">
      <c r="C464" s="706"/>
      <c r="D464" s="706"/>
      <c r="E464" s="706"/>
      <c r="F464" s="706"/>
      <c r="G464" s="706"/>
      <c r="H464" s="706"/>
      <c r="I464" s="863"/>
      <c r="J464" s="706"/>
      <c r="K464" s="706"/>
      <c r="L464" s="706"/>
      <c r="M464" s="706"/>
      <c r="N464" s="706"/>
      <c r="O464" s="706"/>
      <c r="P464" s="706"/>
      <c r="Q464" s="863"/>
      <c r="R464" s="706"/>
      <c r="S464" s="706"/>
      <c r="T464" s="706"/>
      <c r="U464" s="706"/>
      <c r="V464" s="706"/>
      <c r="W464" s="706"/>
      <c r="X464" s="706"/>
      <c r="Y464" s="863"/>
      <c r="Z464" s="706"/>
      <c r="AA464" s="706"/>
      <c r="AB464" s="706"/>
      <c r="AC464" s="706"/>
      <c r="AD464" s="706"/>
      <c r="AE464" s="706"/>
      <c r="AF464" s="706"/>
      <c r="AG464" s="863"/>
      <c r="AH464" s="706"/>
      <c r="AI464" s="706"/>
      <c r="AJ464" s="706"/>
      <c r="AK464" s="706"/>
      <c r="AL464" s="706"/>
      <c r="AM464" s="706"/>
      <c r="AN464" s="706"/>
      <c r="AO464" s="863"/>
      <c r="AP464" s="706"/>
      <c r="AQ464" s="706"/>
      <c r="AR464" s="706"/>
      <c r="AS464" s="706"/>
      <c r="AT464" s="706"/>
      <c r="AU464" s="706"/>
      <c r="AV464" s="706"/>
      <c r="AW464" s="706"/>
      <c r="AX464" s="706"/>
      <c r="AY464" s="706"/>
      <c r="AZ464" s="706"/>
      <c r="BA464" s="706"/>
      <c r="BB464" s="706"/>
      <c r="BC464" s="706"/>
      <c r="BD464" s="706"/>
      <c r="BE464" s="706"/>
      <c r="BF464" s="706"/>
      <c r="BG464" s="706"/>
      <c r="BH464" s="706"/>
    </row>
    <row r="465" spans="3:60" s="48" customFormat="1">
      <c r="C465" s="706"/>
      <c r="D465" s="706"/>
      <c r="E465" s="706"/>
      <c r="F465" s="706"/>
      <c r="G465" s="706"/>
      <c r="H465" s="706"/>
      <c r="I465" s="863"/>
      <c r="J465" s="706"/>
      <c r="K465" s="706"/>
      <c r="L465" s="706"/>
      <c r="M465" s="706"/>
      <c r="N465" s="706"/>
      <c r="O465" s="706"/>
      <c r="P465" s="706"/>
      <c r="Q465" s="863"/>
      <c r="R465" s="706"/>
      <c r="S465" s="706"/>
      <c r="T465" s="706"/>
      <c r="U465" s="706"/>
      <c r="V465" s="706"/>
      <c r="W465" s="706"/>
      <c r="X465" s="706"/>
      <c r="Y465" s="863"/>
      <c r="Z465" s="706"/>
      <c r="AA465" s="706"/>
      <c r="AB465" s="706"/>
      <c r="AC465" s="706"/>
      <c r="AD465" s="706"/>
      <c r="AE465" s="706"/>
      <c r="AF465" s="706"/>
      <c r="AG465" s="863"/>
      <c r="AH465" s="706"/>
      <c r="AI465" s="706"/>
      <c r="AJ465" s="706"/>
      <c r="AK465" s="706"/>
      <c r="AL465" s="706"/>
      <c r="AM465" s="706"/>
      <c r="AN465" s="706"/>
      <c r="AO465" s="863"/>
      <c r="AP465" s="706"/>
      <c r="AQ465" s="706"/>
      <c r="AR465" s="706"/>
      <c r="AS465" s="706"/>
      <c r="AT465" s="706"/>
      <c r="AU465" s="706"/>
      <c r="AV465" s="706"/>
      <c r="AW465" s="706"/>
      <c r="AX465" s="706"/>
      <c r="AY465" s="706"/>
      <c r="AZ465" s="706"/>
      <c r="BA465" s="706"/>
      <c r="BB465" s="706"/>
      <c r="BC465" s="706"/>
      <c r="BD465" s="706"/>
      <c r="BE465" s="706"/>
      <c r="BF465" s="706"/>
      <c r="BG465" s="706"/>
      <c r="BH465" s="706"/>
    </row>
    <row r="466" spans="3:60" s="48" customFormat="1">
      <c r="C466" s="706"/>
      <c r="D466" s="706"/>
      <c r="E466" s="706"/>
      <c r="F466" s="706"/>
      <c r="G466" s="706"/>
      <c r="H466" s="706"/>
      <c r="I466" s="863"/>
      <c r="J466" s="706"/>
      <c r="K466" s="706"/>
      <c r="L466" s="706"/>
      <c r="M466" s="706"/>
      <c r="N466" s="706"/>
      <c r="O466" s="706"/>
      <c r="P466" s="706"/>
      <c r="Q466" s="863"/>
      <c r="R466" s="706"/>
      <c r="S466" s="706"/>
      <c r="T466" s="706"/>
      <c r="U466" s="706"/>
      <c r="V466" s="706"/>
      <c r="W466" s="706"/>
      <c r="X466" s="706"/>
      <c r="Y466" s="863"/>
      <c r="Z466" s="706"/>
      <c r="AA466" s="706"/>
      <c r="AB466" s="706"/>
      <c r="AC466" s="706"/>
      <c r="AD466" s="706"/>
      <c r="AE466" s="706"/>
      <c r="AF466" s="706"/>
      <c r="AG466" s="863"/>
      <c r="AH466" s="706"/>
      <c r="AI466" s="706"/>
      <c r="AJ466" s="706"/>
      <c r="AK466" s="706"/>
      <c r="AL466" s="706"/>
      <c r="AM466" s="706"/>
      <c r="AN466" s="706"/>
      <c r="AO466" s="863"/>
      <c r="AP466" s="706"/>
      <c r="AQ466" s="706"/>
      <c r="AR466" s="706"/>
      <c r="AS466" s="706"/>
      <c r="AT466" s="706"/>
      <c r="AU466" s="706"/>
      <c r="AV466" s="706"/>
      <c r="AW466" s="706"/>
      <c r="AX466" s="706"/>
      <c r="AY466" s="706"/>
      <c r="AZ466" s="706"/>
      <c r="BA466" s="706"/>
      <c r="BB466" s="706"/>
      <c r="BC466" s="706"/>
      <c r="BD466" s="706"/>
      <c r="BE466" s="706"/>
      <c r="BF466" s="706"/>
      <c r="BG466" s="706"/>
      <c r="BH466" s="706"/>
    </row>
    <row r="467" spans="3:60" s="48" customFormat="1">
      <c r="C467" s="706"/>
      <c r="D467" s="706"/>
      <c r="E467" s="706"/>
      <c r="F467" s="706"/>
      <c r="G467" s="706"/>
      <c r="H467" s="706"/>
      <c r="I467" s="863"/>
      <c r="J467" s="706"/>
      <c r="K467" s="706"/>
      <c r="L467" s="706"/>
      <c r="M467" s="706"/>
      <c r="N467" s="706"/>
      <c r="O467" s="706"/>
      <c r="P467" s="706"/>
      <c r="Q467" s="863"/>
      <c r="R467" s="706"/>
      <c r="S467" s="706"/>
      <c r="T467" s="706"/>
      <c r="U467" s="706"/>
      <c r="V467" s="706"/>
      <c r="W467" s="706"/>
      <c r="X467" s="706"/>
      <c r="Y467" s="863"/>
      <c r="Z467" s="706"/>
      <c r="AA467" s="706"/>
      <c r="AB467" s="706"/>
      <c r="AC467" s="706"/>
      <c r="AD467" s="706"/>
      <c r="AE467" s="706"/>
      <c r="AF467" s="706"/>
      <c r="AG467" s="863"/>
      <c r="AH467" s="706"/>
      <c r="AI467" s="706"/>
      <c r="AJ467" s="706"/>
      <c r="AK467" s="706"/>
      <c r="AL467" s="706"/>
      <c r="AM467" s="706"/>
      <c r="AN467" s="706"/>
      <c r="AO467" s="863"/>
      <c r="AP467" s="706"/>
      <c r="AQ467" s="706"/>
      <c r="AR467" s="706"/>
      <c r="AS467" s="706"/>
      <c r="AT467" s="706"/>
      <c r="AU467" s="706"/>
      <c r="AV467" s="706"/>
      <c r="AW467" s="706"/>
      <c r="AX467" s="706"/>
      <c r="AY467" s="706"/>
      <c r="AZ467" s="706"/>
      <c r="BA467" s="706"/>
      <c r="BB467" s="706"/>
      <c r="BC467" s="706"/>
      <c r="BD467" s="706"/>
      <c r="BE467" s="706"/>
      <c r="BF467" s="706"/>
      <c r="BG467" s="706"/>
      <c r="BH467" s="706"/>
    </row>
    <row r="468" spans="3:60" s="48" customFormat="1">
      <c r="C468" s="706"/>
      <c r="D468" s="706"/>
      <c r="E468" s="706"/>
      <c r="F468" s="706"/>
      <c r="G468" s="706"/>
      <c r="H468" s="706"/>
      <c r="I468" s="863"/>
      <c r="J468" s="706"/>
      <c r="K468" s="706"/>
      <c r="L468" s="706"/>
      <c r="M468" s="706"/>
      <c r="N468" s="706"/>
      <c r="O468" s="706"/>
      <c r="P468" s="706"/>
      <c r="Q468" s="863"/>
      <c r="R468" s="706"/>
      <c r="S468" s="706"/>
      <c r="T468" s="706"/>
      <c r="U468" s="706"/>
      <c r="V468" s="706"/>
      <c r="W468" s="706"/>
      <c r="X468" s="706"/>
      <c r="Y468" s="863"/>
      <c r="Z468" s="706"/>
      <c r="AA468" s="706"/>
      <c r="AB468" s="706"/>
      <c r="AC468" s="706"/>
      <c r="AD468" s="706"/>
      <c r="AE468" s="706"/>
      <c r="AF468" s="706"/>
      <c r="AG468" s="863"/>
      <c r="AH468" s="706"/>
      <c r="AI468" s="706"/>
      <c r="AJ468" s="706"/>
      <c r="AK468" s="706"/>
      <c r="AL468" s="706"/>
      <c r="AM468" s="706"/>
      <c r="AN468" s="706"/>
      <c r="AO468" s="863"/>
      <c r="AP468" s="706"/>
      <c r="AQ468" s="706"/>
      <c r="AR468" s="706"/>
      <c r="AS468" s="706"/>
      <c r="AT468" s="706"/>
      <c r="AU468" s="706"/>
      <c r="AV468" s="706"/>
      <c r="AW468" s="706"/>
      <c r="AX468" s="706"/>
      <c r="AY468" s="706"/>
      <c r="AZ468" s="706"/>
      <c r="BA468" s="706"/>
      <c r="BB468" s="706"/>
      <c r="BC468" s="706"/>
      <c r="BD468" s="706"/>
      <c r="BE468" s="706"/>
      <c r="BF468" s="706"/>
      <c r="BG468" s="706"/>
      <c r="BH468" s="706"/>
    </row>
    <row r="469" spans="3:60" s="48" customFormat="1">
      <c r="C469" s="706"/>
      <c r="D469" s="706"/>
      <c r="E469" s="706"/>
      <c r="F469" s="706"/>
      <c r="G469" s="706"/>
      <c r="H469" s="706"/>
      <c r="I469" s="863"/>
      <c r="J469" s="706"/>
      <c r="K469" s="706"/>
      <c r="L469" s="706"/>
      <c r="M469" s="706"/>
      <c r="N469" s="706"/>
      <c r="O469" s="706"/>
      <c r="P469" s="706"/>
      <c r="Q469" s="863"/>
      <c r="R469" s="706"/>
      <c r="S469" s="706"/>
      <c r="T469" s="706"/>
      <c r="U469" s="706"/>
      <c r="V469" s="706"/>
      <c r="W469" s="706"/>
      <c r="X469" s="706"/>
      <c r="Y469" s="863"/>
      <c r="Z469" s="706"/>
      <c r="AA469" s="706"/>
      <c r="AB469" s="706"/>
      <c r="AC469" s="706"/>
      <c r="AD469" s="706"/>
      <c r="AE469" s="706"/>
      <c r="AF469" s="706"/>
      <c r="AG469" s="863"/>
      <c r="AH469" s="706"/>
      <c r="AI469" s="706"/>
      <c r="AJ469" s="706"/>
      <c r="AK469" s="706"/>
      <c r="AL469" s="706"/>
      <c r="AM469" s="706"/>
      <c r="AN469" s="706"/>
      <c r="AO469" s="863"/>
      <c r="AP469" s="706"/>
      <c r="AQ469" s="706"/>
      <c r="AR469" s="706"/>
      <c r="AS469" s="706"/>
      <c r="AT469" s="706"/>
      <c r="AU469" s="706"/>
      <c r="AV469" s="706"/>
      <c r="AW469" s="706"/>
      <c r="AX469" s="706"/>
      <c r="AY469" s="706"/>
      <c r="AZ469" s="706"/>
      <c r="BA469" s="706"/>
      <c r="BB469" s="706"/>
      <c r="BC469" s="706"/>
      <c r="BD469" s="706"/>
      <c r="BE469" s="706"/>
      <c r="BF469" s="706"/>
      <c r="BG469" s="706"/>
      <c r="BH469" s="706"/>
    </row>
    <row r="470" spans="3:60" s="48" customFormat="1">
      <c r="C470" s="706"/>
      <c r="D470" s="706"/>
      <c r="E470" s="706"/>
      <c r="F470" s="706"/>
      <c r="G470" s="706"/>
      <c r="H470" s="706"/>
      <c r="I470" s="863"/>
      <c r="J470" s="706"/>
      <c r="K470" s="706"/>
      <c r="L470" s="706"/>
      <c r="M470" s="706"/>
      <c r="N470" s="706"/>
      <c r="O470" s="706"/>
      <c r="P470" s="706"/>
      <c r="Q470" s="863"/>
      <c r="R470" s="706"/>
      <c r="S470" s="706"/>
      <c r="T470" s="706"/>
      <c r="U470" s="706"/>
      <c r="V470" s="706"/>
      <c r="W470" s="706"/>
      <c r="X470" s="706"/>
      <c r="Y470" s="863"/>
      <c r="Z470" s="706"/>
      <c r="AA470" s="706"/>
      <c r="AB470" s="706"/>
      <c r="AC470" s="706"/>
      <c r="AD470" s="706"/>
      <c r="AE470" s="706"/>
      <c r="AF470" s="706"/>
      <c r="AG470" s="863"/>
      <c r="AH470" s="706"/>
      <c r="AI470" s="706"/>
      <c r="AJ470" s="706"/>
      <c r="AK470" s="706"/>
      <c r="AL470" s="706"/>
      <c r="AM470" s="706"/>
      <c r="AN470" s="706"/>
      <c r="AO470" s="863"/>
      <c r="AP470" s="706"/>
      <c r="AQ470" s="706"/>
      <c r="AR470" s="706"/>
      <c r="AS470" s="706"/>
      <c r="AT470" s="706"/>
      <c r="AU470" s="706"/>
      <c r="AV470" s="706"/>
      <c r="AW470" s="706"/>
      <c r="AX470" s="706"/>
      <c r="AY470" s="706"/>
      <c r="AZ470" s="706"/>
      <c r="BA470" s="706"/>
      <c r="BB470" s="706"/>
      <c r="BC470" s="706"/>
      <c r="BD470" s="706"/>
      <c r="BE470" s="706"/>
      <c r="BF470" s="706"/>
      <c r="BG470" s="706"/>
      <c r="BH470" s="706"/>
    </row>
    <row r="471" spans="3:60" s="48" customFormat="1">
      <c r="C471" s="706"/>
      <c r="D471" s="706"/>
      <c r="E471" s="706"/>
      <c r="F471" s="706"/>
      <c r="G471" s="706"/>
      <c r="H471" s="706"/>
      <c r="I471" s="863"/>
      <c r="J471" s="706"/>
      <c r="K471" s="706"/>
      <c r="L471" s="706"/>
      <c r="M471" s="706"/>
      <c r="N471" s="706"/>
      <c r="O471" s="706"/>
      <c r="P471" s="706"/>
      <c r="Q471" s="863"/>
      <c r="R471" s="706"/>
      <c r="S471" s="706"/>
      <c r="T471" s="706"/>
      <c r="U471" s="706"/>
      <c r="V471" s="706"/>
      <c r="W471" s="706"/>
      <c r="X471" s="706"/>
      <c r="Y471" s="863"/>
      <c r="Z471" s="706"/>
      <c r="AA471" s="706"/>
      <c r="AB471" s="706"/>
      <c r="AC471" s="706"/>
      <c r="AD471" s="706"/>
      <c r="AE471" s="706"/>
      <c r="AF471" s="706"/>
      <c r="AG471" s="863"/>
      <c r="AH471" s="706"/>
      <c r="AI471" s="706"/>
      <c r="AJ471" s="706"/>
      <c r="AK471" s="706"/>
      <c r="AL471" s="706"/>
      <c r="AM471" s="706"/>
      <c r="AN471" s="706"/>
      <c r="AO471" s="863"/>
      <c r="AP471" s="706"/>
      <c r="AQ471" s="706"/>
      <c r="AR471" s="706"/>
      <c r="AS471" s="706"/>
      <c r="AT471" s="706"/>
      <c r="AU471" s="706"/>
      <c r="AV471" s="706"/>
      <c r="AW471" s="706"/>
      <c r="AX471" s="706"/>
      <c r="AY471" s="706"/>
      <c r="AZ471" s="706"/>
      <c r="BA471" s="706"/>
      <c r="BB471" s="706"/>
      <c r="BC471" s="706"/>
      <c r="BD471" s="706"/>
      <c r="BE471" s="706"/>
      <c r="BF471" s="706"/>
      <c r="BG471" s="706"/>
      <c r="BH471" s="706"/>
    </row>
    <row r="472" spans="3:60" s="48" customFormat="1">
      <c r="C472" s="706"/>
      <c r="D472" s="706"/>
      <c r="E472" s="706"/>
      <c r="F472" s="706"/>
      <c r="G472" s="706"/>
      <c r="H472" s="706"/>
      <c r="I472" s="863"/>
      <c r="J472" s="706"/>
      <c r="K472" s="706"/>
      <c r="L472" s="706"/>
      <c r="M472" s="706"/>
      <c r="N472" s="706"/>
      <c r="O472" s="706"/>
      <c r="P472" s="706"/>
      <c r="Q472" s="863"/>
      <c r="R472" s="706"/>
      <c r="S472" s="706"/>
      <c r="T472" s="706"/>
      <c r="U472" s="706"/>
      <c r="V472" s="706"/>
      <c r="W472" s="706"/>
      <c r="X472" s="706"/>
      <c r="Y472" s="863"/>
      <c r="Z472" s="706"/>
      <c r="AA472" s="706"/>
      <c r="AB472" s="706"/>
      <c r="AC472" s="706"/>
      <c r="AD472" s="706"/>
      <c r="AE472" s="706"/>
      <c r="AF472" s="706"/>
      <c r="AG472" s="863"/>
      <c r="AH472" s="706"/>
      <c r="AI472" s="706"/>
      <c r="AJ472" s="706"/>
      <c r="AK472" s="706"/>
      <c r="AL472" s="706"/>
      <c r="AM472" s="706"/>
      <c r="AN472" s="706"/>
      <c r="AO472" s="863"/>
      <c r="AP472" s="706"/>
      <c r="AQ472" s="706"/>
      <c r="AR472" s="706"/>
      <c r="AS472" s="706"/>
      <c r="AT472" s="706"/>
      <c r="AU472" s="706"/>
      <c r="AV472" s="706"/>
      <c r="AW472" s="706"/>
      <c r="AX472" s="706"/>
      <c r="AY472" s="706"/>
      <c r="AZ472" s="706"/>
      <c r="BA472" s="706"/>
      <c r="BB472" s="706"/>
      <c r="BC472" s="706"/>
      <c r="BD472" s="706"/>
      <c r="BE472" s="706"/>
      <c r="BF472" s="706"/>
      <c r="BG472" s="706"/>
      <c r="BH472" s="706"/>
    </row>
    <row r="473" spans="3:60" s="48" customFormat="1">
      <c r="C473" s="706"/>
      <c r="D473" s="706"/>
      <c r="E473" s="706"/>
      <c r="F473" s="706"/>
      <c r="G473" s="706"/>
      <c r="H473" s="706"/>
      <c r="I473" s="863"/>
      <c r="J473" s="706"/>
      <c r="K473" s="706"/>
      <c r="L473" s="706"/>
      <c r="M473" s="706"/>
      <c r="N473" s="706"/>
      <c r="O473" s="706"/>
      <c r="P473" s="706"/>
      <c r="Q473" s="863"/>
      <c r="R473" s="706"/>
      <c r="S473" s="706"/>
      <c r="T473" s="706"/>
      <c r="U473" s="706"/>
      <c r="V473" s="706"/>
      <c r="W473" s="706"/>
      <c r="X473" s="706"/>
      <c r="Y473" s="863"/>
      <c r="Z473" s="706"/>
      <c r="AA473" s="706"/>
      <c r="AB473" s="706"/>
      <c r="AC473" s="706"/>
      <c r="AD473" s="706"/>
      <c r="AE473" s="706"/>
      <c r="AF473" s="706"/>
      <c r="AG473" s="863"/>
      <c r="AH473" s="706"/>
      <c r="AI473" s="706"/>
      <c r="AJ473" s="706"/>
      <c r="AK473" s="706"/>
      <c r="AL473" s="706"/>
      <c r="AM473" s="706"/>
      <c r="AN473" s="706"/>
      <c r="AO473" s="863"/>
      <c r="AP473" s="706"/>
      <c r="AQ473" s="706"/>
      <c r="AR473" s="706"/>
      <c r="AS473" s="706"/>
      <c r="AT473" s="706"/>
      <c r="AU473" s="706"/>
      <c r="AV473" s="706"/>
      <c r="AW473" s="706"/>
      <c r="AX473" s="706"/>
      <c r="AY473" s="706"/>
      <c r="AZ473" s="706"/>
      <c r="BA473" s="706"/>
      <c r="BB473" s="706"/>
      <c r="BC473" s="706"/>
      <c r="BD473" s="706"/>
      <c r="BE473" s="706"/>
      <c r="BF473" s="706"/>
      <c r="BG473" s="706"/>
      <c r="BH473" s="706"/>
    </row>
    <row r="474" spans="3:60" s="48" customFormat="1">
      <c r="C474" s="706"/>
      <c r="D474" s="706"/>
      <c r="E474" s="706"/>
      <c r="F474" s="706"/>
      <c r="G474" s="706"/>
      <c r="H474" s="706"/>
      <c r="I474" s="863"/>
      <c r="J474" s="706"/>
      <c r="K474" s="706"/>
      <c r="L474" s="706"/>
      <c r="M474" s="706"/>
      <c r="N474" s="706"/>
      <c r="O474" s="706"/>
      <c r="P474" s="706"/>
      <c r="Q474" s="863"/>
      <c r="R474" s="706"/>
      <c r="S474" s="706"/>
      <c r="T474" s="706"/>
      <c r="U474" s="706"/>
      <c r="V474" s="706"/>
      <c r="W474" s="706"/>
      <c r="X474" s="706"/>
      <c r="Y474" s="863"/>
      <c r="Z474" s="706"/>
      <c r="AA474" s="706"/>
      <c r="AB474" s="706"/>
      <c r="AC474" s="706"/>
      <c r="AD474" s="706"/>
      <c r="AE474" s="706"/>
      <c r="AF474" s="706"/>
      <c r="AG474" s="863"/>
      <c r="AH474" s="706"/>
      <c r="AI474" s="706"/>
      <c r="AJ474" s="706"/>
      <c r="AK474" s="706"/>
      <c r="AL474" s="706"/>
      <c r="AM474" s="706"/>
      <c r="AN474" s="706"/>
      <c r="AO474" s="863"/>
      <c r="AP474" s="706"/>
      <c r="AQ474" s="706"/>
      <c r="AR474" s="706"/>
      <c r="AS474" s="706"/>
      <c r="AT474" s="706"/>
      <c r="AU474" s="706"/>
      <c r="AV474" s="706"/>
      <c r="AW474" s="706"/>
      <c r="AX474" s="706"/>
      <c r="AY474" s="706"/>
      <c r="AZ474" s="706"/>
      <c r="BA474" s="706"/>
      <c r="BB474" s="706"/>
      <c r="BC474" s="706"/>
      <c r="BD474" s="706"/>
      <c r="BE474" s="706"/>
      <c r="BF474" s="706"/>
      <c r="BG474" s="706"/>
      <c r="BH474" s="706"/>
    </row>
    <row r="475" spans="3:60" s="48" customFormat="1">
      <c r="C475" s="706"/>
      <c r="D475" s="706"/>
      <c r="E475" s="706"/>
      <c r="F475" s="706"/>
      <c r="G475" s="706"/>
      <c r="H475" s="706"/>
      <c r="I475" s="863"/>
      <c r="J475" s="706"/>
      <c r="K475" s="706"/>
      <c r="L475" s="706"/>
      <c r="M475" s="706"/>
      <c r="N475" s="706"/>
      <c r="O475" s="706"/>
      <c r="P475" s="706"/>
      <c r="Q475" s="863"/>
      <c r="R475" s="706"/>
      <c r="S475" s="706"/>
      <c r="T475" s="706"/>
      <c r="U475" s="706"/>
      <c r="V475" s="706"/>
      <c r="W475" s="706"/>
      <c r="X475" s="706"/>
      <c r="Y475" s="863"/>
      <c r="Z475" s="706"/>
      <c r="AA475" s="706"/>
      <c r="AB475" s="706"/>
      <c r="AC475" s="706"/>
      <c r="AD475" s="706"/>
      <c r="AE475" s="706"/>
      <c r="AF475" s="706"/>
      <c r="AG475" s="863"/>
      <c r="AH475" s="706"/>
      <c r="AI475" s="706"/>
      <c r="AJ475" s="706"/>
      <c r="AK475" s="706"/>
      <c r="AL475" s="706"/>
      <c r="AM475" s="706"/>
      <c r="AN475" s="706"/>
      <c r="AO475" s="863"/>
      <c r="AP475" s="706"/>
      <c r="AQ475" s="706"/>
      <c r="AR475" s="706"/>
      <c r="AS475" s="706"/>
      <c r="AT475" s="706"/>
      <c r="AU475" s="706"/>
      <c r="AV475" s="706"/>
      <c r="AW475" s="706"/>
      <c r="AX475" s="706"/>
      <c r="AY475" s="706"/>
      <c r="AZ475" s="706"/>
      <c r="BA475" s="706"/>
      <c r="BB475" s="706"/>
      <c r="BC475" s="706"/>
      <c r="BD475" s="706"/>
      <c r="BE475" s="706"/>
      <c r="BF475" s="706"/>
      <c r="BG475" s="706"/>
      <c r="BH475" s="706"/>
    </row>
    <row r="476" spans="3:60" s="48" customFormat="1">
      <c r="C476" s="706"/>
      <c r="D476" s="706"/>
      <c r="E476" s="706"/>
      <c r="F476" s="706"/>
      <c r="G476" s="706"/>
      <c r="H476" s="706"/>
      <c r="I476" s="863"/>
      <c r="J476" s="706"/>
      <c r="K476" s="706"/>
      <c r="L476" s="706"/>
      <c r="M476" s="706"/>
      <c r="N476" s="706"/>
      <c r="O476" s="706"/>
      <c r="P476" s="706"/>
      <c r="Q476" s="863"/>
      <c r="R476" s="706"/>
      <c r="S476" s="706"/>
      <c r="T476" s="706"/>
      <c r="U476" s="706"/>
      <c r="V476" s="706"/>
      <c r="W476" s="706"/>
      <c r="X476" s="706"/>
      <c r="Y476" s="863"/>
      <c r="Z476" s="706"/>
      <c r="AA476" s="706"/>
      <c r="AB476" s="706"/>
      <c r="AC476" s="706"/>
      <c r="AD476" s="706"/>
      <c r="AE476" s="706"/>
      <c r="AF476" s="706"/>
      <c r="AG476" s="863"/>
      <c r="AH476" s="706"/>
      <c r="AI476" s="706"/>
      <c r="AJ476" s="706"/>
      <c r="AK476" s="706"/>
      <c r="AL476" s="706"/>
      <c r="AM476" s="706"/>
      <c r="AN476" s="706"/>
      <c r="AO476" s="863"/>
      <c r="AP476" s="706"/>
      <c r="AQ476" s="706"/>
      <c r="AR476" s="706"/>
      <c r="AS476" s="706"/>
      <c r="AT476" s="706"/>
      <c r="AU476" s="706"/>
      <c r="AV476" s="706"/>
      <c r="AW476" s="706"/>
      <c r="AX476" s="706"/>
      <c r="AY476" s="706"/>
      <c r="AZ476" s="706"/>
      <c r="BA476" s="706"/>
      <c r="BB476" s="706"/>
      <c r="BC476" s="706"/>
      <c r="BD476" s="706"/>
      <c r="BE476" s="706"/>
      <c r="BF476" s="706"/>
      <c r="BG476" s="706"/>
      <c r="BH476" s="706"/>
    </row>
    <row r="477" spans="3:60" s="48" customFormat="1">
      <c r="C477" s="706"/>
      <c r="D477" s="706"/>
      <c r="E477" s="706"/>
      <c r="F477" s="706"/>
      <c r="G477" s="706"/>
      <c r="H477" s="706"/>
      <c r="I477" s="863"/>
      <c r="J477" s="706"/>
      <c r="K477" s="706"/>
      <c r="L477" s="706"/>
      <c r="M477" s="706"/>
      <c r="N477" s="706"/>
      <c r="O477" s="706"/>
      <c r="P477" s="706"/>
      <c r="Q477" s="863"/>
      <c r="R477" s="706"/>
      <c r="S477" s="706"/>
      <c r="T477" s="706"/>
      <c r="U477" s="706"/>
      <c r="V477" s="706"/>
      <c r="W477" s="706"/>
      <c r="X477" s="706"/>
      <c r="Y477" s="863"/>
      <c r="Z477" s="706"/>
      <c r="AA477" s="706"/>
      <c r="AB477" s="706"/>
      <c r="AC477" s="706"/>
      <c r="AD477" s="706"/>
      <c r="AE477" s="706"/>
      <c r="AF477" s="706"/>
      <c r="AG477" s="863"/>
      <c r="AH477" s="706"/>
      <c r="AI477" s="706"/>
      <c r="AJ477" s="706"/>
      <c r="AK477" s="706"/>
      <c r="AL477" s="706"/>
      <c r="AM477" s="706"/>
      <c r="AN477" s="706"/>
      <c r="AO477" s="863"/>
      <c r="AP477" s="706"/>
      <c r="AQ477" s="706"/>
      <c r="AR477" s="706"/>
      <c r="AS477" s="706"/>
      <c r="AT477" s="706"/>
      <c r="AU477" s="706"/>
      <c r="AV477" s="706"/>
      <c r="AW477" s="706"/>
      <c r="AX477" s="706"/>
      <c r="AY477" s="706"/>
      <c r="AZ477" s="706"/>
      <c r="BA477" s="706"/>
      <c r="BB477" s="706"/>
      <c r="BC477" s="706"/>
      <c r="BD477" s="706"/>
      <c r="BE477" s="706"/>
      <c r="BF477" s="706"/>
      <c r="BG477" s="706"/>
      <c r="BH477" s="706"/>
    </row>
    <row r="478" spans="3:60" s="48" customFormat="1">
      <c r="C478" s="706"/>
      <c r="D478" s="706"/>
      <c r="E478" s="706"/>
      <c r="F478" s="706"/>
      <c r="G478" s="706"/>
      <c r="H478" s="706"/>
      <c r="I478" s="863"/>
      <c r="J478" s="706"/>
      <c r="K478" s="706"/>
      <c r="L478" s="706"/>
      <c r="M478" s="706"/>
      <c r="N478" s="706"/>
      <c r="O478" s="706"/>
      <c r="P478" s="706"/>
      <c r="Q478" s="863"/>
      <c r="R478" s="706"/>
      <c r="S478" s="706"/>
      <c r="T478" s="706"/>
      <c r="U478" s="706"/>
      <c r="V478" s="706"/>
      <c r="W478" s="706"/>
      <c r="X478" s="706"/>
      <c r="Y478" s="863"/>
      <c r="Z478" s="706"/>
      <c r="AA478" s="706"/>
      <c r="AB478" s="706"/>
      <c r="AC478" s="706"/>
      <c r="AD478" s="706"/>
      <c r="AE478" s="706"/>
      <c r="AF478" s="706"/>
      <c r="AG478" s="863"/>
      <c r="AH478" s="706"/>
      <c r="AI478" s="706"/>
      <c r="AJ478" s="706"/>
      <c r="AK478" s="706"/>
      <c r="AL478" s="706"/>
      <c r="AM478" s="706"/>
      <c r="AN478" s="706"/>
      <c r="AO478" s="863"/>
      <c r="AP478" s="706"/>
      <c r="AQ478" s="706"/>
      <c r="AR478" s="706"/>
      <c r="AS478" s="706"/>
      <c r="AT478" s="706"/>
      <c r="AU478" s="706"/>
      <c r="AV478" s="706"/>
      <c r="AW478" s="706"/>
      <c r="AX478" s="706"/>
      <c r="AY478" s="706"/>
      <c r="AZ478" s="706"/>
      <c r="BA478" s="706"/>
      <c r="BB478" s="706"/>
      <c r="BC478" s="706"/>
      <c r="BD478" s="706"/>
      <c r="BE478" s="706"/>
      <c r="BF478" s="706"/>
      <c r="BG478" s="706"/>
      <c r="BH478" s="706"/>
    </row>
    <row r="479" spans="3:60" s="48" customFormat="1">
      <c r="C479" s="706"/>
      <c r="D479" s="706"/>
      <c r="E479" s="706"/>
      <c r="F479" s="706"/>
      <c r="G479" s="706"/>
      <c r="H479" s="706"/>
      <c r="I479" s="863"/>
      <c r="J479" s="706"/>
      <c r="K479" s="706"/>
      <c r="L479" s="706"/>
      <c r="M479" s="706"/>
      <c r="N479" s="706"/>
      <c r="O479" s="706"/>
      <c r="P479" s="706"/>
      <c r="Q479" s="863"/>
      <c r="R479" s="706"/>
      <c r="S479" s="706"/>
      <c r="T479" s="706"/>
      <c r="U479" s="706"/>
      <c r="V479" s="706"/>
      <c r="W479" s="706"/>
      <c r="X479" s="706"/>
      <c r="Y479" s="863"/>
      <c r="Z479" s="706"/>
      <c r="AA479" s="706"/>
      <c r="AB479" s="706"/>
      <c r="AC479" s="706"/>
      <c r="AD479" s="706"/>
      <c r="AE479" s="706"/>
      <c r="AF479" s="706"/>
      <c r="AG479" s="863"/>
      <c r="AH479" s="706"/>
      <c r="AI479" s="706"/>
      <c r="AJ479" s="706"/>
      <c r="AK479" s="706"/>
      <c r="AL479" s="706"/>
      <c r="AM479" s="706"/>
      <c r="AN479" s="706"/>
      <c r="AO479" s="863"/>
      <c r="AP479" s="706"/>
      <c r="AQ479" s="706"/>
      <c r="AR479" s="706"/>
      <c r="AS479" s="706"/>
      <c r="AT479" s="706"/>
      <c r="AU479" s="706"/>
      <c r="AV479" s="706"/>
      <c r="AW479" s="706"/>
      <c r="AX479" s="706"/>
      <c r="AY479" s="706"/>
      <c r="AZ479" s="706"/>
      <c r="BA479" s="706"/>
      <c r="BB479" s="706"/>
      <c r="BC479" s="706"/>
      <c r="BD479" s="706"/>
      <c r="BE479" s="706"/>
      <c r="BF479" s="706"/>
      <c r="BG479" s="706"/>
      <c r="BH479" s="706"/>
    </row>
    <row r="480" spans="3:60" s="48" customFormat="1">
      <c r="C480" s="706"/>
      <c r="D480" s="706"/>
      <c r="E480" s="706"/>
      <c r="F480" s="706"/>
      <c r="G480" s="706"/>
      <c r="H480" s="706"/>
      <c r="I480" s="863"/>
      <c r="J480" s="706"/>
      <c r="K480" s="706"/>
      <c r="L480" s="706"/>
      <c r="M480" s="706"/>
      <c r="N480" s="706"/>
      <c r="O480" s="706"/>
      <c r="P480" s="706"/>
      <c r="Q480" s="863"/>
      <c r="R480" s="706"/>
      <c r="S480" s="706"/>
      <c r="T480" s="706"/>
      <c r="U480" s="706"/>
      <c r="V480" s="706"/>
      <c r="W480" s="706"/>
      <c r="X480" s="706"/>
      <c r="Y480" s="863"/>
      <c r="Z480" s="706"/>
      <c r="AA480" s="706"/>
      <c r="AB480" s="706"/>
      <c r="AC480" s="706"/>
      <c r="AD480" s="706"/>
      <c r="AE480" s="706"/>
      <c r="AF480" s="706"/>
      <c r="AG480" s="863"/>
      <c r="AH480" s="706"/>
      <c r="AI480" s="706"/>
      <c r="AJ480" s="706"/>
      <c r="AK480" s="706"/>
      <c r="AL480" s="706"/>
      <c r="AM480" s="706"/>
      <c r="AN480" s="706"/>
      <c r="AO480" s="863"/>
      <c r="AP480" s="706"/>
      <c r="AQ480" s="706"/>
      <c r="AR480" s="706"/>
      <c r="AS480" s="706"/>
      <c r="AT480" s="706"/>
      <c r="AU480" s="706"/>
      <c r="AV480" s="706"/>
      <c r="AW480" s="49"/>
      <c r="AX480" s="49"/>
      <c r="AY480" s="49"/>
      <c r="AZ480" s="49"/>
      <c r="BA480" s="49"/>
      <c r="BB480" s="49"/>
      <c r="BC480" s="49"/>
      <c r="BD480" s="49"/>
      <c r="BE480" s="49"/>
      <c r="BF480" s="49"/>
      <c r="BG480" s="49"/>
      <c r="BH480" s="49"/>
    </row>
    <row r="481" spans="3:60" s="48" customFormat="1">
      <c r="C481" s="706"/>
      <c r="D481" s="706"/>
      <c r="E481" s="706"/>
      <c r="F481" s="706"/>
      <c r="G481" s="706"/>
      <c r="H481" s="706"/>
      <c r="I481" s="863"/>
      <c r="J481" s="706"/>
      <c r="K481" s="706"/>
      <c r="L481" s="706"/>
      <c r="M481" s="706"/>
      <c r="N481" s="706"/>
      <c r="O481" s="706"/>
      <c r="P481" s="706"/>
      <c r="Q481" s="863"/>
      <c r="R481" s="706"/>
      <c r="S481" s="706"/>
      <c r="T481" s="706"/>
      <c r="U481" s="706"/>
      <c r="V481" s="706"/>
      <c r="W481" s="706"/>
      <c r="X481" s="706"/>
      <c r="Y481" s="863"/>
      <c r="Z481" s="706"/>
      <c r="AA481" s="706"/>
      <c r="AB481" s="706"/>
      <c r="AC481" s="706"/>
      <c r="AD481" s="706"/>
      <c r="AE481" s="706"/>
      <c r="AF481" s="706"/>
      <c r="AG481" s="863"/>
      <c r="AH481" s="706"/>
      <c r="AI481" s="706"/>
      <c r="AJ481" s="706"/>
      <c r="AK481" s="706"/>
      <c r="AL481" s="706"/>
      <c r="AM481" s="706"/>
      <c r="AN481" s="706"/>
      <c r="AO481" s="863"/>
      <c r="AP481" s="706"/>
      <c r="AQ481" s="706"/>
      <c r="AR481" s="706"/>
      <c r="AS481" s="706"/>
      <c r="AT481" s="706"/>
      <c r="AU481" s="706"/>
      <c r="AV481" s="706"/>
      <c r="AW481" s="49"/>
      <c r="AX481" s="49"/>
      <c r="AY481" s="49"/>
      <c r="AZ481" s="49"/>
      <c r="BA481" s="49"/>
      <c r="BB481" s="49"/>
      <c r="BC481" s="49"/>
      <c r="BD481" s="49"/>
      <c r="BE481" s="49"/>
      <c r="BF481" s="49"/>
      <c r="BG481" s="49"/>
      <c r="BH481" s="49"/>
    </row>
    <row r="482" spans="3:60" s="48" customFormat="1">
      <c r="C482" s="706"/>
      <c r="D482" s="706"/>
      <c r="E482" s="706"/>
      <c r="F482" s="706"/>
      <c r="G482" s="706"/>
      <c r="H482" s="706"/>
      <c r="I482" s="863"/>
      <c r="J482" s="706"/>
      <c r="K482" s="706"/>
      <c r="L482" s="706"/>
      <c r="M482" s="706"/>
      <c r="N482" s="706"/>
      <c r="O482" s="706"/>
      <c r="P482" s="706"/>
      <c r="Q482" s="863"/>
      <c r="R482" s="706"/>
      <c r="S482" s="706"/>
      <c r="T482" s="706"/>
      <c r="U482" s="706"/>
      <c r="V482" s="706"/>
      <c r="W482" s="706"/>
      <c r="X482" s="706"/>
      <c r="Y482" s="863"/>
      <c r="Z482" s="706"/>
      <c r="AA482" s="706"/>
      <c r="AB482" s="706"/>
      <c r="AC482" s="706"/>
      <c r="AD482" s="706"/>
      <c r="AE482" s="706"/>
      <c r="AF482" s="706"/>
      <c r="AG482" s="863"/>
      <c r="AH482" s="706"/>
      <c r="AI482" s="706"/>
      <c r="AJ482" s="706"/>
      <c r="AK482" s="706"/>
      <c r="AL482" s="706"/>
      <c r="AM482" s="706"/>
      <c r="AN482" s="706"/>
      <c r="AO482" s="863"/>
      <c r="AP482" s="706"/>
      <c r="AQ482" s="706"/>
      <c r="AR482" s="706"/>
      <c r="AS482" s="706"/>
      <c r="AT482" s="706"/>
      <c r="AU482" s="706"/>
      <c r="AV482" s="706"/>
      <c r="AW482" s="49"/>
      <c r="AX482" s="49"/>
      <c r="AY482" s="49"/>
      <c r="AZ482" s="49"/>
      <c r="BA482" s="49"/>
      <c r="BB482" s="49"/>
      <c r="BC482" s="49"/>
      <c r="BD482" s="49"/>
      <c r="BE482" s="49"/>
      <c r="BF482" s="49"/>
      <c r="BG482" s="49"/>
      <c r="BH482" s="49"/>
    </row>
    <row r="483" spans="3:60" s="48" customFormat="1">
      <c r="C483" s="706"/>
      <c r="D483" s="706"/>
      <c r="E483" s="706"/>
      <c r="F483" s="706"/>
      <c r="G483" s="706"/>
      <c r="H483" s="706"/>
      <c r="I483" s="863"/>
      <c r="J483" s="706"/>
      <c r="K483" s="706"/>
      <c r="L483" s="706"/>
      <c r="M483" s="706"/>
      <c r="N483" s="706"/>
      <c r="O483" s="706"/>
      <c r="P483" s="706"/>
      <c r="Q483" s="863"/>
      <c r="R483" s="706"/>
      <c r="S483" s="706"/>
      <c r="T483" s="706"/>
      <c r="U483" s="706"/>
      <c r="V483" s="706"/>
      <c r="W483" s="706"/>
      <c r="X483" s="706"/>
      <c r="Y483" s="863"/>
      <c r="Z483" s="706"/>
      <c r="AA483" s="706"/>
      <c r="AB483" s="706"/>
      <c r="AC483" s="706"/>
      <c r="AD483" s="706"/>
      <c r="AE483" s="706"/>
      <c r="AF483" s="706"/>
      <c r="AG483" s="863"/>
      <c r="AH483" s="706"/>
      <c r="AI483" s="706"/>
      <c r="AJ483" s="706"/>
      <c r="AK483" s="706"/>
      <c r="AL483" s="706"/>
      <c r="AM483" s="706"/>
      <c r="AN483" s="706"/>
      <c r="AO483" s="863"/>
      <c r="AP483" s="706"/>
      <c r="AQ483" s="706"/>
      <c r="AR483" s="706"/>
      <c r="AS483" s="706"/>
      <c r="AT483" s="706"/>
      <c r="AU483" s="706"/>
      <c r="AV483" s="706"/>
      <c r="AW483" s="49"/>
      <c r="AX483" s="49"/>
      <c r="AY483" s="49"/>
      <c r="AZ483" s="49"/>
      <c r="BA483" s="49"/>
      <c r="BB483" s="49"/>
      <c r="BC483" s="49"/>
      <c r="BD483" s="49"/>
      <c r="BE483" s="49"/>
      <c r="BF483" s="49"/>
      <c r="BG483" s="49"/>
      <c r="BH483" s="49"/>
    </row>
    <row r="484" spans="3:60" s="48" customFormat="1">
      <c r="C484" s="706"/>
      <c r="D484" s="706"/>
      <c r="E484" s="706"/>
      <c r="F484" s="706"/>
      <c r="G484" s="706"/>
      <c r="H484" s="706"/>
      <c r="I484" s="863"/>
      <c r="J484" s="706"/>
      <c r="K484" s="706"/>
      <c r="L484" s="706"/>
      <c r="M484" s="706"/>
      <c r="N484" s="706"/>
      <c r="O484" s="706"/>
      <c r="P484" s="706"/>
      <c r="Q484" s="863"/>
      <c r="R484" s="706"/>
      <c r="S484" s="706"/>
      <c r="T484" s="706"/>
      <c r="U484" s="706"/>
      <c r="V484" s="706"/>
      <c r="W484" s="706"/>
      <c r="X484" s="706"/>
      <c r="Y484" s="863"/>
      <c r="Z484" s="706"/>
      <c r="AA484" s="706"/>
      <c r="AB484" s="706"/>
      <c r="AC484" s="706"/>
      <c r="AD484" s="706"/>
      <c r="AE484" s="706"/>
      <c r="AF484" s="706"/>
      <c r="AG484" s="863"/>
      <c r="AH484" s="706"/>
      <c r="AI484" s="706"/>
      <c r="AJ484" s="706"/>
      <c r="AK484" s="706"/>
      <c r="AL484" s="706"/>
      <c r="AM484" s="706"/>
      <c r="AN484" s="706"/>
      <c r="AO484" s="863"/>
      <c r="AP484" s="706"/>
      <c r="AQ484" s="706"/>
      <c r="AR484" s="706"/>
      <c r="AS484" s="706"/>
      <c r="AT484" s="706"/>
      <c r="AU484" s="706"/>
      <c r="AV484" s="706"/>
      <c r="AW484" s="49"/>
      <c r="AX484" s="49"/>
      <c r="AY484" s="49"/>
      <c r="AZ484" s="49"/>
      <c r="BA484" s="49"/>
      <c r="BB484" s="49"/>
      <c r="BC484" s="49"/>
      <c r="BD484" s="49"/>
      <c r="BE484" s="49"/>
      <c r="BF484" s="49"/>
      <c r="BG484" s="49"/>
      <c r="BH484" s="49"/>
    </row>
    <row r="485" spans="3:60" s="48" customFormat="1">
      <c r="C485" s="706"/>
      <c r="D485" s="706"/>
      <c r="E485" s="706"/>
      <c r="F485" s="706"/>
      <c r="G485" s="706"/>
      <c r="H485" s="706"/>
      <c r="I485" s="863"/>
      <c r="J485" s="706"/>
      <c r="K485" s="706"/>
      <c r="L485" s="706"/>
      <c r="M485" s="706"/>
      <c r="N485" s="706"/>
      <c r="O485" s="706"/>
      <c r="P485" s="706"/>
      <c r="Q485" s="863"/>
      <c r="R485" s="706"/>
      <c r="S485" s="706"/>
      <c r="T485" s="706"/>
      <c r="U485" s="706"/>
      <c r="V485" s="706"/>
      <c r="W485" s="706"/>
      <c r="X485" s="706"/>
      <c r="Y485" s="863"/>
      <c r="Z485" s="706"/>
      <c r="AA485" s="706"/>
      <c r="AB485" s="706"/>
      <c r="AC485" s="706"/>
      <c r="AD485" s="706"/>
      <c r="AE485" s="706"/>
      <c r="AF485" s="706"/>
      <c r="AG485" s="863"/>
      <c r="AH485" s="706"/>
      <c r="AI485" s="706"/>
      <c r="AJ485" s="706"/>
      <c r="AK485" s="706"/>
      <c r="AL485" s="706"/>
      <c r="AM485" s="706"/>
      <c r="AN485" s="706"/>
      <c r="AO485" s="863"/>
      <c r="AP485" s="706"/>
      <c r="AQ485" s="706"/>
      <c r="AR485" s="706"/>
      <c r="AS485" s="706"/>
      <c r="AT485" s="706"/>
      <c r="AU485" s="706"/>
      <c r="AV485" s="706"/>
      <c r="AW485" s="49"/>
      <c r="AX485" s="49"/>
      <c r="AY485" s="49"/>
      <c r="AZ485" s="49"/>
      <c r="BA485" s="49"/>
      <c r="BB485" s="49"/>
      <c r="BC485" s="49"/>
      <c r="BD485" s="49"/>
      <c r="BE485" s="49"/>
      <c r="BF485" s="49"/>
      <c r="BG485" s="49"/>
      <c r="BH485" s="49"/>
    </row>
    <row r="486" spans="3:60" s="48" customFormat="1">
      <c r="C486" s="706"/>
      <c r="D486" s="706"/>
      <c r="E486" s="706"/>
      <c r="F486" s="706"/>
      <c r="G486" s="706"/>
      <c r="H486" s="706"/>
      <c r="I486" s="863"/>
      <c r="J486" s="706"/>
      <c r="K486" s="706"/>
      <c r="L486" s="706"/>
      <c r="M486" s="706"/>
      <c r="N486" s="706"/>
      <c r="O486" s="706"/>
      <c r="P486" s="706"/>
      <c r="Q486" s="863"/>
      <c r="R486" s="706"/>
      <c r="S486" s="706"/>
      <c r="T486" s="706"/>
      <c r="U486" s="706"/>
      <c r="V486" s="706"/>
      <c r="W486" s="706"/>
      <c r="X486" s="706"/>
      <c r="Y486" s="863"/>
      <c r="Z486" s="706"/>
      <c r="AA486" s="706"/>
      <c r="AB486" s="706"/>
      <c r="AC486" s="706"/>
      <c r="AD486" s="706"/>
      <c r="AE486" s="706"/>
      <c r="AF486" s="706"/>
      <c r="AG486" s="863"/>
      <c r="AH486" s="706"/>
      <c r="AI486" s="706"/>
      <c r="AJ486" s="706"/>
      <c r="AK486" s="706"/>
      <c r="AL486" s="706"/>
      <c r="AM486" s="706"/>
      <c r="AN486" s="706"/>
      <c r="AO486" s="863"/>
      <c r="AP486" s="706"/>
      <c r="AQ486" s="706"/>
      <c r="AR486" s="706"/>
      <c r="AS486" s="706"/>
      <c r="AT486" s="706"/>
      <c r="AU486" s="706"/>
      <c r="AV486" s="706"/>
      <c r="AW486" s="49"/>
      <c r="AX486" s="49"/>
      <c r="AY486" s="49"/>
      <c r="AZ486" s="49"/>
      <c r="BA486" s="49"/>
      <c r="BB486" s="49"/>
      <c r="BC486" s="49"/>
      <c r="BD486" s="49"/>
      <c r="BE486" s="49"/>
      <c r="BF486" s="49"/>
      <c r="BG486" s="49"/>
      <c r="BH486" s="49"/>
    </row>
    <row r="487" spans="3:60" s="48" customFormat="1">
      <c r="C487" s="706"/>
      <c r="D487" s="706"/>
      <c r="E487" s="706"/>
      <c r="F487" s="706"/>
      <c r="G487" s="706"/>
      <c r="H487" s="706"/>
      <c r="I487" s="863"/>
      <c r="J487" s="706"/>
      <c r="K487" s="706"/>
      <c r="L487" s="706"/>
      <c r="M487" s="706"/>
      <c r="N487" s="706"/>
      <c r="O487" s="706"/>
      <c r="P487" s="706"/>
      <c r="Q487" s="863"/>
      <c r="R487" s="706"/>
      <c r="S487" s="706"/>
      <c r="T487" s="706"/>
      <c r="U487" s="706"/>
      <c r="V487" s="706"/>
      <c r="W487" s="706"/>
      <c r="X487" s="706"/>
      <c r="Y487" s="863"/>
      <c r="Z487" s="706"/>
      <c r="AA487" s="706"/>
      <c r="AB487" s="706"/>
      <c r="AC487" s="706"/>
      <c r="AD487" s="706"/>
      <c r="AE487" s="706"/>
      <c r="AF487" s="706"/>
      <c r="AG487" s="863"/>
      <c r="AH487" s="706"/>
      <c r="AI487" s="706"/>
      <c r="AJ487" s="706"/>
      <c r="AK487" s="706"/>
      <c r="AL487" s="706"/>
      <c r="AM487" s="706"/>
      <c r="AN487" s="706"/>
      <c r="AO487" s="863"/>
      <c r="AP487" s="706"/>
      <c r="AQ487" s="706"/>
      <c r="AR487" s="706"/>
      <c r="AS487" s="706"/>
      <c r="AT487" s="706"/>
      <c r="AU487" s="706"/>
      <c r="AV487" s="706"/>
      <c r="AW487" s="49"/>
      <c r="AX487" s="49"/>
      <c r="AY487" s="49"/>
      <c r="AZ487" s="49"/>
      <c r="BA487" s="49"/>
      <c r="BB487" s="49"/>
      <c r="BC487" s="49"/>
      <c r="BD487" s="49"/>
      <c r="BE487" s="49"/>
      <c r="BF487" s="49"/>
      <c r="BG487" s="49"/>
      <c r="BH487" s="49"/>
    </row>
    <row r="488" spans="3:60" s="48" customFormat="1">
      <c r="C488" s="706"/>
      <c r="D488" s="706"/>
      <c r="E488" s="706"/>
      <c r="F488" s="706"/>
      <c r="G488" s="706"/>
      <c r="H488" s="706"/>
      <c r="I488" s="863"/>
      <c r="J488" s="706"/>
      <c r="K488" s="706"/>
      <c r="L488" s="706"/>
      <c r="M488" s="706"/>
      <c r="N488" s="706"/>
      <c r="O488" s="706"/>
      <c r="P488" s="706"/>
      <c r="Q488" s="863"/>
      <c r="R488" s="706"/>
      <c r="S488" s="706"/>
      <c r="T488" s="706"/>
      <c r="U488" s="706"/>
      <c r="V488" s="706"/>
      <c r="W488" s="706"/>
      <c r="X488" s="706"/>
      <c r="Y488" s="863"/>
      <c r="Z488" s="706"/>
      <c r="AA488" s="706"/>
      <c r="AB488" s="706"/>
      <c r="AC488" s="706"/>
      <c r="AD488" s="706"/>
      <c r="AE488" s="706"/>
      <c r="AF488" s="706"/>
      <c r="AG488" s="863"/>
      <c r="AH488" s="706"/>
      <c r="AI488" s="706"/>
      <c r="AJ488" s="706"/>
      <c r="AK488" s="706"/>
      <c r="AL488" s="706"/>
      <c r="AM488" s="706"/>
      <c r="AN488" s="706"/>
      <c r="AO488" s="863"/>
      <c r="AP488" s="706"/>
      <c r="AQ488" s="706"/>
      <c r="AR488" s="706"/>
      <c r="AS488" s="706"/>
      <c r="AT488" s="706"/>
      <c r="AU488" s="706"/>
      <c r="AV488" s="706"/>
      <c r="AW488" s="49"/>
      <c r="AX488" s="49"/>
      <c r="AY488" s="49"/>
      <c r="AZ488" s="49"/>
      <c r="BA488" s="49"/>
      <c r="BB488" s="49"/>
      <c r="BC488" s="49"/>
      <c r="BD488" s="49"/>
      <c r="BE488" s="49"/>
      <c r="BF488" s="49"/>
      <c r="BG488" s="49"/>
      <c r="BH488" s="49"/>
    </row>
    <row r="489" spans="3:60" s="48" customFormat="1">
      <c r="C489" s="706"/>
      <c r="D489" s="706"/>
      <c r="E489" s="706"/>
      <c r="F489" s="706"/>
      <c r="G489" s="706"/>
      <c r="H489" s="706"/>
      <c r="I489" s="863"/>
      <c r="J489" s="706"/>
      <c r="K489" s="706"/>
      <c r="L489" s="706"/>
      <c r="M489" s="706"/>
      <c r="N489" s="706"/>
      <c r="O489" s="706"/>
      <c r="P489" s="706"/>
      <c r="Q489" s="863"/>
      <c r="R489" s="706"/>
      <c r="S489" s="706"/>
      <c r="T489" s="706"/>
      <c r="U489" s="706"/>
      <c r="V489" s="706"/>
      <c r="W489" s="706"/>
      <c r="X489" s="706"/>
      <c r="Y489" s="863"/>
      <c r="Z489" s="706"/>
      <c r="AA489" s="706"/>
      <c r="AB489" s="706"/>
      <c r="AC489" s="706"/>
      <c r="AD489" s="706"/>
      <c r="AE489" s="706"/>
      <c r="AF489" s="706"/>
      <c r="AG489" s="863"/>
      <c r="AH489" s="706"/>
      <c r="AI489" s="706"/>
      <c r="AJ489" s="706"/>
      <c r="AK489" s="706"/>
      <c r="AL489" s="706"/>
      <c r="AM489" s="706"/>
      <c r="AN489" s="706"/>
      <c r="AO489" s="863"/>
      <c r="AP489" s="706"/>
      <c r="AQ489" s="706"/>
      <c r="AR489" s="706"/>
      <c r="AS489" s="706"/>
      <c r="AT489" s="706"/>
      <c r="AU489" s="706"/>
      <c r="AV489" s="706"/>
      <c r="AW489" s="49"/>
      <c r="AX489" s="49"/>
      <c r="AY489" s="49"/>
      <c r="AZ489" s="49"/>
      <c r="BA489" s="49"/>
      <c r="BB489" s="49"/>
      <c r="BC489" s="49"/>
      <c r="BD489" s="49"/>
      <c r="BE489" s="49"/>
      <c r="BF489" s="49"/>
      <c r="BG489" s="49"/>
      <c r="BH489" s="49"/>
    </row>
    <row r="490" spans="3:60" s="48" customFormat="1">
      <c r="C490" s="706"/>
      <c r="D490" s="706"/>
      <c r="E490" s="706"/>
      <c r="F490" s="706"/>
      <c r="G490" s="706"/>
      <c r="H490" s="706"/>
      <c r="I490" s="863"/>
      <c r="J490" s="706"/>
      <c r="K490" s="706"/>
      <c r="L490" s="706"/>
      <c r="M490" s="706"/>
      <c r="N490" s="706"/>
      <c r="O490" s="706"/>
      <c r="P490" s="706"/>
      <c r="Q490" s="863"/>
      <c r="R490" s="706"/>
      <c r="S490" s="706"/>
      <c r="T490" s="706"/>
      <c r="U490" s="706"/>
      <c r="V490" s="706"/>
      <c r="W490" s="706"/>
      <c r="X490" s="706"/>
      <c r="Y490" s="863"/>
      <c r="Z490" s="706"/>
      <c r="AA490" s="706"/>
      <c r="AB490" s="706"/>
      <c r="AC490" s="706"/>
      <c r="AD490" s="706"/>
      <c r="AE490" s="706"/>
      <c r="AF490" s="706"/>
      <c r="AG490" s="863"/>
      <c r="AH490" s="706"/>
      <c r="AI490" s="706"/>
      <c r="AJ490" s="706"/>
      <c r="AK490" s="706"/>
      <c r="AL490" s="706"/>
      <c r="AM490" s="706"/>
      <c r="AN490" s="706"/>
      <c r="AO490" s="863"/>
      <c r="AP490" s="706"/>
      <c r="AQ490" s="706"/>
      <c r="AR490" s="706"/>
      <c r="AS490" s="706"/>
      <c r="AT490" s="706"/>
      <c r="AU490" s="706"/>
      <c r="AV490" s="706"/>
      <c r="AW490" s="49"/>
      <c r="AX490" s="49"/>
      <c r="AY490" s="49"/>
      <c r="AZ490" s="49"/>
      <c r="BA490" s="49"/>
      <c r="BB490" s="49"/>
      <c r="BC490" s="49"/>
      <c r="BD490" s="49"/>
      <c r="BE490" s="49"/>
      <c r="BF490" s="49"/>
      <c r="BG490" s="49"/>
      <c r="BH490" s="49"/>
    </row>
    <row r="491" spans="3:60" s="48" customFormat="1">
      <c r="C491" s="706"/>
      <c r="D491" s="706"/>
      <c r="E491" s="706"/>
      <c r="F491" s="706"/>
      <c r="G491" s="706"/>
      <c r="H491" s="706"/>
      <c r="I491" s="863"/>
      <c r="J491" s="706"/>
      <c r="K491" s="706"/>
      <c r="L491" s="706"/>
      <c r="M491" s="706"/>
      <c r="N491" s="706"/>
      <c r="O491" s="706"/>
      <c r="P491" s="706"/>
      <c r="Q491" s="863"/>
      <c r="R491" s="706"/>
      <c r="S491" s="706"/>
      <c r="T491" s="706"/>
      <c r="U491" s="706"/>
      <c r="V491" s="706"/>
      <c r="W491" s="706"/>
      <c r="X491" s="706"/>
      <c r="Y491" s="863"/>
      <c r="Z491" s="706"/>
      <c r="AA491" s="706"/>
      <c r="AB491" s="706"/>
      <c r="AC491" s="706"/>
      <c r="AD491" s="706"/>
      <c r="AE491" s="706"/>
      <c r="AF491" s="706"/>
      <c r="AG491" s="863"/>
      <c r="AH491" s="706"/>
      <c r="AI491" s="706"/>
      <c r="AJ491" s="706"/>
      <c r="AK491" s="706"/>
      <c r="AL491" s="706"/>
      <c r="AM491" s="706"/>
      <c r="AN491" s="706"/>
      <c r="AO491" s="863"/>
      <c r="AP491" s="706"/>
      <c r="AQ491" s="706"/>
      <c r="AR491" s="706"/>
      <c r="AS491" s="706"/>
      <c r="AT491" s="706"/>
      <c r="AU491" s="706"/>
      <c r="AV491" s="706"/>
      <c r="AW491" s="49"/>
      <c r="AX491" s="49"/>
      <c r="AY491" s="49"/>
      <c r="AZ491" s="49"/>
      <c r="BA491" s="49"/>
      <c r="BB491" s="49"/>
      <c r="BC491" s="49"/>
      <c r="BD491" s="49"/>
      <c r="BE491" s="49"/>
      <c r="BF491" s="49"/>
      <c r="BG491" s="49"/>
      <c r="BH491" s="49"/>
    </row>
    <row r="492" spans="3:60" s="48" customFormat="1">
      <c r="C492" s="706"/>
      <c r="D492" s="706"/>
      <c r="E492" s="706"/>
      <c r="F492" s="706"/>
      <c r="G492" s="706"/>
      <c r="H492" s="706"/>
      <c r="I492" s="863"/>
      <c r="J492" s="706"/>
      <c r="K492" s="706"/>
      <c r="L492" s="706"/>
      <c r="M492" s="706"/>
      <c r="N492" s="706"/>
      <c r="O492" s="706"/>
      <c r="P492" s="706"/>
      <c r="Q492" s="863"/>
      <c r="R492" s="706"/>
      <c r="S492" s="706"/>
      <c r="T492" s="706"/>
      <c r="U492" s="706"/>
      <c r="V492" s="706"/>
      <c r="W492" s="706"/>
      <c r="X492" s="706"/>
      <c r="Y492" s="863"/>
      <c r="Z492" s="706"/>
      <c r="AA492" s="706"/>
      <c r="AB492" s="706"/>
      <c r="AC492" s="706"/>
      <c r="AD492" s="706"/>
      <c r="AE492" s="706"/>
      <c r="AF492" s="706"/>
      <c r="AG492" s="863"/>
      <c r="AH492" s="706"/>
      <c r="AI492" s="706"/>
      <c r="AJ492" s="706"/>
      <c r="AK492" s="706"/>
      <c r="AL492" s="706"/>
      <c r="AM492" s="706"/>
      <c r="AN492" s="706"/>
      <c r="AO492" s="863"/>
      <c r="AP492" s="706"/>
      <c r="AQ492" s="706"/>
      <c r="AR492" s="706"/>
      <c r="AS492" s="706"/>
      <c r="AT492" s="706"/>
      <c r="AU492" s="706"/>
      <c r="AV492" s="706"/>
      <c r="AW492" s="49"/>
      <c r="AX492" s="49"/>
      <c r="AY492" s="49"/>
      <c r="AZ492" s="49"/>
      <c r="BA492" s="49"/>
      <c r="BB492" s="49"/>
      <c r="BC492" s="49"/>
      <c r="BD492" s="49"/>
      <c r="BE492" s="49"/>
      <c r="BF492" s="49"/>
      <c r="BG492" s="49"/>
      <c r="BH492" s="49"/>
    </row>
    <row r="493" spans="3:60" s="48" customFormat="1">
      <c r="C493" s="706"/>
      <c r="D493" s="706"/>
      <c r="E493" s="706"/>
      <c r="F493" s="706"/>
      <c r="G493" s="706"/>
      <c r="H493" s="706"/>
      <c r="I493" s="863"/>
      <c r="J493" s="706"/>
      <c r="K493" s="706"/>
      <c r="L493" s="706"/>
      <c r="M493" s="706"/>
      <c r="N493" s="706"/>
      <c r="O493" s="706"/>
      <c r="P493" s="706"/>
      <c r="Q493" s="863"/>
      <c r="R493" s="706"/>
      <c r="S493" s="706"/>
      <c r="T493" s="706"/>
      <c r="U493" s="706"/>
      <c r="V493" s="706"/>
      <c r="W493" s="706"/>
      <c r="X493" s="706"/>
      <c r="Y493" s="863"/>
      <c r="Z493" s="706"/>
      <c r="AA493" s="706"/>
      <c r="AB493" s="706"/>
      <c r="AC493" s="706"/>
      <c r="AD493" s="706"/>
      <c r="AE493" s="706"/>
      <c r="AF493" s="706"/>
      <c r="AG493" s="863"/>
      <c r="AH493" s="706"/>
      <c r="AI493" s="706"/>
      <c r="AJ493" s="706"/>
      <c r="AK493" s="706"/>
      <c r="AL493" s="706"/>
      <c r="AM493" s="706"/>
      <c r="AN493" s="706"/>
      <c r="AO493" s="863"/>
      <c r="AP493" s="706"/>
      <c r="AQ493" s="706"/>
      <c r="AR493" s="706"/>
      <c r="AS493" s="706"/>
      <c r="AT493" s="706"/>
      <c r="AU493" s="706"/>
      <c r="AV493" s="706"/>
      <c r="AW493" s="49"/>
      <c r="AX493" s="49"/>
      <c r="AY493" s="49"/>
      <c r="AZ493" s="49"/>
      <c r="BA493" s="49"/>
      <c r="BB493" s="49"/>
      <c r="BC493" s="49"/>
      <c r="BD493" s="49"/>
      <c r="BE493" s="49"/>
      <c r="BF493" s="49"/>
      <c r="BG493" s="49"/>
      <c r="BH493" s="49"/>
    </row>
    <row r="494" spans="3:60" s="48" customFormat="1">
      <c r="C494" s="706"/>
      <c r="D494" s="706"/>
      <c r="E494" s="706"/>
      <c r="F494" s="706"/>
      <c r="G494" s="706"/>
      <c r="H494" s="706"/>
      <c r="I494" s="863"/>
      <c r="J494" s="706"/>
      <c r="K494" s="706"/>
      <c r="L494" s="706"/>
      <c r="M494" s="706"/>
      <c r="N494" s="706"/>
      <c r="O494" s="706"/>
      <c r="P494" s="706"/>
      <c r="Q494" s="863"/>
      <c r="R494" s="706"/>
      <c r="S494" s="706"/>
      <c r="T494" s="706"/>
      <c r="U494" s="706"/>
      <c r="V494" s="706"/>
      <c r="W494" s="706"/>
      <c r="X494" s="706"/>
      <c r="Y494" s="863"/>
      <c r="Z494" s="706"/>
      <c r="AA494" s="706"/>
      <c r="AB494" s="706"/>
      <c r="AC494" s="706"/>
      <c r="AD494" s="706"/>
      <c r="AE494" s="706"/>
      <c r="AF494" s="706"/>
      <c r="AG494" s="863"/>
      <c r="AH494" s="706"/>
      <c r="AI494" s="706"/>
      <c r="AJ494" s="706"/>
      <c r="AK494" s="706"/>
      <c r="AL494" s="706"/>
      <c r="AM494" s="706"/>
      <c r="AN494" s="706"/>
      <c r="AO494" s="863"/>
      <c r="AP494" s="706"/>
      <c r="AQ494" s="706"/>
      <c r="AR494" s="706"/>
      <c r="AS494" s="706"/>
      <c r="AT494" s="706"/>
      <c r="AU494" s="706"/>
      <c r="AV494" s="706"/>
      <c r="AW494" s="49"/>
      <c r="AX494" s="49"/>
      <c r="AY494" s="49"/>
      <c r="AZ494" s="49"/>
      <c r="BA494" s="49"/>
      <c r="BB494" s="49"/>
      <c r="BC494" s="49"/>
      <c r="BD494" s="49"/>
      <c r="BE494" s="49"/>
      <c r="BF494" s="49"/>
      <c r="BG494" s="49"/>
      <c r="BH494" s="49"/>
    </row>
    <row r="495" spans="3:60" s="48" customFormat="1">
      <c r="C495" s="706"/>
      <c r="D495" s="706"/>
      <c r="E495" s="706"/>
      <c r="F495" s="706"/>
      <c r="G495" s="706"/>
      <c r="H495" s="706"/>
      <c r="I495" s="863"/>
      <c r="J495" s="706"/>
      <c r="K495" s="706"/>
      <c r="L495" s="706"/>
      <c r="M495" s="706"/>
      <c r="N495" s="706"/>
      <c r="O495" s="706"/>
      <c r="P495" s="706"/>
      <c r="Q495" s="863"/>
      <c r="R495" s="706"/>
      <c r="S495" s="706"/>
      <c r="T495" s="706"/>
      <c r="U495" s="706"/>
      <c r="V495" s="706"/>
      <c r="W495" s="706"/>
      <c r="X495" s="706"/>
      <c r="Y495" s="863"/>
      <c r="Z495" s="706"/>
      <c r="AA495" s="706"/>
      <c r="AB495" s="706"/>
      <c r="AC495" s="706"/>
      <c r="AD495" s="706"/>
      <c r="AE495" s="706"/>
      <c r="AF495" s="706"/>
      <c r="AG495" s="863"/>
      <c r="AH495" s="706"/>
      <c r="AI495" s="706"/>
      <c r="AJ495" s="706"/>
      <c r="AK495" s="706"/>
      <c r="AL495" s="706"/>
      <c r="AM495" s="706"/>
      <c r="AN495" s="706"/>
      <c r="AO495" s="863"/>
      <c r="AP495" s="706"/>
      <c r="AQ495" s="706"/>
      <c r="AR495" s="706"/>
      <c r="AS495" s="706"/>
      <c r="AT495" s="706"/>
      <c r="AU495" s="706"/>
      <c r="AV495" s="706"/>
      <c r="AW495" s="49"/>
      <c r="AX495" s="49"/>
      <c r="AY495" s="49"/>
      <c r="AZ495" s="49"/>
      <c r="BA495" s="49"/>
      <c r="BB495" s="49"/>
      <c r="BC495" s="49"/>
      <c r="BD495" s="49"/>
      <c r="BE495" s="49"/>
      <c r="BF495" s="49"/>
      <c r="BG495" s="49"/>
      <c r="BH495" s="49"/>
    </row>
    <row r="496" spans="3:60" s="48" customFormat="1">
      <c r="C496" s="706"/>
      <c r="D496" s="706"/>
      <c r="E496" s="706"/>
      <c r="F496" s="706"/>
      <c r="G496" s="706"/>
      <c r="H496" s="706"/>
      <c r="I496" s="863"/>
      <c r="J496" s="706"/>
      <c r="K496" s="706"/>
      <c r="L496" s="706"/>
      <c r="M496" s="706"/>
      <c r="N496" s="706"/>
      <c r="O496" s="706"/>
      <c r="P496" s="706"/>
      <c r="Q496" s="863"/>
      <c r="R496" s="706"/>
      <c r="S496" s="706"/>
      <c r="T496" s="706"/>
      <c r="U496" s="706"/>
      <c r="V496" s="706"/>
      <c r="W496" s="706"/>
      <c r="X496" s="706"/>
      <c r="Y496" s="863"/>
      <c r="Z496" s="706"/>
      <c r="AA496" s="706"/>
      <c r="AB496" s="706"/>
      <c r="AC496" s="706"/>
      <c r="AD496" s="706"/>
      <c r="AE496" s="706"/>
      <c r="AF496" s="706"/>
      <c r="AG496" s="863"/>
      <c r="AH496" s="706"/>
      <c r="AI496" s="706"/>
      <c r="AJ496" s="706"/>
      <c r="AK496" s="706"/>
      <c r="AL496" s="706"/>
      <c r="AM496" s="706"/>
      <c r="AN496" s="706"/>
      <c r="AO496" s="863"/>
      <c r="AP496" s="706"/>
      <c r="AQ496" s="706"/>
      <c r="AR496" s="706"/>
      <c r="AS496" s="706"/>
      <c r="AT496" s="706"/>
      <c r="AU496" s="706"/>
      <c r="AV496" s="706"/>
      <c r="AW496" s="49"/>
      <c r="AX496" s="49"/>
      <c r="AY496" s="49"/>
      <c r="AZ496" s="49"/>
      <c r="BA496" s="49"/>
      <c r="BB496" s="49"/>
      <c r="BC496" s="49"/>
      <c r="BD496" s="49"/>
      <c r="BE496" s="49"/>
      <c r="BF496" s="49"/>
      <c r="BG496" s="49"/>
      <c r="BH496" s="49"/>
    </row>
    <row r="497" spans="3:60" s="48" customFormat="1">
      <c r="C497" s="706"/>
      <c r="D497" s="706"/>
      <c r="E497" s="706"/>
      <c r="F497" s="706"/>
      <c r="G497" s="706"/>
      <c r="H497" s="706"/>
      <c r="I497" s="863"/>
      <c r="J497" s="706"/>
      <c r="K497" s="706"/>
      <c r="L497" s="706"/>
      <c r="M497" s="706"/>
      <c r="N497" s="706"/>
      <c r="O497" s="706"/>
      <c r="P497" s="706"/>
      <c r="Q497" s="863"/>
      <c r="R497" s="706"/>
      <c r="S497" s="706"/>
      <c r="T497" s="706"/>
      <c r="U497" s="706"/>
      <c r="V497" s="706"/>
      <c r="W497" s="706"/>
      <c r="X497" s="706"/>
      <c r="Y497" s="863"/>
      <c r="Z497" s="706"/>
      <c r="AA497" s="706"/>
      <c r="AB497" s="706"/>
      <c r="AC497" s="706"/>
      <c r="AD497" s="706"/>
      <c r="AE497" s="706"/>
      <c r="AF497" s="706"/>
      <c r="AG497" s="863"/>
      <c r="AH497" s="706"/>
      <c r="AI497" s="706"/>
      <c r="AJ497" s="706"/>
      <c r="AK497" s="706"/>
      <c r="AL497" s="706"/>
      <c r="AM497" s="706"/>
      <c r="AN497" s="706"/>
      <c r="AO497" s="863"/>
      <c r="AP497" s="706"/>
      <c r="AQ497" s="706"/>
      <c r="AR497" s="706"/>
      <c r="AS497" s="706"/>
      <c r="AT497" s="706"/>
      <c r="AU497" s="706"/>
      <c r="AV497" s="706"/>
      <c r="AW497" s="49"/>
      <c r="AX497" s="49"/>
      <c r="AY497" s="49"/>
      <c r="AZ497" s="49"/>
      <c r="BA497" s="49"/>
      <c r="BB497" s="49"/>
      <c r="BC497" s="49"/>
      <c r="BD497" s="49"/>
      <c r="BE497" s="49"/>
      <c r="BF497" s="49"/>
      <c r="BG497" s="49"/>
      <c r="BH497" s="49"/>
    </row>
    <row r="498" spans="3:60" s="48" customFormat="1">
      <c r="C498" s="706"/>
      <c r="D498" s="706"/>
      <c r="E498" s="706"/>
      <c r="F498" s="706"/>
      <c r="G498" s="706"/>
      <c r="H498" s="706"/>
      <c r="I498" s="863"/>
      <c r="J498" s="706"/>
      <c r="K498" s="706"/>
      <c r="L498" s="706"/>
      <c r="M498" s="706"/>
      <c r="N498" s="706"/>
      <c r="O498" s="706"/>
      <c r="P498" s="706"/>
      <c r="Q498" s="863"/>
      <c r="R498" s="706"/>
      <c r="S498" s="706"/>
      <c r="T498" s="706"/>
      <c r="U498" s="706"/>
      <c r="V498" s="706"/>
      <c r="W498" s="706"/>
      <c r="X498" s="706"/>
      <c r="Y498" s="863"/>
      <c r="Z498" s="706"/>
      <c r="AA498" s="706"/>
      <c r="AB498" s="706"/>
      <c r="AC498" s="706"/>
      <c r="AD498" s="706"/>
      <c r="AE498" s="706"/>
      <c r="AF498" s="706"/>
      <c r="AG498" s="863"/>
      <c r="AH498" s="706"/>
      <c r="AI498" s="706"/>
      <c r="AJ498" s="706"/>
      <c r="AK498" s="706"/>
      <c r="AL498" s="706"/>
      <c r="AM498" s="706"/>
      <c r="AN498" s="706"/>
      <c r="AO498" s="863"/>
      <c r="AP498" s="706"/>
      <c r="AQ498" s="706"/>
      <c r="AR498" s="706"/>
      <c r="AS498" s="706"/>
      <c r="AT498" s="706"/>
      <c r="AU498" s="706"/>
      <c r="AV498" s="706"/>
      <c r="AW498" s="49"/>
      <c r="AX498" s="49"/>
      <c r="AY498" s="49"/>
      <c r="AZ498" s="49"/>
      <c r="BA498" s="49"/>
      <c r="BB498" s="49"/>
      <c r="BC498" s="49"/>
      <c r="BD498" s="49"/>
      <c r="BE498" s="49"/>
      <c r="BF498" s="49"/>
      <c r="BG498" s="49"/>
      <c r="BH498" s="49"/>
    </row>
    <row r="499" spans="3:60" s="48" customFormat="1">
      <c r="C499" s="706"/>
      <c r="D499" s="706"/>
      <c r="E499" s="706"/>
      <c r="F499" s="706"/>
      <c r="G499" s="706"/>
      <c r="H499" s="706"/>
      <c r="I499" s="863"/>
      <c r="J499" s="706"/>
      <c r="K499" s="706"/>
      <c r="L499" s="706"/>
      <c r="M499" s="706"/>
      <c r="N499" s="706"/>
      <c r="O499" s="706"/>
      <c r="P499" s="706"/>
      <c r="Q499" s="863"/>
      <c r="R499" s="706"/>
      <c r="S499" s="706"/>
      <c r="T499" s="706"/>
      <c r="U499" s="706"/>
      <c r="V499" s="706"/>
      <c r="W499" s="706"/>
      <c r="X499" s="706"/>
      <c r="Y499" s="863"/>
      <c r="Z499" s="706"/>
      <c r="AA499" s="706"/>
      <c r="AB499" s="706"/>
      <c r="AC499" s="706"/>
      <c r="AD499" s="706"/>
      <c r="AE499" s="706"/>
      <c r="AF499" s="706"/>
      <c r="AG499" s="863"/>
      <c r="AH499" s="706"/>
      <c r="AI499" s="706"/>
      <c r="AJ499" s="706"/>
      <c r="AK499" s="706"/>
      <c r="AL499" s="706"/>
      <c r="AM499" s="706"/>
      <c r="AN499" s="706"/>
      <c r="AO499" s="863"/>
      <c r="AP499" s="706"/>
      <c r="AQ499" s="706"/>
      <c r="AR499" s="706"/>
      <c r="AS499" s="706"/>
      <c r="AT499" s="706"/>
      <c r="AU499" s="706"/>
      <c r="AV499" s="706"/>
      <c r="AW499" s="49"/>
      <c r="AX499" s="49"/>
      <c r="AY499" s="49"/>
      <c r="AZ499" s="49"/>
      <c r="BA499" s="49"/>
      <c r="BB499" s="49"/>
      <c r="BC499" s="49"/>
      <c r="BD499" s="49"/>
      <c r="BE499" s="49"/>
      <c r="BF499" s="49"/>
      <c r="BG499" s="49"/>
      <c r="BH499" s="49"/>
    </row>
    <row r="500" spans="3:60" s="48" customFormat="1">
      <c r="C500" s="706"/>
      <c r="D500" s="706"/>
      <c r="E500" s="706"/>
      <c r="F500" s="706"/>
      <c r="G500" s="706"/>
      <c r="H500" s="706"/>
      <c r="I500" s="863"/>
      <c r="J500" s="706"/>
      <c r="K500" s="706"/>
      <c r="L500" s="706"/>
      <c r="M500" s="706"/>
      <c r="N500" s="706"/>
      <c r="O500" s="706"/>
      <c r="P500" s="706"/>
      <c r="Q500" s="863"/>
      <c r="R500" s="706"/>
      <c r="S500" s="706"/>
      <c r="T500" s="706"/>
      <c r="U500" s="706"/>
      <c r="V500" s="706"/>
      <c r="W500" s="706"/>
      <c r="X500" s="706"/>
      <c r="Y500" s="863"/>
      <c r="Z500" s="706"/>
      <c r="AA500" s="706"/>
      <c r="AB500" s="706"/>
      <c r="AC500" s="706"/>
      <c r="AD500" s="706"/>
      <c r="AE500" s="706"/>
      <c r="AF500" s="706"/>
      <c r="AG500" s="863"/>
      <c r="AH500" s="706"/>
      <c r="AI500" s="706"/>
      <c r="AJ500" s="706"/>
      <c r="AK500" s="706"/>
      <c r="AL500" s="706"/>
      <c r="AM500" s="706"/>
      <c r="AN500" s="706"/>
      <c r="AO500" s="863"/>
      <c r="AP500" s="706"/>
      <c r="AQ500" s="706"/>
      <c r="AR500" s="706"/>
      <c r="AS500" s="706"/>
      <c r="AT500" s="706"/>
      <c r="AU500" s="706"/>
      <c r="AV500" s="706"/>
      <c r="AW500" s="49"/>
      <c r="AX500" s="49"/>
      <c r="AY500" s="49"/>
      <c r="AZ500" s="49"/>
      <c r="BA500" s="49"/>
      <c r="BB500" s="49"/>
      <c r="BC500" s="49"/>
      <c r="BD500" s="49"/>
      <c r="BE500" s="49"/>
      <c r="BF500" s="49"/>
      <c r="BG500" s="49"/>
      <c r="BH500" s="49"/>
    </row>
    <row r="501" spans="3:60" s="48" customFormat="1">
      <c r="C501" s="706"/>
      <c r="D501" s="706"/>
      <c r="E501" s="706"/>
      <c r="F501" s="706"/>
      <c r="G501" s="706"/>
      <c r="H501" s="706"/>
      <c r="I501" s="863"/>
      <c r="J501" s="706"/>
      <c r="K501" s="706"/>
      <c r="L501" s="706"/>
      <c r="M501" s="706"/>
      <c r="N501" s="706"/>
      <c r="O501" s="706"/>
      <c r="P501" s="706"/>
      <c r="Q501" s="863"/>
      <c r="R501" s="706"/>
      <c r="S501" s="706"/>
      <c r="T501" s="706"/>
      <c r="U501" s="706"/>
      <c r="V501" s="706"/>
      <c r="W501" s="706"/>
      <c r="X501" s="706"/>
      <c r="Y501" s="863"/>
      <c r="Z501" s="706"/>
      <c r="AA501" s="706"/>
      <c r="AB501" s="706"/>
      <c r="AC501" s="706"/>
      <c r="AD501" s="706"/>
      <c r="AE501" s="706"/>
      <c r="AF501" s="706"/>
      <c r="AG501" s="863"/>
      <c r="AH501" s="706"/>
      <c r="AI501" s="706"/>
      <c r="AJ501" s="706"/>
      <c r="AK501" s="706"/>
      <c r="AL501" s="706"/>
      <c r="AM501" s="706"/>
      <c r="AN501" s="706"/>
      <c r="AO501" s="863"/>
      <c r="AP501" s="706"/>
      <c r="AQ501" s="706"/>
      <c r="AR501" s="706"/>
      <c r="AS501" s="706"/>
      <c r="AT501" s="706"/>
      <c r="AU501" s="706"/>
      <c r="AV501" s="706"/>
      <c r="AW501" s="49"/>
      <c r="AX501" s="49"/>
      <c r="AY501" s="49"/>
      <c r="AZ501" s="49"/>
      <c r="BA501" s="49"/>
      <c r="BB501" s="49"/>
      <c r="BC501" s="49"/>
      <c r="BD501" s="49"/>
      <c r="BE501" s="49"/>
      <c r="BF501" s="49"/>
      <c r="BG501" s="49"/>
      <c r="BH501" s="49"/>
    </row>
  </sheetData>
  <sheetProtection algorithmName="SHA-512" hashValue="cf/rjg4HhGhA3ztirWKri6j8FrVScJaHWYIMpAhriFPtqnpaKa93Ahi8SeK0wpdtiZIvnh4gj8Vrxi+Kp38+HA==" saltValue="w8IZlNSadEdgdGyslI+T7A==" spinCount="100000" sheet="1" formatCells="0" formatColumns="0" formatRows="0"/>
  <mergeCells count="32">
    <mergeCell ref="BJ8:CR8"/>
    <mergeCell ref="CS8:CX9"/>
    <mergeCell ref="CY8:DD9"/>
    <mergeCell ref="DE8:DJ9"/>
    <mergeCell ref="BJ9:BP9"/>
    <mergeCell ref="BQ9:BW9"/>
    <mergeCell ref="BX9:CD9"/>
    <mergeCell ref="CE9:CK9"/>
    <mergeCell ref="CL9:CR9"/>
    <mergeCell ref="A1:C1"/>
    <mergeCell ref="D1:E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2:AH71">
    <cfRule type="cellIs" dxfId="40" priority="37" operator="lessThan">
      <formula>0</formula>
    </cfRule>
    <cfRule type="cellIs" dxfId="39" priority="38" operator="greaterThan">
      <formula>0.1</formula>
    </cfRule>
  </conditionalFormatting>
  <conditionalFormatting sqref="AP73:AP92 AP95 AP12:AP71">
    <cfRule type="cellIs" dxfId="38" priority="35" operator="lessThan">
      <formula>0</formula>
    </cfRule>
    <cfRule type="cellIs" dxfId="37" priority="36" operator="greaterThan">
      <formula>0.1</formula>
    </cfRule>
  </conditionalFormatting>
  <conditionalFormatting sqref="J11:J95">
    <cfRule type="cellIs" dxfId="36" priority="43" operator="lessThan">
      <formula>0</formula>
    </cfRule>
    <cfRule type="cellIs" dxfId="35" priority="44" operator="greaterThan">
      <formula>0.1</formula>
    </cfRule>
  </conditionalFormatting>
  <conditionalFormatting sqref="R11:R30 R32:R95">
    <cfRule type="cellIs" dxfId="34" priority="41" operator="lessThan">
      <formula>0</formula>
    </cfRule>
    <cfRule type="cellIs" dxfId="33" priority="42" operator="greaterThan">
      <formula>0.1</formula>
    </cfRule>
  </conditionalFormatting>
  <conditionalFormatting sqref="Z11:Z30 Z32:Z95">
    <cfRule type="cellIs" dxfId="32" priority="39" operator="lessThan">
      <formula>0</formula>
    </cfRule>
    <cfRule type="cellIs" dxfId="31" priority="40" operator="greaterThan">
      <formula>0.1</formula>
    </cfRule>
  </conditionalFormatting>
  <conditionalFormatting sqref="AH93:AH94">
    <cfRule type="cellIs" dxfId="30" priority="33" operator="lessThan">
      <formula>0</formula>
    </cfRule>
    <cfRule type="cellIs" dxfId="29" priority="34" operator="greaterThan">
      <formula>0.1</formula>
    </cfRule>
  </conditionalFormatting>
  <conditionalFormatting sqref="AP93:AP94">
    <cfRule type="cellIs" dxfId="28" priority="31" operator="lessThan">
      <formula>0</formula>
    </cfRule>
    <cfRule type="cellIs" dxfId="27" priority="32" operator="greaterThan">
      <formula>0.1</formula>
    </cfRule>
  </conditionalFormatting>
  <conditionalFormatting sqref="AG49:AG50">
    <cfRule type="cellIs" dxfId="26" priority="29" operator="lessThan">
      <formula>0</formula>
    </cfRule>
    <cfRule type="cellIs" dxfId="25" priority="30" operator="greaterThan">
      <formula>0.1</formula>
    </cfRule>
  </conditionalFormatting>
  <conditionalFormatting sqref="AO49:AO50">
    <cfRule type="cellIs" dxfId="24" priority="27" operator="lessThan">
      <formula>0</formula>
    </cfRule>
    <cfRule type="cellIs" dxfId="23" priority="28" operator="greaterThan">
      <formula>0.1</formula>
    </cfRule>
  </conditionalFormatting>
  <conditionalFormatting sqref="Q49:Q50">
    <cfRule type="cellIs" dxfId="22" priority="25" operator="lessThan">
      <formula>0</formula>
    </cfRule>
    <cfRule type="cellIs" dxfId="21" priority="26" operator="greaterThan">
      <formula>0.1</formula>
    </cfRule>
  </conditionalFormatting>
  <conditionalFormatting sqref="AH11">
    <cfRule type="cellIs" dxfId="20" priority="3" operator="lessThan">
      <formula>0</formula>
    </cfRule>
    <cfRule type="cellIs" dxfId="19" priority="4" operator="greaterThan">
      <formula>0.1</formula>
    </cfRule>
  </conditionalFormatting>
  <conditionalFormatting sqref="AP11">
    <cfRule type="cellIs" dxfId="18" priority="1" operator="lessThan">
      <formula>0</formula>
    </cfRule>
    <cfRule type="cellIs" dxfId="17" priority="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CJ479"/>
  <sheetViews>
    <sheetView showGridLines="0" zoomScale="80" zoomScaleNormal="80" zoomScaleSheetLayoutView="100" workbookViewId="0">
      <pane xSplit="2" ySplit="10" topLeftCell="C11" activePane="bottomRight" state="frozen"/>
      <selection pane="topRight" activeCell="C1" sqref="C1"/>
      <selection pane="bottomLeft" activeCell="A11" sqref="A11"/>
      <selection pane="bottomRight" activeCell="D17" sqref="D17"/>
    </sheetView>
  </sheetViews>
  <sheetFormatPr defaultColWidth="9.140625" defaultRowHeight="15"/>
  <cols>
    <col min="1" max="1" width="7.42578125" style="48" customWidth="1"/>
    <col min="2" max="2" width="40.85546875" style="48" customWidth="1"/>
    <col min="3" max="3" width="7.7109375" style="48" customWidth="1"/>
    <col min="4" max="4" width="7.7109375" style="860" customWidth="1"/>
    <col min="5" max="5" width="7.7109375" style="49" customWidth="1"/>
    <col min="6" max="6" width="7.7109375" style="860" customWidth="1"/>
    <col min="7" max="7" width="7.7109375" style="49" customWidth="1"/>
    <col min="8" max="8" width="7.7109375" style="860" customWidth="1"/>
    <col min="9" max="9" width="7.7109375" style="49" customWidth="1"/>
    <col min="10" max="10" width="7.7109375" style="860" customWidth="1"/>
    <col min="11" max="11" width="7.7109375" style="49" customWidth="1"/>
    <col min="12" max="12" width="7.7109375" style="860" customWidth="1"/>
    <col min="13" max="14" width="7.7109375" style="49" customWidth="1"/>
    <col min="15" max="15" width="7.7109375" style="860" customWidth="1"/>
    <col min="16" max="16" width="7.7109375" style="49" customWidth="1"/>
    <col min="17" max="17" width="7.7109375" style="860" customWidth="1"/>
    <col min="18" max="18" width="7.7109375" style="49" customWidth="1"/>
    <col min="19" max="19" width="7.7109375" style="860" customWidth="1"/>
    <col min="20" max="20" width="7.7109375" style="49" customWidth="1"/>
    <col min="21" max="21" width="7.7109375" style="860" customWidth="1"/>
    <col min="22" max="22" width="7.7109375" style="49" customWidth="1"/>
    <col min="23" max="23" width="7.7109375" style="860" customWidth="1"/>
    <col min="24" max="25" width="7.7109375" style="49" customWidth="1"/>
    <col min="26" max="26" width="7.7109375" style="726" customWidth="1"/>
    <col min="27" max="27" width="7.7109375" style="49" customWidth="1"/>
    <col min="28" max="28" width="7.7109375" style="726" customWidth="1"/>
    <col min="29" max="29" width="7.7109375" style="49" customWidth="1"/>
    <col min="30" max="30" width="7.7109375" style="726" customWidth="1"/>
    <col min="31" max="31" width="7.7109375" style="49" customWidth="1"/>
    <col min="32" max="32" width="7.7109375" style="726" customWidth="1"/>
    <col min="33" max="33" width="7.7109375" style="49" customWidth="1"/>
    <col min="34" max="34" width="7.7109375" style="726" customWidth="1"/>
    <col min="35" max="36" width="7.7109375" style="49" customWidth="1"/>
    <col min="37" max="37" width="7.7109375" style="726" customWidth="1"/>
    <col min="38" max="38" width="7.7109375" style="49" customWidth="1"/>
    <col min="39" max="39" width="7.7109375" style="726" customWidth="1"/>
    <col min="40" max="40" width="7.7109375" style="49" customWidth="1"/>
    <col min="41" max="41" width="7.7109375" style="726" customWidth="1"/>
    <col min="42" max="42" width="7.7109375" style="49" customWidth="1"/>
    <col min="43" max="43" width="7.7109375" style="726" customWidth="1"/>
    <col min="44" max="44" width="7.7109375" style="49" customWidth="1"/>
    <col min="45" max="45" width="7.7109375" style="726" customWidth="1"/>
    <col min="46" max="47" width="7.7109375" style="49" customWidth="1"/>
    <col min="48" max="48" width="7.7109375" style="726" customWidth="1"/>
    <col min="49" max="49" width="7.7109375" style="49" customWidth="1"/>
    <col min="50" max="50" width="7.7109375" style="726" customWidth="1"/>
    <col min="51" max="51" width="7.7109375" style="49" customWidth="1"/>
    <col min="52" max="52" width="7.7109375" style="726" customWidth="1"/>
    <col min="53" max="53" width="7.7109375" style="49" customWidth="1"/>
    <col min="54" max="54" width="7.7109375" style="726" customWidth="1"/>
    <col min="55" max="55" width="7.7109375" style="49" customWidth="1"/>
    <col min="56" max="56" width="7.7109375" style="726" customWidth="1"/>
    <col min="57" max="57" width="7.7109375" style="49" customWidth="1"/>
    <col min="58" max="58" width="2.7109375" style="48" customWidth="1"/>
    <col min="59" max="63" width="9.140625" style="48"/>
    <col min="64" max="16384" width="9.140625" style="675"/>
  </cols>
  <sheetData>
    <row r="1" spans="1:88" ht="16.5" thickBot="1">
      <c r="A1" s="5338" t="str">
        <f>+'1. Обща информация'!B40</f>
        <v>Фиксиран курс на лева към 1 евро</v>
      </c>
      <c r="B1" s="5339"/>
      <c r="C1" s="5340"/>
      <c r="D1" s="5455">
        <f>+'1. Обща информация'!$C$40</f>
        <v>1.95583</v>
      </c>
      <c r="E1" s="5456"/>
      <c r="F1" s="3197"/>
      <c r="G1" s="3196"/>
      <c r="H1" s="3197"/>
      <c r="I1" s="3196"/>
      <c r="J1" s="3197"/>
      <c r="K1" s="3196"/>
      <c r="L1" s="3197"/>
      <c r="M1" s="3196"/>
      <c r="N1" s="3196"/>
      <c r="O1" s="3197"/>
      <c r="P1" s="3196"/>
      <c r="Q1" s="3197"/>
      <c r="R1" s="3196"/>
      <c r="S1" s="3197"/>
      <c r="T1" s="3196"/>
      <c r="U1" s="3197"/>
      <c r="V1" s="3289"/>
      <c r="W1" s="3289"/>
      <c r="X1" s="3290" t="s">
        <v>189</v>
      </c>
      <c r="Y1" s="3289"/>
      <c r="Z1" s="3289"/>
      <c r="AA1" s="3289"/>
      <c r="AB1" s="3289"/>
      <c r="AC1" s="3289"/>
      <c r="AD1" s="3289"/>
      <c r="AE1" s="3289"/>
      <c r="AF1" s="3289"/>
      <c r="AH1" s="3291"/>
      <c r="AI1" s="3196"/>
      <c r="AJ1" s="3196"/>
      <c r="AK1" s="3291"/>
      <c r="AL1" s="3196"/>
      <c r="AM1" s="3291"/>
      <c r="AN1" s="3196"/>
      <c r="AO1" s="3291"/>
      <c r="AP1" s="3196"/>
      <c r="AQ1" s="3291"/>
      <c r="AR1" s="3196"/>
      <c r="AS1" s="3291"/>
      <c r="AT1" s="3196"/>
      <c r="AU1" s="3196"/>
      <c r="AV1" s="3291"/>
      <c r="AW1" s="3196"/>
      <c r="AX1" s="3291"/>
      <c r="AY1" s="3196"/>
      <c r="AZ1" s="3291"/>
      <c r="BA1" s="3196"/>
      <c r="BB1" s="3291"/>
      <c r="BC1" s="3196"/>
      <c r="BD1" s="3291"/>
      <c r="BE1" s="3196"/>
      <c r="BG1" s="674"/>
      <c r="BH1" s="674"/>
    </row>
    <row r="2" spans="1:88" ht="18.75" customHeight="1">
      <c r="A2" s="5373" t="s">
        <v>1473</v>
      </c>
      <c r="B2" s="5373"/>
      <c r="C2" s="5373"/>
      <c r="D2" s="5373"/>
      <c r="E2" s="5373"/>
      <c r="F2" s="5373"/>
      <c r="G2" s="5373"/>
      <c r="H2" s="5373"/>
      <c r="I2" s="5373"/>
      <c r="J2" s="5373"/>
      <c r="K2" s="5373"/>
      <c r="L2" s="5373"/>
      <c r="M2" s="5373"/>
      <c r="N2" s="5373"/>
      <c r="O2" s="5373"/>
      <c r="P2" s="5373"/>
      <c r="Q2" s="5373"/>
      <c r="R2" s="5373"/>
      <c r="S2" s="5373"/>
      <c r="T2" s="5373"/>
      <c r="U2" s="5373"/>
      <c r="V2" s="5373"/>
      <c r="W2" s="5373"/>
      <c r="X2" s="5373"/>
      <c r="Y2" s="676"/>
      <c r="Z2" s="676"/>
      <c r="AA2" s="676"/>
      <c r="AB2" s="676"/>
      <c r="AC2" s="676"/>
      <c r="AD2" s="676"/>
      <c r="AE2" s="676"/>
      <c r="AF2" s="676"/>
      <c r="AG2" s="676"/>
      <c r="AH2" s="676"/>
      <c r="AI2" s="676"/>
      <c r="AJ2" s="676"/>
      <c r="AK2" s="729"/>
      <c r="AL2" s="676"/>
      <c r="AM2" s="729"/>
      <c r="AN2" s="676"/>
      <c r="AO2" s="729"/>
      <c r="AP2" s="676"/>
      <c r="AQ2" s="729"/>
      <c r="AR2" s="676"/>
      <c r="AS2" s="729"/>
      <c r="AT2" s="676"/>
      <c r="AU2" s="676"/>
      <c r="AV2" s="729"/>
      <c r="AW2" s="676"/>
      <c r="AX2" s="729"/>
      <c r="AY2" s="676"/>
      <c r="AZ2" s="729"/>
      <c r="BA2" s="676"/>
      <c r="BB2" s="729"/>
      <c r="BC2" s="676"/>
      <c r="BD2" s="729"/>
      <c r="BE2" s="676"/>
      <c r="BF2" s="677"/>
      <c r="BG2" s="678"/>
      <c r="BH2" s="674"/>
      <c r="BI2" s="677"/>
      <c r="BJ2" s="677"/>
      <c r="BK2" s="677"/>
    </row>
    <row r="3" spans="1:88" ht="18.75" customHeight="1">
      <c r="A3" s="5373" t="s">
        <v>1740</v>
      </c>
      <c r="B3" s="5373"/>
      <c r="C3" s="5373"/>
      <c r="D3" s="5373"/>
      <c r="E3" s="5373"/>
      <c r="F3" s="5373"/>
      <c r="G3" s="5373"/>
      <c r="H3" s="5373"/>
      <c r="I3" s="5373"/>
      <c r="J3" s="5373"/>
      <c r="K3" s="5373"/>
      <c r="L3" s="5373"/>
      <c r="M3" s="5373"/>
      <c r="N3" s="5373"/>
      <c r="O3" s="5373"/>
      <c r="P3" s="5373"/>
      <c r="Q3" s="5373"/>
      <c r="R3" s="5373"/>
      <c r="S3" s="5373"/>
      <c r="T3" s="5373"/>
      <c r="U3" s="5373"/>
      <c r="V3" s="5373"/>
      <c r="W3" s="5373"/>
      <c r="X3" s="5373"/>
      <c r="Y3" s="676"/>
      <c r="Z3" s="676"/>
      <c r="AA3" s="676"/>
      <c r="AB3" s="676"/>
      <c r="AC3" s="676"/>
      <c r="AD3" s="676"/>
      <c r="AE3" s="676"/>
      <c r="AF3" s="676"/>
      <c r="AG3" s="676"/>
      <c r="AH3" s="676"/>
      <c r="AI3" s="676"/>
      <c r="AJ3" s="3200"/>
      <c r="AK3" s="3292"/>
      <c r="AL3" s="3200"/>
      <c r="AM3" s="3292"/>
      <c r="AN3" s="3200"/>
      <c r="AO3" s="3292"/>
      <c r="AP3" s="3200"/>
      <c r="AQ3" s="3292"/>
      <c r="AR3" s="3200"/>
      <c r="AS3" s="3292"/>
      <c r="AT3" s="3200"/>
      <c r="AU3" s="3200"/>
      <c r="AV3" s="3292"/>
      <c r="AW3" s="3200"/>
      <c r="AX3" s="3292"/>
      <c r="AY3" s="3200"/>
      <c r="AZ3" s="3292"/>
      <c r="BA3" s="3200"/>
      <c r="BB3" s="3292"/>
      <c r="BC3" s="3200"/>
      <c r="BD3" s="3292"/>
      <c r="BE3" s="3200"/>
      <c r="BG3" s="678"/>
      <c r="BH3" s="674"/>
    </row>
    <row r="4" spans="1:88" ht="15.75">
      <c r="A4" s="5393" t="str">
        <f>'1. Обща информация'!A4:D4</f>
        <v>на "ВОДОСНАБДЯВАНЕ И КАНАЛИЗАЦИЯ" ЕООД, гр. БЛАГОЕВГРАД</v>
      </c>
      <c r="B4" s="5393"/>
      <c r="C4" s="5393"/>
      <c r="D4" s="5393"/>
      <c r="E4" s="5393"/>
      <c r="F4" s="5393"/>
      <c r="G4" s="5393"/>
      <c r="H4" s="5393"/>
      <c r="I4" s="5393"/>
      <c r="J4" s="5393"/>
      <c r="K4" s="5393"/>
      <c r="L4" s="5393"/>
      <c r="M4" s="5393"/>
      <c r="N4" s="5393"/>
      <c r="O4" s="5393"/>
      <c r="P4" s="5393"/>
      <c r="Q4" s="5393"/>
      <c r="R4" s="5393"/>
      <c r="S4" s="5393"/>
      <c r="T4" s="5393"/>
      <c r="U4" s="5393"/>
      <c r="V4" s="5393"/>
      <c r="W4" s="5393"/>
      <c r="X4" s="5393"/>
      <c r="Y4" s="3200"/>
      <c r="Z4" s="3200"/>
      <c r="AA4" s="3200"/>
      <c r="AB4" s="3200"/>
      <c r="AC4" s="3200"/>
      <c r="AD4" s="3200"/>
      <c r="AE4" s="3200"/>
      <c r="AF4" s="3200"/>
      <c r="AG4" s="3200"/>
      <c r="AH4" s="3200"/>
      <c r="AI4" s="3200"/>
      <c r="AJ4" s="3200"/>
      <c r="AK4" s="3292"/>
      <c r="AL4" s="3200"/>
      <c r="AM4" s="3292"/>
      <c r="AN4" s="3200"/>
      <c r="AO4" s="3292"/>
      <c r="AP4" s="3200"/>
      <c r="AQ4" s="3292"/>
      <c r="AR4" s="3200"/>
      <c r="AS4" s="3292"/>
      <c r="AT4" s="3200"/>
      <c r="AU4" s="3200"/>
      <c r="AV4" s="3293"/>
      <c r="AW4" s="3202"/>
      <c r="AX4" s="3293"/>
      <c r="AY4" s="3202"/>
      <c r="AZ4" s="3293"/>
      <c r="BA4" s="3202"/>
      <c r="BB4" s="3293"/>
      <c r="BC4" s="3202"/>
      <c r="BD4" s="3293"/>
      <c r="BE4" s="3202"/>
      <c r="BG4" s="678"/>
      <c r="BH4" s="674"/>
    </row>
    <row r="5" spans="1:88" ht="15.75">
      <c r="A5" s="5393" t="str">
        <f>'1. Обща информация'!A5:D5</f>
        <v>ЕИК по БУЛСТАТ: 811047831</v>
      </c>
      <c r="B5" s="5393"/>
      <c r="C5" s="5393"/>
      <c r="D5" s="5393"/>
      <c r="E5" s="5393"/>
      <c r="F5" s="5393"/>
      <c r="G5" s="5393"/>
      <c r="H5" s="5393"/>
      <c r="I5" s="5393"/>
      <c r="J5" s="5393"/>
      <c r="K5" s="5393"/>
      <c r="L5" s="5393"/>
      <c r="M5" s="5393"/>
      <c r="N5" s="5393"/>
      <c r="O5" s="5393"/>
      <c r="P5" s="5393"/>
      <c r="Q5" s="5393"/>
      <c r="R5" s="5393"/>
      <c r="S5" s="5393"/>
      <c r="T5" s="5393"/>
      <c r="U5" s="5393"/>
      <c r="V5" s="5393"/>
      <c r="W5" s="5393"/>
      <c r="X5" s="5393"/>
      <c r="Y5" s="3200"/>
      <c r="Z5" s="3200"/>
      <c r="AA5" s="3200"/>
      <c r="AB5" s="3200"/>
      <c r="AC5" s="3200"/>
      <c r="AD5" s="3200"/>
      <c r="AE5" s="3200"/>
      <c r="AF5" s="3200"/>
      <c r="AG5" s="3200"/>
      <c r="AH5" s="3200"/>
      <c r="AI5" s="3200"/>
      <c r="AJ5" s="2994"/>
      <c r="AK5" s="3294"/>
      <c r="AL5" s="2994"/>
      <c r="AM5" s="3294"/>
      <c r="AN5" s="2994"/>
      <c r="AO5" s="3294"/>
      <c r="AP5" s="2994"/>
      <c r="AQ5" s="3294"/>
      <c r="AR5" s="2994"/>
      <c r="AS5" s="3294"/>
      <c r="AT5" s="2994"/>
      <c r="AU5" s="2994"/>
      <c r="AV5" s="3295"/>
      <c r="AW5" s="3204"/>
      <c r="AX5" s="3295"/>
      <c r="AY5" s="3204"/>
      <c r="AZ5" s="3295"/>
      <c r="BA5" s="3204"/>
      <c r="BB5" s="3295"/>
      <c r="BC5" s="3204"/>
      <c r="BD5" s="3295"/>
      <c r="BE5" s="3204"/>
      <c r="BF5" s="655"/>
      <c r="BG5" s="655"/>
      <c r="BI5" s="674"/>
      <c r="BL5" s="48"/>
    </row>
    <row r="6" spans="1:88" ht="15.75" thickBot="1">
      <c r="A6" s="680"/>
      <c r="B6" s="680"/>
      <c r="C6" s="680"/>
      <c r="D6" s="862"/>
      <c r="E6" s="682"/>
      <c r="F6" s="864"/>
      <c r="G6" s="682"/>
      <c r="H6" s="861"/>
      <c r="I6" s="683"/>
      <c r="J6" s="861"/>
      <c r="K6" s="679"/>
      <c r="L6" s="861"/>
      <c r="M6" s="679"/>
      <c r="N6" s="679"/>
      <c r="O6" s="861"/>
      <c r="P6" s="682"/>
      <c r="Q6" s="864"/>
      <c r="R6" s="682"/>
      <c r="S6" s="864"/>
      <c r="T6" s="682"/>
      <c r="U6" s="864"/>
      <c r="V6" s="682"/>
      <c r="W6" s="3197"/>
      <c r="X6" s="3196"/>
      <c r="Y6" s="3196"/>
      <c r="Z6" s="3291"/>
      <c r="AA6" s="3196"/>
      <c r="AB6" s="3291"/>
      <c r="AC6" s="3196"/>
      <c r="AD6" s="3291"/>
      <c r="AE6" s="3196"/>
      <c r="AF6" s="3291"/>
      <c r="AG6" s="682"/>
      <c r="AH6" s="3208"/>
      <c r="AI6" s="682"/>
      <c r="AJ6" s="682"/>
      <c r="AK6" s="3291"/>
      <c r="AL6" s="3196"/>
      <c r="AM6" s="3291"/>
      <c r="AN6" s="3196"/>
      <c r="AO6" s="3291"/>
      <c r="AP6" s="3196"/>
      <c r="AQ6" s="3291"/>
      <c r="AR6" s="3196"/>
      <c r="AS6" s="728"/>
      <c r="AT6" s="682"/>
      <c r="AU6" s="682"/>
      <c r="AV6" s="3296"/>
      <c r="AW6" s="3209"/>
      <c r="AX6" s="3296"/>
      <c r="AY6" s="3209"/>
      <c r="AZ6" s="3296"/>
      <c r="BA6" s="3209"/>
      <c r="BB6" s="3296"/>
      <c r="BC6" s="3209"/>
      <c r="BD6" s="730"/>
      <c r="BE6" s="3208" t="s">
        <v>190</v>
      </c>
      <c r="BG6" s="678"/>
      <c r="BH6" s="674"/>
      <c r="CJ6" s="2558" t="s">
        <v>1891</v>
      </c>
    </row>
    <row r="7" spans="1:88" ht="15.75" customHeight="1" thickBot="1">
      <c r="A7" s="5477" t="s">
        <v>1</v>
      </c>
      <c r="B7" s="5480" t="s">
        <v>223</v>
      </c>
      <c r="C7" s="5370"/>
      <c r="D7" s="5371"/>
      <c r="E7" s="5371"/>
      <c r="F7" s="5371"/>
      <c r="G7" s="5371"/>
      <c r="H7" s="5371"/>
      <c r="I7" s="5371"/>
      <c r="J7" s="5371"/>
      <c r="K7" s="5371"/>
      <c r="L7" s="5371"/>
      <c r="M7" s="5371"/>
      <c r="N7" s="5371"/>
      <c r="O7" s="5371"/>
      <c r="P7" s="5371"/>
      <c r="Q7" s="5371"/>
      <c r="R7" s="5371"/>
      <c r="S7" s="5371"/>
      <c r="T7" s="5371"/>
      <c r="U7" s="5371"/>
      <c r="V7" s="5371"/>
      <c r="W7" s="5371"/>
      <c r="X7" s="5371"/>
      <c r="Y7" s="5371"/>
      <c r="Z7" s="5371"/>
      <c r="AA7" s="5371"/>
      <c r="AB7" s="5371"/>
      <c r="AC7" s="5371"/>
      <c r="AD7" s="5371"/>
      <c r="AE7" s="5371"/>
      <c r="AF7" s="5371"/>
      <c r="AG7" s="5371"/>
      <c r="AH7" s="5371"/>
      <c r="AI7" s="5371"/>
      <c r="AJ7" s="5371"/>
      <c r="AK7" s="5371"/>
      <c r="AL7" s="5371"/>
      <c r="AM7" s="5371"/>
      <c r="AN7" s="5371"/>
      <c r="AO7" s="5371"/>
      <c r="AP7" s="5371"/>
      <c r="AQ7" s="5371"/>
      <c r="AR7" s="5371"/>
      <c r="AS7" s="5371"/>
      <c r="AT7" s="5371"/>
      <c r="AU7" s="5371"/>
      <c r="AV7" s="5371"/>
      <c r="AW7" s="5371"/>
      <c r="AX7" s="5371"/>
      <c r="AY7" s="5371"/>
      <c r="AZ7" s="5371"/>
      <c r="BA7" s="5371"/>
      <c r="BB7" s="5371"/>
      <c r="BC7" s="5371"/>
      <c r="BD7" s="5371"/>
      <c r="BE7" s="1625"/>
      <c r="BF7" s="4775"/>
      <c r="BG7" s="5492"/>
      <c r="BH7" s="5493"/>
      <c r="BI7" s="5493"/>
      <c r="BJ7" s="5493"/>
      <c r="BK7" s="5493"/>
      <c r="BL7" s="5493"/>
      <c r="BM7" s="5493"/>
      <c r="BN7" s="5493"/>
      <c r="BO7" s="5493"/>
      <c r="BP7" s="5493"/>
      <c r="BQ7" s="5493"/>
      <c r="BR7" s="5493"/>
      <c r="BS7" s="5493"/>
      <c r="BT7" s="5493"/>
      <c r="BU7" s="5493"/>
      <c r="BV7" s="5493"/>
      <c r="BW7" s="5493"/>
      <c r="BX7" s="5493"/>
      <c r="BY7" s="5493"/>
      <c r="BZ7" s="5493"/>
      <c r="CA7" s="5493"/>
      <c r="CB7" s="5493"/>
      <c r="CC7" s="5493"/>
      <c r="CD7" s="5493"/>
      <c r="CE7" s="5493"/>
      <c r="CF7" s="5493"/>
      <c r="CG7" s="5493"/>
      <c r="CH7" s="5493"/>
      <c r="CI7" s="5493"/>
      <c r="CJ7" s="5493"/>
    </row>
    <row r="8" spans="1:88" ht="15.75" customHeight="1" thickBot="1">
      <c r="A8" s="5478"/>
      <c r="B8" s="5481"/>
      <c r="C8" s="5450" t="s">
        <v>207</v>
      </c>
      <c r="D8" s="5451"/>
      <c r="E8" s="5451"/>
      <c r="F8" s="5451"/>
      <c r="G8" s="5451"/>
      <c r="H8" s="5451"/>
      <c r="I8" s="5451"/>
      <c r="J8" s="5451"/>
      <c r="K8" s="5451"/>
      <c r="L8" s="5451"/>
      <c r="M8" s="5451"/>
      <c r="N8" s="5465" t="s">
        <v>208</v>
      </c>
      <c r="O8" s="5494"/>
      <c r="P8" s="5494"/>
      <c r="Q8" s="5494"/>
      <c r="R8" s="5494"/>
      <c r="S8" s="5494"/>
      <c r="T8" s="5494"/>
      <c r="U8" s="5494"/>
      <c r="V8" s="5494"/>
      <c r="W8" s="5494"/>
      <c r="X8" s="5495"/>
      <c r="Y8" s="5450" t="s">
        <v>209</v>
      </c>
      <c r="Z8" s="5451"/>
      <c r="AA8" s="5451"/>
      <c r="AB8" s="5451"/>
      <c r="AC8" s="5451"/>
      <c r="AD8" s="5451"/>
      <c r="AE8" s="5451"/>
      <c r="AF8" s="5451"/>
      <c r="AG8" s="5451"/>
      <c r="AH8" s="5451"/>
      <c r="AI8" s="5452"/>
      <c r="AJ8" s="5450" t="s">
        <v>1216</v>
      </c>
      <c r="AK8" s="5451"/>
      <c r="AL8" s="5451"/>
      <c r="AM8" s="5451"/>
      <c r="AN8" s="5451"/>
      <c r="AO8" s="5451"/>
      <c r="AP8" s="5451"/>
      <c r="AQ8" s="5451"/>
      <c r="AR8" s="5451"/>
      <c r="AS8" s="5451"/>
      <c r="AT8" s="5452"/>
      <c r="AU8" s="5450" t="s">
        <v>1217</v>
      </c>
      <c r="AV8" s="5451"/>
      <c r="AW8" s="5451"/>
      <c r="AX8" s="5451"/>
      <c r="AY8" s="5451"/>
      <c r="AZ8" s="5451"/>
      <c r="BA8" s="5451"/>
      <c r="BB8" s="5451"/>
      <c r="BC8" s="5451"/>
      <c r="BD8" s="5451"/>
      <c r="BE8" s="5452"/>
      <c r="BF8" s="4775"/>
      <c r="BG8" s="5460" t="s">
        <v>207</v>
      </c>
      <c r="BH8" s="5460"/>
      <c r="BI8" s="5460"/>
      <c r="BJ8" s="5460"/>
      <c r="BK8" s="5460"/>
      <c r="BL8" s="5460"/>
      <c r="BM8" s="5491" t="s">
        <v>208</v>
      </c>
      <c r="BN8" s="5491"/>
      <c r="BO8" s="5491"/>
      <c r="BP8" s="5491"/>
      <c r="BQ8" s="5491"/>
      <c r="BR8" s="5491"/>
      <c r="BS8" s="5460" t="s">
        <v>209</v>
      </c>
      <c r="BT8" s="5460"/>
      <c r="BU8" s="5460"/>
      <c r="BV8" s="5460"/>
      <c r="BW8" s="5460"/>
      <c r="BX8" s="5460"/>
      <c r="BY8" s="5460" t="s">
        <v>1216</v>
      </c>
      <c r="BZ8" s="5460"/>
      <c r="CA8" s="5460"/>
      <c r="CB8" s="5460"/>
      <c r="CC8" s="5460"/>
      <c r="CD8" s="5460"/>
      <c r="CE8" s="5460" t="s">
        <v>1217</v>
      </c>
      <c r="CF8" s="5460"/>
      <c r="CG8" s="5460"/>
      <c r="CH8" s="5460"/>
      <c r="CI8" s="5460"/>
      <c r="CJ8" s="5460"/>
    </row>
    <row r="9" spans="1:88" ht="24.75" customHeight="1" thickBot="1">
      <c r="A9" s="5478"/>
      <c r="B9" s="5481"/>
      <c r="C9" s="923" t="str">
        <f>'Приложение '!$C12:$D12</f>
        <v>2024 г.</v>
      </c>
      <c r="D9" s="5475" t="str">
        <f>'Приложение '!C14</f>
        <v>2027 г.</v>
      </c>
      <c r="E9" s="5463"/>
      <c r="F9" s="5476" t="str">
        <f>'Приложение '!C15</f>
        <v>2028 г.</v>
      </c>
      <c r="G9" s="5463"/>
      <c r="H9" s="5476" t="str">
        <f>'Приложение '!C16</f>
        <v>2029 г.</v>
      </c>
      <c r="I9" s="5463"/>
      <c r="J9" s="5462" t="str">
        <f>'Приложение '!C17</f>
        <v>2030 г.</v>
      </c>
      <c r="K9" s="5463"/>
      <c r="L9" s="5462" t="str">
        <f>'Приложение '!C18</f>
        <v>2031 г.</v>
      </c>
      <c r="M9" s="5464"/>
      <c r="N9" s="923" t="str">
        <f>'Приложение '!$C12</f>
        <v>2024 г.</v>
      </c>
      <c r="O9" s="5465" t="str">
        <f>'Приложение '!$C14</f>
        <v>2027 г.</v>
      </c>
      <c r="P9" s="5463"/>
      <c r="Q9" s="5462" t="str">
        <f>'Приложение '!$C15</f>
        <v>2028 г.</v>
      </c>
      <c r="R9" s="5463"/>
      <c r="S9" s="5462" t="str">
        <f>'Приложение '!$C16</f>
        <v>2029 г.</v>
      </c>
      <c r="T9" s="5463"/>
      <c r="U9" s="5462" t="str">
        <f>'Приложение '!$C17</f>
        <v>2030 г.</v>
      </c>
      <c r="V9" s="5463"/>
      <c r="W9" s="5462" t="str">
        <f>'Приложение '!$C18</f>
        <v>2031 г.</v>
      </c>
      <c r="X9" s="5464"/>
      <c r="Y9" s="923" t="str">
        <f>'Приложение '!$C12</f>
        <v>2024 г.</v>
      </c>
      <c r="Z9" s="5490" t="str">
        <f>'Приложение '!$C14</f>
        <v>2027 г.</v>
      </c>
      <c r="AA9" s="5463"/>
      <c r="AB9" s="5476" t="str">
        <f>'Приложение '!$C15</f>
        <v>2028 г.</v>
      </c>
      <c r="AC9" s="5463"/>
      <c r="AD9" s="5476" t="str">
        <f>'Приложение '!$C16</f>
        <v>2029 г.</v>
      </c>
      <c r="AE9" s="5463"/>
      <c r="AF9" s="5476" t="str">
        <f>'Приложение '!$C17</f>
        <v>2030 г.</v>
      </c>
      <c r="AG9" s="5463" t="str">
        <f>'Приложение '!$C18</f>
        <v>2031 г.</v>
      </c>
      <c r="AH9" s="5476" t="str">
        <f>'Приложение '!$C18</f>
        <v>2031 г.</v>
      </c>
      <c r="AI9" s="5464"/>
      <c r="AJ9" s="923" t="str">
        <f>'Приложение '!$C12</f>
        <v>2024 г.</v>
      </c>
      <c r="AK9" s="5475" t="str">
        <f>'Приложение '!$C14</f>
        <v>2027 г.</v>
      </c>
      <c r="AL9" s="5463"/>
      <c r="AM9" s="5476" t="str">
        <f>'Приложение '!$C15</f>
        <v>2028 г.</v>
      </c>
      <c r="AN9" s="5463"/>
      <c r="AO9" s="5476" t="str">
        <f>'Приложение '!$C16</f>
        <v>2029 г.</v>
      </c>
      <c r="AP9" s="5463"/>
      <c r="AQ9" s="5476" t="str">
        <f>'Приложение '!$C17</f>
        <v>2030 г.</v>
      </c>
      <c r="AR9" s="5463"/>
      <c r="AS9" s="5476" t="str">
        <f>'Приложение '!$C18</f>
        <v>2031 г.</v>
      </c>
      <c r="AT9" s="5464"/>
      <c r="AU9" s="923" t="str">
        <f>'Приложение '!$C12</f>
        <v>2024 г.</v>
      </c>
      <c r="AV9" s="5490" t="str">
        <f>'Приложение '!$C14</f>
        <v>2027 г.</v>
      </c>
      <c r="AW9" s="5463"/>
      <c r="AX9" s="5476" t="str">
        <f>'Приложение '!$C15</f>
        <v>2028 г.</v>
      </c>
      <c r="AY9" s="5463"/>
      <c r="AZ9" s="5476" t="str">
        <f>'Приложение '!$C16</f>
        <v>2029 г.</v>
      </c>
      <c r="BA9" s="5463"/>
      <c r="BB9" s="5476" t="str">
        <f>'Приложение '!$C17</f>
        <v>2030 г.</v>
      </c>
      <c r="BC9" s="5463"/>
      <c r="BD9" s="5476" t="str">
        <f>'Приложение '!$C18</f>
        <v>2031 г.</v>
      </c>
      <c r="BE9" s="5464"/>
      <c r="BF9" s="4775"/>
      <c r="BG9" s="4820" t="str">
        <f>+C9</f>
        <v>2024 г.</v>
      </c>
      <c r="BH9" s="4814" t="str">
        <f>+D9</f>
        <v>2027 г.</v>
      </c>
      <c r="BI9" s="4814" t="str">
        <f>+F9</f>
        <v>2028 г.</v>
      </c>
      <c r="BJ9" s="4814" t="str">
        <f>+H9</f>
        <v>2029 г.</v>
      </c>
      <c r="BK9" s="4814" t="str">
        <f>+J9</f>
        <v>2030 г.</v>
      </c>
      <c r="BL9" s="4814" t="str">
        <f>+L9</f>
        <v>2031 г.</v>
      </c>
      <c r="BM9" s="4820" t="str">
        <f>'Приложение '!$C12</f>
        <v>2024 г.</v>
      </c>
      <c r="BN9" s="4824" t="str">
        <f>'Приложение '!$C14</f>
        <v>2027 г.</v>
      </c>
      <c r="BO9" s="4824" t="str">
        <f>'Приложение '!$C15</f>
        <v>2028 г.</v>
      </c>
      <c r="BP9" s="4824" t="str">
        <f>'Приложение '!$C16</f>
        <v>2029 г.</v>
      </c>
      <c r="BQ9" s="4824" t="str">
        <f>'Приложение '!$C17</f>
        <v>2030 г.</v>
      </c>
      <c r="BR9" s="4824" t="str">
        <f>'Приложение '!$C18</f>
        <v>2031 г.</v>
      </c>
      <c r="BS9" s="4820" t="str">
        <f>'Приложение '!$C12</f>
        <v>2024 г.</v>
      </c>
      <c r="BT9" s="4814" t="str">
        <f>'Приложение '!$C14</f>
        <v>2027 г.</v>
      </c>
      <c r="BU9" s="4814" t="str">
        <f>'Приложение '!$C15</f>
        <v>2028 г.</v>
      </c>
      <c r="BV9" s="4814" t="str">
        <f>'Приложение '!$C16</f>
        <v>2029 г.</v>
      </c>
      <c r="BW9" s="4814" t="str">
        <f>'Приложение '!$C17</f>
        <v>2030 г.</v>
      </c>
      <c r="BX9" s="4814" t="str">
        <f>'Приложение '!$C18</f>
        <v>2031 г.</v>
      </c>
      <c r="BY9" s="4820" t="str">
        <f>'Приложение '!$C12</f>
        <v>2024 г.</v>
      </c>
      <c r="BZ9" s="4814" t="str">
        <f>'Приложение '!$C14</f>
        <v>2027 г.</v>
      </c>
      <c r="CA9" s="4814" t="str">
        <f>'Приложение '!$C15</f>
        <v>2028 г.</v>
      </c>
      <c r="CB9" s="4814" t="str">
        <f>'Приложение '!$C16</f>
        <v>2029 г.</v>
      </c>
      <c r="CC9" s="4814" t="str">
        <f>'Приложение '!$C17</f>
        <v>2030 г.</v>
      </c>
      <c r="CD9" s="4814" t="str">
        <f>'Приложение '!$C18</f>
        <v>2031 г.</v>
      </c>
      <c r="CE9" s="4820" t="str">
        <f>'Приложение '!$C12</f>
        <v>2024 г.</v>
      </c>
      <c r="CF9" s="4814" t="str">
        <f>'Приложение '!$C14</f>
        <v>2027 г.</v>
      </c>
      <c r="CG9" s="4814" t="str">
        <f>'Приложение '!$C15</f>
        <v>2028 г.</v>
      </c>
      <c r="CH9" s="4814" t="str">
        <f>'Приложение '!$C16</f>
        <v>2029 г.</v>
      </c>
      <c r="CI9" s="4814" t="str">
        <f>'Приложение '!$C17</f>
        <v>2030 г.</v>
      </c>
      <c r="CJ9" s="4814" t="str">
        <f>'Приложение '!$C18</f>
        <v>2031 г.</v>
      </c>
    </row>
    <row r="10" spans="1:88" ht="51.75" customHeight="1" thickBot="1">
      <c r="A10" s="5479"/>
      <c r="B10" s="5482"/>
      <c r="C10" s="1128" t="s">
        <v>1744</v>
      </c>
      <c r="D10" s="4511" t="str">
        <f>CONCATENATE("разлика "," спрямо ",$C$9)</f>
        <v>разлика  спрямо 2024 г.</v>
      </c>
      <c r="E10" s="4512" t="str">
        <f>CONCATENATE("изменение в %"," спрямо ",$C$9)</f>
        <v>изменение в % спрямо 2024 г.</v>
      </c>
      <c r="F10" s="4512" t="str">
        <f>CONCATENATE("разлика "," спрямо ",$C$9)</f>
        <v>разлика  спрямо 2024 г.</v>
      </c>
      <c r="G10" s="4512" t="str">
        <f>CONCATENATE("изменение в %"," спрямо ",$C$9)</f>
        <v>изменение в % спрямо 2024 г.</v>
      </c>
      <c r="H10" s="4512" t="str">
        <f>CONCATENATE("разлика "," спрямо ",$C$9)</f>
        <v>разлика  спрямо 2024 г.</v>
      </c>
      <c r="I10" s="4512" t="str">
        <f>CONCATENATE("изменение в %"," спрямо ",$C$9)</f>
        <v>изменение в % спрямо 2024 г.</v>
      </c>
      <c r="J10" s="4512" t="str">
        <f>CONCATENATE("разлика "," спрямо ",$C$9)</f>
        <v>разлика  спрямо 2024 г.</v>
      </c>
      <c r="K10" s="4511" t="str">
        <f>CONCATENATE("изменение в %"," спрямо ",$C$9)</f>
        <v>изменение в % спрямо 2024 г.</v>
      </c>
      <c r="L10" s="4512" t="str">
        <f>CONCATENATE("разлика "," спрямо ",$C$9)</f>
        <v>разлика  спрямо 2024 г.</v>
      </c>
      <c r="M10" s="4511" t="str">
        <f>CONCATENATE("изменение в %"," спрямо ",$C$9)</f>
        <v>изменение в % спрямо 2024 г.</v>
      </c>
      <c r="N10" s="1128" t="str">
        <f>C10</f>
        <v>Базова година</v>
      </c>
      <c r="O10" s="4511" t="str">
        <f>CONCATENATE("разлика "," спрямо ",$C$9)</f>
        <v>разлика  спрямо 2024 г.</v>
      </c>
      <c r="P10" s="4512" t="str">
        <f>CONCATENATE("изменение в %"," спрямо ",$C$9)</f>
        <v>изменение в % спрямо 2024 г.</v>
      </c>
      <c r="Q10" s="4512" t="str">
        <f>CONCATENATE("разлика "," спрямо ",$C$9)</f>
        <v>разлика  спрямо 2024 г.</v>
      </c>
      <c r="R10" s="4512" t="str">
        <f>CONCATENATE("изменение в %"," спрямо ",$C$9)</f>
        <v>изменение в % спрямо 2024 г.</v>
      </c>
      <c r="S10" s="4512" t="str">
        <f>CONCATENATE("разлика "," спрямо ",$C$9)</f>
        <v>разлика  спрямо 2024 г.</v>
      </c>
      <c r="T10" s="4512" t="str">
        <f>CONCATENATE("изменение в %"," спрямо ",$C$9)</f>
        <v>изменение в % спрямо 2024 г.</v>
      </c>
      <c r="U10" s="4512" t="str">
        <f>CONCATENATE("разлика "," спрямо ",$C$9)</f>
        <v>разлика  спрямо 2024 г.</v>
      </c>
      <c r="V10" s="4511" t="str">
        <f>CONCATENATE("изменение в %"," спрямо ",$C$9)</f>
        <v>изменение в % спрямо 2024 г.</v>
      </c>
      <c r="W10" s="4512" t="str">
        <f>CONCATENATE("разлика "," спрямо ",$C$9)</f>
        <v>разлика  спрямо 2024 г.</v>
      </c>
      <c r="X10" s="4513" t="str">
        <f>CONCATENATE("изменение в %"," спрямо ",$C$9)</f>
        <v>изменение в % спрямо 2024 г.</v>
      </c>
      <c r="Y10" s="1128" t="str">
        <f>C10</f>
        <v>Базова година</v>
      </c>
      <c r="Z10" s="4514" t="str">
        <f>CONCATENATE("разлика "," спрямо ",$C$9)</f>
        <v>разлика  спрямо 2024 г.</v>
      </c>
      <c r="AA10" s="4512" t="str">
        <f>CONCATENATE("изменение в %"," спрямо ",$C$9)</f>
        <v>изменение в % спрямо 2024 г.</v>
      </c>
      <c r="AB10" s="4515" t="str">
        <f>CONCATENATE("разлика "," спрямо ",$C$9)</f>
        <v>разлика  спрямо 2024 г.</v>
      </c>
      <c r="AC10" s="4512" t="str">
        <f>CONCATENATE("изменение в %"," спрямо ",$C$9)</f>
        <v>изменение в % спрямо 2024 г.</v>
      </c>
      <c r="AD10" s="4515" t="str">
        <f>CONCATENATE("разлика "," спрямо ",$C$9)</f>
        <v>разлика  спрямо 2024 г.</v>
      </c>
      <c r="AE10" s="4512" t="str">
        <f>CONCATENATE("изменение в %"," спрямо ",$C$9)</f>
        <v>изменение в % спрямо 2024 г.</v>
      </c>
      <c r="AF10" s="4515" t="str">
        <f>CONCATENATE("разлика "," спрямо ",$C$9)</f>
        <v>разлика  спрямо 2024 г.</v>
      </c>
      <c r="AG10" s="4511" t="str">
        <f>CONCATENATE("изменение в %"," спрямо ",$C$9)</f>
        <v>изменение в % спрямо 2024 г.</v>
      </c>
      <c r="AH10" s="4515" t="str">
        <f>CONCATENATE("разлика "," спрямо ",$C$9)</f>
        <v>разлика  спрямо 2024 г.</v>
      </c>
      <c r="AI10" s="4513" t="str">
        <f>CONCATENATE("изменение в %"," спрямо ",$C$9)</f>
        <v>изменение в % спрямо 2024 г.</v>
      </c>
      <c r="AJ10" s="1128" t="str">
        <f>C10</f>
        <v>Базова година</v>
      </c>
      <c r="AK10" s="4514" t="str">
        <f>CONCATENATE("разлика "," спрямо ",$C$9)</f>
        <v>разлика  спрямо 2024 г.</v>
      </c>
      <c r="AL10" s="4512" t="str">
        <f>CONCATENATE("изменение в %"," спрямо ",$C$9)</f>
        <v>изменение в % спрямо 2024 г.</v>
      </c>
      <c r="AM10" s="4515" t="str">
        <f>CONCATENATE("разлика "," спрямо ",$C$9)</f>
        <v>разлика  спрямо 2024 г.</v>
      </c>
      <c r="AN10" s="4512" t="str">
        <f>CONCATENATE("изменение в %"," спрямо ",$C$9)</f>
        <v>изменение в % спрямо 2024 г.</v>
      </c>
      <c r="AO10" s="4515" t="str">
        <f>CONCATENATE("разлика "," спрямо ",$C$9)</f>
        <v>разлика  спрямо 2024 г.</v>
      </c>
      <c r="AP10" s="4512" t="str">
        <f>CONCATENATE("изменение в %"," спрямо ",$C$9)</f>
        <v>изменение в % спрямо 2024 г.</v>
      </c>
      <c r="AQ10" s="4515" t="str">
        <f>CONCATENATE("разлика "," спрямо ",$C$9)</f>
        <v>разлика  спрямо 2024 г.</v>
      </c>
      <c r="AR10" s="4511" t="str">
        <f>CONCATENATE("изменение в %"," спрямо ",$C$9)</f>
        <v>изменение в % спрямо 2024 г.</v>
      </c>
      <c r="AS10" s="4515" t="str">
        <f>CONCATENATE("разлика "," спрямо ",$C$9)</f>
        <v>разлика  спрямо 2024 г.</v>
      </c>
      <c r="AT10" s="4513" t="str">
        <f>CONCATENATE("изменение в %"," спрямо ",$C$9)</f>
        <v>изменение в % спрямо 2024 г.</v>
      </c>
      <c r="AU10" s="1128" t="str">
        <f>AJ10</f>
        <v>Базова година</v>
      </c>
      <c r="AV10" s="4514" t="str">
        <f>CONCATENATE("разлика "," спрямо ",$C$9)</f>
        <v>разлика  спрямо 2024 г.</v>
      </c>
      <c r="AW10" s="4512" t="str">
        <f>CONCATENATE("изменение в %"," спрямо ",$C$9)</f>
        <v>изменение в % спрямо 2024 г.</v>
      </c>
      <c r="AX10" s="4515" t="str">
        <f>CONCATENATE("разлика "," спрямо ",$C$9)</f>
        <v>разлика  спрямо 2024 г.</v>
      </c>
      <c r="AY10" s="4512" t="str">
        <f>CONCATENATE("изменение в %"," спрямо ",$C$9)</f>
        <v>изменение в % спрямо 2024 г.</v>
      </c>
      <c r="AZ10" s="4515" t="str">
        <f>CONCATENATE("разлика "," спрямо ",$C$9)</f>
        <v>разлика  спрямо 2024 г.</v>
      </c>
      <c r="BA10" s="4512" t="str">
        <f>CONCATENATE("изменение в %"," спрямо ",$C$9)</f>
        <v>изменение в % спрямо 2024 г.</v>
      </c>
      <c r="BB10" s="4515" t="str">
        <f>CONCATENATE("разлика "," спрямо ",$C$9)</f>
        <v>разлика  спрямо 2024 г.</v>
      </c>
      <c r="BC10" s="4511" t="str">
        <f>CONCATENATE("изменение в %"," спрямо ",$C$9)</f>
        <v>изменение в % спрямо 2024 г.</v>
      </c>
      <c r="BD10" s="4515" t="str">
        <f>CONCATENATE("разлика "," спрямо ",$C$9)</f>
        <v>разлика  спрямо 2024 г.</v>
      </c>
      <c r="BE10" s="4513" t="str">
        <f>CONCATENATE("изменение в %"," спрямо ",$C$9)</f>
        <v>изменение в % спрямо 2024 г.</v>
      </c>
      <c r="BF10" s="4775"/>
      <c r="BG10" s="4821" t="s">
        <v>1744</v>
      </c>
      <c r="BH10" s="4822" t="str">
        <f>CONCATENATE("разлика "," спрямо ",$C$9)</f>
        <v>разлика  спрямо 2024 г.</v>
      </c>
      <c r="BI10" s="4822" t="str">
        <f>CONCATENATE("разлика "," спрямо ",$C$9)</f>
        <v>разлика  спрямо 2024 г.</v>
      </c>
      <c r="BJ10" s="4822" t="str">
        <f>CONCATENATE("разлика "," спрямо ",$C$9)</f>
        <v>разлика  спрямо 2024 г.</v>
      </c>
      <c r="BK10" s="4822" t="str">
        <f>CONCATENATE("разлика "," спрямо ",$C$9)</f>
        <v>разлика  спрямо 2024 г.</v>
      </c>
      <c r="BL10" s="4822" t="str">
        <f>CONCATENATE("разлика "," спрямо ",$C$9)</f>
        <v>разлика  спрямо 2024 г.</v>
      </c>
      <c r="BM10" s="4821" t="str">
        <f>BG10</f>
        <v>Базова година</v>
      </c>
      <c r="BN10" s="4822" t="str">
        <f>CONCATENATE("разлика "," спрямо ",$C$9)</f>
        <v>разлика  спрямо 2024 г.</v>
      </c>
      <c r="BO10" s="4822" t="str">
        <f>CONCATENATE("разлика "," спрямо ",$C$9)</f>
        <v>разлика  спрямо 2024 г.</v>
      </c>
      <c r="BP10" s="4822" t="str">
        <f>CONCATENATE("разлика "," спрямо ",$C$9)</f>
        <v>разлика  спрямо 2024 г.</v>
      </c>
      <c r="BQ10" s="4822" t="str">
        <f>CONCATENATE("разлика "," спрямо ",$C$9)</f>
        <v>разлика  спрямо 2024 г.</v>
      </c>
      <c r="BR10" s="4822" t="str">
        <f>CONCATENATE("разлика "," спрямо ",$C$9)</f>
        <v>разлика  спрямо 2024 г.</v>
      </c>
      <c r="BS10" s="4821" t="str">
        <f>BG10</f>
        <v>Базова година</v>
      </c>
      <c r="BT10" s="4823" t="str">
        <f>CONCATENATE("разлика "," спрямо ",$C$9)</f>
        <v>разлика  спрямо 2024 г.</v>
      </c>
      <c r="BU10" s="4823" t="str">
        <f>CONCATENATE("разлика "," спрямо ",$C$9)</f>
        <v>разлика  спрямо 2024 г.</v>
      </c>
      <c r="BV10" s="4823" t="str">
        <f>CONCATENATE("разлика "," спрямо ",$C$9)</f>
        <v>разлика  спрямо 2024 г.</v>
      </c>
      <c r="BW10" s="4823" t="str">
        <f>CONCATENATE("разлика "," спрямо ",$C$9)</f>
        <v>разлика  спрямо 2024 г.</v>
      </c>
      <c r="BX10" s="4823" t="str">
        <f>CONCATENATE("разлика "," спрямо ",$C$9)</f>
        <v>разлика  спрямо 2024 г.</v>
      </c>
      <c r="BY10" s="4821" t="str">
        <f>BG10</f>
        <v>Базова година</v>
      </c>
      <c r="BZ10" s="4823" t="str">
        <f>CONCATENATE("разлика "," спрямо ",$C$9)</f>
        <v>разлика  спрямо 2024 г.</v>
      </c>
      <c r="CA10" s="4823" t="str">
        <f>CONCATENATE("разлика "," спрямо ",$C$9)</f>
        <v>разлика  спрямо 2024 г.</v>
      </c>
      <c r="CB10" s="4823" t="str">
        <f>CONCATENATE("разлика "," спрямо ",$C$9)</f>
        <v>разлика  спрямо 2024 г.</v>
      </c>
      <c r="CC10" s="4823" t="str">
        <f>CONCATENATE("разлика "," спрямо ",$C$9)</f>
        <v>разлика  спрямо 2024 г.</v>
      </c>
      <c r="CD10" s="4823" t="str">
        <f>CONCATENATE("разлика "," спрямо ",$C$9)</f>
        <v>разлика  спрямо 2024 г.</v>
      </c>
      <c r="CE10" s="4821" t="str">
        <f>BY10</f>
        <v>Базова година</v>
      </c>
      <c r="CF10" s="4823" t="str">
        <f>CONCATENATE("разлика "," спрямо ",$C$9)</f>
        <v>разлика  спрямо 2024 г.</v>
      </c>
      <c r="CG10" s="4823" t="str">
        <f>CONCATENATE("разлика "," спрямо ",$C$9)</f>
        <v>разлика  спрямо 2024 г.</v>
      </c>
      <c r="CH10" s="4823" t="str">
        <f>CONCATENATE("разлика "," спрямо ",$C$9)</f>
        <v>разлика  спрямо 2024 г.</v>
      </c>
      <c r="CI10" s="4823" t="str">
        <f>CONCATENATE("разлика "," спрямо ",$C$9)</f>
        <v>разлика  спрямо 2024 г.</v>
      </c>
      <c r="CJ10" s="4823" t="str">
        <f>CONCATENATE("разлика "," спрямо ",$C$9)</f>
        <v>разлика  спрямо 2024 г.</v>
      </c>
    </row>
    <row r="11" spans="1:88" s="1179" customFormat="1" ht="15.95" customHeight="1" thickBot="1">
      <c r="A11" s="114" t="s">
        <v>141</v>
      </c>
      <c r="B11" s="913" t="s">
        <v>226</v>
      </c>
      <c r="C11" s="1129">
        <f>'12. Разходи'!C11</f>
        <v>1630.5693504379997</v>
      </c>
      <c r="D11" s="924">
        <f>'12. Разходи'!D11-'12. Разходи'!$C11</f>
        <v>11.982459562000258</v>
      </c>
      <c r="E11" s="894">
        <f>IFERROR(('12. Разходи'!D11-'12. Разходи'!$C11)/'12. Разходи'!$C11,0)</f>
        <v>7.3486353455506559E-3</v>
      </c>
      <c r="F11" s="1166">
        <f>'12. Разходи'!E11-'12. Разходи'!$C11</f>
        <v>-5.2048504379995393</v>
      </c>
      <c r="G11" s="894">
        <f>IFERROR(('12. Разходи'!E11-'12. Разходи'!$C11)/'12. Разходи'!$C11,0)</f>
        <v>-3.192044813427546E-3</v>
      </c>
      <c r="H11" s="1166">
        <f>'12. Разходи'!F11-'12. Разходи'!$C11</f>
        <v>-19.42262043799974</v>
      </c>
      <c r="I11" s="894">
        <f>IFERROR(('12. Разходи'!F11-'12. Разходи'!$C11)/'12. Разходи'!$C11,0)</f>
        <v>-1.1911557415685805E-2</v>
      </c>
      <c r="J11" s="1166">
        <f>'12. Разходи'!G11-'12. Разходи'!$C11</f>
        <v>-33.640390437999486</v>
      </c>
      <c r="K11" s="894">
        <f>IFERROR(('12. Разходи'!G11-'12. Разходи'!$C11)/'12. Разходи'!$C11,0)</f>
        <v>-2.0631070017943783E-2</v>
      </c>
      <c r="L11" s="1166">
        <f>'12. Разходи'!H11-'12. Разходи'!$C11</f>
        <v>-50.525600437999856</v>
      </c>
      <c r="M11" s="903">
        <f>IFERROR(('12. Разходи'!H11-'12. Разходи'!$C11)/'12. Разходи'!$C11,0)</f>
        <v>-3.098647746839335E-2</v>
      </c>
      <c r="N11" s="1180">
        <f>'12. Разходи'!K11</f>
        <v>193.06883987499998</v>
      </c>
      <c r="O11" s="924">
        <f>'12. Разходи'!L11-'12. Разходи'!$K11</f>
        <v>6.8642124999996668E-2</v>
      </c>
      <c r="P11" s="894">
        <f>IFERROR(('12. Разходи'!L11-'12. Разходи'!$K11)/'12. Разходи'!$K11,0)</f>
        <v>3.5553186648056804E-4</v>
      </c>
      <c r="Q11" s="1166">
        <f>'12. Разходи'!M11-'12. Разходи'!$K11</f>
        <v>6.8642124999996668E-2</v>
      </c>
      <c r="R11" s="894">
        <f>IFERROR(('12. Разходи'!M11-'12. Разходи'!$K11)/'12. Разходи'!$K11,0)</f>
        <v>3.5553186648056804E-4</v>
      </c>
      <c r="S11" s="1166">
        <f>'12. Разходи'!N11-'12. Разходи'!$K11</f>
        <v>4.1145725000035327E-2</v>
      </c>
      <c r="T11" s="894">
        <f>IFERROR(('12. Разходи'!N11-'12. Разходи'!$K11)/'12. Разходи'!$K11,0)</f>
        <v>2.1311427067503288E-4</v>
      </c>
      <c r="U11" s="1166">
        <f>'12. Разходи'!O11-'12. Разходи'!$K11</f>
        <v>4.1145725000035327E-2</v>
      </c>
      <c r="V11" s="894">
        <f>IFERROR(('12. Разходи'!O11-'12. Разходи'!$K11)/'12. Разходи'!$K11,0)</f>
        <v>2.1311427067503288E-4</v>
      </c>
      <c r="W11" s="1166">
        <f>'12. Разходи'!P11-'12. Разходи'!$K11</f>
        <v>4.1145725000035327E-2</v>
      </c>
      <c r="X11" s="836">
        <f>IFERROR(('12. Разходи'!P11-'12. Разходи'!$K11)/'12. Разходи'!$K11,0)</f>
        <v>2.1311427067503288E-4</v>
      </c>
      <c r="Y11" s="1180">
        <f>'12. Разходи'!S11</f>
        <v>917.17692304999991</v>
      </c>
      <c r="Z11" s="924">
        <f>'12. Разходи'!T11-'12. Разходи'!$S11</f>
        <v>55.231822950000151</v>
      </c>
      <c r="AA11" s="894">
        <f>IFERROR(('12. Разходи'!T11-'12. Разходи'!$S11)/'12. Разходи'!$S11,0)</f>
        <v>6.0219377049229562E-2</v>
      </c>
      <c r="AB11" s="1166">
        <f>'12. Разходи'!U11-'12. Разходи'!$S11</f>
        <v>45.862176950000048</v>
      </c>
      <c r="AC11" s="894">
        <f>IFERROR(('12. Разходи'!U11-'12. Разходи'!$S11)/'12. Разходи'!$S11,0)</f>
        <v>5.0003631575780361E-2</v>
      </c>
      <c r="AD11" s="1166">
        <f>'12. Разходи'!V11-'12. Разходи'!$S11</f>
        <v>34.060726950000117</v>
      </c>
      <c r="AE11" s="894">
        <f>IFERROR(('12. Разходи'!V11-'12. Разходи'!$S11)/'12. Разходи'!$S11,0)</f>
        <v>3.7136484896211561E-2</v>
      </c>
      <c r="AF11" s="1166">
        <f>'12. Разходи'!W11-'12. Разходи'!$S11</f>
        <v>29.340146949999962</v>
      </c>
      <c r="AG11" s="894">
        <f>IFERROR(('12. Разходи'!W11-'12. Разходи'!$S11)/'12. Разходи'!$S11,0)</f>
        <v>3.1989626224383845E-2</v>
      </c>
      <c r="AH11" s="1166">
        <f>'12. Разходи'!X11-'12. Разходи'!$S11</f>
        <v>24.619566950000035</v>
      </c>
      <c r="AI11" s="836">
        <f>IFERROR(('12. Разходи'!X11-'12. Разходи'!$S11)/'12. Разходи'!$S11,0)</f>
        <v>2.6842767552556376E-2</v>
      </c>
      <c r="AJ11" s="1180">
        <f>'12. Разходи'!AA11</f>
        <v>0</v>
      </c>
      <c r="AK11" s="1167">
        <f>'12. Разходи'!AB11-'12. Разходи'!$AA11</f>
        <v>0</v>
      </c>
      <c r="AL11" s="894">
        <f>IFERROR(('12. Разходи'!AB11-'12. Разходи'!$AA11)/'12. Разходи'!$AA11,0)</f>
        <v>0</v>
      </c>
      <c r="AM11" s="1166">
        <f>'12. Разходи'!AC11-'12. Разходи'!$AA11</f>
        <v>0</v>
      </c>
      <c r="AN11" s="894">
        <f>IFERROR(('12. Разходи'!AC11-'12. Разходи'!$AA11)/'12. Разходи'!$AA11,0)</f>
        <v>0</v>
      </c>
      <c r="AO11" s="1166">
        <f>'12. Разходи'!AD11-'12. Разходи'!$AA11</f>
        <v>0</v>
      </c>
      <c r="AP11" s="894">
        <f>IFERROR(('12. Разходи'!AD11-'12. Разходи'!$AA11)/'12. Разходи'!$AA11,0)</f>
        <v>0</v>
      </c>
      <c r="AQ11" s="1166">
        <f>'12. Разходи'!AE11-'12. Разходи'!$AA11</f>
        <v>0</v>
      </c>
      <c r="AR11" s="903">
        <f>IFERROR(('12. Разходи'!AE11-'12. Разходи'!$AA11)/'12. Разходи'!$AA11,0)</f>
        <v>0</v>
      </c>
      <c r="AS11" s="1166">
        <f>'12. Разходи'!AF11-'12. Разходи'!$AA11</f>
        <v>0</v>
      </c>
      <c r="AT11" s="836">
        <f>IFERROR(('12. Разходи'!AF11-'12. Разходи'!$AA11)/'12. Разходи'!$AA11,0)</f>
        <v>0</v>
      </c>
      <c r="AU11" s="1180">
        <f>'12. Разходи'!AI11</f>
        <v>0</v>
      </c>
      <c r="AV11" s="1167">
        <f>'12. Разходи'!AJ11-'12. Разходи'!$AI11</f>
        <v>0</v>
      </c>
      <c r="AW11" s="894">
        <f>IFERROR(('12. Разходи'!AJ11-'12. Разходи'!$AI11)/'12. Разходи'!$AI11,0)</f>
        <v>0</v>
      </c>
      <c r="AX11" s="1166">
        <f>'12. Разходи'!AK11-'12. Разходи'!$AI11</f>
        <v>0</v>
      </c>
      <c r="AY11" s="894">
        <f>IFERROR(('12. Разходи'!AK11-'12. Разходи'!$AI11)/'12. Разходи'!$AI11,0)</f>
        <v>0</v>
      </c>
      <c r="AZ11" s="1166">
        <f>'12. Разходи'!AL11-'12. Разходи'!$AI11</f>
        <v>0</v>
      </c>
      <c r="BA11" s="894">
        <f>IFERROR(('12. Разходи'!AL11-'12. Разходи'!$AI11)/'12. Разходи'!$AI11,0)</f>
        <v>0</v>
      </c>
      <c r="BB11" s="1166">
        <f>'12. Разходи'!AM11-'12. Разходи'!$AI11</f>
        <v>0</v>
      </c>
      <c r="BC11" s="903">
        <f>IFERROR(('12. Разходи'!AM11-'12. Разходи'!$AI11)/'12. Разходи'!$AI11,0)</f>
        <v>0</v>
      </c>
      <c r="BD11" s="1166">
        <f>'12. Разходи'!AN11-'12. Разходи'!$AI11</f>
        <v>0</v>
      </c>
      <c r="BE11" s="836">
        <f>IFERROR(('12. Разходи'!AN11-'12. Разходи'!$AI11)/'12. Разходи'!$AI11,0)</f>
        <v>0</v>
      </c>
      <c r="BF11" s="4775"/>
      <c r="BG11" s="4794">
        <f>IFERROR(C11/$D$1,0)</f>
        <v>833.69687060634089</v>
      </c>
      <c r="BH11" s="4794">
        <f t="shared" ref="BH11" si="0">IFERROR(D11/$D$1,0)</f>
        <v>6.126534290812728</v>
      </c>
      <c r="BI11" s="4794">
        <f>IFERROR(F11/$D$1,0)</f>
        <v>-2.6611977717897464</v>
      </c>
      <c r="BJ11" s="4794">
        <f>IFERROR(H11/$D$1,0)</f>
        <v>-9.9306281415050091</v>
      </c>
      <c r="BK11" s="4794">
        <f>IFERROR(J11/$D$1,0)</f>
        <v>-17.200058511220039</v>
      </c>
      <c r="BL11" s="4794">
        <f>IFERROR(L11/$D$1,0)</f>
        <v>-25.833329296513426</v>
      </c>
      <c r="BM11" s="4794">
        <f>IFERROR(N11/$D$1,0)</f>
        <v>98.714530340060222</v>
      </c>
      <c r="BN11" s="4794">
        <f>IFERROR(O11/$D$1,0)</f>
        <v>3.5096161220554277E-2</v>
      </c>
      <c r="BO11" s="4794">
        <f>IFERROR(Q11/$D$1,0)</f>
        <v>3.5096161220554277E-2</v>
      </c>
      <c r="BP11" s="4794">
        <f>IFERROR(S11/$D$1,0)</f>
        <v>2.1037475138450341E-2</v>
      </c>
      <c r="BQ11" s="4794">
        <f>IFERROR(U11/$D$1,0)</f>
        <v>2.1037475138450341E-2</v>
      </c>
      <c r="BR11" s="4794">
        <f>IFERROR(W11/$D$1,0)</f>
        <v>2.1037475138450341E-2</v>
      </c>
      <c r="BS11" s="4794">
        <f>IFERROR(Y11/$D$1,0)</f>
        <v>468.9451143759938</v>
      </c>
      <c r="BT11" s="4794">
        <f>IFERROR(Z11/$D$1,0)</f>
        <v>28.23958265800205</v>
      </c>
      <c r="BU11" s="4794">
        <f>IFERROR(AB11/$D$1,0)</f>
        <v>23.448958728519376</v>
      </c>
      <c r="BV11" s="4794">
        <f>IFERROR(AD11/$D$1,0)</f>
        <v>17.414973157176298</v>
      </c>
      <c r="BW11" s="4794">
        <f>IFERROR(AF11/$D$1,0)</f>
        <v>15.001378928638973</v>
      </c>
      <c r="BX11" s="4794">
        <f>IFERROR(AH11/$D$1,0)</f>
        <v>12.587784700101766</v>
      </c>
      <c r="BY11" s="4794">
        <f>IFERROR(AJ11/$D$1,0)</f>
        <v>0</v>
      </c>
      <c r="BZ11" s="4794">
        <f>IFERROR(AK11/$D$1,0)</f>
        <v>0</v>
      </c>
      <c r="CA11" s="4794">
        <f>IFERROR(AM11/$D$1,0)</f>
        <v>0</v>
      </c>
      <c r="CB11" s="4794">
        <f>IFERROR(AO11/$D$1,0)</f>
        <v>0</v>
      </c>
      <c r="CC11" s="4794">
        <f>IFERROR(AQ11/$D$1,0)</f>
        <v>0</v>
      </c>
      <c r="CD11" s="4794">
        <f>IFERROR(AS11/$D$1,0)</f>
        <v>0</v>
      </c>
      <c r="CE11" s="4794">
        <f>IFERROR(AU11/$D$1,0)</f>
        <v>0</v>
      </c>
      <c r="CF11" s="4794">
        <f>IFERROR(AV11/$D$1,0)</f>
        <v>0</v>
      </c>
      <c r="CG11" s="4794">
        <f>IFERROR(AX11/$D$1,0)</f>
        <v>0</v>
      </c>
      <c r="CH11" s="4794">
        <f>IFERROR(AZ11/$D$1,0)</f>
        <v>0</v>
      </c>
      <c r="CI11" s="4794">
        <f>IFERROR(BB11/$D$1,0)</f>
        <v>0</v>
      </c>
      <c r="CJ11" s="4794">
        <f>IFERROR(BD11/$D$1,0)</f>
        <v>0</v>
      </c>
    </row>
    <row r="12" spans="1:88" ht="15.95" customHeight="1">
      <c r="A12" s="113" t="s">
        <v>90</v>
      </c>
      <c r="B12" s="914" t="s">
        <v>227</v>
      </c>
      <c r="C12" s="1205">
        <f>'12. Разходи'!C12</f>
        <v>176.3</v>
      </c>
      <c r="D12" s="1149">
        <f>'12. Разходи'!D12-'12. Разходи'!$C12</f>
        <v>-0.30000000000001137</v>
      </c>
      <c r="E12" s="895">
        <f>IFERROR(('12. Разходи'!D12-'12. Разходи'!$C12)/'12. Разходи'!$C12,0)</f>
        <v>-1.7016449234260429E-3</v>
      </c>
      <c r="F12" s="1150">
        <f>'12. Разходи'!E12-'12. Разходи'!$C12</f>
        <v>-0.30000000000001137</v>
      </c>
      <c r="G12" s="895">
        <f>IFERROR(('12. Разходи'!E12-'12. Разходи'!$C12)/'12. Разходи'!$C12,0)</f>
        <v>-1.7016449234260429E-3</v>
      </c>
      <c r="H12" s="1150">
        <f>'12. Разходи'!F12-'12. Разходи'!$C12</f>
        <v>-0.30000000000001137</v>
      </c>
      <c r="I12" s="895">
        <f>IFERROR(('12. Разходи'!F12-'12. Разходи'!$C12)/'12. Разходи'!$C12,0)</f>
        <v>-1.7016449234260429E-3</v>
      </c>
      <c r="J12" s="1150">
        <f>'12. Разходи'!G12-'12. Разходи'!$C12</f>
        <v>-0.30000000000001137</v>
      </c>
      <c r="K12" s="895">
        <f>IFERROR(('12. Разходи'!G12-'12. Разходи'!$C12)/'12. Разходи'!$C12,0)</f>
        <v>-1.7016449234260429E-3</v>
      </c>
      <c r="L12" s="1150">
        <f>'12. Разходи'!H12-'12. Разходи'!$C12</f>
        <v>-0.30000000000001137</v>
      </c>
      <c r="M12" s="906">
        <f>IFERROR(('12. Разходи'!H12-'12. Разходи'!$C12)/'12. Разходи'!$C12,0)</f>
        <v>-1.7016449234260429E-3</v>
      </c>
      <c r="N12" s="1181">
        <f>'12. Разходи'!K12</f>
        <v>0</v>
      </c>
      <c r="O12" s="1149">
        <f>'12. Разходи'!L12-'12. Разходи'!$K12</f>
        <v>0</v>
      </c>
      <c r="P12" s="895">
        <f>IFERROR(('12. Разходи'!L12-'12. Разходи'!$K12)/'12. Разходи'!$K12,0)</f>
        <v>0</v>
      </c>
      <c r="Q12" s="1150">
        <f>'12. Разходи'!M12-'12. Разходи'!$K12</f>
        <v>0</v>
      </c>
      <c r="R12" s="895">
        <f>IFERROR(('12. Разходи'!M12-'12. Разходи'!$K12)/'12. Разходи'!$K12,0)</f>
        <v>0</v>
      </c>
      <c r="S12" s="1150">
        <f>'12. Разходи'!N12-'12. Разходи'!$K12</f>
        <v>0</v>
      </c>
      <c r="T12" s="895">
        <f>IFERROR(('12. Разходи'!N12-'12. Разходи'!$K12)/'12. Разходи'!$K12,0)</f>
        <v>0</v>
      </c>
      <c r="U12" s="1150">
        <f>'12. Разходи'!O12-'12. Разходи'!$K12</f>
        <v>0</v>
      </c>
      <c r="V12" s="895">
        <f>IFERROR(('12. Разходи'!O12-'12. Разходи'!$K12)/'12. Разходи'!$K12,0)</f>
        <v>0</v>
      </c>
      <c r="W12" s="1150">
        <f>'12. Разходи'!P12-'12. Разходи'!$K12</f>
        <v>0</v>
      </c>
      <c r="X12" s="837">
        <f>IFERROR(('12. Разходи'!P12-'12. Разходи'!$K12)/'12. Разходи'!$K12,0)</f>
        <v>0</v>
      </c>
      <c r="Y12" s="1181">
        <f>'12. Разходи'!S12</f>
        <v>59</v>
      </c>
      <c r="Z12" s="1149">
        <f>'12. Разходи'!T12-'12. Разходи'!$S12</f>
        <v>0</v>
      </c>
      <c r="AA12" s="895">
        <f>IFERROR(('12. Разходи'!T12-'12. Разходи'!$S12)/'12. Разходи'!$S12,0)</f>
        <v>0</v>
      </c>
      <c r="AB12" s="1150">
        <f>'12. Разходи'!U12-'12. Разходи'!$S12</f>
        <v>0</v>
      </c>
      <c r="AC12" s="895">
        <f>IFERROR(('12. Разходи'!U12-'12. Разходи'!$S12)/'12. Разходи'!$S12,0)</f>
        <v>0</v>
      </c>
      <c r="AD12" s="1150">
        <f>'12. Разходи'!V12-'12. Разходи'!$S12</f>
        <v>0</v>
      </c>
      <c r="AE12" s="895">
        <f>IFERROR(('12. Разходи'!V12-'12. Разходи'!$S12)/'12. Разходи'!$S12,0)</f>
        <v>0</v>
      </c>
      <c r="AF12" s="1150">
        <f>'12. Разходи'!W12-'12. Разходи'!$S12</f>
        <v>0</v>
      </c>
      <c r="AG12" s="895">
        <f>IFERROR(('12. Разходи'!W12-'12. Разходи'!$S12)/'12. Разходи'!$S12,0)</f>
        <v>0</v>
      </c>
      <c r="AH12" s="1150">
        <f>'12. Разходи'!X12-'12. Разходи'!$S12</f>
        <v>0</v>
      </c>
      <c r="AI12" s="837">
        <f>IFERROR(('12. Разходи'!X12-'12. Разходи'!$S12)/'12. Разходи'!$S12,0)</f>
        <v>0</v>
      </c>
      <c r="AJ12" s="1181">
        <f>'12. Разходи'!AA12</f>
        <v>0</v>
      </c>
      <c r="AK12" s="1163">
        <f>'12. Разходи'!AB12-'12. Разходи'!$AA12</f>
        <v>0</v>
      </c>
      <c r="AL12" s="895">
        <f>IFERROR(('12. Разходи'!AB12-'12. Разходи'!$AA12)/'12. Разходи'!$AA12,0)</f>
        <v>0</v>
      </c>
      <c r="AM12" s="1150">
        <f>'12. Разходи'!AC12-'12. Разходи'!$AA12</f>
        <v>0</v>
      </c>
      <c r="AN12" s="895">
        <f>IFERROR(('12. Разходи'!AC12-'12. Разходи'!$AA12)/'12. Разходи'!$AA12,0)</f>
        <v>0</v>
      </c>
      <c r="AO12" s="1150">
        <f>'12. Разходи'!AD12-'12. Разходи'!$AA12</f>
        <v>0</v>
      </c>
      <c r="AP12" s="895">
        <f>IFERROR(('12. Разходи'!AD12-'12. Разходи'!$AA12)/'12. Разходи'!$AA12,0)</f>
        <v>0</v>
      </c>
      <c r="AQ12" s="1150">
        <f>'12. Разходи'!AE12-'12. Разходи'!$AA12</f>
        <v>0</v>
      </c>
      <c r="AR12" s="911">
        <f>IFERROR(('12. Разходи'!AE12-'12. Разходи'!$AA12)/'12. Разходи'!$AA12,0)</f>
        <v>0</v>
      </c>
      <c r="AS12" s="1150">
        <f>'12. Разходи'!AF12-'12. Разходи'!$AA12</f>
        <v>0</v>
      </c>
      <c r="AT12" s="912">
        <f>IFERROR(('12. Разходи'!AF12-'12. Разходи'!$AA12)/'12. Разходи'!$AA12,0)</f>
        <v>0</v>
      </c>
      <c r="AU12" s="1181">
        <f>'12. Разходи'!AI12</f>
        <v>0</v>
      </c>
      <c r="AV12" s="1163">
        <f>'12. Разходи'!AJ12-'12. Разходи'!$AI12</f>
        <v>0</v>
      </c>
      <c r="AW12" s="895">
        <f>IFERROR(('12. Разходи'!AJ12-'12. Разходи'!$AI12)/'12. Разходи'!$AI12,0)</f>
        <v>0</v>
      </c>
      <c r="AX12" s="1150">
        <f>'12. Разходи'!AK12-'12. Разходи'!$AI12</f>
        <v>0</v>
      </c>
      <c r="AY12" s="895">
        <f>IFERROR(('12. Разходи'!AK12-'12. Разходи'!$AI12)/'12. Разходи'!$AI12,0)</f>
        <v>0</v>
      </c>
      <c r="AZ12" s="1150">
        <f>'12. Разходи'!AL12-'12. Разходи'!$AI12</f>
        <v>0</v>
      </c>
      <c r="BA12" s="895">
        <f>IFERROR(('12. Разходи'!AL12-'12. Разходи'!$AI12)/'12. Разходи'!$AI12,0)</f>
        <v>0</v>
      </c>
      <c r="BB12" s="1150">
        <f>'12. Разходи'!AM12-'12. Разходи'!$AI12</f>
        <v>0</v>
      </c>
      <c r="BC12" s="911">
        <f>IFERROR(('12. Разходи'!AM12-'12. Разходи'!$AI12)/'12. Разходи'!$AI12,0)</f>
        <v>0</v>
      </c>
      <c r="BD12" s="1150">
        <f>'12. Разходи'!AN12-'12. Разходи'!$AI12</f>
        <v>0</v>
      </c>
      <c r="BE12" s="912">
        <f>IFERROR(('12. Разходи'!AN12-'12. Разходи'!$AI12)/'12. Разходи'!$AI12,0)</f>
        <v>0</v>
      </c>
      <c r="BF12" s="4775"/>
      <c r="BG12" s="4794">
        <f t="shared" ref="BG12:BG75" si="1">IFERROR(C12/$D$1,0)</f>
        <v>90.140758654893332</v>
      </c>
      <c r="BH12" s="4794">
        <f t="shared" ref="BH12:BH75" si="2">IFERROR(D12/$D$1,0)</f>
        <v>-0.15338756435887135</v>
      </c>
      <c r="BI12" s="4794">
        <f t="shared" ref="BI12:BI75" si="3">IFERROR(F12/$D$1,0)</f>
        <v>-0.15338756435887135</v>
      </c>
      <c r="BJ12" s="4794">
        <f t="shared" ref="BJ12:BJ75" si="4">IFERROR(H12/$D$1,0)</f>
        <v>-0.15338756435887135</v>
      </c>
      <c r="BK12" s="4794">
        <f t="shared" ref="BK12:BK75" si="5">IFERROR(J12/$D$1,0)</f>
        <v>-0.15338756435887135</v>
      </c>
      <c r="BL12" s="4794">
        <f t="shared" ref="BL12:BL75" si="6">IFERROR(L12/$D$1,0)</f>
        <v>-0.15338756435887135</v>
      </c>
      <c r="BM12" s="4794">
        <f t="shared" ref="BM12:BM75" si="7">IFERROR(N12/$D$1,0)</f>
        <v>0</v>
      </c>
      <c r="BN12" s="4794">
        <f t="shared" ref="BN12:BN75" si="8">IFERROR(O12/$D$1,0)</f>
        <v>0</v>
      </c>
      <c r="BO12" s="4794">
        <f t="shared" ref="BO12:BO75" si="9">IFERROR(Q12/$D$1,0)</f>
        <v>0</v>
      </c>
      <c r="BP12" s="4794">
        <f t="shared" ref="BP12:BP75" si="10">IFERROR(S12/$D$1,0)</f>
        <v>0</v>
      </c>
      <c r="BQ12" s="4794">
        <f t="shared" ref="BQ12:BQ75" si="11">IFERROR(U12/$D$1,0)</f>
        <v>0</v>
      </c>
      <c r="BR12" s="4794">
        <f t="shared" ref="BR12:BR75" si="12">IFERROR(W12/$D$1,0)</f>
        <v>0</v>
      </c>
      <c r="BS12" s="4794">
        <f t="shared" ref="BS12:BS75" si="13">IFERROR(Y12/$D$1,0)</f>
        <v>30.166220990576893</v>
      </c>
      <c r="BT12" s="4794">
        <f t="shared" ref="BT12:BT75" si="14">IFERROR(Z12/$D$1,0)</f>
        <v>0</v>
      </c>
      <c r="BU12" s="4794">
        <f t="shared" ref="BU12:BU75" si="15">IFERROR(AB12/$D$1,0)</f>
        <v>0</v>
      </c>
      <c r="BV12" s="4794">
        <f t="shared" ref="BV12:BV75" si="16">IFERROR(AD12/$D$1,0)</f>
        <v>0</v>
      </c>
      <c r="BW12" s="4794">
        <f t="shared" ref="BW12:BW75" si="17">IFERROR(AF12/$D$1,0)</f>
        <v>0</v>
      </c>
      <c r="BX12" s="4794">
        <f t="shared" ref="BX12:BX75" si="18">IFERROR(AH12/$D$1,0)</f>
        <v>0</v>
      </c>
      <c r="BY12" s="4794">
        <f t="shared" ref="BY12:BY75" si="19">IFERROR(AJ12/$D$1,0)</f>
        <v>0</v>
      </c>
      <c r="BZ12" s="4794">
        <f t="shared" ref="BZ12:BZ75" si="20">IFERROR(AK12/$D$1,0)</f>
        <v>0</v>
      </c>
      <c r="CA12" s="4794">
        <f t="shared" ref="CA12:CA75" si="21">IFERROR(AM12/$D$1,0)</f>
        <v>0</v>
      </c>
      <c r="CB12" s="4794">
        <f t="shared" ref="CB12:CB75" si="22">IFERROR(AO12/$D$1,0)</f>
        <v>0</v>
      </c>
      <c r="CC12" s="4794">
        <f t="shared" ref="CC12:CC75" si="23">IFERROR(AQ12/$D$1,0)</f>
        <v>0</v>
      </c>
      <c r="CD12" s="4794">
        <f t="shared" ref="CD12:CD75" si="24">IFERROR(AS12/$D$1,0)</f>
        <v>0</v>
      </c>
      <c r="CE12" s="4794">
        <f t="shared" ref="CE12:CE75" si="25">IFERROR(AU12/$D$1,0)</f>
        <v>0</v>
      </c>
      <c r="CF12" s="4794">
        <f t="shared" ref="CF12:CF75" si="26">IFERROR(AV12/$D$1,0)</f>
        <v>0</v>
      </c>
      <c r="CG12" s="4794">
        <f t="shared" ref="CG12:CG75" si="27">IFERROR(AX12/$D$1,0)</f>
        <v>0</v>
      </c>
      <c r="CH12" s="4794">
        <f t="shared" ref="CH12:CH75" si="28">IFERROR(AZ12/$D$1,0)</f>
        <v>0</v>
      </c>
      <c r="CI12" s="4794">
        <f t="shared" ref="CI12:CI75" si="29">IFERROR(BB12/$D$1,0)</f>
        <v>0</v>
      </c>
      <c r="CJ12" s="4794">
        <f t="shared" ref="CJ12:CJ75" si="30">IFERROR(BD12/$D$1,0)</f>
        <v>0</v>
      </c>
    </row>
    <row r="13" spans="1:88" s="1217" customFormat="1" ht="15.95" customHeight="1">
      <c r="A13" s="1207" t="s">
        <v>335</v>
      </c>
      <c r="B13" s="1208" t="s">
        <v>228</v>
      </c>
      <c r="C13" s="1209">
        <f>'12. Разходи'!C13</f>
        <v>85</v>
      </c>
      <c r="D13" s="1210">
        <f>'12. Разходи'!D13-'12. Разходи'!$C13</f>
        <v>0</v>
      </c>
      <c r="E13" s="1211">
        <f>IFERROR(('12. Разходи'!D13-'12. Разходи'!$C13)/'12. Разходи'!$C13,0)</f>
        <v>0</v>
      </c>
      <c r="F13" s="1212">
        <f>'12. Разходи'!E13-'12. Разходи'!$C13</f>
        <v>0</v>
      </c>
      <c r="G13" s="1211">
        <f>IFERROR(('12. Разходи'!E13-'12. Разходи'!$C13)/'12. Разходи'!$C13,0)</f>
        <v>0</v>
      </c>
      <c r="H13" s="1212">
        <f>'12. Разходи'!F13-'12. Разходи'!$C13</f>
        <v>0</v>
      </c>
      <c r="I13" s="1211">
        <f>IFERROR(('12. Разходи'!F13-'12. Разходи'!$C13)/'12. Разходи'!$C13,0)</f>
        <v>0</v>
      </c>
      <c r="J13" s="1212">
        <f>'12. Разходи'!G13-'12. Разходи'!$C13</f>
        <v>0</v>
      </c>
      <c r="K13" s="1211">
        <f>IFERROR(('12. Разходи'!G13-'12. Разходи'!$C13)/'12. Разходи'!$C13,0)</f>
        <v>0</v>
      </c>
      <c r="L13" s="1212">
        <f>'12. Разходи'!H13-'12. Разходи'!$C13</f>
        <v>0</v>
      </c>
      <c r="M13" s="1213">
        <f>IFERROR(('12. Разходи'!H13-'12. Разходи'!$C13)/'12. Разходи'!$C13,0)</f>
        <v>0</v>
      </c>
      <c r="N13" s="1214">
        <f>'12. Разходи'!K13</f>
        <v>0</v>
      </c>
      <c r="O13" s="1210">
        <f>'12. Разходи'!L13-'12. Разходи'!$K13</f>
        <v>0</v>
      </c>
      <c r="P13" s="1211">
        <f>IFERROR(('12. Разходи'!L13-'12. Разходи'!$K13)/'12. Разходи'!$K13,0)</f>
        <v>0</v>
      </c>
      <c r="Q13" s="1212">
        <f>'12. Разходи'!M13-'12. Разходи'!$K13</f>
        <v>0</v>
      </c>
      <c r="R13" s="1211">
        <f>IFERROR(('12. Разходи'!M13-'12. Разходи'!$K13)/'12. Разходи'!$K13,0)</f>
        <v>0</v>
      </c>
      <c r="S13" s="1212">
        <f>'12. Разходи'!N13-'12. Разходи'!$K13</f>
        <v>0</v>
      </c>
      <c r="T13" s="1211">
        <f>IFERROR(('12. Разходи'!N13-'12. Разходи'!$K13)/'12. Разходи'!$K13,0)</f>
        <v>0</v>
      </c>
      <c r="U13" s="1212">
        <f>'12. Разходи'!O13-'12. Разходи'!$K13</f>
        <v>0</v>
      </c>
      <c r="V13" s="1211">
        <f>IFERROR(('12. Разходи'!O13-'12. Разходи'!$K13)/'12. Разходи'!$K13,0)</f>
        <v>0</v>
      </c>
      <c r="W13" s="1212">
        <f>'12. Разходи'!P13-'12. Разходи'!$K13</f>
        <v>0</v>
      </c>
      <c r="X13" s="1215">
        <f>IFERROR(('12. Разходи'!P13-'12. Разходи'!$K13)/'12. Разходи'!$K13,0)</f>
        <v>0</v>
      </c>
      <c r="Y13" s="1214">
        <f>'12. Разходи'!S13</f>
        <v>12</v>
      </c>
      <c r="Z13" s="1210">
        <f>'12. Разходи'!T13-'12. Разходи'!$S13</f>
        <v>0</v>
      </c>
      <c r="AA13" s="1211">
        <f>IFERROR(('12. Разходи'!T13-'12. Разходи'!$S13)/'12. Разходи'!$S13,0)</f>
        <v>0</v>
      </c>
      <c r="AB13" s="1212">
        <f>'12. Разходи'!U13-'12. Разходи'!$S13</f>
        <v>0</v>
      </c>
      <c r="AC13" s="1211">
        <f>IFERROR(('12. Разходи'!U13-'12. Разходи'!$S13)/'12. Разходи'!$S13,0)</f>
        <v>0</v>
      </c>
      <c r="AD13" s="1212">
        <f>'12. Разходи'!V13-'12. Разходи'!$S13</f>
        <v>0</v>
      </c>
      <c r="AE13" s="1211">
        <f>IFERROR(('12. Разходи'!V13-'12. Разходи'!$S13)/'12. Разходи'!$S13,0)</f>
        <v>0</v>
      </c>
      <c r="AF13" s="1212">
        <f>'12. Разходи'!W13-'12. Разходи'!$S13</f>
        <v>0</v>
      </c>
      <c r="AG13" s="1211">
        <f>IFERROR(('12. Разходи'!W13-'12. Разходи'!$S13)/'12. Разходи'!$S13,0)</f>
        <v>0</v>
      </c>
      <c r="AH13" s="1212">
        <f>'12. Разходи'!X13-'12. Разходи'!$S13</f>
        <v>0</v>
      </c>
      <c r="AI13" s="1215">
        <f>IFERROR(('12. Разходи'!X13-'12. Разходи'!$S13)/'12. Разходи'!$S13,0)</f>
        <v>0</v>
      </c>
      <c r="AJ13" s="1214">
        <f>'12. Разходи'!AA13</f>
        <v>0</v>
      </c>
      <c r="AK13" s="1216">
        <f>'12. Разходи'!AB13-'12. Разходи'!$AA13</f>
        <v>0</v>
      </c>
      <c r="AL13" s="1211">
        <f>IFERROR(('12. Разходи'!AB13-'12. Разходи'!$AA13)/'12. Разходи'!$AA13,0)</f>
        <v>0</v>
      </c>
      <c r="AM13" s="1212">
        <f>'12. Разходи'!AC13-'12. Разходи'!$AA13</f>
        <v>0</v>
      </c>
      <c r="AN13" s="1211">
        <f>IFERROR(('12. Разходи'!AC13-'12. Разходи'!$AA13)/'12. Разходи'!$AA13,0)</f>
        <v>0</v>
      </c>
      <c r="AO13" s="1212">
        <f>'12. Разходи'!AD13-'12. Разходи'!$AA13</f>
        <v>0</v>
      </c>
      <c r="AP13" s="1211">
        <f>IFERROR(('12. Разходи'!AD13-'12. Разходи'!$AA13)/'12. Разходи'!$AA13,0)</f>
        <v>0</v>
      </c>
      <c r="AQ13" s="1212">
        <f>'12. Разходи'!AE13-'12. Разходи'!$AA13</f>
        <v>0</v>
      </c>
      <c r="AR13" s="1213">
        <f>IFERROR(('12. Разходи'!AE13-'12. Разходи'!$AA13)/'12. Разходи'!$AA13,0)</f>
        <v>0</v>
      </c>
      <c r="AS13" s="1212">
        <f>'12. Разходи'!AF13-'12. Разходи'!$AA13</f>
        <v>0</v>
      </c>
      <c r="AT13" s="1215">
        <f>IFERROR(('12. Разходи'!AF13-'12. Разходи'!$AA13)/'12. Разходи'!$AA13,0)</f>
        <v>0</v>
      </c>
      <c r="AU13" s="1214">
        <f>'12. Разходи'!AI13</f>
        <v>0</v>
      </c>
      <c r="AV13" s="1216">
        <f>'12. Разходи'!AJ13-'12. Разходи'!$AI13</f>
        <v>0</v>
      </c>
      <c r="AW13" s="1211">
        <f>IFERROR(('12. Разходи'!AJ13-'12. Разходи'!$AI13)/'12. Разходи'!$AI13,0)</f>
        <v>0</v>
      </c>
      <c r="AX13" s="1212">
        <f>'12. Разходи'!AK13-'12. Разходи'!$AI13</f>
        <v>0</v>
      </c>
      <c r="AY13" s="1211">
        <f>IFERROR(('12. Разходи'!AK13-'12. Разходи'!$AI13)/'12. Разходи'!$AI13,0)</f>
        <v>0</v>
      </c>
      <c r="AZ13" s="1212">
        <f>'12. Разходи'!AL13-'12. Разходи'!$AI13</f>
        <v>0</v>
      </c>
      <c r="BA13" s="1211">
        <f>IFERROR(('12. Разходи'!AL13-'12. Разходи'!$AI13)/'12. Разходи'!$AI13,0)</f>
        <v>0</v>
      </c>
      <c r="BB13" s="1212">
        <f>'12. Разходи'!AM13-'12. Разходи'!$AI13</f>
        <v>0</v>
      </c>
      <c r="BC13" s="1213">
        <f>IFERROR(('12. Разходи'!AM13-'12. Разходи'!$AI13)/'12. Разходи'!$AI13,0)</f>
        <v>0</v>
      </c>
      <c r="BD13" s="1212">
        <f>'12. Разходи'!AN13-'12. Разходи'!$AI13</f>
        <v>0</v>
      </c>
      <c r="BE13" s="1215">
        <f>IFERROR(('12. Разходи'!AN13-'12. Разходи'!$AI13)/'12. Разходи'!$AI13,0)</f>
        <v>0</v>
      </c>
      <c r="BF13" s="4775"/>
      <c r="BG13" s="4794">
        <f t="shared" si="1"/>
        <v>43.459809901678575</v>
      </c>
      <c r="BH13" s="4794">
        <f t="shared" si="2"/>
        <v>0</v>
      </c>
      <c r="BI13" s="4794">
        <f t="shared" si="3"/>
        <v>0</v>
      </c>
      <c r="BJ13" s="4794">
        <f t="shared" si="4"/>
        <v>0</v>
      </c>
      <c r="BK13" s="4794">
        <f t="shared" si="5"/>
        <v>0</v>
      </c>
      <c r="BL13" s="4794">
        <f t="shared" si="6"/>
        <v>0</v>
      </c>
      <c r="BM13" s="4794">
        <f t="shared" si="7"/>
        <v>0</v>
      </c>
      <c r="BN13" s="4794">
        <f t="shared" si="8"/>
        <v>0</v>
      </c>
      <c r="BO13" s="4794">
        <f t="shared" si="9"/>
        <v>0</v>
      </c>
      <c r="BP13" s="4794">
        <f t="shared" si="10"/>
        <v>0</v>
      </c>
      <c r="BQ13" s="4794">
        <f t="shared" si="11"/>
        <v>0</v>
      </c>
      <c r="BR13" s="4794">
        <f t="shared" si="12"/>
        <v>0</v>
      </c>
      <c r="BS13" s="4794">
        <f t="shared" si="13"/>
        <v>6.1355025743546223</v>
      </c>
      <c r="BT13" s="4794">
        <f t="shared" si="14"/>
        <v>0</v>
      </c>
      <c r="BU13" s="4794">
        <f t="shared" si="15"/>
        <v>0</v>
      </c>
      <c r="BV13" s="4794">
        <f t="shared" si="16"/>
        <v>0</v>
      </c>
      <c r="BW13" s="4794">
        <f t="shared" si="17"/>
        <v>0</v>
      </c>
      <c r="BX13" s="4794">
        <f t="shared" si="18"/>
        <v>0</v>
      </c>
      <c r="BY13" s="4794">
        <f t="shared" si="19"/>
        <v>0</v>
      </c>
      <c r="BZ13" s="4794">
        <f t="shared" si="20"/>
        <v>0</v>
      </c>
      <c r="CA13" s="4794">
        <f t="shared" si="21"/>
        <v>0</v>
      </c>
      <c r="CB13" s="4794">
        <f t="shared" si="22"/>
        <v>0</v>
      </c>
      <c r="CC13" s="4794">
        <f t="shared" si="23"/>
        <v>0</v>
      </c>
      <c r="CD13" s="4794">
        <f t="shared" si="24"/>
        <v>0</v>
      </c>
      <c r="CE13" s="4794">
        <f t="shared" si="25"/>
        <v>0</v>
      </c>
      <c r="CF13" s="4794">
        <f t="shared" si="26"/>
        <v>0</v>
      </c>
      <c r="CG13" s="4794">
        <f t="shared" si="27"/>
        <v>0</v>
      </c>
      <c r="CH13" s="4794">
        <f t="shared" si="28"/>
        <v>0</v>
      </c>
      <c r="CI13" s="4794">
        <f t="shared" si="29"/>
        <v>0</v>
      </c>
      <c r="CJ13" s="4794">
        <f t="shared" si="30"/>
        <v>0</v>
      </c>
    </row>
    <row r="14" spans="1:88" s="1217" customFormat="1" ht="15.95" customHeight="1">
      <c r="A14" s="1207" t="s">
        <v>336</v>
      </c>
      <c r="B14" s="1208" t="s">
        <v>229</v>
      </c>
      <c r="C14" s="1209">
        <f>'12. Разходи'!C14</f>
        <v>34.299999999999997</v>
      </c>
      <c r="D14" s="1210">
        <f>'12. Разходи'!D14-'12. Разходи'!$C14</f>
        <v>-0.29999999999999716</v>
      </c>
      <c r="E14" s="1211">
        <f>IFERROR(('12. Разходи'!D14-'12. Разходи'!$C14)/'12. Разходи'!$C14,0)</f>
        <v>-8.7463556851311124E-3</v>
      </c>
      <c r="F14" s="1212">
        <f>'12. Разходи'!E14-'12. Разходи'!$C14</f>
        <v>-0.29999999999999716</v>
      </c>
      <c r="G14" s="1211">
        <f>IFERROR(('12. Разходи'!E14-'12. Разходи'!$C14)/'12. Разходи'!$C14,0)</f>
        <v>-8.7463556851311124E-3</v>
      </c>
      <c r="H14" s="1212">
        <f>'12. Разходи'!F14-'12. Разходи'!$C14</f>
        <v>-0.29999999999999716</v>
      </c>
      <c r="I14" s="1211">
        <f>IFERROR(('12. Разходи'!F14-'12. Разходи'!$C14)/'12. Разходи'!$C14,0)</f>
        <v>-8.7463556851311124E-3</v>
      </c>
      <c r="J14" s="1212">
        <f>'12. Разходи'!G14-'12. Разходи'!$C14</f>
        <v>-0.29999999999999716</v>
      </c>
      <c r="K14" s="1211">
        <f>IFERROR(('12. Разходи'!G14-'12. Разходи'!$C14)/'12. Разходи'!$C14,0)</f>
        <v>-8.7463556851311124E-3</v>
      </c>
      <c r="L14" s="1212">
        <f>'12. Разходи'!H14-'12. Разходи'!$C14</f>
        <v>-0.29999999999999716</v>
      </c>
      <c r="M14" s="1213">
        <f>IFERROR(('12. Разходи'!H14-'12. Разходи'!$C14)/'12. Разходи'!$C14,0)</f>
        <v>-8.7463556851311124E-3</v>
      </c>
      <c r="N14" s="1214">
        <f>'12. Разходи'!K14</f>
        <v>0</v>
      </c>
      <c r="O14" s="1210">
        <f>'12. Разходи'!L14-'12. Разходи'!$K14</f>
        <v>0</v>
      </c>
      <c r="P14" s="1211">
        <f>IFERROR(('12. Разходи'!L14-'12. Разходи'!$K14)/'12. Разходи'!$K14,0)</f>
        <v>0</v>
      </c>
      <c r="Q14" s="1212">
        <f>'12. Разходи'!M14-'12. Разходи'!$K14</f>
        <v>0</v>
      </c>
      <c r="R14" s="1211">
        <f>IFERROR(('12. Разходи'!M14-'12. Разходи'!$K14)/'12. Разходи'!$K14,0)</f>
        <v>0</v>
      </c>
      <c r="S14" s="1212">
        <f>'12. Разходи'!N14-'12. Разходи'!$K14</f>
        <v>0</v>
      </c>
      <c r="T14" s="1211">
        <f>IFERROR(('12. Разходи'!N14-'12. Разходи'!$K14)/'12. Разходи'!$K14,0)</f>
        <v>0</v>
      </c>
      <c r="U14" s="1212">
        <f>'12. Разходи'!O14-'12. Разходи'!$K14</f>
        <v>0</v>
      </c>
      <c r="V14" s="1211">
        <f>IFERROR(('12. Разходи'!O14-'12. Разходи'!$K14)/'12. Разходи'!$K14,0)</f>
        <v>0</v>
      </c>
      <c r="W14" s="1212">
        <f>'12. Разходи'!P14-'12. Разходи'!$K14</f>
        <v>0</v>
      </c>
      <c r="X14" s="1215">
        <f>IFERROR(('12. Разходи'!P14-'12. Разходи'!$K14)/'12. Разходи'!$K14,0)</f>
        <v>0</v>
      </c>
      <c r="Y14" s="1214">
        <f>'12. Разходи'!S14</f>
        <v>0</v>
      </c>
      <c r="Z14" s="1210">
        <f>'12. Разходи'!T14-'12. Разходи'!$S14</f>
        <v>0</v>
      </c>
      <c r="AA14" s="1211">
        <f>IFERROR(('12. Разходи'!T14-'12. Разходи'!$S14)/'12. Разходи'!$S14,0)</f>
        <v>0</v>
      </c>
      <c r="AB14" s="1212">
        <f>'12. Разходи'!U14-'12. Разходи'!$S14</f>
        <v>0</v>
      </c>
      <c r="AC14" s="1211">
        <f>IFERROR(('12. Разходи'!U14-'12. Разходи'!$S14)/'12. Разходи'!$S14,0)</f>
        <v>0</v>
      </c>
      <c r="AD14" s="1212">
        <f>'12. Разходи'!V14-'12. Разходи'!$S14</f>
        <v>0</v>
      </c>
      <c r="AE14" s="1211">
        <f>IFERROR(('12. Разходи'!V14-'12. Разходи'!$S14)/'12. Разходи'!$S14,0)</f>
        <v>0</v>
      </c>
      <c r="AF14" s="1212">
        <f>'12. Разходи'!W14-'12. Разходи'!$S14</f>
        <v>0</v>
      </c>
      <c r="AG14" s="1211">
        <f>IFERROR(('12. Разходи'!W14-'12. Разходи'!$S14)/'12. Разходи'!$S14,0)</f>
        <v>0</v>
      </c>
      <c r="AH14" s="1212">
        <f>'12. Разходи'!X14-'12. Разходи'!$S14</f>
        <v>0</v>
      </c>
      <c r="AI14" s="1215">
        <f>IFERROR(('12. Разходи'!X14-'12. Разходи'!$S14)/'12. Разходи'!$S14,0)</f>
        <v>0</v>
      </c>
      <c r="AJ14" s="1214">
        <f>'12. Разходи'!AA14</f>
        <v>0</v>
      </c>
      <c r="AK14" s="1216">
        <f>'12. Разходи'!AB14-'12. Разходи'!$AA14</f>
        <v>0</v>
      </c>
      <c r="AL14" s="1211">
        <f>IFERROR(('12. Разходи'!AB14-'12. Разходи'!$AA14)/'12. Разходи'!$AA14,0)</f>
        <v>0</v>
      </c>
      <c r="AM14" s="1212">
        <f>'12. Разходи'!AC14-'12. Разходи'!$AA14</f>
        <v>0</v>
      </c>
      <c r="AN14" s="1211">
        <f>IFERROR(('12. Разходи'!AC14-'12. Разходи'!$AA14)/'12. Разходи'!$AA14,0)</f>
        <v>0</v>
      </c>
      <c r="AO14" s="1212">
        <f>'12. Разходи'!AD14-'12. Разходи'!$AA14</f>
        <v>0</v>
      </c>
      <c r="AP14" s="1211">
        <f>IFERROR(('12. Разходи'!AD14-'12. Разходи'!$AA14)/'12. Разходи'!$AA14,0)</f>
        <v>0</v>
      </c>
      <c r="AQ14" s="1212">
        <f>'12. Разходи'!AE14-'12. Разходи'!$AA14</f>
        <v>0</v>
      </c>
      <c r="AR14" s="1213">
        <f>IFERROR(('12. Разходи'!AE14-'12. Разходи'!$AA14)/'12. Разходи'!$AA14,0)</f>
        <v>0</v>
      </c>
      <c r="AS14" s="1212">
        <f>'12. Разходи'!AF14-'12. Разходи'!$AA14</f>
        <v>0</v>
      </c>
      <c r="AT14" s="1215">
        <f>IFERROR(('12. Разходи'!AF14-'12. Разходи'!$AA14)/'12. Разходи'!$AA14,0)</f>
        <v>0</v>
      </c>
      <c r="AU14" s="1214">
        <f>'12. Разходи'!AI14</f>
        <v>0</v>
      </c>
      <c r="AV14" s="1216">
        <f>'12. Разходи'!AJ14-'12. Разходи'!$AI14</f>
        <v>0</v>
      </c>
      <c r="AW14" s="1211">
        <f>IFERROR(('12. Разходи'!AJ14-'12. Разходи'!$AI14)/'12. Разходи'!$AI14,0)</f>
        <v>0</v>
      </c>
      <c r="AX14" s="1212">
        <f>'12. Разходи'!AK14-'12. Разходи'!$AI14</f>
        <v>0</v>
      </c>
      <c r="AY14" s="1211">
        <f>IFERROR(('12. Разходи'!AK14-'12. Разходи'!$AI14)/'12. Разходи'!$AI14,0)</f>
        <v>0</v>
      </c>
      <c r="AZ14" s="1212">
        <f>'12. Разходи'!AL14-'12. Разходи'!$AI14</f>
        <v>0</v>
      </c>
      <c r="BA14" s="1211">
        <f>IFERROR(('12. Разходи'!AL14-'12. Разходи'!$AI14)/'12. Разходи'!$AI14,0)</f>
        <v>0</v>
      </c>
      <c r="BB14" s="1212">
        <f>'12. Разходи'!AM14-'12. Разходи'!$AI14</f>
        <v>0</v>
      </c>
      <c r="BC14" s="1213">
        <f>IFERROR(('12. Разходи'!AM14-'12. Разходи'!$AI14)/'12. Разходи'!$AI14,0)</f>
        <v>0</v>
      </c>
      <c r="BD14" s="1212">
        <f>'12. Разходи'!AN14-'12. Разходи'!$AI14</f>
        <v>0</v>
      </c>
      <c r="BE14" s="1215">
        <f>IFERROR(('12. Разходи'!AN14-'12. Разходи'!$AI14)/'12. Разходи'!$AI14,0)</f>
        <v>0</v>
      </c>
      <c r="BF14" s="4775"/>
      <c r="BG14" s="4794">
        <f t="shared" si="1"/>
        <v>17.537311525030294</v>
      </c>
      <c r="BH14" s="4794">
        <f t="shared" si="2"/>
        <v>-0.15338756435886411</v>
      </c>
      <c r="BI14" s="4794">
        <f t="shared" si="3"/>
        <v>-0.15338756435886411</v>
      </c>
      <c r="BJ14" s="4794">
        <f t="shared" si="4"/>
        <v>-0.15338756435886411</v>
      </c>
      <c r="BK14" s="4794">
        <f t="shared" si="5"/>
        <v>-0.15338756435886411</v>
      </c>
      <c r="BL14" s="4794">
        <f t="shared" si="6"/>
        <v>-0.15338756435886411</v>
      </c>
      <c r="BM14" s="4794">
        <f t="shared" si="7"/>
        <v>0</v>
      </c>
      <c r="BN14" s="4794">
        <f t="shared" si="8"/>
        <v>0</v>
      </c>
      <c r="BO14" s="4794">
        <f t="shared" si="9"/>
        <v>0</v>
      </c>
      <c r="BP14" s="4794">
        <f t="shared" si="10"/>
        <v>0</v>
      </c>
      <c r="BQ14" s="4794">
        <f t="shared" si="11"/>
        <v>0</v>
      </c>
      <c r="BR14" s="4794">
        <f t="shared" si="12"/>
        <v>0</v>
      </c>
      <c r="BS14" s="4794">
        <f t="shared" si="13"/>
        <v>0</v>
      </c>
      <c r="BT14" s="4794">
        <f t="shared" si="14"/>
        <v>0</v>
      </c>
      <c r="BU14" s="4794">
        <f t="shared" si="15"/>
        <v>0</v>
      </c>
      <c r="BV14" s="4794">
        <f t="shared" si="16"/>
        <v>0</v>
      </c>
      <c r="BW14" s="4794">
        <f t="shared" si="17"/>
        <v>0</v>
      </c>
      <c r="BX14" s="4794">
        <f t="shared" si="18"/>
        <v>0</v>
      </c>
      <c r="BY14" s="4794">
        <f t="shared" si="19"/>
        <v>0</v>
      </c>
      <c r="BZ14" s="4794">
        <f t="shared" si="20"/>
        <v>0</v>
      </c>
      <c r="CA14" s="4794">
        <f t="shared" si="21"/>
        <v>0</v>
      </c>
      <c r="CB14" s="4794">
        <f t="shared" si="22"/>
        <v>0</v>
      </c>
      <c r="CC14" s="4794">
        <f t="shared" si="23"/>
        <v>0</v>
      </c>
      <c r="CD14" s="4794">
        <f t="shared" si="24"/>
        <v>0</v>
      </c>
      <c r="CE14" s="4794">
        <f t="shared" si="25"/>
        <v>0</v>
      </c>
      <c r="CF14" s="4794">
        <f t="shared" si="26"/>
        <v>0</v>
      </c>
      <c r="CG14" s="4794">
        <f t="shared" si="27"/>
        <v>0</v>
      </c>
      <c r="CH14" s="4794">
        <f t="shared" si="28"/>
        <v>0</v>
      </c>
      <c r="CI14" s="4794">
        <f t="shared" si="29"/>
        <v>0</v>
      </c>
      <c r="CJ14" s="4794">
        <f t="shared" si="30"/>
        <v>0</v>
      </c>
    </row>
    <row r="15" spans="1:88" s="1217" customFormat="1" ht="15.95" customHeight="1">
      <c r="A15" s="1207" t="s">
        <v>337</v>
      </c>
      <c r="B15" s="1218" t="s">
        <v>230</v>
      </c>
      <c r="C15" s="1219">
        <f>'12. Разходи'!C15</f>
        <v>0</v>
      </c>
      <c r="D15" s="1210">
        <f>'12. Разходи'!D15-'12. Разходи'!$C15</f>
        <v>0</v>
      </c>
      <c r="E15" s="1211">
        <f>IFERROR(('12. Разходи'!D15-'12. Разходи'!$C15)/'12. Разходи'!$C15,0)</f>
        <v>0</v>
      </c>
      <c r="F15" s="1212">
        <f>'12. Разходи'!E15-'12. Разходи'!$C15</f>
        <v>0</v>
      </c>
      <c r="G15" s="1211">
        <f>IFERROR(('12. Разходи'!E15-'12. Разходи'!$C15)/'12. Разходи'!$C15,0)</f>
        <v>0</v>
      </c>
      <c r="H15" s="1212">
        <f>'12. Разходи'!F15-'12. Разходи'!$C15</f>
        <v>0</v>
      </c>
      <c r="I15" s="1211">
        <f>IFERROR(('12. Разходи'!F15-'12. Разходи'!$C15)/'12. Разходи'!$C15,0)</f>
        <v>0</v>
      </c>
      <c r="J15" s="1212">
        <f>'12. Разходи'!G15-'12. Разходи'!$C15</f>
        <v>0</v>
      </c>
      <c r="K15" s="1211">
        <f>IFERROR(('12. Разходи'!G15-'12. Разходи'!$C15)/'12. Разходи'!$C15,0)</f>
        <v>0</v>
      </c>
      <c r="L15" s="1212">
        <f>'12. Разходи'!H15-'12. Разходи'!$C15</f>
        <v>0</v>
      </c>
      <c r="M15" s="1213">
        <f>IFERROR(('12. Разходи'!H15-'12. Разходи'!$C15)/'12. Разходи'!$C15,0)</f>
        <v>0</v>
      </c>
      <c r="N15" s="1214">
        <f>'12. Разходи'!K15</f>
        <v>0</v>
      </c>
      <c r="O15" s="1210">
        <f>'12. Разходи'!L15-'12. Разходи'!$K15</f>
        <v>0</v>
      </c>
      <c r="P15" s="1211">
        <f>IFERROR(('12. Разходи'!L15-'12. Разходи'!$K15)/'12. Разходи'!$K15,0)</f>
        <v>0</v>
      </c>
      <c r="Q15" s="1212">
        <f>'12. Разходи'!M15-'12. Разходи'!$K15</f>
        <v>0</v>
      </c>
      <c r="R15" s="1211">
        <f>IFERROR(('12. Разходи'!M15-'12. Разходи'!$K15)/'12. Разходи'!$K15,0)</f>
        <v>0</v>
      </c>
      <c r="S15" s="1212">
        <f>'12. Разходи'!N15-'12. Разходи'!$K15</f>
        <v>0</v>
      </c>
      <c r="T15" s="1211">
        <f>IFERROR(('12. Разходи'!N15-'12. Разходи'!$K15)/'12. Разходи'!$K15,0)</f>
        <v>0</v>
      </c>
      <c r="U15" s="1212">
        <f>'12. Разходи'!O15-'12. Разходи'!$K15</f>
        <v>0</v>
      </c>
      <c r="V15" s="1211">
        <f>IFERROR(('12. Разходи'!O15-'12. Разходи'!$K15)/'12. Разходи'!$K15,0)</f>
        <v>0</v>
      </c>
      <c r="W15" s="1212">
        <f>'12. Разходи'!P15-'12. Разходи'!$K15</f>
        <v>0</v>
      </c>
      <c r="X15" s="1215">
        <f>IFERROR(('12. Разходи'!P15-'12. Разходи'!$K15)/'12. Разходи'!$K15,0)</f>
        <v>0</v>
      </c>
      <c r="Y15" s="1214">
        <f>'12. Разходи'!S15</f>
        <v>42</v>
      </c>
      <c r="Z15" s="1210">
        <f>'12. Разходи'!T15-'12. Разходи'!$S15</f>
        <v>0</v>
      </c>
      <c r="AA15" s="1211">
        <f>IFERROR(('12. Разходи'!T15-'12. Разходи'!$S15)/'12. Разходи'!$S15,0)</f>
        <v>0</v>
      </c>
      <c r="AB15" s="1212">
        <f>'12. Разходи'!U15-'12. Разходи'!$S15</f>
        <v>0</v>
      </c>
      <c r="AC15" s="1211">
        <f>IFERROR(('12. Разходи'!U15-'12. Разходи'!$S15)/'12. Разходи'!$S15,0)</f>
        <v>0</v>
      </c>
      <c r="AD15" s="1212">
        <f>'12. Разходи'!V15-'12. Разходи'!$S15</f>
        <v>0</v>
      </c>
      <c r="AE15" s="1211">
        <f>IFERROR(('12. Разходи'!V15-'12. Разходи'!$S15)/'12. Разходи'!$S15,0)</f>
        <v>0</v>
      </c>
      <c r="AF15" s="1212">
        <f>'12. Разходи'!W15-'12. Разходи'!$S15</f>
        <v>0</v>
      </c>
      <c r="AG15" s="1211">
        <f>IFERROR(('12. Разходи'!W15-'12. Разходи'!$S15)/'12. Разходи'!$S15,0)</f>
        <v>0</v>
      </c>
      <c r="AH15" s="1212">
        <f>'12. Разходи'!X15-'12. Разходи'!$S15</f>
        <v>0</v>
      </c>
      <c r="AI15" s="1215">
        <f>IFERROR(('12. Разходи'!X15-'12. Разходи'!$S15)/'12. Разходи'!$S15,0)</f>
        <v>0</v>
      </c>
      <c r="AJ15" s="1214">
        <f>'12. Разходи'!AA15</f>
        <v>0</v>
      </c>
      <c r="AK15" s="1216">
        <f>'12. Разходи'!AB15-'12. Разходи'!$AA15</f>
        <v>0</v>
      </c>
      <c r="AL15" s="1211">
        <f>IFERROR(('12. Разходи'!AB15-'12. Разходи'!$AA15)/'12. Разходи'!$AA15,0)</f>
        <v>0</v>
      </c>
      <c r="AM15" s="1212">
        <f>'12. Разходи'!AC15-'12. Разходи'!$AA15</f>
        <v>0</v>
      </c>
      <c r="AN15" s="1211">
        <f>IFERROR(('12. Разходи'!AC15-'12. Разходи'!$AA15)/'12. Разходи'!$AA15,0)</f>
        <v>0</v>
      </c>
      <c r="AO15" s="1212">
        <f>'12. Разходи'!AD15-'12. Разходи'!$AA15</f>
        <v>0</v>
      </c>
      <c r="AP15" s="1211">
        <f>IFERROR(('12. Разходи'!AD15-'12. Разходи'!$AA15)/'12. Разходи'!$AA15,0)</f>
        <v>0</v>
      </c>
      <c r="AQ15" s="1212">
        <f>'12. Разходи'!AE15-'12. Разходи'!$AA15</f>
        <v>0</v>
      </c>
      <c r="AR15" s="1213">
        <f>IFERROR(('12. Разходи'!AE15-'12. Разходи'!$AA15)/'12. Разходи'!$AA15,0)</f>
        <v>0</v>
      </c>
      <c r="AS15" s="1212">
        <f>'12. Разходи'!AF15-'12. Разходи'!$AA15</f>
        <v>0</v>
      </c>
      <c r="AT15" s="1215">
        <f>IFERROR(('12. Разходи'!AF15-'12. Разходи'!$AA15)/'12. Разходи'!$AA15,0)</f>
        <v>0</v>
      </c>
      <c r="AU15" s="1214">
        <f>'12. Разходи'!AI15</f>
        <v>0</v>
      </c>
      <c r="AV15" s="1216">
        <f>'12. Разходи'!AJ15-'12. Разходи'!$AI15</f>
        <v>0</v>
      </c>
      <c r="AW15" s="1211">
        <f>IFERROR(('12. Разходи'!AJ15-'12. Разходи'!$AI15)/'12. Разходи'!$AI15,0)</f>
        <v>0</v>
      </c>
      <c r="AX15" s="1212">
        <f>'12. Разходи'!AK15-'12. Разходи'!$AI15</f>
        <v>0</v>
      </c>
      <c r="AY15" s="1211">
        <f>IFERROR(('12. Разходи'!AK15-'12. Разходи'!$AI15)/'12. Разходи'!$AI15,0)</f>
        <v>0</v>
      </c>
      <c r="AZ15" s="1212">
        <f>'12. Разходи'!AL15-'12. Разходи'!$AI15</f>
        <v>0</v>
      </c>
      <c r="BA15" s="1211">
        <f>IFERROR(('12. Разходи'!AL15-'12. Разходи'!$AI15)/'12. Разходи'!$AI15,0)</f>
        <v>0</v>
      </c>
      <c r="BB15" s="1212">
        <f>'12. Разходи'!AM15-'12. Разходи'!$AI15</f>
        <v>0</v>
      </c>
      <c r="BC15" s="1213">
        <f>IFERROR(('12. Разходи'!AM15-'12. Разходи'!$AI15)/'12. Разходи'!$AI15,0)</f>
        <v>0</v>
      </c>
      <c r="BD15" s="1212">
        <f>'12. Разходи'!AN15-'12. Разходи'!$AI15</f>
        <v>0</v>
      </c>
      <c r="BE15" s="1215">
        <f>IFERROR(('12. Разходи'!AN15-'12. Разходи'!$AI15)/'12. Разходи'!$AI15,0)</f>
        <v>0</v>
      </c>
      <c r="BF15" s="4775"/>
      <c r="BG15" s="4794">
        <f t="shared" si="1"/>
        <v>0</v>
      </c>
      <c r="BH15" s="4794">
        <f t="shared" si="2"/>
        <v>0</v>
      </c>
      <c r="BI15" s="4794">
        <f t="shared" si="3"/>
        <v>0</v>
      </c>
      <c r="BJ15" s="4794">
        <f t="shared" si="4"/>
        <v>0</v>
      </c>
      <c r="BK15" s="4794">
        <f t="shared" si="5"/>
        <v>0</v>
      </c>
      <c r="BL15" s="4794">
        <f t="shared" si="6"/>
        <v>0</v>
      </c>
      <c r="BM15" s="4794">
        <f t="shared" si="7"/>
        <v>0</v>
      </c>
      <c r="BN15" s="4794">
        <f t="shared" si="8"/>
        <v>0</v>
      </c>
      <c r="BO15" s="4794">
        <f t="shared" si="9"/>
        <v>0</v>
      </c>
      <c r="BP15" s="4794">
        <f t="shared" si="10"/>
        <v>0</v>
      </c>
      <c r="BQ15" s="4794">
        <f t="shared" si="11"/>
        <v>0</v>
      </c>
      <c r="BR15" s="4794">
        <f t="shared" si="12"/>
        <v>0</v>
      </c>
      <c r="BS15" s="4794">
        <f t="shared" si="13"/>
        <v>21.474259010241177</v>
      </c>
      <c r="BT15" s="4794">
        <f t="shared" si="14"/>
        <v>0</v>
      </c>
      <c r="BU15" s="4794">
        <f t="shared" si="15"/>
        <v>0</v>
      </c>
      <c r="BV15" s="4794">
        <f t="shared" si="16"/>
        <v>0</v>
      </c>
      <c r="BW15" s="4794">
        <f t="shared" si="17"/>
        <v>0</v>
      </c>
      <c r="BX15" s="4794">
        <f t="shared" si="18"/>
        <v>0</v>
      </c>
      <c r="BY15" s="4794">
        <f t="shared" si="19"/>
        <v>0</v>
      </c>
      <c r="BZ15" s="4794">
        <f t="shared" si="20"/>
        <v>0</v>
      </c>
      <c r="CA15" s="4794">
        <f t="shared" si="21"/>
        <v>0</v>
      </c>
      <c r="CB15" s="4794">
        <f t="shared" si="22"/>
        <v>0</v>
      </c>
      <c r="CC15" s="4794">
        <f t="shared" si="23"/>
        <v>0</v>
      </c>
      <c r="CD15" s="4794">
        <f t="shared" si="24"/>
        <v>0</v>
      </c>
      <c r="CE15" s="4794">
        <f t="shared" si="25"/>
        <v>0</v>
      </c>
      <c r="CF15" s="4794">
        <f t="shared" si="26"/>
        <v>0</v>
      </c>
      <c r="CG15" s="4794">
        <f t="shared" si="27"/>
        <v>0</v>
      </c>
      <c r="CH15" s="4794">
        <f t="shared" si="28"/>
        <v>0</v>
      </c>
      <c r="CI15" s="4794">
        <f t="shared" si="29"/>
        <v>0</v>
      </c>
      <c r="CJ15" s="4794">
        <f t="shared" si="30"/>
        <v>0</v>
      </c>
    </row>
    <row r="16" spans="1:88" s="1217" customFormat="1" ht="15.95" customHeight="1">
      <c r="A16" s="1207" t="s">
        <v>338</v>
      </c>
      <c r="B16" s="1218" t="s">
        <v>231</v>
      </c>
      <c r="C16" s="1219">
        <f>'12. Разходи'!C16</f>
        <v>57</v>
      </c>
      <c r="D16" s="1210">
        <f>'12. Разходи'!D16-'12. Разходи'!$C16</f>
        <v>0</v>
      </c>
      <c r="E16" s="1211">
        <f>IFERROR(('12. Разходи'!D16-'12. Разходи'!$C16)/'12. Разходи'!$C16,0)</f>
        <v>0</v>
      </c>
      <c r="F16" s="1212">
        <f>'12. Разходи'!E16-'12. Разходи'!$C16</f>
        <v>0</v>
      </c>
      <c r="G16" s="1211">
        <f>IFERROR(('12. Разходи'!E16-'12. Разходи'!$C16)/'12. Разходи'!$C16,0)</f>
        <v>0</v>
      </c>
      <c r="H16" s="1212">
        <f>'12. Разходи'!F16-'12. Разходи'!$C16</f>
        <v>0</v>
      </c>
      <c r="I16" s="1211">
        <f>IFERROR(('12. Разходи'!F16-'12. Разходи'!$C16)/'12. Разходи'!$C16,0)</f>
        <v>0</v>
      </c>
      <c r="J16" s="1212">
        <f>'12. Разходи'!G16-'12. Разходи'!$C16</f>
        <v>0</v>
      </c>
      <c r="K16" s="1211">
        <f>IFERROR(('12. Разходи'!G16-'12. Разходи'!$C16)/'12. Разходи'!$C16,0)</f>
        <v>0</v>
      </c>
      <c r="L16" s="1212">
        <f>'12. Разходи'!H16-'12. Разходи'!$C16</f>
        <v>0</v>
      </c>
      <c r="M16" s="1213">
        <f>IFERROR(('12. Разходи'!H16-'12. Разходи'!$C16)/'12. Разходи'!$C16,0)</f>
        <v>0</v>
      </c>
      <c r="N16" s="1214">
        <f>'12. Разходи'!K16</f>
        <v>0</v>
      </c>
      <c r="O16" s="1210">
        <f>'12. Разходи'!L16-'12. Разходи'!$K16</f>
        <v>0</v>
      </c>
      <c r="P16" s="1211">
        <f>IFERROR(('12. Разходи'!L16-'12. Разходи'!$K16)/'12. Разходи'!$K16,0)</f>
        <v>0</v>
      </c>
      <c r="Q16" s="1212">
        <f>'12. Разходи'!M16-'12. Разходи'!$K16</f>
        <v>0</v>
      </c>
      <c r="R16" s="1211">
        <f>IFERROR(('12. Разходи'!M16-'12. Разходи'!$K16)/'12. Разходи'!$K16,0)</f>
        <v>0</v>
      </c>
      <c r="S16" s="1212">
        <f>'12. Разходи'!N16-'12. Разходи'!$K16</f>
        <v>0</v>
      </c>
      <c r="T16" s="1211">
        <f>IFERROR(('12. Разходи'!N16-'12. Разходи'!$K16)/'12. Разходи'!$K16,0)</f>
        <v>0</v>
      </c>
      <c r="U16" s="1212">
        <f>'12. Разходи'!O16-'12. Разходи'!$K16</f>
        <v>0</v>
      </c>
      <c r="V16" s="1211">
        <f>IFERROR(('12. Разходи'!O16-'12. Разходи'!$K16)/'12. Разходи'!$K16,0)</f>
        <v>0</v>
      </c>
      <c r="W16" s="1212">
        <f>'12. Разходи'!P16-'12. Разходи'!$K16</f>
        <v>0</v>
      </c>
      <c r="X16" s="1215">
        <f>IFERROR(('12. Разходи'!P16-'12. Разходи'!$K16)/'12. Разходи'!$K16,0)</f>
        <v>0</v>
      </c>
      <c r="Y16" s="1214">
        <f>'12. Разходи'!S16</f>
        <v>5</v>
      </c>
      <c r="Z16" s="1210">
        <f>'12. Разходи'!T16-'12. Разходи'!$S16</f>
        <v>0</v>
      </c>
      <c r="AA16" s="1211">
        <f>IFERROR(('12. Разходи'!T16-'12. Разходи'!$S16)/'12. Разходи'!$S16,0)</f>
        <v>0</v>
      </c>
      <c r="AB16" s="1212">
        <f>'12. Разходи'!U16-'12. Разходи'!$S16</f>
        <v>0</v>
      </c>
      <c r="AC16" s="1211">
        <f>IFERROR(('12. Разходи'!U16-'12. Разходи'!$S16)/'12. Разходи'!$S16,0)</f>
        <v>0</v>
      </c>
      <c r="AD16" s="1212">
        <f>'12. Разходи'!V16-'12. Разходи'!$S16</f>
        <v>0</v>
      </c>
      <c r="AE16" s="1211">
        <f>IFERROR(('12. Разходи'!V16-'12. Разходи'!$S16)/'12. Разходи'!$S16,0)</f>
        <v>0</v>
      </c>
      <c r="AF16" s="1212">
        <f>'12. Разходи'!W16-'12. Разходи'!$S16</f>
        <v>0</v>
      </c>
      <c r="AG16" s="1211">
        <f>IFERROR(('12. Разходи'!W16-'12. Разходи'!$S16)/'12. Разходи'!$S16,0)</f>
        <v>0</v>
      </c>
      <c r="AH16" s="1212">
        <f>'12. Разходи'!X16-'12. Разходи'!$S16</f>
        <v>0</v>
      </c>
      <c r="AI16" s="1215">
        <f>IFERROR(('12. Разходи'!X16-'12. Разходи'!$S16)/'12. Разходи'!$S16,0)</f>
        <v>0</v>
      </c>
      <c r="AJ16" s="1214">
        <f>'12. Разходи'!AA16</f>
        <v>0</v>
      </c>
      <c r="AK16" s="1216">
        <f>'12. Разходи'!AB16-'12. Разходи'!$AA16</f>
        <v>0</v>
      </c>
      <c r="AL16" s="1211">
        <f>IFERROR(('12. Разходи'!AB16-'12. Разходи'!$AA16)/'12. Разходи'!$AA16,0)</f>
        <v>0</v>
      </c>
      <c r="AM16" s="1212">
        <f>'12. Разходи'!AC16-'12. Разходи'!$AA16</f>
        <v>0</v>
      </c>
      <c r="AN16" s="1211">
        <f>IFERROR(('12. Разходи'!AC16-'12. Разходи'!$AA16)/'12. Разходи'!$AA16,0)</f>
        <v>0</v>
      </c>
      <c r="AO16" s="1212">
        <f>'12. Разходи'!AD16-'12. Разходи'!$AA16</f>
        <v>0</v>
      </c>
      <c r="AP16" s="1211">
        <f>IFERROR(('12. Разходи'!AD16-'12. Разходи'!$AA16)/'12. Разходи'!$AA16,0)</f>
        <v>0</v>
      </c>
      <c r="AQ16" s="1212">
        <f>'12. Разходи'!AE16-'12. Разходи'!$AA16</f>
        <v>0</v>
      </c>
      <c r="AR16" s="1213">
        <f>IFERROR(('12. Разходи'!AE16-'12. Разходи'!$AA16)/'12. Разходи'!$AA16,0)</f>
        <v>0</v>
      </c>
      <c r="AS16" s="1212">
        <f>'12. Разходи'!AF16-'12. Разходи'!$AA16</f>
        <v>0</v>
      </c>
      <c r="AT16" s="1215">
        <f>IFERROR(('12. Разходи'!AF16-'12. Разходи'!$AA16)/'12. Разходи'!$AA16,0)</f>
        <v>0</v>
      </c>
      <c r="AU16" s="1214">
        <f>'12. Разходи'!AI16</f>
        <v>0</v>
      </c>
      <c r="AV16" s="1216">
        <f>'12. Разходи'!AJ16-'12. Разходи'!$AI16</f>
        <v>0</v>
      </c>
      <c r="AW16" s="1211">
        <f>IFERROR(('12. Разходи'!AJ16-'12. Разходи'!$AI16)/'12. Разходи'!$AI16,0)</f>
        <v>0</v>
      </c>
      <c r="AX16" s="1212">
        <f>'12. Разходи'!AK16-'12. Разходи'!$AI16</f>
        <v>0</v>
      </c>
      <c r="AY16" s="1211">
        <f>IFERROR(('12. Разходи'!AK16-'12. Разходи'!$AI16)/'12. Разходи'!$AI16,0)</f>
        <v>0</v>
      </c>
      <c r="AZ16" s="1212">
        <f>'12. Разходи'!AL16-'12. Разходи'!$AI16</f>
        <v>0</v>
      </c>
      <c r="BA16" s="1211">
        <f>IFERROR(('12. Разходи'!AL16-'12. Разходи'!$AI16)/'12. Разходи'!$AI16,0)</f>
        <v>0</v>
      </c>
      <c r="BB16" s="1212">
        <f>'12. Разходи'!AM16-'12. Разходи'!$AI16</f>
        <v>0</v>
      </c>
      <c r="BC16" s="1213">
        <f>IFERROR(('12. Разходи'!AM16-'12. Разходи'!$AI16)/'12. Разходи'!$AI16,0)</f>
        <v>0</v>
      </c>
      <c r="BD16" s="1212">
        <f>'12. Разходи'!AN16-'12. Разходи'!$AI16</f>
        <v>0</v>
      </c>
      <c r="BE16" s="1215">
        <f>IFERROR(('12. Разходи'!AN16-'12. Разходи'!$AI16)/'12. Разходи'!$AI16,0)</f>
        <v>0</v>
      </c>
      <c r="BF16" s="4775"/>
      <c r="BG16" s="4794">
        <f t="shared" si="1"/>
        <v>29.143637228184453</v>
      </c>
      <c r="BH16" s="4794">
        <f t="shared" si="2"/>
        <v>0</v>
      </c>
      <c r="BI16" s="4794">
        <f t="shared" si="3"/>
        <v>0</v>
      </c>
      <c r="BJ16" s="4794">
        <f t="shared" si="4"/>
        <v>0</v>
      </c>
      <c r="BK16" s="4794">
        <f t="shared" si="5"/>
        <v>0</v>
      </c>
      <c r="BL16" s="4794">
        <f t="shared" si="6"/>
        <v>0</v>
      </c>
      <c r="BM16" s="4794">
        <f t="shared" si="7"/>
        <v>0</v>
      </c>
      <c r="BN16" s="4794">
        <f t="shared" si="8"/>
        <v>0</v>
      </c>
      <c r="BO16" s="4794">
        <f t="shared" si="9"/>
        <v>0</v>
      </c>
      <c r="BP16" s="4794">
        <f t="shared" si="10"/>
        <v>0</v>
      </c>
      <c r="BQ16" s="4794">
        <f t="shared" si="11"/>
        <v>0</v>
      </c>
      <c r="BR16" s="4794">
        <f t="shared" si="12"/>
        <v>0</v>
      </c>
      <c r="BS16" s="4794">
        <f t="shared" si="13"/>
        <v>2.5564594059810926</v>
      </c>
      <c r="BT16" s="4794">
        <f t="shared" si="14"/>
        <v>0</v>
      </c>
      <c r="BU16" s="4794">
        <f t="shared" si="15"/>
        <v>0</v>
      </c>
      <c r="BV16" s="4794">
        <f t="shared" si="16"/>
        <v>0</v>
      </c>
      <c r="BW16" s="4794">
        <f t="shared" si="17"/>
        <v>0</v>
      </c>
      <c r="BX16" s="4794">
        <f t="shared" si="18"/>
        <v>0</v>
      </c>
      <c r="BY16" s="4794">
        <f t="shared" si="19"/>
        <v>0</v>
      </c>
      <c r="BZ16" s="4794">
        <f t="shared" si="20"/>
        <v>0</v>
      </c>
      <c r="CA16" s="4794">
        <f t="shared" si="21"/>
        <v>0</v>
      </c>
      <c r="CB16" s="4794">
        <f t="shared" si="22"/>
        <v>0</v>
      </c>
      <c r="CC16" s="4794">
        <f t="shared" si="23"/>
        <v>0</v>
      </c>
      <c r="CD16" s="4794">
        <f t="shared" si="24"/>
        <v>0</v>
      </c>
      <c r="CE16" s="4794">
        <f t="shared" si="25"/>
        <v>0</v>
      </c>
      <c r="CF16" s="4794">
        <f t="shared" si="26"/>
        <v>0</v>
      </c>
      <c r="CG16" s="4794">
        <f t="shared" si="27"/>
        <v>0</v>
      </c>
      <c r="CH16" s="4794">
        <f t="shared" si="28"/>
        <v>0</v>
      </c>
      <c r="CI16" s="4794">
        <f t="shared" si="29"/>
        <v>0</v>
      </c>
      <c r="CJ16" s="4794">
        <f t="shared" si="30"/>
        <v>0</v>
      </c>
    </row>
    <row r="17" spans="1:88" s="691" customFormat="1" ht="15.95" customHeight="1">
      <c r="A17" s="113" t="s">
        <v>91</v>
      </c>
      <c r="B17" s="915" t="s">
        <v>232</v>
      </c>
      <c r="C17" s="1131">
        <f>'12. Разходи'!C17</f>
        <v>359.26935043799995</v>
      </c>
      <c r="D17" s="1151">
        <f>'12. Разходи'!D17-'12. Разходи'!$C17</f>
        <v>12.282459562000099</v>
      </c>
      <c r="E17" s="896">
        <f>IFERROR(('12. Разходи'!D17-'12. Разходи'!$C17)/'12. Разходи'!$C17,0)</f>
        <v>3.4187329219779121E-2</v>
      </c>
      <c r="F17" s="1152">
        <f>'12. Разходи'!E17-'12. Разходи'!$C17</f>
        <v>-4.9048504379999258</v>
      </c>
      <c r="G17" s="896">
        <f>IFERROR(('12. Разходи'!E17-'12. Разходи'!$C17)/'12. Разходи'!$C17,0)</f>
        <v>-1.3652292999723528E-2</v>
      </c>
      <c r="H17" s="1152">
        <f>'12. Разходи'!F17-'12. Разходи'!$C17</f>
        <v>-19.122620437999899</v>
      </c>
      <c r="I17" s="896">
        <f>IFERROR(('12. Разходи'!F17-'12. Разходи'!$C17)/'12. Разходи'!$C17,0)</f>
        <v>-5.3226417490628494E-2</v>
      </c>
      <c r="J17" s="1152">
        <f>'12. Разходи'!G17-'12. Разходи'!$C17</f>
        <v>-33.340390437999929</v>
      </c>
      <c r="K17" s="896">
        <f>IFERROR(('12. Разходи'!G17-'12. Разходи'!$C17)/'12. Разходи'!$C17,0)</f>
        <v>-9.2800541981533619E-2</v>
      </c>
      <c r="L17" s="1152">
        <f>'12. Разходи'!H17-'12. Разходи'!$C17</f>
        <v>-50.225600437999901</v>
      </c>
      <c r="M17" s="928">
        <f>IFERROR(('12. Разходи'!H17-'12. Разходи'!$C17)/'12. Разходи'!$C17,0)</f>
        <v>-0.13979929091298163</v>
      </c>
      <c r="N17" s="1182">
        <f>'12. Разходи'!K17</f>
        <v>6.8839874999999995E-2</v>
      </c>
      <c r="O17" s="1151">
        <f>'12. Разходи'!L17-'12. Разходи'!$K17</f>
        <v>6.8642124999999998E-2</v>
      </c>
      <c r="P17" s="896">
        <f>IFERROR(('12. Разходи'!L17-'12. Разходи'!$K17)/'12. Разходи'!$K17,0)</f>
        <v>0.99712739164619346</v>
      </c>
      <c r="Q17" s="1152">
        <f>'12. Разходи'!M17-'12. Разходи'!$K17</f>
        <v>6.8642124999999998E-2</v>
      </c>
      <c r="R17" s="896">
        <f>IFERROR(('12. Разходи'!M17-'12. Разходи'!$K17)/'12. Разходи'!$K17,0)</f>
        <v>0.99712739164619346</v>
      </c>
      <c r="S17" s="1152">
        <f>'12. Разходи'!N17-'12. Разходи'!$K17</f>
        <v>4.1145725000000008E-2</v>
      </c>
      <c r="T17" s="896">
        <f>IFERROR(('12. Разходи'!N17-'12. Разходи'!$K17)/'12. Разходи'!$K17,0)</f>
        <v>0.59770191331695488</v>
      </c>
      <c r="U17" s="1152">
        <f>'12. Разходи'!O17-'12. Разходи'!$K17</f>
        <v>4.1145725000000008E-2</v>
      </c>
      <c r="V17" s="896">
        <f>IFERROR(('12. Разходи'!O17-'12. Разходи'!$K17)/'12. Разходи'!$K17,0)</f>
        <v>0.59770191331695488</v>
      </c>
      <c r="W17" s="1152">
        <f>'12. Разходи'!P17-'12. Разходи'!$K17</f>
        <v>4.1145725000000008E-2</v>
      </c>
      <c r="X17" s="838">
        <f>IFERROR(('12. Разходи'!P17-'12. Разходи'!$K17)/'12. Разходи'!$K17,0)</f>
        <v>0.59770191331695488</v>
      </c>
      <c r="Y17" s="1182">
        <f>'12. Разходи'!S17</f>
        <v>619.17692304999991</v>
      </c>
      <c r="Z17" s="1151">
        <f>'12. Разходи'!T17-'12. Разходи'!$S17</f>
        <v>55.231822950000151</v>
      </c>
      <c r="AA17" s="896">
        <f>IFERROR(('12. Разходи'!T17-'12. Разходи'!$S17)/'12. Разходи'!$S17,0)</f>
        <v>8.9202004942196558E-2</v>
      </c>
      <c r="AB17" s="1152">
        <f>'12. Разходи'!U17-'12. Разходи'!$S17</f>
        <v>45.862176950000048</v>
      </c>
      <c r="AC17" s="896">
        <f>IFERROR(('12. Разходи'!U17-'12. Разходи'!$S17)/'12. Разходи'!$S17,0)</f>
        <v>7.4069583737210079E-2</v>
      </c>
      <c r="AD17" s="1152">
        <f>'12. Разходи'!V17-'12. Разходи'!$S17</f>
        <v>34.060726950000117</v>
      </c>
      <c r="AE17" s="896">
        <f>IFERROR(('12. Разходи'!V17-'12. Разходи'!$S17)/'12. Разходи'!$S17,0)</f>
        <v>5.5009684117781045E-2</v>
      </c>
      <c r="AF17" s="1152">
        <f>'12. Разходи'!W17-'12. Разходи'!$S17</f>
        <v>29.340146950000076</v>
      </c>
      <c r="AG17" s="896">
        <f>IFERROR(('12. Разходи'!W17-'12. Разходи'!$S17)/'12. Разходи'!$S17,0)</f>
        <v>4.7385724270009325E-2</v>
      </c>
      <c r="AH17" s="1152">
        <f>'12. Разходи'!X17-'12. Разходи'!$S17</f>
        <v>24.619566950000035</v>
      </c>
      <c r="AI17" s="838">
        <f>IFERROR(('12. Разходи'!X17-'12. Разходи'!$S17)/'12. Разходи'!$S17,0)</f>
        <v>3.9761764422237597E-2</v>
      </c>
      <c r="AJ17" s="1182">
        <f>'12. Разходи'!AA17</f>
        <v>0</v>
      </c>
      <c r="AK17" s="1162">
        <f>'12. Разходи'!AB17-'12. Разходи'!$AA17</f>
        <v>0</v>
      </c>
      <c r="AL17" s="896">
        <f>IFERROR(('12. Разходи'!AB17-'12. Разходи'!$AA17)/'12. Разходи'!$AA17,0)</f>
        <v>0</v>
      </c>
      <c r="AM17" s="1152">
        <f>'12. Разходи'!AC17-'12. Разходи'!$AA17</f>
        <v>0</v>
      </c>
      <c r="AN17" s="896">
        <f>IFERROR(('12. Разходи'!AC17-'12. Разходи'!$AA17)/'12. Разходи'!$AA17,0)</f>
        <v>0</v>
      </c>
      <c r="AO17" s="1152">
        <f>'12. Разходи'!AD17-'12. Разходи'!$AA17</f>
        <v>0</v>
      </c>
      <c r="AP17" s="896">
        <f>IFERROR(('12. Разходи'!AD17-'12. Разходи'!$AA17)/'12. Разходи'!$AA17,0)</f>
        <v>0</v>
      </c>
      <c r="AQ17" s="1152">
        <f>'12. Разходи'!AE17-'12. Разходи'!$AA17</f>
        <v>0</v>
      </c>
      <c r="AR17" s="905">
        <f>IFERROR(('12. Разходи'!AE17-'12. Разходи'!$AA17)/'12. Разходи'!$AA17,0)</f>
        <v>0</v>
      </c>
      <c r="AS17" s="1152">
        <f>'12. Разходи'!AF17-'12. Разходи'!$AA17</f>
        <v>0</v>
      </c>
      <c r="AT17" s="910">
        <f>IFERROR(('12. Разходи'!AF17-'12. Разходи'!$AA17)/'12. Разходи'!$AA17,0)</f>
        <v>0</v>
      </c>
      <c r="AU17" s="1182">
        <f>'12. Разходи'!AI17</f>
        <v>0</v>
      </c>
      <c r="AV17" s="1162">
        <f>'12. Разходи'!AJ17-'12. Разходи'!$AI17</f>
        <v>0</v>
      </c>
      <c r="AW17" s="896">
        <f>IFERROR(('12. Разходи'!AJ17-'12. Разходи'!$AI17)/'12. Разходи'!$AI17,0)</f>
        <v>0</v>
      </c>
      <c r="AX17" s="1152">
        <f>'12. Разходи'!AK17-'12. Разходи'!$AI17</f>
        <v>0</v>
      </c>
      <c r="AY17" s="896">
        <f>IFERROR(('12. Разходи'!AK17-'12. Разходи'!$AI17)/'12. Разходи'!$AI17,0)</f>
        <v>0</v>
      </c>
      <c r="AZ17" s="1152">
        <f>'12. Разходи'!AL17-'12. Разходи'!$AI17</f>
        <v>0</v>
      </c>
      <c r="BA17" s="896">
        <f>IFERROR(('12. Разходи'!AL17-'12. Разходи'!$AI17)/'12. Разходи'!$AI17,0)</f>
        <v>0</v>
      </c>
      <c r="BB17" s="1152">
        <f>'12. Разходи'!AM17-'12. Разходи'!$AI17</f>
        <v>0</v>
      </c>
      <c r="BC17" s="905">
        <f>IFERROR(('12. Разходи'!AM17-'12. Разходи'!$AI17)/'12. Разходи'!$AI17,0)</f>
        <v>0</v>
      </c>
      <c r="BD17" s="1152">
        <f>'12. Разходи'!AN17-'12. Разходи'!$AI17</f>
        <v>0</v>
      </c>
      <c r="BE17" s="910">
        <f>IFERROR(('12. Разходи'!AN17-'12. Разходи'!$AI17)/'12. Разходи'!$AI17,0)</f>
        <v>0</v>
      </c>
      <c r="BF17" s="4775"/>
      <c r="BG17" s="4794">
        <f t="shared" si="1"/>
        <v>183.69150204158845</v>
      </c>
      <c r="BH17" s="4794">
        <f t="shared" si="2"/>
        <v>6.2799218551715121</v>
      </c>
      <c r="BI17" s="4794">
        <f t="shared" si="3"/>
        <v>-2.5078102074310782</v>
      </c>
      <c r="BJ17" s="4794">
        <f t="shared" si="4"/>
        <v>-9.7772405771462232</v>
      </c>
      <c r="BK17" s="4794">
        <f t="shared" si="5"/>
        <v>-17.046670946861401</v>
      </c>
      <c r="BL17" s="4794">
        <f t="shared" si="6"/>
        <v>-25.679941732154585</v>
      </c>
      <c r="BM17" s="4794">
        <f t="shared" si="7"/>
        <v>3.5197269190062531E-2</v>
      </c>
      <c r="BN17" s="4794">
        <f t="shared" si="8"/>
        <v>3.5096161220555977E-2</v>
      </c>
      <c r="BO17" s="4794">
        <f t="shared" si="9"/>
        <v>3.5096161220555977E-2</v>
      </c>
      <c r="BP17" s="4794">
        <f t="shared" si="10"/>
        <v>2.1037475138432283E-2</v>
      </c>
      <c r="BQ17" s="4794">
        <f t="shared" si="11"/>
        <v>2.1037475138432283E-2</v>
      </c>
      <c r="BR17" s="4794">
        <f t="shared" si="12"/>
        <v>2.1037475138432283E-2</v>
      </c>
      <c r="BS17" s="4794">
        <f t="shared" si="13"/>
        <v>316.58013377952068</v>
      </c>
      <c r="BT17" s="4794">
        <f t="shared" si="14"/>
        <v>28.23958265800205</v>
      </c>
      <c r="BU17" s="4794">
        <f t="shared" si="15"/>
        <v>23.448958728519376</v>
      </c>
      <c r="BV17" s="4794">
        <f t="shared" si="16"/>
        <v>17.414973157176298</v>
      </c>
      <c r="BW17" s="4794">
        <f t="shared" si="17"/>
        <v>15.001378928639031</v>
      </c>
      <c r="BX17" s="4794">
        <f t="shared" si="18"/>
        <v>12.587784700101766</v>
      </c>
      <c r="BY17" s="4794">
        <f t="shared" si="19"/>
        <v>0</v>
      </c>
      <c r="BZ17" s="4794">
        <f t="shared" si="20"/>
        <v>0</v>
      </c>
      <c r="CA17" s="4794">
        <f t="shared" si="21"/>
        <v>0</v>
      </c>
      <c r="CB17" s="4794">
        <f t="shared" si="22"/>
        <v>0</v>
      </c>
      <c r="CC17" s="4794">
        <f t="shared" si="23"/>
        <v>0</v>
      </c>
      <c r="CD17" s="4794">
        <f t="shared" si="24"/>
        <v>0</v>
      </c>
      <c r="CE17" s="4794">
        <f t="shared" si="25"/>
        <v>0</v>
      </c>
      <c r="CF17" s="4794">
        <f t="shared" si="26"/>
        <v>0</v>
      </c>
      <c r="CG17" s="4794">
        <f t="shared" si="27"/>
        <v>0</v>
      </c>
      <c r="CH17" s="4794">
        <f t="shared" si="28"/>
        <v>0</v>
      </c>
      <c r="CI17" s="4794">
        <f t="shared" si="29"/>
        <v>0</v>
      </c>
      <c r="CJ17" s="4794">
        <f t="shared" si="30"/>
        <v>0</v>
      </c>
    </row>
    <row r="18" spans="1:88" ht="15.95" customHeight="1">
      <c r="A18" s="854" t="s">
        <v>93</v>
      </c>
      <c r="B18" s="915" t="s">
        <v>233</v>
      </c>
      <c r="C18" s="1204">
        <f>'12. Разходи'!C18</f>
        <v>433</v>
      </c>
      <c r="D18" s="1153">
        <f>'12. Разходи'!D18-'12. Разходи'!$C18</f>
        <v>0</v>
      </c>
      <c r="E18" s="897">
        <f>IFERROR(('12. Разходи'!D18-'12. Разходи'!$C18)/'12. Разходи'!$C18,0)</f>
        <v>0</v>
      </c>
      <c r="F18" s="1154">
        <f>'12. Разходи'!E18-'12. Разходи'!$C18</f>
        <v>0</v>
      </c>
      <c r="G18" s="897">
        <f>IFERROR(('12. Разходи'!E18-'12. Разходи'!$C18)/'12. Разходи'!$C18,0)</f>
        <v>0</v>
      </c>
      <c r="H18" s="1154">
        <f>'12. Разходи'!F18-'12. Разходи'!$C18</f>
        <v>0</v>
      </c>
      <c r="I18" s="897">
        <f>IFERROR(('12. Разходи'!F18-'12. Разходи'!$C18)/'12. Разходи'!$C18,0)</f>
        <v>0</v>
      </c>
      <c r="J18" s="1154">
        <f>'12. Разходи'!G18-'12. Разходи'!$C18</f>
        <v>0</v>
      </c>
      <c r="K18" s="897">
        <f>IFERROR(('12. Разходи'!G18-'12. Разходи'!$C18)/'12. Разходи'!$C18,0)</f>
        <v>0</v>
      </c>
      <c r="L18" s="1154">
        <f>'12. Разходи'!H18-'12. Разходи'!$C18</f>
        <v>0</v>
      </c>
      <c r="M18" s="904">
        <f>IFERROR(('12. Разходи'!H18-'12. Разходи'!$C18)/'12. Разходи'!$C18,0)</f>
        <v>0</v>
      </c>
      <c r="N18" s="1183">
        <f>'12. Разходи'!K18</f>
        <v>84</v>
      </c>
      <c r="O18" s="1153">
        <f>'12. Разходи'!L18-'12. Разходи'!$K18</f>
        <v>0</v>
      </c>
      <c r="P18" s="897">
        <f>IFERROR(('12. Разходи'!L18-'12. Разходи'!$K18)/'12. Разходи'!$K18,0)</f>
        <v>0</v>
      </c>
      <c r="Q18" s="1154">
        <f>'12. Разходи'!M18-'12. Разходи'!$K18</f>
        <v>0</v>
      </c>
      <c r="R18" s="897">
        <f>IFERROR(('12. Разходи'!M18-'12. Разходи'!$K18)/'12. Разходи'!$K18,0)</f>
        <v>0</v>
      </c>
      <c r="S18" s="1154">
        <f>'12. Разходи'!N18-'12. Разходи'!$K18</f>
        <v>0</v>
      </c>
      <c r="T18" s="897">
        <f>IFERROR(('12. Разходи'!N18-'12. Разходи'!$K18)/'12. Разходи'!$K18,0)</f>
        <v>0</v>
      </c>
      <c r="U18" s="1154">
        <f>'12. Разходи'!O18-'12. Разходи'!$K18</f>
        <v>0</v>
      </c>
      <c r="V18" s="897">
        <f>IFERROR(('12. Разходи'!O18-'12. Разходи'!$K18)/'12. Разходи'!$K18,0)</f>
        <v>0</v>
      </c>
      <c r="W18" s="1154">
        <f>'12. Разходи'!P18-'12. Разходи'!$K18</f>
        <v>0</v>
      </c>
      <c r="X18" s="725">
        <f>IFERROR(('12. Разходи'!P18-'12. Разходи'!$K18)/'12. Разходи'!$K18,0)</f>
        <v>0</v>
      </c>
      <c r="Y18" s="1183">
        <f>'12. Разходи'!S18</f>
        <v>33</v>
      </c>
      <c r="Z18" s="1153">
        <f>'12. Разходи'!T18-'12. Разходи'!$S18</f>
        <v>0</v>
      </c>
      <c r="AA18" s="897">
        <f>IFERROR(('12. Разходи'!T18-'12. Разходи'!$S18)/'12. Разходи'!$S18,0)</f>
        <v>0</v>
      </c>
      <c r="AB18" s="1154">
        <f>'12. Разходи'!U18-'12. Разходи'!$S18</f>
        <v>0</v>
      </c>
      <c r="AC18" s="897">
        <f>IFERROR(('12. Разходи'!U18-'12. Разходи'!$S18)/'12. Разходи'!$S18,0)</f>
        <v>0</v>
      </c>
      <c r="AD18" s="1154">
        <f>'12. Разходи'!V18-'12. Разходи'!$S18</f>
        <v>0</v>
      </c>
      <c r="AE18" s="897">
        <f>IFERROR(('12. Разходи'!V18-'12. Разходи'!$S18)/'12. Разходи'!$S18,0)</f>
        <v>0</v>
      </c>
      <c r="AF18" s="1154">
        <f>'12. Разходи'!W18-'12. Разходи'!$S18</f>
        <v>0</v>
      </c>
      <c r="AG18" s="897">
        <f>IFERROR(('12. Разходи'!W18-'12. Разходи'!$S18)/'12. Разходи'!$S18,0)</f>
        <v>0</v>
      </c>
      <c r="AH18" s="1154">
        <f>'12. Разходи'!X18-'12. Разходи'!$S18</f>
        <v>0</v>
      </c>
      <c r="AI18" s="725">
        <f>IFERROR(('12. Разходи'!X18-'12. Разходи'!$S18)/'12. Разходи'!$S18,0)</f>
        <v>0</v>
      </c>
      <c r="AJ18" s="1183">
        <f>'12. Разходи'!AA18</f>
        <v>0</v>
      </c>
      <c r="AK18" s="1161">
        <f>'12. Разходи'!AB18-'12. Разходи'!$AA18</f>
        <v>0</v>
      </c>
      <c r="AL18" s="897">
        <f>IFERROR(('12. Разходи'!AB18-'12. Разходи'!$AA18)/'12. Разходи'!$AA18,0)</f>
        <v>0</v>
      </c>
      <c r="AM18" s="1154">
        <f>'12. Разходи'!AC18-'12. Разходи'!$AA18</f>
        <v>0</v>
      </c>
      <c r="AN18" s="897">
        <f>IFERROR(('12. Разходи'!AC18-'12. Разходи'!$AA18)/'12. Разходи'!$AA18,0)</f>
        <v>0</v>
      </c>
      <c r="AO18" s="1154">
        <f>'12. Разходи'!AD18-'12. Разходи'!$AA18</f>
        <v>0</v>
      </c>
      <c r="AP18" s="904">
        <f>IFERROR(('12. Разходи'!AD18-'12. Разходи'!$AA18)/'12. Разходи'!$AA18,0)</f>
        <v>0</v>
      </c>
      <c r="AQ18" s="1168">
        <f>'12. Разходи'!AE18-'12. Разходи'!$AA18</f>
        <v>0</v>
      </c>
      <c r="AR18" s="904">
        <f>IFERROR(('12. Разходи'!AE18-'12. Разходи'!$AA18)/'12. Разходи'!$AA18,0)</f>
        <v>0</v>
      </c>
      <c r="AS18" s="1154">
        <f>'12. Разходи'!AF18-'12. Разходи'!$AA18</f>
        <v>0</v>
      </c>
      <c r="AT18" s="725">
        <f>IFERROR(('12. Разходи'!AF18-'12. Разходи'!$AA18)/'12. Разходи'!$AA18,0)</f>
        <v>0</v>
      </c>
      <c r="AU18" s="1183">
        <f>'12. Разходи'!AI18</f>
        <v>0</v>
      </c>
      <c r="AV18" s="1161">
        <f>'12. Разходи'!AJ18-'12. Разходи'!$AI18</f>
        <v>0</v>
      </c>
      <c r="AW18" s="897">
        <f>IFERROR(('12. Разходи'!AJ18-'12. Разходи'!$AI18)/'12. Разходи'!$AI18,0)</f>
        <v>0</v>
      </c>
      <c r="AX18" s="1154">
        <f>'12. Разходи'!AK18-'12. Разходи'!$AI18</f>
        <v>0</v>
      </c>
      <c r="AY18" s="897">
        <f>IFERROR(('12. Разходи'!AK18-'12. Разходи'!$AI18)/'12. Разходи'!$AI18,0)</f>
        <v>0</v>
      </c>
      <c r="AZ18" s="1154">
        <f>'12. Разходи'!AL18-'12. Разходи'!$AI18</f>
        <v>0</v>
      </c>
      <c r="BA18" s="904">
        <f>IFERROR(('12. Разходи'!AL18-'12. Разходи'!$AI18)/'12. Разходи'!$AI18,0)</f>
        <v>0</v>
      </c>
      <c r="BB18" s="1168">
        <f>'12. Разходи'!AM18-'12. Разходи'!$AI18</f>
        <v>0</v>
      </c>
      <c r="BC18" s="904">
        <f>IFERROR(('12. Разходи'!AM18-'12. Разходи'!$AI18)/'12. Разходи'!$AI18,0)</f>
        <v>0</v>
      </c>
      <c r="BD18" s="1154">
        <f>'12. Разходи'!AN18-'12. Разходи'!$AI18</f>
        <v>0</v>
      </c>
      <c r="BE18" s="725">
        <f>IFERROR(('12. Разходи'!AN18-'12. Разходи'!$AI18)/'12. Разходи'!$AI18,0)</f>
        <v>0</v>
      </c>
      <c r="BF18" s="4775"/>
      <c r="BG18" s="4794">
        <f t="shared" si="1"/>
        <v>221.38938455796261</v>
      </c>
      <c r="BH18" s="4794">
        <f t="shared" si="2"/>
        <v>0</v>
      </c>
      <c r="BI18" s="4794">
        <f t="shared" si="3"/>
        <v>0</v>
      </c>
      <c r="BJ18" s="4794">
        <f t="shared" si="4"/>
        <v>0</v>
      </c>
      <c r="BK18" s="4794">
        <f t="shared" si="5"/>
        <v>0</v>
      </c>
      <c r="BL18" s="4794">
        <f t="shared" si="6"/>
        <v>0</v>
      </c>
      <c r="BM18" s="4794">
        <f t="shared" si="7"/>
        <v>42.948518020482354</v>
      </c>
      <c r="BN18" s="4794">
        <f t="shared" si="8"/>
        <v>0</v>
      </c>
      <c r="BO18" s="4794">
        <f t="shared" si="9"/>
        <v>0</v>
      </c>
      <c r="BP18" s="4794">
        <f t="shared" si="10"/>
        <v>0</v>
      </c>
      <c r="BQ18" s="4794">
        <f t="shared" si="11"/>
        <v>0</v>
      </c>
      <c r="BR18" s="4794">
        <f t="shared" si="12"/>
        <v>0</v>
      </c>
      <c r="BS18" s="4794">
        <f t="shared" si="13"/>
        <v>16.87263207947521</v>
      </c>
      <c r="BT18" s="4794">
        <f t="shared" si="14"/>
        <v>0</v>
      </c>
      <c r="BU18" s="4794">
        <f t="shared" si="15"/>
        <v>0</v>
      </c>
      <c r="BV18" s="4794">
        <f t="shared" si="16"/>
        <v>0</v>
      </c>
      <c r="BW18" s="4794">
        <f t="shared" si="17"/>
        <v>0</v>
      </c>
      <c r="BX18" s="4794">
        <f t="shared" si="18"/>
        <v>0</v>
      </c>
      <c r="BY18" s="4794">
        <f t="shared" si="19"/>
        <v>0</v>
      </c>
      <c r="BZ18" s="4794">
        <f t="shared" si="20"/>
        <v>0</v>
      </c>
      <c r="CA18" s="4794">
        <f t="shared" si="21"/>
        <v>0</v>
      </c>
      <c r="CB18" s="4794">
        <f t="shared" si="22"/>
        <v>0</v>
      </c>
      <c r="CC18" s="4794">
        <f t="shared" si="23"/>
        <v>0</v>
      </c>
      <c r="CD18" s="4794">
        <f t="shared" si="24"/>
        <v>0</v>
      </c>
      <c r="CE18" s="4794">
        <f t="shared" si="25"/>
        <v>0</v>
      </c>
      <c r="CF18" s="4794">
        <f t="shared" si="26"/>
        <v>0</v>
      </c>
      <c r="CG18" s="4794">
        <f t="shared" si="27"/>
        <v>0</v>
      </c>
      <c r="CH18" s="4794">
        <f t="shared" si="28"/>
        <v>0</v>
      </c>
      <c r="CI18" s="4794">
        <f t="shared" si="29"/>
        <v>0</v>
      </c>
      <c r="CJ18" s="4794">
        <f t="shared" si="30"/>
        <v>0</v>
      </c>
    </row>
    <row r="19" spans="1:88" s="1217" customFormat="1" ht="15.95" customHeight="1">
      <c r="A19" s="1220" t="s">
        <v>234</v>
      </c>
      <c r="B19" s="1221" t="s">
        <v>1337</v>
      </c>
      <c r="C19" s="1222">
        <f>'12. Разходи'!C19</f>
        <v>0</v>
      </c>
      <c r="D19" s="1223">
        <f>'12. Разходи'!D19-'12. Разходи'!$C19</f>
        <v>0</v>
      </c>
      <c r="E19" s="1224">
        <f>IFERROR(('12. Разходи'!D19-'12. Разходи'!$C19)/'12. Разходи'!$C19,0)</f>
        <v>0</v>
      </c>
      <c r="F19" s="1225">
        <f>'12. Разходи'!E19-'12. Разходи'!$C19</f>
        <v>0</v>
      </c>
      <c r="G19" s="1224">
        <f>IFERROR(('12. Разходи'!E19-'12. Разходи'!$C19)/'12. Разходи'!$C19,0)</f>
        <v>0</v>
      </c>
      <c r="H19" s="1225">
        <f>'12. Разходи'!F19-'12. Разходи'!$C19</f>
        <v>0</v>
      </c>
      <c r="I19" s="1224">
        <f>IFERROR(('12. Разходи'!F19-'12. Разходи'!$C19)/'12. Разходи'!$C19,0)</f>
        <v>0</v>
      </c>
      <c r="J19" s="1225">
        <f>'12. Разходи'!G19-'12. Разходи'!$C19</f>
        <v>0</v>
      </c>
      <c r="K19" s="1224">
        <f>IFERROR(('12. Разходи'!G19-'12. Разходи'!$C19)/'12. Разходи'!$C19,0)</f>
        <v>0</v>
      </c>
      <c r="L19" s="1225">
        <f>'12. Разходи'!H19-'12. Разходи'!$C19</f>
        <v>0</v>
      </c>
      <c r="M19" s="1226">
        <f>IFERROR(('12. Разходи'!H19-'12. Разходи'!$C19)/'12. Разходи'!$C19,0)</f>
        <v>0</v>
      </c>
      <c r="N19" s="1227">
        <f>'12. Разходи'!K19</f>
        <v>0</v>
      </c>
      <c r="O19" s="1223">
        <f>'12. Разходи'!L19-'12. Разходи'!$K19</f>
        <v>0</v>
      </c>
      <c r="P19" s="1224">
        <f>IFERROR(('12. Разходи'!L19-'12. Разходи'!$K19)/'12. Разходи'!$K19,0)</f>
        <v>0</v>
      </c>
      <c r="Q19" s="1225">
        <f>'12. Разходи'!M19-'12. Разходи'!$K19</f>
        <v>0</v>
      </c>
      <c r="R19" s="1224">
        <f>IFERROR(('12. Разходи'!M19-'12. Разходи'!$K19)/'12. Разходи'!$K19,0)</f>
        <v>0</v>
      </c>
      <c r="S19" s="1225">
        <f>'12. Разходи'!N19-'12. Разходи'!$K19</f>
        <v>0</v>
      </c>
      <c r="T19" s="1224">
        <f>IFERROR(('12. Разходи'!N19-'12. Разходи'!$K19)/'12. Разходи'!$K19,0)</f>
        <v>0</v>
      </c>
      <c r="U19" s="1225">
        <f>'12. Разходи'!O19-'12. Разходи'!$K19</f>
        <v>0</v>
      </c>
      <c r="V19" s="1224">
        <f>IFERROR(('12. Разходи'!O19-'12. Разходи'!$K19)/'12. Разходи'!$K19,0)</f>
        <v>0</v>
      </c>
      <c r="W19" s="1225">
        <f>'12. Разходи'!P19-'12. Разходи'!$K19</f>
        <v>0</v>
      </c>
      <c r="X19" s="1228">
        <f>IFERROR(('12. Разходи'!P19-'12. Разходи'!$K19)/'12. Разходи'!$K19,0)</f>
        <v>0</v>
      </c>
      <c r="Y19" s="1227">
        <f>'12. Разходи'!S19</f>
        <v>0</v>
      </c>
      <c r="Z19" s="1223">
        <f>'12. Разходи'!T19-'12. Разходи'!$S19</f>
        <v>0</v>
      </c>
      <c r="AA19" s="1224">
        <f>IFERROR(('12. Разходи'!T19-'12. Разходи'!$S19)/'12. Разходи'!$S19,0)</f>
        <v>0</v>
      </c>
      <c r="AB19" s="1225">
        <f>'12. Разходи'!U19-'12. Разходи'!$S19</f>
        <v>0</v>
      </c>
      <c r="AC19" s="1224">
        <f>IFERROR(('12. Разходи'!U19-'12. Разходи'!$S19)/'12. Разходи'!$S19,0)</f>
        <v>0</v>
      </c>
      <c r="AD19" s="1225">
        <f>'12. Разходи'!V19-'12. Разходи'!$S19</f>
        <v>0</v>
      </c>
      <c r="AE19" s="1224">
        <f>IFERROR(('12. Разходи'!V19-'12. Разходи'!$S19)/'12. Разходи'!$S19,0)</f>
        <v>0</v>
      </c>
      <c r="AF19" s="1225">
        <f>'12. Разходи'!W19-'12. Разходи'!$S19</f>
        <v>0</v>
      </c>
      <c r="AG19" s="1224">
        <f>IFERROR(('12. Разходи'!W19-'12. Разходи'!$S19)/'12. Разходи'!$S19,0)</f>
        <v>0</v>
      </c>
      <c r="AH19" s="1225">
        <f>'12. Разходи'!X19-'12. Разходи'!$S19</f>
        <v>0</v>
      </c>
      <c r="AI19" s="1228">
        <f>IFERROR(('12. Разходи'!X19-'12. Разходи'!$S19)/'12. Разходи'!$S19,0)</f>
        <v>0</v>
      </c>
      <c r="AJ19" s="1227">
        <f>'12. Разходи'!AA19</f>
        <v>0</v>
      </c>
      <c r="AK19" s="1229">
        <f>'12. Разходи'!AB19-'12. Разходи'!$AA19</f>
        <v>0</v>
      </c>
      <c r="AL19" s="1224">
        <f>IFERROR(('12. Разходи'!AB19-'12. Разходи'!$AA19)/'12. Разходи'!$AA19,0)</f>
        <v>0</v>
      </c>
      <c r="AM19" s="1223">
        <f>'12. Разходи'!AC19-'12. Разходи'!$AA19</f>
        <v>0</v>
      </c>
      <c r="AN19" s="1230">
        <f>IFERROR(('12. Разходи'!AC19-'12. Разходи'!$AA19)/'12. Разходи'!$AA19,0)</f>
        <v>0</v>
      </c>
      <c r="AO19" s="1223">
        <f>'12. Разходи'!AD19-'12. Разходи'!$AA19</f>
        <v>0</v>
      </c>
      <c r="AP19" s="1230">
        <f>IFERROR(('12. Разходи'!AD19-'12. Разходи'!$AA19)/'12. Разходи'!$AA19,0)</f>
        <v>0</v>
      </c>
      <c r="AQ19" s="1223">
        <f>'12. Разходи'!AE19-'12. Разходи'!$AA19</f>
        <v>0</v>
      </c>
      <c r="AR19" s="1231">
        <f>IFERROR(('12. Разходи'!AE19-'12. Разходи'!$AA19)/'12. Разходи'!$AA19,0)</f>
        <v>0</v>
      </c>
      <c r="AS19" s="1225">
        <f>'12. Разходи'!AF19-'12. Разходи'!$AA19</f>
        <v>0</v>
      </c>
      <c r="AT19" s="1232">
        <f>IFERROR(('12. Разходи'!AF19-'12. Разходи'!$AA19)/'12. Разходи'!$AA19,0)</f>
        <v>0</v>
      </c>
      <c r="AU19" s="1227">
        <f>'12. Разходи'!AI19</f>
        <v>0</v>
      </c>
      <c r="AV19" s="1229">
        <f>'12. Разходи'!AJ19-'12. Разходи'!$AI19</f>
        <v>0</v>
      </c>
      <c r="AW19" s="1224">
        <f>IFERROR(('12. Разходи'!AJ19-'12. Разходи'!$AI19)/'12. Разходи'!$AI19,0)</f>
        <v>0</v>
      </c>
      <c r="AX19" s="1223">
        <f>'12. Разходи'!AK19-'12. Разходи'!$AI19</f>
        <v>0</v>
      </c>
      <c r="AY19" s="1230">
        <f>IFERROR(('12. Разходи'!AK19-'12. Разходи'!$AI19)/'12. Разходи'!$AI19,0)</f>
        <v>0</v>
      </c>
      <c r="AZ19" s="1223">
        <f>'12. Разходи'!AL19-'12. Разходи'!$AI19</f>
        <v>0</v>
      </c>
      <c r="BA19" s="1230">
        <f>IFERROR(('12. Разходи'!AL19-'12. Разходи'!$AI19)/'12. Разходи'!$AI19,0)</f>
        <v>0</v>
      </c>
      <c r="BB19" s="1223">
        <f>'12. Разходи'!AM19-'12. Разходи'!$AI19</f>
        <v>0</v>
      </c>
      <c r="BC19" s="1231">
        <f>IFERROR(('12. Разходи'!AM19-'12. Разходи'!$AI19)/'12. Разходи'!$AI19,0)</f>
        <v>0</v>
      </c>
      <c r="BD19" s="1225">
        <f>'12. Разходи'!AN19-'12. Разходи'!$AI19</f>
        <v>0</v>
      </c>
      <c r="BE19" s="1232">
        <f>IFERROR(('12. Разходи'!AN19-'12. Разходи'!$AI19)/'12. Разходи'!$AI19,0)</f>
        <v>0</v>
      </c>
      <c r="BF19" s="4775"/>
      <c r="BG19" s="4794">
        <f t="shared" si="1"/>
        <v>0</v>
      </c>
      <c r="BH19" s="4794">
        <f t="shared" si="2"/>
        <v>0</v>
      </c>
      <c r="BI19" s="4794">
        <f t="shared" si="3"/>
        <v>0</v>
      </c>
      <c r="BJ19" s="4794">
        <f t="shared" si="4"/>
        <v>0</v>
      </c>
      <c r="BK19" s="4794">
        <f t="shared" si="5"/>
        <v>0</v>
      </c>
      <c r="BL19" s="4794">
        <f t="shared" si="6"/>
        <v>0</v>
      </c>
      <c r="BM19" s="4794">
        <f t="shared" si="7"/>
        <v>0</v>
      </c>
      <c r="BN19" s="4794">
        <f t="shared" si="8"/>
        <v>0</v>
      </c>
      <c r="BO19" s="4794">
        <f t="shared" si="9"/>
        <v>0</v>
      </c>
      <c r="BP19" s="4794">
        <f t="shared" si="10"/>
        <v>0</v>
      </c>
      <c r="BQ19" s="4794">
        <f t="shared" si="11"/>
        <v>0</v>
      </c>
      <c r="BR19" s="4794">
        <f t="shared" si="12"/>
        <v>0</v>
      </c>
      <c r="BS19" s="4794">
        <f t="shared" si="13"/>
        <v>0</v>
      </c>
      <c r="BT19" s="4794">
        <f t="shared" si="14"/>
        <v>0</v>
      </c>
      <c r="BU19" s="4794">
        <f t="shared" si="15"/>
        <v>0</v>
      </c>
      <c r="BV19" s="4794">
        <f t="shared" si="16"/>
        <v>0</v>
      </c>
      <c r="BW19" s="4794">
        <f t="shared" si="17"/>
        <v>0</v>
      </c>
      <c r="BX19" s="4794">
        <f t="shared" si="18"/>
        <v>0</v>
      </c>
      <c r="BY19" s="4794">
        <f t="shared" si="19"/>
        <v>0</v>
      </c>
      <c r="BZ19" s="4794">
        <f t="shared" si="20"/>
        <v>0</v>
      </c>
      <c r="CA19" s="4794">
        <f t="shared" si="21"/>
        <v>0</v>
      </c>
      <c r="CB19" s="4794">
        <f t="shared" si="22"/>
        <v>0</v>
      </c>
      <c r="CC19" s="4794">
        <f t="shared" si="23"/>
        <v>0</v>
      </c>
      <c r="CD19" s="4794">
        <f t="shared" si="24"/>
        <v>0</v>
      </c>
      <c r="CE19" s="4794">
        <f t="shared" si="25"/>
        <v>0</v>
      </c>
      <c r="CF19" s="4794">
        <f t="shared" si="26"/>
        <v>0</v>
      </c>
      <c r="CG19" s="4794">
        <f t="shared" si="27"/>
        <v>0</v>
      </c>
      <c r="CH19" s="4794">
        <f t="shared" si="28"/>
        <v>0</v>
      </c>
      <c r="CI19" s="4794">
        <f t="shared" si="29"/>
        <v>0</v>
      </c>
      <c r="CJ19" s="4794">
        <f t="shared" si="30"/>
        <v>0</v>
      </c>
    </row>
    <row r="20" spans="1:88" s="1217" customFormat="1" ht="15.95" customHeight="1">
      <c r="A20" s="1220" t="s">
        <v>436</v>
      </c>
      <c r="B20" s="1221" t="s">
        <v>1338</v>
      </c>
      <c r="C20" s="1222">
        <f>'12. Разходи'!C20</f>
        <v>77</v>
      </c>
      <c r="D20" s="1223">
        <f>'12. Разходи'!D20-'12. Разходи'!$C20</f>
        <v>0</v>
      </c>
      <c r="E20" s="1224">
        <f>IFERROR(('12. Разходи'!D20-'12. Разходи'!$C20)/'12. Разходи'!$C20,0)</f>
        <v>0</v>
      </c>
      <c r="F20" s="1225">
        <f>'12. Разходи'!E20-'12. Разходи'!$C20</f>
        <v>0</v>
      </c>
      <c r="G20" s="1224">
        <f>IFERROR(('12. Разходи'!E20-'12. Разходи'!$C20)/'12. Разходи'!$C20,0)</f>
        <v>0</v>
      </c>
      <c r="H20" s="1225">
        <f>'12. Разходи'!F20-'12. Разходи'!$C20</f>
        <v>0</v>
      </c>
      <c r="I20" s="1224">
        <f>IFERROR(('12. Разходи'!F20-'12. Разходи'!$C20)/'12. Разходи'!$C20,0)</f>
        <v>0</v>
      </c>
      <c r="J20" s="1225">
        <f>'12. Разходи'!G20-'12. Разходи'!$C20</f>
        <v>0</v>
      </c>
      <c r="K20" s="1224">
        <f>IFERROR(('12. Разходи'!G20-'12. Разходи'!$C20)/'12. Разходи'!$C20,0)</f>
        <v>0</v>
      </c>
      <c r="L20" s="1225">
        <f>'12. Разходи'!H20-'12. Разходи'!$C20</f>
        <v>0</v>
      </c>
      <c r="M20" s="1226">
        <f>IFERROR(('12. Разходи'!H20-'12. Разходи'!$C20)/'12. Разходи'!$C20,0)</f>
        <v>0</v>
      </c>
      <c r="N20" s="1227">
        <f>'12. Разходи'!K20</f>
        <v>18</v>
      </c>
      <c r="O20" s="1223">
        <f>'12. Разходи'!L20-'12. Разходи'!$K20</f>
        <v>0</v>
      </c>
      <c r="P20" s="1224">
        <f>IFERROR(('12. Разходи'!L20-'12. Разходи'!$K20)/'12. Разходи'!$K20,0)</f>
        <v>0</v>
      </c>
      <c r="Q20" s="1225">
        <f>'12. Разходи'!M20-'12. Разходи'!$K20</f>
        <v>0</v>
      </c>
      <c r="R20" s="1224">
        <f>IFERROR(('12. Разходи'!M20-'12. Разходи'!$K20)/'12. Разходи'!$K20,0)</f>
        <v>0</v>
      </c>
      <c r="S20" s="1225">
        <f>'12. Разходи'!N20-'12. Разходи'!$K20</f>
        <v>0</v>
      </c>
      <c r="T20" s="1224">
        <f>IFERROR(('12. Разходи'!N20-'12. Разходи'!$K20)/'12. Разходи'!$K20,0)</f>
        <v>0</v>
      </c>
      <c r="U20" s="1225">
        <f>'12. Разходи'!O20-'12. Разходи'!$K20</f>
        <v>0</v>
      </c>
      <c r="V20" s="1224">
        <f>IFERROR(('12. Разходи'!O20-'12. Разходи'!$K20)/'12. Разходи'!$K20,0)</f>
        <v>0</v>
      </c>
      <c r="W20" s="1225">
        <f>'12. Разходи'!P20-'12. Разходи'!$K20</f>
        <v>0</v>
      </c>
      <c r="X20" s="1228">
        <f>IFERROR(('12. Разходи'!P20-'12. Разходи'!$K20)/'12. Разходи'!$K20,0)</f>
        <v>0</v>
      </c>
      <c r="Y20" s="1227">
        <f>'12. Разходи'!S20</f>
        <v>32</v>
      </c>
      <c r="Z20" s="1223">
        <f>'12. Разходи'!T20-'12. Разходи'!$S20</f>
        <v>0</v>
      </c>
      <c r="AA20" s="1224">
        <f>IFERROR(('12. Разходи'!T20-'12. Разходи'!$S20)/'12. Разходи'!$S20,0)</f>
        <v>0</v>
      </c>
      <c r="AB20" s="1225">
        <f>'12. Разходи'!U20-'12. Разходи'!$S20</f>
        <v>0</v>
      </c>
      <c r="AC20" s="1224">
        <f>IFERROR(('12. Разходи'!U20-'12. Разходи'!$S20)/'12. Разходи'!$S20,0)</f>
        <v>0</v>
      </c>
      <c r="AD20" s="1225">
        <f>'12. Разходи'!V20-'12. Разходи'!$S20</f>
        <v>0</v>
      </c>
      <c r="AE20" s="1224">
        <f>IFERROR(('12. Разходи'!V20-'12. Разходи'!$S20)/'12. Разходи'!$S20,0)</f>
        <v>0</v>
      </c>
      <c r="AF20" s="1225">
        <f>'12. Разходи'!W20-'12. Разходи'!$S20</f>
        <v>0</v>
      </c>
      <c r="AG20" s="1224">
        <f>IFERROR(('12. Разходи'!W20-'12. Разходи'!$S20)/'12. Разходи'!$S20,0)</f>
        <v>0</v>
      </c>
      <c r="AH20" s="1225">
        <f>'12. Разходи'!X20-'12. Разходи'!$S20</f>
        <v>0</v>
      </c>
      <c r="AI20" s="1228">
        <f>IFERROR(('12. Разходи'!X20-'12. Разходи'!$S20)/'12. Разходи'!$S20,0)</f>
        <v>0</v>
      </c>
      <c r="AJ20" s="1227">
        <f>'12. Разходи'!AA20</f>
        <v>0</v>
      </c>
      <c r="AK20" s="1229">
        <f>'12. Разходи'!AB20-'12. Разходи'!$AA20</f>
        <v>0</v>
      </c>
      <c r="AL20" s="1224">
        <f>IFERROR(('12. Разходи'!AB20-'12. Разходи'!$AA20)/'12. Разходи'!$AA20,0)</f>
        <v>0</v>
      </c>
      <c r="AM20" s="1223">
        <f>'12. Разходи'!AC20-'12. Разходи'!$AA20</f>
        <v>0</v>
      </c>
      <c r="AN20" s="1230">
        <f>IFERROR(('12. Разходи'!AC20-'12. Разходи'!$AA20)/'12. Разходи'!$AA20,0)</f>
        <v>0</v>
      </c>
      <c r="AO20" s="1223">
        <f>'12. Разходи'!AD20-'12. Разходи'!$AA20</f>
        <v>0</v>
      </c>
      <c r="AP20" s="1230">
        <f>IFERROR(('12. Разходи'!AD20-'12. Разходи'!$AA20)/'12. Разходи'!$AA20,0)</f>
        <v>0</v>
      </c>
      <c r="AQ20" s="1223">
        <f>'12. Разходи'!AE20-'12. Разходи'!$AA20</f>
        <v>0</v>
      </c>
      <c r="AR20" s="1231">
        <f>IFERROR(('12. Разходи'!AE20-'12. Разходи'!$AA20)/'12. Разходи'!$AA20,0)</f>
        <v>0</v>
      </c>
      <c r="AS20" s="1225">
        <f>'12. Разходи'!AF20-'12. Разходи'!$AA20</f>
        <v>0</v>
      </c>
      <c r="AT20" s="1232">
        <f>IFERROR(('12. Разходи'!AF20-'12. Разходи'!$AA20)/'12. Разходи'!$AA20,0)</f>
        <v>0</v>
      </c>
      <c r="AU20" s="1227">
        <f>'12. Разходи'!AI20</f>
        <v>0</v>
      </c>
      <c r="AV20" s="1229">
        <f>'12. Разходи'!AJ20-'12. Разходи'!$AI20</f>
        <v>0</v>
      </c>
      <c r="AW20" s="1224">
        <f>IFERROR(('12. Разходи'!AJ20-'12. Разходи'!$AI20)/'12. Разходи'!$AI20,0)</f>
        <v>0</v>
      </c>
      <c r="AX20" s="1223">
        <f>'12. Разходи'!AK20-'12. Разходи'!$AI20</f>
        <v>0</v>
      </c>
      <c r="AY20" s="1230">
        <f>IFERROR(('12. Разходи'!AK20-'12. Разходи'!$AI20)/'12. Разходи'!$AI20,0)</f>
        <v>0</v>
      </c>
      <c r="AZ20" s="1223">
        <f>'12. Разходи'!AL20-'12. Разходи'!$AI20</f>
        <v>0</v>
      </c>
      <c r="BA20" s="1230">
        <f>IFERROR(('12. Разходи'!AL20-'12. Разходи'!$AI20)/'12. Разходи'!$AI20,0)</f>
        <v>0</v>
      </c>
      <c r="BB20" s="1223">
        <f>'12. Разходи'!AM20-'12. Разходи'!$AI20</f>
        <v>0</v>
      </c>
      <c r="BC20" s="1231">
        <f>IFERROR(('12. Разходи'!AM20-'12. Разходи'!$AI20)/'12. Разходи'!$AI20,0)</f>
        <v>0</v>
      </c>
      <c r="BD20" s="1225">
        <f>'12. Разходи'!AN20-'12. Разходи'!$AI20</f>
        <v>0</v>
      </c>
      <c r="BE20" s="1232">
        <f>IFERROR(('12. Разходи'!AN20-'12. Разходи'!$AI20)/'12. Разходи'!$AI20,0)</f>
        <v>0</v>
      </c>
      <c r="BF20" s="4775"/>
      <c r="BG20" s="4794">
        <f t="shared" si="1"/>
        <v>39.369474852108823</v>
      </c>
      <c r="BH20" s="4794">
        <f t="shared" si="2"/>
        <v>0</v>
      </c>
      <c r="BI20" s="4794">
        <f t="shared" si="3"/>
        <v>0</v>
      </c>
      <c r="BJ20" s="4794">
        <f t="shared" si="4"/>
        <v>0</v>
      </c>
      <c r="BK20" s="4794">
        <f t="shared" si="5"/>
        <v>0</v>
      </c>
      <c r="BL20" s="4794">
        <f t="shared" si="6"/>
        <v>0</v>
      </c>
      <c r="BM20" s="4794">
        <f t="shared" si="7"/>
        <v>9.2032538615319321</v>
      </c>
      <c r="BN20" s="4794">
        <f t="shared" si="8"/>
        <v>0</v>
      </c>
      <c r="BO20" s="4794">
        <f t="shared" si="9"/>
        <v>0</v>
      </c>
      <c r="BP20" s="4794">
        <f t="shared" si="10"/>
        <v>0</v>
      </c>
      <c r="BQ20" s="4794">
        <f t="shared" si="11"/>
        <v>0</v>
      </c>
      <c r="BR20" s="4794">
        <f t="shared" si="12"/>
        <v>0</v>
      </c>
      <c r="BS20" s="4794">
        <f t="shared" si="13"/>
        <v>16.361340198278992</v>
      </c>
      <c r="BT20" s="4794">
        <f t="shared" si="14"/>
        <v>0</v>
      </c>
      <c r="BU20" s="4794">
        <f t="shared" si="15"/>
        <v>0</v>
      </c>
      <c r="BV20" s="4794">
        <f t="shared" si="16"/>
        <v>0</v>
      </c>
      <c r="BW20" s="4794">
        <f t="shared" si="17"/>
        <v>0</v>
      </c>
      <c r="BX20" s="4794">
        <f t="shared" si="18"/>
        <v>0</v>
      </c>
      <c r="BY20" s="4794">
        <f t="shared" si="19"/>
        <v>0</v>
      </c>
      <c r="BZ20" s="4794">
        <f t="shared" si="20"/>
        <v>0</v>
      </c>
      <c r="CA20" s="4794">
        <f t="shared" si="21"/>
        <v>0</v>
      </c>
      <c r="CB20" s="4794">
        <f t="shared" si="22"/>
        <v>0</v>
      </c>
      <c r="CC20" s="4794">
        <f t="shared" si="23"/>
        <v>0</v>
      </c>
      <c r="CD20" s="4794">
        <f t="shared" si="24"/>
        <v>0</v>
      </c>
      <c r="CE20" s="4794">
        <f t="shared" si="25"/>
        <v>0</v>
      </c>
      <c r="CF20" s="4794">
        <f t="shared" si="26"/>
        <v>0</v>
      </c>
      <c r="CG20" s="4794">
        <f t="shared" si="27"/>
        <v>0</v>
      </c>
      <c r="CH20" s="4794">
        <f t="shared" si="28"/>
        <v>0</v>
      </c>
      <c r="CI20" s="4794">
        <f t="shared" si="29"/>
        <v>0</v>
      </c>
      <c r="CJ20" s="4794">
        <f t="shared" si="30"/>
        <v>0</v>
      </c>
    </row>
    <row r="21" spans="1:88" s="1217" customFormat="1" ht="15.95" customHeight="1">
      <c r="A21" s="1220" t="s">
        <v>1221</v>
      </c>
      <c r="B21" s="3297" t="s">
        <v>1339</v>
      </c>
      <c r="C21" s="3298">
        <f>'12. Разходи'!C21</f>
        <v>356</v>
      </c>
      <c r="D21" s="1223">
        <f>'12. Разходи'!D21-'12. Разходи'!$C21</f>
        <v>0</v>
      </c>
      <c r="E21" s="1224">
        <f>IFERROR(('12. Разходи'!D21-'12. Разходи'!$C21)/'12. Разходи'!$C21,0)</f>
        <v>0</v>
      </c>
      <c r="F21" s="1225">
        <f>'12. Разходи'!E21-'12. Разходи'!$C21</f>
        <v>0</v>
      </c>
      <c r="G21" s="1224">
        <f>IFERROR(('12. Разходи'!E21-'12. Разходи'!$C21)/'12. Разходи'!$C21,0)</f>
        <v>0</v>
      </c>
      <c r="H21" s="1225">
        <f>'12. Разходи'!F21-'12. Разходи'!$C21</f>
        <v>0</v>
      </c>
      <c r="I21" s="1224">
        <f>IFERROR(('12. Разходи'!F21-'12. Разходи'!$C21)/'12. Разходи'!$C21,0)</f>
        <v>0</v>
      </c>
      <c r="J21" s="1225">
        <f>'12. Разходи'!G21-'12. Разходи'!$C21</f>
        <v>0</v>
      </c>
      <c r="K21" s="1224">
        <f>IFERROR(('12. Разходи'!G21-'12. Разходи'!$C21)/'12. Разходи'!$C21,0)</f>
        <v>0</v>
      </c>
      <c r="L21" s="1225">
        <f>'12. Разходи'!H21-'12. Разходи'!$C21</f>
        <v>0</v>
      </c>
      <c r="M21" s="1226">
        <f>IFERROR(('12. Разходи'!H21-'12. Разходи'!$C21)/'12. Разходи'!$C21,0)</f>
        <v>0</v>
      </c>
      <c r="N21" s="1227">
        <f>'12. Разходи'!K21</f>
        <v>66</v>
      </c>
      <c r="O21" s="1223">
        <f>'12. Разходи'!L21-'12. Разходи'!$K21</f>
        <v>0</v>
      </c>
      <c r="P21" s="1224">
        <f>IFERROR(('12. Разходи'!L21-'12. Разходи'!$K21)/'12. Разходи'!$K21,0)</f>
        <v>0</v>
      </c>
      <c r="Q21" s="1225">
        <f>'12. Разходи'!M21-'12. Разходи'!$K21</f>
        <v>0</v>
      </c>
      <c r="R21" s="1224">
        <f>IFERROR(('12. Разходи'!M21-'12. Разходи'!$K21)/'12. Разходи'!$K21,0)</f>
        <v>0</v>
      </c>
      <c r="S21" s="1225">
        <f>'12. Разходи'!N21-'12. Разходи'!$K21</f>
        <v>0</v>
      </c>
      <c r="T21" s="1224">
        <f>IFERROR(('12. Разходи'!N21-'12. Разходи'!$K21)/'12. Разходи'!$K21,0)</f>
        <v>0</v>
      </c>
      <c r="U21" s="1225">
        <f>'12. Разходи'!O21-'12. Разходи'!$K21</f>
        <v>0</v>
      </c>
      <c r="V21" s="1224">
        <f>IFERROR(('12. Разходи'!O21-'12. Разходи'!$K21)/'12. Разходи'!$K21,0)</f>
        <v>0</v>
      </c>
      <c r="W21" s="1225">
        <f>'12. Разходи'!P21-'12. Разходи'!$K21</f>
        <v>0</v>
      </c>
      <c r="X21" s="1228">
        <f>IFERROR(('12. Разходи'!P21-'12. Разходи'!$K21)/'12. Разходи'!$K21,0)</f>
        <v>0</v>
      </c>
      <c r="Y21" s="1227">
        <f>'12. Разходи'!S21</f>
        <v>1</v>
      </c>
      <c r="Z21" s="1223">
        <f>'12. Разходи'!T21-'12. Разходи'!$S21</f>
        <v>0</v>
      </c>
      <c r="AA21" s="1224">
        <f>IFERROR(('12. Разходи'!T21-'12. Разходи'!$S21)/'12. Разходи'!$S21,0)</f>
        <v>0</v>
      </c>
      <c r="AB21" s="1225">
        <f>'12. Разходи'!U21-'12. Разходи'!$S21</f>
        <v>0</v>
      </c>
      <c r="AC21" s="1224">
        <f>IFERROR(('12. Разходи'!U21-'12. Разходи'!$S21)/'12. Разходи'!$S21,0)</f>
        <v>0</v>
      </c>
      <c r="AD21" s="1225">
        <f>'12. Разходи'!V21-'12. Разходи'!$S21</f>
        <v>0</v>
      </c>
      <c r="AE21" s="1224">
        <f>IFERROR(('12. Разходи'!V21-'12. Разходи'!$S21)/'12. Разходи'!$S21,0)</f>
        <v>0</v>
      </c>
      <c r="AF21" s="1225">
        <f>'12. Разходи'!W21-'12. Разходи'!$S21</f>
        <v>0</v>
      </c>
      <c r="AG21" s="1224">
        <f>IFERROR(('12. Разходи'!W21-'12. Разходи'!$S21)/'12. Разходи'!$S21,0)</f>
        <v>0</v>
      </c>
      <c r="AH21" s="1225">
        <f>'12. Разходи'!X21-'12. Разходи'!$S21</f>
        <v>0</v>
      </c>
      <c r="AI21" s="1228">
        <f>IFERROR(('12. Разходи'!X21-'12. Разходи'!$S21)/'12. Разходи'!$S21,0)</f>
        <v>0</v>
      </c>
      <c r="AJ21" s="1227">
        <f>'12. Разходи'!AA21</f>
        <v>0</v>
      </c>
      <c r="AK21" s="1229">
        <f>'12. Разходи'!AB21-'12. Разходи'!$AA21</f>
        <v>0</v>
      </c>
      <c r="AL21" s="1224">
        <f>IFERROR(('12. Разходи'!AB21-'12. Разходи'!$AA21)/'12. Разходи'!$AA21,0)</f>
        <v>0</v>
      </c>
      <c r="AM21" s="1225">
        <f>'12. Разходи'!AC21-'12. Разходи'!$AA21</f>
        <v>0</v>
      </c>
      <c r="AN21" s="1224">
        <f>IFERROR(('12. Разходи'!AC21-'12. Разходи'!$AA21)/'12. Разходи'!$AA21,0)</f>
        <v>0</v>
      </c>
      <c r="AO21" s="1225">
        <f>'12. Разходи'!AD21-'12. Разходи'!$AA21</f>
        <v>0</v>
      </c>
      <c r="AP21" s="1224">
        <f>IFERROR(('12. Разходи'!AD21-'12. Разходи'!$AA21)/'12. Разходи'!$AA21,0)</f>
        <v>0</v>
      </c>
      <c r="AQ21" s="1225">
        <f>'12. Разходи'!AE21-'12. Разходи'!$AA21</f>
        <v>0</v>
      </c>
      <c r="AR21" s="1231">
        <f>IFERROR(('12. Разходи'!AE21-'12. Разходи'!$AA21)/'12. Разходи'!$AA21,0)</f>
        <v>0</v>
      </c>
      <c r="AS21" s="1225">
        <f>'12. Разходи'!AF21-'12. Разходи'!$AA21</f>
        <v>0</v>
      </c>
      <c r="AT21" s="1232">
        <f>IFERROR(('12. Разходи'!AF21-'12. Разходи'!$AA21)/'12. Разходи'!$AA21,0)</f>
        <v>0</v>
      </c>
      <c r="AU21" s="1227">
        <f>'12. Разходи'!AI21</f>
        <v>0</v>
      </c>
      <c r="AV21" s="1229">
        <f>'12. Разходи'!AJ21-'12. Разходи'!$AI21</f>
        <v>0</v>
      </c>
      <c r="AW21" s="1224">
        <f>IFERROR(('12. Разходи'!AJ21-'12. Разходи'!$AI21)/'12. Разходи'!$AI21,0)</f>
        <v>0</v>
      </c>
      <c r="AX21" s="1225">
        <f>'12. Разходи'!AK21-'12. Разходи'!$AI21</f>
        <v>0</v>
      </c>
      <c r="AY21" s="1224">
        <f>IFERROR(('12. Разходи'!AK21-'12. Разходи'!$AI21)/'12. Разходи'!$AI21,0)</f>
        <v>0</v>
      </c>
      <c r="AZ21" s="1225">
        <f>'12. Разходи'!AL21-'12. Разходи'!$AI21</f>
        <v>0</v>
      </c>
      <c r="BA21" s="1224">
        <f>IFERROR(('12. Разходи'!AL21-'12. Разходи'!$AI21)/'12. Разходи'!$AI21,0)</f>
        <v>0</v>
      </c>
      <c r="BB21" s="1225">
        <f>'12. Разходи'!AM21-'12. Разходи'!$AI21</f>
        <v>0</v>
      </c>
      <c r="BC21" s="1231">
        <f>IFERROR(('12. Разходи'!AM21-'12. Разходи'!$AI21)/'12. Разходи'!$AI21,0)</f>
        <v>0</v>
      </c>
      <c r="BD21" s="1225">
        <f>'12. Разходи'!AN21-'12. Разходи'!$AI21</f>
        <v>0</v>
      </c>
      <c r="BE21" s="1232">
        <f>IFERROR(('12. Разходи'!AN21-'12. Разходи'!$AI21)/'12. Разходи'!$AI21,0)</f>
        <v>0</v>
      </c>
      <c r="BF21" s="4775"/>
      <c r="BG21" s="4794">
        <f t="shared" si="1"/>
        <v>182.01990970585379</v>
      </c>
      <c r="BH21" s="4794">
        <f t="shared" si="2"/>
        <v>0</v>
      </c>
      <c r="BI21" s="4794">
        <f t="shared" si="3"/>
        <v>0</v>
      </c>
      <c r="BJ21" s="4794">
        <f t="shared" si="4"/>
        <v>0</v>
      </c>
      <c r="BK21" s="4794">
        <f t="shared" si="5"/>
        <v>0</v>
      </c>
      <c r="BL21" s="4794">
        <f t="shared" si="6"/>
        <v>0</v>
      </c>
      <c r="BM21" s="4794">
        <f t="shared" si="7"/>
        <v>33.74526415895042</v>
      </c>
      <c r="BN21" s="4794">
        <f t="shared" si="8"/>
        <v>0</v>
      </c>
      <c r="BO21" s="4794">
        <f t="shared" si="9"/>
        <v>0</v>
      </c>
      <c r="BP21" s="4794">
        <f t="shared" si="10"/>
        <v>0</v>
      </c>
      <c r="BQ21" s="4794">
        <f t="shared" si="11"/>
        <v>0</v>
      </c>
      <c r="BR21" s="4794">
        <f t="shared" si="12"/>
        <v>0</v>
      </c>
      <c r="BS21" s="4794">
        <f t="shared" si="13"/>
        <v>0.51129188119621849</v>
      </c>
      <c r="BT21" s="4794">
        <f t="shared" si="14"/>
        <v>0</v>
      </c>
      <c r="BU21" s="4794">
        <f t="shared" si="15"/>
        <v>0</v>
      </c>
      <c r="BV21" s="4794">
        <f t="shared" si="16"/>
        <v>0</v>
      </c>
      <c r="BW21" s="4794">
        <f t="shared" si="17"/>
        <v>0</v>
      </c>
      <c r="BX21" s="4794">
        <f t="shared" si="18"/>
        <v>0</v>
      </c>
      <c r="BY21" s="4794">
        <f t="shared" si="19"/>
        <v>0</v>
      </c>
      <c r="BZ21" s="4794">
        <f t="shared" si="20"/>
        <v>0</v>
      </c>
      <c r="CA21" s="4794">
        <f t="shared" si="21"/>
        <v>0</v>
      </c>
      <c r="CB21" s="4794">
        <f t="shared" si="22"/>
        <v>0</v>
      </c>
      <c r="CC21" s="4794">
        <f t="shared" si="23"/>
        <v>0</v>
      </c>
      <c r="CD21" s="4794">
        <f t="shared" si="24"/>
        <v>0</v>
      </c>
      <c r="CE21" s="4794">
        <f t="shared" si="25"/>
        <v>0</v>
      </c>
      <c r="CF21" s="4794">
        <f t="shared" si="26"/>
        <v>0</v>
      </c>
      <c r="CG21" s="4794">
        <f t="shared" si="27"/>
        <v>0</v>
      </c>
      <c r="CH21" s="4794">
        <f t="shared" si="28"/>
        <v>0</v>
      </c>
      <c r="CI21" s="4794">
        <f t="shared" si="29"/>
        <v>0</v>
      </c>
      <c r="CJ21" s="4794">
        <f t="shared" si="30"/>
        <v>0</v>
      </c>
    </row>
    <row r="22" spans="1:88" ht="15.95" customHeight="1">
      <c r="A22" s="854" t="s">
        <v>145</v>
      </c>
      <c r="B22" s="915" t="s">
        <v>236</v>
      </c>
      <c r="C22" s="1131">
        <f>'12. Разходи'!C22</f>
        <v>50</v>
      </c>
      <c r="D22" s="926">
        <f>'12. Разходи'!D22-'12. Разходи'!$C22</f>
        <v>0</v>
      </c>
      <c r="E22" s="1140">
        <f>IFERROR(('12. Разходи'!D22-'12. Разходи'!$C22)/'12. Разходи'!$C22,0)</f>
        <v>0</v>
      </c>
      <c r="F22" s="1155">
        <f>'12. Разходи'!E22-'12. Разходи'!$C22</f>
        <v>0</v>
      </c>
      <c r="G22" s="1140">
        <f>IFERROR(('12. Разходи'!E22-'12. Разходи'!$C22)/'12. Разходи'!$C22,0)</f>
        <v>0</v>
      </c>
      <c r="H22" s="1155">
        <f>'12. Разходи'!F22-'12. Разходи'!$C22</f>
        <v>0</v>
      </c>
      <c r="I22" s="1140">
        <f>IFERROR(('12. Разходи'!F22-'12. Разходи'!$C22)/'12. Разходи'!$C22,0)</f>
        <v>0</v>
      </c>
      <c r="J22" s="1155">
        <f>'12. Разходи'!G22-'12. Разходи'!$C22</f>
        <v>0</v>
      </c>
      <c r="K22" s="1140">
        <f>IFERROR(('12. Разходи'!G22-'12. Разходи'!$C22)/'12. Разходи'!$C22,0)</f>
        <v>0</v>
      </c>
      <c r="L22" s="1155">
        <f>'12. Разходи'!H22-'12. Разходи'!$C22</f>
        <v>0</v>
      </c>
      <c r="M22" s="1141">
        <f>IFERROR(('12. Разходи'!H22-'12. Разходи'!$C22)/'12. Разходи'!$C22,0)</f>
        <v>0</v>
      </c>
      <c r="N22" s="1196">
        <f>'12. Разходи'!K22</f>
        <v>10</v>
      </c>
      <c r="O22" s="926">
        <f>'12. Разходи'!L22-'12. Разходи'!$K22</f>
        <v>0</v>
      </c>
      <c r="P22" s="1140">
        <f>IFERROR(('12. Разходи'!L22-'12. Разходи'!$K22)/'12. Разходи'!$K22,0)</f>
        <v>0</v>
      </c>
      <c r="Q22" s="1155">
        <f>'12. Разходи'!M22-'12. Разходи'!$K22</f>
        <v>0</v>
      </c>
      <c r="R22" s="1140">
        <f>IFERROR(('12. Разходи'!M22-'12. Разходи'!$K22)/'12. Разходи'!$K22,0)</f>
        <v>0</v>
      </c>
      <c r="S22" s="1155">
        <f>'12. Разходи'!N22-'12. Разходи'!$K22</f>
        <v>0</v>
      </c>
      <c r="T22" s="1140">
        <f>IFERROR(('12. Разходи'!N22-'12. Разходи'!$K22)/'12. Разходи'!$K22,0)</f>
        <v>0</v>
      </c>
      <c r="U22" s="1155">
        <f>'12. Разходи'!O22-'12. Разходи'!$K22</f>
        <v>0</v>
      </c>
      <c r="V22" s="1140">
        <f>IFERROR(('12. Разходи'!O22-'12. Разходи'!$K22)/'12. Разходи'!$K22,0)</f>
        <v>0</v>
      </c>
      <c r="W22" s="1155">
        <f>'12. Разходи'!P22-'12. Разходи'!$K22</f>
        <v>0</v>
      </c>
      <c r="X22" s="842">
        <f>IFERROR(('12. Разходи'!P22-'12. Разходи'!$K22)/'12. Разходи'!$K22,0)</f>
        <v>0</v>
      </c>
      <c r="Y22" s="1196">
        <f>'12. Разходи'!S22</f>
        <v>14</v>
      </c>
      <c r="Z22" s="926">
        <f>'12. Разходи'!T22-'12. Разходи'!$S22</f>
        <v>0</v>
      </c>
      <c r="AA22" s="1140">
        <f>IFERROR(('12. Разходи'!T22-'12. Разходи'!$S22)/'12. Разходи'!$S22,0)</f>
        <v>0</v>
      </c>
      <c r="AB22" s="1155">
        <f>'12. Разходи'!U22-'12. Разходи'!$S22</f>
        <v>0</v>
      </c>
      <c r="AC22" s="1140">
        <f>IFERROR(('12. Разходи'!U22-'12. Разходи'!$S22)/'12. Разходи'!$S22,0)</f>
        <v>0</v>
      </c>
      <c r="AD22" s="1155">
        <f>'12. Разходи'!V22-'12. Разходи'!$S22</f>
        <v>0</v>
      </c>
      <c r="AE22" s="1140">
        <f>IFERROR(('12. Разходи'!V22-'12. Разходи'!$S22)/'12. Разходи'!$S22,0)</f>
        <v>0</v>
      </c>
      <c r="AF22" s="1155">
        <f>'12. Разходи'!W22-'12. Разходи'!$S22</f>
        <v>0</v>
      </c>
      <c r="AG22" s="1140">
        <f>IFERROR(('12. Разходи'!W22-'12. Разходи'!$S22)/'12. Разходи'!$S22,0)</f>
        <v>0</v>
      </c>
      <c r="AH22" s="1155">
        <f>'12. Разходи'!X22-'12. Разходи'!$S22</f>
        <v>0</v>
      </c>
      <c r="AI22" s="842">
        <f>IFERROR(('12. Разходи'!X22-'12. Разходи'!$S22)/'12. Разходи'!$S22,0)</f>
        <v>0</v>
      </c>
      <c r="AJ22" s="1196">
        <f>'12. Разходи'!AA22</f>
        <v>0</v>
      </c>
      <c r="AK22" s="1160">
        <f>'12. Разходи'!AB22-'12. Разходи'!$AA22</f>
        <v>0</v>
      </c>
      <c r="AL22" s="1140">
        <f>IFERROR(('12. Разходи'!AB22-'12. Разходи'!$AA22)/'12. Разходи'!$AA22,0)</f>
        <v>0</v>
      </c>
      <c r="AM22" s="926">
        <f>'12. Разходи'!AC22-'12. Разходи'!$AA22</f>
        <v>0</v>
      </c>
      <c r="AN22" s="1148">
        <f>IFERROR(('12. Разходи'!AC22-'12. Разходи'!$AA22)/'12. Разходи'!$AA22,0)</f>
        <v>0</v>
      </c>
      <c r="AO22" s="926">
        <f>'12. Разходи'!AD22-'12. Разходи'!$AA22</f>
        <v>0</v>
      </c>
      <c r="AP22" s="1148">
        <f>IFERROR(('12. Разходи'!AD22-'12. Разходи'!$AA22)/'12. Разходи'!$AA22,0)</f>
        <v>0</v>
      </c>
      <c r="AQ22" s="926">
        <f>'12. Разходи'!AE22-'12. Разходи'!$AA22</f>
        <v>0</v>
      </c>
      <c r="AR22" s="1147">
        <f>IFERROR(('12. Разходи'!AE22-'12. Разходи'!$AA22)/'12. Разходи'!$AA22,0)</f>
        <v>0</v>
      </c>
      <c r="AS22" s="1155">
        <f>'12. Разходи'!AF22-'12. Разходи'!$AA22</f>
        <v>0</v>
      </c>
      <c r="AT22" s="1202">
        <f>IFERROR(('12. Разходи'!AF22-'12. Разходи'!$AA22)/'12. Разходи'!$AA22,0)</f>
        <v>0</v>
      </c>
      <c r="AU22" s="1196">
        <f>'12. Разходи'!AI22</f>
        <v>0</v>
      </c>
      <c r="AV22" s="1160">
        <f>'12. Разходи'!AJ22-'12. Разходи'!$AI22</f>
        <v>0</v>
      </c>
      <c r="AW22" s="1140">
        <f>IFERROR(('12. Разходи'!AJ22-'12. Разходи'!$AI22)/'12. Разходи'!$AI22,0)</f>
        <v>0</v>
      </c>
      <c r="AX22" s="926">
        <f>'12. Разходи'!AK22-'12. Разходи'!$AI22</f>
        <v>0</v>
      </c>
      <c r="AY22" s="1148">
        <f>IFERROR(('12. Разходи'!AK22-'12. Разходи'!$AI22)/'12. Разходи'!$AI22,0)</f>
        <v>0</v>
      </c>
      <c r="AZ22" s="926">
        <f>'12. Разходи'!AL22-'12. Разходи'!$AI22</f>
        <v>0</v>
      </c>
      <c r="BA22" s="1148">
        <f>IFERROR(('12. Разходи'!AL22-'12. Разходи'!$AI22)/'12. Разходи'!$AI22,0)</f>
        <v>0</v>
      </c>
      <c r="BB22" s="926">
        <f>'12. Разходи'!AM22-'12. Разходи'!$AI22</f>
        <v>0</v>
      </c>
      <c r="BC22" s="1147">
        <f>IFERROR(('12. Разходи'!AM22-'12. Разходи'!$AI22)/'12. Разходи'!$AI22,0)</f>
        <v>0</v>
      </c>
      <c r="BD22" s="1155">
        <f>'12. Разходи'!AN22-'12. Разходи'!$AI22</f>
        <v>0</v>
      </c>
      <c r="BE22" s="1202">
        <f>IFERROR(('12. Разходи'!AN22-'12. Разходи'!$AI22)/'12. Разходи'!$AI22,0)</f>
        <v>0</v>
      </c>
      <c r="BF22" s="4775"/>
      <c r="BG22" s="4794">
        <f t="shared" si="1"/>
        <v>25.564594059810926</v>
      </c>
      <c r="BH22" s="4794">
        <f t="shared" si="2"/>
        <v>0</v>
      </c>
      <c r="BI22" s="4794">
        <f t="shared" si="3"/>
        <v>0</v>
      </c>
      <c r="BJ22" s="4794">
        <f t="shared" si="4"/>
        <v>0</v>
      </c>
      <c r="BK22" s="4794">
        <f t="shared" si="5"/>
        <v>0</v>
      </c>
      <c r="BL22" s="4794">
        <f t="shared" si="6"/>
        <v>0</v>
      </c>
      <c r="BM22" s="4794">
        <f t="shared" si="7"/>
        <v>5.1129188119621851</v>
      </c>
      <c r="BN22" s="4794">
        <f t="shared" si="8"/>
        <v>0</v>
      </c>
      <c r="BO22" s="4794">
        <f t="shared" si="9"/>
        <v>0</v>
      </c>
      <c r="BP22" s="4794">
        <f t="shared" si="10"/>
        <v>0</v>
      </c>
      <c r="BQ22" s="4794">
        <f t="shared" si="11"/>
        <v>0</v>
      </c>
      <c r="BR22" s="4794">
        <f t="shared" si="12"/>
        <v>0</v>
      </c>
      <c r="BS22" s="4794">
        <f t="shared" si="13"/>
        <v>7.1580863367470586</v>
      </c>
      <c r="BT22" s="4794">
        <f t="shared" si="14"/>
        <v>0</v>
      </c>
      <c r="BU22" s="4794">
        <f t="shared" si="15"/>
        <v>0</v>
      </c>
      <c r="BV22" s="4794">
        <f t="shared" si="16"/>
        <v>0</v>
      </c>
      <c r="BW22" s="4794">
        <f t="shared" si="17"/>
        <v>0</v>
      </c>
      <c r="BX22" s="4794">
        <f t="shared" si="18"/>
        <v>0</v>
      </c>
      <c r="BY22" s="4794">
        <f t="shared" si="19"/>
        <v>0</v>
      </c>
      <c r="BZ22" s="4794">
        <f t="shared" si="20"/>
        <v>0</v>
      </c>
      <c r="CA22" s="4794">
        <f t="shared" si="21"/>
        <v>0</v>
      </c>
      <c r="CB22" s="4794">
        <f t="shared" si="22"/>
        <v>0</v>
      </c>
      <c r="CC22" s="4794">
        <f t="shared" si="23"/>
        <v>0</v>
      </c>
      <c r="CD22" s="4794">
        <f t="shared" si="24"/>
        <v>0</v>
      </c>
      <c r="CE22" s="4794">
        <f t="shared" si="25"/>
        <v>0</v>
      </c>
      <c r="CF22" s="4794">
        <f t="shared" si="26"/>
        <v>0</v>
      </c>
      <c r="CG22" s="4794">
        <f t="shared" si="27"/>
        <v>0</v>
      </c>
      <c r="CH22" s="4794">
        <f t="shared" si="28"/>
        <v>0</v>
      </c>
      <c r="CI22" s="4794">
        <f t="shared" si="29"/>
        <v>0</v>
      </c>
      <c r="CJ22" s="4794">
        <f t="shared" si="30"/>
        <v>0</v>
      </c>
    </row>
    <row r="23" spans="1:88" ht="15.95" customHeight="1">
      <c r="A23" s="854" t="s">
        <v>147</v>
      </c>
      <c r="B23" s="915" t="s">
        <v>237</v>
      </c>
      <c r="C23" s="1131">
        <f>'12. Разходи'!C23</f>
        <v>30</v>
      </c>
      <c r="D23" s="926">
        <f>'12. Разходи'!D23-'12. Разходи'!$C23</f>
        <v>0</v>
      </c>
      <c r="E23" s="1140">
        <f>IFERROR(('12. Разходи'!D23-'12. Разходи'!$C23)/'12. Разходи'!$C23,0)</f>
        <v>0</v>
      </c>
      <c r="F23" s="1155">
        <f>'12. Разходи'!E23-'12. Разходи'!$C23</f>
        <v>0</v>
      </c>
      <c r="G23" s="1140">
        <f>IFERROR(('12. Разходи'!E23-'12. Разходи'!$C23)/'12. Разходи'!$C23,0)</f>
        <v>0</v>
      </c>
      <c r="H23" s="1155">
        <f>'12. Разходи'!F23-'12. Разходи'!$C23</f>
        <v>0</v>
      </c>
      <c r="I23" s="1140">
        <f>IFERROR(('12. Разходи'!F23-'12. Разходи'!$C23)/'12. Разходи'!$C23,0)</f>
        <v>0</v>
      </c>
      <c r="J23" s="1155">
        <f>'12. Разходи'!G23-'12. Разходи'!$C23</f>
        <v>0</v>
      </c>
      <c r="K23" s="1140">
        <f>IFERROR(('12. Разходи'!G23-'12. Разходи'!$C23)/'12. Разходи'!$C23,0)</f>
        <v>0</v>
      </c>
      <c r="L23" s="1155">
        <f>'12. Разходи'!H23-'12. Разходи'!$C23</f>
        <v>0</v>
      </c>
      <c r="M23" s="1141">
        <f>IFERROR(('12. Разходи'!H23-'12. Разходи'!$C23)/'12. Разходи'!$C23,0)</f>
        <v>0</v>
      </c>
      <c r="N23" s="1196">
        <f>'12. Разходи'!K23</f>
        <v>5</v>
      </c>
      <c r="O23" s="926">
        <f>'12. Разходи'!L23-'12. Разходи'!$K23</f>
        <v>0</v>
      </c>
      <c r="P23" s="1140">
        <f>IFERROR(('12. Разходи'!L23-'12. Разходи'!$K23)/'12. Разходи'!$K23,0)</f>
        <v>0</v>
      </c>
      <c r="Q23" s="1155">
        <f>'12. Разходи'!M23-'12. Разходи'!$K23</f>
        <v>0</v>
      </c>
      <c r="R23" s="1140">
        <f>IFERROR(('12. Разходи'!M23-'12. Разходи'!$K23)/'12. Разходи'!$K23,0)</f>
        <v>0</v>
      </c>
      <c r="S23" s="1155">
        <f>'12. Разходи'!N23-'12. Разходи'!$K23</f>
        <v>0</v>
      </c>
      <c r="T23" s="1140">
        <f>IFERROR(('12. Разходи'!N23-'12. Разходи'!$K23)/'12. Разходи'!$K23,0)</f>
        <v>0</v>
      </c>
      <c r="U23" s="1155">
        <f>'12. Разходи'!O23-'12. Разходи'!$K23</f>
        <v>0</v>
      </c>
      <c r="V23" s="1140">
        <f>IFERROR(('12. Разходи'!O23-'12. Разходи'!$K23)/'12. Разходи'!$K23,0)</f>
        <v>0</v>
      </c>
      <c r="W23" s="1155">
        <f>'12. Разходи'!P23-'12. Разходи'!$K23</f>
        <v>0</v>
      </c>
      <c r="X23" s="842">
        <f>IFERROR(('12. Разходи'!P23-'12. Разходи'!$K23)/'12. Разходи'!$K23,0)</f>
        <v>0</v>
      </c>
      <c r="Y23" s="1196">
        <f>'12. Разходи'!S23</f>
        <v>6</v>
      </c>
      <c r="Z23" s="926">
        <f>'12. Разходи'!T23-'12. Разходи'!$S23</f>
        <v>0</v>
      </c>
      <c r="AA23" s="1140">
        <f>IFERROR(('12. Разходи'!T23-'12. Разходи'!$S23)/'12. Разходи'!$S23,0)</f>
        <v>0</v>
      </c>
      <c r="AB23" s="1155">
        <f>'12. Разходи'!U23-'12. Разходи'!$S23</f>
        <v>0</v>
      </c>
      <c r="AC23" s="1140">
        <f>IFERROR(('12. Разходи'!U23-'12. Разходи'!$S23)/'12. Разходи'!$S23,0)</f>
        <v>0</v>
      </c>
      <c r="AD23" s="1155">
        <f>'12. Разходи'!V23-'12. Разходи'!$S23</f>
        <v>0</v>
      </c>
      <c r="AE23" s="1140">
        <f>IFERROR(('12. Разходи'!V23-'12. Разходи'!$S23)/'12. Разходи'!$S23,0)</f>
        <v>0</v>
      </c>
      <c r="AF23" s="1155">
        <f>'12. Разходи'!W23-'12. Разходи'!$S23</f>
        <v>0</v>
      </c>
      <c r="AG23" s="1140">
        <f>IFERROR(('12. Разходи'!W23-'12. Разходи'!$S23)/'12. Разходи'!$S23,0)</f>
        <v>0</v>
      </c>
      <c r="AH23" s="1155">
        <f>'12. Разходи'!X23-'12. Разходи'!$S23</f>
        <v>0</v>
      </c>
      <c r="AI23" s="842">
        <f>IFERROR(('12. Разходи'!X23-'12. Разходи'!$S23)/'12. Разходи'!$S23,0)</f>
        <v>0</v>
      </c>
      <c r="AJ23" s="1196">
        <f>'12. Разходи'!AA23</f>
        <v>0</v>
      </c>
      <c r="AK23" s="1160">
        <f>'12. Разходи'!AB23-'12. Разходи'!$AA23</f>
        <v>0</v>
      </c>
      <c r="AL23" s="1140">
        <f>IFERROR(('12. Разходи'!AB23-'12. Разходи'!$AA23)/'12. Разходи'!$AA23,0)</f>
        <v>0</v>
      </c>
      <c r="AM23" s="926">
        <f>'12. Разходи'!AC23-'12. Разходи'!$AA23</f>
        <v>0</v>
      </c>
      <c r="AN23" s="1148">
        <f>IFERROR(('12. Разходи'!AC23-'12. Разходи'!$AA23)/'12. Разходи'!$AA23,0)</f>
        <v>0</v>
      </c>
      <c r="AO23" s="926">
        <f>'12. Разходи'!AD23-'12. Разходи'!$AA23</f>
        <v>0</v>
      </c>
      <c r="AP23" s="1148">
        <f>IFERROR(('12. Разходи'!AD23-'12. Разходи'!$AA23)/'12. Разходи'!$AA23,0)</f>
        <v>0</v>
      </c>
      <c r="AQ23" s="926">
        <f>'12. Разходи'!AE23-'12. Разходи'!$AA23</f>
        <v>0</v>
      </c>
      <c r="AR23" s="1147">
        <f>IFERROR(('12. Разходи'!AE23-'12. Разходи'!$AA23)/'12. Разходи'!$AA23,0)</f>
        <v>0</v>
      </c>
      <c r="AS23" s="1155">
        <f>'12. Разходи'!AF23-'12. Разходи'!$AA23</f>
        <v>0</v>
      </c>
      <c r="AT23" s="1202">
        <f>IFERROR(('12. Разходи'!AF23-'12. Разходи'!$AA23)/'12. Разходи'!$AA23,0)</f>
        <v>0</v>
      </c>
      <c r="AU23" s="1196">
        <f>'12. Разходи'!AI23</f>
        <v>0</v>
      </c>
      <c r="AV23" s="1160">
        <f>'12. Разходи'!AJ23-'12. Разходи'!$AI23</f>
        <v>0</v>
      </c>
      <c r="AW23" s="1140">
        <f>IFERROR(('12. Разходи'!AJ23-'12. Разходи'!$AI23)/'12. Разходи'!$AI23,0)</f>
        <v>0</v>
      </c>
      <c r="AX23" s="926">
        <f>'12. Разходи'!AK23-'12. Разходи'!$AI23</f>
        <v>0</v>
      </c>
      <c r="AY23" s="1148">
        <f>IFERROR(('12. Разходи'!AK23-'12. Разходи'!$AI23)/'12. Разходи'!$AI23,0)</f>
        <v>0</v>
      </c>
      <c r="AZ23" s="926">
        <f>'12. Разходи'!AL23-'12. Разходи'!$AI23</f>
        <v>0</v>
      </c>
      <c r="BA23" s="1148">
        <f>IFERROR(('12. Разходи'!AL23-'12. Разходи'!$AI23)/'12. Разходи'!$AI23,0)</f>
        <v>0</v>
      </c>
      <c r="BB23" s="926">
        <f>'12. Разходи'!AM23-'12. Разходи'!$AI23</f>
        <v>0</v>
      </c>
      <c r="BC23" s="1147">
        <f>IFERROR(('12. Разходи'!AM23-'12. Разходи'!$AI23)/'12. Разходи'!$AI23,0)</f>
        <v>0</v>
      </c>
      <c r="BD23" s="1155">
        <f>'12. Разходи'!AN23-'12. Разходи'!$AI23</f>
        <v>0</v>
      </c>
      <c r="BE23" s="1202">
        <f>IFERROR(('12. Разходи'!AN23-'12. Разходи'!$AI23)/'12. Разходи'!$AI23,0)</f>
        <v>0</v>
      </c>
      <c r="BF23" s="4775"/>
      <c r="BG23" s="4794">
        <f t="shared" si="1"/>
        <v>15.338756435886555</v>
      </c>
      <c r="BH23" s="4794">
        <f t="shared" si="2"/>
        <v>0</v>
      </c>
      <c r="BI23" s="4794">
        <f t="shared" si="3"/>
        <v>0</v>
      </c>
      <c r="BJ23" s="4794">
        <f t="shared" si="4"/>
        <v>0</v>
      </c>
      <c r="BK23" s="4794">
        <f t="shared" si="5"/>
        <v>0</v>
      </c>
      <c r="BL23" s="4794">
        <f t="shared" si="6"/>
        <v>0</v>
      </c>
      <c r="BM23" s="4794">
        <f t="shared" si="7"/>
        <v>2.5564594059810926</v>
      </c>
      <c r="BN23" s="4794">
        <f t="shared" si="8"/>
        <v>0</v>
      </c>
      <c r="BO23" s="4794">
        <f t="shared" si="9"/>
        <v>0</v>
      </c>
      <c r="BP23" s="4794">
        <f t="shared" si="10"/>
        <v>0</v>
      </c>
      <c r="BQ23" s="4794">
        <f t="shared" si="11"/>
        <v>0</v>
      </c>
      <c r="BR23" s="4794">
        <f t="shared" si="12"/>
        <v>0</v>
      </c>
      <c r="BS23" s="4794">
        <f t="shared" si="13"/>
        <v>3.0677512871773112</v>
      </c>
      <c r="BT23" s="4794">
        <f t="shared" si="14"/>
        <v>0</v>
      </c>
      <c r="BU23" s="4794">
        <f t="shared" si="15"/>
        <v>0</v>
      </c>
      <c r="BV23" s="4794">
        <f t="shared" si="16"/>
        <v>0</v>
      </c>
      <c r="BW23" s="4794">
        <f t="shared" si="17"/>
        <v>0</v>
      </c>
      <c r="BX23" s="4794">
        <f t="shared" si="18"/>
        <v>0</v>
      </c>
      <c r="BY23" s="4794">
        <f t="shared" si="19"/>
        <v>0</v>
      </c>
      <c r="BZ23" s="4794">
        <f t="shared" si="20"/>
        <v>0</v>
      </c>
      <c r="CA23" s="4794">
        <f t="shared" si="21"/>
        <v>0</v>
      </c>
      <c r="CB23" s="4794">
        <f t="shared" si="22"/>
        <v>0</v>
      </c>
      <c r="CC23" s="4794">
        <f t="shared" si="23"/>
        <v>0</v>
      </c>
      <c r="CD23" s="4794">
        <f t="shared" si="24"/>
        <v>0</v>
      </c>
      <c r="CE23" s="4794">
        <f t="shared" si="25"/>
        <v>0</v>
      </c>
      <c r="CF23" s="4794">
        <f t="shared" si="26"/>
        <v>0</v>
      </c>
      <c r="CG23" s="4794">
        <f t="shared" si="27"/>
        <v>0</v>
      </c>
      <c r="CH23" s="4794">
        <f t="shared" si="28"/>
        <v>0</v>
      </c>
      <c r="CI23" s="4794">
        <f t="shared" si="29"/>
        <v>0</v>
      </c>
      <c r="CJ23" s="4794">
        <f t="shared" si="30"/>
        <v>0</v>
      </c>
    </row>
    <row r="24" spans="1:88" s="692" customFormat="1" ht="15.95" customHeight="1">
      <c r="A24" s="854" t="s">
        <v>149</v>
      </c>
      <c r="B24" s="915" t="s">
        <v>642</v>
      </c>
      <c r="C24" s="1131">
        <f>'12. Разходи'!C24</f>
        <v>504</v>
      </c>
      <c r="D24" s="1151">
        <f>'12. Разходи'!D24-'12. Разходи'!$C24</f>
        <v>0</v>
      </c>
      <c r="E24" s="896">
        <f>IFERROR(('12. Разходи'!D24-'12. Разходи'!$C24)/'12. Разходи'!$C24,0)</f>
        <v>0</v>
      </c>
      <c r="F24" s="1152">
        <f>'12. Разходи'!E24-'12. Разходи'!$C24</f>
        <v>0</v>
      </c>
      <c r="G24" s="896">
        <f>IFERROR(('12. Разходи'!E24-'12. Разходи'!$C24)/'12. Разходи'!$C24,0)</f>
        <v>0</v>
      </c>
      <c r="H24" s="1152">
        <f>'12. Разходи'!F24-'12. Разходи'!$C24</f>
        <v>0</v>
      </c>
      <c r="I24" s="896">
        <f>IFERROR(('12. Разходи'!F24-'12. Разходи'!$C24)/'12. Разходи'!$C24,0)</f>
        <v>0</v>
      </c>
      <c r="J24" s="1152">
        <f>'12. Разходи'!G24-'12. Разходи'!$C24</f>
        <v>0</v>
      </c>
      <c r="K24" s="896">
        <f>IFERROR(('12. Разходи'!G24-'12. Разходи'!$C24)/'12. Разходи'!$C24,0)</f>
        <v>0</v>
      </c>
      <c r="L24" s="1152">
        <f>'12. Разходи'!H24-'12. Разходи'!$C24</f>
        <v>0</v>
      </c>
      <c r="M24" s="928">
        <f>IFERROR(('12. Разходи'!H24-'12. Разходи'!$C24)/'12. Разходи'!$C24,0)</f>
        <v>0</v>
      </c>
      <c r="N24" s="1182">
        <f>'12. Разходи'!K24</f>
        <v>81</v>
      </c>
      <c r="O24" s="1151">
        <f>'12. Разходи'!L24-'12. Разходи'!$K24</f>
        <v>0</v>
      </c>
      <c r="P24" s="896">
        <f>IFERROR(('12. Разходи'!L24-'12. Разходи'!$K24)/'12. Разходи'!$K24,0)</f>
        <v>0</v>
      </c>
      <c r="Q24" s="1152">
        <f>'12. Разходи'!M24-'12. Разходи'!$K24</f>
        <v>0</v>
      </c>
      <c r="R24" s="896">
        <f>IFERROR(('12. Разходи'!M24-'12. Разходи'!$K24)/'12. Разходи'!$K24,0)</f>
        <v>0</v>
      </c>
      <c r="S24" s="1152">
        <f>'12. Разходи'!N24-'12. Разходи'!$K24</f>
        <v>0</v>
      </c>
      <c r="T24" s="896">
        <f>IFERROR(('12. Разходи'!N24-'12. Разходи'!$K24)/'12. Разходи'!$K24,0)</f>
        <v>0</v>
      </c>
      <c r="U24" s="1152">
        <f>'12. Разходи'!O24-'12. Разходи'!$K24</f>
        <v>0</v>
      </c>
      <c r="V24" s="896">
        <f>IFERROR(('12. Разходи'!O24-'12. Разходи'!$K24)/'12. Разходи'!$K24,0)</f>
        <v>0</v>
      </c>
      <c r="W24" s="1152">
        <f>'12. Разходи'!P24-'12. Разходи'!$K24</f>
        <v>0</v>
      </c>
      <c r="X24" s="838">
        <f>IFERROR(('12. Разходи'!P24-'12. Разходи'!$K24)/'12. Разходи'!$K24,0)</f>
        <v>0</v>
      </c>
      <c r="Y24" s="1182">
        <f>'12. Разходи'!S24</f>
        <v>151</v>
      </c>
      <c r="Z24" s="1151">
        <f>'12. Разходи'!T24-'12. Разходи'!$S24</f>
        <v>0</v>
      </c>
      <c r="AA24" s="896">
        <f>IFERROR(('12. Разходи'!T24-'12. Разходи'!$S24)/'12. Разходи'!$S24,0)</f>
        <v>0</v>
      </c>
      <c r="AB24" s="1152">
        <f>'12. Разходи'!U24-'12. Разходи'!$S24</f>
        <v>0</v>
      </c>
      <c r="AC24" s="896">
        <f>IFERROR(('12. Разходи'!U24-'12. Разходи'!$S24)/'12. Разходи'!$S24,0)</f>
        <v>0</v>
      </c>
      <c r="AD24" s="1152">
        <f>'12. Разходи'!V24-'12. Разходи'!$S24</f>
        <v>0</v>
      </c>
      <c r="AE24" s="896">
        <f>IFERROR(('12. Разходи'!V24-'12. Разходи'!$S24)/'12. Разходи'!$S24,0)</f>
        <v>0</v>
      </c>
      <c r="AF24" s="1152">
        <f>'12. Разходи'!W24-'12. Разходи'!$S24</f>
        <v>0</v>
      </c>
      <c r="AG24" s="896">
        <f>IFERROR(('12. Разходи'!W24-'12. Разходи'!$S24)/'12. Разходи'!$S24,0)</f>
        <v>0</v>
      </c>
      <c r="AH24" s="1152">
        <f>'12. Разходи'!X24-'12. Разходи'!$S24</f>
        <v>0</v>
      </c>
      <c r="AI24" s="838">
        <f>IFERROR(('12. Разходи'!X24-'12. Разходи'!$S24)/'12. Разходи'!$S24,0)</f>
        <v>0</v>
      </c>
      <c r="AJ24" s="1182">
        <f>'12. Разходи'!AA24</f>
        <v>0</v>
      </c>
      <c r="AK24" s="1162">
        <f>'12. Разходи'!AB24-'12. Разходи'!$AA24</f>
        <v>0</v>
      </c>
      <c r="AL24" s="896">
        <f>IFERROR(('12. Разходи'!AB24-'12. Разходи'!$AA24)/'12. Разходи'!$AA24,0)</f>
        <v>0</v>
      </c>
      <c r="AM24" s="1152">
        <f>'12. Разходи'!AC24-'12. Разходи'!$AA24</f>
        <v>0</v>
      </c>
      <c r="AN24" s="896">
        <f>IFERROR(('12. Разходи'!AC24-'12. Разходи'!$AA24)/'12. Разходи'!$AA24,0)</f>
        <v>0</v>
      </c>
      <c r="AO24" s="1152">
        <f>'12. Разходи'!AD24-'12. Разходи'!$AA24</f>
        <v>0</v>
      </c>
      <c r="AP24" s="896">
        <f>IFERROR(('12. Разходи'!AD24-'12. Разходи'!$AA24)/'12. Разходи'!$AA24,0)</f>
        <v>0</v>
      </c>
      <c r="AQ24" s="1152">
        <f>'12. Разходи'!AE24-'12. Разходи'!$AA24</f>
        <v>0</v>
      </c>
      <c r="AR24" s="905">
        <f>IFERROR(('12. Разходи'!AE24-'12. Разходи'!$AA24)/'12. Разходи'!$AA24,0)</f>
        <v>0</v>
      </c>
      <c r="AS24" s="1152">
        <f>'12. Разходи'!AF24-'12. Разходи'!$AA24</f>
        <v>0</v>
      </c>
      <c r="AT24" s="910">
        <f>IFERROR(('12. Разходи'!AF24-'12. Разходи'!$AA24)/'12. Разходи'!$AA24,0)</f>
        <v>0</v>
      </c>
      <c r="AU24" s="1182">
        <f>'12. Разходи'!AI24</f>
        <v>0</v>
      </c>
      <c r="AV24" s="1162">
        <f>'12. Разходи'!AJ24-'12. Разходи'!$AI24</f>
        <v>0</v>
      </c>
      <c r="AW24" s="896">
        <f>IFERROR(('12. Разходи'!AJ24-'12. Разходи'!$AI24)/'12. Разходи'!$AI24,0)</f>
        <v>0</v>
      </c>
      <c r="AX24" s="1152">
        <f>'12. Разходи'!AK24-'12. Разходи'!$AI24</f>
        <v>0</v>
      </c>
      <c r="AY24" s="896">
        <f>IFERROR(('12. Разходи'!AK24-'12. Разходи'!$AI24)/'12. Разходи'!$AI24,0)</f>
        <v>0</v>
      </c>
      <c r="AZ24" s="1152">
        <f>'12. Разходи'!AL24-'12. Разходи'!$AI24</f>
        <v>0</v>
      </c>
      <c r="BA24" s="896">
        <f>IFERROR(('12. Разходи'!AL24-'12. Разходи'!$AI24)/'12. Разходи'!$AI24,0)</f>
        <v>0</v>
      </c>
      <c r="BB24" s="1152">
        <f>'12. Разходи'!AM24-'12. Разходи'!$AI24</f>
        <v>0</v>
      </c>
      <c r="BC24" s="905">
        <f>IFERROR(('12. Разходи'!AM24-'12. Разходи'!$AI24)/'12. Разходи'!$AI24,0)</f>
        <v>0</v>
      </c>
      <c r="BD24" s="1152">
        <f>'12. Разходи'!AN24-'12. Разходи'!$AI24</f>
        <v>0</v>
      </c>
      <c r="BE24" s="910">
        <f>IFERROR(('12. Разходи'!AN24-'12. Разходи'!$AI24)/'12. Разходи'!$AI24,0)</f>
        <v>0</v>
      </c>
      <c r="BF24" s="4775"/>
      <c r="BG24" s="4794">
        <f t="shared" si="1"/>
        <v>257.69110812289415</v>
      </c>
      <c r="BH24" s="4794">
        <f t="shared" si="2"/>
        <v>0</v>
      </c>
      <c r="BI24" s="4794">
        <f t="shared" si="3"/>
        <v>0</v>
      </c>
      <c r="BJ24" s="4794">
        <f t="shared" si="4"/>
        <v>0</v>
      </c>
      <c r="BK24" s="4794">
        <f t="shared" si="5"/>
        <v>0</v>
      </c>
      <c r="BL24" s="4794">
        <f t="shared" si="6"/>
        <v>0</v>
      </c>
      <c r="BM24" s="4794">
        <f t="shared" si="7"/>
        <v>41.414642376893696</v>
      </c>
      <c r="BN24" s="4794">
        <f t="shared" si="8"/>
        <v>0</v>
      </c>
      <c r="BO24" s="4794">
        <f t="shared" si="9"/>
        <v>0</v>
      </c>
      <c r="BP24" s="4794">
        <f t="shared" si="10"/>
        <v>0</v>
      </c>
      <c r="BQ24" s="4794">
        <f t="shared" si="11"/>
        <v>0</v>
      </c>
      <c r="BR24" s="4794">
        <f t="shared" si="12"/>
        <v>0</v>
      </c>
      <c r="BS24" s="4794">
        <f t="shared" si="13"/>
        <v>77.205074060628988</v>
      </c>
      <c r="BT24" s="4794">
        <f t="shared" si="14"/>
        <v>0</v>
      </c>
      <c r="BU24" s="4794">
        <f t="shared" si="15"/>
        <v>0</v>
      </c>
      <c r="BV24" s="4794">
        <f t="shared" si="16"/>
        <v>0</v>
      </c>
      <c r="BW24" s="4794">
        <f t="shared" si="17"/>
        <v>0</v>
      </c>
      <c r="BX24" s="4794">
        <f t="shared" si="18"/>
        <v>0</v>
      </c>
      <c r="BY24" s="4794">
        <f t="shared" si="19"/>
        <v>0</v>
      </c>
      <c r="BZ24" s="4794">
        <f t="shared" si="20"/>
        <v>0</v>
      </c>
      <c r="CA24" s="4794">
        <f t="shared" si="21"/>
        <v>0</v>
      </c>
      <c r="CB24" s="4794">
        <f t="shared" si="22"/>
        <v>0</v>
      </c>
      <c r="CC24" s="4794">
        <f t="shared" si="23"/>
        <v>0</v>
      </c>
      <c r="CD24" s="4794">
        <f t="shared" si="24"/>
        <v>0</v>
      </c>
      <c r="CE24" s="4794">
        <f t="shared" si="25"/>
        <v>0</v>
      </c>
      <c r="CF24" s="4794">
        <f t="shared" si="26"/>
        <v>0</v>
      </c>
      <c r="CG24" s="4794">
        <f t="shared" si="27"/>
        <v>0</v>
      </c>
      <c r="CH24" s="4794">
        <f t="shared" si="28"/>
        <v>0</v>
      </c>
      <c r="CI24" s="4794">
        <f t="shared" si="29"/>
        <v>0</v>
      </c>
      <c r="CJ24" s="4794">
        <f t="shared" si="30"/>
        <v>0</v>
      </c>
    </row>
    <row r="25" spans="1:88" ht="15.95" customHeight="1">
      <c r="A25" s="854" t="s">
        <v>151</v>
      </c>
      <c r="B25" s="915" t="s">
        <v>437</v>
      </c>
      <c r="C25" s="1204">
        <f>'12. Разходи'!C25</f>
        <v>78</v>
      </c>
      <c r="D25" s="1153">
        <f>'12. Разходи'!D25-'12. Разходи'!$C25</f>
        <v>0</v>
      </c>
      <c r="E25" s="897">
        <f>IFERROR(('12. Разходи'!D25-'12. Разходи'!$C25)/'12. Разходи'!$C25,0)</f>
        <v>0</v>
      </c>
      <c r="F25" s="1154">
        <f>'12. Разходи'!E25-'12. Разходи'!$C25</f>
        <v>0</v>
      </c>
      <c r="G25" s="897">
        <f>IFERROR(('12. Разходи'!E25-'12. Разходи'!$C25)/'12. Разходи'!$C25,0)</f>
        <v>0</v>
      </c>
      <c r="H25" s="1154">
        <f>'12. Разходи'!F25-'12. Разходи'!$C25</f>
        <v>0</v>
      </c>
      <c r="I25" s="897">
        <f>IFERROR(('12. Разходи'!F25-'12. Разходи'!$C25)/'12. Разходи'!$C25,0)</f>
        <v>0</v>
      </c>
      <c r="J25" s="1154">
        <f>'12. Разходи'!G25-'12. Разходи'!$C25</f>
        <v>0</v>
      </c>
      <c r="K25" s="897">
        <f>IFERROR(('12. Разходи'!G25-'12. Разходи'!$C25)/'12. Разходи'!$C25,0)</f>
        <v>0</v>
      </c>
      <c r="L25" s="1154">
        <f>'12. Разходи'!H25-'12. Разходи'!$C25</f>
        <v>0</v>
      </c>
      <c r="M25" s="904">
        <f>IFERROR(('12. Разходи'!H25-'12. Разходи'!$C25)/'12. Разходи'!$C25,0)</f>
        <v>0</v>
      </c>
      <c r="N25" s="1183">
        <f>'12. Разходи'!K25</f>
        <v>13</v>
      </c>
      <c r="O25" s="1153">
        <f>'12. Разходи'!L25-'12. Разходи'!$K25</f>
        <v>0</v>
      </c>
      <c r="P25" s="897">
        <f>IFERROR(('12. Разходи'!L25-'12. Разходи'!$K25)/'12. Разходи'!$K25,0)</f>
        <v>0</v>
      </c>
      <c r="Q25" s="1154">
        <f>'12. Разходи'!M25-'12. Разходи'!$K25</f>
        <v>0</v>
      </c>
      <c r="R25" s="897">
        <f>IFERROR(('12. Разходи'!M25-'12. Разходи'!$K25)/'12. Разходи'!$K25,0)</f>
        <v>0</v>
      </c>
      <c r="S25" s="1154">
        <f>'12. Разходи'!N25-'12. Разходи'!$K25</f>
        <v>0</v>
      </c>
      <c r="T25" s="897">
        <f>IFERROR(('12. Разходи'!N25-'12. Разходи'!$K25)/'12. Разходи'!$K25,0)</f>
        <v>0</v>
      </c>
      <c r="U25" s="1154">
        <f>'12. Разходи'!O25-'12. Разходи'!$K25</f>
        <v>0</v>
      </c>
      <c r="V25" s="897">
        <f>IFERROR(('12. Разходи'!O25-'12. Разходи'!$K25)/'12. Разходи'!$K25,0)</f>
        <v>0</v>
      </c>
      <c r="W25" s="1154">
        <f>'12. Разходи'!P25-'12. Разходи'!$K25</f>
        <v>0</v>
      </c>
      <c r="X25" s="725">
        <f>IFERROR(('12. Разходи'!P25-'12. Разходи'!$K25)/'12. Разходи'!$K25,0)</f>
        <v>0</v>
      </c>
      <c r="Y25" s="1183">
        <f>'12. Разходи'!S25</f>
        <v>35</v>
      </c>
      <c r="Z25" s="1153">
        <f>'12. Разходи'!T25-'12. Разходи'!$S25</f>
        <v>0</v>
      </c>
      <c r="AA25" s="897">
        <f>IFERROR(('12. Разходи'!T25-'12. Разходи'!$S25)/'12. Разходи'!$S25,0)</f>
        <v>0</v>
      </c>
      <c r="AB25" s="1154">
        <f>'12. Разходи'!U25-'12. Разходи'!$S25</f>
        <v>0</v>
      </c>
      <c r="AC25" s="897">
        <f>IFERROR(('12. Разходи'!U25-'12. Разходи'!$S25)/'12. Разходи'!$S25,0)</f>
        <v>0</v>
      </c>
      <c r="AD25" s="1154">
        <f>'12. Разходи'!V25-'12. Разходи'!$S25</f>
        <v>0</v>
      </c>
      <c r="AE25" s="897">
        <f>IFERROR(('12. Разходи'!V25-'12. Разходи'!$S25)/'12. Разходи'!$S25,0)</f>
        <v>0</v>
      </c>
      <c r="AF25" s="1154">
        <f>'12. Разходи'!W25-'12. Разходи'!$S25</f>
        <v>0</v>
      </c>
      <c r="AG25" s="897">
        <f>IFERROR(('12. Разходи'!W25-'12. Разходи'!$S25)/'12. Разходи'!$S25,0)</f>
        <v>0</v>
      </c>
      <c r="AH25" s="1154">
        <f>'12. Разходи'!X25-'12. Разходи'!$S25</f>
        <v>0</v>
      </c>
      <c r="AI25" s="725">
        <f>IFERROR(('12. Разходи'!X25-'12. Разходи'!$S25)/'12. Разходи'!$S25,0)</f>
        <v>0</v>
      </c>
      <c r="AJ25" s="1183">
        <f>'12. Разходи'!AA25</f>
        <v>0</v>
      </c>
      <c r="AK25" s="1161">
        <f>'12. Разходи'!AB25-'12. Разходи'!$AA25</f>
        <v>0</v>
      </c>
      <c r="AL25" s="897">
        <f>IFERROR(('12. Разходи'!AB25-'12. Разходи'!$AA25)/'12. Разходи'!$AA25,0)</f>
        <v>0</v>
      </c>
      <c r="AM25" s="1154">
        <f>'12. Разходи'!AC25-'12. Разходи'!$AA25</f>
        <v>0</v>
      </c>
      <c r="AN25" s="897">
        <f>IFERROR(('12. Разходи'!AC25-'12. Разходи'!$AA25)/'12. Разходи'!$AA25,0)</f>
        <v>0</v>
      </c>
      <c r="AO25" s="1154">
        <f>'12. Разходи'!AD25-'12. Разходи'!$AA25</f>
        <v>0</v>
      </c>
      <c r="AP25" s="897">
        <f>IFERROR(('12. Разходи'!AD25-'12. Разходи'!$AA25)/'12. Разходи'!$AA25,0)</f>
        <v>0</v>
      </c>
      <c r="AQ25" s="1154">
        <f>'12. Разходи'!AE25-'12. Разходи'!$AA25</f>
        <v>0</v>
      </c>
      <c r="AR25" s="904">
        <f>IFERROR(('12. Разходи'!AE25-'12. Разходи'!$AA25)/'12. Разходи'!$AA25,0)</f>
        <v>0</v>
      </c>
      <c r="AS25" s="1154">
        <f>'12. Разходи'!AF25-'12. Разходи'!$AA25</f>
        <v>0</v>
      </c>
      <c r="AT25" s="725">
        <f>IFERROR(('12. Разходи'!AF25-'12. Разходи'!$AA25)/'12. Разходи'!$AA25,0)</f>
        <v>0</v>
      </c>
      <c r="AU25" s="1183">
        <f>'12. Разходи'!AI25</f>
        <v>0</v>
      </c>
      <c r="AV25" s="1161">
        <f>'12. Разходи'!AJ25-'12. Разходи'!$AI25</f>
        <v>0</v>
      </c>
      <c r="AW25" s="897">
        <f>IFERROR(('12. Разходи'!AJ25-'12. Разходи'!$AI25)/'12. Разходи'!$AI25,0)</f>
        <v>0</v>
      </c>
      <c r="AX25" s="1154">
        <f>'12. Разходи'!AK25-'12. Разходи'!$AI25</f>
        <v>0</v>
      </c>
      <c r="AY25" s="897">
        <f>IFERROR(('12. Разходи'!AK25-'12. Разходи'!$AI25)/'12. Разходи'!$AI25,0)</f>
        <v>0</v>
      </c>
      <c r="AZ25" s="1154">
        <f>'12. Разходи'!AL25-'12. Разходи'!$AI25</f>
        <v>0</v>
      </c>
      <c r="BA25" s="897">
        <f>IFERROR(('12. Разходи'!AL25-'12. Разходи'!$AI25)/'12. Разходи'!$AI25,0)</f>
        <v>0</v>
      </c>
      <c r="BB25" s="1154">
        <f>'12. Разходи'!AM25-'12. Разходи'!$AI25</f>
        <v>0</v>
      </c>
      <c r="BC25" s="904">
        <f>IFERROR(('12. Разходи'!AM25-'12. Разходи'!$AI25)/'12. Разходи'!$AI25,0)</f>
        <v>0</v>
      </c>
      <c r="BD25" s="1154">
        <f>'12. Разходи'!AN25-'12. Разходи'!$AI25</f>
        <v>0</v>
      </c>
      <c r="BE25" s="725">
        <f>IFERROR(('12. Разходи'!AN25-'12. Разходи'!$AI25)/'12. Разходи'!$AI25,0)</f>
        <v>0</v>
      </c>
      <c r="BF25" s="4775"/>
      <c r="BG25" s="4794">
        <f t="shared" si="1"/>
        <v>39.880766733305045</v>
      </c>
      <c r="BH25" s="4794">
        <f t="shared" si="2"/>
        <v>0</v>
      </c>
      <c r="BI25" s="4794">
        <f t="shared" si="3"/>
        <v>0</v>
      </c>
      <c r="BJ25" s="4794">
        <f t="shared" si="4"/>
        <v>0</v>
      </c>
      <c r="BK25" s="4794">
        <f t="shared" si="5"/>
        <v>0</v>
      </c>
      <c r="BL25" s="4794">
        <f t="shared" si="6"/>
        <v>0</v>
      </c>
      <c r="BM25" s="4794">
        <f t="shared" si="7"/>
        <v>6.6467944555508405</v>
      </c>
      <c r="BN25" s="4794">
        <f t="shared" si="8"/>
        <v>0</v>
      </c>
      <c r="BO25" s="4794">
        <f t="shared" si="9"/>
        <v>0</v>
      </c>
      <c r="BP25" s="4794">
        <f t="shared" si="10"/>
        <v>0</v>
      </c>
      <c r="BQ25" s="4794">
        <f t="shared" si="11"/>
        <v>0</v>
      </c>
      <c r="BR25" s="4794">
        <f t="shared" si="12"/>
        <v>0</v>
      </c>
      <c r="BS25" s="4794">
        <f t="shared" si="13"/>
        <v>17.895215841867646</v>
      </c>
      <c r="BT25" s="4794">
        <f t="shared" si="14"/>
        <v>0</v>
      </c>
      <c r="BU25" s="4794">
        <f t="shared" si="15"/>
        <v>0</v>
      </c>
      <c r="BV25" s="4794">
        <f t="shared" si="16"/>
        <v>0</v>
      </c>
      <c r="BW25" s="4794">
        <f t="shared" si="17"/>
        <v>0</v>
      </c>
      <c r="BX25" s="4794">
        <f t="shared" si="18"/>
        <v>0</v>
      </c>
      <c r="BY25" s="4794">
        <f t="shared" si="19"/>
        <v>0</v>
      </c>
      <c r="BZ25" s="4794">
        <f t="shared" si="20"/>
        <v>0</v>
      </c>
      <c r="CA25" s="4794">
        <f t="shared" si="21"/>
        <v>0</v>
      </c>
      <c r="CB25" s="4794">
        <f t="shared" si="22"/>
        <v>0</v>
      </c>
      <c r="CC25" s="4794">
        <f t="shared" si="23"/>
        <v>0</v>
      </c>
      <c r="CD25" s="4794">
        <f t="shared" si="24"/>
        <v>0</v>
      </c>
      <c r="CE25" s="4794">
        <f t="shared" si="25"/>
        <v>0</v>
      </c>
      <c r="CF25" s="4794">
        <f t="shared" si="26"/>
        <v>0</v>
      </c>
      <c r="CG25" s="4794">
        <f t="shared" si="27"/>
        <v>0</v>
      </c>
      <c r="CH25" s="4794">
        <f t="shared" si="28"/>
        <v>0</v>
      </c>
      <c r="CI25" s="4794">
        <f t="shared" si="29"/>
        <v>0</v>
      </c>
      <c r="CJ25" s="4794">
        <f t="shared" si="30"/>
        <v>0</v>
      </c>
    </row>
    <row r="26" spans="1:88" ht="15.95" customHeight="1">
      <c r="A26" s="855" t="s">
        <v>438</v>
      </c>
      <c r="B26" s="3299">
        <f>'12. Разходи'!B26</f>
        <v>0</v>
      </c>
      <c r="C26" s="3300">
        <f>'12. Разходи'!C26</f>
        <v>50</v>
      </c>
      <c r="D26" s="926">
        <f>'12. Разходи'!D26-'12. Разходи'!$C26</f>
        <v>0</v>
      </c>
      <c r="E26" s="1140">
        <f>IFERROR(('12. Разходи'!D26-'12. Разходи'!$C26)/'12. Разходи'!$C26,0)</f>
        <v>0</v>
      </c>
      <c r="F26" s="1155">
        <f>'12. Разходи'!E26-'12. Разходи'!$C26</f>
        <v>0</v>
      </c>
      <c r="G26" s="1140">
        <f>IFERROR(('12. Разходи'!E26-'12. Разходи'!$C26)/'12. Разходи'!$C26,0)</f>
        <v>0</v>
      </c>
      <c r="H26" s="1155">
        <f>'12. Разходи'!F26-'12. Разходи'!$C26</f>
        <v>0</v>
      </c>
      <c r="I26" s="1140">
        <f>IFERROR(('12. Разходи'!F26-'12. Разходи'!$C26)/'12. Разходи'!$C26,0)</f>
        <v>0</v>
      </c>
      <c r="J26" s="1155">
        <f>'12. Разходи'!G26-'12. Разходи'!$C26</f>
        <v>0</v>
      </c>
      <c r="K26" s="1140">
        <f>IFERROR(('12. Разходи'!G26-'12. Разходи'!$C26)/'12. Разходи'!$C26,0)</f>
        <v>0</v>
      </c>
      <c r="L26" s="1155">
        <f>'12. Разходи'!H26-'12. Разходи'!$C26</f>
        <v>0</v>
      </c>
      <c r="M26" s="1141">
        <f>IFERROR(('12. Разходи'!H26-'12. Разходи'!$C26)/'12. Разходи'!$C26,0)</f>
        <v>0</v>
      </c>
      <c r="N26" s="1196">
        <f>'12. Разходи'!K26</f>
        <v>7</v>
      </c>
      <c r="O26" s="926">
        <f>'12. Разходи'!L26-'12. Разходи'!$K26</f>
        <v>0</v>
      </c>
      <c r="P26" s="1140">
        <f>IFERROR(('12. Разходи'!L26-'12. Разходи'!$K26)/'12. Разходи'!$K26,0)</f>
        <v>0</v>
      </c>
      <c r="Q26" s="1155">
        <f>'12. Разходи'!M26-'12. Разходи'!$K26</f>
        <v>0</v>
      </c>
      <c r="R26" s="1140">
        <f>IFERROR(('12. Разходи'!M26-'12. Разходи'!$K26)/'12. Разходи'!$K26,0)</f>
        <v>0</v>
      </c>
      <c r="S26" s="1155">
        <f>'12. Разходи'!N26-'12. Разходи'!$K26</f>
        <v>0</v>
      </c>
      <c r="T26" s="1140">
        <f>IFERROR(('12. Разходи'!N26-'12. Разходи'!$K26)/'12. Разходи'!$K26,0)</f>
        <v>0</v>
      </c>
      <c r="U26" s="1155">
        <f>'12. Разходи'!O26-'12. Разходи'!$K26</f>
        <v>0</v>
      </c>
      <c r="V26" s="1140">
        <f>IFERROR(('12. Разходи'!O26-'12. Разходи'!$K26)/'12. Разходи'!$K26,0)</f>
        <v>0</v>
      </c>
      <c r="W26" s="1155">
        <f>'12. Разходи'!P26-'12. Разходи'!$K26</f>
        <v>0</v>
      </c>
      <c r="X26" s="842">
        <f>IFERROR(('12. Разходи'!P26-'12. Разходи'!$K26)/'12. Разходи'!$K26,0)</f>
        <v>0</v>
      </c>
      <c r="Y26" s="1196">
        <f>'12. Разходи'!S26</f>
        <v>8</v>
      </c>
      <c r="Z26" s="926">
        <f>'12. Разходи'!T26-'12. Разходи'!$S26</f>
        <v>0</v>
      </c>
      <c r="AA26" s="1140">
        <f>IFERROR(('12. Разходи'!T26-'12. Разходи'!$S26)/'12. Разходи'!$S26,0)</f>
        <v>0</v>
      </c>
      <c r="AB26" s="1155">
        <f>'12. Разходи'!U26-'12. Разходи'!$S26</f>
        <v>0</v>
      </c>
      <c r="AC26" s="1140">
        <f>IFERROR(('12. Разходи'!U26-'12. Разходи'!$S26)/'12. Разходи'!$S26,0)</f>
        <v>0</v>
      </c>
      <c r="AD26" s="1155">
        <f>'12. Разходи'!V26-'12. Разходи'!$S26</f>
        <v>0</v>
      </c>
      <c r="AE26" s="1140">
        <f>IFERROR(('12. Разходи'!V26-'12. Разходи'!$S26)/'12. Разходи'!$S26,0)</f>
        <v>0</v>
      </c>
      <c r="AF26" s="1155">
        <f>'12. Разходи'!W26-'12. Разходи'!$S26</f>
        <v>0</v>
      </c>
      <c r="AG26" s="1140">
        <f>IFERROR(('12. Разходи'!W26-'12. Разходи'!$S26)/'12. Разходи'!$S26,0)</f>
        <v>0</v>
      </c>
      <c r="AH26" s="1155">
        <f>'12. Разходи'!X26-'12. Разходи'!$S26</f>
        <v>0</v>
      </c>
      <c r="AI26" s="842">
        <f>IFERROR(('12. Разходи'!X26-'12. Разходи'!$S26)/'12. Разходи'!$S26,0)</f>
        <v>0</v>
      </c>
      <c r="AJ26" s="1196">
        <f>'12. Разходи'!AA26</f>
        <v>0</v>
      </c>
      <c r="AK26" s="1160">
        <f>'12. Разходи'!AB26-'12. Разходи'!$AA26</f>
        <v>0</v>
      </c>
      <c r="AL26" s="1140">
        <f>IFERROR(('12. Разходи'!AB26-'12. Разходи'!$AA26)/'12. Разходи'!$AA26,0)</f>
        <v>0</v>
      </c>
      <c r="AM26" s="926">
        <f>'12. Разходи'!AC26-'12. Разходи'!$AA26</f>
        <v>0</v>
      </c>
      <c r="AN26" s="1148">
        <f>IFERROR(('12. Разходи'!AC26-'12. Разходи'!$AA26)/'12. Разходи'!$AA26,0)</f>
        <v>0</v>
      </c>
      <c r="AO26" s="926">
        <f>'12. Разходи'!AD26-'12. Разходи'!$AA26</f>
        <v>0</v>
      </c>
      <c r="AP26" s="1148">
        <f>IFERROR(('12. Разходи'!AD26-'12. Разходи'!$AA26)/'12. Разходи'!$AA26,0)</f>
        <v>0</v>
      </c>
      <c r="AQ26" s="926">
        <f>'12. Разходи'!AE26-'12. Разходи'!$AA26</f>
        <v>0</v>
      </c>
      <c r="AR26" s="1147">
        <f>IFERROR(('12. Разходи'!AE26-'12. Разходи'!$AA26)/'12. Разходи'!$AA26,0)</f>
        <v>0</v>
      </c>
      <c r="AS26" s="1155">
        <f>'12. Разходи'!AF26-'12. Разходи'!$AA26</f>
        <v>0</v>
      </c>
      <c r="AT26" s="1202">
        <f>IFERROR(('12. Разходи'!AF26-'12. Разходи'!$AA26)/'12. Разходи'!$AA26,0)</f>
        <v>0</v>
      </c>
      <c r="AU26" s="1196">
        <f>'12. Разходи'!AI26</f>
        <v>0</v>
      </c>
      <c r="AV26" s="1160">
        <f>'12. Разходи'!AJ26-'12. Разходи'!$AI26</f>
        <v>0</v>
      </c>
      <c r="AW26" s="1140">
        <f>IFERROR(('12. Разходи'!AJ26-'12. Разходи'!$AI26)/'12. Разходи'!$AI26,0)</f>
        <v>0</v>
      </c>
      <c r="AX26" s="926">
        <f>'12. Разходи'!AK26-'12. Разходи'!$AI26</f>
        <v>0</v>
      </c>
      <c r="AY26" s="1148">
        <f>IFERROR(('12. Разходи'!AK26-'12. Разходи'!$AI26)/'12. Разходи'!$AI26,0)</f>
        <v>0</v>
      </c>
      <c r="AZ26" s="926">
        <f>'12. Разходи'!AL26-'12. Разходи'!$AI26</f>
        <v>0</v>
      </c>
      <c r="BA26" s="1148">
        <f>IFERROR(('12. Разходи'!AL26-'12. Разходи'!$AI26)/'12. Разходи'!$AI26,0)</f>
        <v>0</v>
      </c>
      <c r="BB26" s="926">
        <f>'12. Разходи'!AM26-'12. Разходи'!$AI26</f>
        <v>0</v>
      </c>
      <c r="BC26" s="1147">
        <f>IFERROR(('12. Разходи'!AM26-'12. Разходи'!$AI26)/'12. Разходи'!$AI26,0)</f>
        <v>0</v>
      </c>
      <c r="BD26" s="1155">
        <f>'12. Разходи'!AN26-'12. Разходи'!$AI26</f>
        <v>0</v>
      </c>
      <c r="BE26" s="1202">
        <f>IFERROR(('12. Разходи'!AN26-'12. Разходи'!$AI26)/'12. Разходи'!$AI26,0)</f>
        <v>0</v>
      </c>
      <c r="BF26" s="4775"/>
      <c r="BG26" s="4794">
        <f t="shared" si="1"/>
        <v>25.564594059810926</v>
      </c>
      <c r="BH26" s="4794">
        <f t="shared" si="2"/>
        <v>0</v>
      </c>
      <c r="BI26" s="4794">
        <f t="shared" si="3"/>
        <v>0</v>
      </c>
      <c r="BJ26" s="4794">
        <f t="shared" si="4"/>
        <v>0</v>
      </c>
      <c r="BK26" s="4794">
        <f t="shared" si="5"/>
        <v>0</v>
      </c>
      <c r="BL26" s="4794">
        <f t="shared" si="6"/>
        <v>0</v>
      </c>
      <c r="BM26" s="4794">
        <f t="shared" si="7"/>
        <v>3.5790431683735293</v>
      </c>
      <c r="BN26" s="4794">
        <f t="shared" si="8"/>
        <v>0</v>
      </c>
      <c r="BO26" s="4794">
        <f t="shared" si="9"/>
        <v>0</v>
      </c>
      <c r="BP26" s="4794">
        <f t="shared" si="10"/>
        <v>0</v>
      </c>
      <c r="BQ26" s="4794">
        <f t="shared" si="11"/>
        <v>0</v>
      </c>
      <c r="BR26" s="4794">
        <f t="shared" si="12"/>
        <v>0</v>
      </c>
      <c r="BS26" s="4794">
        <f t="shared" si="13"/>
        <v>4.0903350495697479</v>
      </c>
      <c r="BT26" s="4794">
        <f t="shared" si="14"/>
        <v>0</v>
      </c>
      <c r="BU26" s="4794">
        <f t="shared" si="15"/>
        <v>0</v>
      </c>
      <c r="BV26" s="4794">
        <f t="shared" si="16"/>
        <v>0</v>
      </c>
      <c r="BW26" s="4794">
        <f t="shared" si="17"/>
        <v>0</v>
      </c>
      <c r="BX26" s="4794">
        <f t="shared" si="18"/>
        <v>0</v>
      </c>
      <c r="BY26" s="4794">
        <f t="shared" si="19"/>
        <v>0</v>
      </c>
      <c r="BZ26" s="4794">
        <f t="shared" si="20"/>
        <v>0</v>
      </c>
      <c r="CA26" s="4794">
        <f t="shared" si="21"/>
        <v>0</v>
      </c>
      <c r="CB26" s="4794">
        <f t="shared" si="22"/>
        <v>0</v>
      </c>
      <c r="CC26" s="4794">
        <f t="shared" si="23"/>
        <v>0</v>
      </c>
      <c r="CD26" s="4794">
        <f t="shared" si="24"/>
        <v>0</v>
      </c>
      <c r="CE26" s="4794">
        <f t="shared" si="25"/>
        <v>0</v>
      </c>
      <c r="CF26" s="4794">
        <f t="shared" si="26"/>
        <v>0</v>
      </c>
      <c r="CG26" s="4794">
        <f t="shared" si="27"/>
        <v>0</v>
      </c>
      <c r="CH26" s="4794">
        <f t="shared" si="28"/>
        <v>0</v>
      </c>
      <c r="CI26" s="4794">
        <f t="shared" si="29"/>
        <v>0</v>
      </c>
      <c r="CJ26" s="4794">
        <f t="shared" si="30"/>
        <v>0</v>
      </c>
    </row>
    <row r="27" spans="1:88" ht="15.95" customHeight="1">
      <c r="A27" s="857" t="s">
        <v>439</v>
      </c>
      <c r="B27" s="3299">
        <f>'12. Разходи'!B27</f>
        <v>0</v>
      </c>
      <c r="C27" s="3300">
        <f>'12. Разходи'!C27</f>
        <v>28</v>
      </c>
      <c r="D27" s="926">
        <f>'12. Разходи'!D27-'12. Разходи'!$C27</f>
        <v>0</v>
      </c>
      <c r="E27" s="1140">
        <f>IFERROR(('12. Разходи'!D27-'12. Разходи'!$C27)/'12. Разходи'!$C27,0)</f>
        <v>0</v>
      </c>
      <c r="F27" s="1155">
        <f>'12. Разходи'!E27-'12. Разходи'!$C27</f>
        <v>0</v>
      </c>
      <c r="G27" s="1140">
        <f>IFERROR(('12. Разходи'!E27-'12. Разходи'!$C27)/'12. Разходи'!$C27,0)</f>
        <v>0</v>
      </c>
      <c r="H27" s="1155">
        <f>'12. Разходи'!F27-'12. Разходи'!$C27</f>
        <v>0</v>
      </c>
      <c r="I27" s="1140">
        <f>IFERROR(('12. Разходи'!F27-'12. Разходи'!$C27)/'12. Разходи'!$C27,0)</f>
        <v>0</v>
      </c>
      <c r="J27" s="1155">
        <f>'12. Разходи'!G27-'12. Разходи'!$C27</f>
        <v>0</v>
      </c>
      <c r="K27" s="1140">
        <f>IFERROR(('12. Разходи'!G27-'12. Разходи'!$C27)/'12. Разходи'!$C27,0)</f>
        <v>0</v>
      </c>
      <c r="L27" s="1155">
        <f>'12. Разходи'!H27-'12. Разходи'!$C27</f>
        <v>0</v>
      </c>
      <c r="M27" s="1141">
        <f>IFERROR(('12. Разходи'!H27-'12. Разходи'!$C27)/'12. Разходи'!$C27,0)</f>
        <v>0</v>
      </c>
      <c r="N27" s="1196">
        <f>'12. Разходи'!K27</f>
        <v>6</v>
      </c>
      <c r="O27" s="926">
        <f>'12. Разходи'!L27-'12. Разходи'!$K27</f>
        <v>0</v>
      </c>
      <c r="P27" s="1140">
        <f>IFERROR(('12. Разходи'!L27-'12. Разходи'!$K27)/'12. Разходи'!$K27,0)</f>
        <v>0</v>
      </c>
      <c r="Q27" s="1155">
        <f>'12. Разходи'!M27-'12. Разходи'!$K27</f>
        <v>0</v>
      </c>
      <c r="R27" s="1140">
        <f>IFERROR(('12. Разходи'!M27-'12. Разходи'!$K27)/'12. Разходи'!$K27,0)</f>
        <v>0</v>
      </c>
      <c r="S27" s="1155">
        <f>'12. Разходи'!N27-'12. Разходи'!$K27</f>
        <v>0</v>
      </c>
      <c r="T27" s="1140">
        <f>IFERROR(('12. Разходи'!N27-'12. Разходи'!$K27)/'12. Разходи'!$K27,0)</f>
        <v>0</v>
      </c>
      <c r="U27" s="1155">
        <f>'12. Разходи'!O27-'12. Разходи'!$K27</f>
        <v>0</v>
      </c>
      <c r="V27" s="1140">
        <f>IFERROR(('12. Разходи'!O27-'12. Разходи'!$K27)/'12. Разходи'!$K27,0)</f>
        <v>0</v>
      </c>
      <c r="W27" s="1155">
        <f>'12. Разходи'!P27-'12. Разходи'!$K27</f>
        <v>0</v>
      </c>
      <c r="X27" s="842">
        <f>IFERROR(('12. Разходи'!P27-'12. Разходи'!$K27)/'12. Разходи'!$K27,0)</f>
        <v>0</v>
      </c>
      <c r="Y27" s="1196">
        <f>'12. Разходи'!S27</f>
        <v>12</v>
      </c>
      <c r="Z27" s="926">
        <f>'12. Разходи'!T27-'12. Разходи'!$S27</f>
        <v>0</v>
      </c>
      <c r="AA27" s="1140">
        <f>IFERROR(('12. Разходи'!T27-'12. Разходи'!$S27)/'12. Разходи'!$S27,0)</f>
        <v>0</v>
      </c>
      <c r="AB27" s="1155">
        <f>'12. Разходи'!U27-'12. Разходи'!$S27</f>
        <v>0</v>
      </c>
      <c r="AC27" s="1140">
        <f>IFERROR(('12. Разходи'!U27-'12. Разходи'!$S27)/'12. Разходи'!$S27,0)</f>
        <v>0</v>
      </c>
      <c r="AD27" s="1155">
        <f>'12. Разходи'!V27-'12. Разходи'!$S27</f>
        <v>0</v>
      </c>
      <c r="AE27" s="1140">
        <f>IFERROR(('12. Разходи'!V27-'12. Разходи'!$S27)/'12. Разходи'!$S27,0)</f>
        <v>0</v>
      </c>
      <c r="AF27" s="1155">
        <f>'12. Разходи'!W27-'12. Разходи'!$S27</f>
        <v>0</v>
      </c>
      <c r="AG27" s="1140">
        <f>IFERROR(('12. Разходи'!W27-'12. Разходи'!$S27)/'12. Разходи'!$S27,0)</f>
        <v>0</v>
      </c>
      <c r="AH27" s="1155">
        <f>'12. Разходи'!X27-'12. Разходи'!$S27</f>
        <v>0</v>
      </c>
      <c r="AI27" s="842">
        <f>IFERROR(('12. Разходи'!X27-'12. Разходи'!$S27)/'12. Разходи'!$S27,0)</f>
        <v>0</v>
      </c>
      <c r="AJ27" s="1196">
        <f>'12. Разходи'!AA27</f>
        <v>0</v>
      </c>
      <c r="AK27" s="1160">
        <f>'12. Разходи'!AB27-'12. Разходи'!$AA27</f>
        <v>0</v>
      </c>
      <c r="AL27" s="1140">
        <f>IFERROR(('12. Разходи'!AB27-'12. Разходи'!$AA27)/'12. Разходи'!$AA27,0)</f>
        <v>0</v>
      </c>
      <c r="AM27" s="926">
        <f>'12. Разходи'!AC27-'12. Разходи'!$AA27</f>
        <v>0</v>
      </c>
      <c r="AN27" s="1148">
        <f>IFERROR(('12. Разходи'!AC27-'12. Разходи'!$AA27)/'12. Разходи'!$AA27,0)</f>
        <v>0</v>
      </c>
      <c r="AO27" s="926">
        <f>'12. Разходи'!AD27-'12. Разходи'!$AA27</f>
        <v>0</v>
      </c>
      <c r="AP27" s="1148">
        <f>IFERROR(('12. Разходи'!AD27-'12. Разходи'!$AA27)/'12. Разходи'!$AA27,0)</f>
        <v>0</v>
      </c>
      <c r="AQ27" s="926">
        <f>'12. Разходи'!AE27-'12. Разходи'!$AA27</f>
        <v>0</v>
      </c>
      <c r="AR27" s="1147">
        <f>IFERROR(('12. Разходи'!AE27-'12. Разходи'!$AA27)/'12. Разходи'!$AA27,0)</f>
        <v>0</v>
      </c>
      <c r="AS27" s="1155">
        <f>'12. Разходи'!AF27-'12. Разходи'!$AA27</f>
        <v>0</v>
      </c>
      <c r="AT27" s="1202">
        <f>IFERROR(('12. Разходи'!AF27-'12. Разходи'!$AA27)/'12. Разходи'!$AA27,0)</f>
        <v>0</v>
      </c>
      <c r="AU27" s="1196">
        <f>'12. Разходи'!AI27</f>
        <v>0</v>
      </c>
      <c r="AV27" s="1160">
        <f>'12. Разходи'!AJ27-'12. Разходи'!$AI27</f>
        <v>0</v>
      </c>
      <c r="AW27" s="1140">
        <f>IFERROR(('12. Разходи'!AJ27-'12. Разходи'!$AI27)/'12. Разходи'!$AI27,0)</f>
        <v>0</v>
      </c>
      <c r="AX27" s="926">
        <f>'12. Разходи'!AK27-'12. Разходи'!$AI27</f>
        <v>0</v>
      </c>
      <c r="AY27" s="1148">
        <f>IFERROR(('12. Разходи'!AK27-'12. Разходи'!$AI27)/'12. Разходи'!$AI27,0)</f>
        <v>0</v>
      </c>
      <c r="AZ27" s="926">
        <f>'12. Разходи'!AL27-'12. Разходи'!$AI27</f>
        <v>0</v>
      </c>
      <c r="BA27" s="1148">
        <f>IFERROR(('12. Разходи'!AL27-'12. Разходи'!$AI27)/'12. Разходи'!$AI27,0)</f>
        <v>0</v>
      </c>
      <c r="BB27" s="926">
        <f>'12. Разходи'!AM27-'12. Разходи'!$AI27</f>
        <v>0</v>
      </c>
      <c r="BC27" s="1147">
        <f>IFERROR(('12. Разходи'!AM27-'12. Разходи'!$AI27)/'12. Разходи'!$AI27,0)</f>
        <v>0</v>
      </c>
      <c r="BD27" s="1155">
        <f>'12. Разходи'!AN27-'12. Разходи'!$AI27</f>
        <v>0</v>
      </c>
      <c r="BE27" s="1202">
        <f>IFERROR(('12. Разходи'!AN27-'12. Разходи'!$AI27)/'12. Разходи'!$AI27,0)</f>
        <v>0</v>
      </c>
      <c r="BF27" s="4775"/>
      <c r="BG27" s="4794">
        <f t="shared" si="1"/>
        <v>14.316172673494117</v>
      </c>
      <c r="BH27" s="4794">
        <f t="shared" si="2"/>
        <v>0</v>
      </c>
      <c r="BI27" s="4794">
        <f t="shared" si="3"/>
        <v>0</v>
      </c>
      <c r="BJ27" s="4794">
        <f t="shared" si="4"/>
        <v>0</v>
      </c>
      <c r="BK27" s="4794">
        <f t="shared" si="5"/>
        <v>0</v>
      </c>
      <c r="BL27" s="4794">
        <f t="shared" si="6"/>
        <v>0</v>
      </c>
      <c r="BM27" s="4794">
        <f t="shared" si="7"/>
        <v>3.0677512871773112</v>
      </c>
      <c r="BN27" s="4794">
        <f t="shared" si="8"/>
        <v>0</v>
      </c>
      <c r="BO27" s="4794">
        <f t="shared" si="9"/>
        <v>0</v>
      </c>
      <c r="BP27" s="4794">
        <f t="shared" si="10"/>
        <v>0</v>
      </c>
      <c r="BQ27" s="4794">
        <f t="shared" si="11"/>
        <v>0</v>
      </c>
      <c r="BR27" s="4794">
        <f t="shared" si="12"/>
        <v>0</v>
      </c>
      <c r="BS27" s="4794">
        <f t="shared" si="13"/>
        <v>6.1355025743546223</v>
      </c>
      <c r="BT27" s="4794">
        <f t="shared" si="14"/>
        <v>0</v>
      </c>
      <c r="BU27" s="4794">
        <f t="shared" si="15"/>
        <v>0</v>
      </c>
      <c r="BV27" s="4794">
        <f t="shared" si="16"/>
        <v>0</v>
      </c>
      <c r="BW27" s="4794">
        <f t="shared" si="17"/>
        <v>0</v>
      </c>
      <c r="BX27" s="4794">
        <f t="shared" si="18"/>
        <v>0</v>
      </c>
      <c r="BY27" s="4794">
        <f t="shared" si="19"/>
        <v>0</v>
      </c>
      <c r="BZ27" s="4794">
        <f t="shared" si="20"/>
        <v>0</v>
      </c>
      <c r="CA27" s="4794">
        <f t="shared" si="21"/>
        <v>0</v>
      </c>
      <c r="CB27" s="4794">
        <f t="shared" si="22"/>
        <v>0</v>
      </c>
      <c r="CC27" s="4794">
        <f t="shared" si="23"/>
        <v>0</v>
      </c>
      <c r="CD27" s="4794">
        <f t="shared" si="24"/>
        <v>0</v>
      </c>
      <c r="CE27" s="4794">
        <f t="shared" si="25"/>
        <v>0</v>
      </c>
      <c r="CF27" s="4794">
        <f t="shared" si="26"/>
        <v>0</v>
      </c>
      <c r="CG27" s="4794">
        <f t="shared" si="27"/>
        <v>0</v>
      </c>
      <c r="CH27" s="4794">
        <f t="shared" si="28"/>
        <v>0</v>
      </c>
      <c r="CI27" s="4794">
        <f t="shared" si="29"/>
        <v>0</v>
      </c>
      <c r="CJ27" s="4794">
        <f t="shared" si="30"/>
        <v>0</v>
      </c>
    </row>
    <row r="28" spans="1:88" ht="15.95" customHeight="1" thickBot="1">
      <c r="A28" s="857" t="s">
        <v>440</v>
      </c>
      <c r="B28" s="3299">
        <f>'12. Разходи'!B28</f>
        <v>0</v>
      </c>
      <c r="C28" s="3301">
        <f>'12. Разходи'!C28</f>
        <v>0</v>
      </c>
      <c r="D28" s="1156">
        <f>'12. Разходи'!D28-'12. Разходи'!$C28</f>
        <v>0</v>
      </c>
      <c r="E28" s="1142">
        <f>IFERROR(('12. Разходи'!D28-'12. Разходи'!$C28)/'12. Разходи'!$C28,0)</f>
        <v>0</v>
      </c>
      <c r="F28" s="1157">
        <f>'12. Разходи'!E28-'12. Разходи'!$C28</f>
        <v>0</v>
      </c>
      <c r="G28" s="1142">
        <f>IFERROR(('12. Разходи'!E28-'12. Разходи'!$C28)/'12. Разходи'!$C28,0)</f>
        <v>0</v>
      </c>
      <c r="H28" s="1157">
        <f>'12. Разходи'!F28-'12. Разходи'!$C28</f>
        <v>0</v>
      </c>
      <c r="I28" s="1142">
        <f>IFERROR(('12. Разходи'!F28-'12. Разходи'!$C28)/'12. Разходи'!$C28,0)</f>
        <v>0</v>
      </c>
      <c r="J28" s="1157">
        <f>'12. Разходи'!G28-'12. Разходи'!$C28</f>
        <v>0</v>
      </c>
      <c r="K28" s="1142">
        <f>IFERROR(('12. Разходи'!G28-'12. Разходи'!$C28)/'12. Разходи'!$C28,0)</f>
        <v>0</v>
      </c>
      <c r="L28" s="1157">
        <f>'12. Разходи'!H28-'12. Разходи'!$C28</f>
        <v>0</v>
      </c>
      <c r="M28" s="1143">
        <f>IFERROR(('12. Разходи'!H28-'12. Разходи'!$C28)/'12. Разходи'!$C28,0)</f>
        <v>0</v>
      </c>
      <c r="N28" s="1197">
        <f>'12. Разходи'!K28</f>
        <v>0</v>
      </c>
      <c r="O28" s="1156">
        <f>'12. Разходи'!L28-'12. Разходи'!$K28</f>
        <v>0</v>
      </c>
      <c r="P28" s="1142">
        <f>IFERROR(('12. Разходи'!L28-'12. Разходи'!$K28)/'12. Разходи'!$K28,0)</f>
        <v>0</v>
      </c>
      <c r="Q28" s="1157">
        <f>'12. Разходи'!M28-'12. Разходи'!$K28</f>
        <v>0</v>
      </c>
      <c r="R28" s="1142">
        <f>IFERROR(('12. Разходи'!M28-'12. Разходи'!$K28)/'12. Разходи'!$K28,0)</f>
        <v>0</v>
      </c>
      <c r="S28" s="1157">
        <f>'12. Разходи'!N28-'12. Разходи'!$K28</f>
        <v>0</v>
      </c>
      <c r="T28" s="1142">
        <f>IFERROR(('12. Разходи'!N28-'12. Разходи'!$K28)/'12. Разходи'!$K28,0)</f>
        <v>0</v>
      </c>
      <c r="U28" s="1157">
        <f>'12. Разходи'!O28-'12. Разходи'!$K28</f>
        <v>0</v>
      </c>
      <c r="V28" s="1142">
        <f>IFERROR(('12. Разходи'!O28-'12. Разходи'!$K28)/'12. Разходи'!$K28,0)</f>
        <v>0</v>
      </c>
      <c r="W28" s="1157">
        <f>'12. Разходи'!P28-'12. Разходи'!$K28</f>
        <v>0</v>
      </c>
      <c r="X28" s="1201">
        <f>IFERROR(('12. Разходи'!P28-'12. Разходи'!$K28)/'12. Разходи'!$K28,0)</f>
        <v>0</v>
      </c>
      <c r="Y28" s="1197">
        <f>'12. Разходи'!S28</f>
        <v>15</v>
      </c>
      <c r="Z28" s="1156">
        <f>'12. Разходи'!T28-'12. Разходи'!$S28</f>
        <v>0</v>
      </c>
      <c r="AA28" s="1142">
        <f>IFERROR(('12. Разходи'!T28-'12. Разходи'!$S28)/'12. Разходи'!$S28,0)</f>
        <v>0</v>
      </c>
      <c r="AB28" s="1157">
        <f>'12. Разходи'!U28-'12. Разходи'!$S28</f>
        <v>0</v>
      </c>
      <c r="AC28" s="1142">
        <f>IFERROR(('12. Разходи'!U28-'12. Разходи'!$S28)/'12. Разходи'!$S28,0)</f>
        <v>0</v>
      </c>
      <c r="AD28" s="1157">
        <f>'12. Разходи'!V28-'12. Разходи'!$S28</f>
        <v>0</v>
      </c>
      <c r="AE28" s="1142">
        <f>IFERROR(('12. Разходи'!V28-'12. Разходи'!$S28)/'12. Разходи'!$S28,0)</f>
        <v>0</v>
      </c>
      <c r="AF28" s="1157">
        <f>'12. Разходи'!W28-'12. Разходи'!$S28</f>
        <v>0</v>
      </c>
      <c r="AG28" s="1142">
        <f>IFERROR(('12. Разходи'!W28-'12. Разходи'!$S28)/'12. Разходи'!$S28,0)</f>
        <v>0</v>
      </c>
      <c r="AH28" s="1157">
        <f>'12. Разходи'!X28-'12. Разходи'!$S28</f>
        <v>0</v>
      </c>
      <c r="AI28" s="1201">
        <f>IFERROR(('12. Разходи'!X28-'12. Разходи'!$S28)/'12. Разходи'!$S28,0)</f>
        <v>0</v>
      </c>
      <c r="AJ28" s="1198">
        <f>'12. Разходи'!AA28</f>
        <v>0</v>
      </c>
      <c r="AK28" s="1160">
        <f>'12. Разходи'!AB28-'12. Разходи'!$AA28</f>
        <v>0</v>
      </c>
      <c r="AL28" s="1140">
        <f>IFERROR(('12. Разходи'!AB28-'12. Разходи'!$AA28)/'12. Разходи'!$AA28,0)</f>
        <v>0</v>
      </c>
      <c r="AM28" s="926">
        <f>'12. Разходи'!AC28-'12. Разходи'!$AA28</f>
        <v>0</v>
      </c>
      <c r="AN28" s="1148">
        <f>IFERROR(('12. Разходи'!AC28-'12. Разходи'!$AA28)/'12. Разходи'!$AA28,0)</f>
        <v>0</v>
      </c>
      <c r="AO28" s="926">
        <f>'12. Разходи'!AD28-'12. Разходи'!$AA28</f>
        <v>0</v>
      </c>
      <c r="AP28" s="1148">
        <f>IFERROR(('12. Разходи'!AD28-'12. Разходи'!$AA28)/'12. Разходи'!$AA28,0)</f>
        <v>0</v>
      </c>
      <c r="AQ28" s="926">
        <f>'12. Разходи'!AE28-'12. Разходи'!$AA28</f>
        <v>0</v>
      </c>
      <c r="AR28" s="1147">
        <f>IFERROR(('12. Разходи'!AE28-'12. Разходи'!$AA28)/'12. Разходи'!$AA28,0)</f>
        <v>0</v>
      </c>
      <c r="AS28" s="1155">
        <f>'12. Разходи'!AF28-'12. Разходи'!$AA28</f>
        <v>0</v>
      </c>
      <c r="AT28" s="1202">
        <f>IFERROR(('12. Разходи'!AF28-'12. Разходи'!$AA28)/'12. Разходи'!$AA28,0)</f>
        <v>0</v>
      </c>
      <c r="AU28" s="1196">
        <f>'12. Разходи'!AI28</f>
        <v>0</v>
      </c>
      <c r="AV28" s="1160">
        <f>'12. Разходи'!AJ28-'12. Разходи'!$AI28</f>
        <v>0</v>
      </c>
      <c r="AW28" s="1140">
        <f>IFERROR(('12. Разходи'!AJ28-'12. Разходи'!$AI28)/'12. Разходи'!$AI28,0)</f>
        <v>0</v>
      </c>
      <c r="AX28" s="926">
        <f>'12. Разходи'!AK28-'12. Разходи'!$AI28</f>
        <v>0</v>
      </c>
      <c r="AY28" s="1148">
        <f>IFERROR(('12. Разходи'!AK28-'12. Разходи'!$AI28)/'12. Разходи'!$AI28,0)</f>
        <v>0</v>
      </c>
      <c r="AZ28" s="926">
        <f>'12. Разходи'!AL28-'12. Разходи'!$AI28</f>
        <v>0</v>
      </c>
      <c r="BA28" s="1148">
        <f>IFERROR(('12. Разходи'!AL28-'12. Разходи'!$AI28)/'12. Разходи'!$AI28,0)</f>
        <v>0</v>
      </c>
      <c r="BB28" s="926">
        <f>'12. Разходи'!AM28-'12. Разходи'!$AI28</f>
        <v>0</v>
      </c>
      <c r="BC28" s="1147">
        <f>IFERROR(('12. Разходи'!AM28-'12. Разходи'!$AI28)/'12. Разходи'!$AI28,0)</f>
        <v>0</v>
      </c>
      <c r="BD28" s="1155">
        <f>'12. Разходи'!AN28-'12. Разходи'!$AI28</f>
        <v>0</v>
      </c>
      <c r="BE28" s="1202">
        <f>IFERROR(('12. Разходи'!AN28-'12. Разходи'!$AI28)/'12. Разходи'!$AI28,0)</f>
        <v>0</v>
      </c>
      <c r="BF28" s="4775"/>
      <c r="BG28" s="4794">
        <f t="shared" si="1"/>
        <v>0</v>
      </c>
      <c r="BH28" s="4794">
        <f t="shared" si="2"/>
        <v>0</v>
      </c>
      <c r="BI28" s="4794">
        <f t="shared" si="3"/>
        <v>0</v>
      </c>
      <c r="BJ28" s="4794">
        <f t="shared" si="4"/>
        <v>0</v>
      </c>
      <c r="BK28" s="4794">
        <f t="shared" si="5"/>
        <v>0</v>
      </c>
      <c r="BL28" s="4794">
        <f t="shared" si="6"/>
        <v>0</v>
      </c>
      <c r="BM28" s="4794">
        <f t="shared" si="7"/>
        <v>0</v>
      </c>
      <c r="BN28" s="4794">
        <f t="shared" si="8"/>
        <v>0</v>
      </c>
      <c r="BO28" s="4794">
        <f t="shared" si="9"/>
        <v>0</v>
      </c>
      <c r="BP28" s="4794">
        <f t="shared" si="10"/>
        <v>0</v>
      </c>
      <c r="BQ28" s="4794">
        <f t="shared" si="11"/>
        <v>0</v>
      </c>
      <c r="BR28" s="4794">
        <f t="shared" si="12"/>
        <v>0</v>
      </c>
      <c r="BS28" s="4794">
        <f t="shared" si="13"/>
        <v>7.6693782179432777</v>
      </c>
      <c r="BT28" s="4794">
        <f t="shared" si="14"/>
        <v>0</v>
      </c>
      <c r="BU28" s="4794">
        <f t="shared" si="15"/>
        <v>0</v>
      </c>
      <c r="BV28" s="4794">
        <f t="shared" si="16"/>
        <v>0</v>
      </c>
      <c r="BW28" s="4794">
        <f t="shared" si="17"/>
        <v>0</v>
      </c>
      <c r="BX28" s="4794">
        <f t="shared" si="18"/>
        <v>0</v>
      </c>
      <c r="BY28" s="4794">
        <f t="shared" si="19"/>
        <v>0</v>
      </c>
      <c r="BZ28" s="4794">
        <f t="shared" si="20"/>
        <v>0</v>
      </c>
      <c r="CA28" s="4794">
        <f t="shared" si="21"/>
        <v>0</v>
      </c>
      <c r="CB28" s="4794">
        <f t="shared" si="22"/>
        <v>0</v>
      </c>
      <c r="CC28" s="4794">
        <f t="shared" si="23"/>
        <v>0</v>
      </c>
      <c r="CD28" s="4794">
        <f t="shared" si="24"/>
        <v>0</v>
      </c>
      <c r="CE28" s="4794">
        <f t="shared" si="25"/>
        <v>0</v>
      </c>
      <c r="CF28" s="4794">
        <f t="shared" si="26"/>
        <v>0</v>
      </c>
      <c r="CG28" s="4794">
        <f t="shared" si="27"/>
        <v>0</v>
      </c>
      <c r="CH28" s="4794">
        <f t="shared" si="28"/>
        <v>0</v>
      </c>
      <c r="CI28" s="4794">
        <f t="shared" si="29"/>
        <v>0</v>
      </c>
      <c r="CJ28" s="4794">
        <f t="shared" si="30"/>
        <v>0</v>
      </c>
    </row>
    <row r="29" spans="1:88" s="1179" customFormat="1" ht="15.95" customHeight="1" thickBot="1">
      <c r="A29" s="114" t="s">
        <v>95</v>
      </c>
      <c r="B29" s="916" t="s">
        <v>239</v>
      </c>
      <c r="C29" s="1129">
        <f>'12. Разходи'!C29</f>
        <v>1760.223</v>
      </c>
      <c r="D29" s="1167">
        <f>'12. Разходи'!D29-'12. Разходи'!$C29</f>
        <v>0.77700000000004366</v>
      </c>
      <c r="E29" s="894">
        <f>IFERROR(('12. Разходи'!D29-'12. Разходи'!$C29)/'12. Разходи'!$C29,0)</f>
        <v>4.4142134263672482E-4</v>
      </c>
      <c r="F29" s="1166">
        <f>'12. Разходи'!E29-'12. Разходи'!$C29</f>
        <v>0.77700000000004366</v>
      </c>
      <c r="G29" s="894">
        <f>IFERROR(('12. Разходи'!E29-'12. Разходи'!$C29)/'12. Разходи'!$C29,0)</f>
        <v>4.4142134263672482E-4</v>
      </c>
      <c r="H29" s="1166">
        <f>'12. Разходи'!F29-'12. Разходи'!$C29</f>
        <v>0.77700000000004366</v>
      </c>
      <c r="I29" s="894">
        <f>IFERROR(('12. Разходи'!F29-'12. Разходи'!$C29)/'12. Разходи'!$C29,0)</f>
        <v>4.4142134263672482E-4</v>
      </c>
      <c r="J29" s="1166">
        <f>'12. Разходи'!G29-'12. Разходи'!$C29</f>
        <v>0.77700000000004366</v>
      </c>
      <c r="K29" s="903">
        <f>IFERROR(('12. Разходи'!G29-'12. Разходи'!$C29)/'12. Разходи'!$C29,0)</f>
        <v>4.4142134263672482E-4</v>
      </c>
      <c r="L29" s="1166">
        <f>'12. Разходи'!H29-'12. Разходи'!$C29</f>
        <v>0.77700000000004366</v>
      </c>
      <c r="M29" s="903">
        <f>IFERROR(('12. Разходи'!H29-'12. Разходи'!$C29)/'12. Разходи'!$C29,0)</f>
        <v>4.4142134263672482E-4</v>
      </c>
      <c r="N29" s="1180">
        <f>'12. Разходи'!K29</f>
        <v>527</v>
      </c>
      <c r="O29" s="1167">
        <f>'12. Разходи'!L29-'12. Разходи'!$K29</f>
        <v>0</v>
      </c>
      <c r="P29" s="894">
        <f>IFERROR(('12. Разходи'!L29-'12. Разходи'!$K29)/'12. Разходи'!$K29,0)</f>
        <v>0</v>
      </c>
      <c r="Q29" s="1166">
        <f>'12. Разходи'!M29-'12. Разходи'!$K29</f>
        <v>0</v>
      </c>
      <c r="R29" s="894">
        <f>IFERROR(('12. Разходи'!M29-'12. Разходи'!$K29)/'12. Разходи'!$K29,0)</f>
        <v>0</v>
      </c>
      <c r="S29" s="1166">
        <f>'12. Разходи'!N29-'12. Разходи'!$K29</f>
        <v>0</v>
      </c>
      <c r="T29" s="894">
        <f>IFERROR(('12. Разходи'!N29-'12. Разходи'!$K29)/'12. Разходи'!$K29,0)</f>
        <v>0</v>
      </c>
      <c r="U29" s="1166">
        <f>'12. Разходи'!O29-'12. Разходи'!$K29</f>
        <v>0</v>
      </c>
      <c r="V29" s="903">
        <f>IFERROR(('12. Разходи'!O29-'12. Разходи'!$K29)/'12. Разходи'!$K29,0)</f>
        <v>0</v>
      </c>
      <c r="W29" s="1166">
        <f>'12. Разходи'!P29-'12. Разходи'!$K29</f>
        <v>0</v>
      </c>
      <c r="X29" s="836">
        <f>IFERROR(('12. Разходи'!P29-'12. Разходи'!$K29)/'12. Разходи'!$K29,0)</f>
        <v>0</v>
      </c>
      <c r="Y29" s="1180">
        <f>'12. Разходи'!S29</f>
        <v>503</v>
      </c>
      <c r="Z29" s="1167">
        <f>'12. Разходи'!T29-'12. Разходи'!$S29</f>
        <v>61</v>
      </c>
      <c r="AA29" s="894">
        <f>IFERROR(('12. Разходи'!T29-'12. Разходи'!$S29)/'12. Разходи'!$S29,0)</f>
        <v>0.12127236580516898</v>
      </c>
      <c r="AB29" s="1166">
        <f>'12. Разходи'!U29-'12. Разходи'!$S29</f>
        <v>61</v>
      </c>
      <c r="AC29" s="894">
        <f>IFERROR(('12. Разходи'!U29-'12. Разходи'!$S29)/'12. Разходи'!$S29,0)</f>
        <v>0.12127236580516898</v>
      </c>
      <c r="AD29" s="1166">
        <f>'12. Разходи'!V29-'12. Разходи'!$S29</f>
        <v>61</v>
      </c>
      <c r="AE29" s="894">
        <f>IFERROR(('12. Разходи'!V29-'12. Разходи'!$S29)/'12. Разходи'!$S29,0)</f>
        <v>0.12127236580516898</v>
      </c>
      <c r="AF29" s="1166">
        <f>'12. Разходи'!W29-'12. Разходи'!$S29</f>
        <v>61</v>
      </c>
      <c r="AG29" s="903">
        <f>IFERROR(('12. Разходи'!W29-'12. Разходи'!$S29)/'12. Разходи'!$S29,0)</f>
        <v>0.12127236580516898</v>
      </c>
      <c r="AH29" s="1166">
        <f>'12. Разходи'!X29-'12. Разходи'!$S29</f>
        <v>61</v>
      </c>
      <c r="AI29" s="836">
        <f>IFERROR(('12. Разходи'!X29-'12. Разходи'!$S29)/'12. Разходи'!$S29,0)</f>
        <v>0.12127236580516898</v>
      </c>
      <c r="AJ29" s="1180">
        <f>'12. Разходи'!AA29</f>
        <v>0</v>
      </c>
      <c r="AK29" s="1167">
        <f>'12. Разходи'!AB29-'12. Разходи'!$AA29</f>
        <v>0</v>
      </c>
      <c r="AL29" s="894">
        <f>IFERROR(('12. Разходи'!AB29-'12. Разходи'!$AA29)/'12. Разходи'!$AA29,0)</f>
        <v>0</v>
      </c>
      <c r="AM29" s="1166">
        <f>'12. Разходи'!AC29-'12. Разходи'!$AA29</f>
        <v>0</v>
      </c>
      <c r="AN29" s="894">
        <f>IFERROR(('12. Разходи'!AC29-'12. Разходи'!$AA29)/'12. Разходи'!$AA29,0)</f>
        <v>0</v>
      </c>
      <c r="AO29" s="1166">
        <f>'12. Разходи'!AD29-'12. Разходи'!$AA29</f>
        <v>0</v>
      </c>
      <c r="AP29" s="894">
        <f>IFERROR(('12. Разходи'!AD29-'12. Разходи'!$AA29)/'12. Разходи'!$AA29,0)</f>
        <v>0</v>
      </c>
      <c r="AQ29" s="1166">
        <f>'12. Разходи'!AE29-'12. Разходи'!$AA29</f>
        <v>0</v>
      </c>
      <c r="AR29" s="903">
        <f>IFERROR(('12. Разходи'!AE29-'12. Разходи'!$AA29)/'12. Разходи'!$AA29,0)</f>
        <v>0</v>
      </c>
      <c r="AS29" s="1166">
        <f>'12. Разходи'!AF29-'12. Разходи'!$AA29</f>
        <v>0</v>
      </c>
      <c r="AT29" s="836">
        <f>IFERROR(('12. Разходи'!AF29-'12. Разходи'!$AA29)/'12. Разходи'!$AA29,0)</f>
        <v>0</v>
      </c>
      <c r="AU29" s="1180">
        <f>'12. Разходи'!AI29</f>
        <v>0</v>
      </c>
      <c r="AV29" s="1167">
        <f>'12. Разходи'!AJ29-'12. Разходи'!$AI29</f>
        <v>0</v>
      </c>
      <c r="AW29" s="894">
        <f>IFERROR(('12. Разходи'!AJ29-'12. Разходи'!$AI29)/'12. Разходи'!$AI29,0)</f>
        <v>0</v>
      </c>
      <c r="AX29" s="1166">
        <f>'12. Разходи'!AK29-'12. Разходи'!$AI29</f>
        <v>0</v>
      </c>
      <c r="AY29" s="894">
        <f>IFERROR(('12. Разходи'!AK29-'12. Разходи'!$AI29)/'12. Разходи'!$AI29,0)</f>
        <v>0</v>
      </c>
      <c r="AZ29" s="1166">
        <f>'12. Разходи'!AL29-'12. Разходи'!$AI29</f>
        <v>0</v>
      </c>
      <c r="BA29" s="894">
        <f>IFERROR(('12. Разходи'!AL29-'12. Разходи'!$AI29)/'12. Разходи'!$AI29,0)</f>
        <v>0</v>
      </c>
      <c r="BB29" s="1166">
        <f>'12. Разходи'!AM29-'12. Разходи'!$AI29</f>
        <v>0</v>
      </c>
      <c r="BC29" s="903">
        <f>IFERROR(('12. Разходи'!AM29-'12. Разходи'!$AI29)/'12. Разходи'!$AI29,0)</f>
        <v>0</v>
      </c>
      <c r="BD29" s="1166">
        <f>'12. Разходи'!AN29-'12. Разходи'!$AI29</f>
        <v>0</v>
      </c>
      <c r="BE29" s="836">
        <f>IFERROR(('12. Разходи'!AN29-'12. Разходи'!$AI29)/'12. Разходи'!$AI29,0)</f>
        <v>0</v>
      </c>
      <c r="BF29" s="4775"/>
      <c r="BG29" s="4794">
        <f t="shared" si="1"/>
        <v>899.9877289948513</v>
      </c>
      <c r="BH29" s="4794">
        <f t="shared" si="2"/>
        <v>0.39727379168948407</v>
      </c>
      <c r="BI29" s="4794">
        <f t="shared" si="3"/>
        <v>0.39727379168948407</v>
      </c>
      <c r="BJ29" s="4794">
        <f t="shared" si="4"/>
        <v>0.39727379168948407</v>
      </c>
      <c r="BK29" s="4794">
        <f t="shared" si="5"/>
        <v>0.39727379168948407</v>
      </c>
      <c r="BL29" s="4794">
        <f t="shared" si="6"/>
        <v>0.39727379168948407</v>
      </c>
      <c r="BM29" s="4794">
        <f t="shared" si="7"/>
        <v>269.45082139040716</v>
      </c>
      <c r="BN29" s="4794">
        <f t="shared" si="8"/>
        <v>0</v>
      </c>
      <c r="BO29" s="4794">
        <f t="shared" si="9"/>
        <v>0</v>
      </c>
      <c r="BP29" s="4794">
        <f t="shared" si="10"/>
        <v>0</v>
      </c>
      <c r="BQ29" s="4794">
        <f t="shared" si="11"/>
        <v>0</v>
      </c>
      <c r="BR29" s="4794">
        <f t="shared" si="12"/>
        <v>0</v>
      </c>
      <c r="BS29" s="4794">
        <f t="shared" si="13"/>
        <v>257.17981624169789</v>
      </c>
      <c r="BT29" s="4794">
        <f t="shared" si="14"/>
        <v>31.188804752969329</v>
      </c>
      <c r="BU29" s="4794">
        <f t="shared" si="15"/>
        <v>31.188804752969329</v>
      </c>
      <c r="BV29" s="4794">
        <f t="shared" si="16"/>
        <v>31.188804752969329</v>
      </c>
      <c r="BW29" s="4794">
        <f t="shared" si="17"/>
        <v>31.188804752969329</v>
      </c>
      <c r="BX29" s="4794">
        <f t="shared" si="18"/>
        <v>31.188804752969329</v>
      </c>
      <c r="BY29" s="4794">
        <f t="shared" si="19"/>
        <v>0</v>
      </c>
      <c r="BZ29" s="4794">
        <f t="shared" si="20"/>
        <v>0</v>
      </c>
      <c r="CA29" s="4794">
        <f t="shared" si="21"/>
        <v>0</v>
      </c>
      <c r="CB29" s="4794">
        <f t="shared" si="22"/>
        <v>0</v>
      </c>
      <c r="CC29" s="4794">
        <f t="shared" si="23"/>
        <v>0</v>
      </c>
      <c r="CD29" s="4794">
        <f t="shared" si="24"/>
        <v>0</v>
      </c>
      <c r="CE29" s="4794">
        <f t="shared" si="25"/>
        <v>0</v>
      </c>
      <c r="CF29" s="4794">
        <f t="shared" si="26"/>
        <v>0</v>
      </c>
      <c r="CG29" s="4794">
        <f t="shared" si="27"/>
        <v>0</v>
      </c>
      <c r="CH29" s="4794">
        <f t="shared" si="28"/>
        <v>0</v>
      </c>
      <c r="CI29" s="4794">
        <f t="shared" si="29"/>
        <v>0</v>
      </c>
      <c r="CJ29" s="4794">
        <f t="shared" si="30"/>
        <v>0</v>
      </c>
    </row>
    <row r="30" spans="1:88" ht="15.95" customHeight="1">
      <c r="A30" s="113" t="s">
        <v>96</v>
      </c>
      <c r="B30" s="917" t="s">
        <v>240</v>
      </c>
      <c r="C30" s="1132">
        <f>'12. Разходи'!C30</f>
        <v>49</v>
      </c>
      <c r="D30" s="1158">
        <f>'12. Разходи'!D30-'12. Разходи'!$C30</f>
        <v>0</v>
      </c>
      <c r="E30" s="1144">
        <f>IFERROR(('12. Разходи'!D30-'12. Разходи'!$C30)/'12. Разходи'!$C30,0)</f>
        <v>0</v>
      </c>
      <c r="F30" s="1159">
        <f>'12. Разходи'!E30-'12. Разходи'!$C30</f>
        <v>0</v>
      </c>
      <c r="G30" s="1145">
        <f>IFERROR(('12. Разходи'!E30-'12. Разходи'!$C30)/'12. Разходи'!$C30,0)</f>
        <v>0</v>
      </c>
      <c r="H30" s="1159">
        <f>'12. Разходи'!F30-'12. Разходи'!$C30</f>
        <v>0</v>
      </c>
      <c r="I30" s="1145">
        <f>IFERROR(('12. Разходи'!F30-'12. Разходи'!$C30)/'12. Разходи'!$C30,0)</f>
        <v>0</v>
      </c>
      <c r="J30" s="1159">
        <f>'12. Разходи'!G30-'12. Разходи'!$C30</f>
        <v>0</v>
      </c>
      <c r="K30" s="1146">
        <f>IFERROR(('12. Разходи'!G30-'12. Разходи'!$C30)/'12. Разходи'!$C30,0)</f>
        <v>0</v>
      </c>
      <c r="L30" s="1155">
        <f>'12. Разходи'!H30-'12. Разходи'!$C30</f>
        <v>0</v>
      </c>
      <c r="M30" s="1147">
        <f>IFERROR(('12. Разходи'!H30-'12. Разходи'!$C30)/'12. Разходи'!$C30,0)</f>
        <v>0</v>
      </c>
      <c r="N30" s="1199">
        <f>'12. Разходи'!K30</f>
        <v>12</v>
      </c>
      <c r="O30" s="1158">
        <f>'12. Разходи'!L30-'12. Разходи'!$K30</f>
        <v>0</v>
      </c>
      <c r="P30" s="1144">
        <f>IFERROR(('12. Разходи'!L30-'12. Разходи'!$K30)/'12. Разходи'!$K30,0)</f>
        <v>0</v>
      </c>
      <c r="Q30" s="1159">
        <f>'12. Разходи'!M30-'12. Разходи'!$K30</f>
        <v>0</v>
      </c>
      <c r="R30" s="1145">
        <f>IFERROR(('12. Разходи'!M30-'12. Разходи'!$K30)/'12. Разходи'!$K30,0)</f>
        <v>0</v>
      </c>
      <c r="S30" s="1159">
        <f>'12. Разходи'!N30-'12. Разходи'!$K30</f>
        <v>0</v>
      </c>
      <c r="T30" s="1145">
        <f>IFERROR(('12. Разходи'!N30-'12. Разходи'!$K30)/'12. Разходи'!$K30,0)</f>
        <v>0</v>
      </c>
      <c r="U30" s="1159">
        <f>'12. Разходи'!O30-'12. Разходи'!$K30</f>
        <v>0</v>
      </c>
      <c r="V30" s="1146">
        <f>IFERROR(('12. Разходи'!O30-'12. Разходи'!$K30)/'12. Разходи'!$K30,0)</f>
        <v>0</v>
      </c>
      <c r="W30" s="1155">
        <f>'12. Разходи'!P30-'12. Разходи'!$K30</f>
        <v>0</v>
      </c>
      <c r="X30" s="1202">
        <f>IFERROR(('12. Разходи'!P30-'12. Разходи'!$K30)/'12. Разходи'!$K30,0)</f>
        <v>0</v>
      </c>
      <c r="Y30" s="1199">
        <f>'12. Разходи'!S30</f>
        <v>13</v>
      </c>
      <c r="Z30" s="1158">
        <f>'12. Разходи'!T30-'12. Разходи'!$S30</f>
        <v>0</v>
      </c>
      <c r="AA30" s="1144">
        <f>IFERROR(('12. Разходи'!T30-'12. Разходи'!$S30)/'12. Разходи'!$S30,0)</f>
        <v>0</v>
      </c>
      <c r="AB30" s="1159">
        <f>'12. Разходи'!U30-'12. Разходи'!$S30</f>
        <v>0</v>
      </c>
      <c r="AC30" s="1145">
        <f>IFERROR(('12. Разходи'!U30-'12. Разходи'!$S30)/'12. Разходи'!$S30,0)</f>
        <v>0</v>
      </c>
      <c r="AD30" s="1159">
        <f>'12. Разходи'!V30-'12. Разходи'!$S30</f>
        <v>0</v>
      </c>
      <c r="AE30" s="1145">
        <f>IFERROR(('12. Разходи'!V30-'12. Разходи'!$S30)/'12. Разходи'!$S30,0)</f>
        <v>0</v>
      </c>
      <c r="AF30" s="1159">
        <f>'12. Разходи'!W30-'12. Разходи'!$S30</f>
        <v>0</v>
      </c>
      <c r="AG30" s="1146">
        <f>IFERROR(('12. Разходи'!W30-'12. Разходи'!$S30)/'12. Разходи'!$S30,0)</f>
        <v>0</v>
      </c>
      <c r="AH30" s="1155">
        <f>'12. Разходи'!X30-'12. Разходи'!$S30</f>
        <v>0</v>
      </c>
      <c r="AI30" s="1202">
        <f>IFERROR(('12. Разходи'!X30-'12. Разходи'!$S30)/'12. Разходи'!$S30,0)</f>
        <v>0</v>
      </c>
      <c r="AJ30" s="1199">
        <f>'12. Разходи'!AA30</f>
        <v>0</v>
      </c>
      <c r="AK30" s="1158">
        <f>'12. Разходи'!AB30-'12. Разходи'!$AA30</f>
        <v>0</v>
      </c>
      <c r="AL30" s="1144">
        <f>IFERROR(('12. Разходи'!AB30-'12. Разходи'!$AA30)/'12. Разходи'!$AA30,0)</f>
        <v>0</v>
      </c>
      <c r="AM30" s="1159">
        <f>'12. Разходи'!AC30-'12. Разходи'!$AA30</f>
        <v>0</v>
      </c>
      <c r="AN30" s="1145">
        <f>IFERROR(('12. Разходи'!AC30-'12. Разходи'!$AA30)/'12. Разходи'!$AA30,0)</f>
        <v>0</v>
      </c>
      <c r="AO30" s="1159">
        <f>'12. Разходи'!AD30-'12. Разходи'!$AA30</f>
        <v>0</v>
      </c>
      <c r="AP30" s="1145">
        <f>IFERROR(('12. Разходи'!AD30-'12. Разходи'!$AA30)/'12. Разходи'!$AA30,0)</f>
        <v>0</v>
      </c>
      <c r="AQ30" s="1159">
        <f>'12. Разходи'!AE30-'12. Разходи'!$AA30</f>
        <v>0</v>
      </c>
      <c r="AR30" s="1146">
        <f>IFERROR(('12. Разходи'!AE30-'12. Разходи'!$AA30)/'12. Разходи'!$AA30,0)</f>
        <v>0</v>
      </c>
      <c r="AS30" s="1155">
        <f>'12. Разходи'!AF30-'12. Разходи'!$AA30</f>
        <v>0</v>
      </c>
      <c r="AT30" s="1202">
        <f>IFERROR(('12. Разходи'!AF30-'12. Разходи'!$AA30)/'12. Разходи'!$AA30,0)</f>
        <v>0</v>
      </c>
      <c r="AU30" s="1199">
        <f>'12. Разходи'!AI30</f>
        <v>0</v>
      </c>
      <c r="AV30" s="1158">
        <f>'12. Разходи'!AJ30-'12. Разходи'!$AI30</f>
        <v>0</v>
      </c>
      <c r="AW30" s="1144">
        <f>IFERROR(('12. Разходи'!AJ30-'12. Разходи'!$AI30)/'12. Разходи'!$AI30,0)</f>
        <v>0</v>
      </c>
      <c r="AX30" s="1159">
        <f>'12. Разходи'!AK30-'12. Разходи'!$AI30</f>
        <v>0</v>
      </c>
      <c r="AY30" s="1145">
        <f>IFERROR(('12. Разходи'!AK30-'12. Разходи'!$AI30)/'12. Разходи'!$AI30,0)</f>
        <v>0</v>
      </c>
      <c r="AZ30" s="1159">
        <f>'12. Разходи'!AL30-'12. Разходи'!$AI30</f>
        <v>0</v>
      </c>
      <c r="BA30" s="1145">
        <f>IFERROR(('12. Разходи'!AL30-'12. Разходи'!$AI30)/'12. Разходи'!$AI30,0)</f>
        <v>0</v>
      </c>
      <c r="BB30" s="1159">
        <f>'12. Разходи'!AM30-'12. Разходи'!$AI30</f>
        <v>0</v>
      </c>
      <c r="BC30" s="1146">
        <f>IFERROR(('12. Разходи'!AM30-'12. Разходи'!$AI30)/'12. Разходи'!$AI30,0)</f>
        <v>0</v>
      </c>
      <c r="BD30" s="1155">
        <f>'12. Разходи'!AN30-'12. Разходи'!$AI30</f>
        <v>0</v>
      </c>
      <c r="BE30" s="1202">
        <f>IFERROR(('12. Разходи'!AN30-'12. Разходи'!$AI30)/'12. Разходи'!$AI30,0)</f>
        <v>0</v>
      </c>
      <c r="BF30" s="4775"/>
      <c r="BG30" s="4794">
        <f t="shared" si="1"/>
        <v>25.053302178614707</v>
      </c>
      <c r="BH30" s="4794">
        <f t="shared" si="2"/>
        <v>0</v>
      </c>
      <c r="BI30" s="4794">
        <f t="shared" si="3"/>
        <v>0</v>
      </c>
      <c r="BJ30" s="4794">
        <f t="shared" si="4"/>
        <v>0</v>
      </c>
      <c r="BK30" s="4794">
        <f t="shared" si="5"/>
        <v>0</v>
      </c>
      <c r="BL30" s="4794">
        <f t="shared" si="6"/>
        <v>0</v>
      </c>
      <c r="BM30" s="4794">
        <f t="shared" si="7"/>
        <v>6.1355025743546223</v>
      </c>
      <c r="BN30" s="4794">
        <f t="shared" si="8"/>
        <v>0</v>
      </c>
      <c r="BO30" s="4794">
        <f t="shared" si="9"/>
        <v>0</v>
      </c>
      <c r="BP30" s="4794">
        <f t="shared" si="10"/>
        <v>0</v>
      </c>
      <c r="BQ30" s="4794">
        <f t="shared" si="11"/>
        <v>0</v>
      </c>
      <c r="BR30" s="4794">
        <f t="shared" si="12"/>
        <v>0</v>
      </c>
      <c r="BS30" s="4794">
        <f t="shared" si="13"/>
        <v>6.6467944555508405</v>
      </c>
      <c r="BT30" s="4794">
        <f t="shared" si="14"/>
        <v>0</v>
      </c>
      <c r="BU30" s="4794">
        <f t="shared" si="15"/>
        <v>0</v>
      </c>
      <c r="BV30" s="4794">
        <f t="shared" si="16"/>
        <v>0</v>
      </c>
      <c r="BW30" s="4794">
        <f t="shared" si="17"/>
        <v>0</v>
      </c>
      <c r="BX30" s="4794">
        <f t="shared" si="18"/>
        <v>0</v>
      </c>
      <c r="BY30" s="4794">
        <f t="shared" si="19"/>
        <v>0</v>
      </c>
      <c r="BZ30" s="4794">
        <f t="shared" si="20"/>
        <v>0</v>
      </c>
      <c r="CA30" s="4794">
        <f t="shared" si="21"/>
        <v>0</v>
      </c>
      <c r="CB30" s="4794">
        <f t="shared" si="22"/>
        <v>0</v>
      </c>
      <c r="CC30" s="4794">
        <f t="shared" si="23"/>
        <v>0</v>
      </c>
      <c r="CD30" s="4794">
        <f t="shared" si="24"/>
        <v>0</v>
      </c>
      <c r="CE30" s="4794">
        <f t="shared" si="25"/>
        <v>0</v>
      </c>
      <c r="CF30" s="4794">
        <f t="shared" si="26"/>
        <v>0</v>
      </c>
      <c r="CG30" s="4794">
        <f t="shared" si="27"/>
        <v>0</v>
      </c>
      <c r="CH30" s="4794">
        <f t="shared" si="28"/>
        <v>0</v>
      </c>
      <c r="CI30" s="4794">
        <f t="shared" si="29"/>
        <v>0</v>
      </c>
      <c r="CJ30" s="4794">
        <f t="shared" si="30"/>
        <v>0</v>
      </c>
    </row>
    <row r="31" spans="1:88" ht="24">
      <c r="A31" s="854" t="s">
        <v>97</v>
      </c>
      <c r="B31" s="915" t="s">
        <v>241</v>
      </c>
      <c r="C31" s="1131">
        <f>'12. Разходи'!C31</f>
        <v>45</v>
      </c>
      <c r="D31" s="1160">
        <f>'12. Разходи'!D31-'12. Разходи'!$C31</f>
        <v>1</v>
      </c>
      <c r="E31" s="1140">
        <f>IFERROR(('12. Разходи'!D31-'12. Разходи'!$C31)/'12. Разходи'!$C31,0)</f>
        <v>2.2222222222222223E-2</v>
      </c>
      <c r="F31" s="926">
        <f>'12. Разходи'!E31-'12. Разходи'!$C31</f>
        <v>1</v>
      </c>
      <c r="G31" s="1148">
        <f>IFERROR(('12. Разходи'!E31-'12. Разходи'!$C31)/'12. Разходи'!$C31,0)</f>
        <v>2.2222222222222223E-2</v>
      </c>
      <c r="H31" s="926">
        <f>'12. Разходи'!F31-'12. Разходи'!$C31</f>
        <v>1</v>
      </c>
      <c r="I31" s="1148">
        <f>IFERROR(('12. Разходи'!F31-'12. Разходи'!$C31)/'12. Разходи'!$C31,0)</f>
        <v>2.2222222222222223E-2</v>
      </c>
      <c r="J31" s="926">
        <f>'12. Разходи'!G31-'12. Разходи'!$C31</f>
        <v>1</v>
      </c>
      <c r="K31" s="1147">
        <f>IFERROR(('12. Разходи'!G31-'12. Разходи'!$C31)/'12. Разходи'!$C31,0)</f>
        <v>2.2222222222222223E-2</v>
      </c>
      <c r="L31" s="1155">
        <f>'12. Разходи'!H31-'12. Разходи'!$C31</f>
        <v>1</v>
      </c>
      <c r="M31" s="1147">
        <f>IFERROR(('12. Разходи'!H31-'12. Разходи'!$C31)/'12. Разходи'!$C31,0)</f>
        <v>2.2222222222222223E-2</v>
      </c>
      <c r="N31" s="1196">
        <f>'12. Разходи'!K31</f>
        <v>0</v>
      </c>
      <c r="O31" s="1160">
        <f>'12. Разходи'!L31-'12. Разходи'!$K31</f>
        <v>0</v>
      </c>
      <c r="P31" s="1140">
        <f>IFERROR(('12. Разходи'!L31-'12. Разходи'!$K31)/'12. Разходи'!$K31,0)</f>
        <v>0</v>
      </c>
      <c r="Q31" s="926">
        <f>'12. Разходи'!M31-'12. Разходи'!$K31</f>
        <v>0</v>
      </c>
      <c r="R31" s="1148">
        <f>IFERROR(('12. Разходи'!M31-'12. Разходи'!$K31)/'12. Разходи'!$K31,0)</f>
        <v>0</v>
      </c>
      <c r="S31" s="926">
        <f>'12. Разходи'!N31-'12. Разходи'!$K31</f>
        <v>0</v>
      </c>
      <c r="T31" s="1148">
        <f>IFERROR(('12. Разходи'!N31-'12. Разходи'!$K31)/'12. Разходи'!$K31,0)</f>
        <v>0</v>
      </c>
      <c r="U31" s="926">
        <f>'12. Разходи'!O31-'12. Разходи'!$K31</f>
        <v>0</v>
      </c>
      <c r="V31" s="1147">
        <f>IFERROR(('12. Разходи'!O31-'12. Разходи'!$K31)/'12. Разходи'!$K31,0)</f>
        <v>0</v>
      </c>
      <c r="W31" s="1155">
        <f>'12. Разходи'!P31-'12. Разходи'!$K31</f>
        <v>0</v>
      </c>
      <c r="X31" s="1202">
        <f>IFERROR(('12. Разходи'!P31-'12. Разходи'!$K31)/'12. Разходи'!$K31,0)</f>
        <v>0</v>
      </c>
      <c r="Y31" s="1196">
        <f>'12. Разходи'!S31</f>
        <v>0</v>
      </c>
      <c r="Z31" s="1160">
        <f>'12. Разходи'!T31-'12. Разходи'!$S31</f>
        <v>0</v>
      </c>
      <c r="AA31" s="1140">
        <f>IFERROR(('12. Разходи'!T31-'12. Разходи'!$S31)/'12. Разходи'!$S31,0)</f>
        <v>0</v>
      </c>
      <c r="AB31" s="926">
        <f>'12. Разходи'!U31-'12. Разходи'!$S31</f>
        <v>0</v>
      </c>
      <c r="AC31" s="1148">
        <f>IFERROR(('12. Разходи'!U31-'12. Разходи'!$S31)/'12. Разходи'!$S31,0)</f>
        <v>0</v>
      </c>
      <c r="AD31" s="926">
        <f>'12. Разходи'!V31-'12. Разходи'!$S31</f>
        <v>0</v>
      </c>
      <c r="AE31" s="1148">
        <f>IFERROR(('12. Разходи'!V31-'12. Разходи'!$S31)/'12. Разходи'!$S31,0)</f>
        <v>0</v>
      </c>
      <c r="AF31" s="926">
        <f>'12. Разходи'!W31-'12. Разходи'!$S31</f>
        <v>0</v>
      </c>
      <c r="AG31" s="1147">
        <f>IFERROR(('12. Разходи'!W31-'12. Разходи'!$S31)/'12. Разходи'!$S31,0)</f>
        <v>0</v>
      </c>
      <c r="AH31" s="1155">
        <f>'12. Разходи'!X31-'12. Разходи'!$S31</f>
        <v>0</v>
      </c>
      <c r="AI31" s="1202">
        <f>IFERROR(('12. Разходи'!X31-'12. Разходи'!$S31)/'12. Разходи'!$S31,0)</f>
        <v>0</v>
      </c>
      <c r="AJ31" s="1196">
        <f>'12. Разходи'!AA31</f>
        <v>0</v>
      </c>
      <c r="AK31" s="1160">
        <f>'12. Разходи'!AB31-'12. Разходи'!$AA31</f>
        <v>0</v>
      </c>
      <c r="AL31" s="1140">
        <f>IFERROR(('12. Разходи'!AB31-'12. Разходи'!$AA31)/'12. Разходи'!$AA31,0)</f>
        <v>0</v>
      </c>
      <c r="AM31" s="926">
        <f>'12. Разходи'!AC31-'12. Разходи'!$AA31</f>
        <v>0</v>
      </c>
      <c r="AN31" s="1148">
        <f>IFERROR(('12. Разходи'!AC31-'12. Разходи'!$AA31)/'12. Разходи'!$AA31,0)</f>
        <v>0</v>
      </c>
      <c r="AO31" s="926">
        <f>'12. Разходи'!AD31-'12. Разходи'!$AA31</f>
        <v>0</v>
      </c>
      <c r="AP31" s="1148">
        <f>IFERROR(('12. Разходи'!AD31-'12. Разходи'!$AA31)/'12. Разходи'!$AA31,0)</f>
        <v>0</v>
      </c>
      <c r="AQ31" s="926">
        <f>'12. Разходи'!AE31-'12. Разходи'!$AA31</f>
        <v>0</v>
      </c>
      <c r="AR31" s="1147">
        <f>IFERROR(('12. Разходи'!AE31-'12. Разходи'!$AA31)/'12. Разходи'!$AA31,0)</f>
        <v>0</v>
      </c>
      <c r="AS31" s="1155">
        <f>'12. Разходи'!AF31-'12. Разходи'!$AA31</f>
        <v>0</v>
      </c>
      <c r="AT31" s="1202">
        <f>IFERROR(('12. Разходи'!AF31-'12. Разходи'!$AA31)/'12. Разходи'!$AA31,0)</f>
        <v>0</v>
      </c>
      <c r="AU31" s="1196">
        <f>'12. Разходи'!AI31</f>
        <v>0</v>
      </c>
      <c r="AV31" s="1160">
        <f>'12. Разходи'!AJ31-'12. Разходи'!$AI31</f>
        <v>0</v>
      </c>
      <c r="AW31" s="1140">
        <f>IFERROR(('12. Разходи'!AJ31-'12. Разходи'!$AI31)/'12. Разходи'!$AI31,0)</f>
        <v>0</v>
      </c>
      <c r="AX31" s="926">
        <f>'12. Разходи'!AK31-'12. Разходи'!$AI31</f>
        <v>0</v>
      </c>
      <c r="AY31" s="1148">
        <f>IFERROR(('12. Разходи'!AK31-'12. Разходи'!$AI31)/'12. Разходи'!$AI31,0)</f>
        <v>0</v>
      </c>
      <c r="AZ31" s="926">
        <f>'12. Разходи'!AL31-'12. Разходи'!$AI31</f>
        <v>0</v>
      </c>
      <c r="BA31" s="1148">
        <f>IFERROR(('12. Разходи'!AL31-'12. Разходи'!$AI31)/'12. Разходи'!$AI31,0)</f>
        <v>0</v>
      </c>
      <c r="BB31" s="926">
        <f>'12. Разходи'!AM31-'12. Разходи'!$AI31</f>
        <v>0</v>
      </c>
      <c r="BC31" s="1147">
        <f>IFERROR(('12. Разходи'!AM31-'12. Разходи'!$AI31)/'12. Разходи'!$AI31,0)</f>
        <v>0</v>
      </c>
      <c r="BD31" s="1155">
        <f>'12. Разходи'!AN31-'12. Разходи'!$AI31</f>
        <v>0</v>
      </c>
      <c r="BE31" s="1202">
        <f>IFERROR(('12. Разходи'!AN31-'12. Разходи'!$AI31)/'12. Разходи'!$AI31,0)</f>
        <v>0</v>
      </c>
      <c r="BF31" s="4775"/>
      <c r="BG31" s="4794">
        <f t="shared" si="1"/>
        <v>23.008134653829831</v>
      </c>
      <c r="BH31" s="4794">
        <f t="shared" si="2"/>
        <v>0.51129188119621849</v>
      </c>
      <c r="BI31" s="4794">
        <f t="shared" si="3"/>
        <v>0.51129188119621849</v>
      </c>
      <c r="BJ31" s="4794">
        <f t="shared" si="4"/>
        <v>0.51129188119621849</v>
      </c>
      <c r="BK31" s="4794">
        <f t="shared" si="5"/>
        <v>0.51129188119621849</v>
      </c>
      <c r="BL31" s="4794">
        <f t="shared" si="6"/>
        <v>0.51129188119621849</v>
      </c>
      <c r="BM31" s="4794">
        <f t="shared" si="7"/>
        <v>0</v>
      </c>
      <c r="BN31" s="4794">
        <f t="shared" si="8"/>
        <v>0</v>
      </c>
      <c r="BO31" s="4794">
        <f t="shared" si="9"/>
        <v>0</v>
      </c>
      <c r="BP31" s="4794">
        <f t="shared" si="10"/>
        <v>0</v>
      </c>
      <c r="BQ31" s="4794">
        <f t="shared" si="11"/>
        <v>0</v>
      </c>
      <c r="BR31" s="4794">
        <f t="shared" si="12"/>
        <v>0</v>
      </c>
      <c r="BS31" s="4794">
        <f t="shared" si="13"/>
        <v>0</v>
      </c>
      <c r="BT31" s="4794">
        <f t="shared" si="14"/>
        <v>0</v>
      </c>
      <c r="BU31" s="4794">
        <f t="shared" si="15"/>
        <v>0</v>
      </c>
      <c r="BV31" s="4794">
        <f t="shared" si="16"/>
        <v>0</v>
      </c>
      <c r="BW31" s="4794">
        <f t="shared" si="17"/>
        <v>0</v>
      </c>
      <c r="BX31" s="4794">
        <f t="shared" si="18"/>
        <v>0</v>
      </c>
      <c r="BY31" s="4794">
        <f t="shared" si="19"/>
        <v>0</v>
      </c>
      <c r="BZ31" s="4794">
        <f t="shared" si="20"/>
        <v>0</v>
      </c>
      <c r="CA31" s="4794">
        <f t="shared" si="21"/>
        <v>0</v>
      </c>
      <c r="CB31" s="4794">
        <f t="shared" si="22"/>
        <v>0</v>
      </c>
      <c r="CC31" s="4794">
        <f t="shared" si="23"/>
        <v>0</v>
      </c>
      <c r="CD31" s="4794">
        <f t="shared" si="24"/>
        <v>0</v>
      </c>
      <c r="CE31" s="4794">
        <f t="shared" si="25"/>
        <v>0</v>
      </c>
      <c r="CF31" s="4794">
        <f t="shared" si="26"/>
        <v>0</v>
      </c>
      <c r="CG31" s="4794">
        <f t="shared" si="27"/>
        <v>0</v>
      </c>
      <c r="CH31" s="4794">
        <f t="shared" si="28"/>
        <v>0</v>
      </c>
      <c r="CI31" s="4794">
        <f t="shared" si="29"/>
        <v>0</v>
      </c>
      <c r="CJ31" s="4794">
        <f t="shared" si="30"/>
        <v>0</v>
      </c>
    </row>
    <row r="32" spans="1:88" ht="15.95" customHeight="1">
      <c r="A32" s="854" t="s">
        <v>169</v>
      </c>
      <c r="B32" s="915" t="s">
        <v>1219</v>
      </c>
      <c r="C32" s="3300">
        <f>'12. Разходи'!C32</f>
        <v>129</v>
      </c>
      <c r="D32" s="1160">
        <f>'12. Разходи'!D32-'12. Разходи'!$C32</f>
        <v>0</v>
      </c>
      <c r="E32" s="1140">
        <f>IFERROR(('12. Разходи'!D32-'12. Разходи'!$C32)/'12. Разходи'!$C32,0)</f>
        <v>0</v>
      </c>
      <c r="F32" s="926">
        <f>'12. Разходи'!E32-'12. Разходи'!$C32</f>
        <v>0</v>
      </c>
      <c r="G32" s="1148">
        <f>IFERROR(('12. Разходи'!E32-'12. Разходи'!$C32)/'12. Разходи'!$C32,0)</f>
        <v>0</v>
      </c>
      <c r="H32" s="926">
        <f>'12. Разходи'!F32-'12. Разходи'!$C32</f>
        <v>0</v>
      </c>
      <c r="I32" s="1148">
        <f>IFERROR(('12. Разходи'!F32-'12. Разходи'!$C32)/'12. Разходи'!$C32,0)</f>
        <v>0</v>
      </c>
      <c r="J32" s="926">
        <f>'12. Разходи'!G32-'12. Разходи'!$C32</f>
        <v>0</v>
      </c>
      <c r="K32" s="1147">
        <f>IFERROR(('12. Разходи'!G32-'12. Разходи'!$C32)/'12. Разходи'!$C32,0)</f>
        <v>0</v>
      </c>
      <c r="L32" s="1155">
        <f>'12. Разходи'!H32-'12. Разходи'!$C32</f>
        <v>0</v>
      </c>
      <c r="M32" s="1147">
        <f>IFERROR(('12. Разходи'!H32-'12. Разходи'!$C32)/'12. Разходи'!$C32,0)</f>
        <v>0</v>
      </c>
      <c r="N32" s="1196">
        <f>'12. Разходи'!K32</f>
        <v>27</v>
      </c>
      <c r="O32" s="1160">
        <f>'12. Разходи'!L32-'12. Разходи'!$K32</f>
        <v>0</v>
      </c>
      <c r="P32" s="1140">
        <f>IFERROR(('12. Разходи'!L32-'12. Разходи'!$K32)/'12. Разходи'!$K32,0)</f>
        <v>0</v>
      </c>
      <c r="Q32" s="926">
        <f>'12. Разходи'!M32-'12. Разходи'!$K32</f>
        <v>0</v>
      </c>
      <c r="R32" s="1148">
        <f>IFERROR(('12. Разходи'!M32-'12. Разходи'!$K32)/'12. Разходи'!$K32,0)</f>
        <v>0</v>
      </c>
      <c r="S32" s="926">
        <f>'12. Разходи'!N32-'12. Разходи'!$K32</f>
        <v>0</v>
      </c>
      <c r="T32" s="1148">
        <f>IFERROR(('12. Разходи'!N32-'12. Разходи'!$K32)/'12. Разходи'!$K32,0)</f>
        <v>0</v>
      </c>
      <c r="U32" s="926">
        <f>'12. Разходи'!O32-'12. Разходи'!$K32</f>
        <v>0</v>
      </c>
      <c r="V32" s="1147">
        <f>IFERROR(('12. Разходи'!O32-'12. Разходи'!$K32)/'12. Разходи'!$K32,0)</f>
        <v>0</v>
      </c>
      <c r="W32" s="1155">
        <f>'12. Разходи'!P32-'12. Разходи'!$K32</f>
        <v>0</v>
      </c>
      <c r="X32" s="1202">
        <f>IFERROR(('12. Разходи'!P32-'12. Разходи'!$K32)/'12. Разходи'!$K32,0)</f>
        <v>0</v>
      </c>
      <c r="Y32" s="1196">
        <f>'12. Разходи'!S32</f>
        <v>34</v>
      </c>
      <c r="Z32" s="1160">
        <f>'12. Разходи'!T32-'12. Разходи'!$S32</f>
        <v>0</v>
      </c>
      <c r="AA32" s="1140">
        <f>IFERROR(('12. Разходи'!T32-'12. Разходи'!$S32)/'12. Разходи'!$S32,0)</f>
        <v>0</v>
      </c>
      <c r="AB32" s="926">
        <f>'12. Разходи'!U32-'12. Разходи'!$S32</f>
        <v>0</v>
      </c>
      <c r="AC32" s="1148">
        <f>IFERROR(('12. Разходи'!U32-'12. Разходи'!$S32)/'12. Разходи'!$S32,0)</f>
        <v>0</v>
      </c>
      <c r="AD32" s="926">
        <f>'12. Разходи'!V32-'12. Разходи'!$S32</f>
        <v>0</v>
      </c>
      <c r="AE32" s="1148">
        <f>IFERROR(('12. Разходи'!V32-'12. Разходи'!$S32)/'12. Разходи'!$S32,0)</f>
        <v>0</v>
      </c>
      <c r="AF32" s="926">
        <f>'12. Разходи'!W32-'12. Разходи'!$S32</f>
        <v>0</v>
      </c>
      <c r="AG32" s="1147">
        <f>IFERROR(('12. Разходи'!W32-'12. Разходи'!$S32)/'12. Разходи'!$S32,0)</f>
        <v>0</v>
      </c>
      <c r="AH32" s="1155">
        <f>'12. Разходи'!X32-'12. Разходи'!$S32</f>
        <v>0</v>
      </c>
      <c r="AI32" s="1202">
        <f>IFERROR(('12. Разходи'!X32-'12. Разходи'!$S32)/'12. Разходи'!$S32,0)</f>
        <v>0</v>
      </c>
      <c r="AJ32" s="1196">
        <f>'12. Разходи'!AA32</f>
        <v>0</v>
      </c>
      <c r="AK32" s="1160">
        <f>'12. Разходи'!AB32-'12. Разходи'!$AA32</f>
        <v>0</v>
      </c>
      <c r="AL32" s="1140">
        <f>IFERROR(('12. Разходи'!AB32-'12. Разходи'!$AA32)/'12. Разходи'!$AA32,0)</f>
        <v>0</v>
      </c>
      <c r="AM32" s="926">
        <f>'12. Разходи'!AC32-'12. Разходи'!$AA32</f>
        <v>0</v>
      </c>
      <c r="AN32" s="1148">
        <f>IFERROR(('12. Разходи'!AC32-'12. Разходи'!$AA32)/'12. Разходи'!$AA32,0)</f>
        <v>0</v>
      </c>
      <c r="AO32" s="926">
        <f>'12. Разходи'!AD32-'12. Разходи'!$AA32</f>
        <v>0</v>
      </c>
      <c r="AP32" s="1148">
        <f>IFERROR(('12. Разходи'!AD32-'12. Разходи'!$AA32)/'12. Разходи'!$AA32,0)</f>
        <v>0</v>
      </c>
      <c r="AQ32" s="926">
        <f>'12. Разходи'!AE32-'12. Разходи'!$AA32</f>
        <v>0</v>
      </c>
      <c r="AR32" s="1147">
        <f>IFERROR(('12. Разходи'!AE32-'12. Разходи'!$AA32)/'12. Разходи'!$AA32,0)</f>
        <v>0</v>
      </c>
      <c r="AS32" s="1155">
        <f>'12. Разходи'!AF32-'12. Разходи'!$AA32</f>
        <v>0</v>
      </c>
      <c r="AT32" s="1202">
        <f>IFERROR(('12. Разходи'!AF32-'12. Разходи'!$AA32)/'12. Разходи'!$AA32,0)</f>
        <v>0</v>
      </c>
      <c r="AU32" s="1196">
        <f>'12. Разходи'!AI32</f>
        <v>0</v>
      </c>
      <c r="AV32" s="1160">
        <f>'12. Разходи'!AJ32-'12. Разходи'!$AI32</f>
        <v>0</v>
      </c>
      <c r="AW32" s="1140">
        <f>IFERROR(('12. Разходи'!AJ32-'12. Разходи'!$AI32)/'12. Разходи'!$AI32,0)</f>
        <v>0</v>
      </c>
      <c r="AX32" s="926">
        <f>'12. Разходи'!AK32-'12. Разходи'!$AI32</f>
        <v>0</v>
      </c>
      <c r="AY32" s="1148">
        <f>IFERROR(('12. Разходи'!AK32-'12. Разходи'!$AI32)/'12. Разходи'!$AI32,0)</f>
        <v>0</v>
      </c>
      <c r="AZ32" s="926">
        <f>'12. Разходи'!AL32-'12. Разходи'!$AI32</f>
        <v>0</v>
      </c>
      <c r="BA32" s="1148">
        <f>IFERROR(('12. Разходи'!AL32-'12. Разходи'!$AI32)/'12. Разходи'!$AI32,0)</f>
        <v>0</v>
      </c>
      <c r="BB32" s="926">
        <f>'12. Разходи'!AM32-'12. Разходи'!$AI32</f>
        <v>0</v>
      </c>
      <c r="BC32" s="1147">
        <f>IFERROR(('12. Разходи'!AM32-'12. Разходи'!$AI32)/'12. Разходи'!$AI32,0)</f>
        <v>0</v>
      </c>
      <c r="BD32" s="1155">
        <f>'12. Разходи'!AN32-'12. Разходи'!$AI32</f>
        <v>0</v>
      </c>
      <c r="BE32" s="1202">
        <f>IFERROR(('12. Разходи'!AN32-'12. Разходи'!$AI32)/'12. Разходи'!$AI32,0)</f>
        <v>0</v>
      </c>
      <c r="BF32" s="4775"/>
      <c r="BG32" s="4794">
        <f t="shared" si="1"/>
        <v>65.956652674312181</v>
      </c>
      <c r="BH32" s="4794">
        <f t="shared" si="2"/>
        <v>0</v>
      </c>
      <c r="BI32" s="4794">
        <f t="shared" si="3"/>
        <v>0</v>
      </c>
      <c r="BJ32" s="4794">
        <f t="shared" si="4"/>
        <v>0</v>
      </c>
      <c r="BK32" s="4794">
        <f t="shared" si="5"/>
        <v>0</v>
      </c>
      <c r="BL32" s="4794">
        <f t="shared" si="6"/>
        <v>0</v>
      </c>
      <c r="BM32" s="4794">
        <f t="shared" si="7"/>
        <v>13.804880792297899</v>
      </c>
      <c r="BN32" s="4794">
        <f t="shared" si="8"/>
        <v>0</v>
      </c>
      <c r="BO32" s="4794">
        <f t="shared" si="9"/>
        <v>0</v>
      </c>
      <c r="BP32" s="4794">
        <f t="shared" si="10"/>
        <v>0</v>
      </c>
      <c r="BQ32" s="4794">
        <f t="shared" si="11"/>
        <v>0</v>
      </c>
      <c r="BR32" s="4794">
        <f t="shared" si="12"/>
        <v>0</v>
      </c>
      <c r="BS32" s="4794">
        <f t="shared" si="13"/>
        <v>17.383923960671428</v>
      </c>
      <c r="BT32" s="4794">
        <f t="shared" si="14"/>
        <v>0</v>
      </c>
      <c r="BU32" s="4794">
        <f t="shared" si="15"/>
        <v>0</v>
      </c>
      <c r="BV32" s="4794">
        <f t="shared" si="16"/>
        <v>0</v>
      </c>
      <c r="BW32" s="4794">
        <f t="shared" si="17"/>
        <v>0</v>
      </c>
      <c r="BX32" s="4794">
        <f t="shared" si="18"/>
        <v>0</v>
      </c>
      <c r="BY32" s="4794">
        <f t="shared" si="19"/>
        <v>0</v>
      </c>
      <c r="BZ32" s="4794">
        <f t="shared" si="20"/>
        <v>0</v>
      </c>
      <c r="CA32" s="4794">
        <f t="shared" si="21"/>
        <v>0</v>
      </c>
      <c r="CB32" s="4794">
        <f t="shared" si="22"/>
        <v>0</v>
      </c>
      <c r="CC32" s="4794">
        <f t="shared" si="23"/>
        <v>0</v>
      </c>
      <c r="CD32" s="4794">
        <f t="shared" si="24"/>
        <v>0</v>
      </c>
      <c r="CE32" s="4794">
        <f t="shared" si="25"/>
        <v>0</v>
      </c>
      <c r="CF32" s="4794">
        <f t="shared" si="26"/>
        <v>0</v>
      </c>
      <c r="CG32" s="4794">
        <f t="shared" si="27"/>
        <v>0</v>
      </c>
      <c r="CH32" s="4794">
        <f t="shared" si="28"/>
        <v>0</v>
      </c>
      <c r="CI32" s="4794">
        <f t="shared" si="29"/>
        <v>0</v>
      </c>
      <c r="CJ32" s="4794">
        <f t="shared" si="30"/>
        <v>0</v>
      </c>
    </row>
    <row r="33" spans="1:88" ht="15.95" customHeight="1">
      <c r="A33" s="113" t="s">
        <v>242</v>
      </c>
      <c r="B33" s="915" t="s">
        <v>243</v>
      </c>
      <c r="C33" s="1131">
        <f>'12. Разходи'!C33</f>
        <v>7</v>
      </c>
      <c r="D33" s="1160">
        <f>'12. Разходи'!D33-'12. Разходи'!$C33</f>
        <v>0</v>
      </c>
      <c r="E33" s="1140">
        <f>IFERROR(('12. Разходи'!D33-'12. Разходи'!$C33)/'12. Разходи'!$C33,0)</f>
        <v>0</v>
      </c>
      <c r="F33" s="926">
        <f>'12. Разходи'!E33-'12. Разходи'!$C33</f>
        <v>0</v>
      </c>
      <c r="G33" s="1148">
        <f>IFERROR(('12. Разходи'!E33-'12. Разходи'!$C33)/'12. Разходи'!$C33,0)</f>
        <v>0</v>
      </c>
      <c r="H33" s="926">
        <f>'12. Разходи'!F33-'12. Разходи'!$C33</f>
        <v>0</v>
      </c>
      <c r="I33" s="1148">
        <f>IFERROR(('12. Разходи'!F33-'12. Разходи'!$C33)/'12. Разходи'!$C33,0)</f>
        <v>0</v>
      </c>
      <c r="J33" s="926">
        <f>'12. Разходи'!G33-'12. Разходи'!$C33</f>
        <v>0</v>
      </c>
      <c r="K33" s="1147">
        <f>IFERROR(('12. Разходи'!G33-'12. Разходи'!$C33)/'12. Разходи'!$C33,0)</f>
        <v>0</v>
      </c>
      <c r="L33" s="1155">
        <f>'12. Разходи'!H33-'12. Разходи'!$C33</f>
        <v>0</v>
      </c>
      <c r="M33" s="1147">
        <f>IFERROR(('12. Разходи'!H33-'12. Разходи'!$C33)/'12. Разходи'!$C33,0)</f>
        <v>0</v>
      </c>
      <c r="N33" s="1196">
        <f>'12. Разходи'!K33</f>
        <v>1</v>
      </c>
      <c r="O33" s="1160">
        <f>'12. Разходи'!L33-'12. Разходи'!$K33</f>
        <v>0</v>
      </c>
      <c r="P33" s="1140">
        <f>IFERROR(('12. Разходи'!L33-'12. Разходи'!$K33)/'12. Разходи'!$K33,0)</f>
        <v>0</v>
      </c>
      <c r="Q33" s="926">
        <f>'12. Разходи'!M33-'12. Разходи'!$K33</f>
        <v>0</v>
      </c>
      <c r="R33" s="1148">
        <f>IFERROR(('12. Разходи'!M33-'12. Разходи'!$K33)/'12. Разходи'!$K33,0)</f>
        <v>0</v>
      </c>
      <c r="S33" s="926">
        <f>'12. Разходи'!N33-'12. Разходи'!$K33</f>
        <v>0</v>
      </c>
      <c r="T33" s="1148">
        <f>IFERROR(('12. Разходи'!N33-'12. Разходи'!$K33)/'12. Разходи'!$K33,0)</f>
        <v>0</v>
      </c>
      <c r="U33" s="926">
        <f>'12. Разходи'!O33-'12. Разходи'!$K33</f>
        <v>0</v>
      </c>
      <c r="V33" s="1147">
        <f>IFERROR(('12. Разходи'!O33-'12. Разходи'!$K33)/'12. Разходи'!$K33,0)</f>
        <v>0</v>
      </c>
      <c r="W33" s="1155">
        <f>'12. Разходи'!P33-'12. Разходи'!$K33</f>
        <v>0</v>
      </c>
      <c r="X33" s="1202">
        <f>IFERROR(('12. Разходи'!P33-'12. Разходи'!$K33)/'12. Разходи'!$K33,0)</f>
        <v>0</v>
      </c>
      <c r="Y33" s="1196">
        <f>'12. Разходи'!S33</f>
        <v>1</v>
      </c>
      <c r="Z33" s="1160">
        <f>'12. Разходи'!T33-'12. Разходи'!$S33</f>
        <v>0</v>
      </c>
      <c r="AA33" s="1140">
        <f>IFERROR(('12. Разходи'!T33-'12. Разходи'!$S33)/'12. Разходи'!$S33,0)</f>
        <v>0</v>
      </c>
      <c r="AB33" s="926">
        <f>'12. Разходи'!U33-'12. Разходи'!$S33</f>
        <v>0</v>
      </c>
      <c r="AC33" s="1148">
        <f>IFERROR(('12. Разходи'!U33-'12. Разходи'!$S33)/'12. Разходи'!$S33,0)</f>
        <v>0</v>
      </c>
      <c r="AD33" s="926">
        <f>'12. Разходи'!V33-'12. Разходи'!$S33</f>
        <v>0</v>
      </c>
      <c r="AE33" s="1148">
        <f>IFERROR(('12. Разходи'!V33-'12. Разходи'!$S33)/'12. Разходи'!$S33,0)</f>
        <v>0</v>
      </c>
      <c r="AF33" s="926">
        <f>'12. Разходи'!W33-'12. Разходи'!$S33</f>
        <v>0</v>
      </c>
      <c r="AG33" s="1147">
        <f>IFERROR(('12. Разходи'!W33-'12. Разходи'!$S33)/'12. Разходи'!$S33,0)</f>
        <v>0</v>
      </c>
      <c r="AH33" s="1155">
        <f>'12. Разходи'!X33-'12. Разходи'!$S33</f>
        <v>0</v>
      </c>
      <c r="AI33" s="1202">
        <f>IFERROR(('12. Разходи'!X33-'12. Разходи'!$S33)/'12. Разходи'!$S33,0)</f>
        <v>0</v>
      </c>
      <c r="AJ33" s="1196">
        <f>'12. Разходи'!AA33</f>
        <v>0</v>
      </c>
      <c r="AK33" s="1160">
        <f>'12. Разходи'!AB33-'12. Разходи'!$AA33</f>
        <v>0</v>
      </c>
      <c r="AL33" s="1140">
        <f>IFERROR(('12. Разходи'!AB33-'12. Разходи'!$AA33)/'12. Разходи'!$AA33,0)</f>
        <v>0</v>
      </c>
      <c r="AM33" s="926">
        <f>'12. Разходи'!AC33-'12. Разходи'!$AA33</f>
        <v>0</v>
      </c>
      <c r="AN33" s="1148">
        <f>IFERROR(('12. Разходи'!AC33-'12. Разходи'!$AA33)/'12. Разходи'!$AA33,0)</f>
        <v>0</v>
      </c>
      <c r="AO33" s="926">
        <f>'12. Разходи'!AD33-'12. Разходи'!$AA33</f>
        <v>0</v>
      </c>
      <c r="AP33" s="1148">
        <f>IFERROR(('12. Разходи'!AD33-'12. Разходи'!$AA33)/'12. Разходи'!$AA33,0)</f>
        <v>0</v>
      </c>
      <c r="AQ33" s="926">
        <f>'12. Разходи'!AE33-'12. Разходи'!$AA33</f>
        <v>0</v>
      </c>
      <c r="AR33" s="1147">
        <f>IFERROR(('12. Разходи'!AE33-'12. Разходи'!$AA33)/'12. Разходи'!$AA33,0)</f>
        <v>0</v>
      </c>
      <c r="AS33" s="1155">
        <f>'12. Разходи'!AF33-'12. Разходи'!$AA33</f>
        <v>0</v>
      </c>
      <c r="AT33" s="1202">
        <f>IFERROR(('12. Разходи'!AF33-'12. Разходи'!$AA33)/'12. Разходи'!$AA33,0)</f>
        <v>0</v>
      </c>
      <c r="AU33" s="1196">
        <f>'12. Разходи'!AI33</f>
        <v>0</v>
      </c>
      <c r="AV33" s="1160">
        <f>'12. Разходи'!AJ33-'12. Разходи'!$AI33</f>
        <v>0</v>
      </c>
      <c r="AW33" s="1140">
        <f>IFERROR(('12. Разходи'!AJ33-'12. Разходи'!$AI33)/'12. Разходи'!$AI33,0)</f>
        <v>0</v>
      </c>
      <c r="AX33" s="926">
        <f>'12. Разходи'!AK33-'12. Разходи'!$AI33</f>
        <v>0</v>
      </c>
      <c r="AY33" s="1148">
        <f>IFERROR(('12. Разходи'!AK33-'12. Разходи'!$AI33)/'12. Разходи'!$AI33,0)</f>
        <v>0</v>
      </c>
      <c r="AZ33" s="926">
        <f>'12. Разходи'!AL33-'12. Разходи'!$AI33</f>
        <v>0</v>
      </c>
      <c r="BA33" s="1148">
        <f>IFERROR(('12. Разходи'!AL33-'12. Разходи'!$AI33)/'12. Разходи'!$AI33,0)</f>
        <v>0</v>
      </c>
      <c r="BB33" s="926">
        <f>'12. Разходи'!AM33-'12. Разходи'!$AI33</f>
        <v>0</v>
      </c>
      <c r="BC33" s="1147">
        <f>IFERROR(('12. Разходи'!AM33-'12. Разходи'!$AI33)/'12. Разходи'!$AI33,0)</f>
        <v>0</v>
      </c>
      <c r="BD33" s="1155">
        <f>'12. Разходи'!AN33-'12. Разходи'!$AI33</f>
        <v>0</v>
      </c>
      <c r="BE33" s="1202">
        <f>IFERROR(('12. Разходи'!AN33-'12. Разходи'!$AI33)/'12. Разходи'!$AI33,0)</f>
        <v>0</v>
      </c>
      <c r="BF33" s="4775"/>
      <c r="BG33" s="4794">
        <f t="shared" si="1"/>
        <v>3.5790431683735293</v>
      </c>
      <c r="BH33" s="4794">
        <f t="shared" si="2"/>
        <v>0</v>
      </c>
      <c r="BI33" s="4794">
        <f t="shared" si="3"/>
        <v>0</v>
      </c>
      <c r="BJ33" s="4794">
        <f t="shared" si="4"/>
        <v>0</v>
      </c>
      <c r="BK33" s="4794">
        <f t="shared" si="5"/>
        <v>0</v>
      </c>
      <c r="BL33" s="4794">
        <f t="shared" si="6"/>
        <v>0</v>
      </c>
      <c r="BM33" s="4794">
        <f t="shared" si="7"/>
        <v>0.51129188119621849</v>
      </c>
      <c r="BN33" s="4794">
        <f t="shared" si="8"/>
        <v>0</v>
      </c>
      <c r="BO33" s="4794">
        <f t="shared" si="9"/>
        <v>0</v>
      </c>
      <c r="BP33" s="4794">
        <f t="shared" si="10"/>
        <v>0</v>
      </c>
      <c r="BQ33" s="4794">
        <f t="shared" si="11"/>
        <v>0</v>
      </c>
      <c r="BR33" s="4794">
        <f t="shared" si="12"/>
        <v>0</v>
      </c>
      <c r="BS33" s="4794">
        <f t="shared" si="13"/>
        <v>0.51129188119621849</v>
      </c>
      <c r="BT33" s="4794">
        <f t="shared" si="14"/>
        <v>0</v>
      </c>
      <c r="BU33" s="4794">
        <f t="shared" si="15"/>
        <v>0</v>
      </c>
      <c r="BV33" s="4794">
        <f t="shared" si="16"/>
        <v>0</v>
      </c>
      <c r="BW33" s="4794">
        <f t="shared" si="17"/>
        <v>0</v>
      </c>
      <c r="BX33" s="4794">
        <f t="shared" si="18"/>
        <v>0</v>
      </c>
      <c r="BY33" s="4794">
        <f t="shared" si="19"/>
        <v>0</v>
      </c>
      <c r="BZ33" s="4794">
        <f t="shared" si="20"/>
        <v>0</v>
      </c>
      <c r="CA33" s="4794">
        <f t="shared" si="21"/>
        <v>0</v>
      </c>
      <c r="CB33" s="4794">
        <f t="shared" si="22"/>
        <v>0</v>
      </c>
      <c r="CC33" s="4794">
        <f t="shared" si="23"/>
        <v>0</v>
      </c>
      <c r="CD33" s="4794">
        <f t="shared" si="24"/>
        <v>0</v>
      </c>
      <c r="CE33" s="4794">
        <f t="shared" si="25"/>
        <v>0</v>
      </c>
      <c r="CF33" s="4794">
        <f t="shared" si="26"/>
        <v>0</v>
      </c>
      <c r="CG33" s="4794">
        <f t="shared" si="27"/>
        <v>0</v>
      </c>
      <c r="CH33" s="4794">
        <f t="shared" si="28"/>
        <v>0</v>
      </c>
      <c r="CI33" s="4794">
        <f t="shared" si="29"/>
        <v>0</v>
      </c>
      <c r="CJ33" s="4794">
        <f t="shared" si="30"/>
        <v>0</v>
      </c>
    </row>
    <row r="34" spans="1:88" ht="15.95" customHeight="1">
      <c r="A34" s="854" t="s">
        <v>244</v>
      </c>
      <c r="B34" s="915" t="s">
        <v>245</v>
      </c>
      <c r="C34" s="1131">
        <f>'12. Разходи'!C34</f>
        <v>99</v>
      </c>
      <c r="D34" s="1160">
        <f>'12. Разходи'!D34-'12. Разходи'!$C34</f>
        <v>0</v>
      </c>
      <c r="E34" s="1140">
        <f>IFERROR(('12. Разходи'!D34-'12. Разходи'!$C34)/'12. Разходи'!$C34,0)</f>
        <v>0</v>
      </c>
      <c r="F34" s="926">
        <f>'12. Разходи'!E34-'12. Разходи'!$C34</f>
        <v>0</v>
      </c>
      <c r="G34" s="1148">
        <f>IFERROR(('12. Разходи'!E34-'12. Разходи'!$C34)/'12. Разходи'!$C34,0)</f>
        <v>0</v>
      </c>
      <c r="H34" s="926">
        <f>'12. Разходи'!F34-'12. Разходи'!$C34</f>
        <v>0</v>
      </c>
      <c r="I34" s="1148">
        <f>IFERROR(('12. Разходи'!F34-'12. Разходи'!$C34)/'12. Разходи'!$C34,0)</f>
        <v>0</v>
      </c>
      <c r="J34" s="926">
        <f>'12. Разходи'!G34-'12. Разходи'!$C34</f>
        <v>0</v>
      </c>
      <c r="K34" s="1147">
        <f>IFERROR(('12. Разходи'!G34-'12. Разходи'!$C34)/'12. Разходи'!$C34,0)</f>
        <v>0</v>
      </c>
      <c r="L34" s="1155">
        <f>'12. Разходи'!H34-'12. Разходи'!$C34</f>
        <v>0</v>
      </c>
      <c r="M34" s="1147">
        <f>IFERROR(('12. Разходи'!H34-'12. Разходи'!$C34)/'12. Разходи'!$C34,0)</f>
        <v>0</v>
      </c>
      <c r="N34" s="1196">
        <f>'12. Разходи'!K34</f>
        <v>18</v>
      </c>
      <c r="O34" s="1160">
        <f>'12. Разходи'!L34-'12. Разходи'!$K34</f>
        <v>0</v>
      </c>
      <c r="P34" s="1140">
        <f>IFERROR(('12. Разходи'!L34-'12. Разходи'!$K34)/'12. Разходи'!$K34,0)</f>
        <v>0</v>
      </c>
      <c r="Q34" s="926">
        <f>'12. Разходи'!M34-'12. Разходи'!$K34</f>
        <v>0</v>
      </c>
      <c r="R34" s="1148">
        <f>IFERROR(('12. Разходи'!M34-'12. Разходи'!$K34)/'12. Разходи'!$K34,0)</f>
        <v>0</v>
      </c>
      <c r="S34" s="926">
        <f>'12. Разходи'!N34-'12. Разходи'!$K34</f>
        <v>0</v>
      </c>
      <c r="T34" s="1148">
        <f>IFERROR(('12. Разходи'!N34-'12. Разходи'!$K34)/'12. Разходи'!$K34,0)</f>
        <v>0</v>
      </c>
      <c r="U34" s="926">
        <f>'12. Разходи'!O34-'12. Разходи'!$K34</f>
        <v>0</v>
      </c>
      <c r="V34" s="1147">
        <f>IFERROR(('12. Разходи'!O34-'12. Разходи'!$K34)/'12. Разходи'!$K34,0)</f>
        <v>0</v>
      </c>
      <c r="W34" s="1155">
        <f>'12. Разходи'!P34-'12. Разходи'!$K34</f>
        <v>0</v>
      </c>
      <c r="X34" s="1202">
        <f>IFERROR(('12. Разходи'!P34-'12. Разходи'!$K34)/'12. Разходи'!$K34,0)</f>
        <v>0</v>
      </c>
      <c r="Y34" s="1196">
        <f>'12. Разходи'!S34</f>
        <v>22</v>
      </c>
      <c r="Z34" s="1160">
        <f>'12. Разходи'!T34-'12. Разходи'!$S34</f>
        <v>0</v>
      </c>
      <c r="AA34" s="1140">
        <f>IFERROR(('12. Разходи'!T34-'12. Разходи'!$S34)/'12. Разходи'!$S34,0)</f>
        <v>0</v>
      </c>
      <c r="AB34" s="926">
        <f>'12. Разходи'!U34-'12. Разходи'!$S34</f>
        <v>0</v>
      </c>
      <c r="AC34" s="1148">
        <f>IFERROR(('12. Разходи'!U34-'12. Разходи'!$S34)/'12. Разходи'!$S34,0)</f>
        <v>0</v>
      </c>
      <c r="AD34" s="926">
        <f>'12. Разходи'!V34-'12. Разходи'!$S34</f>
        <v>0</v>
      </c>
      <c r="AE34" s="1148">
        <f>IFERROR(('12. Разходи'!V34-'12. Разходи'!$S34)/'12. Разходи'!$S34,0)</f>
        <v>0</v>
      </c>
      <c r="AF34" s="926">
        <f>'12. Разходи'!W34-'12. Разходи'!$S34</f>
        <v>0</v>
      </c>
      <c r="AG34" s="1147">
        <f>IFERROR(('12. Разходи'!W34-'12. Разходи'!$S34)/'12. Разходи'!$S34,0)</f>
        <v>0</v>
      </c>
      <c r="AH34" s="1155">
        <f>'12. Разходи'!X34-'12. Разходи'!$S34</f>
        <v>0</v>
      </c>
      <c r="AI34" s="1202">
        <f>IFERROR(('12. Разходи'!X34-'12. Разходи'!$S34)/'12. Разходи'!$S34,0)</f>
        <v>0</v>
      </c>
      <c r="AJ34" s="1196">
        <f>'12. Разходи'!AA34</f>
        <v>0</v>
      </c>
      <c r="AK34" s="1160">
        <f>'12. Разходи'!AB34-'12. Разходи'!$AA34</f>
        <v>0</v>
      </c>
      <c r="AL34" s="1140">
        <f>IFERROR(('12. Разходи'!AB34-'12. Разходи'!$AA34)/'12. Разходи'!$AA34,0)</f>
        <v>0</v>
      </c>
      <c r="AM34" s="926">
        <f>'12. Разходи'!AC34-'12. Разходи'!$AA34</f>
        <v>0</v>
      </c>
      <c r="AN34" s="1148">
        <f>IFERROR(('12. Разходи'!AC34-'12. Разходи'!$AA34)/'12. Разходи'!$AA34,0)</f>
        <v>0</v>
      </c>
      <c r="AO34" s="926">
        <f>'12. Разходи'!AD34-'12. Разходи'!$AA34</f>
        <v>0</v>
      </c>
      <c r="AP34" s="1148">
        <f>IFERROR(('12. Разходи'!AD34-'12. Разходи'!$AA34)/'12. Разходи'!$AA34,0)</f>
        <v>0</v>
      </c>
      <c r="AQ34" s="926">
        <f>'12. Разходи'!AE34-'12. Разходи'!$AA34</f>
        <v>0</v>
      </c>
      <c r="AR34" s="1147">
        <f>IFERROR(('12. Разходи'!AE34-'12. Разходи'!$AA34)/'12. Разходи'!$AA34,0)</f>
        <v>0</v>
      </c>
      <c r="AS34" s="1155">
        <f>'12. Разходи'!AF34-'12. Разходи'!$AA34</f>
        <v>0</v>
      </c>
      <c r="AT34" s="1202">
        <f>IFERROR(('12. Разходи'!AF34-'12. Разходи'!$AA34)/'12. Разходи'!$AA34,0)</f>
        <v>0</v>
      </c>
      <c r="AU34" s="1196">
        <f>'12. Разходи'!AI34</f>
        <v>0</v>
      </c>
      <c r="AV34" s="1160">
        <f>'12. Разходи'!AJ34-'12. Разходи'!$AI34</f>
        <v>0</v>
      </c>
      <c r="AW34" s="1140">
        <f>IFERROR(('12. Разходи'!AJ34-'12. Разходи'!$AI34)/'12. Разходи'!$AI34,0)</f>
        <v>0</v>
      </c>
      <c r="AX34" s="926">
        <f>'12. Разходи'!AK34-'12. Разходи'!$AI34</f>
        <v>0</v>
      </c>
      <c r="AY34" s="1148">
        <f>IFERROR(('12. Разходи'!AK34-'12. Разходи'!$AI34)/'12. Разходи'!$AI34,0)</f>
        <v>0</v>
      </c>
      <c r="AZ34" s="926">
        <f>'12. Разходи'!AL34-'12. Разходи'!$AI34</f>
        <v>0</v>
      </c>
      <c r="BA34" s="1148">
        <f>IFERROR(('12. Разходи'!AL34-'12. Разходи'!$AI34)/'12. Разходи'!$AI34,0)</f>
        <v>0</v>
      </c>
      <c r="BB34" s="926">
        <f>'12. Разходи'!AM34-'12. Разходи'!$AI34</f>
        <v>0</v>
      </c>
      <c r="BC34" s="1147">
        <f>IFERROR(('12. Разходи'!AM34-'12. Разходи'!$AI34)/'12. Разходи'!$AI34,0)</f>
        <v>0</v>
      </c>
      <c r="BD34" s="1155">
        <f>'12. Разходи'!AN34-'12. Разходи'!$AI34</f>
        <v>0</v>
      </c>
      <c r="BE34" s="1202">
        <f>IFERROR(('12. Разходи'!AN34-'12. Разходи'!$AI34)/'12. Разходи'!$AI34,0)</f>
        <v>0</v>
      </c>
      <c r="BF34" s="4775"/>
      <c r="BG34" s="4794">
        <f t="shared" si="1"/>
        <v>50.617896238425629</v>
      </c>
      <c r="BH34" s="4794">
        <f t="shared" si="2"/>
        <v>0</v>
      </c>
      <c r="BI34" s="4794">
        <f t="shared" si="3"/>
        <v>0</v>
      </c>
      <c r="BJ34" s="4794">
        <f t="shared" si="4"/>
        <v>0</v>
      </c>
      <c r="BK34" s="4794">
        <f t="shared" si="5"/>
        <v>0</v>
      </c>
      <c r="BL34" s="4794">
        <f t="shared" si="6"/>
        <v>0</v>
      </c>
      <c r="BM34" s="4794">
        <f t="shared" si="7"/>
        <v>9.2032538615319321</v>
      </c>
      <c r="BN34" s="4794">
        <f t="shared" si="8"/>
        <v>0</v>
      </c>
      <c r="BO34" s="4794">
        <f t="shared" si="9"/>
        <v>0</v>
      </c>
      <c r="BP34" s="4794">
        <f t="shared" si="10"/>
        <v>0</v>
      </c>
      <c r="BQ34" s="4794">
        <f t="shared" si="11"/>
        <v>0</v>
      </c>
      <c r="BR34" s="4794">
        <f t="shared" si="12"/>
        <v>0</v>
      </c>
      <c r="BS34" s="4794">
        <f t="shared" si="13"/>
        <v>11.248421386316807</v>
      </c>
      <c r="BT34" s="4794">
        <f t="shared" si="14"/>
        <v>0</v>
      </c>
      <c r="BU34" s="4794">
        <f t="shared" si="15"/>
        <v>0</v>
      </c>
      <c r="BV34" s="4794">
        <f t="shared" si="16"/>
        <v>0</v>
      </c>
      <c r="BW34" s="4794">
        <f t="shared" si="17"/>
        <v>0</v>
      </c>
      <c r="BX34" s="4794">
        <f t="shared" si="18"/>
        <v>0</v>
      </c>
      <c r="BY34" s="4794">
        <f t="shared" si="19"/>
        <v>0</v>
      </c>
      <c r="BZ34" s="4794">
        <f t="shared" si="20"/>
        <v>0</v>
      </c>
      <c r="CA34" s="4794">
        <f t="shared" si="21"/>
        <v>0</v>
      </c>
      <c r="CB34" s="4794">
        <f t="shared" si="22"/>
        <v>0</v>
      </c>
      <c r="CC34" s="4794">
        <f t="shared" si="23"/>
        <v>0</v>
      </c>
      <c r="CD34" s="4794">
        <f t="shared" si="24"/>
        <v>0</v>
      </c>
      <c r="CE34" s="4794">
        <f t="shared" si="25"/>
        <v>0</v>
      </c>
      <c r="CF34" s="4794">
        <f t="shared" si="26"/>
        <v>0</v>
      </c>
      <c r="CG34" s="4794">
        <f t="shared" si="27"/>
        <v>0</v>
      </c>
      <c r="CH34" s="4794">
        <f t="shared" si="28"/>
        <v>0</v>
      </c>
      <c r="CI34" s="4794">
        <f t="shared" si="29"/>
        <v>0</v>
      </c>
      <c r="CJ34" s="4794">
        <f t="shared" si="30"/>
        <v>0</v>
      </c>
    </row>
    <row r="35" spans="1:88" ht="15.95" customHeight="1">
      <c r="A35" s="854" t="s">
        <v>246</v>
      </c>
      <c r="B35" s="915" t="s">
        <v>247</v>
      </c>
      <c r="C35" s="1131">
        <f>'12. Разходи'!C35</f>
        <v>6</v>
      </c>
      <c r="D35" s="1160">
        <f>'12. Разходи'!D35-'12. Разходи'!$C35</f>
        <v>0</v>
      </c>
      <c r="E35" s="1140">
        <f>IFERROR(('12. Разходи'!D35-'12. Разходи'!$C35)/'12. Разходи'!$C35,0)</f>
        <v>0</v>
      </c>
      <c r="F35" s="926">
        <f>'12. Разходи'!E35-'12. Разходи'!$C35</f>
        <v>0</v>
      </c>
      <c r="G35" s="1148">
        <f>IFERROR(('12. Разходи'!E35-'12. Разходи'!$C35)/'12. Разходи'!$C35,0)</f>
        <v>0</v>
      </c>
      <c r="H35" s="926">
        <f>'12. Разходи'!F35-'12. Разходи'!$C35</f>
        <v>0</v>
      </c>
      <c r="I35" s="1148">
        <f>IFERROR(('12. Разходи'!F35-'12. Разходи'!$C35)/'12. Разходи'!$C35,0)</f>
        <v>0</v>
      </c>
      <c r="J35" s="926">
        <f>'12. Разходи'!G35-'12. Разходи'!$C35</f>
        <v>0</v>
      </c>
      <c r="K35" s="1147">
        <f>IFERROR(('12. Разходи'!G35-'12. Разходи'!$C35)/'12. Разходи'!$C35,0)</f>
        <v>0</v>
      </c>
      <c r="L35" s="1155">
        <f>'12. Разходи'!H35-'12. Разходи'!$C35</f>
        <v>0</v>
      </c>
      <c r="M35" s="1147">
        <f>IFERROR(('12. Разходи'!H35-'12. Разходи'!$C35)/'12. Разходи'!$C35,0)</f>
        <v>0</v>
      </c>
      <c r="N35" s="1196">
        <f>'12. Разходи'!K35</f>
        <v>1</v>
      </c>
      <c r="O35" s="1160">
        <f>'12. Разходи'!L35-'12. Разходи'!$K35</f>
        <v>0</v>
      </c>
      <c r="P35" s="1140">
        <f>IFERROR(('12. Разходи'!L35-'12. Разходи'!$K35)/'12. Разходи'!$K35,0)</f>
        <v>0</v>
      </c>
      <c r="Q35" s="926">
        <f>'12. Разходи'!M35-'12. Разходи'!$K35</f>
        <v>0</v>
      </c>
      <c r="R35" s="1148">
        <f>IFERROR(('12. Разходи'!M35-'12. Разходи'!$K35)/'12. Разходи'!$K35,0)</f>
        <v>0</v>
      </c>
      <c r="S35" s="926">
        <f>'12. Разходи'!N35-'12. Разходи'!$K35</f>
        <v>0</v>
      </c>
      <c r="T35" s="1148">
        <f>IFERROR(('12. Разходи'!N35-'12. Разходи'!$K35)/'12. Разходи'!$K35,0)</f>
        <v>0</v>
      </c>
      <c r="U35" s="926">
        <f>'12. Разходи'!O35-'12. Разходи'!$K35</f>
        <v>0</v>
      </c>
      <c r="V35" s="1147">
        <f>IFERROR(('12. Разходи'!O35-'12. Разходи'!$K35)/'12. Разходи'!$K35,0)</f>
        <v>0</v>
      </c>
      <c r="W35" s="1155">
        <f>'12. Разходи'!P35-'12. Разходи'!$K35</f>
        <v>0</v>
      </c>
      <c r="X35" s="1202">
        <f>IFERROR(('12. Разходи'!P35-'12. Разходи'!$K35)/'12. Разходи'!$K35,0)</f>
        <v>0</v>
      </c>
      <c r="Y35" s="1196">
        <f>'12. Разходи'!S35</f>
        <v>2</v>
      </c>
      <c r="Z35" s="1160">
        <f>'12. Разходи'!T35-'12. Разходи'!$S35</f>
        <v>0</v>
      </c>
      <c r="AA35" s="1140">
        <f>IFERROR(('12. Разходи'!T35-'12. Разходи'!$S35)/'12. Разходи'!$S35,0)</f>
        <v>0</v>
      </c>
      <c r="AB35" s="926">
        <f>'12. Разходи'!U35-'12. Разходи'!$S35</f>
        <v>0</v>
      </c>
      <c r="AC35" s="1148">
        <f>IFERROR(('12. Разходи'!U35-'12. Разходи'!$S35)/'12. Разходи'!$S35,0)</f>
        <v>0</v>
      </c>
      <c r="AD35" s="926">
        <f>'12. Разходи'!V35-'12. Разходи'!$S35</f>
        <v>0</v>
      </c>
      <c r="AE35" s="1148">
        <f>IFERROR(('12. Разходи'!V35-'12. Разходи'!$S35)/'12. Разходи'!$S35,0)</f>
        <v>0</v>
      </c>
      <c r="AF35" s="926">
        <f>'12. Разходи'!W35-'12. Разходи'!$S35</f>
        <v>0</v>
      </c>
      <c r="AG35" s="1147">
        <f>IFERROR(('12. Разходи'!W35-'12. Разходи'!$S35)/'12. Разходи'!$S35,0)</f>
        <v>0</v>
      </c>
      <c r="AH35" s="1155">
        <f>'12. Разходи'!X35-'12. Разходи'!$S35</f>
        <v>0</v>
      </c>
      <c r="AI35" s="1202">
        <f>IFERROR(('12. Разходи'!X35-'12. Разходи'!$S35)/'12. Разходи'!$S35,0)</f>
        <v>0</v>
      </c>
      <c r="AJ35" s="1196">
        <f>'12. Разходи'!AA35</f>
        <v>0</v>
      </c>
      <c r="AK35" s="1160">
        <f>'12. Разходи'!AB35-'12. Разходи'!$AA35</f>
        <v>0</v>
      </c>
      <c r="AL35" s="1140">
        <f>IFERROR(('12. Разходи'!AB35-'12. Разходи'!$AA35)/'12. Разходи'!$AA35,0)</f>
        <v>0</v>
      </c>
      <c r="AM35" s="926">
        <f>'12. Разходи'!AC35-'12. Разходи'!$AA35</f>
        <v>0</v>
      </c>
      <c r="AN35" s="1148">
        <f>IFERROR(('12. Разходи'!AC35-'12. Разходи'!$AA35)/'12. Разходи'!$AA35,0)</f>
        <v>0</v>
      </c>
      <c r="AO35" s="926">
        <f>'12. Разходи'!AD35-'12. Разходи'!$AA35</f>
        <v>0</v>
      </c>
      <c r="AP35" s="1148">
        <f>IFERROR(('12. Разходи'!AD35-'12. Разходи'!$AA35)/'12. Разходи'!$AA35,0)</f>
        <v>0</v>
      </c>
      <c r="AQ35" s="926">
        <f>'12. Разходи'!AE35-'12. Разходи'!$AA35</f>
        <v>0</v>
      </c>
      <c r="AR35" s="1147">
        <f>IFERROR(('12. Разходи'!AE35-'12. Разходи'!$AA35)/'12. Разходи'!$AA35,0)</f>
        <v>0</v>
      </c>
      <c r="AS35" s="1155">
        <f>'12. Разходи'!AF35-'12. Разходи'!$AA35</f>
        <v>0</v>
      </c>
      <c r="AT35" s="1202">
        <f>IFERROR(('12. Разходи'!AF35-'12. Разходи'!$AA35)/'12. Разходи'!$AA35,0)</f>
        <v>0</v>
      </c>
      <c r="AU35" s="1196">
        <f>'12. Разходи'!AI35</f>
        <v>0</v>
      </c>
      <c r="AV35" s="1160">
        <f>'12. Разходи'!AJ35-'12. Разходи'!$AI35</f>
        <v>0</v>
      </c>
      <c r="AW35" s="1140">
        <f>IFERROR(('12. Разходи'!AJ35-'12. Разходи'!$AI35)/'12. Разходи'!$AI35,0)</f>
        <v>0</v>
      </c>
      <c r="AX35" s="926">
        <f>'12. Разходи'!AK35-'12. Разходи'!$AI35</f>
        <v>0</v>
      </c>
      <c r="AY35" s="1148">
        <f>IFERROR(('12. Разходи'!AK35-'12. Разходи'!$AI35)/'12. Разходи'!$AI35,0)</f>
        <v>0</v>
      </c>
      <c r="AZ35" s="926">
        <f>'12. Разходи'!AL35-'12. Разходи'!$AI35</f>
        <v>0</v>
      </c>
      <c r="BA35" s="1148">
        <f>IFERROR(('12. Разходи'!AL35-'12. Разходи'!$AI35)/'12. Разходи'!$AI35,0)</f>
        <v>0</v>
      </c>
      <c r="BB35" s="926">
        <f>'12. Разходи'!AM35-'12. Разходи'!$AI35</f>
        <v>0</v>
      </c>
      <c r="BC35" s="1147">
        <f>IFERROR(('12. Разходи'!AM35-'12. Разходи'!$AI35)/'12. Разходи'!$AI35,0)</f>
        <v>0</v>
      </c>
      <c r="BD35" s="1155">
        <f>'12. Разходи'!AN35-'12. Разходи'!$AI35</f>
        <v>0</v>
      </c>
      <c r="BE35" s="1202">
        <f>IFERROR(('12. Разходи'!AN35-'12. Разходи'!$AI35)/'12. Разходи'!$AI35,0)</f>
        <v>0</v>
      </c>
      <c r="BF35" s="4775"/>
      <c r="BG35" s="4794">
        <f t="shared" si="1"/>
        <v>3.0677512871773112</v>
      </c>
      <c r="BH35" s="4794">
        <f t="shared" si="2"/>
        <v>0</v>
      </c>
      <c r="BI35" s="4794">
        <f t="shared" si="3"/>
        <v>0</v>
      </c>
      <c r="BJ35" s="4794">
        <f t="shared" si="4"/>
        <v>0</v>
      </c>
      <c r="BK35" s="4794">
        <f t="shared" si="5"/>
        <v>0</v>
      </c>
      <c r="BL35" s="4794">
        <f t="shared" si="6"/>
        <v>0</v>
      </c>
      <c r="BM35" s="4794">
        <f t="shared" si="7"/>
        <v>0.51129188119621849</v>
      </c>
      <c r="BN35" s="4794">
        <f t="shared" si="8"/>
        <v>0</v>
      </c>
      <c r="BO35" s="4794">
        <f t="shared" si="9"/>
        <v>0</v>
      </c>
      <c r="BP35" s="4794">
        <f t="shared" si="10"/>
        <v>0</v>
      </c>
      <c r="BQ35" s="4794">
        <f t="shared" si="11"/>
        <v>0</v>
      </c>
      <c r="BR35" s="4794">
        <f t="shared" si="12"/>
        <v>0</v>
      </c>
      <c r="BS35" s="4794">
        <f t="shared" si="13"/>
        <v>1.022583762392437</v>
      </c>
      <c r="BT35" s="4794">
        <f t="shared" si="14"/>
        <v>0</v>
      </c>
      <c r="BU35" s="4794">
        <f t="shared" si="15"/>
        <v>0</v>
      </c>
      <c r="BV35" s="4794">
        <f t="shared" si="16"/>
        <v>0</v>
      </c>
      <c r="BW35" s="4794">
        <f t="shared" si="17"/>
        <v>0</v>
      </c>
      <c r="BX35" s="4794">
        <f t="shared" si="18"/>
        <v>0</v>
      </c>
      <c r="BY35" s="4794">
        <f t="shared" si="19"/>
        <v>0</v>
      </c>
      <c r="BZ35" s="4794">
        <f t="shared" si="20"/>
        <v>0</v>
      </c>
      <c r="CA35" s="4794">
        <f t="shared" si="21"/>
        <v>0</v>
      </c>
      <c r="CB35" s="4794">
        <f t="shared" si="22"/>
        <v>0</v>
      </c>
      <c r="CC35" s="4794">
        <f t="shared" si="23"/>
        <v>0</v>
      </c>
      <c r="CD35" s="4794">
        <f t="shared" si="24"/>
        <v>0</v>
      </c>
      <c r="CE35" s="4794">
        <f t="shared" si="25"/>
        <v>0</v>
      </c>
      <c r="CF35" s="4794">
        <f t="shared" si="26"/>
        <v>0</v>
      </c>
      <c r="CG35" s="4794">
        <f t="shared" si="27"/>
        <v>0</v>
      </c>
      <c r="CH35" s="4794">
        <f t="shared" si="28"/>
        <v>0</v>
      </c>
      <c r="CI35" s="4794">
        <f t="shared" si="29"/>
        <v>0</v>
      </c>
      <c r="CJ35" s="4794">
        <f t="shared" si="30"/>
        <v>0</v>
      </c>
    </row>
    <row r="36" spans="1:88" ht="15.95" customHeight="1">
      <c r="A36" s="113" t="s">
        <v>248</v>
      </c>
      <c r="B36" s="915" t="s">
        <v>249</v>
      </c>
      <c r="C36" s="1131">
        <f>'12. Разходи'!C36</f>
        <v>174</v>
      </c>
      <c r="D36" s="1160">
        <f>'12. Разходи'!D36-'12. Разходи'!$C36</f>
        <v>0</v>
      </c>
      <c r="E36" s="1140">
        <f>IFERROR(('12. Разходи'!D36-'12. Разходи'!$C36)/'12. Разходи'!$C36,0)</f>
        <v>0</v>
      </c>
      <c r="F36" s="926">
        <f>'12. Разходи'!E36-'12. Разходи'!$C36</f>
        <v>0</v>
      </c>
      <c r="G36" s="1148">
        <f>IFERROR(('12. Разходи'!E36-'12. Разходи'!$C36)/'12. Разходи'!$C36,0)</f>
        <v>0</v>
      </c>
      <c r="H36" s="926">
        <f>'12. Разходи'!F36-'12. Разходи'!$C36</f>
        <v>0</v>
      </c>
      <c r="I36" s="1148">
        <f>IFERROR(('12. Разходи'!F36-'12. Разходи'!$C36)/'12. Разходи'!$C36,0)</f>
        <v>0</v>
      </c>
      <c r="J36" s="926">
        <f>'12. Разходи'!G36-'12. Разходи'!$C36</f>
        <v>0</v>
      </c>
      <c r="K36" s="1147">
        <f>IFERROR(('12. Разходи'!G36-'12. Разходи'!$C36)/'12. Разходи'!$C36,0)</f>
        <v>0</v>
      </c>
      <c r="L36" s="1155">
        <f>'12. Разходи'!H36-'12. Разходи'!$C36</f>
        <v>0</v>
      </c>
      <c r="M36" s="1147">
        <f>IFERROR(('12. Разходи'!H36-'12. Разходи'!$C36)/'12. Разходи'!$C36,0)</f>
        <v>0</v>
      </c>
      <c r="N36" s="1196">
        <f>'12. Разходи'!K36</f>
        <v>31</v>
      </c>
      <c r="O36" s="1160">
        <f>'12. Разходи'!L36-'12. Разходи'!$K36</f>
        <v>0</v>
      </c>
      <c r="P36" s="1140">
        <f>IFERROR(('12. Разходи'!L36-'12. Разходи'!$K36)/'12. Разходи'!$K36,0)</f>
        <v>0</v>
      </c>
      <c r="Q36" s="926">
        <f>'12. Разходи'!M36-'12. Разходи'!$K36</f>
        <v>0</v>
      </c>
      <c r="R36" s="1148">
        <f>IFERROR(('12. Разходи'!M36-'12. Разходи'!$K36)/'12. Разходи'!$K36,0)</f>
        <v>0</v>
      </c>
      <c r="S36" s="926">
        <f>'12. Разходи'!N36-'12. Разходи'!$K36</f>
        <v>0</v>
      </c>
      <c r="T36" s="1148">
        <f>IFERROR(('12. Разходи'!N36-'12. Разходи'!$K36)/'12. Разходи'!$K36,0)</f>
        <v>0</v>
      </c>
      <c r="U36" s="926">
        <f>'12. Разходи'!O36-'12. Разходи'!$K36</f>
        <v>0</v>
      </c>
      <c r="V36" s="1147">
        <f>IFERROR(('12. Разходи'!O36-'12. Разходи'!$K36)/'12. Разходи'!$K36,0)</f>
        <v>0</v>
      </c>
      <c r="W36" s="1155">
        <f>'12. Разходи'!P36-'12. Разходи'!$K36</f>
        <v>0</v>
      </c>
      <c r="X36" s="1202">
        <f>IFERROR(('12. Разходи'!P36-'12. Разходи'!$K36)/'12. Разходи'!$K36,0)</f>
        <v>0</v>
      </c>
      <c r="Y36" s="1196">
        <f>'12. Разходи'!S36</f>
        <v>62</v>
      </c>
      <c r="Z36" s="1160">
        <f>'12. Разходи'!T36-'12. Разходи'!$S36</f>
        <v>0</v>
      </c>
      <c r="AA36" s="1140">
        <f>IFERROR(('12. Разходи'!T36-'12. Разходи'!$S36)/'12. Разходи'!$S36,0)</f>
        <v>0</v>
      </c>
      <c r="AB36" s="926">
        <f>'12. Разходи'!U36-'12. Разходи'!$S36</f>
        <v>0</v>
      </c>
      <c r="AC36" s="1148">
        <f>IFERROR(('12. Разходи'!U36-'12. Разходи'!$S36)/'12. Разходи'!$S36,0)</f>
        <v>0</v>
      </c>
      <c r="AD36" s="926">
        <f>'12. Разходи'!V36-'12. Разходи'!$S36</f>
        <v>0</v>
      </c>
      <c r="AE36" s="1148">
        <f>IFERROR(('12. Разходи'!V36-'12. Разходи'!$S36)/'12. Разходи'!$S36,0)</f>
        <v>0</v>
      </c>
      <c r="AF36" s="926">
        <f>'12. Разходи'!W36-'12. Разходи'!$S36</f>
        <v>0</v>
      </c>
      <c r="AG36" s="1147">
        <f>IFERROR(('12. Разходи'!W36-'12. Разходи'!$S36)/'12. Разходи'!$S36,0)</f>
        <v>0</v>
      </c>
      <c r="AH36" s="1155">
        <f>'12. Разходи'!X36-'12. Разходи'!$S36</f>
        <v>0</v>
      </c>
      <c r="AI36" s="1202">
        <f>IFERROR(('12. Разходи'!X36-'12. Разходи'!$S36)/'12. Разходи'!$S36,0)</f>
        <v>0</v>
      </c>
      <c r="AJ36" s="1196">
        <f>'12. Разходи'!AA36</f>
        <v>0</v>
      </c>
      <c r="AK36" s="1160">
        <f>'12. Разходи'!AB36-'12. Разходи'!$AA36</f>
        <v>0</v>
      </c>
      <c r="AL36" s="1140">
        <f>IFERROR(('12. Разходи'!AB36-'12. Разходи'!$AA36)/'12. Разходи'!$AA36,0)</f>
        <v>0</v>
      </c>
      <c r="AM36" s="926">
        <f>'12. Разходи'!AC36-'12. Разходи'!$AA36</f>
        <v>0</v>
      </c>
      <c r="AN36" s="1148">
        <f>IFERROR(('12. Разходи'!AC36-'12. Разходи'!$AA36)/'12. Разходи'!$AA36,0)</f>
        <v>0</v>
      </c>
      <c r="AO36" s="926">
        <f>'12. Разходи'!AD36-'12. Разходи'!$AA36</f>
        <v>0</v>
      </c>
      <c r="AP36" s="1148">
        <f>IFERROR(('12. Разходи'!AD36-'12. Разходи'!$AA36)/'12. Разходи'!$AA36,0)</f>
        <v>0</v>
      </c>
      <c r="AQ36" s="926">
        <f>'12. Разходи'!AE36-'12. Разходи'!$AA36</f>
        <v>0</v>
      </c>
      <c r="AR36" s="1147">
        <f>IFERROR(('12. Разходи'!AE36-'12. Разходи'!$AA36)/'12. Разходи'!$AA36,0)</f>
        <v>0</v>
      </c>
      <c r="AS36" s="1155">
        <f>'12. Разходи'!AF36-'12. Разходи'!$AA36</f>
        <v>0</v>
      </c>
      <c r="AT36" s="1202">
        <f>IFERROR(('12. Разходи'!AF36-'12. Разходи'!$AA36)/'12. Разходи'!$AA36,0)</f>
        <v>0</v>
      </c>
      <c r="AU36" s="1196">
        <f>'12. Разходи'!AI36</f>
        <v>0</v>
      </c>
      <c r="AV36" s="1160">
        <f>'12. Разходи'!AJ36-'12. Разходи'!$AI36</f>
        <v>0</v>
      </c>
      <c r="AW36" s="1140">
        <f>IFERROR(('12. Разходи'!AJ36-'12. Разходи'!$AI36)/'12. Разходи'!$AI36,0)</f>
        <v>0</v>
      </c>
      <c r="AX36" s="926">
        <f>'12. Разходи'!AK36-'12. Разходи'!$AI36</f>
        <v>0</v>
      </c>
      <c r="AY36" s="1148">
        <f>IFERROR(('12. Разходи'!AK36-'12. Разходи'!$AI36)/'12. Разходи'!$AI36,0)</f>
        <v>0</v>
      </c>
      <c r="AZ36" s="926">
        <f>'12. Разходи'!AL36-'12. Разходи'!$AI36</f>
        <v>0</v>
      </c>
      <c r="BA36" s="1148">
        <f>IFERROR(('12. Разходи'!AL36-'12. Разходи'!$AI36)/'12. Разходи'!$AI36,0)</f>
        <v>0</v>
      </c>
      <c r="BB36" s="926">
        <f>'12. Разходи'!AM36-'12. Разходи'!$AI36</f>
        <v>0</v>
      </c>
      <c r="BC36" s="1147">
        <f>IFERROR(('12. Разходи'!AM36-'12. Разходи'!$AI36)/'12. Разходи'!$AI36,0)</f>
        <v>0</v>
      </c>
      <c r="BD36" s="1155">
        <f>'12. Разходи'!AN36-'12. Разходи'!$AI36</f>
        <v>0</v>
      </c>
      <c r="BE36" s="1202">
        <f>IFERROR(('12. Разходи'!AN36-'12. Разходи'!$AI36)/'12. Разходи'!$AI36,0)</f>
        <v>0</v>
      </c>
      <c r="BF36" s="4775"/>
      <c r="BG36" s="4794">
        <f t="shared" si="1"/>
        <v>88.964787328142023</v>
      </c>
      <c r="BH36" s="4794">
        <f t="shared" si="2"/>
        <v>0</v>
      </c>
      <c r="BI36" s="4794">
        <f t="shared" si="3"/>
        <v>0</v>
      </c>
      <c r="BJ36" s="4794">
        <f t="shared" si="4"/>
        <v>0</v>
      </c>
      <c r="BK36" s="4794">
        <f t="shared" si="5"/>
        <v>0</v>
      </c>
      <c r="BL36" s="4794">
        <f t="shared" si="6"/>
        <v>0</v>
      </c>
      <c r="BM36" s="4794">
        <f t="shared" si="7"/>
        <v>15.850048317082774</v>
      </c>
      <c r="BN36" s="4794">
        <f t="shared" si="8"/>
        <v>0</v>
      </c>
      <c r="BO36" s="4794">
        <f t="shared" si="9"/>
        <v>0</v>
      </c>
      <c r="BP36" s="4794">
        <f t="shared" si="10"/>
        <v>0</v>
      </c>
      <c r="BQ36" s="4794">
        <f t="shared" si="11"/>
        <v>0</v>
      </c>
      <c r="BR36" s="4794">
        <f t="shared" si="12"/>
        <v>0</v>
      </c>
      <c r="BS36" s="4794">
        <f t="shared" si="13"/>
        <v>31.700096634165547</v>
      </c>
      <c r="BT36" s="4794">
        <f t="shared" si="14"/>
        <v>0</v>
      </c>
      <c r="BU36" s="4794">
        <f t="shared" si="15"/>
        <v>0</v>
      </c>
      <c r="BV36" s="4794">
        <f t="shared" si="16"/>
        <v>0</v>
      </c>
      <c r="BW36" s="4794">
        <f t="shared" si="17"/>
        <v>0</v>
      </c>
      <c r="BX36" s="4794">
        <f t="shared" si="18"/>
        <v>0</v>
      </c>
      <c r="BY36" s="4794">
        <f t="shared" si="19"/>
        <v>0</v>
      </c>
      <c r="BZ36" s="4794">
        <f t="shared" si="20"/>
        <v>0</v>
      </c>
      <c r="CA36" s="4794">
        <f t="shared" si="21"/>
        <v>0</v>
      </c>
      <c r="CB36" s="4794">
        <f t="shared" si="22"/>
        <v>0</v>
      </c>
      <c r="CC36" s="4794">
        <f t="shared" si="23"/>
        <v>0</v>
      </c>
      <c r="CD36" s="4794">
        <f t="shared" si="24"/>
        <v>0</v>
      </c>
      <c r="CE36" s="4794">
        <f t="shared" si="25"/>
        <v>0</v>
      </c>
      <c r="CF36" s="4794">
        <f t="shared" si="26"/>
        <v>0</v>
      </c>
      <c r="CG36" s="4794">
        <f t="shared" si="27"/>
        <v>0</v>
      </c>
      <c r="CH36" s="4794">
        <f t="shared" si="28"/>
        <v>0</v>
      </c>
      <c r="CI36" s="4794">
        <f t="shared" si="29"/>
        <v>0</v>
      </c>
      <c r="CJ36" s="4794">
        <f t="shared" si="30"/>
        <v>0</v>
      </c>
    </row>
    <row r="37" spans="1:88" ht="15.95" customHeight="1">
      <c r="A37" s="854" t="s">
        <v>250</v>
      </c>
      <c r="B37" s="915" t="s">
        <v>251</v>
      </c>
      <c r="C37" s="1131">
        <f>'12. Разходи'!C37</f>
        <v>26</v>
      </c>
      <c r="D37" s="1160">
        <f>'12. Разходи'!D37-'12. Разходи'!$C37</f>
        <v>0</v>
      </c>
      <c r="E37" s="1140">
        <f>IFERROR(('12. Разходи'!D37-'12. Разходи'!$C37)/'12. Разходи'!$C37,0)</f>
        <v>0</v>
      </c>
      <c r="F37" s="926">
        <f>'12. Разходи'!E37-'12. Разходи'!$C37</f>
        <v>0</v>
      </c>
      <c r="G37" s="1148">
        <f>IFERROR(('12. Разходи'!E37-'12. Разходи'!$C37)/'12. Разходи'!$C37,0)</f>
        <v>0</v>
      </c>
      <c r="H37" s="926">
        <f>'12. Разходи'!F37-'12. Разходи'!$C37</f>
        <v>0</v>
      </c>
      <c r="I37" s="1148">
        <f>IFERROR(('12. Разходи'!F37-'12. Разходи'!$C37)/'12. Разходи'!$C37,0)</f>
        <v>0</v>
      </c>
      <c r="J37" s="926">
        <f>'12. Разходи'!G37-'12. Разходи'!$C37</f>
        <v>0</v>
      </c>
      <c r="K37" s="1147">
        <f>IFERROR(('12. Разходи'!G37-'12. Разходи'!$C37)/'12. Разходи'!$C37,0)</f>
        <v>0</v>
      </c>
      <c r="L37" s="1155">
        <f>'12. Разходи'!H37-'12. Разходи'!$C37</f>
        <v>0</v>
      </c>
      <c r="M37" s="1147">
        <f>IFERROR(('12. Разходи'!H37-'12. Разходи'!$C37)/'12. Разходи'!$C37,0)</f>
        <v>0</v>
      </c>
      <c r="N37" s="1196">
        <f>'12. Разходи'!K37</f>
        <v>6</v>
      </c>
      <c r="O37" s="1160">
        <f>'12. Разходи'!L37-'12. Разходи'!$K37</f>
        <v>0</v>
      </c>
      <c r="P37" s="1140">
        <f>IFERROR(('12. Разходи'!L37-'12. Разходи'!$K37)/'12. Разходи'!$K37,0)</f>
        <v>0</v>
      </c>
      <c r="Q37" s="926">
        <f>'12. Разходи'!M37-'12. Разходи'!$K37</f>
        <v>0</v>
      </c>
      <c r="R37" s="1148">
        <f>IFERROR(('12. Разходи'!M37-'12. Разходи'!$K37)/'12. Разходи'!$K37,0)</f>
        <v>0</v>
      </c>
      <c r="S37" s="926">
        <f>'12. Разходи'!N37-'12. Разходи'!$K37</f>
        <v>0</v>
      </c>
      <c r="T37" s="1148">
        <f>IFERROR(('12. Разходи'!N37-'12. Разходи'!$K37)/'12. Разходи'!$K37,0)</f>
        <v>0</v>
      </c>
      <c r="U37" s="926">
        <f>'12. Разходи'!O37-'12. Разходи'!$K37</f>
        <v>0</v>
      </c>
      <c r="V37" s="1147">
        <f>IFERROR(('12. Разходи'!O37-'12. Разходи'!$K37)/'12. Разходи'!$K37,0)</f>
        <v>0</v>
      </c>
      <c r="W37" s="1155">
        <f>'12. Разходи'!P37-'12. Разходи'!$K37</f>
        <v>0</v>
      </c>
      <c r="X37" s="1202">
        <f>IFERROR(('12. Разходи'!P37-'12. Разходи'!$K37)/'12. Разходи'!$K37,0)</f>
        <v>0</v>
      </c>
      <c r="Y37" s="1196">
        <f>'12. Разходи'!S37</f>
        <v>7</v>
      </c>
      <c r="Z37" s="1160">
        <f>'12. Разходи'!T37-'12. Разходи'!$S37</f>
        <v>0</v>
      </c>
      <c r="AA37" s="1140">
        <f>IFERROR(('12. Разходи'!T37-'12. Разходи'!$S37)/'12. Разходи'!$S37,0)</f>
        <v>0</v>
      </c>
      <c r="AB37" s="926">
        <f>'12. Разходи'!U37-'12. Разходи'!$S37</f>
        <v>0</v>
      </c>
      <c r="AC37" s="1148">
        <f>IFERROR(('12. Разходи'!U37-'12. Разходи'!$S37)/'12. Разходи'!$S37,0)</f>
        <v>0</v>
      </c>
      <c r="AD37" s="926">
        <f>'12. Разходи'!V37-'12. Разходи'!$S37</f>
        <v>0</v>
      </c>
      <c r="AE37" s="1148">
        <f>IFERROR(('12. Разходи'!V37-'12. Разходи'!$S37)/'12. Разходи'!$S37,0)</f>
        <v>0</v>
      </c>
      <c r="AF37" s="926">
        <f>'12. Разходи'!W37-'12. Разходи'!$S37</f>
        <v>0</v>
      </c>
      <c r="AG37" s="1147">
        <f>IFERROR(('12. Разходи'!W37-'12. Разходи'!$S37)/'12. Разходи'!$S37,0)</f>
        <v>0</v>
      </c>
      <c r="AH37" s="1155">
        <f>'12. Разходи'!X37-'12. Разходи'!$S37</f>
        <v>0</v>
      </c>
      <c r="AI37" s="1202">
        <f>IFERROR(('12. Разходи'!X37-'12. Разходи'!$S37)/'12. Разходи'!$S37,0)</f>
        <v>0</v>
      </c>
      <c r="AJ37" s="1196">
        <f>'12. Разходи'!AA37</f>
        <v>0</v>
      </c>
      <c r="AK37" s="1160">
        <f>'12. Разходи'!AB37-'12. Разходи'!$AA37</f>
        <v>0</v>
      </c>
      <c r="AL37" s="1140">
        <f>IFERROR(('12. Разходи'!AB37-'12. Разходи'!$AA37)/'12. Разходи'!$AA37,0)</f>
        <v>0</v>
      </c>
      <c r="AM37" s="926">
        <f>'12. Разходи'!AC37-'12. Разходи'!$AA37</f>
        <v>0</v>
      </c>
      <c r="AN37" s="1148">
        <f>IFERROR(('12. Разходи'!AC37-'12. Разходи'!$AA37)/'12. Разходи'!$AA37,0)</f>
        <v>0</v>
      </c>
      <c r="AO37" s="926">
        <f>'12. Разходи'!AD37-'12. Разходи'!$AA37</f>
        <v>0</v>
      </c>
      <c r="AP37" s="1148">
        <f>IFERROR(('12. Разходи'!AD37-'12. Разходи'!$AA37)/'12. Разходи'!$AA37,0)</f>
        <v>0</v>
      </c>
      <c r="AQ37" s="926">
        <f>'12. Разходи'!AE37-'12. Разходи'!$AA37</f>
        <v>0</v>
      </c>
      <c r="AR37" s="1147">
        <f>IFERROR(('12. Разходи'!AE37-'12. Разходи'!$AA37)/'12. Разходи'!$AA37,0)</f>
        <v>0</v>
      </c>
      <c r="AS37" s="1155">
        <f>'12. Разходи'!AF37-'12. Разходи'!$AA37</f>
        <v>0</v>
      </c>
      <c r="AT37" s="1202">
        <f>IFERROR(('12. Разходи'!AF37-'12. Разходи'!$AA37)/'12. Разходи'!$AA37,0)</f>
        <v>0</v>
      </c>
      <c r="AU37" s="1196">
        <f>'12. Разходи'!AI37</f>
        <v>0</v>
      </c>
      <c r="AV37" s="1160">
        <f>'12. Разходи'!AJ37-'12. Разходи'!$AI37</f>
        <v>0</v>
      </c>
      <c r="AW37" s="1140">
        <f>IFERROR(('12. Разходи'!AJ37-'12. Разходи'!$AI37)/'12. Разходи'!$AI37,0)</f>
        <v>0</v>
      </c>
      <c r="AX37" s="926">
        <f>'12. Разходи'!AK37-'12. Разходи'!$AI37</f>
        <v>0</v>
      </c>
      <c r="AY37" s="1148">
        <f>IFERROR(('12. Разходи'!AK37-'12. Разходи'!$AI37)/'12. Разходи'!$AI37,0)</f>
        <v>0</v>
      </c>
      <c r="AZ37" s="926">
        <f>'12. Разходи'!AL37-'12. Разходи'!$AI37</f>
        <v>0</v>
      </c>
      <c r="BA37" s="1148">
        <f>IFERROR(('12. Разходи'!AL37-'12. Разходи'!$AI37)/'12. Разходи'!$AI37,0)</f>
        <v>0</v>
      </c>
      <c r="BB37" s="926">
        <f>'12. Разходи'!AM37-'12. Разходи'!$AI37</f>
        <v>0</v>
      </c>
      <c r="BC37" s="1147">
        <f>IFERROR(('12. Разходи'!AM37-'12. Разходи'!$AI37)/'12. Разходи'!$AI37,0)</f>
        <v>0</v>
      </c>
      <c r="BD37" s="1155">
        <f>'12. Разходи'!AN37-'12. Разходи'!$AI37</f>
        <v>0</v>
      </c>
      <c r="BE37" s="1202">
        <f>IFERROR(('12. Разходи'!AN37-'12. Разходи'!$AI37)/'12. Разходи'!$AI37,0)</f>
        <v>0</v>
      </c>
      <c r="BF37" s="4775"/>
      <c r="BG37" s="4794">
        <f t="shared" si="1"/>
        <v>13.293588911101681</v>
      </c>
      <c r="BH37" s="4794">
        <f t="shared" si="2"/>
        <v>0</v>
      </c>
      <c r="BI37" s="4794">
        <f t="shared" si="3"/>
        <v>0</v>
      </c>
      <c r="BJ37" s="4794">
        <f t="shared" si="4"/>
        <v>0</v>
      </c>
      <c r="BK37" s="4794">
        <f t="shared" si="5"/>
        <v>0</v>
      </c>
      <c r="BL37" s="4794">
        <f t="shared" si="6"/>
        <v>0</v>
      </c>
      <c r="BM37" s="4794">
        <f t="shared" si="7"/>
        <v>3.0677512871773112</v>
      </c>
      <c r="BN37" s="4794">
        <f t="shared" si="8"/>
        <v>0</v>
      </c>
      <c r="BO37" s="4794">
        <f t="shared" si="9"/>
        <v>0</v>
      </c>
      <c r="BP37" s="4794">
        <f t="shared" si="10"/>
        <v>0</v>
      </c>
      <c r="BQ37" s="4794">
        <f t="shared" si="11"/>
        <v>0</v>
      </c>
      <c r="BR37" s="4794">
        <f t="shared" si="12"/>
        <v>0</v>
      </c>
      <c r="BS37" s="4794">
        <f t="shared" si="13"/>
        <v>3.5790431683735293</v>
      </c>
      <c r="BT37" s="4794">
        <f t="shared" si="14"/>
        <v>0</v>
      </c>
      <c r="BU37" s="4794">
        <f t="shared" si="15"/>
        <v>0</v>
      </c>
      <c r="BV37" s="4794">
        <f t="shared" si="16"/>
        <v>0</v>
      </c>
      <c r="BW37" s="4794">
        <f t="shared" si="17"/>
        <v>0</v>
      </c>
      <c r="BX37" s="4794">
        <f t="shared" si="18"/>
        <v>0</v>
      </c>
      <c r="BY37" s="4794">
        <f t="shared" si="19"/>
        <v>0</v>
      </c>
      <c r="BZ37" s="4794">
        <f t="shared" si="20"/>
        <v>0</v>
      </c>
      <c r="CA37" s="4794">
        <f t="shared" si="21"/>
        <v>0</v>
      </c>
      <c r="CB37" s="4794">
        <f t="shared" si="22"/>
        <v>0</v>
      </c>
      <c r="CC37" s="4794">
        <f t="shared" si="23"/>
        <v>0</v>
      </c>
      <c r="CD37" s="4794">
        <f t="shared" si="24"/>
        <v>0</v>
      </c>
      <c r="CE37" s="4794">
        <f t="shared" si="25"/>
        <v>0</v>
      </c>
      <c r="CF37" s="4794">
        <f t="shared" si="26"/>
        <v>0</v>
      </c>
      <c r="CG37" s="4794">
        <f t="shared" si="27"/>
        <v>0</v>
      </c>
      <c r="CH37" s="4794">
        <f t="shared" si="28"/>
        <v>0</v>
      </c>
      <c r="CI37" s="4794">
        <f t="shared" si="29"/>
        <v>0</v>
      </c>
      <c r="CJ37" s="4794">
        <f t="shared" si="30"/>
        <v>0</v>
      </c>
    </row>
    <row r="38" spans="1:88" ht="15.95" customHeight="1">
      <c r="A38" s="854" t="s">
        <v>252</v>
      </c>
      <c r="B38" s="915" t="s">
        <v>441</v>
      </c>
      <c r="C38" s="1204">
        <f>'12. Разходи'!C38</f>
        <v>31</v>
      </c>
      <c r="D38" s="1161">
        <f>'12. Разходи'!D38-'12. Разходи'!$C38</f>
        <v>0</v>
      </c>
      <c r="E38" s="897">
        <f>IFERROR(('12. Разходи'!D38-'12. Разходи'!$C38)/'12. Разходи'!$C38,0)</f>
        <v>0</v>
      </c>
      <c r="F38" s="1154">
        <f>'12. Разходи'!E38-'12. Разходи'!$C38</f>
        <v>0</v>
      </c>
      <c r="G38" s="897">
        <f>IFERROR(('12. Разходи'!E38-'12. Разходи'!$C38)/'12. Разходи'!$C38,0)</f>
        <v>0</v>
      </c>
      <c r="H38" s="1154">
        <f>'12. Разходи'!F38-'12. Разходи'!$C38</f>
        <v>0</v>
      </c>
      <c r="I38" s="897">
        <f>IFERROR(('12. Разходи'!F38-'12. Разходи'!$C38)/'12. Разходи'!$C38,0)</f>
        <v>0</v>
      </c>
      <c r="J38" s="1154">
        <f>'12. Разходи'!G38-'12. Разходи'!$C38</f>
        <v>0</v>
      </c>
      <c r="K38" s="904">
        <f>IFERROR(('12. Разходи'!G38-'12. Разходи'!$C38)/'12. Разходи'!$C38,0)</f>
        <v>0</v>
      </c>
      <c r="L38" s="1154">
        <f>'12. Разходи'!H38-'12. Разходи'!$C38</f>
        <v>0</v>
      </c>
      <c r="M38" s="904">
        <f>IFERROR(('12. Разходи'!H38-'12. Разходи'!$C38)/'12. Разходи'!$C38,0)</f>
        <v>0</v>
      </c>
      <c r="N38" s="1183">
        <f>'12. Разходи'!K38</f>
        <v>8</v>
      </c>
      <c r="O38" s="1161">
        <f>'12. Разходи'!L38-'12. Разходи'!$K38</f>
        <v>0</v>
      </c>
      <c r="P38" s="897">
        <f>IFERROR(('12. Разходи'!L38-'12. Разходи'!$K38)/'12. Разходи'!$K38,0)</f>
        <v>0</v>
      </c>
      <c r="Q38" s="1154">
        <f>'12. Разходи'!M38-'12. Разходи'!$K38</f>
        <v>0</v>
      </c>
      <c r="R38" s="897">
        <f>IFERROR(('12. Разходи'!M38-'12. Разходи'!$K38)/'12. Разходи'!$K38,0)</f>
        <v>0</v>
      </c>
      <c r="S38" s="1154">
        <f>'12. Разходи'!N38-'12. Разходи'!$K38</f>
        <v>0</v>
      </c>
      <c r="T38" s="897">
        <f>IFERROR(('12. Разходи'!N38-'12. Разходи'!$K38)/'12. Разходи'!$K38,0)</f>
        <v>0</v>
      </c>
      <c r="U38" s="1154">
        <f>'12. Разходи'!O38-'12. Разходи'!$K38</f>
        <v>0</v>
      </c>
      <c r="V38" s="904">
        <f>IFERROR(('12. Разходи'!O38-'12. Разходи'!$K38)/'12. Разходи'!$K38,0)</f>
        <v>0</v>
      </c>
      <c r="W38" s="1154">
        <f>'12. Разходи'!P38-'12. Разходи'!$K38</f>
        <v>0</v>
      </c>
      <c r="X38" s="725">
        <f>IFERROR(('12. Разходи'!P38-'12. Разходи'!$K38)/'12. Разходи'!$K38,0)</f>
        <v>0</v>
      </c>
      <c r="Y38" s="1183">
        <f>'12. Разходи'!S38</f>
        <v>8</v>
      </c>
      <c r="Z38" s="1161">
        <f>'12. Разходи'!T38-'12. Разходи'!$S38</f>
        <v>0</v>
      </c>
      <c r="AA38" s="897">
        <f>IFERROR(('12. Разходи'!T38-'12. Разходи'!$S38)/'12. Разходи'!$S38,0)</f>
        <v>0</v>
      </c>
      <c r="AB38" s="1154">
        <f>'12. Разходи'!U38-'12. Разходи'!$S38</f>
        <v>0</v>
      </c>
      <c r="AC38" s="897">
        <f>IFERROR(('12. Разходи'!U38-'12. Разходи'!$S38)/'12. Разходи'!$S38,0)</f>
        <v>0</v>
      </c>
      <c r="AD38" s="1154">
        <f>'12. Разходи'!V38-'12. Разходи'!$S38</f>
        <v>0</v>
      </c>
      <c r="AE38" s="897">
        <f>IFERROR(('12. Разходи'!V38-'12. Разходи'!$S38)/'12. Разходи'!$S38,0)</f>
        <v>0</v>
      </c>
      <c r="AF38" s="1154">
        <f>'12. Разходи'!W38-'12. Разходи'!$S38</f>
        <v>0</v>
      </c>
      <c r="AG38" s="904">
        <f>IFERROR(('12. Разходи'!W38-'12. Разходи'!$S38)/'12. Разходи'!$S38,0)</f>
        <v>0</v>
      </c>
      <c r="AH38" s="1154">
        <f>'12. Разходи'!X38-'12. Разходи'!$S38</f>
        <v>0</v>
      </c>
      <c r="AI38" s="725">
        <f>IFERROR(('12. Разходи'!X38-'12. Разходи'!$S38)/'12. Разходи'!$S38,0)</f>
        <v>0</v>
      </c>
      <c r="AJ38" s="1183">
        <f>'12. Разходи'!AA38</f>
        <v>0</v>
      </c>
      <c r="AK38" s="1161">
        <f>'12. Разходи'!AB38-'12. Разходи'!$AA38</f>
        <v>0</v>
      </c>
      <c r="AL38" s="897">
        <f>IFERROR(('12. Разходи'!AB38-'12. Разходи'!$AA38)/'12. Разходи'!$AA38,0)</f>
        <v>0</v>
      </c>
      <c r="AM38" s="1154">
        <f>'12. Разходи'!AC38-'12. Разходи'!$AA38</f>
        <v>0</v>
      </c>
      <c r="AN38" s="897">
        <f>IFERROR(('12. Разходи'!AC38-'12. Разходи'!$AA38)/'12. Разходи'!$AA38,0)</f>
        <v>0</v>
      </c>
      <c r="AO38" s="1154">
        <f>'12. Разходи'!AD38-'12. Разходи'!$AA38</f>
        <v>0</v>
      </c>
      <c r="AP38" s="897">
        <f>IFERROR(('12. Разходи'!AD38-'12. Разходи'!$AA38)/'12. Разходи'!$AA38,0)</f>
        <v>0</v>
      </c>
      <c r="AQ38" s="1154">
        <f>'12. Разходи'!AE38-'12. Разходи'!$AA38</f>
        <v>0</v>
      </c>
      <c r="AR38" s="904">
        <f>IFERROR(('12. Разходи'!AE38-'12. Разходи'!$AA38)/'12. Разходи'!$AA38,0)</f>
        <v>0</v>
      </c>
      <c r="AS38" s="1154">
        <f>'12. Разходи'!AF38-'12. Разходи'!$AA38</f>
        <v>0</v>
      </c>
      <c r="AT38" s="725">
        <f>IFERROR(('12. Разходи'!AF38-'12. Разходи'!$AA38)/'12. Разходи'!$AA38,0)</f>
        <v>0</v>
      </c>
      <c r="AU38" s="1183">
        <f>'12. Разходи'!AI38</f>
        <v>0</v>
      </c>
      <c r="AV38" s="1161">
        <f>'12. Разходи'!AJ38-'12. Разходи'!$AI38</f>
        <v>0</v>
      </c>
      <c r="AW38" s="897">
        <f>IFERROR(('12. Разходи'!AJ38-'12. Разходи'!$AI38)/'12. Разходи'!$AI38,0)</f>
        <v>0</v>
      </c>
      <c r="AX38" s="1154">
        <f>'12. Разходи'!AK38-'12. Разходи'!$AI38</f>
        <v>0</v>
      </c>
      <c r="AY38" s="897">
        <f>IFERROR(('12. Разходи'!AK38-'12. Разходи'!$AI38)/'12. Разходи'!$AI38,0)</f>
        <v>0</v>
      </c>
      <c r="AZ38" s="1154">
        <f>'12. Разходи'!AL38-'12. Разходи'!$AI38</f>
        <v>0</v>
      </c>
      <c r="BA38" s="897">
        <f>IFERROR(('12. Разходи'!AL38-'12. Разходи'!$AI38)/'12. Разходи'!$AI38,0)</f>
        <v>0</v>
      </c>
      <c r="BB38" s="1154">
        <f>'12. Разходи'!AM38-'12. Разходи'!$AI38</f>
        <v>0</v>
      </c>
      <c r="BC38" s="904">
        <f>IFERROR(('12. Разходи'!AM38-'12. Разходи'!$AI38)/'12. Разходи'!$AI38,0)</f>
        <v>0</v>
      </c>
      <c r="BD38" s="1154">
        <f>'12. Разходи'!AN38-'12. Разходи'!$AI38</f>
        <v>0</v>
      </c>
      <c r="BE38" s="725">
        <f>IFERROR(('12. Разходи'!AN38-'12. Разходи'!$AI38)/'12. Разходи'!$AI38,0)</f>
        <v>0</v>
      </c>
      <c r="BF38" s="4775"/>
      <c r="BG38" s="4794">
        <f t="shared" si="1"/>
        <v>15.850048317082774</v>
      </c>
      <c r="BH38" s="4794">
        <f t="shared" si="2"/>
        <v>0</v>
      </c>
      <c r="BI38" s="4794">
        <f t="shared" si="3"/>
        <v>0</v>
      </c>
      <c r="BJ38" s="4794">
        <f t="shared" si="4"/>
        <v>0</v>
      </c>
      <c r="BK38" s="4794">
        <f t="shared" si="5"/>
        <v>0</v>
      </c>
      <c r="BL38" s="4794">
        <f t="shared" si="6"/>
        <v>0</v>
      </c>
      <c r="BM38" s="4794">
        <f t="shared" si="7"/>
        <v>4.0903350495697479</v>
      </c>
      <c r="BN38" s="4794">
        <f t="shared" si="8"/>
        <v>0</v>
      </c>
      <c r="BO38" s="4794">
        <f t="shared" si="9"/>
        <v>0</v>
      </c>
      <c r="BP38" s="4794">
        <f t="shared" si="10"/>
        <v>0</v>
      </c>
      <c r="BQ38" s="4794">
        <f t="shared" si="11"/>
        <v>0</v>
      </c>
      <c r="BR38" s="4794">
        <f t="shared" si="12"/>
        <v>0</v>
      </c>
      <c r="BS38" s="4794">
        <f t="shared" si="13"/>
        <v>4.0903350495697479</v>
      </c>
      <c r="BT38" s="4794">
        <f t="shared" si="14"/>
        <v>0</v>
      </c>
      <c r="BU38" s="4794">
        <f t="shared" si="15"/>
        <v>0</v>
      </c>
      <c r="BV38" s="4794">
        <f t="shared" si="16"/>
        <v>0</v>
      </c>
      <c r="BW38" s="4794">
        <f t="shared" si="17"/>
        <v>0</v>
      </c>
      <c r="BX38" s="4794">
        <f t="shared" si="18"/>
        <v>0</v>
      </c>
      <c r="BY38" s="4794">
        <f t="shared" si="19"/>
        <v>0</v>
      </c>
      <c r="BZ38" s="4794">
        <f t="shared" si="20"/>
        <v>0</v>
      </c>
      <c r="CA38" s="4794">
        <f t="shared" si="21"/>
        <v>0</v>
      </c>
      <c r="CB38" s="4794">
        <f t="shared" si="22"/>
        <v>0</v>
      </c>
      <c r="CC38" s="4794">
        <f t="shared" si="23"/>
        <v>0</v>
      </c>
      <c r="CD38" s="4794">
        <f t="shared" si="24"/>
        <v>0</v>
      </c>
      <c r="CE38" s="4794">
        <f t="shared" si="25"/>
        <v>0</v>
      </c>
      <c r="CF38" s="4794">
        <f t="shared" si="26"/>
        <v>0</v>
      </c>
      <c r="CG38" s="4794">
        <f t="shared" si="27"/>
        <v>0</v>
      </c>
      <c r="CH38" s="4794">
        <f t="shared" si="28"/>
        <v>0</v>
      </c>
      <c r="CI38" s="4794">
        <f t="shared" si="29"/>
        <v>0</v>
      </c>
      <c r="CJ38" s="4794">
        <f t="shared" si="30"/>
        <v>0</v>
      </c>
    </row>
    <row r="39" spans="1:88" s="1217" customFormat="1" ht="15.95" customHeight="1">
      <c r="A39" s="1220" t="s">
        <v>1222</v>
      </c>
      <c r="B39" s="1221" t="s">
        <v>253</v>
      </c>
      <c r="C39" s="1222">
        <f>'12. Разходи'!C39</f>
        <v>11</v>
      </c>
      <c r="D39" s="1229">
        <f>'12. Разходи'!D39-'12. Разходи'!$C39</f>
        <v>0</v>
      </c>
      <c r="E39" s="1224">
        <f>IFERROR(('12. Разходи'!D39-'12. Разходи'!$C39)/'12. Разходи'!$C39,0)</f>
        <v>0</v>
      </c>
      <c r="F39" s="1223">
        <f>'12. Разходи'!E39-'12. Разходи'!$C39</f>
        <v>0</v>
      </c>
      <c r="G39" s="1230">
        <f>IFERROR(('12. Разходи'!E39-'12. Разходи'!$C39)/'12. Разходи'!$C39,0)</f>
        <v>0</v>
      </c>
      <c r="H39" s="1223">
        <f>'12. Разходи'!F39-'12. Разходи'!$C39</f>
        <v>0</v>
      </c>
      <c r="I39" s="1230">
        <f>IFERROR(('12. Разходи'!F39-'12. Разходи'!$C39)/'12. Разходи'!$C39,0)</f>
        <v>0</v>
      </c>
      <c r="J39" s="1223">
        <f>'12. Разходи'!G39-'12. Разходи'!$C39</f>
        <v>0</v>
      </c>
      <c r="K39" s="1231">
        <f>IFERROR(('12. Разходи'!G39-'12. Разходи'!$C39)/'12. Разходи'!$C39,0)</f>
        <v>0</v>
      </c>
      <c r="L39" s="1225">
        <f>'12. Разходи'!H39-'12. Разходи'!$C39</f>
        <v>0</v>
      </c>
      <c r="M39" s="1231">
        <f>IFERROR(('12. Разходи'!H39-'12. Разходи'!$C39)/'12. Разходи'!$C39,0)</f>
        <v>0</v>
      </c>
      <c r="N39" s="1227">
        <f>'12. Разходи'!K39</f>
        <v>3</v>
      </c>
      <c r="O39" s="1229">
        <f>'12. Разходи'!L39-'12. Разходи'!$K39</f>
        <v>0</v>
      </c>
      <c r="P39" s="1224">
        <f>IFERROR(('12. Разходи'!L39-'12. Разходи'!$K39)/'12. Разходи'!$K39,0)</f>
        <v>0</v>
      </c>
      <c r="Q39" s="1223">
        <f>'12. Разходи'!M39-'12. Разходи'!$K39</f>
        <v>0</v>
      </c>
      <c r="R39" s="1230">
        <f>IFERROR(('12. Разходи'!M39-'12. Разходи'!$K39)/'12. Разходи'!$K39,0)</f>
        <v>0</v>
      </c>
      <c r="S39" s="1223">
        <f>'12. Разходи'!N39-'12. Разходи'!$K39</f>
        <v>0</v>
      </c>
      <c r="T39" s="1230">
        <f>IFERROR(('12. Разходи'!N39-'12. Разходи'!$K39)/'12. Разходи'!$K39,0)</f>
        <v>0</v>
      </c>
      <c r="U39" s="1223">
        <f>'12. Разходи'!O39-'12. Разходи'!$K39</f>
        <v>0</v>
      </c>
      <c r="V39" s="1231">
        <f>IFERROR(('12. Разходи'!O39-'12. Разходи'!$K39)/'12. Разходи'!$K39,0)</f>
        <v>0</v>
      </c>
      <c r="W39" s="1225">
        <f>'12. Разходи'!P39-'12. Разходи'!$K39</f>
        <v>0</v>
      </c>
      <c r="X39" s="1232">
        <f>IFERROR(('12. Разходи'!P39-'12. Разходи'!$K39)/'12. Разходи'!$K39,0)</f>
        <v>0</v>
      </c>
      <c r="Y39" s="1227">
        <f>'12. Разходи'!S39</f>
        <v>3</v>
      </c>
      <c r="Z39" s="1229">
        <f>'12. Разходи'!T39-'12. Разходи'!$S39</f>
        <v>0</v>
      </c>
      <c r="AA39" s="1224">
        <f>IFERROR(('12. Разходи'!T39-'12. Разходи'!$S39)/'12. Разходи'!$S39,0)</f>
        <v>0</v>
      </c>
      <c r="AB39" s="1223">
        <f>'12. Разходи'!U39-'12. Разходи'!$S39</f>
        <v>0</v>
      </c>
      <c r="AC39" s="1230">
        <f>IFERROR(('12. Разходи'!U39-'12. Разходи'!$S39)/'12. Разходи'!$S39,0)</f>
        <v>0</v>
      </c>
      <c r="AD39" s="1223">
        <f>'12. Разходи'!V39-'12. Разходи'!$S39</f>
        <v>0</v>
      </c>
      <c r="AE39" s="1230">
        <f>IFERROR(('12. Разходи'!V39-'12. Разходи'!$S39)/'12. Разходи'!$S39,0)</f>
        <v>0</v>
      </c>
      <c r="AF39" s="1223">
        <f>'12. Разходи'!W39-'12. Разходи'!$S39</f>
        <v>0</v>
      </c>
      <c r="AG39" s="1231">
        <f>IFERROR(('12. Разходи'!W39-'12. Разходи'!$S39)/'12. Разходи'!$S39,0)</f>
        <v>0</v>
      </c>
      <c r="AH39" s="1225">
        <f>'12. Разходи'!X39-'12. Разходи'!$S39</f>
        <v>0</v>
      </c>
      <c r="AI39" s="1232">
        <f>IFERROR(('12. Разходи'!X39-'12. Разходи'!$S39)/'12. Разходи'!$S39,0)</f>
        <v>0</v>
      </c>
      <c r="AJ39" s="1227">
        <f>'12. Разходи'!AA39</f>
        <v>0</v>
      </c>
      <c r="AK39" s="1229">
        <f>'12. Разходи'!AB39-'12. Разходи'!$AA39</f>
        <v>0</v>
      </c>
      <c r="AL39" s="1224">
        <f>IFERROR(('12. Разходи'!AB39-'12. Разходи'!$AA39)/'12. Разходи'!$AA39,0)</f>
        <v>0</v>
      </c>
      <c r="AM39" s="1223">
        <f>'12. Разходи'!AC39-'12. Разходи'!$AA39</f>
        <v>0</v>
      </c>
      <c r="AN39" s="1230">
        <f>IFERROR(('12. Разходи'!AC39-'12. Разходи'!$AA39)/'12. Разходи'!$AA39,0)</f>
        <v>0</v>
      </c>
      <c r="AO39" s="1223">
        <f>'12. Разходи'!AD39-'12. Разходи'!$AA39</f>
        <v>0</v>
      </c>
      <c r="AP39" s="1230">
        <f>IFERROR(('12. Разходи'!AD39-'12. Разходи'!$AA39)/'12. Разходи'!$AA39,0)</f>
        <v>0</v>
      </c>
      <c r="AQ39" s="1223">
        <f>'12. Разходи'!AE39-'12. Разходи'!$AA39</f>
        <v>0</v>
      </c>
      <c r="AR39" s="1231">
        <f>IFERROR(('12. Разходи'!AE39-'12. Разходи'!$AA39)/'12. Разходи'!$AA39,0)</f>
        <v>0</v>
      </c>
      <c r="AS39" s="1225">
        <f>'12. Разходи'!AF39-'12. Разходи'!$AA39</f>
        <v>0</v>
      </c>
      <c r="AT39" s="1232">
        <f>IFERROR(('12. Разходи'!AF39-'12. Разходи'!$AA39)/'12. Разходи'!$AA39,0)</f>
        <v>0</v>
      </c>
      <c r="AU39" s="1227">
        <f>'12. Разходи'!AI39</f>
        <v>0</v>
      </c>
      <c r="AV39" s="1229">
        <f>'12. Разходи'!AJ39-'12. Разходи'!$AI39</f>
        <v>0</v>
      </c>
      <c r="AW39" s="1224">
        <f>IFERROR(('12. Разходи'!AJ39-'12. Разходи'!$AI39)/'12. Разходи'!$AI39,0)</f>
        <v>0</v>
      </c>
      <c r="AX39" s="1223">
        <f>'12. Разходи'!AK39-'12. Разходи'!$AI39</f>
        <v>0</v>
      </c>
      <c r="AY39" s="1230">
        <f>IFERROR(('12. Разходи'!AK39-'12. Разходи'!$AI39)/'12. Разходи'!$AI39,0)</f>
        <v>0</v>
      </c>
      <c r="AZ39" s="1223">
        <f>'12. Разходи'!AL39-'12. Разходи'!$AI39</f>
        <v>0</v>
      </c>
      <c r="BA39" s="1230">
        <f>IFERROR(('12. Разходи'!AL39-'12. Разходи'!$AI39)/'12. Разходи'!$AI39,0)</f>
        <v>0</v>
      </c>
      <c r="BB39" s="1223">
        <f>'12. Разходи'!AM39-'12. Разходи'!$AI39</f>
        <v>0</v>
      </c>
      <c r="BC39" s="1231">
        <f>IFERROR(('12. Разходи'!AM39-'12. Разходи'!$AI39)/'12. Разходи'!$AI39,0)</f>
        <v>0</v>
      </c>
      <c r="BD39" s="1225">
        <f>'12. Разходи'!AN39-'12. Разходи'!$AI39</f>
        <v>0</v>
      </c>
      <c r="BE39" s="1232">
        <f>IFERROR(('12. Разходи'!AN39-'12. Разходи'!$AI39)/'12. Разходи'!$AI39,0)</f>
        <v>0</v>
      </c>
      <c r="BF39" s="4775"/>
      <c r="BG39" s="4794">
        <f t="shared" si="1"/>
        <v>5.6242106931584033</v>
      </c>
      <c r="BH39" s="4794">
        <f t="shared" si="2"/>
        <v>0</v>
      </c>
      <c r="BI39" s="4794">
        <f t="shared" si="3"/>
        <v>0</v>
      </c>
      <c r="BJ39" s="4794">
        <f t="shared" si="4"/>
        <v>0</v>
      </c>
      <c r="BK39" s="4794">
        <f t="shared" si="5"/>
        <v>0</v>
      </c>
      <c r="BL39" s="4794">
        <f t="shared" si="6"/>
        <v>0</v>
      </c>
      <c r="BM39" s="4794">
        <f t="shared" si="7"/>
        <v>1.5338756435886556</v>
      </c>
      <c r="BN39" s="4794">
        <f t="shared" si="8"/>
        <v>0</v>
      </c>
      <c r="BO39" s="4794">
        <f t="shared" si="9"/>
        <v>0</v>
      </c>
      <c r="BP39" s="4794">
        <f t="shared" si="10"/>
        <v>0</v>
      </c>
      <c r="BQ39" s="4794">
        <f t="shared" si="11"/>
        <v>0</v>
      </c>
      <c r="BR39" s="4794">
        <f t="shared" si="12"/>
        <v>0</v>
      </c>
      <c r="BS39" s="4794">
        <f t="shared" si="13"/>
        <v>1.5338756435886556</v>
      </c>
      <c r="BT39" s="4794">
        <f t="shared" si="14"/>
        <v>0</v>
      </c>
      <c r="BU39" s="4794">
        <f t="shared" si="15"/>
        <v>0</v>
      </c>
      <c r="BV39" s="4794">
        <f t="shared" si="16"/>
        <v>0</v>
      </c>
      <c r="BW39" s="4794">
        <f t="shared" si="17"/>
        <v>0</v>
      </c>
      <c r="BX39" s="4794">
        <f t="shared" si="18"/>
        <v>0</v>
      </c>
      <c r="BY39" s="4794">
        <f t="shared" si="19"/>
        <v>0</v>
      </c>
      <c r="BZ39" s="4794">
        <f t="shared" si="20"/>
        <v>0</v>
      </c>
      <c r="CA39" s="4794">
        <f t="shared" si="21"/>
        <v>0</v>
      </c>
      <c r="CB39" s="4794">
        <f t="shared" si="22"/>
        <v>0</v>
      </c>
      <c r="CC39" s="4794">
        <f t="shared" si="23"/>
        <v>0</v>
      </c>
      <c r="CD39" s="4794">
        <f t="shared" si="24"/>
        <v>0</v>
      </c>
      <c r="CE39" s="4794">
        <f t="shared" si="25"/>
        <v>0</v>
      </c>
      <c r="CF39" s="4794">
        <f t="shared" si="26"/>
        <v>0</v>
      </c>
      <c r="CG39" s="4794">
        <f t="shared" si="27"/>
        <v>0</v>
      </c>
      <c r="CH39" s="4794">
        <f t="shared" si="28"/>
        <v>0</v>
      </c>
      <c r="CI39" s="4794">
        <f t="shared" si="29"/>
        <v>0</v>
      </c>
      <c r="CJ39" s="4794">
        <f t="shared" si="30"/>
        <v>0</v>
      </c>
    </row>
    <row r="40" spans="1:88" s="1217" customFormat="1" ht="15.95" customHeight="1">
      <c r="A40" s="1220" t="s">
        <v>1223</v>
      </c>
      <c r="B40" s="1221" t="s">
        <v>254</v>
      </c>
      <c r="C40" s="1222">
        <f>'12. Разходи'!C40</f>
        <v>15</v>
      </c>
      <c r="D40" s="1229">
        <f>'12. Разходи'!D40-'12. Разходи'!$C40</f>
        <v>0</v>
      </c>
      <c r="E40" s="1224">
        <f>IFERROR(('12. Разходи'!D40-'12. Разходи'!$C40)/'12. Разходи'!$C40,0)</f>
        <v>0</v>
      </c>
      <c r="F40" s="1223">
        <f>'12. Разходи'!E40-'12. Разходи'!$C40</f>
        <v>0</v>
      </c>
      <c r="G40" s="1230">
        <f>IFERROR(('12. Разходи'!E40-'12. Разходи'!$C40)/'12. Разходи'!$C40,0)</f>
        <v>0</v>
      </c>
      <c r="H40" s="1223">
        <f>'12. Разходи'!F40-'12. Разходи'!$C40</f>
        <v>0</v>
      </c>
      <c r="I40" s="1230">
        <f>IFERROR(('12. Разходи'!F40-'12. Разходи'!$C40)/'12. Разходи'!$C40,0)</f>
        <v>0</v>
      </c>
      <c r="J40" s="1223">
        <f>'12. Разходи'!G40-'12. Разходи'!$C40</f>
        <v>0</v>
      </c>
      <c r="K40" s="1231">
        <f>IFERROR(('12. Разходи'!G40-'12. Разходи'!$C40)/'12. Разходи'!$C40,0)</f>
        <v>0</v>
      </c>
      <c r="L40" s="1225">
        <f>'12. Разходи'!H40-'12. Разходи'!$C40</f>
        <v>0</v>
      </c>
      <c r="M40" s="1231">
        <f>IFERROR(('12. Разходи'!H40-'12. Разходи'!$C40)/'12. Разходи'!$C40,0)</f>
        <v>0</v>
      </c>
      <c r="N40" s="1227">
        <f>'12. Разходи'!K40</f>
        <v>4</v>
      </c>
      <c r="O40" s="1229">
        <f>'12. Разходи'!L40-'12. Разходи'!$K40</f>
        <v>0</v>
      </c>
      <c r="P40" s="1224">
        <f>IFERROR(('12. Разходи'!L40-'12. Разходи'!$K40)/'12. Разходи'!$K40,0)</f>
        <v>0</v>
      </c>
      <c r="Q40" s="1223">
        <f>'12. Разходи'!M40-'12. Разходи'!$K40</f>
        <v>0</v>
      </c>
      <c r="R40" s="1230">
        <f>IFERROR(('12. Разходи'!M40-'12. Разходи'!$K40)/'12. Разходи'!$K40,0)</f>
        <v>0</v>
      </c>
      <c r="S40" s="1223">
        <f>'12. Разходи'!N40-'12. Разходи'!$K40</f>
        <v>0</v>
      </c>
      <c r="T40" s="1230">
        <f>IFERROR(('12. Разходи'!N40-'12. Разходи'!$K40)/'12. Разходи'!$K40,0)</f>
        <v>0</v>
      </c>
      <c r="U40" s="1223">
        <f>'12. Разходи'!O40-'12. Разходи'!$K40</f>
        <v>0</v>
      </c>
      <c r="V40" s="1231">
        <f>IFERROR(('12. Разходи'!O40-'12. Разходи'!$K40)/'12. Разходи'!$K40,0)</f>
        <v>0</v>
      </c>
      <c r="W40" s="1225">
        <f>'12. Разходи'!P40-'12. Разходи'!$K40</f>
        <v>0</v>
      </c>
      <c r="X40" s="1232">
        <f>IFERROR(('12. Разходи'!P40-'12. Разходи'!$K40)/'12. Разходи'!$K40,0)</f>
        <v>0</v>
      </c>
      <c r="Y40" s="1227">
        <f>'12. Разходи'!S40</f>
        <v>4</v>
      </c>
      <c r="Z40" s="1229">
        <f>'12. Разходи'!T40-'12. Разходи'!$S40</f>
        <v>0</v>
      </c>
      <c r="AA40" s="1224">
        <f>IFERROR(('12. Разходи'!T40-'12. Разходи'!$S40)/'12. Разходи'!$S40,0)</f>
        <v>0</v>
      </c>
      <c r="AB40" s="1223">
        <f>'12. Разходи'!U40-'12. Разходи'!$S40</f>
        <v>0</v>
      </c>
      <c r="AC40" s="1230">
        <f>IFERROR(('12. Разходи'!U40-'12. Разходи'!$S40)/'12. Разходи'!$S40,0)</f>
        <v>0</v>
      </c>
      <c r="AD40" s="1223">
        <f>'12. Разходи'!V40-'12. Разходи'!$S40</f>
        <v>0</v>
      </c>
      <c r="AE40" s="1230">
        <f>IFERROR(('12. Разходи'!V40-'12. Разходи'!$S40)/'12. Разходи'!$S40,0)</f>
        <v>0</v>
      </c>
      <c r="AF40" s="1223">
        <f>'12. Разходи'!W40-'12. Разходи'!$S40</f>
        <v>0</v>
      </c>
      <c r="AG40" s="1231">
        <f>IFERROR(('12. Разходи'!W40-'12. Разходи'!$S40)/'12. Разходи'!$S40,0)</f>
        <v>0</v>
      </c>
      <c r="AH40" s="1225">
        <f>'12. Разходи'!X40-'12. Разходи'!$S40</f>
        <v>0</v>
      </c>
      <c r="AI40" s="1232">
        <f>IFERROR(('12. Разходи'!X40-'12. Разходи'!$S40)/'12. Разходи'!$S40,0)</f>
        <v>0</v>
      </c>
      <c r="AJ40" s="1227">
        <f>'12. Разходи'!AA40</f>
        <v>0</v>
      </c>
      <c r="AK40" s="1229">
        <f>'12. Разходи'!AB40-'12. Разходи'!$AA40</f>
        <v>0</v>
      </c>
      <c r="AL40" s="1224">
        <f>IFERROR(('12. Разходи'!AB40-'12. Разходи'!$AA40)/'12. Разходи'!$AA40,0)</f>
        <v>0</v>
      </c>
      <c r="AM40" s="1223">
        <f>'12. Разходи'!AC40-'12. Разходи'!$AA40</f>
        <v>0</v>
      </c>
      <c r="AN40" s="1230">
        <f>IFERROR(('12. Разходи'!AC40-'12. Разходи'!$AA40)/'12. Разходи'!$AA40,0)</f>
        <v>0</v>
      </c>
      <c r="AO40" s="1223">
        <f>'12. Разходи'!AD40-'12. Разходи'!$AA40</f>
        <v>0</v>
      </c>
      <c r="AP40" s="1230">
        <f>IFERROR(('12. Разходи'!AD40-'12. Разходи'!$AA40)/'12. Разходи'!$AA40,0)</f>
        <v>0</v>
      </c>
      <c r="AQ40" s="1223">
        <f>'12. Разходи'!AE40-'12. Разходи'!$AA40</f>
        <v>0</v>
      </c>
      <c r="AR40" s="1231">
        <f>IFERROR(('12. Разходи'!AE40-'12. Разходи'!$AA40)/'12. Разходи'!$AA40,0)</f>
        <v>0</v>
      </c>
      <c r="AS40" s="1225">
        <f>'12. Разходи'!AF40-'12. Разходи'!$AA40</f>
        <v>0</v>
      </c>
      <c r="AT40" s="1232">
        <f>IFERROR(('12. Разходи'!AF40-'12. Разходи'!$AA40)/'12. Разходи'!$AA40,0)</f>
        <v>0</v>
      </c>
      <c r="AU40" s="1227">
        <f>'12. Разходи'!AI40</f>
        <v>0</v>
      </c>
      <c r="AV40" s="1229">
        <f>'12. Разходи'!AJ40-'12. Разходи'!$AI40</f>
        <v>0</v>
      </c>
      <c r="AW40" s="1224">
        <f>IFERROR(('12. Разходи'!AJ40-'12. Разходи'!$AI40)/'12. Разходи'!$AI40,0)</f>
        <v>0</v>
      </c>
      <c r="AX40" s="1223">
        <f>'12. Разходи'!AK40-'12. Разходи'!$AI40</f>
        <v>0</v>
      </c>
      <c r="AY40" s="1230">
        <f>IFERROR(('12. Разходи'!AK40-'12. Разходи'!$AI40)/'12. Разходи'!$AI40,0)</f>
        <v>0</v>
      </c>
      <c r="AZ40" s="1223">
        <f>'12. Разходи'!AL40-'12. Разходи'!$AI40</f>
        <v>0</v>
      </c>
      <c r="BA40" s="1230">
        <f>IFERROR(('12. Разходи'!AL40-'12. Разходи'!$AI40)/'12. Разходи'!$AI40,0)</f>
        <v>0</v>
      </c>
      <c r="BB40" s="1223">
        <f>'12. Разходи'!AM40-'12. Разходи'!$AI40</f>
        <v>0</v>
      </c>
      <c r="BC40" s="1231">
        <f>IFERROR(('12. Разходи'!AM40-'12. Разходи'!$AI40)/'12. Разходи'!$AI40,0)</f>
        <v>0</v>
      </c>
      <c r="BD40" s="1225">
        <f>'12. Разходи'!AN40-'12. Разходи'!$AI40</f>
        <v>0</v>
      </c>
      <c r="BE40" s="1232">
        <f>IFERROR(('12. Разходи'!AN40-'12. Разходи'!$AI40)/'12. Разходи'!$AI40,0)</f>
        <v>0</v>
      </c>
      <c r="BF40" s="4775"/>
      <c r="BG40" s="4794">
        <f t="shared" si="1"/>
        <v>7.6693782179432777</v>
      </c>
      <c r="BH40" s="4794">
        <f t="shared" si="2"/>
        <v>0</v>
      </c>
      <c r="BI40" s="4794">
        <f t="shared" si="3"/>
        <v>0</v>
      </c>
      <c r="BJ40" s="4794">
        <f t="shared" si="4"/>
        <v>0</v>
      </c>
      <c r="BK40" s="4794">
        <f t="shared" si="5"/>
        <v>0</v>
      </c>
      <c r="BL40" s="4794">
        <f t="shared" si="6"/>
        <v>0</v>
      </c>
      <c r="BM40" s="4794">
        <f t="shared" si="7"/>
        <v>2.045167524784874</v>
      </c>
      <c r="BN40" s="4794">
        <f t="shared" si="8"/>
        <v>0</v>
      </c>
      <c r="BO40" s="4794">
        <f t="shared" si="9"/>
        <v>0</v>
      </c>
      <c r="BP40" s="4794">
        <f t="shared" si="10"/>
        <v>0</v>
      </c>
      <c r="BQ40" s="4794">
        <f t="shared" si="11"/>
        <v>0</v>
      </c>
      <c r="BR40" s="4794">
        <f t="shared" si="12"/>
        <v>0</v>
      </c>
      <c r="BS40" s="4794">
        <f t="shared" si="13"/>
        <v>2.045167524784874</v>
      </c>
      <c r="BT40" s="4794">
        <f t="shared" si="14"/>
        <v>0</v>
      </c>
      <c r="BU40" s="4794">
        <f t="shared" si="15"/>
        <v>0</v>
      </c>
      <c r="BV40" s="4794">
        <f t="shared" si="16"/>
        <v>0</v>
      </c>
      <c r="BW40" s="4794">
        <f t="shared" si="17"/>
        <v>0</v>
      </c>
      <c r="BX40" s="4794">
        <f t="shared" si="18"/>
        <v>0</v>
      </c>
      <c r="BY40" s="4794">
        <f t="shared" si="19"/>
        <v>0</v>
      </c>
      <c r="BZ40" s="4794">
        <f t="shared" si="20"/>
        <v>0</v>
      </c>
      <c r="CA40" s="4794">
        <f t="shared" si="21"/>
        <v>0</v>
      </c>
      <c r="CB40" s="4794">
        <f t="shared" si="22"/>
        <v>0</v>
      </c>
      <c r="CC40" s="4794">
        <f t="shared" si="23"/>
        <v>0</v>
      </c>
      <c r="CD40" s="4794">
        <f t="shared" si="24"/>
        <v>0</v>
      </c>
      <c r="CE40" s="4794">
        <f t="shared" si="25"/>
        <v>0</v>
      </c>
      <c r="CF40" s="4794">
        <f t="shared" si="26"/>
        <v>0</v>
      </c>
      <c r="CG40" s="4794">
        <f t="shared" si="27"/>
        <v>0</v>
      </c>
      <c r="CH40" s="4794">
        <f t="shared" si="28"/>
        <v>0</v>
      </c>
      <c r="CI40" s="4794">
        <f t="shared" si="29"/>
        <v>0</v>
      </c>
      <c r="CJ40" s="4794">
        <f t="shared" si="30"/>
        <v>0</v>
      </c>
    </row>
    <row r="41" spans="1:88" s="1217" customFormat="1" ht="15.95" customHeight="1">
      <c r="A41" s="1220" t="s">
        <v>1224</v>
      </c>
      <c r="B41" s="1221" t="s">
        <v>255</v>
      </c>
      <c r="C41" s="1222">
        <f>'12. Разходи'!C41</f>
        <v>1</v>
      </c>
      <c r="D41" s="1229">
        <f>'12. Разходи'!D41-'12. Разходи'!$C41</f>
        <v>0</v>
      </c>
      <c r="E41" s="1224">
        <f>IFERROR(('12. Разходи'!D41-'12. Разходи'!$C41)/'12. Разходи'!$C41,0)</f>
        <v>0</v>
      </c>
      <c r="F41" s="1223">
        <f>'12. Разходи'!E41-'12. Разходи'!$C41</f>
        <v>0</v>
      </c>
      <c r="G41" s="1230">
        <f>IFERROR(('12. Разходи'!E41-'12. Разходи'!$C41)/'12. Разходи'!$C41,0)</f>
        <v>0</v>
      </c>
      <c r="H41" s="1223">
        <f>'12. Разходи'!F41-'12. Разходи'!$C41</f>
        <v>0</v>
      </c>
      <c r="I41" s="1230">
        <f>IFERROR(('12. Разходи'!F41-'12. Разходи'!$C41)/'12. Разходи'!$C41,0)</f>
        <v>0</v>
      </c>
      <c r="J41" s="1223">
        <f>'12. Разходи'!G41-'12. Разходи'!$C41</f>
        <v>0</v>
      </c>
      <c r="K41" s="1231">
        <f>IFERROR(('12. Разходи'!G41-'12. Разходи'!$C41)/'12. Разходи'!$C41,0)</f>
        <v>0</v>
      </c>
      <c r="L41" s="1225">
        <f>'12. Разходи'!H41-'12. Разходи'!$C41</f>
        <v>0</v>
      </c>
      <c r="M41" s="1231">
        <f>IFERROR(('12. Разходи'!H41-'12. Разходи'!$C41)/'12. Разходи'!$C41,0)</f>
        <v>0</v>
      </c>
      <c r="N41" s="1227">
        <f>'12. Разходи'!K41</f>
        <v>0</v>
      </c>
      <c r="O41" s="1229">
        <f>'12. Разходи'!L41-'12. Разходи'!$K41</f>
        <v>0</v>
      </c>
      <c r="P41" s="1224">
        <f>IFERROR(('12. Разходи'!L41-'12. Разходи'!$K41)/'12. Разходи'!$K41,0)</f>
        <v>0</v>
      </c>
      <c r="Q41" s="1223">
        <f>'12. Разходи'!M41-'12. Разходи'!$K41</f>
        <v>0</v>
      </c>
      <c r="R41" s="1230">
        <f>IFERROR(('12. Разходи'!M41-'12. Разходи'!$K41)/'12. Разходи'!$K41,0)</f>
        <v>0</v>
      </c>
      <c r="S41" s="1223">
        <f>'12. Разходи'!N41-'12. Разходи'!$K41</f>
        <v>0</v>
      </c>
      <c r="T41" s="1230">
        <f>IFERROR(('12. Разходи'!N41-'12. Разходи'!$K41)/'12. Разходи'!$K41,0)</f>
        <v>0</v>
      </c>
      <c r="U41" s="1223">
        <f>'12. Разходи'!O41-'12. Разходи'!$K41</f>
        <v>0</v>
      </c>
      <c r="V41" s="1231">
        <f>IFERROR(('12. Разходи'!O41-'12. Разходи'!$K41)/'12. Разходи'!$K41,0)</f>
        <v>0</v>
      </c>
      <c r="W41" s="1225">
        <f>'12. Разходи'!P41-'12. Разходи'!$K41</f>
        <v>0</v>
      </c>
      <c r="X41" s="1232">
        <f>IFERROR(('12. Разходи'!P41-'12. Разходи'!$K41)/'12. Разходи'!$K41,0)</f>
        <v>0</v>
      </c>
      <c r="Y41" s="1227">
        <f>'12. Разходи'!S41</f>
        <v>0</v>
      </c>
      <c r="Z41" s="1229">
        <f>'12. Разходи'!T41-'12. Разходи'!$S41</f>
        <v>0</v>
      </c>
      <c r="AA41" s="1224">
        <f>IFERROR(('12. Разходи'!T41-'12. Разходи'!$S41)/'12. Разходи'!$S41,0)</f>
        <v>0</v>
      </c>
      <c r="AB41" s="1223">
        <f>'12. Разходи'!U41-'12. Разходи'!$S41</f>
        <v>0</v>
      </c>
      <c r="AC41" s="1230">
        <f>IFERROR(('12. Разходи'!U41-'12. Разходи'!$S41)/'12. Разходи'!$S41,0)</f>
        <v>0</v>
      </c>
      <c r="AD41" s="1223">
        <f>'12. Разходи'!V41-'12. Разходи'!$S41</f>
        <v>0</v>
      </c>
      <c r="AE41" s="1230">
        <f>IFERROR(('12. Разходи'!V41-'12. Разходи'!$S41)/'12. Разходи'!$S41,0)</f>
        <v>0</v>
      </c>
      <c r="AF41" s="1223">
        <f>'12. Разходи'!W41-'12. Разходи'!$S41</f>
        <v>0</v>
      </c>
      <c r="AG41" s="1231">
        <f>IFERROR(('12. Разходи'!W41-'12. Разходи'!$S41)/'12. Разходи'!$S41,0)</f>
        <v>0</v>
      </c>
      <c r="AH41" s="1225">
        <f>'12. Разходи'!X41-'12. Разходи'!$S41</f>
        <v>0</v>
      </c>
      <c r="AI41" s="1232">
        <f>IFERROR(('12. Разходи'!X41-'12. Разходи'!$S41)/'12. Разходи'!$S41,0)</f>
        <v>0</v>
      </c>
      <c r="AJ41" s="1227">
        <f>'12. Разходи'!AA41</f>
        <v>0</v>
      </c>
      <c r="AK41" s="1229">
        <f>'12. Разходи'!AB41-'12. Разходи'!$AA41</f>
        <v>0</v>
      </c>
      <c r="AL41" s="1224">
        <f>IFERROR(('12. Разходи'!AB41-'12. Разходи'!$AA41)/'12. Разходи'!$AA41,0)</f>
        <v>0</v>
      </c>
      <c r="AM41" s="1223">
        <f>'12. Разходи'!AC41-'12. Разходи'!$AA41</f>
        <v>0</v>
      </c>
      <c r="AN41" s="1230">
        <f>IFERROR(('12. Разходи'!AC41-'12. Разходи'!$AA41)/'12. Разходи'!$AA41,0)</f>
        <v>0</v>
      </c>
      <c r="AO41" s="1223">
        <f>'12. Разходи'!AD41-'12. Разходи'!$AA41</f>
        <v>0</v>
      </c>
      <c r="AP41" s="1230">
        <f>IFERROR(('12. Разходи'!AD41-'12. Разходи'!$AA41)/'12. Разходи'!$AA41,0)</f>
        <v>0</v>
      </c>
      <c r="AQ41" s="1223">
        <f>'12. Разходи'!AE41-'12. Разходи'!$AA41</f>
        <v>0</v>
      </c>
      <c r="AR41" s="1231">
        <f>IFERROR(('12. Разходи'!AE41-'12. Разходи'!$AA41)/'12. Разходи'!$AA41,0)</f>
        <v>0</v>
      </c>
      <c r="AS41" s="1225">
        <f>'12. Разходи'!AF41-'12. Разходи'!$AA41</f>
        <v>0</v>
      </c>
      <c r="AT41" s="1232">
        <f>IFERROR(('12. Разходи'!AF41-'12. Разходи'!$AA41)/'12. Разходи'!$AA41,0)</f>
        <v>0</v>
      </c>
      <c r="AU41" s="1227">
        <f>'12. Разходи'!AI41</f>
        <v>0</v>
      </c>
      <c r="AV41" s="1229">
        <f>'12. Разходи'!AJ41-'12. Разходи'!$AI41</f>
        <v>0</v>
      </c>
      <c r="AW41" s="1224">
        <f>IFERROR(('12. Разходи'!AJ41-'12. Разходи'!$AI41)/'12. Разходи'!$AI41,0)</f>
        <v>0</v>
      </c>
      <c r="AX41" s="1223">
        <f>'12. Разходи'!AK41-'12. Разходи'!$AI41</f>
        <v>0</v>
      </c>
      <c r="AY41" s="1230">
        <f>IFERROR(('12. Разходи'!AK41-'12. Разходи'!$AI41)/'12. Разходи'!$AI41,0)</f>
        <v>0</v>
      </c>
      <c r="AZ41" s="1223">
        <f>'12. Разходи'!AL41-'12. Разходи'!$AI41</f>
        <v>0</v>
      </c>
      <c r="BA41" s="1230">
        <f>IFERROR(('12. Разходи'!AL41-'12. Разходи'!$AI41)/'12. Разходи'!$AI41,0)</f>
        <v>0</v>
      </c>
      <c r="BB41" s="1223">
        <f>'12. Разходи'!AM41-'12. Разходи'!$AI41</f>
        <v>0</v>
      </c>
      <c r="BC41" s="1231">
        <f>IFERROR(('12. Разходи'!AM41-'12. Разходи'!$AI41)/'12. Разходи'!$AI41,0)</f>
        <v>0</v>
      </c>
      <c r="BD41" s="1225">
        <f>'12. Разходи'!AN41-'12. Разходи'!$AI41</f>
        <v>0</v>
      </c>
      <c r="BE41" s="1232">
        <f>IFERROR(('12. Разходи'!AN41-'12. Разходи'!$AI41)/'12. Разходи'!$AI41,0)</f>
        <v>0</v>
      </c>
      <c r="BF41" s="4775"/>
      <c r="BG41" s="4794">
        <f t="shared" si="1"/>
        <v>0.51129188119621849</v>
      </c>
      <c r="BH41" s="4794">
        <f t="shared" si="2"/>
        <v>0</v>
      </c>
      <c r="BI41" s="4794">
        <f t="shared" si="3"/>
        <v>0</v>
      </c>
      <c r="BJ41" s="4794">
        <f t="shared" si="4"/>
        <v>0</v>
      </c>
      <c r="BK41" s="4794">
        <f t="shared" si="5"/>
        <v>0</v>
      </c>
      <c r="BL41" s="4794">
        <f t="shared" si="6"/>
        <v>0</v>
      </c>
      <c r="BM41" s="4794">
        <f t="shared" si="7"/>
        <v>0</v>
      </c>
      <c r="BN41" s="4794">
        <f t="shared" si="8"/>
        <v>0</v>
      </c>
      <c r="BO41" s="4794">
        <f t="shared" si="9"/>
        <v>0</v>
      </c>
      <c r="BP41" s="4794">
        <f t="shared" si="10"/>
        <v>0</v>
      </c>
      <c r="BQ41" s="4794">
        <f t="shared" si="11"/>
        <v>0</v>
      </c>
      <c r="BR41" s="4794">
        <f t="shared" si="12"/>
        <v>0</v>
      </c>
      <c r="BS41" s="4794">
        <f t="shared" si="13"/>
        <v>0</v>
      </c>
      <c r="BT41" s="4794">
        <f t="shared" si="14"/>
        <v>0</v>
      </c>
      <c r="BU41" s="4794">
        <f t="shared" si="15"/>
        <v>0</v>
      </c>
      <c r="BV41" s="4794">
        <f t="shared" si="16"/>
        <v>0</v>
      </c>
      <c r="BW41" s="4794">
        <f t="shared" si="17"/>
        <v>0</v>
      </c>
      <c r="BX41" s="4794">
        <f t="shared" si="18"/>
        <v>0</v>
      </c>
      <c r="BY41" s="4794">
        <f t="shared" si="19"/>
        <v>0</v>
      </c>
      <c r="BZ41" s="4794">
        <f t="shared" si="20"/>
        <v>0</v>
      </c>
      <c r="CA41" s="4794">
        <f t="shared" si="21"/>
        <v>0</v>
      </c>
      <c r="CB41" s="4794">
        <f t="shared" si="22"/>
        <v>0</v>
      </c>
      <c r="CC41" s="4794">
        <f t="shared" si="23"/>
        <v>0</v>
      </c>
      <c r="CD41" s="4794">
        <f t="shared" si="24"/>
        <v>0</v>
      </c>
      <c r="CE41" s="4794">
        <f t="shared" si="25"/>
        <v>0</v>
      </c>
      <c r="CF41" s="4794">
        <f t="shared" si="26"/>
        <v>0</v>
      </c>
      <c r="CG41" s="4794">
        <f t="shared" si="27"/>
        <v>0</v>
      </c>
      <c r="CH41" s="4794">
        <f t="shared" si="28"/>
        <v>0</v>
      </c>
      <c r="CI41" s="4794">
        <f t="shared" si="29"/>
        <v>0</v>
      </c>
      <c r="CJ41" s="4794">
        <f t="shared" si="30"/>
        <v>0</v>
      </c>
    </row>
    <row r="42" spans="1:88" s="1217" customFormat="1" ht="15.95" customHeight="1">
      <c r="A42" s="1220" t="s">
        <v>1225</v>
      </c>
      <c r="B42" s="1221" t="s">
        <v>442</v>
      </c>
      <c r="C42" s="1222">
        <f>'12. Разходи'!C42</f>
        <v>4</v>
      </c>
      <c r="D42" s="1229">
        <f>'12. Разходи'!D42-'12. Разходи'!$C42</f>
        <v>0</v>
      </c>
      <c r="E42" s="1224">
        <f>IFERROR(('12. Разходи'!D42-'12. Разходи'!$C42)/'12. Разходи'!$C42,0)</f>
        <v>0</v>
      </c>
      <c r="F42" s="1223">
        <f>'12. Разходи'!E42-'12. Разходи'!$C42</f>
        <v>0</v>
      </c>
      <c r="G42" s="1230">
        <f>IFERROR(('12. Разходи'!E42-'12. Разходи'!$C42)/'12. Разходи'!$C42,0)</f>
        <v>0</v>
      </c>
      <c r="H42" s="1223">
        <f>'12. Разходи'!F42-'12. Разходи'!$C42</f>
        <v>0</v>
      </c>
      <c r="I42" s="1230">
        <f>IFERROR(('12. Разходи'!F42-'12. Разходи'!$C42)/'12. Разходи'!$C42,0)</f>
        <v>0</v>
      </c>
      <c r="J42" s="1223">
        <f>'12. Разходи'!G42-'12. Разходи'!$C42</f>
        <v>0</v>
      </c>
      <c r="K42" s="1231">
        <f>IFERROR(('12. Разходи'!G42-'12. Разходи'!$C42)/'12. Разходи'!$C42,0)</f>
        <v>0</v>
      </c>
      <c r="L42" s="1225">
        <f>'12. Разходи'!H42-'12. Разходи'!$C42</f>
        <v>0</v>
      </c>
      <c r="M42" s="1231">
        <f>IFERROR(('12. Разходи'!H42-'12. Разходи'!$C42)/'12. Разходи'!$C42,0)</f>
        <v>0</v>
      </c>
      <c r="N42" s="1227">
        <f>'12. Разходи'!K42</f>
        <v>1</v>
      </c>
      <c r="O42" s="1229">
        <f>'12. Разходи'!L42-'12. Разходи'!$K42</f>
        <v>0</v>
      </c>
      <c r="P42" s="1224">
        <f>IFERROR(('12. Разходи'!L42-'12. Разходи'!$K42)/'12. Разходи'!$K42,0)</f>
        <v>0</v>
      </c>
      <c r="Q42" s="1223">
        <f>'12. Разходи'!M42-'12. Разходи'!$K42</f>
        <v>0</v>
      </c>
      <c r="R42" s="1230">
        <f>IFERROR(('12. Разходи'!M42-'12. Разходи'!$K42)/'12. Разходи'!$K42,0)</f>
        <v>0</v>
      </c>
      <c r="S42" s="1223">
        <f>'12. Разходи'!N42-'12. Разходи'!$K42</f>
        <v>0</v>
      </c>
      <c r="T42" s="1230">
        <f>IFERROR(('12. Разходи'!N42-'12. Разходи'!$K42)/'12. Разходи'!$K42,0)</f>
        <v>0</v>
      </c>
      <c r="U42" s="1223">
        <f>'12. Разходи'!O42-'12. Разходи'!$K42</f>
        <v>0</v>
      </c>
      <c r="V42" s="1231">
        <f>IFERROR(('12. Разходи'!O42-'12. Разходи'!$K42)/'12. Разходи'!$K42,0)</f>
        <v>0</v>
      </c>
      <c r="W42" s="1225">
        <f>'12. Разходи'!P42-'12. Разходи'!$K42</f>
        <v>0</v>
      </c>
      <c r="X42" s="1232">
        <f>IFERROR(('12. Разходи'!P42-'12. Разходи'!$K42)/'12. Разходи'!$K42,0)</f>
        <v>0</v>
      </c>
      <c r="Y42" s="1227">
        <f>'12. Разходи'!S42</f>
        <v>1</v>
      </c>
      <c r="Z42" s="1229">
        <f>'12. Разходи'!T42-'12. Разходи'!$S42</f>
        <v>0</v>
      </c>
      <c r="AA42" s="1224">
        <f>IFERROR(('12. Разходи'!T42-'12. Разходи'!$S42)/'12. Разходи'!$S42,0)</f>
        <v>0</v>
      </c>
      <c r="AB42" s="1223">
        <f>'12. Разходи'!U42-'12. Разходи'!$S42</f>
        <v>0</v>
      </c>
      <c r="AC42" s="1230">
        <f>IFERROR(('12. Разходи'!U42-'12. Разходи'!$S42)/'12. Разходи'!$S42,0)</f>
        <v>0</v>
      </c>
      <c r="AD42" s="1223">
        <f>'12. Разходи'!V42-'12. Разходи'!$S42</f>
        <v>0</v>
      </c>
      <c r="AE42" s="1230">
        <f>IFERROR(('12. Разходи'!V42-'12. Разходи'!$S42)/'12. Разходи'!$S42,0)</f>
        <v>0</v>
      </c>
      <c r="AF42" s="1223">
        <f>'12. Разходи'!W42-'12. Разходи'!$S42</f>
        <v>0</v>
      </c>
      <c r="AG42" s="1231">
        <f>IFERROR(('12. Разходи'!W42-'12. Разходи'!$S42)/'12. Разходи'!$S42,0)</f>
        <v>0</v>
      </c>
      <c r="AH42" s="1225">
        <f>'12. Разходи'!X42-'12. Разходи'!$S42</f>
        <v>0</v>
      </c>
      <c r="AI42" s="1232">
        <f>IFERROR(('12. Разходи'!X42-'12. Разходи'!$S42)/'12. Разходи'!$S42,0)</f>
        <v>0</v>
      </c>
      <c r="AJ42" s="1227">
        <f>'12. Разходи'!AA42</f>
        <v>0</v>
      </c>
      <c r="AK42" s="1229">
        <f>'12. Разходи'!AB42-'12. Разходи'!$AA42</f>
        <v>0</v>
      </c>
      <c r="AL42" s="1224">
        <f>IFERROR(('12. Разходи'!AB42-'12. Разходи'!$AA42)/'12. Разходи'!$AA42,0)</f>
        <v>0</v>
      </c>
      <c r="AM42" s="1223">
        <f>'12. Разходи'!AC42-'12. Разходи'!$AA42</f>
        <v>0</v>
      </c>
      <c r="AN42" s="1230">
        <f>IFERROR(('12. Разходи'!AC42-'12. Разходи'!$AA42)/'12. Разходи'!$AA42,0)</f>
        <v>0</v>
      </c>
      <c r="AO42" s="1223">
        <f>'12. Разходи'!AD42-'12. Разходи'!$AA42</f>
        <v>0</v>
      </c>
      <c r="AP42" s="1230">
        <f>IFERROR(('12. Разходи'!AD42-'12. Разходи'!$AA42)/'12. Разходи'!$AA42,0)</f>
        <v>0</v>
      </c>
      <c r="AQ42" s="1223">
        <f>'12. Разходи'!AE42-'12. Разходи'!$AA42</f>
        <v>0</v>
      </c>
      <c r="AR42" s="1231">
        <f>IFERROR(('12. Разходи'!AE42-'12. Разходи'!$AA42)/'12. Разходи'!$AA42,0)</f>
        <v>0</v>
      </c>
      <c r="AS42" s="1225">
        <f>'12. Разходи'!AF42-'12. Разходи'!$AA42</f>
        <v>0</v>
      </c>
      <c r="AT42" s="1232">
        <f>IFERROR(('12. Разходи'!AF42-'12. Разходи'!$AA42)/'12. Разходи'!$AA42,0)</f>
        <v>0</v>
      </c>
      <c r="AU42" s="1227">
        <f>'12. Разходи'!AI42</f>
        <v>0</v>
      </c>
      <c r="AV42" s="1229">
        <f>'12. Разходи'!AJ42-'12. Разходи'!$AI42</f>
        <v>0</v>
      </c>
      <c r="AW42" s="1224">
        <f>IFERROR(('12. Разходи'!AJ42-'12. Разходи'!$AI42)/'12. Разходи'!$AI42,0)</f>
        <v>0</v>
      </c>
      <c r="AX42" s="1223">
        <f>'12. Разходи'!AK42-'12. Разходи'!$AI42</f>
        <v>0</v>
      </c>
      <c r="AY42" s="1230">
        <f>IFERROR(('12. Разходи'!AK42-'12. Разходи'!$AI42)/'12. Разходи'!$AI42,0)</f>
        <v>0</v>
      </c>
      <c r="AZ42" s="1223">
        <f>'12. Разходи'!AL42-'12. Разходи'!$AI42</f>
        <v>0</v>
      </c>
      <c r="BA42" s="1230">
        <f>IFERROR(('12. Разходи'!AL42-'12. Разходи'!$AI42)/'12. Разходи'!$AI42,0)</f>
        <v>0</v>
      </c>
      <c r="BB42" s="1223">
        <f>'12. Разходи'!AM42-'12. Разходи'!$AI42</f>
        <v>0</v>
      </c>
      <c r="BC42" s="1231">
        <f>IFERROR(('12. Разходи'!AM42-'12. Разходи'!$AI42)/'12. Разходи'!$AI42,0)</f>
        <v>0</v>
      </c>
      <c r="BD42" s="1225">
        <f>'12. Разходи'!AN42-'12. Разходи'!$AI42</f>
        <v>0</v>
      </c>
      <c r="BE42" s="1232">
        <f>IFERROR(('12. Разходи'!AN42-'12. Разходи'!$AI42)/'12. Разходи'!$AI42,0)</f>
        <v>0</v>
      </c>
      <c r="BF42" s="4775"/>
      <c r="BG42" s="4794">
        <f t="shared" si="1"/>
        <v>2.045167524784874</v>
      </c>
      <c r="BH42" s="4794">
        <f t="shared" si="2"/>
        <v>0</v>
      </c>
      <c r="BI42" s="4794">
        <f t="shared" si="3"/>
        <v>0</v>
      </c>
      <c r="BJ42" s="4794">
        <f t="shared" si="4"/>
        <v>0</v>
      </c>
      <c r="BK42" s="4794">
        <f t="shared" si="5"/>
        <v>0</v>
      </c>
      <c r="BL42" s="4794">
        <f t="shared" si="6"/>
        <v>0</v>
      </c>
      <c r="BM42" s="4794">
        <f t="shared" si="7"/>
        <v>0.51129188119621849</v>
      </c>
      <c r="BN42" s="4794">
        <f t="shared" si="8"/>
        <v>0</v>
      </c>
      <c r="BO42" s="4794">
        <f t="shared" si="9"/>
        <v>0</v>
      </c>
      <c r="BP42" s="4794">
        <f t="shared" si="10"/>
        <v>0</v>
      </c>
      <c r="BQ42" s="4794">
        <f t="shared" si="11"/>
        <v>0</v>
      </c>
      <c r="BR42" s="4794">
        <f t="shared" si="12"/>
        <v>0</v>
      </c>
      <c r="BS42" s="4794">
        <f t="shared" si="13"/>
        <v>0.51129188119621849</v>
      </c>
      <c r="BT42" s="4794">
        <f t="shared" si="14"/>
        <v>0</v>
      </c>
      <c r="BU42" s="4794">
        <f t="shared" si="15"/>
        <v>0</v>
      </c>
      <c r="BV42" s="4794">
        <f t="shared" si="16"/>
        <v>0</v>
      </c>
      <c r="BW42" s="4794">
        <f t="shared" si="17"/>
        <v>0</v>
      </c>
      <c r="BX42" s="4794">
        <f t="shared" si="18"/>
        <v>0</v>
      </c>
      <c r="BY42" s="4794">
        <f t="shared" si="19"/>
        <v>0</v>
      </c>
      <c r="BZ42" s="4794">
        <f t="shared" si="20"/>
        <v>0</v>
      </c>
      <c r="CA42" s="4794">
        <f t="shared" si="21"/>
        <v>0</v>
      </c>
      <c r="CB42" s="4794">
        <f t="shared" si="22"/>
        <v>0</v>
      </c>
      <c r="CC42" s="4794">
        <f t="shared" si="23"/>
        <v>0</v>
      </c>
      <c r="CD42" s="4794">
        <f t="shared" si="24"/>
        <v>0</v>
      </c>
      <c r="CE42" s="4794">
        <f t="shared" si="25"/>
        <v>0</v>
      </c>
      <c r="CF42" s="4794">
        <f t="shared" si="26"/>
        <v>0</v>
      </c>
      <c r="CG42" s="4794">
        <f t="shared" si="27"/>
        <v>0</v>
      </c>
      <c r="CH42" s="4794">
        <f t="shared" si="28"/>
        <v>0</v>
      </c>
      <c r="CI42" s="4794">
        <f t="shared" si="29"/>
        <v>0</v>
      </c>
      <c r="CJ42" s="4794">
        <f t="shared" si="30"/>
        <v>0</v>
      </c>
    </row>
    <row r="43" spans="1:88" ht="15.95" customHeight="1">
      <c r="A43" s="854" t="s">
        <v>256</v>
      </c>
      <c r="B43" s="915" t="s">
        <v>257</v>
      </c>
      <c r="C43" s="1131">
        <f>'12. Разходи'!C43</f>
        <v>410</v>
      </c>
      <c r="D43" s="1160">
        <f>'12. Разходи'!D43-'12. Разходи'!$C43</f>
        <v>0</v>
      </c>
      <c r="E43" s="1140">
        <f>IFERROR(('12. Разходи'!D43-'12. Разходи'!$C43)/'12. Разходи'!$C43,0)</f>
        <v>0</v>
      </c>
      <c r="F43" s="926">
        <f>'12. Разходи'!E43-'12. Разходи'!$C43</f>
        <v>0</v>
      </c>
      <c r="G43" s="1148">
        <f>IFERROR(('12. Разходи'!E43-'12. Разходи'!$C43)/'12. Разходи'!$C43,0)</f>
        <v>0</v>
      </c>
      <c r="H43" s="926">
        <f>'12. Разходи'!F43-'12. Разходи'!$C43</f>
        <v>0</v>
      </c>
      <c r="I43" s="1148">
        <f>IFERROR(('12. Разходи'!F43-'12. Разходи'!$C43)/'12. Разходи'!$C43,0)</f>
        <v>0</v>
      </c>
      <c r="J43" s="926">
        <f>'12. Разходи'!G43-'12. Разходи'!$C43</f>
        <v>0</v>
      </c>
      <c r="K43" s="1147">
        <f>IFERROR(('12. Разходи'!G43-'12. Разходи'!$C43)/'12. Разходи'!$C43,0)</f>
        <v>0</v>
      </c>
      <c r="L43" s="1155">
        <f>'12. Разходи'!H43-'12. Разходи'!$C43</f>
        <v>0</v>
      </c>
      <c r="M43" s="1147">
        <f>IFERROR(('12. Разходи'!H43-'12. Разходи'!$C43)/'12. Разходи'!$C43,0)</f>
        <v>0</v>
      </c>
      <c r="N43" s="1196">
        <f>'12. Разходи'!K43</f>
        <v>102</v>
      </c>
      <c r="O43" s="1160">
        <f>'12. Разходи'!L43-'12. Разходи'!$K43</f>
        <v>0</v>
      </c>
      <c r="P43" s="1140">
        <f>IFERROR(('12. Разходи'!L43-'12. Разходи'!$K43)/'12. Разходи'!$K43,0)</f>
        <v>0</v>
      </c>
      <c r="Q43" s="926">
        <f>'12. Разходи'!M43-'12. Разходи'!$K43</f>
        <v>0</v>
      </c>
      <c r="R43" s="1148">
        <f>IFERROR(('12. Разходи'!M43-'12. Разходи'!$K43)/'12. Разходи'!$K43,0)</f>
        <v>0</v>
      </c>
      <c r="S43" s="926">
        <f>'12. Разходи'!N43-'12. Разходи'!$K43</f>
        <v>0</v>
      </c>
      <c r="T43" s="1148">
        <f>IFERROR(('12. Разходи'!N43-'12. Разходи'!$K43)/'12. Разходи'!$K43,0)</f>
        <v>0</v>
      </c>
      <c r="U43" s="926">
        <f>'12. Разходи'!O43-'12. Разходи'!$K43</f>
        <v>0</v>
      </c>
      <c r="V43" s="1147">
        <f>IFERROR(('12. Разходи'!O43-'12. Разходи'!$K43)/'12. Разходи'!$K43,0)</f>
        <v>0</v>
      </c>
      <c r="W43" s="1155">
        <f>'12. Разходи'!P43-'12. Разходи'!$K43</f>
        <v>0</v>
      </c>
      <c r="X43" s="1202">
        <f>IFERROR(('12. Разходи'!P43-'12. Разходи'!$K43)/'12. Разходи'!$K43,0)</f>
        <v>0</v>
      </c>
      <c r="Y43" s="1196">
        <f>'12. Разходи'!S43</f>
        <v>118</v>
      </c>
      <c r="Z43" s="1160">
        <f>'12. Разходи'!T43-'12. Разходи'!$S43</f>
        <v>0</v>
      </c>
      <c r="AA43" s="1140">
        <f>IFERROR(('12. Разходи'!T43-'12. Разходи'!$S43)/'12. Разходи'!$S43,0)</f>
        <v>0</v>
      </c>
      <c r="AB43" s="926">
        <f>'12. Разходи'!U43-'12. Разходи'!$S43</f>
        <v>0</v>
      </c>
      <c r="AC43" s="1148">
        <f>IFERROR(('12. Разходи'!U43-'12. Разходи'!$S43)/'12. Разходи'!$S43,0)</f>
        <v>0</v>
      </c>
      <c r="AD43" s="926">
        <f>'12. Разходи'!V43-'12. Разходи'!$S43</f>
        <v>0</v>
      </c>
      <c r="AE43" s="1148">
        <f>IFERROR(('12. Разходи'!V43-'12. Разходи'!$S43)/'12. Разходи'!$S43,0)</f>
        <v>0</v>
      </c>
      <c r="AF43" s="926">
        <f>'12. Разходи'!W43-'12. Разходи'!$S43</f>
        <v>0</v>
      </c>
      <c r="AG43" s="1147">
        <f>IFERROR(('12. Разходи'!W43-'12. Разходи'!$S43)/'12. Разходи'!$S43,0)</f>
        <v>0</v>
      </c>
      <c r="AH43" s="1155">
        <f>'12. Разходи'!X43-'12. Разходи'!$S43</f>
        <v>0</v>
      </c>
      <c r="AI43" s="1202">
        <f>IFERROR(('12. Разходи'!X43-'12. Разходи'!$S43)/'12. Разходи'!$S43,0)</f>
        <v>0</v>
      </c>
      <c r="AJ43" s="1196">
        <f>'12. Разходи'!AA43</f>
        <v>0</v>
      </c>
      <c r="AK43" s="1160">
        <f>'12. Разходи'!AB43-'12. Разходи'!$AA43</f>
        <v>0</v>
      </c>
      <c r="AL43" s="1140">
        <f>IFERROR(('12. Разходи'!AB43-'12. Разходи'!$AA43)/'12. Разходи'!$AA43,0)</f>
        <v>0</v>
      </c>
      <c r="AM43" s="926">
        <f>'12. Разходи'!AC43-'12. Разходи'!$AA43</f>
        <v>0</v>
      </c>
      <c r="AN43" s="1148">
        <f>IFERROR(('12. Разходи'!AC43-'12. Разходи'!$AA43)/'12. Разходи'!$AA43,0)</f>
        <v>0</v>
      </c>
      <c r="AO43" s="926">
        <f>'12. Разходи'!AD43-'12. Разходи'!$AA43</f>
        <v>0</v>
      </c>
      <c r="AP43" s="1148">
        <f>IFERROR(('12. Разходи'!AD43-'12. Разходи'!$AA43)/'12. Разходи'!$AA43,0)</f>
        <v>0</v>
      </c>
      <c r="AQ43" s="926">
        <f>'12. Разходи'!AE43-'12. Разходи'!$AA43</f>
        <v>0</v>
      </c>
      <c r="AR43" s="1147">
        <f>IFERROR(('12. Разходи'!AE43-'12. Разходи'!$AA43)/'12. Разходи'!$AA43,0)</f>
        <v>0</v>
      </c>
      <c r="AS43" s="1155">
        <f>'12. Разходи'!AF43-'12. Разходи'!$AA43</f>
        <v>0</v>
      </c>
      <c r="AT43" s="1202">
        <f>IFERROR(('12. Разходи'!AF43-'12. Разходи'!$AA43)/'12. Разходи'!$AA43,0)</f>
        <v>0</v>
      </c>
      <c r="AU43" s="1196">
        <f>'12. Разходи'!AI43</f>
        <v>0</v>
      </c>
      <c r="AV43" s="1160">
        <f>'12. Разходи'!AJ43-'12. Разходи'!$AI43</f>
        <v>0</v>
      </c>
      <c r="AW43" s="1140">
        <f>IFERROR(('12. Разходи'!AJ43-'12. Разходи'!$AI43)/'12. Разходи'!$AI43,0)</f>
        <v>0</v>
      </c>
      <c r="AX43" s="926">
        <f>'12. Разходи'!AK43-'12. Разходи'!$AI43</f>
        <v>0</v>
      </c>
      <c r="AY43" s="1148">
        <f>IFERROR(('12. Разходи'!AK43-'12. Разходи'!$AI43)/'12. Разходи'!$AI43,0)</f>
        <v>0</v>
      </c>
      <c r="AZ43" s="926">
        <f>'12. Разходи'!AL43-'12. Разходи'!$AI43</f>
        <v>0</v>
      </c>
      <c r="BA43" s="1148">
        <f>IFERROR(('12. Разходи'!AL43-'12. Разходи'!$AI43)/'12. Разходи'!$AI43,0)</f>
        <v>0</v>
      </c>
      <c r="BB43" s="926">
        <f>'12. Разходи'!AM43-'12. Разходи'!$AI43</f>
        <v>0</v>
      </c>
      <c r="BC43" s="1147">
        <f>IFERROR(('12. Разходи'!AM43-'12. Разходи'!$AI43)/'12. Разходи'!$AI43,0)</f>
        <v>0</v>
      </c>
      <c r="BD43" s="1155">
        <f>'12. Разходи'!AN43-'12. Разходи'!$AI43</f>
        <v>0</v>
      </c>
      <c r="BE43" s="1202">
        <f>IFERROR(('12. Разходи'!AN43-'12. Разходи'!$AI43)/'12. Разходи'!$AI43,0)</f>
        <v>0</v>
      </c>
      <c r="BF43" s="4775"/>
      <c r="BG43" s="4794">
        <f t="shared" si="1"/>
        <v>209.62967129044958</v>
      </c>
      <c r="BH43" s="4794">
        <f t="shared" si="2"/>
        <v>0</v>
      </c>
      <c r="BI43" s="4794">
        <f t="shared" si="3"/>
        <v>0</v>
      </c>
      <c r="BJ43" s="4794">
        <f t="shared" si="4"/>
        <v>0</v>
      </c>
      <c r="BK43" s="4794">
        <f t="shared" si="5"/>
        <v>0</v>
      </c>
      <c r="BL43" s="4794">
        <f t="shared" si="6"/>
        <v>0</v>
      </c>
      <c r="BM43" s="4794">
        <f t="shared" si="7"/>
        <v>52.151771882014287</v>
      </c>
      <c r="BN43" s="4794">
        <f t="shared" si="8"/>
        <v>0</v>
      </c>
      <c r="BO43" s="4794">
        <f t="shared" si="9"/>
        <v>0</v>
      </c>
      <c r="BP43" s="4794">
        <f t="shared" si="10"/>
        <v>0</v>
      </c>
      <c r="BQ43" s="4794">
        <f t="shared" si="11"/>
        <v>0</v>
      </c>
      <c r="BR43" s="4794">
        <f t="shared" si="12"/>
        <v>0</v>
      </c>
      <c r="BS43" s="4794">
        <f t="shared" si="13"/>
        <v>60.332441981153785</v>
      </c>
      <c r="BT43" s="4794">
        <f t="shared" si="14"/>
        <v>0</v>
      </c>
      <c r="BU43" s="4794">
        <f t="shared" si="15"/>
        <v>0</v>
      </c>
      <c r="BV43" s="4794">
        <f t="shared" si="16"/>
        <v>0</v>
      </c>
      <c r="BW43" s="4794">
        <f t="shared" si="17"/>
        <v>0</v>
      </c>
      <c r="BX43" s="4794">
        <f t="shared" si="18"/>
        <v>0</v>
      </c>
      <c r="BY43" s="4794">
        <f t="shared" si="19"/>
        <v>0</v>
      </c>
      <c r="BZ43" s="4794">
        <f t="shared" si="20"/>
        <v>0</v>
      </c>
      <c r="CA43" s="4794">
        <f t="shared" si="21"/>
        <v>0</v>
      </c>
      <c r="CB43" s="4794">
        <f t="shared" si="22"/>
        <v>0</v>
      </c>
      <c r="CC43" s="4794">
        <f t="shared" si="23"/>
        <v>0</v>
      </c>
      <c r="CD43" s="4794">
        <f t="shared" si="24"/>
        <v>0</v>
      </c>
      <c r="CE43" s="4794">
        <f t="shared" si="25"/>
        <v>0</v>
      </c>
      <c r="CF43" s="4794">
        <f t="shared" si="26"/>
        <v>0</v>
      </c>
      <c r="CG43" s="4794">
        <f t="shared" si="27"/>
        <v>0</v>
      </c>
      <c r="CH43" s="4794">
        <f t="shared" si="28"/>
        <v>0</v>
      </c>
      <c r="CI43" s="4794">
        <f t="shared" si="29"/>
        <v>0</v>
      </c>
      <c r="CJ43" s="4794">
        <f t="shared" si="30"/>
        <v>0</v>
      </c>
    </row>
    <row r="44" spans="1:88" ht="15.95" customHeight="1">
      <c r="A44" s="854" t="s">
        <v>258</v>
      </c>
      <c r="B44" s="915" t="s">
        <v>259</v>
      </c>
      <c r="C44" s="1131">
        <f>'12. Разходи'!C44</f>
        <v>147.22300000000001</v>
      </c>
      <c r="D44" s="1160">
        <f>'12. Разходи'!D44-'12. Разходи'!$C44</f>
        <v>-0.22300000000001319</v>
      </c>
      <c r="E44" s="1140">
        <f>IFERROR(('12. Разходи'!D44-'12. Разходи'!$C44)/'12. Разходи'!$C44,0)</f>
        <v>-1.51470897889605E-3</v>
      </c>
      <c r="F44" s="926">
        <f>'12. Разходи'!E44-'12. Разходи'!$C44</f>
        <v>-0.22300000000001319</v>
      </c>
      <c r="G44" s="1148">
        <f>IFERROR(('12. Разходи'!E44-'12. Разходи'!$C44)/'12. Разходи'!$C44,0)</f>
        <v>-1.51470897889605E-3</v>
      </c>
      <c r="H44" s="926">
        <f>'12. Разходи'!F44-'12. Разходи'!$C44</f>
        <v>-0.22300000000001319</v>
      </c>
      <c r="I44" s="1148">
        <f>IFERROR(('12. Разходи'!F44-'12. Разходи'!$C44)/'12. Разходи'!$C44,0)</f>
        <v>-1.51470897889605E-3</v>
      </c>
      <c r="J44" s="926">
        <f>'12. Разходи'!G44-'12. Разходи'!$C44</f>
        <v>-0.22300000000001319</v>
      </c>
      <c r="K44" s="1147">
        <f>IFERROR(('12. Разходи'!G44-'12. Разходи'!$C44)/'12. Разходи'!$C44,0)</f>
        <v>-1.51470897889605E-3</v>
      </c>
      <c r="L44" s="1155">
        <f>'12. Разходи'!H44-'12. Разходи'!$C44</f>
        <v>-0.22300000000001319</v>
      </c>
      <c r="M44" s="1147">
        <f>IFERROR(('12. Разходи'!H44-'12. Разходи'!$C44)/'12. Разходи'!$C44,0)</f>
        <v>-1.51470897889605E-3</v>
      </c>
      <c r="N44" s="1196">
        <f>'12. Разходи'!K44</f>
        <v>35</v>
      </c>
      <c r="O44" s="1160">
        <f>'12. Разходи'!L44-'12. Разходи'!$K44</f>
        <v>0</v>
      </c>
      <c r="P44" s="1140">
        <f>IFERROR(('12. Разходи'!L44-'12. Разходи'!$K44)/'12. Разходи'!$K44,0)</f>
        <v>0</v>
      </c>
      <c r="Q44" s="926">
        <f>'12. Разходи'!M44-'12. Разходи'!$K44</f>
        <v>0</v>
      </c>
      <c r="R44" s="1148">
        <f>IFERROR(('12. Разходи'!M44-'12. Разходи'!$K44)/'12. Разходи'!$K44,0)</f>
        <v>0</v>
      </c>
      <c r="S44" s="926">
        <f>'12. Разходи'!N44-'12. Разходи'!$K44</f>
        <v>0</v>
      </c>
      <c r="T44" s="1148">
        <f>IFERROR(('12. Разходи'!N44-'12. Разходи'!$K44)/'12. Разходи'!$K44,0)</f>
        <v>0</v>
      </c>
      <c r="U44" s="926">
        <f>'12. Разходи'!O44-'12. Разходи'!$K44</f>
        <v>0</v>
      </c>
      <c r="V44" s="1147">
        <f>IFERROR(('12. Разходи'!O44-'12. Разходи'!$K44)/'12. Разходи'!$K44,0)</f>
        <v>0</v>
      </c>
      <c r="W44" s="1155">
        <f>'12. Разходи'!P44-'12. Разходи'!$K44</f>
        <v>0</v>
      </c>
      <c r="X44" s="1202">
        <f>IFERROR(('12. Разходи'!P44-'12. Разходи'!$K44)/'12. Разходи'!$K44,0)</f>
        <v>0</v>
      </c>
      <c r="Y44" s="1196">
        <f>'12. Разходи'!S44</f>
        <v>39</v>
      </c>
      <c r="Z44" s="1160">
        <f>'12. Разходи'!T44-'12. Разходи'!$S44</f>
        <v>0</v>
      </c>
      <c r="AA44" s="1140">
        <f>IFERROR(('12. Разходи'!T44-'12. Разходи'!$S44)/'12. Разходи'!$S44,0)</f>
        <v>0</v>
      </c>
      <c r="AB44" s="926">
        <f>'12. Разходи'!U44-'12. Разходи'!$S44</f>
        <v>0</v>
      </c>
      <c r="AC44" s="1148">
        <f>IFERROR(('12. Разходи'!U44-'12. Разходи'!$S44)/'12. Разходи'!$S44,0)</f>
        <v>0</v>
      </c>
      <c r="AD44" s="926">
        <f>'12. Разходи'!V44-'12. Разходи'!$S44</f>
        <v>0</v>
      </c>
      <c r="AE44" s="1148">
        <f>IFERROR(('12. Разходи'!V44-'12. Разходи'!$S44)/'12. Разходи'!$S44,0)</f>
        <v>0</v>
      </c>
      <c r="AF44" s="926">
        <f>'12. Разходи'!W44-'12. Разходи'!$S44</f>
        <v>0</v>
      </c>
      <c r="AG44" s="1147">
        <f>IFERROR(('12. Разходи'!W44-'12. Разходи'!$S44)/'12. Разходи'!$S44,0)</f>
        <v>0</v>
      </c>
      <c r="AH44" s="1155">
        <f>'12. Разходи'!X44-'12. Разходи'!$S44</f>
        <v>0</v>
      </c>
      <c r="AI44" s="1202">
        <f>IFERROR(('12. Разходи'!X44-'12. Разходи'!$S44)/'12. Разходи'!$S44,0)</f>
        <v>0</v>
      </c>
      <c r="AJ44" s="1196">
        <f>'12. Разходи'!AA44</f>
        <v>0</v>
      </c>
      <c r="AK44" s="1160">
        <f>'12. Разходи'!AB44-'12. Разходи'!$AA44</f>
        <v>0</v>
      </c>
      <c r="AL44" s="1140">
        <f>IFERROR(('12. Разходи'!AB44-'12. Разходи'!$AA44)/'12. Разходи'!$AA44,0)</f>
        <v>0</v>
      </c>
      <c r="AM44" s="926">
        <f>'12. Разходи'!AC44-'12. Разходи'!$AA44</f>
        <v>0</v>
      </c>
      <c r="AN44" s="1148">
        <f>IFERROR(('12. Разходи'!AC44-'12. Разходи'!$AA44)/'12. Разходи'!$AA44,0)</f>
        <v>0</v>
      </c>
      <c r="AO44" s="926">
        <f>'12. Разходи'!AD44-'12. Разходи'!$AA44</f>
        <v>0</v>
      </c>
      <c r="AP44" s="1148">
        <f>IFERROR(('12. Разходи'!AD44-'12. Разходи'!$AA44)/'12. Разходи'!$AA44,0)</f>
        <v>0</v>
      </c>
      <c r="AQ44" s="926">
        <f>'12. Разходи'!AE44-'12. Разходи'!$AA44</f>
        <v>0</v>
      </c>
      <c r="AR44" s="1147">
        <f>IFERROR(('12. Разходи'!AE44-'12. Разходи'!$AA44)/'12. Разходи'!$AA44,0)</f>
        <v>0</v>
      </c>
      <c r="AS44" s="1155">
        <f>'12. Разходи'!AF44-'12. Разходи'!$AA44</f>
        <v>0</v>
      </c>
      <c r="AT44" s="1202">
        <f>IFERROR(('12. Разходи'!AF44-'12. Разходи'!$AA44)/'12. Разходи'!$AA44,0)</f>
        <v>0</v>
      </c>
      <c r="AU44" s="1196">
        <f>'12. Разходи'!AI44</f>
        <v>0</v>
      </c>
      <c r="AV44" s="1160">
        <f>'12. Разходи'!AJ44-'12. Разходи'!$AI44</f>
        <v>0</v>
      </c>
      <c r="AW44" s="1140">
        <f>IFERROR(('12. Разходи'!AJ44-'12. Разходи'!$AI44)/'12. Разходи'!$AI44,0)</f>
        <v>0</v>
      </c>
      <c r="AX44" s="926">
        <f>'12. Разходи'!AK44-'12. Разходи'!$AI44</f>
        <v>0</v>
      </c>
      <c r="AY44" s="1148">
        <f>IFERROR(('12. Разходи'!AK44-'12. Разходи'!$AI44)/'12. Разходи'!$AI44,0)</f>
        <v>0</v>
      </c>
      <c r="AZ44" s="926">
        <f>'12. Разходи'!AL44-'12. Разходи'!$AI44</f>
        <v>0</v>
      </c>
      <c r="BA44" s="1148">
        <f>IFERROR(('12. Разходи'!AL44-'12. Разходи'!$AI44)/'12. Разходи'!$AI44,0)</f>
        <v>0</v>
      </c>
      <c r="BB44" s="926">
        <f>'12. Разходи'!AM44-'12. Разходи'!$AI44</f>
        <v>0</v>
      </c>
      <c r="BC44" s="1147">
        <f>IFERROR(('12. Разходи'!AM44-'12. Разходи'!$AI44)/'12. Разходи'!$AI44,0)</f>
        <v>0</v>
      </c>
      <c r="BD44" s="1155">
        <f>'12. Разходи'!AN44-'12. Разходи'!$AI44</f>
        <v>0</v>
      </c>
      <c r="BE44" s="1202">
        <f>IFERROR(('12. Разходи'!AN44-'12. Разходи'!$AI44)/'12. Разходи'!$AI44,0)</f>
        <v>0</v>
      </c>
      <c r="BF44" s="4775"/>
      <c r="BG44" s="4794">
        <f t="shared" si="1"/>
        <v>75.273924625350887</v>
      </c>
      <c r="BH44" s="4794">
        <f t="shared" si="2"/>
        <v>-0.11401808950676347</v>
      </c>
      <c r="BI44" s="4794">
        <f t="shared" si="3"/>
        <v>-0.11401808950676347</v>
      </c>
      <c r="BJ44" s="4794">
        <f t="shared" si="4"/>
        <v>-0.11401808950676347</v>
      </c>
      <c r="BK44" s="4794">
        <f t="shared" si="5"/>
        <v>-0.11401808950676347</v>
      </c>
      <c r="BL44" s="4794">
        <f t="shared" si="6"/>
        <v>-0.11401808950676347</v>
      </c>
      <c r="BM44" s="4794">
        <f t="shared" si="7"/>
        <v>17.895215841867646</v>
      </c>
      <c r="BN44" s="4794">
        <f t="shared" si="8"/>
        <v>0</v>
      </c>
      <c r="BO44" s="4794">
        <f t="shared" si="9"/>
        <v>0</v>
      </c>
      <c r="BP44" s="4794">
        <f t="shared" si="10"/>
        <v>0</v>
      </c>
      <c r="BQ44" s="4794">
        <f t="shared" si="11"/>
        <v>0</v>
      </c>
      <c r="BR44" s="4794">
        <f t="shared" si="12"/>
        <v>0</v>
      </c>
      <c r="BS44" s="4794">
        <f t="shared" si="13"/>
        <v>19.940383366652522</v>
      </c>
      <c r="BT44" s="4794">
        <f t="shared" si="14"/>
        <v>0</v>
      </c>
      <c r="BU44" s="4794">
        <f t="shared" si="15"/>
        <v>0</v>
      </c>
      <c r="BV44" s="4794">
        <f t="shared" si="16"/>
        <v>0</v>
      </c>
      <c r="BW44" s="4794">
        <f t="shared" si="17"/>
        <v>0</v>
      </c>
      <c r="BX44" s="4794">
        <f t="shared" si="18"/>
        <v>0</v>
      </c>
      <c r="BY44" s="4794">
        <f t="shared" si="19"/>
        <v>0</v>
      </c>
      <c r="BZ44" s="4794">
        <f t="shared" si="20"/>
        <v>0</v>
      </c>
      <c r="CA44" s="4794">
        <f t="shared" si="21"/>
        <v>0</v>
      </c>
      <c r="CB44" s="4794">
        <f t="shared" si="22"/>
        <v>0</v>
      </c>
      <c r="CC44" s="4794">
        <f t="shared" si="23"/>
        <v>0</v>
      </c>
      <c r="CD44" s="4794">
        <f t="shared" si="24"/>
        <v>0</v>
      </c>
      <c r="CE44" s="4794">
        <f t="shared" si="25"/>
        <v>0</v>
      </c>
      <c r="CF44" s="4794">
        <f t="shared" si="26"/>
        <v>0</v>
      </c>
      <c r="CG44" s="4794">
        <f t="shared" si="27"/>
        <v>0</v>
      </c>
      <c r="CH44" s="4794">
        <f t="shared" si="28"/>
        <v>0</v>
      </c>
      <c r="CI44" s="4794">
        <f t="shared" si="29"/>
        <v>0</v>
      </c>
      <c r="CJ44" s="4794">
        <f t="shared" si="30"/>
        <v>0</v>
      </c>
    </row>
    <row r="45" spans="1:88" ht="15.95" customHeight="1">
      <c r="A45" s="854" t="s">
        <v>260</v>
      </c>
      <c r="B45" s="915" t="s">
        <v>630</v>
      </c>
      <c r="C45" s="1131">
        <f>'12. Разходи'!C45</f>
        <v>6</v>
      </c>
      <c r="D45" s="1160">
        <f>'12. Разходи'!D45-'12. Разходи'!$C45</f>
        <v>0</v>
      </c>
      <c r="E45" s="1140">
        <f>IFERROR(('12. Разходи'!D45-'12. Разходи'!$C45)/'12. Разходи'!$C45,0)</f>
        <v>0</v>
      </c>
      <c r="F45" s="926">
        <f>'12. Разходи'!E45-'12. Разходи'!$C45</f>
        <v>0</v>
      </c>
      <c r="G45" s="1148">
        <f>IFERROR(('12. Разходи'!E45-'12. Разходи'!$C45)/'12. Разходи'!$C45,0)</f>
        <v>0</v>
      </c>
      <c r="H45" s="926">
        <f>'12. Разходи'!F45-'12. Разходи'!$C45</f>
        <v>0</v>
      </c>
      <c r="I45" s="1148">
        <f>IFERROR(('12. Разходи'!F45-'12. Разходи'!$C45)/'12. Разходи'!$C45,0)</f>
        <v>0</v>
      </c>
      <c r="J45" s="926">
        <f>'12. Разходи'!G45-'12. Разходи'!$C45</f>
        <v>0</v>
      </c>
      <c r="K45" s="1147">
        <f>IFERROR(('12. Разходи'!G45-'12. Разходи'!$C45)/'12. Разходи'!$C45,0)</f>
        <v>0</v>
      </c>
      <c r="L45" s="1155">
        <f>'12. Разходи'!H45-'12. Разходи'!$C45</f>
        <v>0</v>
      </c>
      <c r="M45" s="1147">
        <f>IFERROR(('12. Разходи'!H45-'12. Разходи'!$C45)/'12. Разходи'!$C45,0)</f>
        <v>0</v>
      </c>
      <c r="N45" s="1196">
        <f>'12. Разходи'!K45</f>
        <v>0</v>
      </c>
      <c r="O45" s="1160">
        <f>'12. Разходи'!L45-'12. Разходи'!$K45</f>
        <v>0</v>
      </c>
      <c r="P45" s="1140">
        <f>IFERROR(('12. Разходи'!L45-'12. Разходи'!$K45)/'12. Разходи'!$K45,0)</f>
        <v>0</v>
      </c>
      <c r="Q45" s="926">
        <f>'12. Разходи'!M45-'12. Разходи'!$K45</f>
        <v>0</v>
      </c>
      <c r="R45" s="1148">
        <f>IFERROR(('12. Разходи'!M45-'12. Разходи'!$K45)/'12. Разходи'!$K45,0)</f>
        <v>0</v>
      </c>
      <c r="S45" s="926">
        <f>'12. Разходи'!N45-'12. Разходи'!$K45</f>
        <v>0</v>
      </c>
      <c r="T45" s="1148">
        <f>IFERROR(('12. Разходи'!N45-'12. Разходи'!$K45)/'12. Разходи'!$K45,0)</f>
        <v>0</v>
      </c>
      <c r="U45" s="926">
        <f>'12. Разходи'!O45-'12. Разходи'!$K45</f>
        <v>0</v>
      </c>
      <c r="V45" s="1147">
        <f>IFERROR(('12. Разходи'!O45-'12. Разходи'!$K45)/'12. Разходи'!$K45,0)</f>
        <v>0</v>
      </c>
      <c r="W45" s="1155">
        <f>'12. Разходи'!P45-'12. Разходи'!$K45</f>
        <v>0</v>
      </c>
      <c r="X45" s="1202">
        <f>IFERROR(('12. Разходи'!P45-'12. Разходи'!$K45)/'12. Разходи'!$K45,0)</f>
        <v>0</v>
      </c>
      <c r="Y45" s="1196">
        <f>'12. Разходи'!S45</f>
        <v>3</v>
      </c>
      <c r="Z45" s="1160">
        <f>'12. Разходи'!T45-'12. Разходи'!$S45</f>
        <v>0</v>
      </c>
      <c r="AA45" s="1140">
        <f>IFERROR(('12. Разходи'!T45-'12. Разходи'!$S45)/'12. Разходи'!$S45,0)</f>
        <v>0</v>
      </c>
      <c r="AB45" s="926">
        <f>'12. Разходи'!U45-'12. Разходи'!$S45</f>
        <v>0</v>
      </c>
      <c r="AC45" s="1148">
        <f>IFERROR(('12. Разходи'!U45-'12. Разходи'!$S45)/'12. Разходи'!$S45,0)</f>
        <v>0</v>
      </c>
      <c r="AD45" s="926">
        <f>'12. Разходи'!V45-'12. Разходи'!$S45</f>
        <v>0</v>
      </c>
      <c r="AE45" s="1148">
        <f>IFERROR(('12. Разходи'!V45-'12. Разходи'!$S45)/'12. Разходи'!$S45,0)</f>
        <v>0</v>
      </c>
      <c r="AF45" s="926">
        <f>'12. Разходи'!W45-'12. Разходи'!$S45</f>
        <v>0</v>
      </c>
      <c r="AG45" s="1147">
        <f>IFERROR(('12. Разходи'!W45-'12. Разходи'!$S45)/'12. Разходи'!$S45,0)</f>
        <v>0</v>
      </c>
      <c r="AH45" s="1155">
        <f>'12. Разходи'!X45-'12. Разходи'!$S45</f>
        <v>0</v>
      </c>
      <c r="AI45" s="1202">
        <f>IFERROR(('12. Разходи'!X45-'12. Разходи'!$S45)/'12. Разходи'!$S45,0)</f>
        <v>0</v>
      </c>
      <c r="AJ45" s="1196">
        <f>'12. Разходи'!AA45</f>
        <v>0</v>
      </c>
      <c r="AK45" s="1160">
        <f>'12. Разходи'!AB45-'12. Разходи'!$AA45</f>
        <v>0</v>
      </c>
      <c r="AL45" s="1140">
        <f>IFERROR(('12. Разходи'!AB45-'12. Разходи'!$AA45)/'12. Разходи'!$AA45,0)</f>
        <v>0</v>
      </c>
      <c r="AM45" s="926">
        <f>'12. Разходи'!AC45-'12. Разходи'!$AA45</f>
        <v>0</v>
      </c>
      <c r="AN45" s="1148">
        <f>IFERROR(('12. Разходи'!AC45-'12. Разходи'!$AA45)/'12. Разходи'!$AA45,0)</f>
        <v>0</v>
      </c>
      <c r="AO45" s="926">
        <f>'12. Разходи'!AD45-'12. Разходи'!$AA45</f>
        <v>0</v>
      </c>
      <c r="AP45" s="1148">
        <f>IFERROR(('12. Разходи'!AD45-'12. Разходи'!$AA45)/'12. Разходи'!$AA45,0)</f>
        <v>0</v>
      </c>
      <c r="AQ45" s="926">
        <f>'12. Разходи'!AE45-'12. Разходи'!$AA45</f>
        <v>0</v>
      </c>
      <c r="AR45" s="1147">
        <f>IFERROR(('12. Разходи'!AE45-'12. Разходи'!$AA45)/'12. Разходи'!$AA45,0)</f>
        <v>0</v>
      </c>
      <c r="AS45" s="1155">
        <f>'12. Разходи'!AF45-'12. Разходи'!$AA45</f>
        <v>0</v>
      </c>
      <c r="AT45" s="1202">
        <f>IFERROR(('12. Разходи'!AF45-'12. Разходи'!$AA45)/'12. Разходи'!$AA45,0)</f>
        <v>0</v>
      </c>
      <c r="AU45" s="1196">
        <f>'12. Разходи'!AI45</f>
        <v>0</v>
      </c>
      <c r="AV45" s="1160">
        <f>'12. Разходи'!AJ45-'12. Разходи'!$AI45</f>
        <v>0</v>
      </c>
      <c r="AW45" s="1140">
        <f>IFERROR(('12. Разходи'!AJ45-'12. Разходи'!$AI45)/'12. Разходи'!$AI45,0)</f>
        <v>0</v>
      </c>
      <c r="AX45" s="926">
        <f>'12. Разходи'!AK45-'12. Разходи'!$AI45</f>
        <v>0</v>
      </c>
      <c r="AY45" s="1148">
        <f>IFERROR(('12. Разходи'!AK45-'12. Разходи'!$AI45)/'12. Разходи'!$AI45,0)</f>
        <v>0</v>
      </c>
      <c r="AZ45" s="926">
        <f>'12. Разходи'!AL45-'12. Разходи'!$AI45</f>
        <v>0</v>
      </c>
      <c r="BA45" s="1148">
        <f>IFERROR(('12. Разходи'!AL45-'12. Разходи'!$AI45)/'12. Разходи'!$AI45,0)</f>
        <v>0</v>
      </c>
      <c r="BB45" s="926">
        <f>'12. Разходи'!AM45-'12. Разходи'!$AI45</f>
        <v>0</v>
      </c>
      <c r="BC45" s="1147">
        <f>IFERROR(('12. Разходи'!AM45-'12. Разходи'!$AI45)/'12. Разходи'!$AI45,0)</f>
        <v>0</v>
      </c>
      <c r="BD45" s="1155">
        <f>'12. Разходи'!AN45-'12. Разходи'!$AI45</f>
        <v>0</v>
      </c>
      <c r="BE45" s="1202">
        <f>IFERROR(('12. Разходи'!AN45-'12. Разходи'!$AI45)/'12. Разходи'!$AI45,0)</f>
        <v>0</v>
      </c>
      <c r="BF45" s="4775"/>
      <c r="BG45" s="4794">
        <f t="shared" si="1"/>
        <v>3.0677512871773112</v>
      </c>
      <c r="BH45" s="4794">
        <f t="shared" si="2"/>
        <v>0</v>
      </c>
      <c r="BI45" s="4794">
        <f t="shared" si="3"/>
        <v>0</v>
      </c>
      <c r="BJ45" s="4794">
        <f t="shared" si="4"/>
        <v>0</v>
      </c>
      <c r="BK45" s="4794">
        <f t="shared" si="5"/>
        <v>0</v>
      </c>
      <c r="BL45" s="4794">
        <f t="shared" si="6"/>
        <v>0</v>
      </c>
      <c r="BM45" s="4794">
        <f t="shared" si="7"/>
        <v>0</v>
      </c>
      <c r="BN45" s="4794">
        <f t="shared" si="8"/>
        <v>0</v>
      </c>
      <c r="BO45" s="4794">
        <f t="shared" si="9"/>
        <v>0</v>
      </c>
      <c r="BP45" s="4794">
        <f t="shared" si="10"/>
        <v>0</v>
      </c>
      <c r="BQ45" s="4794">
        <f t="shared" si="11"/>
        <v>0</v>
      </c>
      <c r="BR45" s="4794">
        <f t="shared" si="12"/>
        <v>0</v>
      </c>
      <c r="BS45" s="4794">
        <f t="shared" si="13"/>
        <v>1.5338756435886556</v>
      </c>
      <c r="BT45" s="4794">
        <f t="shared" si="14"/>
        <v>0</v>
      </c>
      <c r="BU45" s="4794">
        <f t="shared" si="15"/>
        <v>0</v>
      </c>
      <c r="BV45" s="4794">
        <f t="shared" si="16"/>
        <v>0</v>
      </c>
      <c r="BW45" s="4794">
        <f t="shared" si="17"/>
        <v>0</v>
      </c>
      <c r="BX45" s="4794">
        <f t="shared" si="18"/>
        <v>0</v>
      </c>
      <c r="BY45" s="4794">
        <f t="shared" si="19"/>
        <v>0</v>
      </c>
      <c r="BZ45" s="4794">
        <f t="shared" si="20"/>
        <v>0</v>
      </c>
      <c r="CA45" s="4794">
        <f t="shared" si="21"/>
        <v>0</v>
      </c>
      <c r="CB45" s="4794">
        <f t="shared" si="22"/>
        <v>0</v>
      </c>
      <c r="CC45" s="4794">
        <f t="shared" si="23"/>
        <v>0</v>
      </c>
      <c r="CD45" s="4794">
        <f t="shared" si="24"/>
        <v>0</v>
      </c>
      <c r="CE45" s="4794">
        <f t="shared" si="25"/>
        <v>0</v>
      </c>
      <c r="CF45" s="4794">
        <f t="shared" si="26"/>
        <v>0</v>
      </c>
      <c r="CG45" s="4794">
        <f t="shared" si="27"/>
        <v>0</v>
      </c>
      <c r="CH45" s="4794">
        <f t="shared" si="28"/>
        <v>0</v>
      </c>
      <c r="CI45" s="4794">
        <f t="shared" si="29"/>
        <v>0</v>
      </c>
      <c r="CJ45" s="4794">
        <f t="shared" si="30"/>
        <v>0</v>
      </c>
    </row>
    <row r="46" spans="1:88" ht="15.95" customHeight="1">
      <c r="A46" s="854" t="s">
        <v>262</v>
      </c>
      <c r="B46" s="915" t="s">
        <v>685</v>
      </c>
      <c r="C46" s="1131">
        <f>'12. Разходи'!C46</f>
        <v>63</v>
      </c>
      <c r="D46" s="1160">
        <f>'12. Разходи'!D46-'12. Разходи'!$C46</f>
        <v>0</v>
      </c>
      <c r="E46" s="1140">
        <f>IFERROR(('12. Разходи'!D46-'12. Разходи'!$C46)/'12. Разходи'!$C46,0)</f>
        <v>0</v>
      </c>
      <c r="F46" s="926">
        <f>'12. Разходи'!E46-'12. Разходи'!$C46</f>
        <v>0</v>
      </c>
      <c r="G46" s="1148">
        <f>IFERROR(('12. Разходи'!E46-'12. Разходи'!$C46)/'12. Разходи'!$C46,0)</f>
        <v>0</v>
      </c>
      <c r="H46" s="926">
        <f>'12. Разходи'!F46-'12. Разходи'!$C46</f>
        <v>0</v>
      </c>
      <c r="I46" s="1148">
        <f>IFERROR(('12. Разходи'!F46-'12. Разходи'!$C46)/'12. Разходи'!$C46,0)</f>
        <v>0</v>
      </c>
      <c r="J46" s="926">
        <f>'12. Разходи'!G46-'12. Разходи'!$C46</f>
        <v>0</v>
      </c>
      <c r="K46" s="1147">
        <f>IFERROR(('12. Разходи'!G46-'12. Разходи'!$C46)/'12. Разходи'!$C46,0)</f>
        <v>0</v>
      </c>
      <c r="L46" s="1155">
        <f>'12. Разходи'!H46-'12. Разходи'!$C46</f>
        <v>0</v>
      </c>
      <c r="M46" s="1147">
        <f>IFERROR(('12. Разходи'!H46-'12. Разходи'!$C46)/'12. Разходи'!$C46,0)</f>
        <v>0</v>
      </c>
      <c r="N46" s="1196">
        <f>'12. Разходи'!K46</f>
        <v>4</v>
      </c>
      <c r="O46" s="1160">
        <f>'12. Разходи'!L46-'12. Разходи'!$K46</f>
        <v>0</v>
      </c>
      <c r="P46" s="1140">
        <f>IFERROR(('12. Разходи'!L46-'12. Разходи'!$K46)/'12. Разходи'!$K46,0)</f>
        <v>0</v>
      </c>
      <c r="Q46" s="926">
        <f>'12. Разходи'!M46-'12. Разходи'!$K46</f>
        <v>0</v>
      </c>
      <c r="R46" s="1148">
        <f>IFERROR(('12. Разходи'!M46-'12. Разходи'!$K46)/'12. Разходи'!$K46,0)</f>
        <v>0</v>
      </c>
      <c r="S46" s="926">
        <f>'12. Разходи'!N46-'12. Разходи'!$K46</f>
        <v>0</v>
      </c>
      <c r="T46" s="1148">
        <f>IFERROR(('12. Разходи'!N46-'12. Разходи'!$K46)/'12. Разходи'!$K46,0)</f>
        <v>0</v>
      </c>
      <c r="U46" s="926">
        <f>'12. Разходи'!O46-'12. Разходи'!$K46</f>
        <v>0</v>
      </c>
      <c r="V46" s="1147">
        <f>IFERROR(('12. Разходи'!O46-'12. Разходи'!$K46)/'12. Разходи'!$K46,0)</f>
        <v>0</v>
      </c>
      <c r="W46" s="1155">
        <f>'12. Разходи'!P46-'12. Разходи'!$K46</f>
        <v>0</v>
      </c>
      <c r="X46" s="1202">
        <f>IFERROR(('12. Разходи'!P46-'12. Разходи'!$K46)/'12. Разходи'!$K46,0)</f>
        <v>0</v>
      </c>
      <c r="Y46" s="1196">
        <f>'12. Разходи'!S46</f>
        <v>6</v>
      </c>
      <c r="Z46" s="1160">
        <f>'12. Разходи'!T46-'12. Разходи'!$S46</f>
        <v>0</v>
      </c>
      <c r="AA46" s="1140">
        <f>IFERROR(('12. Разходи'!T46-'12. Разходи'!$S46)/'12. Разходи'!$S46,0)</f>
        <v>0</v>
      </c>
      <c r="AB46" s="926">
        <f>'12. Разходи'!U46-'12. Разходи'!$S46</f>
        <v>0</v>
      </c>
      <c r="AC46" s="1148">
        <f>IFERROR(('12. Разходи'!U46-'12. Разходи'!$S46)/'12. Разходи'!$S46,0)</f>
        <v>0</v>
      </c>
      <c r="AD46" s="926">
        <f>'12. Разходи'!V46-'12. Разходи'!$S46</f>
        <v>0</v>
      </c>
      <c r="AE46" s="1148">
        <f>IFERROR(('12. Разходи'!V46-'12. Разходи'!$S46)/'12. Разходи'!$S46,0)</f>
        <v>0</v>
      </c>
      <c r="AF46" s="926">
        <f>'12. Разходи'!W46-'12. Разходи'!$S46</f>
        <v>0</v>
      </c>
      <c r="AG46" s="1147">
        <f>IFERROR(('12. Разходи'!W46-'12. Разходи'!$S46)/'12. Разходи'!$S46,0)</f>
        <v>0</v>
      </c>
      <c r="AH46" s="1155">
        <f>'12. Разходи'!X46-'12. Разходи'!$S46</f>
        <v>0</v>
      </c>
      <c r="AI46" s="1202">
        <f>IFERROR(('12. Разходи'!X46-'12. Разходи'!$S46)/'12. Разходи'!$S46,0)</f>
        <v>0</v>
      </c>
      <c r="AJ46" s="1196">
        <f>'12. Разходи'!AA46</f>
        <v>0</v>
      </c>
      <c r="AK46" s="1160">
        <f>'12. Разходи'!AB46-'12. Разходи'!$AA46</f>
        <v>0</v>
      </c>
      <c r="AL46" s="1140">
        <f>IFERROR(('12. Разходи'!AB46-'12. Разходи'!$AA46)/'12. Разходи'!$AA46,0)</f>
        <v>0</v>
      </c>
      <c r="AM46" s="926">
        <f>'12. Разходи'!AC46-'12. Разходи'!$AA46</f>
        <v>0</v>
      </c>
      <c r="AN46" s="1148">
        <f>IFERROR(('12. Разходи'!AC46-'12. Разходи'!$AA46)/'12. Разходи'!$AA46,0)</f>
        <v>0</v>
      </c>
      <c r="AO46" s="926">
        <f>'12. Разходи'!AD46-'12. Разходи'!$AA46</f>
        <v>0</v>
      </c>
      <c r="AP46" s="1148">
        <f>IFERROR(('12. Разходи'!AD46-'12. Разходи'!$AA46)/'12. Разходи'!$AA46,0)</f>
        <v>0</v>
      </c>
      <c r="AQ46" s="926">
        <f>'12. Разходи'!AE46-'12. Разходи'!$AA46</f>
        <v>0</v>
      </c>
      <c r="AR46" s="1147">
        <f>IFERROR(('12. Разходи'!AE46-'12. Разходи'!$AA46)/'12. Разходи'!$AA46,0)</f>
        <v>0</v>
      </c>
      <c r="AS46" s="1155">
        <f>'12. Разходи'!AF46-'12. Разходи'!$AA46</f>
        <v>0</v>
      </c>
      <c r="AT46" s="1202">
        <f>IFERROR(('12. Разходи'!AF46-'12. Разходи'!$AA46)/'12. Разходи'!$AA46,0)</f>
        <v>0</v>
      </c>
      <c r="AU46" s="1196">
        <f>'12. Разходи'!AI46</f>
        <v>0</v>
      </c>
      <c r="AV46" s="1160">
        <f>'12. Разходи'!AJ46-'12. Разходи'!$AI46</f>
        <v>0</v>
      </c>
      <c r="AW46" s="1140">
        <f>IFERROR(('12. Разходи'!AJ46-'12. Разходи'!$AI46)/'12. Разходи'!$AI46,0)</f>
        <v>0</v>
      </c>
      <c r="AX46" s="926">
        <f>'12. Разходи'!AK46-'12. Разходи'!$AI46</f>
        <v>0</v>
      </c>
      <c r="AY46" s="1148">
        <f>IFERROR(('12. Разходи'!AK46-'12. Разходи'!$AI46)/'12. Разходи'!$AI46,0)</f>
        <v>0</v>
      </c>
      <c r="AZ46" s="926">
        <f>'12. Разходи'!AL46-'12. Разходи'!$AI46</f>
        <v>0</v>
      </c>
      <c r="BA46" s="1148">
        <f>IFERROR(('12. Разходи'!AL46-'12. Разходи'!$AI46)/'12. Разходи'!$AI46,0)</f>
        <v>0</v>
      </c>
      <c r="BB46" s="926">
        <f>'12. Разходи'!AM46-'12. Разходи'!$AI46</f>
        <v>0</v>
      </c>
      <c r="BC46" s="1147">
        <f>IFERROR(('12. Разходи'!AM46-'12. Разходи'!$AI46)/'12. Разходи'!$AI46,0)</f>
        <v>0</v>
      </c>
      <c r="BD46" s="1155">
        <f>'12. Разходи'!AN46-'12. Разходи'!$AI46</f>
        <v>0</v>
      </c>
      <c r="BE46" s="1202">
        <f>IFERROR(('12. Разходи'!AN46-'12. Разходи'!$AI46)/'12. Разходи'!$AI46,0)</f>
        <v>0</v>
      </c>
      <c r="BF46" s="4775"/>
      <c r="BG46" s="4794">
        <f t="shared" si="1"/>
        <v>32.211388515361769</v>
      </c>
      <c r="BH46" s="4794">
        <f t="shared" si="2"/>
        <v>0</v>
      </c>
      <c r="BI46" s="4794">
        <f t="shared" si="3"/>
        <v>0</v>
      </c>
      <c r="BJ46" s="4794">
        <f t="shared" si="4"/>
        <v>0</v>
      </c>
      <c r="BK46" s="4794">
        <f t="shared" si="5"/>
        <v>0</v>
      </c>
      <c r="BL46" s="4794">
        <f t="shared" si="6"/>
        <v>0</v>
      </c>
      <c r="BM46" s="4794">
        <f t="shared" si="7"/>
        <v>2.045167524784874</v>
      </c>
      <c r="BN46" s="4794">
        <f t="shared" si="8"/>
        <v>0</v>
      </c>
      <c r="BO46" s="4794">
        <f t="shared" si="9"/>
        <v>0</v>
      </c>
      <c r="BP46" s="4794">
        <f t="shared" si="10"/>
        <v>0</v>
      </c>
      <c r="BQ46" s="4794">
        <f t="shared" si="11"/>
        <v>0</v>
      </c>
      <c r="BR46" s="4794">
        <f t="shared" si="12"/>
        <v>0</v>
      </c>
      <c r="BS46" s="4794">
        <f t="shared" si="13"/>
        <v>3.0677512871773112</v>
      </c>
      <c r="BT46" s="4794">
        <f t="shared" si="14"/>
        <v>0</v>
      </c>
      <c r="BU46" s="4794">
        <f t="shared" si="15"/>
        <v>0</v>
      </c>
      <c r="BV46" s="4794">
        <f t="shared" si="16"/>
        <v>0</v>
      </c>
      <c r="BW46" s="4794">
        <f t="shared" si="17"/>
        <v>0</v>
      </c>
      <c r="BX46" s="4794">
        <f t="shared" si="18"/>
        <v>0</v>
      </c>
      <c r="BY46" s="4794">
        <f t="shared" si="19"/>
        <v>0</v>
      </c>
      <c r="BZ46" s="4794">
        <f t="shared" si="20"/>
        <v>0</v>
      </c>
      <c r="CA46" s="4794">
        <f t="shared" si="21"/>
        <v>0</v>
      </c>
      <c r="CB46" s="4794">
        <f t="shared" si="22"/>
        <v>0</v>
      </c>
      <c r="CC46" s="4794">
        <f t="shared" si="23"/>
        <v>0</v>
      </c>
      <c r="CD46" s="4794">
        <f t="shared" si="24"/>
        <v>0</v>
      </c>
      <c r="CE46" s="4794">
        <f t="shared" si="25"/>
        <v>0</v>
      </c>
      <c r="CF46" s="4794">
        <f t="shared" si="26"/>
        <v>0</v>
      </c>
      <c r="CG46" s="4794">
        <f t="shared" si="27"/>
        <v>0</v>
      </c>
      <c r="CH46" s="4794">
        <f t="shared" si="28"/>
        <v>0</v>
      </c>
      <c r="CI46" s="4794">
        <f t="shared" si="29"/>
        <v>0</v>
      </c>
      <c r="CJ46" s="4794">
        <f t="shared" si="30"/>
        <v>0</v>
      </c>
    </row>
    <row r="47" spans="1:88" ht="15.95" customHeight="1">
      <c r="A47" s="854" t="s">
        <v>444</v>
      </c>
      <c r="B47" s="915" t="s">
        <v>443</v>
      </c>
      <c r="C47" s="1131">
        <f>'12. Разходи'!C47</f>
        <v>7</v>
      </c>
      <c r="D47" s="1160">
        <f>'12. Разходи'!D47-'12. Разходи'!$C47</f>
        <v>0</v>
      </c>
      <c r="E47" s="1140">
        <f>IFERROR(('12. Разходи'!D47-'12. Разходи'!$C47)/'12. Разходи'!$C47,0)</f>
        <v>0</v>
      </c>
      <c r="F47" s="926">
        <f>'12. Разходи'!E47-'12. Разходи'!$C47</f>
        <v>0</v>
      </c>
      <c r="G47" s="1148">
        <f>IFERROR(('12. Разходи'!E47-'12. Разходи'!$C47)/'12. Разходи'!$C47,0)</f>
        <v>0</v>
      </c>
      <c r="H47" s="926">
        <f>'12. Разходи'!F47-'12. Разходи'!$C47</f>
        <v>0</v>
      </c>
      <c r="I47" s="1148">
        <f>IFERROR(('12. Разходи'!F47-'12. Разходи'!$C47)/'12. Разходи'!$C47,0)</f>
        <v>0</v>
      </c>
      <c r="J47" s="926">
        <f>'12. Разходи'!G47-'12. Разходи'!$C47</f>
        <v>0</v>
      </c>
      <c r="K47" s="1147">
        <f>IFERROR(('12. Разходи'!G47-'12. Разходи'!$C47)/'12. Разходи'!$C47,0)</f>
        <v>0</v>
      </c>
      <c r="L47" s="1155">
        <f>'12. Разходи'!H47-'12. Разходи'!$C47</f>
        <v>0</v>
      </c>
      <c r="M47" s="1147">
        <f>IFERROR(('12. Разходи'!H47-'12. Разходи'!$C47)/'12. Разходи'!$C47,0)</f>
        <v>0</v>
      </c>
      <c r="N47" s="1196">
        <f>'12. Разходи'!K47</f>
        <v>1</v>
      </c>
      <c r="O47" s="1160">
        <f>'12. Разходи'!L47-'12. Разходи'!$K47</f>
        <v>0</v>
      </c>
      <c r="P47" s="1140">
        <f>IFERROR(('12. Разходи'!L47-'12. Разходи'!$K47)/'12. Разходи'!$K47,0)</f>
        <v>0</v>
      </c>
      <c r="Q47" s="926">
        <f>'12. Разходи'!M47-'12. Разходи'!$K47</f>
        <v>0</v>
      </c>
      <c r="R47" s="1148">
        <f>IFERROR(('12. Разходи'!M47-'12. Разходи'!$K47)/'12. Разходи'!$K47,0)</f>
        <v>0</v>
      </c>
      <c r="S47" s="926">
        <f>'12. Разходи'!N47-'12. Разходи'!$K47</f>
        <v>0</v>
      </c>
      <c r="T47" s="1148">
        <f>IFERROR(('12. Разходи'!N47-'12. Разходи'!$K47)/'12. Разходи'!$K47,0)</f>
        <v>0</v>
      </c>
      <c r="U47" s="926">
        <f>'12. Разходи'!O47-'12. Разходи'!$K47</f>
        <v>0</v>
      </c>
      <c r="V47" s="1147">
        <f>IFERROR(('12. Разходи'!O47-'12. Разходи'!$K47)/'12. Разходи'!$K47,0)</f>
        <v>0</v>
      </c>
      <c r="W47" s="1155">
        <f>'12. Разходи'!P47-'12. Разходи'!$K47</f>
        <v>0</v>
      </c>
      <c r="X47" s="1202">
        <f>IFERROR(('12. Разходи'!P47-'12. Разходи'!$K47)/'12. Разходи'!$K47,0)</f>
        <v>0</v>
      </c>
      <c r="Y47" s="1196">
        <f>'12. Разходи'!S47</f>
        <v>2</v>
      </c>
      <c r="Z47" s="1160">
        <f>'12. Разходи'!T47-'12. Разходи'!$S47</f>
        <v>0</v>
      </c>
      <c r="AA47" s="1140">
        <f>IFERROR(('12. Разходи'!T47-'12. Разходи'!$S47)/'12. Разходи'!$S47,0)</f>
        <v>0</v>
      </c>
      <c r="AB47" s="926">
        <f>'12. Разходи'!U47-'12. Разходи'!$S47</f>
        <v>0</v>
      </c>
      <c r="AC47" s="1148">
        <f>IFERROR(('12. Разходи'!U47-'12. Разходи'!$S47)/'12. Разходи'!$S47,0)</f>
        <v>0</v>
      </c>
      <c r="AD47" s="926">
        <f>'12. Разходи'!V47-'12. Разходи'!$S47</f>
        <v>0</v>
      </c>
      <c r="AE47" s="1148">
        <f>IFERROR(('12. Разходи'!V47-'12. Разходи'!$S47)/'12. Разходи'!$S47,0)</f>
        <v>0</v>
      </c>
      <c r="AF47" s="926">
        <f>'12. Разходи'!W47-'12. Разходи'!$S47</f>
        <v>0</v>
      </c>
      <c r="AG47" s="1147">
        <f>IFERROR(('12. Разходи'!W47-'12. Разходи'!$S47)/'12. Разходи'!$S47,0)</f>
        <v>0</v>
      </c>
      <c r="AH47" s="1155">
        <f>'12. Разходи'!X47-'12. Разходи'!$S47</f>
        <v>0</v>
      </c>
      <c r="AI47" s="1202">
        <f>IFERROR(('12. Разходи'!X47-'12. Разходи'!$S47)/'12. Разходи'!$S47,0)</f>
        <v>0</v>
      </c>
      <c r="AJ47" s="1196">
        <f>'12. Разходи'!AA47</f>
        <v>0</v>
      </c>
      <c r="AK47" s="1160">
        <f>'12. Разходи'!AB47-'12. Разходи'!$AA47</f>
        <v>0</v>
      </c>
      <c r="AL47" s="1140">
        <f>IFERROR(('12. Разходи'!AB47-'12. Разходи'!$AA47)/'12. Разходи'!$AA47,0)</f>
        <v>0</v>
      </c>
      <c r="AM47" s="926">
        <f>'12. Разходи'!AC47-'12. Разходи'!$AA47</f>
        <v>0</v>
      </c>
      <c r="AN47" s="1148">
        <f>IFERROR(('12. Разходи'!AC47-'12. Разходи'!$AA47)/'12. Разходи'!$AA47,0)</f>
        <v>0</v>
      </c>
      <c r="AO47" s="926">
        <f>'12. Разходи'!AD47-'12. Разходи'!$AA47</f>
        <v>0</v>
      </c>
      <c r="AP47" s="1148">
        <f>IFERROR(('12. Разходи'!AD47-'12. Разходи'!$AA47)/'12. Разходи'!$AA47,0)</f>
        <v>0</v>
      </c>
      <c r="AQ47" s="926">
        <f>'12. Разходи'!AE47-'12. Разходи'!$AA47</f>
        <v>0</v>
      </c>
      <c r="AR47" s="1147">
        <f>IFERROR(('12. Разходи'!AE47-'12. Разходи'!$AA47)/'12. Разходи'!$AA47,0)</f>
        <v>0</v>
      </c>
      <c r="AS47" s="1155">
        <f>'12. Разходи'!AF47-'12. Разходи'!$AA47</f>
        <v>0</v>
      </c>
      <c r="AT47" s="1202">
        <f>IFERROR(('12. Разходи'!AF47-'12. Разходи'!$AA47)/'12. Разходи'!$AA47,0)</f>
        <v>0</v>
      </c>
      <c r="AU47" s="1196">
        <f>'12. Разходи'!AI47</f>
        <v>0</v>
      </c>
      <c r="AV47" s="1160">
        <f>'12. Разходи'!AJ47-'12. Разходи'!$AI47</f>
        <v>0</v>
      </c>
      <c r="AW47" s="1140">
        <f>IFERROR(('12. Разходи'!AJ47-'12. Разходи'!$AI47)/'12. Разходи'!$AI47,0)</f>
        <v>0</v>
      </c>
      <c r="AX47" s="926">
        <f>'12. Разходи'!AK47-'12. Разходи'!$AI47</f>
        <v>0</v>
      </c>
      <c r="AY47" s="1148">
        <f>IFERROR(('12. Разходи'!AK47-'12. Разходи'!$AI47)/'12. Разходи'!$AI47,0)</f>
        <v>0</v>
      </c>
      <c r="AZ47" s="926">
        <f>'12. Разходи'!AL47-'12. Разходи'!$AI47</f>
        <v>0</v>
      </c>
      <c r="BA47" s="1148">
        <f>IFERROR(('12. Разходи'!AL47-'12. Разходи'!$AI47)/'12. Разходи'!$AI47,0)</f>
        <v>0</v>
      </c>
      <c r="BB47" s="926">
        <f>'12. Разходи'!AM47-'12. Разходи'!$AI47</f>
        <v>0</v>
      </c>
      <c r="BC47" s="1147">
        <f>IFERROR(('12. Разходи'!AM47-'12. Разходи'!$AI47)/'12. Разходи'!$AI47,0)</f>
        <v>0</v>
      </c>
      <c r="BD47" s="1155">
        <f>'12. Разходи'!AN47-'12. Разходи'!$AI47</f>
        <v>0</v>
      </c>
      <c r="BE47" s="1202">
        <f>IFERROR(('12. Разходи'!AN47-'12. Разходи'!$AI47)/'12. Разходи'!$AI47,0)</f>
        <v>0</v>
      </c>
      <c r="BF47" s="4775"/>
      <c r="BG47" s="4794">
        <f t="shared" si="1"/>
        <v>3.5790431683735293</v>
      </c>
      <c r="BH47" s="4794">
        <f t="shared" si="2"/>
        <v>0</v>
      </c>
      <c r="BI47" s="4794">
        <f t="shared" si="3"/>
        <v>0</v>
      </c>
      <c r="BJ47" s="4794">
        <f t="shared" si="4"/>
        <v>0</v>
      </c>
      <c r="BK47" s="4794">
        <f t="shared" si="5"/>
        <v>0</v>
      </c>
      <c r="BL47" s="4794">
        <f t="shared" si="6"/>
        <v>0</v>
      </c>
      <c r="BM47" s="4794">
        <f t="shared" si="7"/>
        <v>0.51129188119621849</v>
      </c>
      <c r="BN47" s="4794">
        <f t="shared" si="8"/>
        <v>0</v>
      </c>
      <c r="BO47" s="4794">
        <f t="shared" si="9"/>
        <v>0</v>
      </c>
      <c r="BP47" s="4794">
        <f t="shared" si="10"/>
        <v>0</v>
      </c>
      <c r="BQ47" s="4794">
        <f t="shared" si="11"/>
        <v>0</v>
      </c>
      <c r="BR47" s="4794">
        <f t="shared" si="12"/>
        <v>0</v>
      </c>
      <c r="BS47" s="4794">
        <f t="shared" si="13"/>
        <v>1.022583762392437</v>
      </c>
      <c r="BT47" s="4794">
        <f t="shared" si="14"/>
        <v>0</v>
      </c>
      <c r="BU47" s="4794">
        <f t="shared" si="15"/>
        <v>0</v>
      </c>
      <c r="BV47" s="4794">
        <f t="shared" si="16"/>
        <v>0</v>
      </c>
      <c r="BW47" s="4794">
        <f t="shared" si="17"/>
        <v>0</v>
      </c>
      <c r="BX47" s="4794">
        <f t="shared" si="18"/>
        <v>0</v>
      </c>
      <c r="BY47" s="4794">
        <f t="shared" si="19"/>
        <v>0</v>
      </c>
      <c r="BZ47" s="4794">
        <f t="shared" si="20"/>
        <v>0</v>
      </c>
      <c r="CA47" s="4794">
        <f t="shared" si="21"/>
        <v>0</v>
      </c>
      <c r="CB47" s="4794">
        <f t="shared" si="22"/>
        <v>0</v>
      </c>
      <c r="CC47" s="4794">
        <f t="shared" si="23"/>
        <v>0</v>
      </c>
      <c r="CD47" s="4794">
        <f t="shared" si="24"/>
        <v>0</v>
      </c>
      <c r="CE47" s="4794">
        <f t="shared" si="25"/>
        <v>0</v>
      </c>
      <c r="CF47" s="4794">
        <f t="shared" si="26"/>
        <v>0</v>
      </c>
      <c r="CG47" s="4794">
        <f t="shared" si="27"/>
        <v>0</v>
      </c>
      <c r="CH47" s="4794">
        <f t="shared" si="28"/>
        <v>0</v>
      </c>
      <c r="CI47" s="4794">
        <f t="shared" si="29"/>
        <v>0</v>
      </c>
      <c r="CJ47" s="4794">
        <f t="shared" si="30"/>
        <v>0</v>
      </c>
    </row>
    <row r="48" spans="1:88" s="692" customFormat="1" ht="15.95" customHeight="1">
      <c r="A48" s="854" t="s">
        <v>601</v>
      </c>
      <c r="B48" s="915" t="s">
        <v>641</v>
      </c>
      <c r="C48" s="1131">
        <f>'12. Разходи'!C48</f>
        <v>542</v>
      </c>
      <c r="D48" s="1162">
        <f>'12. Разходи'!D48-'12. Разходи'!$C48</f>
        <v>0</v>
      </c>
      <c r="E48" s="896">
        <f>IFERROR(('12. Разходи'!D48-'12. Разходи'!$C48)/'12. Разходи'!$C48,0)</f>
        <v>0</v>
      </c>
      <c r="F48" s="1152">
        <f>'12. Разходи'!E48-'12. Разходи'!$C48</f>
        <v>0</v>
      </c>
      <c r="G48" s="896">
        <f>IFERROR(('12. Разходи'!E48-'12. Разходи'!$C48)/'12. Разходи'!$C48,0)</f>
        <v>0</v>
      </c>
      <c r="H48" s="1152">
        <f>'12. Разходи'!F48-'12. Разходи'!$C48</f>
        <v>0</v>
      </c>
      <c r="I48" s="896">
        <f>IFERROR(('12. Разходи'!F48-'12. Разходи'!$C48)/'12. Разходи'!$C48,0)</f>
        <v>0</v>
      </c>
      <c r="J48" s="1152">
        <f>'12. Разходи'!G48-'12. Разходи'!$C48</f>
        <v>0</v>
      </c>
      <c r="K48" s="905">
        <f>IFERROR(('12. Разходи'!G48-'12. Разходи'!$C48)/'12. Разходи'!$C48,0)</f>
        <v>0</v>
      </c>
      <c r="L48" s="1152">
        <f>'12. Разходи'!H48-'12. Разходи'!$C48</f>
        <v>0</v>
      </c>
      <c r="M48" s="905">
        <f>IFERROR(('12. Разходи'!H48-'12. Разходи'!$C48)/'12. Разходи'!$C48,0)</f>
        <v>0</v>
      </c>
      <c r="N48" s="1182">
        <f>'12. Разходи'!K48</f>
        <v>259</v>
      </c>
      <c r="O48" s="1162">
        <f>'12. Разходи'!L48-'12. Разходи'!$K48</f>
        <v>0</v>
      </c>
      <c r="P48" s="896">
        <f>IFERROR(('12. Разходи'!L48-'12. Разходи'!$K48)/'12. Разходи'!$K48,0)</f>
        <v>0</v>
      </c>
      <c r="Q48" s="1152">
        <f>'12. Разходи'!M48-'12. Разходи'!$K48</f>
        <v>0</v>
      </c>
      <c r="R48" s="896">
        <f>IFERROR(('12. Разходи'!M48-'12. Разходи'!$K48)/'12. Разходи'!$K48,0)</f>
        <v>0</v>
      </c>
      <c r="S48" s="1152">
        <f>'12. Разходи'!N48-'12. Разходи'!$K48</f>
        <v>0</v>
      </c>
      <c r="T48" s="896">
        <f>IFERROR(('12. Разходи'!N48-'12. Разходи'!$K48)/'12. Разходи'!$K48,0)</f>
        <v>0</v>
      </c>
      <c r="U48" s="1152">
        <f>'12. Разходи'!O48-'12. Разходи'!$K48</f>
        <v>0</v>
      </c>
      <c r="V48" s="905">
        <f>IFERROR(('12. Разходи'!O48-'12. Разходи'!$K48)/'12. Разходи'!$K48,0)</f>
        <v>0</v>
      </c>
      <c r="W48" s="1152">
        <f>'12. Разходи'!P48-'12. Разходи'!$K48</f>
        <v>0</v>
      </c>
      <c r="X48" s="910">
        <f>IFERROR(('12. Разходи'!P48-'12. Разходи'!$K48)/'12. Разходи'!$K48,0)</f>
        <v>0</v>
      </c>
      <c r="Y48" s="1182">
        <f>'12. Разходи'!S48</f>
        <v>121</v>
      </c>
      <c r="Z48" s="1162">
        <f>'12. Разходи'!T48-'12. Разходи'!$S48</f>
        <v>0</v>
      </c>
      <c r="AA48" s="896">
        <f>IFERROR(('12. Разходи'!T48-'12. Разходи'!$S48)/'12. Разходи'!$S48,0)</f>
        <v>0</v>
      </c>
      <c r="AB48" s="1152">
        <f>'12. Разходи'!U48-'12. Разходи'!$S48</f>
        <v>0</v>
      </c>
      <c r="AC48" s="896">
        <f>IFERROR(('12. Разходи'!U48-'12. Разходи'!$S48)/'12. Разходи'!$S48,0)</f>
        <v>0</v>
      </c>
      <c r="AD48" s="1152">
        <f>'12. Разходи'!V48-'12. Разходи'!$S48</f>
        <v>0</v>
      </c>
      <c r="AE48" s="896">
        <f>IFERROR(('12. Разходи'!V48-'12. Разходи'!$S48)/'12. Разходи'!$S48,0)</f>
        <v>0</v>
      </c>
      <c r="AF48" s="1152">
        <f>'12. Разходи'!W48-'12. Разходи'!$S48</f>
        <v>0</v>
      </c>
      <c r="AG48" s="905">
        <f>IFERROR(('12. Разходи'!W48-'12. Разходи'!$S48)/'12. Разходи'!$S48,0)</f>
        <v>0</v>
      </c>
      <c r="AH48" s="1152">
        <f>'12. Разходи'!X48-'12. Разходи'!$S48</f>
        <v>0</v>
      </c>
      <c r="AI48" s="910">
        <f>IFERROR(('12. Разходи'!X48-'12. Разходи'!$S48)/'12. Разходи'!$S48,0)</f>
        <v>0</v>
      </c>
      <c r="AJ48" s="1182">
        <f>'12. Разходи'!AA48</f>
        <v>0</v>
      </c>
      <c r="AK48" s="1162">
        <f>'12. Разходи'!AB48-'12. Разходи'!$AA48</f>
        <v>0</v>
      </c>
      <c r="AL48" s="896">
        <f>IFERROR(('12. Разходи'!AB48-'12. Разходи'!$AA48)/'12. Разходи'!$AA48,0)</f>
        <v>0</v>
      </c>
      <c r="AM48" s="1152">
        <f>'12. Разходи'!AC48-'12. Разходи'!$AA48</f>
        <v>0</v>
      </c>
      <c r="AN48" s="896">
        <f>IFERROR(('12. Разходи'!AC48-'12. Разходи'!$AA48)/'12. Разходи'!$AA48,0)</f>
        <v>0</v>
      </c>
      <c r="AO48" s="1152">
        <f>'12. Разходи'!AD48-'12. Разходи'!$AA48</f>
        <v>0</v>
      </c>
      <c r="AP48" s="896">
        <f>IFERROR(('12. Разходи'!AD48-'12. Разходи'!$AA48)/'12. Разходи'!$AA48,0)</f>
        <v>0</v>
      </c>
      <c r="AQ48" s="1152">
        <f>'12. Разходи'!AE48-'12. Разходи'!$AA48</f>
        <v>0</v>
      </c>
      <c r="AR48" s="905">
        <f>IFERROR(('12. Разходи'!AE48-'12. Разходи'!$AA48)/'12. Разходи'!$AA48,0)</f>
        <v>0</v>
      </c>
      <c r="AS48" s="1152">
        <f>'12. Разходи'!AF48-'12. Разходи'!$AA48</f>
        <v>0</v>
      </c>
      <c r="AT48" s="910">
        <f>IFERROR(('12. Разходи'!AF48-'12. Разходи'!$AA48)/'12. Разходи'!$AA48,0)</f>
        <v>0</v>
      </c>
      <c r="AU48" s="1182">
        <f>'12. Разходи'!AI48</f>
        <v>0</v>
      </c>
      <c r="AV48" s="1162">
        <f>'12. Разходи'!AJ48-'12. Разходи'!$AI48</f>
        <v>0</v>
      </c>
      <c r="AW48" s="896">
        <f>IFERROR(('12. Разходи'!AJ48-'12. Разходи'!$AI48)/'12. Разходи'!$AI48,0)</f>
        <v>0</v>
      </c>
      <c r="AX48" s="1152">
        <f>'12. Разходи'!AK48-'12. Разходи'!$AI48</f>
        <v>0</v>
      </c>
      <c r="AY48" s="896">
        <f>IFERROR(('12. Разходи'!AK48-'12. Разходи'!$AI48)/'12. Разходи'!$AI48,0)</f>
        <v>0</v>
      </c>
      <c r="AZ48" s="1152">
        <f>'12. Разходи'!AL48-'12. Разходи'!$AI48</f>
        <v>0</v>
      </c>
      <c r="BA48" s="896">
        <f>IFERROR(('12. Разходи'!AL48-'12. Разходи'!$AI48)/'12. Разходи'!$AI48,0)</f>
        <v>0</v>
      </c>
      <c r="BB48" s="1152">
        <f>'12. Разходи'!AM48-'12. Разходи'!$AI48</f>
        <v>0</v>
      </c>
      <c r="BC48" s="905">
        <f>IFERROR(('12. Разходи'!AM48-'12. Разходи'!$AI48)/'12. Разходи'!$AI48,0)</f>
        <v>0</v>
      </c>
      <c r="BD48" s="1152">
        <f>'12. Разходи'!AN48-'12. Разходи'!$AI48</f>
        <v>0</v>
      </c>
      <c r="BE48" s="910">
        <f>IFERROR(('12. Разходи'!AN48-'12. Разходи'!$AI48)/'12. Разходи'!$AI48,0)</f>
        <v>0</v>
      </c>
      <c r="BF48" s="4775"/>
      <c r="BG48" s="4794">
        <f t="shared" si="1"/>
        <v>277.12019960835045</v>
      </c>
      <c r="BH48" s="4794">
        <f t="shared" si="2"/>
        <v>0</v>
      </c>
      <c r="BI48" s="4794">
        <f t="shared" si="3"/>
        <v>0</v>
      </c>
      <c r="BJ48" s="4794">
        <f t="shared" si="4"/>
        <v>0</v>
      </c>
      <c r="BK48" s="4794">
        <f t="shared" si="5"/>
        <v>0</v>
      </c>
      <c r="BL48" s="4794">
        <f t="shared" si="6"/>
        <v>0</v>
      </c>
      <c r="BM48" s="4794">
        <f t="shared" si="7"/>
        <v>132.42459722982059</v>
      </c>
      <c r="BN48" s="4794">
        <f t="shared" si="8"/>
        <v>0</v>
      </c>
      <c r="BO48" s="4794">
        <f t="shared" si="9"/>
        <v>0</v>
      </c>
      <c r="BP48" s="4794">
        <f t="shared" si="10"/>
        <v>0</v>
      </c>
      <c r="BQ48" s="4794">
        <f t="shared" si="11"/>
        <v>0</v>
      </c>
      <c r="BR48" s="4794">
        <f t="shared" si="12"/>
        <v>0</v>
      </c>
      <c r="BS48" s="4794">
        <f t="shared" si="13"/>
        <v>61.866317624742436</v>
      </c>
      <c r="BT48" s="4794">
        <f t="shared" si="14"/>
        <v>0</v>
      </c>
      <c r="BU48" s="4794">
        <f t="shared" si="15"/>
        <v>0</v>
      </c>
      <c r="BV48" s="4794">
        <f t="shared" si="16"/>
        <v>0</v>
      </c>
      <c r="BW48" s="4794">
        <f t="shared" si="17"/>
        <v>0</v>
      </c>
      <c r="BX48" s="4794">
        <f t="shared" si="18"/>
        <v>0</v>
      </c>
      <c r="BY48" s="4794">
        <f t="shared" si="19"/>
        <v>0</v>
      </c>
      <c r="BZ48" s="4794">
        <f t="shared" si="20"/>
        <v>0</v>
      </c>
      <c r="CA48" s="4794">
        <f t="shared" si="21"/>
        <v>0</v>
      </c>
      <c r="CB48" s="4794">
        <f t="shared" si="22"/>
        <v>0</v>
      </c>
      <c r="CC48" s="4794">
        <f t="shared" si="23"/>
        <v>0</v>
      </c>
      <c r="CD48" s="4794">
        <f t="shared" si="24"/>
        <v>0</v>
      </c>
      <c r="CE48" s="4794">
        <f t="shared" si="25"/>
        <v>0</v>
      </c>
      <c r="CF48" s="4794">
        <f t="shared" si="26"/>
        <v>0</v>
      </c>
      <c r="CG48" s="4794">
        <f t="shared" si="27"/>
        <v>0</v>
      </c>
      <c r="CH48" s="4794">
        <f t="shared" si="28"/>
        <v>0</v>
      </c>
      <c r="CI48" s="4794">
        <f t="shared" si="29"/>
        <v>0</v>
      </c>
      <c r="CJ48" s="4794">
        <f t="shared" si="30"/>
        <v>0</v>
      </c>
    </row>
    <row r="49" spans="1:88" ht="15.95" customHeight="1">
      <c r="A49" s="854" t="s">
        <v>684</v>
      </c>
      <c r="B49" s="915" t="s">
        <v>631</v>
      </c>
      <c r="C49" s="1165"/>
      <c r="D49" s="3212"/>
      <c r="E49" s="3214"/>
      <c r="F49" s="2088"/>
      <c r="G49" s="3214"/>
      <c r="H49" s="2088"/>
      <c r="I49" s="3214"/>
      <c r="J49" s="2088"/>
      <c r="K49" s="3302"/>
      <c r="L49" s="2088"/>
      <c r="M49" s="3302"/>
      <c r="N49" s="3303"/>
      <c r="O49" s="3212"/>
      <c r="P49" s="3214"/>
      <c r="Q49" s="2088"/>
      <c r="R49" s="3214"/>
      <c r="S49" s="2088"/>
      <c r="T49" s="3214"/>
      <c r="U49" s="2088"/>
      <c r="V49" s="3302"/>
      <c r="W49" s="2088"/>
      <c r="X49" s="3213"/>
      <c r="Y49" s="3304">
        <f>'12. Разходи'!S49</f>
        <v>0</v>
      </c>
      <c r="Z49" s="1162">
        <f>'12. Разходи'!T49-'12. Разходи'!$S49</f>
        <v>61</v>
      </c>
      <c r="AA49" s="896">
        <f>IFERROR(('12. Разходи'!T49-'12. Разходи'!$S49)/'12. Разходи'!$S49,0)</f>
        <v>0</v>
      </c>
      <c r="AB49" s="1152">
        <f>'12. Разходи'!U49-'12. Разходи'!$S49</f>
        <v>61</v>
      </c>
      <c r="AC49" s="896">
        <f>IFERROR(('12. Разходи'!U49-'12. Разходи'!$S49)/'12. Разходи'!$S49,0)</f>
        <v>0</v>
      </c>
      <c r="AD49" s="1152">
        <f>'12. Разходи'!V49-'12. Разходи'!$S49</f>
        <v>61</v>
      </c>
      <c r="AE49" s="896">
        <f>IFERROR(('12. Разходи'!V49-'12. Разходи'!$S49)/'12. Разходи'!$S49,0)</f>
        <v>0</v>
      </c>
      <c r="AF49" s="1152">
        <f>'12. Разходи'!W49-'12. Разходи'!$S49</f>
        <v>61</v>
      </c>
      <c r="AG49" s="905">
        <f>IFERROR(('12. Разходи'!W49-'12. Разходи'!$S49)/'12. Разходи'!$S49,0)</f>
        <v>0</v>
      </c>
      <c r="AH49" s="1152">
        <f>'12. Разходи'!X49-'12. Разходи'!$S49</f>
        <v>61</v>
      </c>
      <c r="AI49" s="910">
        <f>IFERROR(('12. Разходи'!X49-'12. Разходи'!$S49)/'12. Разходи'!$S49,0)</f>
        <v>0</v>
      </c>
      <c r="AJ49" s="3303"/>
      <c r="AK49" s="3212"/>
      <c r="AL49" s="3214"/>
      <c r="AM49" s="2088"/>
      <c r="AN49" s="3214"/>
      <c r="AO49" s="2088"/>
      <c r="AP49" s="3214"/>
      <c r="AQ49" s="2088"/>
      <c r="AR49" s="3302"/>
      <c r="AS49" s="2088"/>
      <c r="AT49" s="3213"/>
      <c r="AU49" s="3303"/>
      <c r="AV49" s="3212"/>
      <c r="AW49" s="3214"/>
      <c r="AX49" s="2088"/>
      <c r="AY49" s="3214"/>
      <c r="AZ49" s="2088"/>
      <c r="BA49" s="3214"/>
      <c r="BB49" s="2088"/>
      <c r="BC49" s="3302"/>
      <c r="BD49" s="2088"/>
      <c r="BE49" s="3213"/>
      <c r="BF49" s="4775"/>
      <c r="BG49" s="4794">
        <f t="shared" si="1"/>
        <v>0</v>
      </c>
      <c r="BH49" s="4794">
        <f t="shared" si="2"/>
        <v>0</v>
      </c>
      <c r="BI49" s="4794">
        <f t="shared" si="3"/>
        <v>0</v>
      </c>
      <c r="BJ49" s="4794">
        <f t="shared" si="4"/>
        <v>0</v>
      </c>
      <c r="BK49" s="4794">
        <f t="shared" si="5"/>
        <v>0</v>
      </c>
      <c r="BL49" s="4794">
        <f t="shared" si="6"/>
        <v>0</v>
      </c>
      <c r="BM49" s="4794">
        <f t="shared" si="7"/>
        <v>0</v>
      </c>
      <c r="BN49" s="4794">
        <f t="shared" si="8"/>
        <v>0</v>
      </c>
      <c r="BO49" s="4794">
        <f t="shared" si="9"/>
        <v>0</v>
      </c>
      <c r="BP49" s="4794">
        <f t="shared" si="10"/>
        <v>0</v>
      </c>
      <c r="BQ49" s="4794">
        <f t="shared" si="11"/>
        <v>0</v>
      </c>
      <c r="BR49" s="4794">
        <f t="shared" si="12"/>
        <v>0</v>
      </c>
      <c r="BS49" s="4794">
        <f t="shared" si="13"/>
        <v>0</v>
      </c>
      <c r="BT49" s="4794">
        <f t="shared" si="14"/>
        <v>31.188804752969329</v>
      </c>
      <c r="BU49" s="4794">
        <f t="shared" si="15"/>
        <v>31.188804752969329</v>
      </c>
      <c r="BV49" s="4794">
        <f t="shared" si="16"/>
        <v>31.188804752969329</v>
      </c>
      <c r="BW49" s="4794">
        <f t="shared" si="17"/>
        <v>31.188804752969329</v>
      </c>
      <c r="BX49" s="4794">
        <f t="shared" si="18"/>
        <v>31.188804752969329</v>
      </c>
      <c r="BY49" s="4794">
        <f t="shared" si="19"/>
        <v>0</v>
      </c>
      <c r="BZ49" s="4794">
        <f t="shared" si="20"/>
        <v>0</v>
      </c>
      <c r="CA49" s="4794">
        <f t="shared" si="21"/>
        <v>0</v>
      </c>
      <c r="CB49" s="4794">
        <f t="shared" si="22"/>
        <v>0</v>
      </c>
      <c r="CC49" s="4794">
        <f t="shared" si="23"/>
        <v>0</v>
      </c>
      <c r="CD49" s="4794">
        <f t="shared" si="24"/>
        <v>0</v>
      </c>
      <c r="CE49" s="4794">
        <f t="shared" si="25"/>
        <v>0</v>
      </c>
      <c r="CF49" s="4794">
        <f t="shared" si="26"/>
        <v>0</v>
      </c>
      <c r="CG49" s="4794">
        <f t="shared" si="27"/>
        <v>0</v>
      </c>
      <c r="CH49" s="4794">
        <f t="shared" si="28"/>
        <v>0</v>
      </c>
      <c r="CI49" s="4794">
        <f t="shared" si="29"/>
        <v>0</v>
      </c>
      <c r="CJ49" s="4794">
        <f t="shared" si="30"/>
        <v>0</v>
      </c>
    </row>
    <row r="50" spans="1:88" ht="15.95" customHeight="1">
      <c r="A50" s="854" t="s">
        <v>735</v>
      </c>
      <c r="B50" s="915" t="s">
        <v>734</v>
      </c>
      <c r="C50" s="1165"/>
      <c r="D50" s="3212"/>
      <c r="E50" s="3214"/>
      <c r="F50" s="2088"/>
      <c r="G50" s="3214"/>
      <c r="H50" s="2088"/>
      <c r="I50" s="3214"/>
      <c r="J50" s="2088"/>
      <c r="K50" s="3305"/>
      <c r="L50" s="2088"/>
      <c r="M50" s="3305"/>
      <c r="N50" s="3303"/>
      <c r="O50" s="3212"/>
      <c r="P50" s="3214"/>
      <c r="Q50" s="2088"/>
      <c r="R50" s="3214"/>
      <c r="S50" s="2088"/>
      <c r="T50" s="3214"/>
      <c r="U50" s="2088"/>
      <c r="V50" s="3305"/>
      <c r="W50" s="2088"/>
      <c r="X50" s="3306"/>
      <c r="Y50" s="3304">
        <f>'12. Разходи'!S50</f>
        <v>0</v>
      </c>
      <c r="Z50" s="1162">
        <f>'12. Разходи'!T50-'12. Разходи'!$S50</f>
        <v>0</v>
      </c>
      <c r="AA50" s="896">
        <f>IFERROR(('12. Разходи'!T50-'12. Разходи'!$S50)/'12. Разходи'!$S50,0)</f>
        <v>0</v>
      </c>
      <c r="AB50" s="1152">
        <f>'12. Разходи'!U50-'12. Разходи'!$S50</f>
        <v>0</v>
      </c>
      <c r="AC50" s="896">
        <f>IFERROR(('12. Разходи'!U50-'12. Разходи'!$S50)/'12. Разходи'!$S50,0)</f>
        <v>0</v>
      </c>
      <c r="AD50" s="1152">
        <f>'12. Разходи'!V50-'12. Разходи'!$S50</f>
        <v>0</v>
      </c>
      <c r="AE50" s="896">
        <f>IFERROR(('12. Разходи'!V50-'12. Разходи'!$S50)/'12. Разходи'!$S50,0)</f>
        <v>0</v>
      </c>
      <c r="AF50" s="1152">
        <f>'12. Разходи'!W50-'12. Разходи'!$S50</f>
        <v>0</v>
      </c>
      <c r="AG50" s="905">
        <f>IFERROR(('12. Разходи'!W50-'12. Разходи'!$S50)/'12. Разходи'!$S50,0)</f>
        <v>0</v>
      </c>
      <c r="AH50" s="1152">
        <f>'12. Разходи'!X50-'12. Разходи'!$S50</f>
        <v>0</v>
      </c>
      <c r="AI50" s="910">
        <f>IFERROR(('12. Разходи'!X50-'12. Разходи'!$S50)/'12. Разходи'!$S50,0)</f>
        <v>0</v>
      </c>
      <c r="AJ50" s="3303"/>
      <c r="AK50" s="3212"/>
      <c r="AL50" s="3214"/>
      <c r="AM50" s="2088"/>
      <c r="AN50" s="3214"/>
      <c r="AO50" s="2088"/>
      <c r="AP50" s="3214"/>
      <c r="AQ50" s="2088"/>
      <c r="AR50" s="3305"/>
      <c r="AS50" s="2088"/>
      <c r="AT50" s="3306"/>
      <c r="AU50" s="3303"/>
      <c r="AV50" s="3212"/>
      <c r="AW50" s="3214"/>
      <c r="AX50" s="2088"/>
      <c r="AY50" s="3214"/>
      <c r="AZ50" s="2088"/>
      <c r="BA50" s="3214"/>
      <c r="BB50" s="2088"/>
      <c r="BC50" s="3305"/>
      <c r="BD50" s="2088"/>
      <c r="BE50" s="3306"/>
      <c r="BF50" s="4775"/>
      <c r="BG50" s="4794">
        <f t="shared" si="1"/>
        <v>0</v>
      </c>
      <c r="BH50" s="4794">
        <f t="shared" si="2"/>
        <v>0</v>
      </c>
      <c r="BI50" s="4794">
        <f t="shared" si="3"/>
        <v>0</v>
      </c>
      <c r="BJ50" s="4794">
        <f t="shared" si="4"/>
        <v>0</v>
      </c>
      <c r="BK50" s="4794">
        <f t="shared" si="5"/>
        <v>0</v>
      </c>
      <c r="BL50" s="4794">
        <f t="shared" si="6"/>
        <v>0</v>
      </c>
      <c r="BM50" s="4794">
        <f t="shared" si="7"/>
        <v>0</v>
      </c>
      <c r="BN50" s="4794">
        <f t="shared" si="8"/>
        <v>0</v>
      </c>
      <c r="BO50" s="4794">
        <f t="shared" si="9"/>
        <v>0</v>
      </c>
      <c r="BP50" s="4794">
        <f t="shared" si="10"/>
        <v>0</v>
      </c>
      <c r="BQ50" s="4794">
        <f t="shared" si="11"/>
        <v>0</v>
      </c>
      <c r="BR50" s="4794">
        <f t="shared" si="12"/>
        <v>0</v>
      </c>
      <c r="BS50" s="4794">
        <f t="shared" si="13"/>
        <v>0</v>
      </c>
      <c r="BT50" s="4794">
        <f t="shared" si="14"/>
        <v>0</v>
      </c>
      <c r="BU50" s="4794">
        <f t="shared" si="15"/>
        <v>0</v>
      </c>
      <c r="BV50" s="4794">
        <f t="shared" si="16"/>
        <v>0</v>
      </c>
      <c r="BW50" s="4794">
        <f t="shared" si="17"/>
        <v>0</v>
      </c>
      <c r="BX50" s="4794">
        <f t="shared" si="18"/>
        <v>0</v>
      </c>
      <c r="BY50" s="4794">
        <f t="shared" si="19"/>
        <v>0</v>
      </c>
      <c r="BZ50" s="4794">
        <f t="shared" si="20"/>
        <v>0</v>
      </c>
      <c r="CA50" s="4794">
        <f t="shared" si="21"/>
        <v>0</v>
      </c>
      <c r="CB50" s="4794">
        <f t="shared" si="22"/>
        <v>0</v>
      </c>
      <c r="CC50" s="4794">
        <f t="shared" si="23"/>
        <v>0</v>
      </c>
      <c r="CD50" s="4794">
        <f t="shared" si="24"/>
        <v>0</v>
      </c>
      <c r="CE50" s="4794">
        <f t="shared" si="25"/>
        <v>0</v>
      </c>
      <c r="CF50" s="4794">
        <f t="shared" si="26"/>
        <v>0</v>
      </c>
      <c r="CG50" s="4794">
        <f t="shared" si="27"/>
        <v>0</v>
      </c>
      <c r="CH50" s="4794">
        <f t="shared" si="28"/>
        <v>0</v>
      </c>
      <c r="CI50" s="4794">
        <f t="shared" si="29"/>
        <v>0</v>
      </c>
      <c r="CJ50" s="4794">
        <f t="shared" si="30"/>
        <v>0</v>
      </c>
    </row>
    <row r="51" spans="1:88" ht="15.95" customHeight="1">
      <c r="A51" s="854" t="s">
        <v>1226</v>
      </c>
      <c r="B51" s="915" t="s">
        <v>445</v>
      </c>
      <c r="C51" s="1205">
        <f>'12. Разходи'!C51</f>
        <v>19</v>
      </c>
      <c r="D51" s="1163">
        <f>'12. Разходи'!D51-'12. Разходи'!$C51</f>
        <v>0</v>
      </c>
      <c r="E51" s="895">
        <f>IFERROR(('12. Разходи'!D51-'12. Разходи'!$C51)/'12. Разходи'!$C51,0)</f>
        <v>0</v>
      </c>
      <c r="F51" s="1150">
        <f>'12. Разходи'!E51-'12. Разходи'!$C51</f>
        <v>0</v>
      </c>
      <c r="G51" s="895">
        <f>IFERROR(('12. Разходи'!E51-'12. Разходи'!$C51)/'12. Разходи'!$C51,0)</f>
        <v>0</v>
      </c>
      <c r="H51" s="1150">
        <f>'12. Разходи'!F51-'12. Разходи'!$C51</f>
        <v>0</v>
      </c>
      <c r="I51" s="895">
        <f>IFERROR(('12. Разходи'!F51-'12. Разходи'!$C51)/'12. Разходи'!$C51,0)</f>
        <v>0</v>
      </c>
      <c r="J51" s="1150">
        <f>'12. Разходи'!G51-'12. Разходи'!$C51</f>
        <v>0</v>
      </c>
      <c r="K51" s="906">
        <f>IFERROR(('12. Разходи'!G51-'12. Разходи'!$C51)/'12. Разходи'!$C51,0)</f>
        <v>0</v>
      </c>
      <c r="L51" s="1150">
        <f>'12. Разходи'!H51-'12. Разходи'!$C51</f>
        <v>0</v>
      </c>
      <c r="M51" s="906">
        <f>IFERROR(('12. Разходи'!H51-'12. Разходи'!$C51)/'12. Разходи'!$C51,0)</f>
        <v>0</v>
      </c>
      <c r="N51" s="1181">
        <f>'12. Разходи'!K51</f>
        <v>22</v>
      </c>
      <c r="O51" s="1163">
        <f>'12. Разходи'!L51-'12. Разходи'!$K51</f>
        <v>0</v>
      </c>
      <c r="P51" s="895">
        <f>IFERROR(('12. Разходи'!L51-'12. Разходи'!$K51)/'12. Разходи'!$K51,0)</f>
        <v>0</v>
      </c>
      <c r="Q51" s="1150">
        <f>'12. Разходи'!M51-'12. Разходи'!$K51</f>
        <v>0</v>
      </c>
      <c r="R51" s="895">
        <f>IFERROR(('12. Разходи'!M51-'12. Разходи'!$K51)/'12. Разходи'!$K51,0)</f>
        <v>0</v>
      </c>
      <c r="S51" s="1150">
        <f>'12. Разходи'!N51-'12. Разходи'!$K51</f>
        <v>0</v>
      </c>
      <c r="T51" s="895">
        <f>IFERROR(('12. Разходи'!N51-'12. Разходи'!$K51)/'12. Разходи'!$K51,0)</f>
        <v>0</v>
      </c>
      <c r="U51" s="1150">
        <f>'12. Разходи'!O51-'12. Разходи'!$K51</f>
        <v>0</v>
      </c>
      <c r="V51" s="906">
        <f>IFERROR(('12. Разходи'!O51-'12. Разходи'!$K51)/'12. Разходи'!$K51,0)</f>
        <v>0</v>
      </c>
      <c r="W51" s="1150">
        <f>'12. Разходи'!P51-'12. Разходи'!$K51</f>
        <v>0</v>
      </c>
      <c r="X51" s="837">
        <f>IFERROR(('12. Разходи'!P51-'12. Разходи'!$K51)/'12. Разходи'!$K51,0)</f>
        <v>0</v>
      </c>
      <c r="Y51" s="1181">
        <f>'12. Разходи'!S51</f>
        <v>65</v>
      </c>
      <c r="Z51" s="1163">
        <f>'12. Разходи'!T51-'12. Разходи'!$S51</f>
        <v>0</v>
      </c>
      <c r="AA51" s="895">
        <f>IFERROR(('12. Разходи'!T51-'12. Разходи'!$S51)/'12. Разходи'!$S51,0)</f>
        <v>0</v>
      </c>
      <c r="AB51" s="1150">
        <f>'12. Разходи'!U51-'12. Разходи'!$S51</f>
        <v>0</v>
      </c>
      <c r="AC51" s="895">
        <f>IFERROR(('12. Разходи'!U51-'12. Разходи'!$S51)/'12. Разходи'!$S51,0)</f>
        <v>0</v>
      </c>
      <c r="AD51" s="1150">
        <f>'12. Разходи'!V51-'12. Разходи'!$S51</f>
        <v>0</v>
      </c>
      <c r="AE51" s="895">
        <f>IFERROR(('12. Разходи'!V51-'12. Разходи'!$S51)/'12. Разходи'!$S51,0)</f>
        <v>0</v>
      </c>
      <c r="AF51" s="1150">
        <f>'12. Разходи'!W51-'12. Разходи'!$S51</f>
        <v>0</v>
      </c>
      <c r="AG51" s="906">
        <f>IFERROR(('12. Разходи'!W51-'12. Разходи'!$S51)/'12. Разходи'!$S51,0)</f>
        <v>0</v>
      </c>
      <c r="AH51" s="1150">
        <f>'12. Разходи'!X51-'12. Разходи'!$S51</f>
        <v>0</v>
      </c>
      <c r="AI51" s="837">
        <f>IFERROR(('12. Разходи'!X51-'12. Разходи'!$S51)/'12. Разходи'!$S51,0)</f>
        <v>0</v>
      </c>
      <c r="AJ51" s="1181">
        <f>'12. Разходи'!AA51</f>
        <v>0</v>
      </c>
      <c r="AK51" s="1163">
        <f>'12. Разходи'!AB51-'12. Разходи'!$AA51</f>
        <v>0</v>
      </c>
      <c r="AL51" s="895">
        <f>IFERROR(('12. Разходи'!AB51-'12. Разходи'!$AA51)/'12. Разходи'!$AA51,0)</f>
        <v>0</v>
      </c>
      <c r="AM51" s="1150">
        <f>'12. Разходи'!AC51-'12. Разходи'!$AA51</f>
        <v>0</v>
      </c>
      <c r="AN51" s="895">
        <f>IFERROR(('12. Разходи'!AC51-'12. Разходи'!$AA51)/'12. Разходи'!$AA51,0)</f>
        <v>0</v>
      </c>
      <c r="AO51" s="1150">
        <f>'12. Разходи'!AD51-'12. Разходи'!$AA51</f>
        <v>0</v>
      </c>
      <c r="AP51" s="895">
        <f>IFERROR(('12. Разходи'!AD51-'12. Разходи'!$AA51)/'12. Разходи'!$AA51,0)</f>
        <v>0</v>
      </c>
      <c r="AQ51" s="1150">
        <f>'12. Разходи'!AE51-'12. Разходи'!$AA51</f>
        <v>0</v>
      </c>
      <c r="AR51" s="906">
        <f>IFERROR(('12. Разходи'!AE51-'12. Разходи'!$AA51)/'12. Разходи'!$AA51,0)</f>
        <v>0</v>
      </c>
      <c r="AS51" s="1150">
        <f>'12. Разходи'!AF51-'12. Разходи'!$AA51</f>
        <v>0</v>
      </c>
      <c r="AT51" s="837">
        <f>IFERROR(('12. Разходи'!AF51-'12. Разходи'!$AA51)/'12. Разходи'!$AA51,0)</f>
        <v>0</v>
      </c>
      <c r="AU51" s="1181">
        <f>'12. Разходи'!AI51</f>
        <v>0</v>
      </c>
      <c r="AV51" s="1163">
        <f>'12. Разходи'!AJ51-'12. Разходи'!$AI51</f>
        <v>0</v>
      </c>
      <c r="AW51" s="895">
        <f>IFERROR(('12. Разходи'!AJ51-'12. Разходи'!$AI51)/'12. Разходи'!$AI51,0)</f>
        <v>0</v>
      </c>
      <c r="AX51" s="1150">
        <f>'12. Разходи'!AK51-'12. Разходи'!$AI51</f>
        <v>0</v>
      </c>
      <c r="AY51" s="895">
        <f>IFERROR(('12. Разходи'!AK51-'12. Разходи'!$AI51)/'12. Разходи'!$AI51,0)</f>
        <v>0</v>
      </c>
      <c r="AZ51" s="1150">
        <f>'12. Разходи'!AL51-'12. Разходи'!$AI51</f>
        <v>0</v>
      </c>
      <c r="BA51" s="895">
        <f>IFERROR(('12. Разходи'!AL51-'12. Разходи'!$AI51)/'12. Разходи'!$AI51,0)</f>
        <v>0</v>
      </c>
      <c r="BB51" s="1150">
        <f>'12. Разходи'!AM51-'12. Разходи'!$AI51</f>
        <v>0</v>
      </c>
      <c r="BC51" s="906">
        <f>IFERROR(('12. Разходи'!AM51-'12. Разходи'!$AI51)/'12. Разходи'!$AI51,0)</f>
        <v>0</v>
      </c>
      <c r="BD51" s="1150">
        <f>'12. Разходи'!AN51-'12. Разходи'!$AI51</f>
        <v>0</v>
      </c>
      <c r="BE51" s="837">
        <f>IFERROR(('12. Разходи'!AN51-'12. Разходи'!$AI51)/'12. Разходи'!$AI51,0)</f>
        <v>0</v>
      </c>
      <c r="BF51" s="4775"/>
      <c r="BG51" s="4794">
        <f t="shared" si="1"/>
        <v>9.7145457427281521</v>
      </c>
      <c r="BH51" s="4794">
        <f t="shared" si="2"/>
        <v>0</v>
      </c>
      <c r="BI51" s="4794">
        <f t="shared" si="3"/>
        <v>0</v>
      </c>
      <c r="BJ51" s="4794">
        <f t="shared" si="4"/>
        <v>0</v>
      </c>
      <c r="BK51" s="4794">
        <f t="shared" si="5"/>
        <v>0</v>
      </c>
      <c r="BL51" s="4794">
        <f t="shared" si="6"/>
        <v>0</v>
      </c>
      <c r="BM51" s="4794">
        <f t="shared" si="7"/>
        <v>11.248421386316807</v>
      </c>
      <c r="BN51" s="4794">
        <f t="shared" si="8"/>
        <v>0</v>
      </c>
      <c r="BO51" s="4794">
        <f t="shared" si="9"/>
        <v>0</v>
      </c>
      <c r="BP51" s="4794">
        <f t="shared" si="10"/>
        <v>0</v>
      </c>
      <c r="BQ51" s="4794">
        <f t="shared" si="11"/>
        <v>0</v>
      </c>
      <c r="BR51" s="4794">
        <f t="shared" si="12"/>
        <v>0</v>
      </c>
      <c r="BS51" s="4794">
        <f t="shared" si="13"/>
        <v>33.233972277754205</v>
      </c>
      <c r="BT51" s="4794">
        <f t="shared" si="14"/>
        <v>0</v>
      </c>
      <c r="BU51" s="4794">
        <f t="shared" si="15"/>
        <v>0</v>
      </c>
      <c r="BV51" s="4794">
        <f t="shared" si="16"/>
        <v>0</v>
      </c>
      <c r="BW51" s="4794">
        <f t="shared" si="17"/>
        <v>0</v>
      </c>
      <c r="BX51" s="4794">
        <f t="shared" si="18"/>
        <v>0</v>
      </c>
      <c r="BY51" s="4794">
        <f t="shared" si="19"/>
        <v>0</v>
      </c>
      <c r="BZ51" s="4794">
        <f t="shared" si="20"/>
        <v>0</v>
      </c>
      <c r="CA51" s="4794">
        <f t="shared" si="21"/>
        <v>0</v>
      </c>
      <c r="CB51" s="4794">
        <f t="shared" si="22"/>
        <v>0</v>
      </c>
      <c r="CC51" s="4794">
        <f t="shared" si="23"/>
        <v>0</v>
      </c>
      <c r="CD51" s="4794">
        <f t="shared" si="24"/>
        <v>0</v>
      </c>
      <c r="CE51" s="4794">
        <f t="shared" si="25"/>
        <v>0</v>
      </c>
      <c r="CF51" s="4794">
        <f t="shared" si="26"/>
        <v>0</v>
      </c>
      <c r="CG51" s="4794">
        <f t="shared" si="27"/>
        <v>0</v>
      </c>
      <c r="CH51" s="4794">
        <f t="shared" si="28"/>
        <v>0</v>
      </c>
      <c r="CI51" s="4794">
        <f t="shared" si="29"/>
        <v>0</v>
      </c>
      <c r="CJ51" s="4794">
        <f t="shared" si="30"/>
        <v>0</v>
      </c>
    </row>
    <row r="52" spans="1:88" s="690" customFormat="1" ht="15.95" customHeight="1">
      <c r="A52" s="855" t="s">
        <v>1227</v>
      </c>
      <c r="B52" s="3299">
        <f>'12. Разходи'!B52</f>
        <v>0</v>
      </c>
      <c r="C52" s="3300">
        <f>'12. Разходи'!C52</f>
        <v>13</v>
      </c>
      <c r="D52" s="1160">
        <f>'12. Разходи'!D52-'12. Разходи'!$C52</f>
        <v>0</v>
      </c>
      <c r="E52" s="1140">
        <f>IFERROR(('12. Разходи'!D52-'12. Разходи'!$C52)/'12. Разходи'!$C52,0)</f>
        <v>0</v>
      </c>
      <c r="F52" s="926">
        <f>'12. Разходи'!E52-'12. Разходи'!$C52</f>
        <v>0</v>
      </c>
      <c r="G52" s="1148">
        <f>IFERROR(('12. Разходи'!E52-'12. Разходи'!$C52)/'12. Разходи'!$C52,0)</f>
        <v>0</v>
      </c>
      <c r="H52" s="926">
        <f>'12. Разходи'!F52-'12. Разходи'!$C52</f>
        <v>0</v>
      </c>
      <c r="I52" s="1148">
        <f>IFERROR(('12. Разходи'!F52-'12. Разходи'!$C52)/'12. Разходи'!$C52,0)</f>
        <v>0</v>
      </c>
      <c r="J52" s="926">
        <f>'12. Разходи'!G52-'12. Разходи'!$C52</f>
        <v>0</v>
      </c>
      <c r="K52" s="1147">
        <f>IFERROR(('12. Разходи'!G52-'12. Разходи'!$C52)/'12. Разходи'!$C52,0)</f>
        <v>0</v>
      </c>
      <c r="L52" s="1155">
        <f>'12. Разходи'!H52-'12. Разходи'!$C52</f>
        <v>0</v>
      </c>
      <c r="M52" s="1147">
        <f>IFERROR(('12. Разходи'!H52-'12. Разходи'!$C52)/'12. Разходи'!$C52,0)</f>
        <v>0</v>
      </c>
      <c r="N52" s="1196">
        <f>'12. Разходи'!K52</f>
        <v>1</v>
      </c>
      <c r="O52" s="1160">
        <f>'12. Разходи'!L52-'12. Разходи'!$K52</f>
        <v>0</v>
      </c>
      <c r="P52" s="1140">
        <f>IFERROR(('12. Разходи'!L52-'12. Разходи'!$K52)/'12. Разходи'!$K52,0)</f>
        <v>0</v>
      </c>
      <c r="Q52" s="926">
        <f>'12. Разходи'!M52-'12. Разходи'!$K52</f>
        <v>0</v>
      </c>
      <c r="R52" s="1148">
        <f>IFERROR(('12. Разходи'!M52-'12. Разходи'!$K52)/'12. Разходи'!$K52,0)</f>
        <v>0</v>
      </c>
      <c r="S52" s="926">
        <f>'12. Разходи'!N52-'12. Разходи'!$K52</f>
        <v>0</v>
      </c>
      <c r="T52" s="1148">
        <f>IFERROR(('12. Разходи'!N52-'12. Разходи'!$K52)/'12. Разходи'!$K52,0)</f>
        <v>0</v>
      </c>
      <c r="U52" s="926">
        <f>'12. Разходи'!O52-'12. Разходи'!$K52</f>
        <v>0</v>
      </c>
      <c r="V52" s="1147">
        <f>IFERROR(('12. Разходи'!O52-'12. Разходи'!$K52)/'12. Разходи'!$K52,0)</f>
        <v>0</v>
      </c>
      <c r="W52" s="1155">
        <f>'12. Разходи'!P52-'12. Разходи'!$K52</f>
        <v>0</v>
      </c>
      <c r="X52" s="1202">
        <f>IFERROR(('12. Разходи'!P52-'12. Разходи'!$K52)/'12. Разходи'!$K52,0)</f>
        <v>0</v>
      </c>
      <c r="Y52" s="1196">
        <f>'12. Разходи'!S52</f>
        <v>59</v>
      </c>
      <c r="Z52" s="1160">
        <f>'12. Разходи'!T52-'12. Разходи'!$S52</f>
        <v>0</v>
      </c>
      <c r="AA52" s="1140">
        <f>IFERROR(('12. Разходи'!T52-'12. Разходи'!$S52)/'12. Разходи'!$S52,0)</f>
        <v>0</v>
      </c>
      <c r="AB52" s="926">
        <f>'12. Разходи'!U52-'12. Разходи'!$S52</f>
        <v>0</v>
      </c>
      <c r="AC52" s="1148">
        <f>IFERROR(('12. Разходи'!U52-'12. Разходи'!$S52)/'12. Разходи'!$S52,0)</f>
        <v>0</v>
      </c>
      <c r="AD52" s="926">
        <f>'12. Разходи'!V52-'12. Разходи'!$S52</f>
        <v>0</v>
      </c>
      <c r="AE52" s="1148">
        <f>IFERROR(('12. Разходи'!V52-'12. Разходи'!$S52)/'12. Разходи'!$S52,0)</f>
        <v>0</v>
      </c>
      <c r="AF52" s="926">
        <f>'12. Разходи'!W52-'12. Разходи'!$S52</f>
        <v>0</v>
      </c>
      <c r="AG52" s="1147">
        <f>IFERROR(('12. Разходи'!W52-'12. Разходи'!$S52)/'12. Разходи'!$S52,0)</f>
        <v>0</v>
      </c>
      <c r="AH52" s="1155">
        <f>'12. Разходи'!X52-'12. Разходи'!$S52</f>
        <v>0</v>
      </c>
      <c r="AI52" s="1202">
        <f>IFERROR(('12. Разходи'!X52-'12. Разходи'!$S52)/'12. Разходи'!$S52,0)</f>
        <v>0</v>
      </c>
      <c r="AJ52" s="1196">
        <f>'12. Разходи'!AA52</f>
        <v>0</v>
      </c>
      <c r="AK52" s="1160">
        <f>'12. Разходи'!AB52-'12. Разходи'!$AA52</f>
        <v>0</v>
      </c>
      <c r="AL52" s="1140">
        <f>IFERROR(('12. Разходи'!AB52-'12. Разходи'!$AA52)/'12. Разходи'!$AA52,0)</f>
        <v>0</v>
      </c>
      <c r="AM52" s="926">
        <f>'12. Разходи'!AC52-'12. Разходи'!$AA52</f>
        <v>0</v>
      </c>
      <c r="AN52" s="1148">
        <f>IFERROR(('12. Разходи'!AC52-'12. Разходи'!$AA52)/'12. Разходи'!$AA52,0)</f>
        <v>0</v>
      </c>
      <c r="AO52" s="926">
        <f>'12. Разходи'!AD52-'12. Разходи'!$AA52</f>
        <v>0</v>
      </c>
      <c r="AP52" s="1148">
        <f>IFERROR(('12. Разходи'!AD52-'12. Разходи'!$AA52)/'12. Разходи'!$AA52,0)</f>
        <v>0</v>
      </c>
      <c r="AQ52" s="926">
        <f>'12. Разходи'!AE52-'12. Разходи'!$AA52</f>
        <v>0</v>
      </c>
      <c r="AR52" s="1147">
        <f>IFERROR(('12. Разходи'!AE52-'12. Разходи'!$AA52)/'12. Разходи'!$AA52,0)</f>
        <v>0</v>
      </c>
      <c r="AS52" s="1155">
        <f>'12. Разходи'!AF52-'12. Разходи'!$AA52</f>
        <v>0</v>
      </c>
      <c r="AT52" s="1202">
        <f>IFERROR(('12. Разходи'!AF52-'12. Разходи'!$AA52)/'12. Разходи'!$AA52,0)</f>
        <v>0</v>
      </c>
      <c r="AU52" s="1196">
        <f>'12. Разходи'!AI52</f>
        <v>0</v>
      </c>
      <c r="AV52" s="1160">
        <f>'12. Разходи'!AJ52-'12. Разходи'!$AI52</f>
        <v>0</v>
      </c>
      <c r="AW52" s="1140">
        <f>IFERROR(('12. Разходи'!AJ52-'12. Разходи'!$AI52)/'12. Разходи'!$AI52,0)</f>
        <v>0</v>
      </c>
      <c r="AX52" s="926">
        <f>'12. Разходи'!AK52-'12. Разходи'!$AI52</f>
        <v>0</v>
      </c>
      <c r="AY52" s="1148">
        <f>IFERROR(('12. Разходи'!AK52-'12. Разходи'!$AI52)/'12. Разходи'!$AI52,0)</f>
        <v>0</v>
      </c>
      <c r="AZ52" s="926">
        <f>'12. Разходи'!AL52-'12. Разходи'!$AI52</f>
        <v>0</v>
      </c>
      <c r="BA52" s="1148">
        <f>IFERROR(('12. Разходи'!AL52-'12. Разходи'!$AI52)/'12. Разходи'!$AI52,0)</f>
        <v>0</v>
      </c>
      <c r="BB52" s="926">
        <f>'12. Разходи'!AM52-'12. Разходи'!$AI52</f>
        <v>0</v>
      </c>
      <c r="BC52" s="1147">
        <f>IFERROR(('12. Разходи'!AM52-'12. Разходи'!$AI52)/'12. Разходи'!$AI52,0)</f>
        <v>0</v>
      </c>
      <c r="BD52" s="1155">
        <f>'12. Разходи'!AN52-'12. Разходи'!$AI52</f>
        <v>0</v>
      </c>
      <c r="BE52" s="1202">
        <f>IFERROR(('12. Разходи'!AN52-'12. Разходи'!$AI52)/'12. Разходи'!$AI52,0)</f>
        <v>0</v>
      </c>
      <c r="BF52" s="4775"/>
      <c r="BG52" s="4794">
        <f t="shared" si="1"/>
        <v>6.6467944555508405</v>
      </c>
      <c r="BH52" s="4794">
        <f t="shared" si="2"/>
        <v>0</v>
      </c>
      <c r="BI52" s="4794">
        <f t="shared" si="3"/>
        <v>0</v>
      </c>
      <c r="BJ52" s="4794">
        <f t="shared" si="4"/>
        <v>0</v>
      </c>
      <c r="BK52" s="4794">
        <f t="shared" si="5"/>
        <v>0</v>
      </c>
      <c r="BL52" s="4794">
        <f t="shared" si="6"/>
        <v>0</v>
      </c>
      <c r="BM52" s="4794">
        <f t="shared" si="7"/>
        <v>0.51129188119621849</v>
      </c>
      <c r="BN52" s="4794">
        <f t="shared" si="8"/>
        <v>0</v>
      </c>
      <c r="BO52" s="4794">
        <f t="shared" si="9"/>
        <v>0</v>
      </c>
      <c r="BP52" s="4794">
        <f t="shared" si="10"/>
        <v>0</v>
      </c>
      <c r="BQ52" s="4794">
        <f t="shared" si="11"/>
        <v>0</v>
      </c>
      <c r="BR52" s="4794">
        <f t="shared" si="12"/>
        <v>0</v>
      </c>
      <c r="BS52" s="4794">
        <f t="shared" si="13"/>
        <v>30.166220990576893</v>
      </c>
      <c r="BT52" s="4794">
        <f t="shared" si="14"/>
        <v>0</v>
      </c>
      <c r="BU52" s="4794">
        <f t="shared" si="15"/>
        <v>0</v>
      </c>
      <c r="BV52" s="4794">
        <f t="shared" si="16"/>
        <v>0</v>
      </c>
      <c r="BW52" s="4794">
        <f t="shared" si="17"/>
        <v>0</v>
      </c>
      <c r="BX52" s="4794">
        <f t="shared" si="18"/>
        <v>0</v>
      </c>
      <c r="BY52" s="4794">
        <f t="shared" si="19"/>
        <v>0</v>
      </c>
      <c r="BZ52" s="4794">
        <f t="shared" si="20"/>
        <v>0</v>
      </c>
      <c r="CA52" s="4794">
        <f t="shared" si="21"/>
        <v>0</v>
      </c>
      <c r="CB52" s="4794">
        <f t="shared" si="22"/>
        <v>0</v>
      </c>
      <c r="CC52" s="4794">
        <f t="shared" si="23"/>
        <v>0</v>
      </c>
      <c r="CD52" s="4794">
        <f t="shared" si="24"/>
        <v>0</v>
      </c>
      <c r="CE52" s="4794">
        <f t="shared" si="25"/>
        <v>0</v>
      </c>
      <c r="CF52" s="4794">
        <f t="shared" si="26"/>
        <v>0</v>
      </c>
      <c r="CG52" s="4794">
        <f t="shared" si="27"/>
        <v>0</v>
      </c>
      <c r="CH52" s="4794">
        <f t="shared" si="28"/>
        <v>0</v>
      </c>
      <c r="CI52" s="4794">
        <f t="shared" si="29"/>
        <v>0</v>
      </c>
      <c r="CJ52" s="4794">
        <f t="shared" si="30"/>
        <v>0</v>
      </c>
    </row>
    <row r="53" spans="1:88" s="690" customFormat="1" ht="15.95" customHeight="1">
      <c r="A53" s="857" t="s">
        <v>1228</v>
      </c>
      <c r="B53" s="3299">
        <f>'12. Разходи'!B53</f>
        <v>0</v>
      </c>
      <c r="C53" s="3300">
        <f>'12. Разходи'!C53</f>
        <v>2</v>
      </c>
      <c r="D53" s="1160">
        <f>'12. Разходи'!D53-'12. Разходи'!$C53</f>
        <v>0</v>
      </c>
      <c r="E53" s="1140">
        <f>IFERROR(('12. Разходи'!D53-'12. Разходи'!$C53)/'12. Разходи'!$C53,0)</f>
        <v>0</v>
      </c>
      <c r="F53" s="926">
        <f>'12. Разходи'!E53-'12. Разходи'!$C53</f>
        <v>0</v>
      </c>
      <c r="G53" s="1148">
        <f>IFERROR(('12. Разходи'!E53-'12. Разходи'!$C53)/'12. Разходи'!$C53,0)</f>
        <v>0</v>
      </c>
      <c r="H53" s="926">
        <f>'12. Разходи'!F53-'12. Разходи'!$C53</f>
        <v>0</v>
      </c>
      <c r="I53" s="1148">
        <f>IFERROR(('12. Разходи'!F53-'12. Разходи'!$C53)/'12. Разходи'!$C53,0)</f>
        <v>0</v>
      </c>
      <c r="J53" s="926">
        <f>'12. Разходи'!G53-'12. Разходи'!$C53</f>
        <v>0</v>
      </c>
      <c r="K53" s="1147">
        <f>IFERROR(('12. Разходи'!G53-'12. Разходи'!$C53)/'12. Разходи'!$C53,0)</f>
        <v>0</v>
      </c>
      <c r="L53" s="1155">
        <f>'12. Разходи'!H53-'12. Разходи'!$C53</f>
        <v>0</v>
      </c>
      <c r="M53" s="1147">
        <f>IFERROR(('12. Разходи'!H53-'12. Разходи'!$C53)/'12. Разходи'!$C53,0)</f>
        <v>0</v>
      </c>
      <c r="N53" s="1196">
        <f>'12. Разходи'!K53</f>
        <v>20</v>
      </c>
      <c r="O53" s="1160">
        <f>'12. Разходи'!L53-'12. Разходи'!$K53</f>
        <v>0</v>
      </c>
      <c r="P53" s="1140">
        <f>IFERROR(('12. Разходи'!L53-'12. Разходи'!$K53)/'12. Разходи'!$K53,0)</f>
        <v>0</v>
      </c>
      <c r="Q53" s="926">
        <f>'12. Разходи'!M53-'12. Разходи'!$K53</f>
        <v>0</v>
      </c>
      <c r="R53" s="1148">
        <f>IFERROR(('12. Разходи'!M53-'12. Разходи'!$K53)/'12. Разходи'!$K53,0)</f>
        <v>0</v>
      </c>
      <c r="S53" s="926">
        <f>'12. Разходи'!N53-'12. Разходи'!$K53</f>
        <v>0</v>
      </c>
      <c r="T53" s="1148">
        <f>IFERROR(('12. Разходи'!N53-'12. Разходи'!$K53)/'12. Разходи'!$K53,0)</f>
        <v>0</v>
      </c>
      <c r="U53" s="926">
        <f>'12. Разходи'!O53-'12. Разходи'!$K53</f>
        <v>0</v>
      </c>
      <c r="V53" s="1147">
        <f>IFERROR(('12. Разходи'!O53-'12. Разходи'!$K53)/'12. Разходи'!$K53,0)</f>
        <v>0</v>
      </c>
      <c r="W53" s="1155">
        <f>'12. Разходи'!P53-'12. Разходи'!$K53</f>
        <v>0</v>
      </c>
      <c r="X53" s="1202">
        <f>IFERROR(('12. Разходи'!P53-'12. Разходи'!$K53)/'12. Разходи'!$K53,0)</f>
        <v>0</v>
      </c>
      <c r="Y53" s="1196">
        <f>'12. Разходи'!S53</f>
        <v>0</v>
      </c>
      <c r="Z53" s="1160">
        <f>'12. Разходи'!T53-'12. Разходи'!$S53</f>
        <v>0</v>
      </c>
      <c r="AA53" s="1140">
        <f>IFERROR(('12. Разходи'!T53-'12. Разходи'!$S53)/'12. Разходи'!$S53,0)</f>
        <v>0</v>
      </c>
      <c r="AB53" s="926">
        <f>'12. Разходи'!U53-'12. Разходи'!$S53</f>
        <v>0</v>
      </c>
      <c r="AC53" s="1148">
        <f>IFERROR(('12. Разходи'!U53-'12. Разходи'!$S53)/'12. Разходи'!$S53,0)</f>
        <v>0</v>
      </c>
      <c r="AD53" s="926">
        <f>'12. Разходи'!V53-'12. Разходи'!$S53</f>
        <v>0</v>
      </c>
      <c r="AE53" s="1148">
        <f>IFERROR(('12. Разходи'!V53-'12. Разходи'!$S53)/'12. Разходи'!$S53,0)</f>
        <v>0</v>
      </c>
      <c r="AF53" s="926">
        <f>'12. Разходи'!W53-'12. Разходи'!$S53</f>
        <v>0</v>
      </c>
      <c r="AG53" s="1147">
        <f>IFERROR(('12. Разходи'!W53-'12. Разходи'!$S53)/'12. Разходи'!$S53,0)</f>
        <v>0</v>
      </c>
      <c r="AH53" s="1155">
        <f>'12. Разходи'!X53-'12. Разходи'!$S53</f>
        <v>0</v>
      </c>
      <c r="AI53" s="1202">
        <f>IFERROR(('12. Разходи'!X53-'12. Разходи'!$S53)/'12. Разходи'!$S53,0)</f>
        <v>0</v>
      </c>
      <c r="AJ53" s="1196">
        <f>'12. Разходи'!AA53</f>
        <v>0</v>
      </c>
      <c r="AK53" s="1160">
        <f>'12. Разходи'!AB53-'12. Разходи'!$AA53</f>
        <v>0</v>
      </c>
      <c r="AL53" s="1140">
        <f>IFERROR(('12. Разходи'!AB53-'12. Разходи'!$AA53)/'12. Разходи'!$AA53,0)</f>
        <v>0</v>
      </c>
      <c r="AM53" s="926">
        <f>'12. Разходи'!AC53-'12. Разходи'!$AA53</f>
        <v>0</v>
      </c>
      <c r="AN53" s="1148">
        <f>IFERROR(('12. Разходи'!AC53-'12. Разходи'!$AA53)/'12. Разходи'!$AA53,0)</f>
        <v>0</v>
      </c>
      <c r="AO53" s="926">
        <f>'12. Разходи'!AD53-'12. Разходи'!$AA53</f>
        <v>0</v>
      </c>
      <c r="AP53" s="1148">
        <f>IFERROR(('12. Разходи'!AD53-'12. Разходи'!$AA53)/'12. Разходи'!$AA53,0)</f>
        <v>0</v>
      </c>
      <c r="AQ53" s="926">
        <f>'12. Разходи'!AE53-'12. Разходи'!$AA53</f>
        <v>0</v>
      </c>
      <c r="AR53" s="1147">
        <f>IFERROR(('12. Разходи'!AE53-'12. Разходи'!$AA53)/'12. Разходи'!$AA53,0)</f>
        <v>0</v>
      </c>
      <c r="AS53" s="1155">
        <f>'12. Разходи'!AF53-'12. Разходи'!$AA53</f>
        <v>0</v>
      </c>
      <c r="AT53" s="1202">
        <f>IFERROR(('12. Разходи'!AF53-'12. Разходи'!$AA53)/'12. Разходи'!$AA53,0)</f>
        <v>0</v>
      </c>
      <c r="AU53" s="1196">
        <f>'12. Разходи'!AI53</f>
        <v>0</v>
      </c>
      <c r="AV53" s="1160">
        <f>'12. Разходи'!AJ53-'12. Разходи'!$AI53</f>
        <v>0</v>
      </c>
      <c r="AW53" s="1140">
        <f>IFERROR(('12. Разходи'!AJ53-'12. Разходи'!$AI53)/'12. Разходи'!$AI53,0)</f>
        <v>0</v>
      </c>
      <c r="AX53" s="926">
        <f>'12. Разходи'!AK53-'12. Разходи'!$AI53</f>
        <v>0</v>
      </c>
      <c r="AY53" s="1148">
        <f>IFERROR(('12. Разходи'!AK53-'12. Разходи'!$AI53)/'12. Разходи'!$AI53,0)</f>
        <v>0</v>
      </c>
      <c r="AZ53" s="926">
        <f>'12. Разходи'!AL53-'12. Разходи'!$AI53</f>
        <v>0</v>
      </c>
      <c r="BA53" s="1148">
        <f>IFERROR(('12. Разходи'!AL53-'12. Разходи'!$AI53)/'12. Разходи'!$AI53,0)</f>
        <v>0</v>
      </c>
      <c r="BB53" s="926">
        <f>'12. Разходи'!AM53-'12. Разходи'!$AI53</f>
        <v>0</v>
      </c>
      <c r="BC53" s="1147">
        <f>IFERROR(('12. Разходи'!AM53-'12. Разходи'!$AI53)/'12. Разходи'!$AI53,0)</f>
        <v>0</v>
      </c>
      <c r="BD53" s="1155">
        <f>'12. Разходи'!AN53-'12. Разходи'!$AI53</f>
        <v>0</v>
      </c>
      <c r="BE53" s="1202">
        <f>IFERROR(('12. Разходи'!AN53-'12. Разходи'!$AI53)/'12. Разходи'!$AI53,0)</f>
        <v>0</v>
      </c>
      <c r="BF53" s="4775"/>
      <c r="BG53" s="4794">
        <f t="shared" si="1"/>
        <v>1.022583762392437</v>
      </c>
      <c r="BH53" s="4794">
        <f t="shared" si="2"/>
        <v>0</v>
      </c>
      <c r="BI53" s="4794">
        <f t="shared" si="3"/>
        <v>0</v>
      </c>
      <c r="BJ53" s="4794">
        <f t="shared" si="4"/>
        <v>0</v>
      </c>
      <c r="BK53" s="4794">
        <f t="shared" si="5"/>
        <v>0</v>
      </c>
      <c r="BL53" s="4794">
        <f t="shared" si="6"/>
        <v>0</v>
      </c>
      <c r="BM53" s="4794">
        <f t="shared" si="7"/>
        <v>10.22583762392437</v>
      </c>
      <c r="BN53" s="4794">
        <f t="shared" si="8"/>
        <v>0</v>
      </c>
      <c r="BO53" s="4794">
        <f t="shared" si="9"/>
        <v>0</v>
      </c>
      <c r="BP53" s="4794">
        <f t="shared" si="10"/>
        <v>0</v>
      </c>
      <c r="BQ53" s="4794">
        <f t="shared" si="11"/>
        <v>0</v>
      </c>
      <c r="BR53" s="4794">
        <f t="shared" si="12"/>
        <v>0</v>
      </c>
      <c r="BS53" s="4794">
        <f t="shared" si="13"/>
        <v>0</v>
      </c>
      <c r="BT53" s="4794">
        <f t="shared" si="14"/>
        <v>0</v>
      </c>
      <c r="BU53" s="4794">
        <f t="shared" si="15"/>
        <v>0</v>
      </c>
      <c r="BV53" s="4794">
        <f t="shared" si="16"/>
        <v>0</v>
      </c>
      <c r="BW53" s="4794">
        <f t="shared" si="17"/>
        <v>0</v>
      </c>
      <c r="BX53" s="4794">
        <f t="shared" si="18"/>
        <v>0</v>
      </c>
      <c r="BY53" s="4794">
        <f t="shared" si="19"/>
        <v>0</v>
      </c>
      <c r="BZ53" s="4794">
        <f t="shared" si="20"/>
        <v>0</v>
      </c>
      <c r="CA53" s="4794">
        <f t="shared" si="21"/>
        <v>0</v>
      </c>
      <c r="CB53" s="4794">
        <f t="shared" si="22"/>
        <v>0</v>
      </c>
      <c r="CC53" s="4794">
        <f t="shared" si="23"/>
        <v>0</v>
      </c>
      <c r="CD53" s="4794">
        <f t="shared" si="24"/>
        <v>0</v>
      </c>
      <c r="CE53" s="4794">
        <f t="shared" si="25"/>
        <v>0</v>
      </c>
      <c r="CF53" s="4794">
        <f t="shared" si="26"/>
        <v>0</v>
      </c>
      <c r="CG53" s="4794">
        <f t="shared" si="27"/>
        <v>0</v>
      </c>
      <c r="CH53" s="4794">
        <f t="shared" si="28"/>
        <v>0</v>
      </c>
      <c r="CI53" s="4794">
        <f t="shared" si="29"/>
        <v>0</v>
      </c>
      <c r="CJ53" s="4794">
        <f t="shared" si="30"/>
        <v>0</v>
      </c>
    </row>
    <row r="54" spans="1:88" s="690" customFormat="1" ht="15.95" customHeight="1" thickBot="1">
      <c r="A54" s="918" t="s">
        <v>1229</v>
      </c>
      <c r="B54" s="3299">
        <f>'12. Разходи'!B54</f>
        <v>0</v>
      </c>
      <c r="C54" s="3300">
        <f>'12. Разходи'!C54</f>
        <v>4</v>
      </c>
      <c r="D54" s="1160">
        <f>'12. Разходи'!D54-'12. Разходи'!$C54</f>
        <v>0</v>
      </c>
      <c r="E54" s="1140">
        <f>IFERROR(('12. Разходи'!D54-'12. Разходи'!$C54)/'12. Разходи'!$C54,0)</f>
        <v>0</v>
      </c>
      <c r="F54" s="926">
        <f>'12. Разходи'!E54-'12. Разходи'!$C54</f>
        <v>0</v>
      </c>
      <c r="G54" s="1148">
        <f>IFERROR(('12. Разходи'!E54-'12. Разходи'!$C54)/'12. Разходи'!$C54,0)</f>
        <v>0</v>
      </c>
      <c r="H54" s="926">
        <f>'12. Разходи'!F54-'12. Разходи'!$C54</f>
        <v>0</v>
      </c>
      <c r="I54" s="1148">
        <f>IFERROR(('12. Разходи'!F54-'12. Разходи'!$C54)/'12. Разходи'!$C54,0)</f>
        <v>0</v>
      </c>
      <c r="J54" s="926">
        <f>'12. Разходи'!G54-'12. Разходи'!$C54</f>
        <v>0</v>
      </c>
      <c r="K54" s="1147">
        <f>IFERROR(('12. Разходи'!G54-'12. Разходи'!$C54)/'12. Разходи'!$C54,0)</f>
        <v>0</v>
      </c>
      <c r="L54" s="1155">
        <f>'12. Разходи'!H54-'12. Разходи'!$C54</f>
        <v>0</v>
      </c>
      <c r="M54" s="1147">
        <f>IFERROR(('12. Разходи'!H54-'12. Разходи'!$C54)/'12. Разходи'!$C54,0)</f>
        <v>0</v>
      </c>
      <c r="N54" s="1196">
        <f>'12. Разходи'!K54</f>
        <v>1</v>
      </c>
      <c r="O54" s="1160">
        <f>'12. Разходи'!L54-'12. Разходи'!$K54</f>
        <v>0</v>
      </c>
      <c r="P54" s="1140">
        <f>IFERROR(('12. Разходи'!L54-'12. Разходи'!$K54)/'12. Разходи'!$K54,0)</f>
        <v>0</v>
      </c>
      <c r="Q54" s="926">
        <f>'12. Разходи'!M54-'12. Разходи'!$K54</f>
        <v>0</v>
      </c>
      <c r="R54" s="1148">
        <f>IFERROR(('12. Разходи'!M54-'12. Разходи'!$K54)/'12. Разходи'!$K54,0)</f>
        <v>0</v>
      </c>
      <c r="S54" s="926">
        <f>'12. Разходи'!N54-'12. Разходи'!$K54</f>
        <v>0</v>
      </c>
      <c r="T54" s="1148">
        <f>IFERROR(('12. Разходи'!N54-'12. Разходи'!$K54)/'12. Разходи'!$K54,0)</f>
        <v>0</v>
      </c>
      <c r="U54" s="926">
        <f>'12. Разходи'!O54-'12. Разходи'!$K54</f>
        <v>0</v>
      </c>
      <c r="V54" s="1147">
        <f>IFERROR(('12. Разходи'!O54-'12. Разходи'!$K54)/'12. Разходи'!$K54,0)</f>
        <v>0</v>
      </c>
      <c r="W54" s="1155">
        <f>'12. Разходи'!P54-'12. Разходи'!$K54</f>
        <v>0</v>
      </c>
      <c r="X54" s="1202">
        <f>IFERROR(('12. Разходи'!P54-'12. Разходи'!$K54)/'12. Разходи'!$K54,0)</f>
        <v>0</v>
      </c>
      <c r="Y54" s="1196">
        <f>'12. Разходи'!S54</f>
        <v>6</v>
      </c>
      <c r="Z54" s="1160">
        <f>'12. Разходи'!T54-'12. Разходи'!$S54</f>
        <v>0</v>
      </c>
      <c r="AA54" s="1140">
        <f>IFERROR(('12. Разходи'!T54-'12. Разходи'!$S54)/'12. Разходи'!$S54,0)</f>
        <v>0</v>
      </c>
      <c r="AB54" s="926">
        <f>'12. Разходи'!U54-'12. Разходи'!$S54</f>
        <v>0</v>
      </c>
      <c r="AC54" s="1148">
        <f>IFERROR(('12. Разходи'!U54-'12. Разходи'!$S54)/'12. Разходи'!$S54,0)</f>
        <v>0</v>
      </c>
      <c r="AD54" s="926">
        <f>'12. Разходи'!V54-'12. Разходи'!$S54</f>
        <v>0</v>
      </c>
      <c r="AE54" s="1148">
        <f>IFERROR(('12. Разходи'!V54-'12. Разходи'!$S54)/'12. Разходи'!$S54,0)</f>
        <v>0</v>
      </c>
      <c r="AF54" s="926">
        <f>'12. Разходи'!W54-'12. Разходи'!$S54</f>
        <v>0</v>
      </c>
      <c r="AG54" s="1147">
        <f>IFERROR(('12. Разходи'!W54-'12. Разходи'!$S54)/'12. Разходи'!$S54,0)</f>
        <v>0</v>
      </c>
      <c r="AH54" s="1155">
        <f>'12. Разходи'!X54-'12. Разходи'!$S54</f>
        <v>0</v>
      </c>
      <c r="AI54" s="1202">
        <f>IFERROR(('12. Разходи'!X54-'12. Разходи'!$S54)/'12. Разходи'!$S54,0)</f>
        <v>0</v>
      </c>
      <c r="AJ54" s="1196">
        <f>'12. Разходи'!AA54</f>
        <v>0</v>
      </c>
      <c r="AK54" s="1160">
        <f>'12. Разходи'!AB54-'12. Разходи'!$AA54</f>
        <v>0</v>
      </c>
      <c r="AL54" s="1140">
        <f>IFERROR(('12. Разходи'!AB54-'12. Разходи'!$AA54)/'12. Разходи'!$AA54,0)</f>
        <v>0</v>
      </c>
      <c r="AM54" s="926">
        <f>'12. Разходи'!AC54-'12. Разходи'!$AA54</f>
        <v>0</v>
      </c>
      <c r="AN54" s="1148">
        <f>IFERROR(('12. Разходи'!AC54-'12. Разходи'!$AA54)/'12. Разходи'!$AA54,0)</f>
        <v>0</v>
      </c>
      <c r="AO54" s="926">
        <f>'12. Разходи'!AD54-'12. Разходи'!$AA54</f>
        <v>0</v>
      </c>
      <c r="AP54" s="1148">
        <f>IFERROR(('12. Разходи'!AD54-'12. Разходи'!$AA54)/'12. Разходи'!$AA54,0)</f>
        <v>0</v>
      </c>
      <c r="AQ54" s="926">
        <f>'12. Разходи'!AE54-'12. Разходи'!$AA54</f>
        <v>0</v>
      </c>
      <c r="AR54" s="1147">
        <f>IFERROR(('12. Разходи'!AE54-'12. Разходи'!$AA54)/'12. Разходи'!$AA54,0)</f>
        <v>0</v>
      </c>
      <c r="AS54" s="1155">
        <f>'12. Разходи'!AF54-'12. Разходи'!$AA54</f>
        <v>0</v>
      </c>
      <c r="AT54" s="1202">
        <f>IFERROR(('12. Разходи'!AF54-'12. Разходи'!$AA54)/'12. Разходи'!$AA54,0)</f>
        <v>0</v>
      </c>
      <c r="AU54" s="1196">
        <f>'12. Разходи'!AI54</f>
        <v>0</v>
      </c>
      <c r="AV54" s="1160">
        <f>'12. Разходи'!AJ54-'12. Разходи'!$AI54</f>
        <v>0</v>
      </c>
      <c r="AW54" s="1140">
        <f>IFERROR(('12. Разходи'!AJ54-'12. Разходи'!$AI54)/'12. Разходи'!$AI54,0)</f>
        <v>0</v>
      </c>
      <c r="AX54" s="926">
        <f>'12. Разходи'!AK54-'12. Разходи'!$AI54</f>
        <v>0</v>
      </c>
      <c r="AY54" s="1148">
        <f>IFERROR(('12. Разходи'!AK54-'12. Разходи'!$AI54)/'12. Разходи'!$AI54,0)</f>
        <v>0</v>
      </c>
      <c r="AZ54" s="926">
        <f>'12. Разходи'!AL54-'12. Разходи'!$AI54</f>
        <v>0</v>
      </c>
      <c r="BA54" s="1148">
        <f>IFERROR(('12. Разходи'!AL54-'12. Разходи'!$AI54)/'12. Разходи'!$AI54,0)</f>
        <v>0</v>
      </c>
      <c r="BB54" s="926">
        <f>'12. Разходи'!AM54-'12. Разходи'!$AI54</f>
        <v>0</v>
      </c>
      <c r="BC54" s="1147">
        <f>IFERROR(('12. Разходи'!AM54-'12. Разходи'!$AI54)/'12. Разходи'!$AI54,0)</f>
        <v>0</v>
      </c>
      <c r="BD54" s="1155">
        <f>'12. Разходи'!AN54-'12. Разходи'!$AI54</f>
        <v>0</v>
      </c>
      <c r="BE54" s="1202">
        <f>IFERROR(('12. Разходи'!AN54-'12. Разходи'!$AI54)/'12. Разходи'!$AI54,0)</f>
        <v>0</v>
      </c>
      <c r="BF54" s="4775"/>
      <c r="BG54" s="4794">
        <f t="shared" si="1"/>
        <v>2.045167524784874</v>
      </c>
      <c r="BH54" s="4794">
        <f t="shared" si="2"/>
        <v>0</v>
      </c>
      <c r="BI54" s="4794">
        <f t="shared" si="3"/>
        <v>0</v>
      </c>
      <c r="BJ54" s="4794">
        <f t="shared" si="4"/>
        <v>0</v>
      </c>
      <c r="BK54" s="4794">
        <f t="shared" si="5"/>
        <v>0</v>
      </c>
      <c r="BL54" s="4794">
        <f t="shared" si="6"/>
        <v>0</v>
      </c>
      <c r="BM54" s="4794">
        <f t="shared" si="7"/>
        <v>0.51129188119621849</v>
      </c>
      <c r="BN54" s="4794">
        <f t="shared" si="8"/>
        <v>0</v>
      </c>
      <c r="BO54" s="4794">
        <f t="shared" si="9"/>
        <v>0</v>
      </c>
      <c r="BP54" s="4794">
        <f t="shared" si="10"/>
        <v>0</v>
      </c>
      <c r="BQ54" s="4794">
        <f t="shared" si="11"/>
        <v>0</v>
      </c>
      <c r="BR54" s="4794">
        <f t="shared" si="12"/>
        <v>0</v>
      </c>
      <c r="BS54" s="4794">
        <f t="shared" si="13"/>
        <v>3.0677512871773112</v>
      </c>
      <c r="BT54" s="4794">
        <f t="shared" si="14"/>
        <v>0</v>
      </c>
      <c r="BU54" s="4794">
        <f t="shared" si="15"/>
        <v>0</v>
      </c>
      <c r="BV54" s="4794">
        <f t="shared" si="16"/>
        <v>0</v>
      </c>
      <c r="BW54" s="4794">
        <f t="shared" si="17"/>
        <v>0</v>
      </c>
      <c r="BX54" s="4794">
        <f t="shared" si="18"/>
        <v>0</v>
      </c>
      <c r="BY54" s="4794">
        <f t="shared" si="19"/>
        <v>0</v>
      </c>
      <c r="BZ54" s="4794">
        <f t="shared" si="20"/>
        <v>0</v>
      </c>
      <c r="CA54" s="4794">
        <f t="shared" si="21"/>
        <v>0</v>
      </c>
      <c r="CB54" s="4794">
        <f t="shared" si="22"/>
        <v>0</v>
      </c>
      <c r="CC54" s="4794">
        <f t="shared" si="23"/>
        <v>0</v>
      </c>
      <c r="CD54" s="4794">
        <f t="shared" si="24"/>
        <v>0</v>
      </c>
      <c r="CE54" s="4794">
        <f t="shared" si="25"/>
        <v>0</v>
      </c>
      <c r="CF54" s="4794">
        <f t="shared" si="26"/>
        <v>0</v>
      </c>
      <c r="CG54" s="4794">
        <f t="shared" si="27"/>
        <v>0</v>
      </c>
      <c r="CH54" s="4794">
        <f t="shared" si="28"/>
        <v>0</v>
      </c>
      <c r="CI54" s="4794">
        <f t="shared" si="29"/>
        <v>0</v>
      </c>
      <c r="CJ54" s="4794">
        <f t="shared" si="30"/>
        <v>0</v>
      </c>
    </row>
    <row r="55" spans="1:88" s="1179" customFormat="1" ht="15.95" customHeight="1" thickBot="1">
      <c r="A55" s="115">
        <v>3</v>
      </c>
      <c r="B55" s="913" t="s">
        <v>446</v>
      </c>
      <c r="C55" s="1129">
        <f>'12. Разходи'!C55</f>
        <v>5100</v>
      </c>
      <c r="D55" s="1167">
        <f>'12. Разходи'!D55-'12. Разходи'!$C55</f>
        <v>-758.08517045454573</v>
      </c>
      <c r="E55" s="894">
        <f>IFERROR(('12. Разходи'!D55-'12. Разходи'!$C55)/'12. Разходи'!$C55,0)</f>
        <v>-0.14864415106951878</v>
      </c>
      <c r="F55" s="1166">
        <f>'12. Разходи'!E55-'12. Разходи'!$C55</f>
        <v>-1312.2721159625239</v>
      </c>
      <c r="G55" s="894">
        <f>IFERROR(('12. Разходи'!E55-'12. Разходи'!$C55)/'12. Разходи'!$C55,0)</f>
        <v>-0.25730825803186741</v>
      </c>
      <c r="H55" s="1166">
        <f>'12. Разходи'!F55-'12. Разходи'!$C55</f>
        <v>-1349.0548637456586</v>
      </c>
      <c r="I55" s="903">
        <f>IFERROR(('12. Разходи'!F55-'12. Разходи'!$C55)/'12. Разходи'!$C55,0)</f>
        <v>-0.26452056151875658</v>
      </c>
      <c r="J55" s="1169">
        <f>'12. Разходи'!G55-'12. Разходи'!$C55</f>
        <v>-1379.3566460948032</v>
      </c>
      <c r="K55" s="903">
        <f>IFERROR(('12. Разходи'!G55-'12. Разходи'!$C55)/'12. Разходи'!$C55,0)</f>
        <v>-0.27046208746956923</v>
      </c>
      <c r="L55" s="1166">
        <f>'12. Разходи'!H55-'12. Разходи'!$C55</f>
        <v>-1213.5233079158834</v>
      </c>
      <c r="M55" s="903">
        <f>IFERROR(('12. Разходи'!H55-'12. Разходи'!$C55)/'12. Разходи'!$C55,0)</f>
        <v>-0.23794574665017321</v>
      </c>
      <c r="N55" s="1180">
        <f>'12. Разходи'!K55</f>
        <v>669</v>
      </c>
      <c r="O55" s="1167">
        <f>'12. Разходи'!L55-'12. Разходи'!$K55</f>
        <v>-275.52360984848485</v>
      </c>
      <c r="P55" s="894">
        <f>IFERROR(('12. Разходи'!L55-'12. Разходи'!$K55)/'12. Разходи'!$K55,0)</f>
        <v>-0.41184396090954389</v>
      </c>
      <c r="Q55" s="1166">
        <f>'12. Разходи'!M55-'12. Разходи'!$K55</f>
        <v>-273.66928760827295</v>
      </c>
      <c r="R55" s="894">
        <f>IFERROR(('12. Разходи'!M55-'12. Разходи'!$K55)/'12. Разходи'!$K55,0)</f>
        <v>-0.40907217878665614</v>
      </c>
      <c r="S55" s="1166">
        <f>'12. Разходи'!N55-'12. Разходи'!$K55</f>
        <v>-271.75247662302957</v>
      </c>
      <c r="T55" s="903">
        <f>IFERROR(('12. Разходи'!N55-'12. Разходи'!$K55)/'12. Разходи'!$K55,0)</f>
        <v>-0.40620699046790665</v>
      </c>
      <c r="U55" s="1169">
        <f>'12. Разходи'!O55-'12. Разходи'!$K55</f>
        <v>-279.9823197801058</v>
      </c>
      <c r="V55" s="903">
        <f>IFERROR(('12. Разходи'!O55-'12. Разходи'!$K55)/'12. Разходи'!$K55,0)</f>
        <v>-0.41850869922287864</v>
      </c>
      <c r="W55" s="1166">
        <f>'12. Разходи'!P55-'12. Разходи'!$K55</f>
        <v>-278.57806394255431</v>
      </c>
      <c r="X55" s="836">
        <f>IFERROR(('12. Разходи'!P55-'12. Разходи'!$K55)/'12. Разходи'!$K55,0)</f>
        <v>-0.41640966209649372</v>
      </c>
      <c r="Y55" s="1180">
        <f>'12. Разходи'!S55</f>
        <v>247.4</v>
      </c>
      <c r="Z55" s="1167">
        <f>'12. Разходи'!T55-'12. Разходи'!$S55</f>
        <v>-28.008219696969689</v>
      </c>
      <c r="AA55" s="894">
        <f>IFERROR(('12. Разходи'!T55-'12. Разходи'!$S55)/'12. Разходи'!$S55,0)</f>
        <v>-0.11321026554959454</v>
      </c>
      <c r="AB55" s="1166">
        <f>'12. Разходи'!U55-'12. Разходи'!$S55</f>
        <v>-20.628596429202759</v>
      </c>
      <c r="AC55" s="894">
        <f>IFERROR(('12. Разходи'!U55-'12. Разходи'!$S55)/'12. Разходи'!$S55,0)</f>
        <v>-8.3381553877133224E-2</v>
      </c>
      <c r="AD55" s="1166">
        <f>'12. Разходи'!V55-'12. Разходи'!$S55</f>
        <v>-14.257659631311782</v>
      </c>
      <c r="AE55" s="903">
        <f>IFERROR(('12. Разходи'!V55-'12. Разходи'!$S55)/'12. Разходи'!$S55,0)</f>
        <v>-5.7629990425674134E-2</v>
      </c>
      <c r="AF55" s="1169">
        <f>'12. Разходи'!W55-'12. Разходи'!$S55</f>
        <v>-6.9810341250907584</v>
      </c>
      <c r="AG55" s="903">
        <f>IFERROR(('12. Разходи'!W55-'12. Разходи'!$S55)/'12. Разходи'!$S55,0)</f>
        <v>-2.8217599535532573E-2</v>
      </c>
      <c r="AH55" s="1166">
        <f>'12. Разходи'!X55-'12. Разходи'!$S55</f>
        <v>-0.46462814156265608</v>
      </c>
      <c r="AI55" s="836">
        <f>IFERROR(('12. Разходи'!X55-'12. Разходи'!$S55)/'12. Разходи'!$S55,0)</f>
        <v>-1.8780442262031369E-3</v>
      </c>
      <c r="AJ55" s="1180">
        <f>'12. Разходи'!AA55</f>
        <v>0</v>
      </c>
      <c r="AK55" s="1167">
        <f>'12. Разходи'!AB55-'12. Разходи'!$AA55</f>
        <v>0</v>
      </c>
      <c r="AL55" s="894">
        <f>IFERROR(('12. Разходи'!AB55-'12. Разходи'!$AA55)/'12. Разходи'!$AA55,0)</f>
        <v>0</v>
      </c>
      <c r="AM55" s="1166">
        <f>'12. Разходи'!AC55-'12. Разходи'!$AA55</f>
        <v>0</v>
      </c>
      <c r="AN55" s="894">
        <f>IFERROR(('12. Разходи'!AC55-'12. Разходи'!$AA55)/'12. Разходи'!$AA55,0)</f>
        <v>0</v>
      </c>
      <c r="AO55" s="1166">
        <f>'12. Разходи'!AD55-'12. Разходи'!$AA55</f>
        <v>0</v>
      </c>
      <c r="AP55" s="903">
        <f>IFERROR(('12. Разходи'!AD55-'12. Разходи'!$AA55)/'12. Разходи'!$AA55,0)</f>
        <v>0</v>
      </c>
      <c r="AQ55" s="1169">
        <f>'12. Разходи'!AE55-'12. Разходи'!$AA55</f>
        <v>0</v>
      </c>
      <c r="AR55" s="903">
        <f>IFERROR(('12. Разходи'!AE55-'12. Разходи'!$AA55)/'12. Разходи'!$AA55,0)</f>
        <v>0</v>
      </c>
      <c r="AS55" s="1166">
        <f>'12. Разходи'!AF55-'12. Разходи'!$AA55</f>
        <v>0</v>
      </c>
      <c r="AT55" s="836">
        <f>IFERROR(('12. Разходи'!AF55-'12. Разходи'!$AA55)/'12. Разходи'!$AA55,0)</f>
        <v>0</v>
      </c>
      <c r="AU55" s="1180">
        <f>'12. Разходи'!AI55</f>
        <v>0</v>
      </c>
      <c r="AV55" s="1167">
        <f>'12. Разходи'!AJ55-'12. Разходи'!$AI55</f>
        <v>0</v>
      </c>
      <c r="AW55" s="894">
        <f>IFERROR(('12. Разходи'!AJ55-'12. Разходи'!$AI55)/'12. Разходи'!$AI55,0)</f>
        <v>0</v>
      </c>
      <c r="AX55" s="1166">
        <f>'12. Разходи'!AK55-'12. Разходи'!$AI55</f>
        <v>0</v>
      </c>
      <c r="AY55" s="894">
        <f>IFERROR(('12. Разходи'!AK55-'12. Разходи'!$AI55)/'12. Разходи'!$AI55,0)</f>
        <v>0</v>
      </c>
      <c r="AZ55" s="1166">
        <f>'12. Разходи'!AL55-'12. Разходи'!$AI55</f>
        <v>0</v>
      </c>
      <c r="BA55" s="903">
        <f>IFERROR(('12. Разходи'!AL55-'12. Разходи'!$AI55)/'12. Разходи'!$AI55,0)</f>
        <v>0</v>
      </c>
      <c r="BB55" s="1169">
        <f>'12. Разходи'!AM55-'12. Разходи'!$AI55</f>
        <v>0</v>
      </c>
      <c r="BC55" s="903">
        <f>IFERROR(('12. Разходи'!AM55-'12. Разходи'!$AI55)/'12. Разходи'!$AI55,0)</f>
        <v>0</v>
      </c>
      <c r="BD55" s="1166">
        <f>'12. Разходи'!AN55-'12. Разходи'!$AI55</f>
        <v>0</v>
      </c>
      <c r="BE55" s="836">
        <f>IFERROR(('12. Разходи'!AN55-'12. Разходи'!$AI55)/'12. Разходи'!$AI55,0)</f>
        <v>0</v>
      </c>
      <c r="BF55" s="4775"/>
      <c r="BG55" s="4794">
        <f t="shared" si="1"/>
        <v>2607.5885941007145</v>
      </c>
      <c r="BH55" s="4794">
        <f t="shared" si="2"/>
        <v>-387.60279290866066</v>
      </c>
      <c r="BI55" s="4794">
        <f t="shared" si="3"/>
        <v>-670.95407881182109</v>
      </c>
      <c r="BJ55" s="4794">
        <f t="shared" si="4"/>
        <v>-689.76079912142598</v>
      </c>
      <c r="BK55" s="4794">
        <f t="shared" si="5"/>
        <v>-705.25385442231845</v>
      </c>
      <c r="BL55" s="4794">
        <f t="shared" si="6"/>
        <v>-620.46461497976998</v>
      </c>
      <c r="BM55" s="4794">
        <f t="shared" si="7"/>
        <v>342.05426852027017</v>
      </c>
      <c r="BN55" s="4794">
        <f t="shared" si="8"/>
        <v>-140.87298479340478</v>
      </c>
      <c r="BO55" s="4794">
        <f t="shared" si="9"/>
        <v>-139.92488488686286</v>
      </c>
      <c r="BP55" s="4794">
        <f t="shared" si="10"/>
        <v>-138.94483499232018</v>
      </c>
      <c r="BQ55" s="4794">
        <f t="shared" si="11"/>
        <v>-143.15268698205151</v>
      </c>
      <c r="BR55" s="4794">
        <f t="shared" si="12"/>
        <v>-142.43470237318903</v>
      </c>
      <c r="BS55" s="4794">
        <f t="shared" si="13"/>
        <v>126.49361140794446</v>
      </c>
      <c r="BT55" s="4794">
        <f t="shared" si="14"/>
        <v>-14.320375337820613</v>
      </c>
      <c r="BU55" s="4794">
        <f t="shared" si="15"/>
        <v>-10.547233874724673</v>
      </c>
      <c r="BV55" s="4794">
        <f t="shared" si="16"/>
        <v>-7.2898256143487838</v>
      </c>
      <c r="BW55" s="4794">
        <f t="shared" si="17"/>
        <v>-3.5693460705126512</v>
      </c>
      <c r="BX55" s="4794">
        <f t="shared" si="18"/>
        <v>-0.23756059655627335</v>
      </c>
      <c r="BY55" s="4794">
        <f t="shared" si="19"/>
        <v>0</v>
      </c>
      <c r="BZ55" s="4794">
        <f t="shared" si="20"/>
        <v>0</v>
      </c>
      <c r="CA55" s="4794">
        <f t="shared" si="21"/>
        <v>0</v>
      </c>
      <c r="CB55" s="4794">
        <f t="shared" si="22"/>
        <v>0</v>
      </c>
      <c r="CC55" s="4794">
        <f t="shared" si="23"/>
        <v>0</v>
      </c>
      <c r="CD55" s="4794">
        <f t="shared" si="24"/>
        <v>0</v>
      </c>
      <c r="CE55" s="4794">
        <f t="shared" si="25"/>
        <v>0</v>
      </c>
      <c r="CF55" s="4794">
        <f t="shared" si="26"/>
        <v>0</v>
      </c>
      <c r="CG55" s="4794">
        <f t="shared" si="27"/>
        <v>0</v>
      </c>
      <c r="CH55" s="4794">
        <f t="shared" si="28"/>
        <v>0</v>
      </c>
      <c r="CI55" s="4794">
        <f t="shared" si="29"/>
        <v>0</v>
      </c>
      <c r="CJ55" s="4794">
        <f t="shared" si="30"/>
        <v>0</v>
      </c>
    </row>
    <row r="56" spans="1:88" ht="15.95" customHeight="1">
      <c r="A56" s="1536" t="s">
        <v>263</v>
      </c>
      <c r="B56" s="1537" t="s">
        <v>447</v>
      </c>
      <c r="C56" s="1538">
        <f>'12. Разходи'!C56</f>
        <v>383</v>
      </c>
      <c r="D56" s="1539">
        <f>'12. Разходи'!D56-'12. Разходи'!$C56</f>
        <v>380.25164772727271</v>
      </c>
      <c r="E56" s="1540">
        <f>IFERROR(('12. Разходи'!D56-'12. Разходи'!$C56)/'12. Разходи'!$C56,0)</f>
        <v>0.99282414550201747</v>
      </c>
      <c r="F56" s="1541">
        <f>'12. Разходи'!E56-'12. Разходи'!$C56</f>
        <v>398.06350185610768</v>
      </c>
      <c r="G56" s="1540">
        <f>IFERROR(('12. Разходи'!E56-'12. Разходи'!$C56)/'12. Разходи'!$C56,0)</f>
        <v>1.0393302920525005</v>
      </c>
      <c r="H56" s="1541">
        <f>'12. Разходи'!F56-'12. Разходи'!$C56</f>
        <v>426.27877905423452</v>
      </c>
      <c r="I56" s="1540">
        <f>IFERROR(('12. Разходи'!F56-'12. Разходи'!$C56)/'12. Разходи'!$C56,0)</f>
        <v>1.1129994231181057</v>
      </c>
      <c r="J56" s="1541">
        <f>'12. Разходи'!G56-'12. Разходи'!$C56</f>
        <v>470.98049372471746</v>
      </c>
      <c r="K56" s="1542">
        <f>IFERROR(('12. Разходи'!G56-'12. Разходи'!$C56)/'12. Разходи'!$C56,0)</f>
        <v>1.2297140828321604</v>
      </c>
      <c r="L56" s="1541">
        <f>'12. Разходи'!H56-'12. Разходи'!$C56</f>
        <v>501.81187553427912</v>
      </c>
      <c r="M56" s="1542">
        <f>IFERROR(('12. Разходи'!H56-'12. Разходи'!$C56)/'12. Разходи'!$C56,0)</f>
        <v>1.3102137742409377</v>
      </c>
      <c r="N56" s="1543">
        <f>'12. Разходи'!K56</f>
        <v>184</v>
      </c>
      <c r="O56" s="1539">
        <f>'12. Разходи'!L56-'12. Разходи'!$K56</f>
        <v>22.812784090909105</v>
      </c>
      <c r="P56" s="1540">
        <f>IFERROR(('12. Разходи'!L56-'12. Разходи'!$K56)/'12. Разходи'!$K56,0)</f>
        <v>0.12398252223320165</v>
      </c>
      <c r="Q56" s="1541">
        <f>'12. Разходи'!M56-'12. Разходи'!$K56</f>
        <v>24.667359024217745</v>
      </c>
      <c r="R56" s="1540">
        <f>IFERROR(('12. Разходи'!M56-'12. Разходи'!$K56)/'12. Разходи'!$K56,0)</f>
        <v>0.13406173382727035</v>
      </c>
      <c r="S56" s="1541">
        <f>'12. Разходи'!N56-'12. Разходи'!$K56</f>
        <v>26.583368955383463</v>
      </c>
      <c r="T56" s="1540">
        <f>IFERROR(('12. Разходи'!N56-'12. Разходи'!$K56)/'12. Разходи'!$K56,0)</f>
        <v>0.14447483127925795</v>
      </c>
      <c r="U56" s="1541">
        <f>'12. Разходи'!O56-'12. Разходи'!$K56</f>
        <v>28.354325277460845</v>
      </c>
      <c r="V56" s="1542">
        <f>IFERROR(('12. Разходи'!O56-'12. Разходи'!$K56)/'12. Разходи'!$K56,0)</f>
        <v>0.15409959389924371</v>
      </c>
      <c r="W56" s="1541">
        <f>'12. Разходи'!P56-'12. Разходи'!$K56</f>
        <v>29.756402803898141</v>
      </c>
      <c r="X56" s="1544">
        <f>IFERROR(('12. Разходи'!P56-'12. Разходи'!$K56)/'12. Разходи'!$K56,0)</f>
        <v>0.16171958045596815</v>
      </c>
      <c r="Y56" s="1543">
        <f>'12. Разходи'!S56</f>
        <v>83</v>
      </c>
      <c r="Z56" s="1539">
        <f>'12. Разходи'!T56-'12. Разходи'!$S56</f>
        <v>9.7255681818181756</v>
      </c>
      <c r="AA56" s="1540">
        <f>IFERROR(('12. Разходи'!T56-'12. Разходи'!$S56)/'12. Разходи'!$S56,0)</f>
        <v>0.11717552026286959</v>
      </c>
      <c r="AB56" s="1541">
        <f>'12. Разходи'!U56-'12. Разходи'!$S56</f>
        <v>17.109139119674751</v>
      </c>
      <c r="AC56" s="1540">
        <f>IFERROR(('12. Разходи'!U56-'12. Разходи'!$S56)/'12. Разходи'!$S56,0)</f>
        <v>0.20613420626114157</v>
      </c>
      <c r="AD56" s="1541">
        <f>'12. Разходи'!V56-'12. Разходи'!$S56</f>
        <v>23.47785199038205</v>
      </c>
      <c r="AE56" s="1540">
        <f>IFERROR(('12. Разходи'!V56-'12. Разходи'!$S56)/'12. Разходи'!$S56,0)</f>
        <v>0.282865686631109</v>
      </c>
      <c r="AF56" s="1541">
        <f>'12. Разходи'!W56-'12. Разходи'!$S56</f>
        <v>30.755180997821796</v>
      </c>
      <c r="AG56" s="1542">
        <f>IFERROR(('12. Разходи'!W56-'12. Разходи'!$S56)/'12. Разходи'!$S56,0)</f>
        <v>0.37054434937134695</v>
      </c>
      <c r="AH56" s="1541">
        <f>'12. Разходи'!X56-'12. Разходи'!$S56</f>
        <v>37.271721661822525</v>
      </c>
      <c r="AI56" s="1544">
        <f>IFERROR(('12. Разходи'!X56-'12. Разходи'!$S56)/'12. Разходи'!$S56,0)</f>
        <v>0.44905688749183764</v>
      </c>
      <c r="AJ56" s="1543">
        <f>'12. Разходи'!AA56</f>
        <v>0</v>
      </c>
      <c r="AK56" s="1539">
        <f>'12. Разходи'!AB56-'12. Разходи'!$AA56</f>
        <v>0</v>
      </c>
      <c r="AL56" s="1540">
        <f>IFERROR(('12. Разходи'!AB56-'12. Разходи'!$AA56)/'12. Разходи'!$AA56,0)</f>
        <v>0</v>
      </c>
      <c r="AM56" s="1541">
        <f>'12. Разходи'!AC56-'12. Разходи'!$AA56</f>
        <v>0</v>
      </c>
      <c r="AN56" s="1540">
        <f>IFERROR(('12. Разходи'!AC56-'12. Разходи'!$AA56)/'12. Разходи'!$AA56,0)</f>
        <v>0</v>
      </c>
      <c r="AO56" s="1541">
        <f>'12. Разходи'!AD56-'12. Разходи'!$AA56</f>
        <v>0</v>
      </c>
      <c r="AP56" s="1540">
        <f>IFERROR(('12. Разходи'!AD56-'12. Разходи'!$AA56)/'12. Разходи'!$AA56,0)</f>
        <v>0</v>
      </c>
      <c r="AQ56" s="1541">
        <f>'12. Разходи'!AE56-'12. Разходи'!$AA56</f>
        <v>0</v>
      </c>
      <c r="AR56" s="1542">
        <f>IFERROR(('12. Разходи'!AE56-'12. Разходи'!$AA56)/'12. Разходи'!$AA56,0)</f>
        <v>0</v>
      </c>
      <c r="AS56" s="1541">
        <f>'12. Разходи'!AF56-'12. Разходи'!$AA56</f>
        <v>0</v>
      </c>
      <c r="AT56" s="1544">
        <f>IFERROR(('12. Разходи'!AF56-'12. Разходи'!$AA56)/'12. Разходи'!$AA56,0)</f>
        <v>0</v>
      </c>
      <c r="AU56" s="1543">
        <f>'12. Разходи'!AI56</f>
        <v>0</v>
      </c>
      <c r="AV56" s="1539">
        <f>'12. Разходи'!AJ56-'12. Разходи'!$AI56</f>
        <v>0</v>
      </c>
      <c r="AW56" s="1540">
        <f>IFERROR(('12. Разходи'!AJ56-'12. Разходи'!$AI56)/'12. Разходи'!$AI56,0)</f>
        <v>0</v>
      </c>
      <c r="AX56" s="1541">
        <f>'12. Разходи'!AK56-'12. Разходи'!$AI56</f>
        <v>0</v>
      </c>
      <c r="AY56" s="1540">
        <f>IFERROR(('12. Разходи'!AK56-'12. Разходи'!$AI56)/'12. Разходи'!$AI56,0)</f>
        <v>0</v>
      </c>
      <c r="AZ56" s="1541">
        <f>'12. Разходи'!AL56-'12. Разходи'!$AI56</f>
        <v>0</v>
      </c>
      <c r="BA56" s="1540">
        <f>IFERROR(('12. Разходи'!AL56-'12. Разходи'!$AI56)/'12. Разходи'!$AI56,0)</f>
        <v>0</v>
      </c>
      <c r="BB56" s="1541">
        <f>'12. Разходи'!AM56-'12. Разходи'!$AI56</f>
        <v>0</v>
      </c>
      <c r="BC56" s="1542">
        <f>IFERROR(('12. Разходи'!AM56-'12. Разходи'!$AI56)/'12. Разходи'!$AI56,0)</f>
        <v>0</v>
      </c>
      <c r="BD56" s="1541">
        <f>'12. Разходи'!AN56-'12. Разходи'!$AI56</f>
        <v>0</v>
      </c>
      <c r="BE56" s="1544">
        <f>IFERROR(('12. Разходи'!AN56-'12. Разходи'!$AI56)/'12. Разходи'!$AI56,0)</f>
        <v>0</v>
      </c>
      <c r="BF56" s="4775"/>
      <c r="BG56" s="4794">
        <f t="shared" si="1"/>
        <v>195.82479049815169</v>
      </c>
      <c r="BH56" s="4794">
        <f t="shared" si="2"/>
        <v>194.41958029443904</v>
      </c>
      <c r="BI56" s="4794">
        <f t="shared" si="3"/>
        <v>203.52663669956371</v>
      </c>
      <c r="BJ56" s="4794">
        <f t="shared" si="4"/>
        <v>217.95287885666676</v>
      </c>
      <c r="BK56" s="4794">
        <f t="shared" si="5"/>
        <v>240.80850264323456</v>
      </c>
      <c r="BL56" s="4794">
        <f t="shared" si="6"/>
        <v>256.57233784852423</v>
      </c>
      <c r="BM56" s="4794">
        <f t="shared" si="7"/>
        <v>94.077706140104198</v>
      </c>
      <c r="BN56" s="4794">
        <f t="shared" si="8"/>
        <v>11.663991293164081</v>
      </c>
      <c r="BO56" s="4794">
        <f t="shared" si="9"/>
        <v>12.612220399634808</v>
      </c>
      <c r="BP56" s="4794">
        <f t="shared" si="10"/>
        <v>13.591860721731164</v>
      </c>
      <c r="BQ56" s="4794">
        <f t="shared" si="11"/>
        <v>14.497336311162446</v>
      </c>
      <c r="BR56" s="4794">
        <f t="shared" si="12"/>
        <v>15.214207167237511</v>
      </c>
      <c r="BS56" s="4794">
        <f t="shared" si="13"/>
        <v>42.437226139286132</v>
      </c>
      <c r="BT56" s="4794">
        <f t="shared" si="14"/>
        <v>4.9726040513839012</v>
      </c>
      <c r="BU56" s="4794">
        <f t="shared" si="15"/>
        <v>8.7477639261463178</v>
      </c>
      <c r="BV56" s="4794">
        <f t="shared" si="16"/>
        <v>12.004035110608822</v>
      </c>
      <c r="BW56" s="4794">
        <f t="shared" si="17"/>
        <v>15.724874348906498</v>
      </c>
      <c r="BX56" s="4794">
        <f t="shared" si="18"/>
        <v>19.056728683895084</v>
      </c>
      <c r="BY56" s="4794">
        <f t="shared" si="19"/>
        <v>0</v>
      </c>
      <c r="BZ56" s="4794">
        <f t="shared" si="20"/>
        <v>0</v>
      </c>
      <c r="CA56" s="4794">
        <f t="shared" si="21"/>
        <v>0</v>
      </c>
      <c r="CB56" s="4794">
        <f t="shared" si="22"/>
        <v>0</v>
      </c>
      <c r="CC56" s="4794">
        <f t="shared" si="23"/>
        <v>0</v>
      </c>
      <c r="CD56" s="4794">
        <f t="shared" si="24"/>
        <v>0</v>
      </c>
      <c r="CE56" s="4794">
        <f t="shared" si="25"/>
        <v>0</v>
      </c>
      <c r="CF56" s="4794">
        <f t="shared" si="26"/>
        <v>0</v>
      </c>
      <c r="CG56" s="4794">
        <f t="shared" si="27"/>
        <v>0</v>
      </c>
      <c r="CH56" s="4794">
        <f t="shared" si="28"/>
        <v>0</v>
      </c>
      <c r="CI56" s="4794">
        <f t="shared" si="29"/>
        <v>0</v>
      </c>
      <c r="CJ56" s="4794">
        <f t="shared" si="30"/>
        <v>0</v>
      </c>
    </row>
    <row r="57" spans="1:88" ht="24">
      <c r="A57" s="1545" t="s">
        <v>264</v>
      </c>
      <c r="B57" s="1537" t="s">
        <v>736</v>
      </c>
      <c r="C57" s="1538">
        <f>'12. Разходи'!C57</f>
        <v>411</v>
      </c>
      <c r="D57" s="1162">
        <f>'12. Разходи'!D57-'12. Разходи'!$C57</f>
        <v>360.38318181818181</v>
      </c>
      <c r="E57" s="896">
        <f>IFERROR(('12. Разходи'!D57-'12. Разходи'!$C57)/'12. Разходи'!$C57,0)</f>
        <v>0.8768447246184472</v>
      </c>
      <c r="F57" s="1152">
        <f>'12. Разходи'!E57-'12. Разходи'!$C57</f>
        <v>443.32438218136826</v>
      </c>
      <c r="G57" s="896">
        <f>IFERROR(('12. Разходи'!E57-'12. Разходи'!$C57)/'12. Разходи'!$C57,0)</f>
        <v>1.0786481318281467</v>
      </c>
      <c r="H57" s="1152">
        <f>'12. Разходи'!F57-'12. Разходи'!$C57</f>
        <v>518.98135720010691</v>
      </c>
      <c r="I57" s="896">
        <f>IFERROR(('12. Разходи'!F57-'12. Разходи'!$C57)/'12. Разходи'!$C57,0)</f>
        <v>1.2627283630172919</v>
      </c>
      <c r="J57" s="1152">
        <f>'12. Разходи'!G57-'12. Разходи'!$C57</f>
        <v>593.11786018047906</v>
      </c>
      <c r="K57" s="928">
        <f>IFERROR(('12. Разходи'!G57-'12. Разходи'!$C57)/'12. Разходи'!$C57,0)</f>
        <v>1.4431091488576133</v>
      </c>
      <c r="L57" s="1152">
        <f>'12. Разходи'!H57-'12. Разходи'!$C57</f>
        <v>667.41681654983745</v>
      </c>
      <c r="M57" s="928">
        <f>IFERROR(('12. Разходи'!H57-'12. Разходи'!$C57)/'12. Разходи'!$C57,0)</f>
        <v>1.623885198418096</v>
      </c>
      <c r="N57" s="1182">
        <f>'12. Разходи'!K57</f>
        <v>20</v>
      </c>
      <c r="O57" s="1162">
        <f>'12. Разходи'!L57-'12. Разходи'!$K57</f>
        <v>13.37560606060606</v>
      </c>
      <c r="P57" s="896">
        <f>IFERROR(('12. Разходи'!L57-'12. Разходи'!$K57)/'12. Разходи'!$K57,0)</f>
        <v>0.668780303030303</v>
      </c>
      <c r="Q57" s="1152">
        <f>'12. Разходи'!M57-'12. Разходи'!$K57</f>
        <v>16.933353367509284</v>
      </c>
      <c r="R57" s="896">
        <f>IFERROR(('12. Разходи'!M57-'12. Разходи'!$K57)/'12. Разходи'!$K57,0)</f>
        <v>0.84666766837546414</v>
      </c>
      <c r="S57" s="1152">
        <f>'12. Разходи'!N57-'12. Разходи'!$K57</f>
        <v>20.494154421586956</v>
      </c>
      <c r="T57" s="896">
        <f>IFERROR(('12. Разходи'!N57-'12. Разходи'!$K57)/'12. Разходи'!$K57,0)</f>
        <v>1.0247077210793478</v>
      </c>
      <c r="U57" s="1152">
        <f>'12. Разходи'!O57-'12. Разходи'!$K57</f>
        <v>23.898354942433357</v>
      </c>
      <c r="V57" s="928">
        <f>IFERROR(('12. Разходи'!O57-'12. Разходи'!$K57)/'12. Разходи'!$K57,0)</f>
        <v>1.1949177471216679</v>
      </c>
      <c r="W57" s="1152">
        <f>'12. Разходи'!P57-'12. Разходи'!$K57</f>
        <v>27.209533253547612</v>
      </c>
      <c r="X57" s="838">
        <f>IFERROR(('12. Разходи'!P57-'12. Разходи'!$K57)/'12. Разходи'!$K57,0)</f>
        <v>1.3604766626773805</v>
      </c>
      <c r="Y57" s="1182">
        <f>'12. Разходи'!S57</f>
        <v>34</v>
      </c>
      <c r="Z57" s="1162">
        <f>'12. Разходи'!T57-'12. Разходи'!$S57</f>
        <v>9.7312121212121241</v>
      </c>
      <c r="AA57" s="896">
        <f>IFERROR(('12. Разходи'!T57-'12. Разходи'!$S57)/'12. Разходи'!$S57,0)</f>
        <v>0.28621212121212131</v>
      </c>
      <c r="AB57" s="1152">
        <f>'12. Разходи'!U57-'12. Разходи'!$S57</f>
        <v>14.532264451122501</v>
      </c>
      <c r="AC57" s="896">
        <f>IFERROR(('12. Разходи'!U57-'12. Разходи'!$S57)/'12. Разходи'!$S57,0)</f>
        <v>0.42741954268007354</v>
      </c>
      <c r="AD57" s="1152">
        <f>'12. Разходи'!V57-'12. Разходи'!$S57</f>
        <v>19.264488378306169</v>
      </c>
      <c r="AE57" s="896">
        <f>IFERROR(('12. Разходи'!V57-'12. Разходи'!$S57)/'12. Разходи'!$S57,0)</f>
        <v>0.56660259936194612</v>
      </c>
      <c r="AF57" s="1152">
        <f>'12. Разходи'!W57-'12. Разходи'!$S57</f>
        <v>23.973784877087439</v>
      </c>
      <c r="AG57" s="928">
        <f>IFERROR(('12. Разходи'!W57-'12. Разходи'!$S57)/'12. Разходи'!$S57,0)</f>
        <v>0.7051113199143364</v>
      </c>
      <c r="AH57" s="1152">
        <f>'12. Разходи'!X57-'12. Разходи'!$S57</f>
        <v>28.713650196614807</v>
      </c>
      <c r="AI57" s="838">
        <f>IFERROR(('12. Разходи'!X57-'12. Разходи'!$S57)/'12. Разходи'!$S57,0)</f>
        <v>0.84451912342984725</v>
      </c>
      <c r="AJ57" s="1182">
        <f>'12. Разходи'!AA57</f>
        <v>0</v>
      </c>
      <c r="AK57" s="1162">
        <f>'12. Разходи'!AB57-'12. Разходи'!$AA57</f>
        <v>0</v>
      </c>
      <c r="AL57" s="896">
        <f>IFERROR(('12. Разходи'!AB57-'12. Разходи'!$AA57)/'12. Разходи'!$AA57,0)</f>
        <v>0</v>
      </c>
      <c r="AM57" s="1152">
        <f>'12. Разходи'!AC57-'12. Разходи'!$AA57</f>
        <v>0</v>
      </c>
      <c r="AN57" s="896">
        <f>IFERROR(('12. Разходи'!AC57-'12. Разходи'!$AA57)/'12. Разходи'!$AA57,0)</f>
        <v>0</v>
      </c>
      <c r="AO57" s="1152">
        <f>'12. Разходи'!AD57-'12. Разходи'!$AA57</f>
        <v>0</v>
      </c>
      <c r="AP57" s="896">
        <f>IFERROR(('12. Разходи'!AD57-'12. Разходи'!$AA57)/'12. Разходи'!$AA57,0)</f>
        <v>0</v>
      </c>
      <c r="AQ57" s="1152">
        <f>'12. Разходи'!AE57-'12. Разходи'!$AA57</f>
        <v>0</v>
      </c>
      <c r="AR57" s="928">
        <f>IFERROR(('12. Разходи'!AE57-'12. Разходи'!$AA57)/'12. Разходи'!$AA57,0)</f>
        <v>0</v>
      </c>
      <c r="AS57" s="1152">
        <f>'12. Разходи'!AF57-'12. Разходи'!$AA57</f>
        <v>0</v>
      </c>
      <c r="AT57" s="838">
        <f>IFERROR(('12. Разходи'!AF57-'12. Разходи'!$AA57)/'12. Разходи'!$AA57,0)</f>
        <v>0</v>
      </c>
      <c r="AU57" s="1182">
        <f>'12. Разходи'!AI57</f>
        <v>0</v>
      </c>
      <c r="AV57" s="1162">
        <f>'12. Разходи'!AJ57-'12. Разходи'!$AI57</f>
        <v>0</v>
      </c>
      <c r="AW57" s="896">
        <f>IFERROR(('12. Разходи'!AJ57-'12. Разходи'!$AI57)/'12. Разходи'!$AI57,0)</f>
        <v>0</v>
      </c>
      <c r="AX57" s="1152">
        <f>'12. Разходи'!AK57-'12. Разходи'!$AI57</f>
        <v>0</v>
      </c>
      <c r="AY57" s="896">
        <f>IFERROR(('12. Разходи'!AK57-'12. Разходи'!$AI57)/'12. Разходи'!$AI57,0)</f>
        <v>0</v>
      </c>
      <c r="AZ57" s="1152">
        <f>'12. Разходи'!AL57-'12. Разходи'!$AI57</f>
        <v>0</v>
      </c>
      <c r="BA57" s="896">
        <f>IFERROR(('12. Разходи'!AL57-'12. Разходи'!$AI57)/'12. Разходи'!$AI57,0)</f>
        <v>0</v>
      </c>
      <c r="BB57" s="1152">
        <f>'12. Разходи'!AM57-'12. Разходи'!$AI57</f>
        <v>0</v>
      </c>
      <c r="BC57" s="928">
        <f>IFERROR(('12. Разходи'!AM57-'12. Разходи'!$AI57)/'12. Разходи'!$AI57,0)</f>
        <v>0</v>
      </c>
      <c r="BD57" s="1152">
        <f>'12. Разходи'!AN57-'12. Разходи'!$AI57</f>
        <v>0</v>
      </c>
      <c r="BE57" s="838">
        <f>IFERROR(('12. Разходи'!AN57-'12. Разходи'!$AI57)/'12. Разходи'!$AI57,0)</f>
        <v>0</v>
      </c>
      <c r="BF57" s="4775"/>
      <c r="BG57" s="4794">
        <f t="shared" si="1"/>
        <v>210.14096317164581</v>
      </c>
      <c r="BH57" s="4794">
        <f t="shared" si="2"/>
        <v>184.26099498329702</v>
      </c>
      <c r="BI57" s="4794">
        <f t="shared" si="3"/>
        <v>226.6681573456631</v>
      </c>
      <c r="BJ57" s="4794">
        <f t="shared" si="4"/>
        <v>265.35095442860927</v>
      </c>
      <c r="BK57" s="4794">
        <f t="shared" si="5"/>
        <v>303.25634650275282</v>
      </c>
      <c r="BL57" s="4794">
        <f t="shared" si="6"/>
        <v>341.24479967575786</v>
      </c>
      <c r="BM57" s="4794">
        <f t="shared" si="7"/>
        <v>10.22583762392437</v>
      </c>
      <c r="BN57" s="4794">
        <f t="shared" si="8"/>
        <v>6.8388387848668142</v>
      </c>
      <c r="BO57" s="4794">
        <f t="shared" si="9"/>
        <v>8.6578860982341439</v>
      </c>
      <c r="BP57" s="4794">
        <f t="shared" si="10"/>
        <v>10.478494767738994</v>
      </c>
      <c r="BQ57" s="4794">
        <f t="shared" si="11"/>
        <v>12.219034856011698</v>
      </c>
      <c r="BR57" s="4794">
        <f t="shared" si="12"/>
        <v>13.912013443677422</v>
      </c>
      <c r="BS57" s="4794">
        <f t="shared" si="13"/>
        <v>17.383923960671428</v>
      </c>
      <c r="BT57" s="4794">
        <f t="shared" si="14"/>
        <v>4.9754897517739911</v>
      </c>
      <c r="BU57" s="4794">
        <f t="shared" si="15"/>
        <v>7.4302288292553547</v>
      </c>
      <c r="BV57" s="4794">
        <f t="shared" si="16"/>
        <v>9.8497765032268489</v>
      </c>
      <c r="BW57" s="4794">
        <f t="shared" si="17"/>
        <v>12.25760156919949</v>
      </c>
      <c r="BX57" s="4794">
        <f t="shared" si="18"/>
        <v>14.681056225037354</v>
      </c>
      <c r="BY57" s="4794">
        <f t="shared" si="19"/>
        <v>0</v>
      </c>
      <c r="BZ57" s="4794">
        <f t="shared" si="20"/>
        <v>0</v>
      </c>
      <c r="CA57" s="4794">
        <f t="shared" si="21"/>
        <v>0</v>
      </c>
      <c r="CB57" s="4794">
        <f t="shared" si="22"/>
        <v>0</v>
      </c>
      <c r="CC57" s="4794">
        <f t="shared" si="23"/>
        <v>0</v>
      </c>
      <c r="CD57" s="4794">
        <f t="shared" si="24"/>
        <v>0</v>
      </c>
      <c r="CE57" s="4794">
        <f t="shared" si="25"/>
        <v>0</v>
      </c>
      <c r="CF57" s="4794">
        <f t="shared" si="26"/>
        <v>0</v>
      </c>
      <c r="CG57" s="4794">
        <f t="shared" si="27"/>
        <v>0</v>
      </c>
      <c r="CH57" s="4794">
        <f t="shared" si="28"/>
        <v>0</v>
      </c>
      <c r="CI57" s="4794">
        <f t="shared" si="29"/>
        <v>0</v>
      </c>
      <c r="CJ57" s="4794">
        <f t="shared" si="30"/>
        <v>0</v>
      </c>
    </row>
    <row r="58" spans="1:88" ht="24.75" thickBot="1">
      <c r="A58" s="1546" t="s">
        <v>485</v>
      </c>
      <c r="B58" s="1547" t="s">
        <v>737</v>
      </c>
      <c r="C58" s="1548">
        <f>'12. Разходи'!C58</f>
        <v>4306</v>
      </c>
      <c r="D58" s="1170">
        <f>'12. Разходи'!D58-'12. Разходи'!$C58</f>
        <v>-1498.7199999999998</v>
      </c>
      <c r="E58" s="901">
        <f>IFERROR(('12. Разходи'!D58-'12. Разходи'!$C58)/'12. Разходи'!$C58,0)</f>
        <v>-0.34805387830933576</v>
      </c>
      <c r="F58" s="1171">
        <f>'12. Разходи'!E58-'12. Разходи'!$C58</f>
        <v>-2153.66</v>
      </c>
      <c r="G58" s="901">
        <f>IFERROR(('12. Разходи'!E58-'12. Разходи'!$C58)/'12. Разходи'!$C58,0)</f>
        <v>-0.50015327450069669</v>
      </c>
      <c r="H58" s="1171">
        <f>'12. Разходи'!F58-'12. Разходи'!$C58</f>
        <v>-2294.3150000000001</v>
      </c>
      <c r="I58" s="901">
        <f>IFERROR(('12. Разходи'!F58-'12. Разходи'!$C58)/'12. Разходи'!$C58,0)</f>
        <v>-0.53281816070599164</v>
      </c>
      <c r="J58" s="1171">
        <f>'12. Разходи'!G58-'12. Разходи'!$C58</f>
        <v>-2443.4549999999999</v>
      </c>
      <c r="K58" s="1549">
        <f>IFERROR(('12. Разходи'!G58-'12. Разходи'!$C58)/'12. Разходи'!$C58,0)</f>
        <v>-0.56745355318160706</v>
      </c>
      <c r="L58" s="1171">
        <f>'12. Разходи'!H58-'12. Разходи'!$C58</f>
        <v>-2382.752</v>
      </c>
      <c r="M58" s="1549">
        <f>IFERROR(('12. Разходи'!H58-'12. Разходи'!$C58)/'12. Разходи'!$C58,0)</f>
        <v>-0.55335624709707387</v>
      </c>
      <c r="N58" s="1184">
        <f>'12. Разходи'!K58</f>
        <v>465</v>
      </c>
      <c r="O58" s="1170">
        <f>'12. Разходи'!L58-'12. Разходи'!$K58</f>
        <v>-311.71199999999999</v>
      </c>
      <c r="P58" s="901">
        <f>IFERROR(('12. Разходи'!L58-'12. Разходи'!$K58)/'12. Разходи'!$K58,0)</f>
        <v>-0.67034838709677413</v>
      </c>
      <c r="Q58" s="1171">
        <f>'12. Разходи'!M58-'12. Разходи'!$K58</f>
        <v>-315.27</v>
      </c>
      <c r="R58" s="901">
        <f>IFERROR(('12. Разходи'!M58-'12. Разходи'!$K58)/'12. Разходи'!$K58,0)</f>
        <v>-0.67799999999999994</v>
      </c>
      <c r="S58" s="1171">
        <f>'12. Разходи'!N58-'12. Разходи'!$K58</f>
        <v>-318.83000000000004</v>
      </c>
      <c r="T58" s="901">
        <f>IFERROR(('12. Разходи'!N58-'12. Разходи'!$K58)/'12. Разходи'!$K58,0)</f>
        <v>-0.68565591397849468</v>
      </c>
      <c r="U58" s="1171">
        <f>'12. Разходи'!O58-'12. Разходи'!$K58</f>
        <v>-332.23500000000001</v>
      </c>
      <c r="V58" s="1549">
        <f>IFERROR(('12. Разходи'!O58-'12. Разходи'!$K58)/'12. Разходи'!$K58,0)</f>
        <v>-0.71448387096774202</v>
      </c>
      <c r="W58" s="1171">
        <f>'12. Разходи'!P58-'12. Разходи'!$K58</f>
        <v>-335.54399999999998</v>
      </c>
      <c r="X58" s="1550">
        <f>IFERROR(('12. Разходи'!P58-'12. Разходи'!$K58)/'12. Разходи'!$K58,0)</f>
        <v>-0.72159999999999991</v>
      </c>
      <c r="Y58" s="1184">
        <f>'12. Разходи'!S58</f>
        <v>130.4</v>
      </c>
      <c r="Z58" s="1170">
        <f>'12. Разходи'!T58-'12. Разходи'!$S58</f>
        <v>-47.465000000000003</v>
      </c>
      <c r="AA58" s="901">
        <f>IFERROR(('12. Разходи'!T58-'12. Разходи'!$S58)/'12. Разходи'!$S58,0)</f>
        <v>-0.36399539877300613</v>
      </c>
      <c r="AB58" s="1171">
        <f>'12. Разходи'!U58-'12. Разходи'!$S58</f>
        <v>-52.27000000000001</v>
      </c>
      <c r="AC58" s="901">
        <f>IFERROR(('12. Разходи'!U58-'12. Разходи'!$S58)/'12. Разходи'!$S58,0)</f>
        <v>-0.40084355828220863</v>
      </c>
      <c r="AD58" s="1171">
        <f>'12. Разходи'!V58-'12. Разходи'!$S58</f>
        <v>-57</v>
      </c>
      <c r="AE58" s="901">
        <f>IFERROR(('12. Разходи'!V58-'12. Разходи'!$S58)/'12. Разходи'!$S58,0)</f>
        <v>-0.43711656441717789</v>
      </c>
      <c r="AF58" s="1171">
        <f>'12. Разходи'!W58-'12. Разходи'!$S58</f>
        <v>-61.710000000000008</v>
      </c>
      <c r="AG58" s="1549">
        <f>IFERROR(('12. Разходи'!W58-'12. Разходи'!$S58)/'12. Разходи'!$S58,0)</f>
        <v>-0.47323619631901842</v>
      </c>
      <c r="AH58" s="1171">
        <f>'12. Разходи'!X58-'12. Разходи'!$S58</f>
        <v>-66.45</v>
      </c>
      <c r="AI58" s="1550">
        <f>IFERROR(('12. Разходи'!X58-'12. Разходи'!$S58)/'12. Разходи'!$S58,0)</f>
        <v>-0.50958588957055218</v>
      </c>
      <c r="AJ58" s="1184">
        <f>'12. Разходи'!AA58</f>
        <v>0</v>
      </c>
      <c r="AK58" s="1170">
        <f>'12. Разходи'!AB58-'12. Разходи'!$AA58</f>
        <v>0</v>
      </c>
      <c r="AL58" s="901">
        <f>IFERROR(('12. Разходи'!AB58-'12. Разходи'!$AA58)/'12. Разходи'!$AA58,0)</f>
        <v>0</v>
      </c>
      <c r="AM58" s="1171">
        <f>'12. Разходи'!AC58-'12. Разходи'!$AA58</f>
        <v>0</v>
      </c>
      <c r="AN58" s="901">
        <f>IFERROR(('12. Разходи'!AC58-'12. Разходи'!$AA58)/'12. Разходи'!$AA58,0)</f>
        <v>0</v>
      </c>
      <c r="AO58" s="1171">
        <f>'12. Разходи'!AD58-'12. Разходи'!$AA58</f>
        <v>0</v>
      </c>
      <c r="AP58" s="901">
        <f>IFERROR(('12. Разходи'!AD58-'12. Разходи'!$AA58)/'12. Разходи'!$AA58,0)</f>
        <v>0</v>
      </c>
      <c r="AQ58" s="1171">
        <f>'12. Разходи'!AE58-'12. Разходи'!$AA58</f>
        <v>0</v>
      </c>
      <c r="AR58" s="1549">
        <f>IFERROR(('12. Разходи'!AE58-'12. Разходи'!$AA58)/'12. Разходи'!$AA58,0)</f>
        <v>0</v>
      </c>
      <c r="AS58" s="1171">
        <f>'12. Разходи'!AF58-'12. Разходи'!$AA58</f>
        <v>0</v>
      </c>
      <c r="AT58" s="1550">
        <f>IFERROR(('12. Разходи'!AF58-'12. Разходи'!$AA58)/'12. Разходи'!$AA58,0)</f>
        <v>0</v>
      </c>
      <c r="AU58" s="1184">
        <f>'12. Разходи'!AI58</f>
        <v>0</v>
      </c>
      <c r="AV58" s="1170">
        <f>'12. Разходи'!AJ58-'12. Разходи'!$AI58</f>
        <v>0</v>
      </c>
      <c r="AW58" s="901">
        <f>IFERROR(('12. Разходи'!AJ58-'12. Разходи'!$AI58)/'12. Разходи'!$AI58,0)</f>
        <v>0</v>
      </c>
      <c r="AX58" s="1171">
        <f>'12. Разходи'!AK58-'12. Разходи'!$AI58</f>
        <v>0</v>
      </c>
      <c r="AY58" s="901">
        <f>IFERROR(('12. Разходи'!AK58-'12. Разходи'!$AI58)/'12. Разходи'!$AI58,0)</f>
        <v>0</v>
      </c>
      <c r="AZ58" s="1171">
        <f>'12. Разходи'!AL58-'12. Разходи'!$AI58</f>
        <v>0</v>
      </c>
      <c r="BA58" s="901">
        <f>IFERROR(('12. Разходи'!AL58-'12. Разходи'!$AI58)/'12. Разходи'!$AI58,0)</f>
        <v>0</v>
      </c>
      <c r="BB58" s="1171">
        <f>'12. Разходи'!AM58-'12. Разходи'!$AI58</f>
        <v>0</v>
      </c>
      <c r="BC58" s="1549">
        <f>IFERROR(('12. Разходи'!AM58-'12. Разходи'!$AI58)/'12. Разходи'!$AI58,0)</f>
        <v>0</v>
      </c>
      <c r="BD58" s="1171">
        <f>'12. Разходи'!AN58-'12. Разходи'!$AI58</f>
        <v>0</v>
      </c>
      <c r="BE58" s="1550">
        <f>IFERROR(('12. Разходи'!AN58-'12. Разходи'!$AI58)/'12. Разходи'!$AI58,0)</f>
        <v>0</v>
      </c>
      <c r="BF58" s="4775"/>
      <c r="BG58" s="4794">
        <f t="shared" si="1"/>
        <v>2201.6228404309168</v>
      </c>
      <c r="BH58" s="4794">
        <f t="shared" si="2"/>
        <v>-766.2833681863965</v>
      </c>
      <c r="BI58" s="4794">
        <f t="shared" si="3"/>
        <v>-1101.1488728570478</v>
      </c>
      <c r="BJ58" s="4794">
        <f t="shared" si="4"/>
        <v>-1173.064632406702</v>
      </c>
      <c r="BK58" s="4794">
        <f t="shared" si="5"/>
        <v>-1249.3187035683061</v>
      </c>
      <c r="BL58" s="4794">
        <f t="shared" si="6"/>
        <v>-1218.2817525040521</v>
      </c>
      <c r="BM58" s="4794">
        <f t="shared" si="7"/>
        <v>237.7507247562416</v>
      </c>
      <c r="BN58" s="4794">
        <f t="shared" si="8"/>
        <v>-159.37581487143567</v>
      </c>
      <c r="BO58" s="4794">
        <f t="shared" si="9"/>
        <v>-161.19499138473179</v>
      </c>
      <c r="BP58" s="4794">
        <f t="shared" si="10"/>
        <v>-163.01519048179037</v>
      </c>
      <c r="BQ58" s="4794">
        <f t="shared" si="11"/>
        <v>-169.86905814922565</v>
      </c>
      <c r="BR58" s="4794">
        <f t="shared" si="12"/>
        <v>-171.56092298410394</v>
      </c>
      <c r="BS58" s="4794">
        <f t="shared" si="13"/>
        <v>66.672461307986893</v>
      </c>
      <c r="BT58" s="4794">
        <f t="shared" si="14"/>
        <v>-24.268469140978514</v>
      </c>
      <c r="BU58" s="4794">
        <f t="shared" si="15"/>
        <v>-26.725226630126347</v>
      </c>
      <c r="BV58" s="4794">
        <f t="shared" si="16"/>
        <v>-29.143637228184453</v>
      </c>
      <c r="BW58" s="4794">
        <f t="shared" si="17"/>
        <v>-31.551821988618649</v>
      </c>
      <c r="BX58" s="4794">
        <f t="shared" si="18"/>
        <v>-33.975345505488718</v>
      </c>
      <c r="BY58" s="4794">
        <f t="shared" si="19"/>
        <v>0</v>
      </c>
      <c r="BZ58" s="4794">
        <f t="shared" si="20"/>
        <v>0</v>
      </c>
      <c r="CA58" s="4794">
        <f t="shared" si="21"/>
        <v>0</v>
      </c>
      <c r="CB58" s="4794">
        <f t="shared" si="22"/>
        <v>0</v>
      </c>
      <c r="CC58" s="4794">
        <f t="shared" si="23"/>
        <v>0</v>
      </c>
      <c r="CD58" s="4794">
        <f t="shared" si="24"/>
        <v>0</v>
      </c>
      <c r="CE58" s="4794">
        <f t="shared" si="25"/>
        <v>0</v>
      </c>
      <c r="CF58" s="4794">
        <f t="shared" si="26"/>
        <v>0</v>
      </c>
      <c r="CG58" s="4794">
        <f t="shared" si="27"/>
        <v>0</v>
      </c>
      <c r="CH58" s="4794">
        <f t="shared" si="28"/>
        <v>0</v>
      </c>
      <c r="CI58" s="4794">
        <f t="shared" si="29"/>
        <v>0</v>
      </c>
      <c r="CJ58" s="4794">
        <f t="shared" si="30"/>
        <v>0</v>
      </c>
    </row>
    <row r="59" spans="1:88" s="1179" customFormat="1" ht="15.95" customHeight="1" thickBot="1">
      <c r="A59" s="115">
        <v>4</v>
      </c>
      <c r="B59" s="913" t="s">
        <v>448</v>
      </c>
      <c r="C59" s="1129">
        <f>'12. Разходи'!C59</f>
        <v>6984</v>
      </c>
      <c r="D59" s="1167">
        <f>'12. Разходи'!D59-'12. Разходи'!$C59</f>
        <v>3263</v>
      </c>
      <c r="E59" s="894">
        <f>IFERROR(('12. Разходи'!D59-'12. Разходи'!$C59)/'12. Разходи'!$C59,0)</f>
        <v>0.46721076746849943</v>
      </c>
      <c r="F59" s="1166">
        <f>'12. Разходи'!E59-'12. Разходи'!$C59</f>
        <v>4586</v>
      </c>
      <c r="G59" s="894">
        <f>IFERROR(('12. Разходи'!E59-'12. Разходи'!$C59)/'12. Разходи'!$C59,0)</f>
        <v>0.65664375715922108</v>
      </c>
      <c r="H59" s="1166">
        <f>'12. Разходи'!F59-'12. Разходи'!$C59</f>
        <v>6201</v>
      </c>
      <c r="I59" s="894">
        <f>IFERROR(('12. Разходи'!F59-'12. Разходи'!$C59)/'12. Разходи'!$C59,0)</f>
        <v>0.88788659793814428</v>
      </c>
      <c r="J59" s="1166">
        <f>'12. Разходи'!G59-'12. Разходи'!$C59</f>
        <v>7806</v>
      </c>
      <c r="K59" s="907">
        <f>IFERROR(('12. Разходи'!G59-'12. Разходи'!$C59)/'12. Разходи'!$C59,0)</f>
        <v>1.1176975945017182</v>
      </c>
      <c r="L59" s="1166">
        <f>'12. Разходи'!H59-'12. Разходи'!$C59</f>
        <v>9636</v>
      </c>
      <c r="M59" s="907">
        <f>IFERROR(('12. Разходи'!H59-'12. Разходи'!$C59)/'12. Разходи'!$C59,0)</f>
        <v>1.3797250859106529</v>
      </c>
      <c r="N59" s="1180">
        <f>'12. Разходи'!K59</f>
        <v>1727</v>
      </c>
      <c r="O59" s="1167">
        <f>'12. Разходи'!L59-'12. Разходи'!$K59</f>
        <v>722</v>
      </c>
      <c r="P59" s="894">
        <f>IFERROR(('12. Разходи'!L59-'12. Разходи'!$K59)/'12. Разходи'!$K59,0)</f>
        <v>0.41806601042269831</v>
      </c>
      <c r="Q59" s="1166">
        <f>'12. Разходи'!M59-'12. Разходи'!$K59</f>
        <v>1097</v>
      </c>
      <c r="R59" s="894">
        <f>IFERROR(('12. Разходи'!M59-'12. Разходи'!$K59)/'12. Разходи'!$K59,0)</f>
        <v>0.63520555877243778</v>
      </c>
      <c r="S59" s="1166">
        <f>'12. Разходи'!N59-'12. Разходи'!$K59</f>
        <v>1419</v>
      </c>
      <c r="T59" s="894">
        <f>IFERROR(('12. Разходи'!N59-'12. Разходи'!$K59)/'12. Разходи'!$K59,0)</f>
        <v>0.82165605095541405</v>
      </c>
      <c r="U59" s="1166">
        <f>'12. Разходи'!O59-'12. Разходи'!$K59</f>
        <v>1866</v>
      </c>
      <c r="V59" s="907">
        <f>IFERROR(('12. Разходи'!O59-'12. Разходи'!$K59)/'12. Разходи'!$K59,0)</f>
        <v>1.0804863925883035</v>
      </c>
      <c r="W59" s="1166">
        <f>'12. Разходи'!P59-'12. Разходи'!$K59</f>
        <v>2385</v>
      </c>
      <c r="X59" s="909">
        <f>IFERROR(('12. Разходи'!P59-'12. Разходи'!$K59)/'12. Разходи'!$K59,0)</f>
        <v>1.3810075275043427</v>
      </c>
      <c r="Y59" s="1180">
        <f>'12. Разходи'!S59</f>
        <v>1534</v>
      </c>
      <c r="Z59" s="1167">
        <f>'12. Разходи'!T59-'12. Разходи'!$S59</f>
        <v>673</v>
      </c>
      <c r="AA59" s="894">
        <f>IFERROR(('12. Разходи'!T59-'12. Разходи'!$S59)/'12. Разходи'!$S59,0)</f>
        <v>0.43872229465449802</v>
      </c>
      <c r="AB59" s="1166">
        <f>'12. Разходи'!U59-'12. Разходи'!$S59</f>
        <v>898</v>
      </c>
      <c r="AC59" s="894">
        <f>IFERROR(('12. Разходи'!U59-'12. Разходи'!$S59)/'12. Разходи'!$S59,0)</f>
        <v>0.5853976531942634</v>
      </c>
      <c r="AD59" s="1166">
        <f>'12. Разходи'!V59-'12. Разходи'!$S59</f>
        <v>1242</v>
      </c>
      <c r="AE59" s="894">
        <f>IFERROR(('12. Разходи'!V59-'12. Разходи'!$S59)/'12. Разходи'!$S59,0)</f>
        <v>0.80964797913950459</v>
      </c>
      <c r="AF59" s="1166">
        <f>'12. Разходи'!W59-'12. Разходи'!$S59</f>
        <v>1636</v>
      </c>
      <c r="AG59" s="907">
        <f>IFERROR(('12. Разходи'!W59-'12. Разходи'!$S59)/'12. Разходи'!$S59,0)</f>
        <v>1.0664928292046936</v>
      </c>
      <c r="AH59" s="1166">
        <f>'12. Разходи'!X59-'12. Разходи'!$S59</f>
        <v>2092</v>
      </c>
      <c r="AI59" s="909">
        <f>IFERROR(('12. Разходи'!X59-'12. Разходи'!$S59)/'12. Разходи'!$S59,0)</f>
        <v>1.363754889178618</v>
      </c>
      <c r="AJ59" s="1180">
        <f>'12. Разходи'!AA59</f>
        <v>0</v>
      </c>
      <c r="AK59" s="1167">
        <f>'12. Разходи'!AB59-'12. Разходи'!$AA59</f>
        <v>0</v>
      </c>
      <c r="AL59" s="894">
        <f>IFERROR(('12. Разходи'!AB59-'12. Разходи'!$AA59)/'12. Разходи'!$AA59,0)</f>
        <v>0</v>
      </c>
      <c r="AM59" s="1166">
        <f>'12. Разходи'!AC59-'12. Разходи'!$AA59</f>
        <v>0</v>
      </c>
      <c r="AN59" s="894">
        <f>IFERROR(('12. Разходи'!AC59-'12. Разходи'!$AA59)/'12. Разходи'!$AA59,0)</f>
        <v>0</v>
      </c>
      <c r="AO59" s="1166">
        <f>'12. Разходи'!AD59-'12. Разходи'!$AA59</f>
        <v>0</v>
      </c>
      <c r="AP59" s="894">
        <f>IFERROR(('12. Разходи'!AD59-'12. Разходи'!$AA59)/'12. Разходи'!$AA59,0)</f>
        <v>0</v>
      </c>
      <c r="AQ59" s="1166">
        <f>'12. Разходи'!AE59-'12. Разходи'!$AA59</f>
        <v>0</v>
      </c>
      <c r="AR59" s="907">
        <f>IFERROR(('12. Разходи'!AE59-'12. Разходи'!$AA59)/'12. Разходи'!$AA59,0)</f>
        <v>0</v>
      </c>
      <c r="AS59" s="1166">
        <f>'12. Разходи'!AF59-'12. Разходи'!$AA59</f>
        <v>0</v>
      </c>
      <c r="AT59" s="909">
        <f>IFERROR(('12. Разходи'!AF59-'12. Разходи'!$AA59)/'12. Разходи'!$AA59,0)</f>
        <v>0</v>
      </c>
      <c r="AU59" s="1180">
        <f>'12. Разходи'!AI59</f>
        <v>0</v>
      </c>
      <c r="AV59" s="1167">
        <f>'12. Разходи'!AJ59-'12. Разходи'!$AI59</f>
        <v>0</v>
      </c>
      <c r="AW59" s="894">
        <f>IFERROR(('12. Разходи'!AJ59-'12. Разходи'!$AI59)/'12. Разходи'!$AI59,0)</f>
        <v>0</v>
      </c>
      <c r="AX59" s="1166">
        <f>'12. Разходи'!AK59-'12. Разходи'!$AI59</f>
        <v>0</v>
      </c>
      <c r="AY59" s="894">
        <f>IFERROR(('12. Разходи'!AK59-'12. Разходи'!$AI59)/'12. Разходи'!$AI59,0)</f>
        <v>0</v>
      </c>
      <c r="AZ59" s="1166">
        <f>'12. Разходи'!AL59-'12. Разходи'!$AI59</f>
        <v>0</v>
      </c>
      <c r="BA59" s="894">
        <f>IFERROR(('12. Разходи'!AL59-'12. Разходи'!$AI59)/'12. Разходи'!$AI59,0)</f>
        <v>0</v>
      </c>
      <c r="BB59" s="1166">
        <f>'12. Разходи'!AM59-'12. Разходи'!$AI59</f>
        <v>0</v>
      </c>
      <c r="BC59" s="907">
        <f>IFERROR(('12. Разходи'!AM59-'12. Разходи'!$AI59)/'12. Разходи'!$AI59,0)</f>
        <v>0</v>
      </c>
      <c r="BD59" s="1166">
        <f>'12. Разходи'!AN59-'12. Разходи'!$AI59</f>
        <v>0</v>
      </c>
      <c r="BE59" s="909">
        <f>IFERROR(('12. Разходи'!AN59-'12. Разходи'!$AI59)/'12. Разходи'!$AI59,0)</f>
        <v>0</v>
      </c>
      <c r="BF59" s="4775"/>
      <c r="BG59" s="4794">
        <f t="shared" si="1"/>
        <v>3570.86249827439</v>
      </c>
      <c r="BH59" s="4794">
        <f t="shared" si="2"/>
        <v>1668.3454083432609</v>
      </c>
      <c r="BI59" s="4794">
        <f t="shared" si="3"/>
        <v>2344.7845671658579</v>
      </c>
      <c r="BJ59" s="4794">
        <f t="shared" si="4"/>
        <v>3170.5209552977508</v>
      </c>
      <c r="BK59" s="4794">
        <f t="shared" si="5"/>
        <v>3991.1444246176816</v>
      </c>
      <c r="BL59" s="4794">
        <f t="shared" si="6"/>
        <v>4926.8085672067618</v>
      </c>
      <c r="BM59" s="4794">
        <f t="shared" si="7"/>
        <v>883.0010788258694</v>
      </c>
      <c r="BN59" s="4794">
        <f t="shared" si="8"/>
        <v>369.15273822366976</v>
      </c>
      <c r="BO59" s="4794">
        <f t="shared" si="9"/>
        <v>560.88719367225167</v>
      </c>
      <c r="BP59" s="4794">
        <f t="shared" si="10"/>
        <v>725.52317941743399</v>
      </c>
      <c r="BQ59" s="4794">
        <f t="shared" si="11"/>
        <v>954.0706503121437</v>
      </c>
      <c r="BR59" s="4794">
        <f t="shared" si="12"/>
        <v>1219.4311366529812</v>
      </c>
      <c r="BS59" s="4794">
        <f t="shared" si="13"/>
        <v>784.32174575499914</v>
      </c>
      <c r="BT59" s="4794">
        <f t="shared" si="14"/>
        <v>344.09943604505503</v>
      </c>
      <c r="BU59" s="4794">
        <f t="shared" si="15"/>
        <v>459.14010931420421</v>
      </c>
      <c r="BV59" s="4794">
        <f t="shared" si="16"/>
        <v>635.0245164457034</v>
      </c>
      <c r="BW59" s="4794">
        <f t="shared" si="17"/>
        <v>836.47351763701352</v>
      </c>
      <c r="BX59" s="4794">
        <f t="shared" si="18"/>
        <v>1069.6226154624892</v>
      </c>
      <c r="BY59" s="4794">
        <f t="shared" si="19"/>
        <v>0</v>
      </c>
      <c r="BZ59" s="4794">
        <f t="shared" si="20"/>
        <v>0</v>
      </c>
      <c r="CA59" s="4794">
        <f t="shared" si="21"/>
        <v>0</v>
      </c>
      <c r="CB59" s="4794">
        <f t="shared" si="22"/>
        <v>0</v>
      </c>
      <c r="CC59" s="4794">
        <f t="shared" si="23"/>
        <v>0</v>
      </c>
      <c r="CD59" s="4794">
        <f t="shared" si="24"/>
        <v>0</v>
      </c>
      <c r="CE59" s="4794">
        <f t="shared" si="25"/>
        <v>0</v>
      </c>
      <c r="CF59" s="4794">
        <f t="shared" si="26"/>
        <v>0</v>
      </c>
      <c r="CG59" s="4794">
        <f t="shared" si="27"/>
        <v>0</v>
      </c>
      <c r="CH59" s="4794">
        <f t="shared" si="28"/>
        <v>0</v>
      </c>
      <c r="CI59" s="4794">
        <f t="shared" si="29"/>
        <v>0</v>
      </c>
      <c r="CJ59" s="4794">
        <f t="shared" si="30"/>
        <v>0</v>
      </c>
    </row>
    <row r="60" spans="1:88" ht="15.95" customHeight="1">
      <c r="A60" s="113" t="s">
        <v>101</v>
      </c>
      <c r="B60" s="917" t="s">
        <v>265</v>
      </c>
      <c r="C60" s="1132">
        <f>'12. Разходи'!C60</f>
        <v>6558</v>
      </c>
      <c r="D60" s="1160">
        <f>'12. Разходи'!D60-'12. Разходи'!$C60</f>
        <v>2882</v>
      </c>
      <c r="E60" s="1140">
        <f>IFERROR(('12. Разходи'!D60-'12. Разходи'!$C60)/'12. Разходи'!$C60,0)</f>
        <v>0.43946325099115585</v>
      </c>
      <c r="F60" s="926">
        <f>'12. Разходи'!E60-'12. Разходи'!$C60</f>
        <v>4084</v>
      </c>
      <c r="G60" s="1148">
        <f>IFERROR(('12. Разходи'!E60-'12. Разходи'!$C60)/'12. Разходи'!$C60,0)</f>
        <v>0.62275083867032632</v>
      </c>
      <c r="H60" s="926">
        <f>'12. Разходи'!F60-'12. Разходи'!$C60</f>
        <v>5559</v>
      </c>
      <c r="I60" s="1148">
        <f>IFERROR(('12. Разходи'!F60-'12. Разходи'!$C60)/'12. Разходи'!$C60,0)</f>
        <v>0.84766697163769444</v>
      </c>
      <c r="J60" s="926">
        <f>'12. Разходи'!G60-'12. Разходи'!$C60</f>
        <v>7005</v>
      </c>
      <c r="K60" s="1147">
        <f>IFERROR(('12. Разходи'!G60-'12. Разходи'!$C60)/'12. Разходи'!$C60,0)</f>
        <v>1.0681610247026532</v>
      </c>
      <c r="L60" s="1155">
        <f>'12. Разходи'!H60-'12. Разходи'!$C60</f>
        <v>8650</v>
      </c>
      <c r="M60" s="1147">
        <f>IFERROR(('12. Разходи'!H60-'12. Разходи'!$C60)/'12. Разходи'!$C60,0)</f>
        <v>1.3189996950289722</v>
      </c>
      <c r="N60" s="1196">
        <f>'12. Разходи'!K60</f>
        <v>1664</v>
      </c>
      <c r="O60" s="1160">
        <f>'12. Разходи'!L60-'12. Разходи'!$K60</f>
        <v>671</v>
      </c>
      <c r="P60" s="1140">
        <f>IFERROR(('12. Разходи'!L60-'12. Разходи'!$K60)/'12. Разходи'!$K60,0)</f>
        <v>0.40324519230769229</v>
      </c>
      <c r="Q60" s="926">
        <f>'12. Разходи'!M60-'12. Разходи'!$K60</f>
        <v>1030</v>
      </c>
      <c r="R60" s="1148">
        <f>IFERROR(('12. Разходи'!M60-'12. Разходи'!$K60)/'12. Разходи'!$K60,0)</f>
        <v>0.61899038461538458</v>
      </c>
      <c r="S60" s="926">
        <f>'12. Разходи'!N60-'12. Разходи'!$K60</f>
        <v>1333</v>
      </c>
      <c r="T60" s="1148">
        <f>IFERROR(('12. Разходи'!N60-'12. Разходи'!$K60)/'12. Разходи'!$K60,0)</f>
        <v>0.80108173076923073</v>
      </c>
      <c r="U60" s="926">
        <f>'12. Разходи'!O60-'12. Разходи'!$K60</f>
        <v>1757</v>
      </c>
      <c r="V60" s="1147">
        <f>IFERROR(('12. Разходи'!O60-'12. Разходи'!$K60)/'12. Разходи'!$K60,0)</f>
        <v>1.0558894230769231</v>
      </c>
      <c r="W60" s="1155">
        <f>'12. Разходи'!P60-'12. Разходи'!$K60</f>
        <v>2250</v>
      </c>
      <c r="X60" s="1202">
        <f>IFERROR(('12. Разходи'!P60-'12. Разходи'!$K60)/'12. Разходи'!$K60,0)</f>
        <v>1.3521634615384615</v>
      </c>
      <c r="Y60" s="1196">
        <f>'12. Разходи'!S60</f>
        <v>1512</v>
      </c>
      <c r="Z60" s="1160">
        <f>'12. Разходи'!T60-'12. Разходи'!$S60</f>
        <v>670</v>
      </c>
      <c r="AA60" s="1140">
        <f>IFERROR(('12. Разходи'!T60-'12. Разходи'!$S60)/'12. Разходи'!$S60,0)</f>
        <v>0.44312169312169314</v>
      </c>
      <c r="AB60" s="926">
        <f>'12. Разходи'!U60-'12. Разходи'!$S60</f>
        <v>892</v>
      </c>
      <c r="AC60" s="1148">
        <f>IFERROR(('12. Разходи'!U60-'12. Разходи'!$S60)/'12. Разходи'!$S60,0)</f>
        <v>0.58994708994709</v>
      </c>
      <c r="AD60" s="926">
        <f>'12. Разходи'!V60-'12. Разходи'!$S60</f>
        <v>1231.6999999999998</v>
      </c>
      <c r="AE60" s="1148">
        <f>IFERROR(('12. Разходи'!V60-'12. Разходи'!$S60)/'12. Разходи'!$S60,0)</f>
        <v>0.81461640211640196</v>
      </c>
      <c r="AF60" s="926">
        <f>'12. Разходи'!W60-'12. Разходи'!$S60</f>
        <v>1620.35</v>
      </c>
      <c r="AG60" s="1147">
        <f>IFERROR(('12. Разходи'!W60-'12. Разходи'!$S60)/'12. Разходи'!$S60,0)</f>
        <v>1.0716600529100528</v>
      </c>
      <c r="AH60" s="1155">
        <f>'12. Разходи'!X60-'12. Разходи'!$S60</f>
        <v>2070.9499999999998</v>
      </c>
      <c r="AI60" s="1202">
        <f>IFERROR(('12. Разходи'!X60-'12. Разходи'!$S60)/'12. Разходи'!$S60,0)</f>
        <v>1.3696759259259259</v>
      </c>
      <c r="AJ60" s="1196">
        <f>'12. Разходи'!AA60</f>
        <v>0</v>
      </c>
      <c r="AK60" s="1160">
        <f>'12. Разходи'!AB60-'12. Разходи'!$AA60</f>
        <v>0</v>
      </c>
      <c r="AL60" s="1140">
        <f>IFERROR(('12. Разходи'!AB60-'12. Разходи'!$AA60)/'12. Разходи'!$AA60,0)</f>
        <v>0</v>
      </c>
      <c r="AM60" s="926">
        <f>'12. Разходи'!AC60-'12. Разходи'!$AA60</f>
        <v>0</v>
      </c>
      <c r="AN60" s="1148">
        <f>IFERROR(('12. Разходи'!AC60-'12. Разходи'!$AA60)/'12. Разходи'!$AA60,0)</f>
        <v>0</v>
      </c>
      <c r="AO60" s="926">
        <f>'12. Разходи'!AD60-'12. Разходи'!$AA60</f>
        <v>0</v>
      </c>
      <c r="AP60" s="1148">
        <f>IFERROR(('12. Разходи'!AD60-'12. Разходи'!$AA60)/'12. Разходи'!$AA60,0)</f>
        <v>0</v>
      </c>
      <c r="AQ60" s="926">
        <f>'12. Разходи'!AE60-'12. Разходи'!$AA60</f>
        <v>0</v>
      </c>
      <c r="AR60" s="1147">
        <f>IFERROR(('12. Разходи'!AE60-'12. Разходи'!$AA60)/'12. Разходи'!$AA60,0)</f>
        <v>0</v>
      </c>
      <c r="AS60" s="1155">
        <f>'12. Разходи'!AF60-'12. Разходи'!$AA60</f>
        <v>0</v>
      </c>
      <c r="AT60" s="1202">
        <f>IFERROR(('12. Разходи'!AF60-'12. Разходи'!$AA60)/'12. Разходи'!$AA60,0)</f>
        <v>0</v>
      </c>
      <c r="AU60" s="1196">
        <f>'12. Разходи'!AI60</f>
        <v>0</v>
      </c>
      <c r="AV60" s="1160">
        <f>'12. Разходи'!AJ60-'12. Разходи'!$AI60</f>
        <v>0</v>
      </c>
      <c r="AW60" s="1140">
        <f>IFERROR(('12. Разходи'!AJ60-'12. Разходи'!$AI60)/'12. Разходи'!$AI60,0)</f>
        <v>0</v>
      </c>
      <c r="AX60" s="926">
        <f>'12. Разходи'!AK60-'12. Разходи'!$AI60</f>
        <v>0</v>
      </c>
      <c r="AY60" s="1148">
        <f>IFERROR(('12. Разходи'!AK60-'12. Разходи'!$AI60)/'12. Разходи'!$AI60,0)</f>
        <v>0</v>
      </c>
      <c r="AZ60" s="926">
        <f>'12. Разходи'!AL60-'12. Разходи'!$AI60</f>
        <v>0</v>
      </c>
      <c r="BA60" s="1148">
        <f>IFERROR(('12. Разходи'!AL60-'12. Разходи'!$AI60)/'12. Разходи'!$AI60,0)</f>
        <v>0</v>
      </c>
      <c r="BB60" s="926">
        <f>'12. Разходи'!AM60-'12. Разходи'!$AI60</f>
        <v>0</v>
      </c>
      <c r="BC60" s="1147">
        <f>IFERROR(('12. Разходи'!AM60-'12. Разходи'!$AI60)/'12. Разходи'!$AI60,0)</f>
        <v>0</v>
      </c>
      <c r="BD60" s="1155">
        <f>'12. Разходи'!AN60-'12. Разходи'!$AI60</f>
        <v>0</v>
      </c>
      <c r="BE60" s="1202">
        <f>IFERROR(('12. Разходи'!AN60-'12. Разходи'!$AI60)/'12. Разходи'!$AI60,0)</f>
        <v>0</v>
      </c>
      <c r="BF60" s="4775"/>
      <c r="BG60" s="4794">
        <f t="shared" si="1"/>
        <v>3353.0521568848008</v>
      </c>
      <c r="BH60" s="4794">
        <f t="shared" si="2"/>
        <v>1473.5432016075017</v>
      </c>
      <c r="BI60" s="4794">
        <f t="shared" si="3"/>
        <v>2088.1160428053563</v>
      </c>
      <c r="BJ60" s="4794">
        <f t="shared" si="4"/>
        <v>2842.2715675697787</v>
      </c>
      <c r="BK60" s="4794">
        <f t="shared" si="5"/>
        <v>3581.5996277795107</v>
      </c>
      <c r="BL60" s="4794">
        <f t="shared" si="6"/>
        <v>4422.6747723472899</v>
      </c>
      <c r="BM60" s="4794">
        <f t="shared" si="7"/>
        <v>850.78969031050758</v>
      </c>
      <c r="BN60" s="4794">
        <f t="shared" si="8"/>
        <v>343.07685228266263</v>
      </c>
      <c r="BO60" s="4794">
        <f t="shared" si="9"/>
        <v>526.63063763210505</v>
      </c>
      <c r="BP60" s="4794">
        <f t="shared" si="10"/>
        <v>681.55207763455928</v>
      </c>
      <c r="BQ60" s="4794">
        <f t="shared" si="11"/>
        <v>898.33983526175587</v>
      </c>
      <c r="BR60" s="4794">
        <f t="shared" si="12"/>
        <v>1150.4067326914917</v>
      </c>
      <c r="BS60" s="4794">
        <f t="shared" si="13"/>
        <v>773.07332436868239</v>
      </c>
      <c r="BT60" s="4794">
        <f t="shared" si="14"/>
        <v>342.56556040146637</v>
      </c>
      <c r="BU60" s="4794">
        <f t="shared" si="15"/>
        <v>456.07235802702689</v>
      </c>
      <c r="BV60" s="4794">
        <f t="shared" si="16"/>
        <v>629.75821006938224</v>
      </c>
      <c r="BW60" s="4794">
        <f t="shared" si="17"/>
        <v>828.47179969629258</v>
      </c>
      <c r="BX60" s="4794">
        <f t="shared" si="18"/>
        <v>1058.8599213633086</v>
      </c>
      <c r="BY60" s="4794">
        <f t="shared" si="19"/>
        <v>0</v>
      </c>
      <c r="BZ60" s="4794">
        <f t="shared" si="20"/>
        <v>0</v>
      </c>
      <c r="CA60" s="4794">
        <f t="shared" si="21"/>
        <v>0</v>
      </c>
      <c r="CB60" s="4794">
        <f t="shared" si="22"/>
        <v>0</v>
      </c>
      <c r="CC60" s="4794">
        <f t="shared" si="23"/>
        <v>0</v>
      </c>
      <c r="CD60" s="4794">
        <f t="shared" si="24"/>
        <v>0</v>
      </c>
      <c r="CE60" s="4794">
        <f t="shared" si="25"/>
        <v>0</v>
      </c>
      <c r="CF60" s="4794">
        <f t="shared" si="26"/>
        <v>0</v>
      </c>
      <c r="CG60" s="4794">
        <f t="shared" si="27"/>
        <v>0</v>
      </c>
      <c r="CH60" s="4794">
        <f t="shared" si="28"/>
        <v>0</v>
      </c>
      <c r="CI60" s="4794">
        <f t="shared" si="29"/>
        <v>0</v>
      </c>
      <c r="CJ60" s="4794">
        <f t="shared" si="30"/>
        <v>0</v>
      </c>
    </row>
    <row r="61" spans="1:88" s="692" customFormat="1" ht="24">
      <c r="A61" s="404" t="s">
        <v>102</v>
      </c>
      <c r="B61" s="920" t="s">
        <v>640</v>
      </c>
      <c r="C61" s="1134">
        <f>'12. Разходи'!C61</f>
        <v>352</v>
      </c>
      <c r="D61" s="1162">
        <f>'12. Разходи'!D61-'12. Разходи'!$C61</f>
        <v>370</v>
      </c>
      <c r="E61" s="896">
        <f>IFERROR(('12. Разходи'!D61-'12. Разходи'!$C61)/'12. Разходи'!$C61,0)</f>
        <v>1.0511363636363635</v>
      </c>
      <c r="F61" s="1152">
        <f>'12. Разходи'!E61-'12. Разходи'!$C61</f>
        <v>478</v>
      </c>
      <c r="G61" s="896">
        <f>IFERROR(('12. Разходи'!E61-'12. Разходи'!$C61)/'12. Разходи'!$C61,0)</f>
        <v>1.3579545454545454</v>
      </c>
      <c r="H61" s="1152">
        <f>'12. Разходи'!F61-'12. Разходи'!$C61</f>
        <v>603</v>
      </c>
      <c r="I61" s="896">
        <f>IFERROR(('12. Разходи'!F61-'12. Разходи'!$C61)/'12. Разходи'!$C61,0)</f>
        <v>1.7130681818181819</v>
      </c>
      <c r="J61" s="1152">
        <f>'12. Разходи'!G61-'12. Разходи'!$C61</f>
        <v>746</v>
      </c>
      <c r="K61" s="905">
        <f>IFERROR(('12. Разходи'!G61-'12. Разходи'!$C61)/'12. Разходи'!$C61,0)</f>
        <v>2.1193181818181817</v>
      </c>
      <c r="L61" s="1152">
        <f>'12. Разходи'!H61-'12. Разходи'!$C61</f>
        <v>911</v>
      </c>
      <c r="M61" s="905">
        <f>IFERROR(('12. Разходи'!H61-'12. Разходи'!$C61)/'12. Разходи'!$C61,0)</f>
        <v>2.5880681818181817</v>
      </c>
      <c r="N61" s="1182">
        <f>'12. Разходи'!K61</f>
        <v>45</v>
      </c>
      <c r="O61" s="1162">
        <f>'12. Разходи'!L61-'12. Разходи'!$K61</f>
        <v>48</v>
      </c>
      <c r="P61" s="896">
        <f>IFERROR(('12. Разходи'!L61-'12. Разходи'!$K61)/'12. Разходи'!$K61,0)</f>
        <v>1.0666666666666667</v>
      </c>
      <c r="Q61" s="1152">
        <f>'12. Разходи'!M61-'12. Разходи'!$K61</f>
        <v>61</v>
      </c>
      <c r="R61" s="896">
        <f>IFERROR(('12. Разходи'!M61-'12. Разходи'!$K61)/'12. Разходи'!$K61,0)</f>
        <v>1.3555555555555556</v>
      </c>
      <c r="S61" s="1152">
        <f>'12. Разходи'!N61-'12. Разходи'!$K61</f>
        <v>77</v>
      </c>
      <c r="T61" s="896">
        <f>IFERROR(('12. Разходи'!N61-'12. Разходи'!$K61)/'12. Разходи'!$K61,0)</f>
        <v>1.711111111111111</v>
      </c>
      <c r="U61" s="1152">
        <f>'12. Разходи'!O61-'12. Разходи'!$K61</f>
        <v>96</v>
      </c>
      <c r="V61" s="905">
        <f>IFERROR(('12. Разходи'!O61-'12. Разходи'!$K61)/'12. Разходи'!$K61,0)</f>
        <v>2.1333333333333333</v>
      </c>
      <c r="W61" s="1152">
        <f>'12. Разходи'!P61-'12. Разходи'!$K61</f>
        <v>117</v>
      </c>
      <c r="X61" s="910">
        <f>IFERROR(('12. Разходи'!P61-'12. Разходи'!$K61)/'12. Разходи'!$K61,0)</f>
        <v>2.6</v>
      </c>
      <c r="Y61" s="1182">
        <f>'12. Разходи'!S61</f>
        <v>2</v>
      </c>
      <c r="Z61" s="1162">
        <f>'12. Разходи'!T61-'12. Разходи'!$S61</f>
        <v>0</v>
      </c>
      <c r="AA61" s="896">
        <f>IFERROR(('12. Разходи'!T61-'12. Разходи'!$S61)/'12. Разходи'!$S61,0)</f>
        <v>0</v>
      </c>
      <c r="AB61" s="1152">
        <f>'12. Разходи'!U61-'12. Разходи'!$S61</f>
        <v>0</v>
      </c>
      <c r="AC61" s="896">
        <f>IFERROR(('12. Разходи'!U61-'12. Разходи'!$S61)/'12. Разходи'!$S61,0)</f>
        <v>0</v>
      </c>
      <c r="AD61" s="1152">
        <f>'12. Разходи'!V61-'12. Разходи'!$S61</f>
        <v>0.29999999999999982</v>
      </c>
      <c r="AE61" s="896">
        <f>IFERROR(('12. Разходи'!V61-'12. Разходи'!$S61)/'12. Разходи'!$S61,0)</f>
        <v>0.14999999999999991</v>
      </c>
      <c r="AF61" s="1152">
        <f>'12. Разходи'!W61-'12. Разходи'!$S61</f>
        <v>0.64999999999999991</v>
      </c>
      <c r="AG61" s="905">
        <f>IFERROR(('12. Разходи'!W61-'12. Разходи'!$S61)/'12. Разходи'!$S61,0)</f>
        <v>0.32499999999999996</v>
      </c>
      <c r="AH61" s="1152">
        <f>'12. Разходи'!X61-'12. Разходи'!$S61</f>
        <v>1.0499999999999998</v>
      </c>
      <c r="AI61" s="910">
        <f>IFERROR(('12. Разходи'!X61-'12. Разходи'!$S61)/'12. Разходи'!$S61,0)</f>
        <v>0.52499999999999991</v>
      </c>
      <c r="AJ61" s="1182">
        <f>'12. Разходи'!AA61</f>
        <v>0</v>
      </c>
      <c r="AK61" s="1162">
        <f>'12. Разходи'!AB61-'12. Разходи'!$AA61</f>
        <v>0</v>
      </c>
      <c r="AL61" s="896">
        <f>IFERROR(('12. Разходи'!AB61-'12. Разходи'!$AA61)/'12. Разходи'!$AA61,0)</f>
        <v>0</v>
      </c>
      <c r="AM61" s="1152">
        <f>'12. Разходи'!AC61-'12. Разходи'!$AA61</f>
        <v>0</v>
      </c>
      <c r="AN61" s="896">
        <f>IFERROR(('12. Разходи'!AC61-'12. Разходи'!$AA61)/'12. Разходи'!$AA61,0)</f>
        <v>0</v>
      </c>
      <c r="AO61" s="1152">
        <f>'12. Разходи'!AD61-'12. Разходи'!$AA61</f>
        <v>0</v>
      </c>
      <c r="AP61" s="896">
        <f>IFERROR(('12. Разходи'!AD61-'12. Разходи'!$AA61)/'12. Разходи'!$AA61,0)</f>
        <v>0</v>
      </c>
      <c r="AQ61" s="1152">
        <f>'12. Разходи'!AE61-'12. Разходи'!$AA61</f>
        <v>0</v>
      </c>
      <c r="AR61" s="905">
        <f>IFERROR(('12. Разходи'!AE61-'12. Разходи'!$AA61)/'12. Разходи'!$AA61,0)</f>
        <v>0</v>
      </c>
      <c r="AS61" s="1152">
        <f>'12. Разходи'!AF61-'12. Разходи'!$AA61</f>
        <v>0</v>
      </c>
      <c r="AT61" s="910">
        <f>IFERROR(('12. Разходи'!AF61-'12. Разходи'!$AA61)/'12. Разходи'!$AA61,0)</f>
        <v>0</v>
      </c>
      <c r="AU61" s="1182">
        <f>'12. Разходи'!AI61</f>
        <v>0</v>
      </c>
      <c r="AV61" s="1162">
        <f>'12. Разходи'!AJ61-'12. Разходи'!$AI61</f>
        <v>0</v>
      </c>
      <c r="AW61" s="896">
        <f>IFERROR(('12. Разходи'!AJ61-'12. Разходи'!$AI61)/'12. Разходи'!$AI61,0)</f>
        <v>0</v>
      </c>
      <c r="AX61" s="1152">
        <f>'12. Разходи'!AK61-'12. Разходи'!$AI61</f>
        <v>0</v>
      </c>
      <c r="AY61" s="896">
        <f>IFERROR(('12. Разходи'!AK61-'12. Разходи'!$AI61)/'12. Разходи'!$AI61,0)</f>
        <v>0</v>
      </c>
      <c r="AZ61" s="1152">
        <f>'12. Разходи'!AL61-'12. Разходи'!$AI61</f>
        <v>0</v>
      </c>
      <c r="BA61" s="896">
        <f>IFERROR(('12. Разходи'!AL61-'12. Разходи'!$AI61)/'12. Разходи'!$AI61,0)</f>
        <v>0</v>
      </c>
      <c r="BB61" s="1152">
        <f>'12. Разходи'!AM61-'12. Разходи'!$AI61</f>
        <v>0</v>
      </c>
      <c r="BC61" s="905">
        <f>IFERROR(('12. Разходи'!AM61-'12. Разходи'!$AI61)/'12. Разходи'!$AI61,0)</f>
        <v>0</v>
      </c>
      <c r="BD61" s="1152">
        <f>'12. Разходи'!AN61-'12. Разходи'!$AI61</f>
        <v>0</v>
      </c>
      <c r="BE61" s="910">
        <f>IFERROR(('12. Разходи'!AN61-'12. Разходи'!$AI61)/'12. Разходи'!$AI61,0)</f>
        <v>0</v>
      </c>
      <c r="BF61" s="4775"/>
      <c r="BG61" s="4794">
        <f t="shared" si="1"/>
        <v>179.9747421810689</v>
      </c>
      <c r="BH61" s="4794">
        <f t="shared" si="2"/>
        <v>189.17799604260085</v>
      </c>
      <c r="BI61" s="4794">
        <f t="shared" si="3"/>
        <v>244.39751921179243</v>
      </c>
      <c r="BJ61" s="4794">
        <f t="shared" si="4"/>
        <v>308.30900436131975</v>
      </c>
      <c r="BK61" s="4794">
        <f t="shared" si="5"/>
        <v>381.42374337237902</v>
      </c>
      <c r="BL61" s="4794">
        <f t="shared" si="6"/>
        <v>465.78690376975504</v>
      </c>
      <c r="BM61" s="4794">
        <f t="shared" si="7"/>
        <v>23.008134653829831</v>
      </c>
      <c r="BN61" s="4794">
        <f t="shared" si="8"/>
        <v>24.542010297418489</v>
      </c>
      <c r="BO61" s="4794">
        <f t="shared" si="9"/>
        <v>31.188804752969329</v>
      </c>
      <c r="BP61" s="4794">
        <f t="shared" si="10"/>
        <v>39.369474852108823</v>
      </c>
      <c r="BQ61" s="4794">
        <f t="shared" si="11"/>
        <v>49.084020594836979</v>
      </c>
      <c r="BR61" s="4794">
        <f t="shared" si="12"/>
        <v>59.821150099957563</v>
      </c>
      <c r="BS61" s="4794">
        <f t="shared" si="13"/>
        <v>1.022583762392437</v>
      </c>
      <c r="BT61" s="4794">
        <f t="shared" si="14"/>
        <v>0</v>
      </c>
      <c r="BU61" s="4794">
        <f t="shared" si="15"/>
        <v>0</v>
      </c>
      <c r="BV61" s="4794">
        <f t="shared" si="16"/>
        <v>0.15338756435886547</v>
      </c>
      <c r="BW61" s="4794">
        <f t="shared" si="17"/>
        <v>0.33233972277754198</v>
      </c>
      <c r="BX61" s="4794">
        <f t="shared" si="18"/>
        <v>0.53685647525602931</v>
      </c>
      <c r="BY61" s="4794">
        <f t="shared" si="19"/>
        <v>0</v>
      </c>
      <c r="BZ61" s="4794">
        <f t="shared" si="20"/>
        <v>0</v>
      </c>
      <c r="CA61" s="4794">
        <f t="shared" si="21"/>
        <v>0</v>
      </c>
      <c r="CB61" s="4794">
        <f t="shared" si="22"/>
        <v>0</v>
      </c>
      <c r="CC61" s="4794">
        <f t="shared" si="23"/>
        <v>0</v>
      </c>
      <c r="CD61" s="4794">
        <f t="shared" si="24"/>
        <v>0</v>
      </c>
      <c r="CE61" s="4794">
        <f t="shared" si="25"/>
        <v>0</v>
      </c>
      <c r="CF61" s="4794">
        <f t="shared" si="26"/>
        <v>0</v>
      </c>
      <c r="CG61" s="4794">
        <f t="shared" si="27"/>
        <v>0</v>
      </c>
      <c r="CH61" s="4794">
        <f t="shared" si="28"/>
        <v>0</v>
      </c>
      <c r="CI61" s="4794">
        <f t="shared" si="29"/>
        <v>0</v>
      </c>
      <c r="CJ61" s="4794">
        <f t="shared" si="30"/>
        <v>0</v>
      </c>
    </row>
    <row r="62" spans="1:88" ht="45.75" customHeight="1" thickBot="1">
      <c r="A62" s="113" t="s">
        <v>103</v>
      </c>
      <c r="B62" s="919" t="s">
        <v>1750</v>
      </c>
      <c r="C62" s="1133">
        <f>'12. Разходи'!C62</f>
        <v>74</v>
      </c>
      <c r="D62" s="1160">
        <f>'12. Разходи'!D62-'12. Разходи'!$C62</f>
        <v>11</v>
      </c>
      <c r="E62" s="1140">
        <f>IFERROR(('12. Разходи'!D62-'12. Разходи'!$C62)/'12. Разходи'!$C62,0)</f>
        <v>0.14864864864864866</v>
      </c>
      <c r="F62" s="926">
        <f>'12. Разходи'!E62-'12. Разходи'!$C62</f>
        <v>24</v>
      </c>
      <c r="G62" s="1148">
        <f>IFERROR(('12. Разходи'!E62-'12. Разходи'!$C62)/'12. Разходи'!$C62,0)</f>
        <v>0.32432432432432434</v>
      </c>
      <c r="H62" s="926">
        <f>'12. Разходи'!F62-'12. Разходи'!$C62</f>
        <v>39</v>
      </c>
      <c r="I62" s="1148">
        <f>IFERROR(('12. Разходи'!F62-'12. Разходи'!$C62)/'12. Разходи'!$C62,0)</f>
        <v>0.52702702702702697</v>
      </c>
      <c r="J62" s="926">
        <f>'12. Разходи'!G62-'12. Разходи'!$C62</f>
        <v>55</v>
      </c>
      <c r="K62" s="1147">
        <f>IFERROR(('12. Разходи'!G62-'12. Разходи'!$C62)/'12. Разходи'!$C62,0)</f>
        <v>0.7432432432432432</v>
      </c>
      <c r="L62" s="1155">
        <f>'12. Разходи'!H62-'12. Разходи'!$C62</f>
        <v>75</v>
      </c>
      <c r="M62" s="1147">
        <f>IFERROR(('12. Разходи'!H62-'12. Разходи'!$C62)/'12. Разходи'!$C62,0)</f>
        <v>1.0135135135135136</v>
      </c>
      <c r="N62" s="1196">
        <f>'12. Разходи'!K62</f>
        <v>18</v>
      </c>
      <c r="O62" s="1160">
        <f>'12. Разходи'!L62-'12. Разходи'!$K62</f>
        <v>3</v>
      </c>
      <c r="P62" s="1140">
        <f>IFERROR(('12. Разходи'!L62-'12. Разходи'!$K62)/'12. Разходи'!$K62,0)</f>
        <v>0.16666666666666666</v>
      </c>
      <c r="Q62" s="926">
        <f>'12. Разходи'!M62-'12. Разходи'!$K62</f>
        <v>6</v>
      </c>
      <c r="R62" s="1148">
        <f>IFERROR(('12. Разходи'!M62-'12. Разходи'!$K62)/'12. Разходи'!$K62,0)</f>
        <v>0.33333333333333331</v>
      </c>
      <c r="S62" s="926">
        <f>'12. Разходи'!N62-'12. Разходи'!$K62</f>
        <v>9</v>
      </c>
      <c r="T62" s="1148">
        <f>IFERROR(('12. Разходи'!N62-'12. Разходи'!$K62)/'12. Разходи'!$K62,0)</f>
        <v>0.5</v>
      </c>
      <c r="U62" s="926">
        <f>'12. Разходи'!O62-'12. Разходи'!$K62</f>
        <v>13</v>
      </c>
      <c r="V62" s="1147">
        <f>IFERROR(('12. Разходи'!O62-'12. Разходи'!$K62)/'12. Разходи'!$K62,0)</f>
        <v>0.72222222222222221</v>
      </c>
      <c r="W62" s="1155">
        <f>'12. Разходи'!P62-'12. Разходи'!$K62</f>
        <v>18</v>
      </c>
      <c r="X62" s="1202">
        <f>IFERROR(('12. Разходи'!P62-'12. Разходи'!$K62)/'12. Разходи'!$K62,0)</f>
        <v>1</v>
      </c>
      <c r="Y62" s="1196">
        <f>'12. Разходи'!S62</f>
        <v>20</v>
      </c>
      <c r="Z62" s="1160">
        <f>'12. Разходи'!T62-'12. Разходи'!$S62</f>
        <v>3</v>
      </c>
      <c r="AA62" s="1140">
        <f>IFERROR(('12. Разходи'!T62-'12. Разходи'!$S62)/'12. Разходи'!$S62,0)</f>
        <v>0.15</v>
      </c>
      <c r="AB62" s="926">
        <f>'12. Разходи'!U62-'12. Разходи'!$S62</f>
        <v>6</v>
      </c>
      <c r="AC62" s="1148">
        <f>IFERROR(('12. Разходи'!U62-'12. Разходи'!$S62)/'12. Разходи'!$S62,0)</f>
        <v>0.3</v>
      </c>
      <c r="AD62" s="926">
        <f>'12. Разходи'!V62-'12. Разходи'!$S62</f>
        <v>10</v>
      </c>
      <c r="AE62" s="1148">
        <f>IFERROR(('12. Разходи'!V62-'12. Разходи'!$S62)/'12. Разходи'!$S62,0)</f>
        <v>0.5</v>
      </c>
      <c r="AF62" s="926">
        <f>'12. Разходи'!W62-'12. Разходи'!$S62</f>
        <v>15</v>
      </c>
      <c r="AG62" s="1147">
        <f>IFERROR(('12. Разходи'!W62-'12. Разходи'!$S62)/'12. Разходи'!$S62,0)</f>
        <v>0.75</v>
      </c>
      <c r="AH62" s="1155">
        <f>'12. Разходи'!X62-'12. Разходи'!$S62</f>
        <v>20</v>
      </c>
      <c r="AI62" s="1202">
        <f>IFERROR(('12. Разходи'!X62-'12. Разходи'!$S62)/'12. Разходи'!$S62,0)</f>
        <v>1</v>
      </c>
      <c r="AJ62" s="1196">
        <f>'12. Разходи'!AA62</f>
        <v>0</v>
      </c>
      <c r="AK62" s="1160">
        <f>'12. Разходи'!AB62-'12. Разходи'!$AA62</f>
        <v>0</v>
      </c>
      <c r="AL62" s="1140">
        <f>IFERROR(('12. Разходи'!AB62-'12. Разходи'!$AA62)/'12. Разходи'!$AA62,0)</f>
        <v>0</v>
      </c>
      <c r="AM62" s="926">
        <f>'12. Разходи'!AC62-'12. Разходи'!$AA62</f>
        <v>0</v>
      </c>
      <c r="AN62" s="1148">
        <f>IFERROR(('12. Разходи'!AC62-'12. Разходи'!$AA62)/'12. Разходи'!$AA62,0)</f>
        <v>0</v>
      </c>
      <c r="AO62" s="926">
        <f>'12. Разходи'!AD62-'12. Разходи'!$AA62</f>
        <v>0</v>
      </c>
      <c r="AP62" s="1148">
        <f>IFERROR(('12. Разходи'!AD62-'12. Разходи'!$AA62)/'12. Разходи'!$AA62,0)</f>
        <v>0</v>
      </c>
      <c r="AQ62" s="926">
        <f>'12. Разходи'!AE62-'12. Разходи'!$AA62</f>
        <v>0</v>
      </c>
      <c r="AR62" s="1147">
        <f>IFERROR(('12. Разходи'!AE62-'12. Разходи'!$AA62)/'12. Разходи'!$AA62,0)</f>
        <v>0</v>
      </c>
      <c r="AS62" s="1155">
        <f>'12. Разходи'!AF62-'12. Разходи'!$AA62</f>
        <v>0</v>
      </c>
      <c r="AT62" s="1202">
        <f>IFERROR(('12. Разходи'!AF62-'12. Разходи'!$AA62)/'12. Разходи'!$AA62,0)</f>
        <v>0</v>
      </c>
      <c r="AU62" s="1196">
        <f>'12. Разходи'!AI62</f>
        <v>0</v>
      </c>
      <c r="AV62" s="1160">
        <f>'12. Разходи'!AJ62-'12. Разходи'!$AI62</f>
        <v>0</v>
      </c>
      <c r="AW62" s="1140">
        <f>IFERROR(('12. Разходи'!AJ62-'12. Разходи'!$AI62)/'12. Разходи'!$AI62,0)</f>
        <v>0</v>
      </c>
      <c r="AX62" s="926">
        <f>'12. Разходи'!AK62-'12. Разходи'!$AI62</f>
        <v>0</v>
      </c>
      <c r="AY62" s="1148">
        <f>IFERROR(('12. Разходи'!AK62-'12. Разходи'!$AI62)/'12. Разходи'!$AI62,0)</f>
        <v>0</v>
      </c>
      <c r="AZ62" s="926">
        <f>'12. Разходи'!AL62-'12. Разходи'!$AI62</f>
        <v>0</v>
      </c>
      <c r="BA62" s="1148">
        <f>IFERROR(('12. Разходи'!AL62-'12. Разходи'!$AI62)/'12. Разходи'!$AI62,0)</f>
        <v>0</v>
      </c>
      <c r="BB62" s="926">
        <f>'12. Разходи'!AM62-'12. Разходи'!$AI62</f>
        <v>0</v>
      </c>
      <c r="BC62" s="1147">
        <f>IFERROR(('12. Разходи'!AM62-'12. Разходи'!$AI62)/'12. Разходи'!$AI62,0)</f>
        <v>0</v>
      </c>
      <c r="BD62" s="1155">
        <f>'12. Разходи'!AN62-'12. Разходи'!$AI62</f>
        <v>0</v>
      </c>
      <c r="BE62" s="1202">
        <f>IFERROR(('12. Разходи'!AN62-'12. Разходи'!$AI62)/'12. Разходи'!$AI62,0)</f>
        <v>0</v>
      </c>
      <c r="BF62" s="4775"/>
      <c r="BG62" s="4794">
        <f t="shared" si="1"/>
        <v>37.835599208520172</v>
      </c>
      <c r="BH62" s="4794">
        <f t="shared" si="2"/>
        <v>5.6242106931584033</v>
      </c>
      <c r="BI62" s="4794">
        <f t="shared" si="3"/>
        <v>12.271005148709245</v>
      </c>
      <c r="BJ62" s="4794">
        <f t="shared" si="4"/>
        <v>19.940383366652522</v>
      </c>
      <c r="BK62" s="4794">
        <f t="shared" si="5"/>
        <v>28.121053465792016</v>
      </c>
      <c r="BL62" s="4794">
        <f t="shared" si="6"/>
        <v>38.346891089716387</v>
      </c>
      <c r="BM62" s="4794">
        <f t="shared" si="7"/>
        <v>9.2032538615319321</v>
      </c>
      <c r="BN62" s="4794">
        <f t="shared" si="8"/>
        <v>1.5338756435886556</v>
      </c>
      <c r="BO62" s="4794">
        <f t="shared" si="9"/>
        <v>3.0677512871773112</v>
      </c>
      <c r="BP62" s="4794">
        <f t="shared" si="10"/>
        <v>4.6016269307659661</v>
      </c>
      <c r="BQ62" s="4794">
        <f t="shared" si="11"/>
        <v>6.6467944555508405</v>
      </c>
      <c r="BR62" s="4794">
        <f t="shared" si="12"/>
        <v>9.2032538615319321</v>
      </c>
      <c r="BS62" s="4794">
        <f t="shared" si="13"/>
        <v>10.22583762392437</v>
      </c>
      <c r="BT62" s="4794">
        <f t="shared" si="14"/>
        <v>1.5338756435886556</v>
      </c>
      <c r="BU62" s="4794">
        <f t="shared" si="15"/>
        <v>3.0677512871773112</v>
      </c>
      <c r="BV62" s="4794">
        <f t="shared" si="16"/>
        <v>5.1129188119621851</v>
      </c>
      <c r="BW62" s="4794">
        <f t="shared" si="17"/>
        <v>7.6693782179432777</v>
      </c>
      <c r="BX62" s="4794">
        <f t="shared" si="18"/>
        <v>10.22583762392437</v>
      </c>
      <c r="BY62" s="4794">
        <f t="shared" si="19"/>
        <v>0</v>
      </c>
      <c r="BZ62" s="4794">
        <f t="shared" si="20"/>
        <v>0</v>
      </c>
      <c r="CA62" s="4794">
        <f t="shared" si="21"/>
        <v>0</v>
      </c>
      <c r="CB62" s="4794">
        <f t="shared" si="22"/>
        <v>0</v>
      </c>
      <c r="CC62" s="4794">
        <f t="shared" si="23"/>
        <v>0</v>
      </c>
      <c r="CD62" s="4794">
        <f t="shared" si="24"/>
        <v>0</v>
      </c>
      <c r="CE62" s="4794">
        <f t="shared" si="25"/>
        <v>0</v>
      </c>
      <c r="CF62" s="4794">
        <f t="shared" si="26"/>
        <v>0</v>
      </c>
      <c r="CG62" s="4794">
        <f t="shared" si="27"/>
        <v>0</v>
      </c>
      <c r="CH62" s="4794">
        <f t="shared" si="28"/>
        <v>0</v>
      </c>
      <c r="CI62" s="4794">
        <f t="shared" si="29"/>
        <v>0</v>
      </c>
      <c r="CJ62" s="4794">
        <f t="shared" si="30"/>
        <v>0</v>
      </c>
    </row>
    <row r="63" spans="1:88" s="1179" customFormat="1" ht="15.95" customHeight="1" thickBot="1">
      <c r="A63" s="115">
        <v>5</v>
      </c>
      <c r="B63" s="916" t="s">
        <v>449</v>
      </c>
      <c r="C63" s="1129">
        <f>'12. Разходи'!C63</f>
        <v>2477</v>
      </c>
      <c r="D63" s="1167">
        <f>'12. Разходи'!D63-'12. Разходи'!$C63</f>
        <v>1081</v>
      </c>
      <c r="E63" s="894">
        <f>IFERROR(('12. Разходи'!D63-'12. Разходи'!$C63)/'12. Разходи'!$C63,0)</f>
        <v>0.43641501816713768</v>
      </c>
      <c r="F63" s="1166">
        <f>'12. Разходи'!E63-'12. Разходи'!$C63</f>
        <v>1614</v>
      </c>
      <c r="G63" s="894">
        <f>IFERROR(('12. Разходи'!E63-'12. Разходи'!$C63)/'12. Разходи'!$C63,0)</f>
        <v>0.6515946709729511</v>
      </c>
      <c r="H63" s="1166">
        <f>'12. Разходи'!F63-'12. Разходи'!$C63</f>
        <v>2228</v>
      </c>
      <c r="I63" s="894">
        <f>IFERROR(('12. Разходи'!F63-'12. Разходи'!$C63)/'12. Разходи'!$C63,0)</f>
        <v>0.89947517157852241</v>
      </c>
      <c r="J63" s="1166">
        <f>'12. Разходи'!G63-'12. Разходи'!$C63</f>
        <v>2934</v>
      </c>
      <c r="K63" s="907">
        <f>IFERROR(('12. Разходи'!G63-'12. Разходи'!$C63)/'12. Разходи'!$C63,0)</f>
        <v>1.1844973758578927</v>
      </c>
      <c r="L63" s="1166">
        <f>'12. Разходи'!H63-'12. Разходи'!$C63</f>
        <v>3745</v>
      </c>
      <c r="M63" s="907">
        <f>IFERROR(('12. Разходи'!H63-'12. Разходи'!$C63)/'12. Разходи'!$C63,0)</f>
        <v>1.5119095680258376</v>
      </c>
      <c r="N63" s="1180">
        <f>'12. Разходи'!K63</f>
        <v>644</v>
      </c>
      <c r="O63" s="1167">
        <f>'12. Разходи'!L63-'12. Разходи'!$K63</f>
        <v>285</v>
      </c>
      <c r="P63" s="894">
        <f>IFERROR(('12. Разходи'!L63-'12. Разходи'!$K63)/'12. Разходи'!$K63,0)</f>
        <v>0.44254658385093165</v>
      </c>
      <c r="Q63" s="1166">
        <f>'12. Разходи'!M63-'12. Разходи'!$K63</f>
        <v>423</v>
      </c>
      <c r="R63" s="894">
        <f>IFERROR(('12. Разходи'!M63-'12. Разходи'!$K63)/'12. Разходи'!$K63,0)</f>
        <v>0.65683229813664601</v>
      </c>
      <c r="S63" s="1166">
        <f>'12. Разходи'!N63-'12. Разходи'!$K63</f>
        <v>584</v>
      </c>
      <c r="T63" s="894">
        <f>IFERROR(('12. Разходи'!N63-'12. Разходи'!$K63)/'12. Разходи'!$K63,0)</f>
        <v>0.90683229813664601</v>
      </c>
      <c r="U63" s="1166">
        <f>'12. Разходи'!O63-'12. Разходи'!$K63</f>
        <v>768</v>
      </c>
      <c r="V63" s="907">
        <f>IFERROR(('12. Разходи'!O63-'12. Разходи'!$K63)/'12. Разходи'!$K63,0)</f>
        <v>1.1925465838509317</v>
      </c>
      <c r="W63" s="1166">
        <f>'12. Разходи'!P63-'12. Разходи'!$K63</f>
        <v>980</v>
      </c>
      <c r="X63" s="909">
        <f>IFERROR(('12. Разходи'!P63-'12. Разходи'!$K63)/'12. Разходи'!$K63,0)</f>
        <v>1.5217391304347827</v>
      </c>
      <c r="Y63" s="1180">
        <f>'12. Разходи'!S63</f>
        <v>548</v>
      </c>
      <c r="Z63" s="1167">
        <f>'12. Разходи'!T63-'12. Разходи'!$S63</f>
        <v>248</v>
      </c>
      <c r="AA63" s="894">
        <f>IFERROR(('12. Разходи'!T63-'12. Разходи'!$S63)/'12. Разходи'!$S63,0)</f>
        <v>0.45255474452554745</v>
      </c>
      <c r="AB63" s="1166">
        <f>'12. Разходи'!U63-'12. Разходи'!$S63</f>
        <v>368</v>
      </c>
      <c r="AC63" s="894">
        <f>IFERROR(('12. Разходи'!U63-'12. Разходи'!$S63)/'12. Разходи'!$S63,0)</f>
        <v>0.67153284671532842</v>
      </c>
      <c r="AD63" s="1166">
        <f>'12. Разходи'!V63-'12. Разходи'!$S63</f>
        <v>505</v>
      </c>
      <c r="AE63" s="894">
        <f>IFERROR(('12. Разходи'!V63-'12. Разходи'!$S63)/'12. Разходи'!$S63,0)</f>
        <v>0.92153284671532842</v>
      </c>
      <c r="AF63" s="1166">
        <f>'12. Разходи'!W63-'12. Разходи'!$S63</f>
        <v>663</v>
      </c>
      <c r="AG63" s="907">
        <f>IFERROR(('12. Разходи'!W63-'12. Разходи'!$S63)/'12. Разходи'!$S63,0)</f>
        <v>1.2098540145985401</v>
      </c>
      <c r="AH63" s="1166">
        <f>'12. Разходи'!X63-'12. Разходи'!$S63</f>
        <v>844</v>
      </c>
      <c r="AI63" s="909">
        <f>IFERROR(('12. Разходи'!X63-'12. Разходи'!$S63)/'12. Разходи'!$S63,0)</f>
        <v>1.5401459854014599</v>
      </c>
      <c r="AJ63" s="1180">
        <f>'12. Разходи'!AA63</f>
        <v>0</v>
      </c>
      <c r="AK63" s="1167">
        <f>'12. Разходи'!AB63-'12. Разходи'!$AA63</f>
        <v>0</v>
      </c>
      <c r="AL63" s="894">
        <f>IFERROR(('12. Разходи'!AB63-'12. Разходи'!$AA63)/'12. Разходи'!$AA63,0)</f>
        <v>0</v>
      </c>
      <c r="AM63" s="1166">
        <f>'12. Разходи'!AC63-'12. Разходи'!$AA63</f>
        <v>0</v>
      </c>
      <c r="AN63" s="894">
        <f>IFERROR(('12. Разходи'!AC63-'12. Разходи'!$AA63)/'12. Разходи'!$AA63,0)</f>
        <v>0</v>
      </c>
      <c r="AO63" s="1166">
        <f>'12. Разходи'!AD63-'12. Разходи'!$AA63</f>
        <v>0</v>
      </c>
      <c r="AP63" s="894">
        <f>IFERROR(('12. Разходи'!AD63-'12. Разходи'!$AA63)/'12. Разходи'!$AA63,0)</f>
        <v>0</v>
      </c>
      <c r="AQ63" s="1166">
        <f>'12. Разходи'!AE63-'12. Разходи'!$AA63</f>
        <v>0</v>
      </c>
      <c r="AR63" s="907">
        <f>IFERROR(('12. Разходи'!AE63-'12. Разходи'!$AA63)/'12. Разходи'!$AA63,0)</f>
        <v>0</v>
      </c>
      <c r="AS63" s="1166">
        <f>'12. Разходи'!AF63-'12. Разходи'!$AA63</f>
        <v>0</v>
      </c>
      <c r="AT63" s="909">
        <f>IFERROR(('12. Разходи'!AF63-'12. Разходи'!$AA63)/'12. Разходи'!$AA63,0)</f>
        <v>0</v>
      </c>
      <c r="AU63" s="1180">
        <f>'12. Разходи'!AI63</f>
        <v>0</v>
      </c>
      <c r="AV63" s="1167">
        <f>'12. Разходи'!AJ63-'12. Разходи'!$AI63</f>
        <v>0</v>
      </c>
      <c r="AW63" s="894">
        <f>IFERROR(('12. Разходи'!AJ63-'12. Разходи'!$AI63)/'12. Разходи'!$AI63,0)</f>
        <v>0</v>
      </c>
      <c r="AX63" s="1166">
        <f>'12. Разходи'!AK63-'12. Разходи'!$AI63</f>
        <v>0</v>
      </c>
      <c r="AY63" s="894">
        <f>IFERROR(('12. Разходи'!AK63-'12. Разходи'!$AI63)/'12. Разходи'!$AI63,0)</f>
        <v>0</v>
      </c>
      <c r="AZ63" s="1166">
        <f>'12. Разходи'!AL63-'12. Разходи'!$AI63</f>
        <v>0</v>
      </c>
      <c r="BA63" s="894">
        <f>IFERROR(('12. Разходи'!AL63-'12. Разходи'!$AI63)/'12. Разходи'!$AI63,0)</f>
        <v>0</v>
      </c>
      <c r="BB63" s="1166">
        <f>'12. Разходи'!AM63-'12. Разходи'!$AI63</f>
        <v>0</v>
      </c>
      <c r="BC63" s="907">
        <f>IFERROR(('12. Разходи'!AM63-'12. Разходи'!$AI63)/'12. Разходи'!$AI63,0)</f>
        <v>0</v>
      </c>
      <c r="BD63" s="1166">
        <f>'12. Разходи'!AN63-'12. Разходи'!$AI63</f>
        <v>0</v>
      </c>
      <c r="BE63" s="909">
        <f>IFERROR(('12. Разходи'!AN63-'12. Разходи'!$AI63)/'12. Разходи'!$AI63,0)</f>
        <v>0</v>
      </c>
      <c r="BF63" s="4775"/>
      <c r="BG63" s="4794">
        <f t="shared" si="1"/>
        <v>1266.4699897230332</v>
      </c>
      <c r="BH63" s="4794">
        <f t="shared" si="2"/>
        <v>552.70652357311224</v>
      </c>
      <c r="BI63" s="4794">
        <f t="shared" si="3"/>
        <v>825.22509625069665</v>
      </c>
      <c r="BJ63" s="4794">
        <f t="shared" si="4"/>
        <v>1139.1583113051747</v>
      </c>
      <c r="BK63" s="4794">
        <f t="shared" si="5"/>
        <v>1500.130379429705</v>
      </c>
      <c r="BL63" s="4794">
        <f t="shared" si="6"/>
        <v>1914.7880950798383</v>
      </c>
      <c r="BM63" s="4794">
        <f t="shared" si="7"/>
        <v>329.27197149036471</v>
      </c>
      <c r="BN63" s="4794">
        <f t="shared" si="8"/>
        <v>145.71818614092228</v>
      </c>
      <c r="BO63" s="4794">
        <f t="shared" si="9"/>
        <v>216.27646574600041</v>
      </c>
      <c r="BP63" s="4794">
        <f t="shared" si="10"/>
        <v>298.5944586185916</v>
      </c>
      <c r="BQ63" s="4794">
        <f t="shared" si="11"/>
        <v>392.67216475869583</v>
      </c>
      <c r="BR63" s="4794">
        <f t="shared" si="12"/>
        <v>501.06604357229412</v>
      </c>
      <c r="BS63" s="4794">
        <f t="shared" si="13"/>
        <v>280.18795089552776</v>
      </c>
      <c r="BT63" s="4794">
        <f t="shared" si="14"/>
        <v>126.80038653666219</v>
      </c>
      <c r="BU63" s="4794">
        <f t="shared" si="15"/>
        <v>188.1554122802084</v>
      </c>
      <c r="BV63" s="4794">
        <f t="shared" si="16"/>
        <v>258.20240000409035</v>
      </c>
      <c r="BW63" s="4794">
        <f t="shared" si="17"/>
        <v>338.98651723309285</v>
      </c>
      <c r="BX63" s="4794">
        <f t="shared" si="18"/>
        <v>431.53034772960842</v>
      </c>
      <c r="BY63" s="4794">
        <f t="shared" si="19"/>
        <v>0</v>
      </c>
      <c r="BZ63" s="4794">
        <f t="shared" si="20"/>
        <v>0</v>
      </c>
      <c r="CA63" s="4794">
        <f t="shared" si="21"/>
        <v>0</v>
      </c>
      <c r="CB63" s="4794">
        <f t="shared" si="22"/>
        <v>0</v>
      </c>
      <c r="CC63" s="4794">
        <f t="shared" si="23"/>
        <v>0</v>
      </c>
      <c r="CD63" s="4794">
        <f t="shared" si="24"/>
        <v>0</v>
      </c>
      <c r="CE63" s="4794">
        <f t="shared" si="25"/>
        <v>0</v>
      </c>
      <c r="CF63" s="4794">
        <f t="shared" si="26"/>
        <v>0</v>
      </c>
      <c r="CG63" s="4794">
        <f t="shared" si="27"/>
        <v>0</v>
      </c>
      <c r="CH63" s="4794">
        <f t="shared" si="28"/>
        <v>0</v>
      </c>
      <c r="CI63" s="4794">
        <f t="shared" si="29"/>
        <v>0</v>
      </c>
      <c r="CJ63" s="4794">
        <f t="shared" si="30"/>
        <v>0</v>
      </c>
    </row>
    <row r="64" spans="1:88" ht="15.95" customHeight="1">
      <c r="A64" s="113" t="s">
        <v>105</v>
      </c>
      <c r="B64" s="917" t="s">
        <v>632</v>
      </c>
      <c r="C64" s="1132">
        <f>'12. Разходи'!C64</f>
        <v>1385</v>
      </c>
      <c r="D64" s="1158">
        <f>'12. Разходи'!D64-'12. Разходи'!$C64</f>
        <v>771</v>
      </c>
      <c r="E64" s="1144">
        <f>IFERROR(('12. Разходи'!D64-'12. Разходи'!$C64)/'12. Разходи'!$C64,0)</f>
        <v>0.55667870036101086</v>
      </c>
      <c r="F64" s="1159">
        <f>'12. Разходи'!E64-'12. Разходи'!$C64</f>
        <v>1094</v>
      </c>
      <c r="G64" s="1145">
        <f>IFERROR(('12. Разходи'!E64-'12. Разходи'!$C64)/'12. Разходи'!$C64,0)</f>
        <v>0.78989169675090254</v>
      </c>
      <c r="H64" s="1159">
        <f>'12. Разходи'!F64-'12. Разходи'!$C64</f>
        <v>1466</v>
      </c>
      <c r="I64" s="1145">
        <f>IFERROR(('12. Разходи'!F64-'12. Разходи'!$C64)/'12. Разходи'!$C64,0)</f>
        <v>1.0584837545126353</v>
      </c>
      <c r="J64" s="1159">
        <f>'12. Разходи'!G64-'12. Разходи'!$C64</f>
        <v>1894</v>
      </c>
      <c r="K64" s="1146">
        <f>IFERROR(('12. Разходи'!G64-'12. Разходи'!$C64)/'12. Разходи'!$C64,0)</f>
        <v>1.367509025270758</v>
      </c>
      <c r="L64" s="1164">
        <f>'12. Разходи'!H64-'12. Разходи'!$C64</f>
        <v>2385</v>
      </c>
      <c r="M64" s="1146">
        <f>IFERROR(('12. Разходи'!H64-'12. Разходи'!$C64)/'12. Разходи'!$C64,0)</f>
        <v>1.7220216606498195</v>
      </c>
      <c r="N64" s="1200">
        <f>'12. Разходи'!K64</f>
        <v>384</v>
      </c>
      <c r="O64" s="1158">
        <f>'12. Разходи'!L64-'12. Разходи'!$K64</f>
        <v>194.5</v>
      </c>
      <c r="P64" s="1144">
        <f>IFERROR(('12. Разходи'!L64-'12. Разходи'!$K64)/'12. Разходи'!$K64,0)</f>
        <v>0.50651041666666663</v>
      </c>
      <c r="Q64" s="1159">
        <f>'12. Разходи'!M64-'12. Разходи'!$K64</f>
        <v>280.79999999999995</v>
      </c>
      <c r="R64" s="1145">
        <f>IFERROR(('12. Разходи'!M64-'12. Разходи'!$K64)/'12. Разходи'!$K64,0)</f>
        <v>0.73124999999999984</v>
      </c>
      <c r="S64" s="1159">
        <f>'12. Разходи'!N64-'12. Разходи'!$K64</f>
        <v>380.79999999999995</v>
      </c>
      <c r="T64" s="1145">
        <f>IFERROR(('12. Разходи'!N64-'12. Разходи'!$K64)/'12. Разходи'!$K64,0)</f>
        <v>0.99166666666666659</v>
      </c>
      <c r="U64" s="1159">
        <f>'12. Разходи'!O64-'12. Разходи'!$K64</f>
        <v>495.5</v>
      </c>
      <c r="V64" s="1146">
        <f>IFERROR(('12. Разходи'!O64-'12. Разходи'!$K64)/'12. Разходи'!$K64,0)</f>
        <v>1.2903645833333333</v>
      </c>
      <c r="W64" s="1164">
        <f>'12. Разходи'!P64-'12. Разходи'!$K64</f>
        <v>627.9</v>
      </c>
      <c r="X64" s="1203">
        <f>IFERROR(('12. Разходи'!P64-'12. Разходи'!$K64)/'12. Разходи'!$K64,0)</f>
        <v>1.6351562499999999</v>
      </c>
      <c r="Y64" s="1200">
        <f>'12. Разходи'!S64</f>
        <v>321</v>
      </c>
      <c r="Z64" s="1158">
        <f>'12. Разходи'!T64-'12. Разходи'!$S64</f>
        <v>165</v>
      </c>
      <c r="AA64" s="1144">
        <f>IFERROR(('12. Разходи'!T64-'12. Разходи'!$S64)/'12. Разходи'!$S64,0)</f>
        <v>0.51401869158878499</v>
      </c>
      <c r="AB64" s="1159">
        <f>'12. Разходи'!U64-'12. Разходи'!$S64</f>
        <v>238</v>
      </c>
      <c r="AC64" s="1145">
        <f>IFERROR(('12. Разходи'!U64-'12. Разходи'!$S64)/'12. Разходи'!$S64,0)</f>
        <v>0.74143302180685355</v>
      </c>
      <c r="AD64" s="1159">
        <f>'12. Разходи'!V64-'12. Разходи'!$S64</f>
        <v>322</v>
      </c>
      <c r="AE64" s="1145">
        <f>IFERROR(('12. Разходи'!V64-'12. Разходи'!$S64)/'12. Разходи'!$S64,0)</f>
        <v>1.0031152647975077</v>
      </c>
      <c r="AF64" s="1159">
        <f>'12. Разходи'!W64-'12. Разходи'!$S64</f>
        <v>418</v>
      </c>
      <c r="AG64" s="1146">
        <f>IFERROR(('12. Разходи'!W64-'12. Разходи'!$S64)/'12. Разходи'!$S64,0)</f>
        <v>1.3021806853582554</v>
      </c>
      <c r="AH64" s="1164">
        <f>'12. Разходи'!X64-'12. Разходи'!$S64</f>
        <v>529</v>
      </c>
      <c r="AI64" s="1203">
        <f>IFERROR(('12. Разходи'!X64-'12. Разходи'!$S64)/'12. Разходи'!$S64,0)</f>
        <v>1.64797507788162</v>
      </c>
      <c r="AJ64" s="1200">
        <f>'12. Разходи'!AA64</f>
        <v>0</v>
      </c>
      <c r="AK64" s="1158">
        <f>'12. Разходи'!AB64-'12. Разходи'!$AA64</f>
        <v>0</v>
      </c>
      <c r="AL64" s="1144">
        <f>IFERROR(('12. Разходи'!AB64-'12. Разходи'!$AA64)/'12. Разходи'!$AA64,0)</f>
        <v>0</v>
      </c>
      <c r="AM64" s="1159">
        <f>'12. Разходи'!AC64-'12. Разходи'!$AA64</f>
        <v>0</v>
      </c>
      <c r="AN64" s="1145">
        <f>IFERROR(('12. Разходи'!AC64-'12. Разходи'!$AA64)/'12. Разходи'!$AA64,0)</f>
        <v>0</v>
      </c>
      <c r="AO64" s="1159">
        <f>'12. Разходи'!AD64-'12. Разходи'!$AA64</f>
        <v>0</v>
      </c>
      <c r="AP64" s="1145">
        <f>IFERROR(('12. Разходи'!AD64-'12. Разходи'!$AA64)/'12. Разходи'!$AA64,0)</f>
        <v>0</v>
      </c>
      <c r="AQ64" s="1159">
        <f>'12. Разходи'!AE64-'12. Разходи'!$AA64</f>
        <v>0</v>
      </c>
      <c r="AR64" s="1146">
        <f>IFERROR(('12. Разходи'!AE64-'12. Разходи'!$AA64)/'12. Разходи'!$AA64,0)</f>
        <v>0</v>
      </c>
      <c r="AS64" s="1164">
        <f>'12. Разходи'!AF64-'12. Разходи'!$AA64</f>
        <v>0</v>
      </c>
      <c r="AT64" s="1203">
        <f>IFERROR(('12. Разходи'!AF64-'12. Разходи'!$AA64)/'12. Разходи'!$AA64,0)</f>
        <v>0</v>
      </c>
      <c r="AU64" s="1200">
        <f>'12. Разходи'!AI64</f>
        <v>0</v>
      </c>
      <c r="AV64" s="1158">
        <f>'12. Разходи'!AJ64-'12. Разходи'!$AI64</f>
        <v>0</v>
      </c>
      <c r="AW64" s="1144">
        <f>IFERROR(('12. Разходи'!AJ64-'12. Разходи'!$AI64)/'12. Разходи'!$AI64,0)</f>
        <v>0</v>
      </c>
      <c r="AX64" s="1159">
        <f>'12. Разходи'!AK64-'12. Разходи'!$AI64</f>
        <v>0</v>
      </c>
      <c r="AY64" s="1145">
        <f>IFERROR(('12. Разходи'!AK64-'12. Разходи'!$AI64)/'12. Разходи'!$AI64,0)</f>
        <v>0</v>
      </c>
      <c r="AZ64" s="1159">
        <f>'12. Разходи'!AL64-'12. Разходи'!$AI64</f>
        <v>0</v>
      </c>
      <c r="BA64" s="1145">
        <f>IFERROR(('12. Разходи'!AL64-'12. Разходи'!$AI64)/'12. Разходи'!$AI64,0)</f>
        <v>0</v>
      </c>
      <c r="BB64" s="1159">
        <f>'12. Разходи'!AM64-'12. Разходи'!$AI64</f>
        <v>0</v>
      </c>
      <c r="BC64" s="1146">
        <f>IFERROR(('12. Разходи'!AM64-'12. Разходи'!$AI64)/'12. Разходи'!$AI64,0)</f>
        <v>0</v>
      </c>
      <c r="BD64" s="1164">
        <f>'12. Разходи'!AN64-'12. Разходи'!$AI64</f>
        <v>0</v>
      </c>
      <c r="BE64" s="1203">
        <f>IFERROR(('12. Разходи'!AN64-'12. Разходи'!$AI64)/'12. Разходи'!$AI64,0)</f>
        <v>0</v>
      </c>
      <c r="BF64" s="4775"/>
      <c r="BG64" s="4794">
        <f t="shared" si="1"/>
        <v>708.13925545676261</v>
      </c>
      <c r="BH64" s="4794">
        <f t="shared" si="2"/>
        <v>394.20604040228449</v>
      </c>
      <c r="BI64" s="4794">
        <f t="shared" si="3"/>
        <v>559.35331802866301</v>
      </c>
      <c r="BJ64" s="4794">
        <f t="shared" si="4"/>
        <v>749.55389783365626</v>
      </c>
      <c r="BK64" s="4794">
        <f t="shared" si="5"/>
        <v>968.38682298563788</v>
      </c>
      <c r="BL64" s="4794">
        <f t="shared" si="6"/>
        <v>1219.4311366529812</v>
      </c>
      <c r="BM64" s="4794">
        <f t="shared" si="7"/>
        <v>196.33608237934791</v>
      </c>
      <c r="BN64" s="4794">
        <f t="shared" si="8"/>
        <v>99.446270892664501</v>
      </c>
      <c r="BO64" s="4794">
        <f t="shared" si="9"/>
        <v>143.57076023989814</v>
      </c>
      <c r="BP64" s="4794">
        <f t="shared" si="10"/>
        <v>194.69994835951999</v>
      </c>
      <c r="BQ64" s="4794">
        <f t="shared" si="11"/>
        <v>253.34512713272628</v>
      </c>
      <c r="BR64" s="4794">
        <f t="shared" si="12"/>
        <v>321.04017220310556</v>
      </c>
      <c r="BS64" s="4794">
        <f t="shared" si="13"/>
        <v>164.12469386398612</v>
      </c>
      <c r="BT64" s="4794">
        <f t="shared" si="14"/>
        <v>84.363160397376049</v>
      </c>
      <c r="BU64" s="4794">
        <f t="shared" si="15"/>
        <v>121.6874677247</v>
      </c>
      <c r="BV64" s="4794">
        <f t="shared" si="16"/>
        <v>164.63598574518235</v>
      </c>
      <c r="BW64" s="4794">
        <f t="shared" si="17"/>
        <v>213.72000634001932</v>
      </c>
      <c r="BX64" s="4794">
        <f t="shared" si="18"/>
        <v>270.47340515279956</v>
      </c>
      <c r="BY64" s="4794">
        <f t="shared" si="19"/>
        <v>0</v>
      </c>
      <c r="BZ64" s="4794">
        <f t="shared" si="20"/>
        <v>0</v>
      </c>
      <c r="CA64" s="4794">
        <f t="shared" si="21"/>
        <v>0</v>
      </c>
      <c r="CB64" s="4794">
        <f t="shared" si="22"/>
        <v>0</v>
      </c>
      <c r="CC64" s="4794">
        <f t="shared" si="23"/>
        <v>0</v>
      </c>
      <c r="CD64" s="4794">
        <f t="shared" si="24"/>
        <v>0</v>
      </c>
      <c r="CE64" s="4794">
        <f t="shared" si="25"/>
        <v>0</v>
      </c>
      <c r="CF64" s="4794">
        <f t="shared" si="26"/>
        <v>0</v>
      </c>
      <c r="CG64" s="4794">
        <f t="shared" si="27"/>
        <v>0</v>
      </c>
      <c r="CH64" s="4794">
        <f t="shared" si="28"/>
        <v>0</v>
      </c>
      <c r="CI64" s="4794">
        <f t="shared" si="29"/>
        <v>0</v>
      </c>
      <c r="CJ64" s="4794">
        <f t="shared" si="30"/>
        <v>0</v>
      </c>
    </row>
    <row r="65" spans="1:88" s="692" customFormat="1" ht="15.95" customHeight="1">
      <c r="A65" s="404" t="s">
        <v>109</v>
      </c>
      <c r="B65" s="920" t="s">
        <v>639</v>
      </c>
      <c r="C65" s="1134">
        <f>'12. Разходи'!C65</f>
        <v>77</v>
      </c>
      <c r="D65" s="1162">
        <f>'12. Разходи'!D65-'12. Разходи'!$C65</f>
        <v>-77</v>
      </c>
      <c r="E65" s="896">
        <f>IFERROR(('12. Разходи'!D65-'12. Разходи'!$C65)/'12. Разходи'!$C65,0)</f>
        <v>-1</v>
      </c>
      <c r="F65" s="1152">
        <f>'12. Разходи'!E65-'12. Разходи'!$C65</f>
        <v>-77</v>
      </c>
      <c r="G65" s="896">
        <f>IFERROR(('12. Разходи'!E65-'12. Разходи'!$C65)/'12. Разходи'!$C65,0)</f>
        <v>-1</v>
      </c>
      <c r="H65" s="1152">
        <f>'12. Разходи'!F65-'12. Разходи'!$C65</f>
        <v>-77</v>
      </c>
      <c r="I65" s="896">
        <f>IFERROR(('12. Разходи'!F65-'12. Разходи'!$C65)/'12. Разходи'!$C65,0)</f>
        <v>-1</v>
      </c>
      <c r="J65" s="1152">
        <f>'12. Разходи'!G65-'12. Разходи'!$C65</f>
        <v>-77</v>
      </c>
      <c r="K65" s="905">
        <f>IFERROR(('12. Разходи'!G65-'12. Разходи'!$C65)/'12. Разходи'!$C65,0)</f>
        <v>-1</v>
      </c>
      <c r="L65" s="1152">
        <f>'12. Разходи'!H65-'12. Разходи'!$C65</f>
        <v>-77</v>
      </c>
      <c r="M65" s="905">
        <f>IFERROR(('12. Разходи'!H65-'12. Разходи'!$C65)/'12. Разходи'!$C65,0)</f>
        <v>-1</v>
      </c>
      <c r="N65" s="1182">
        <f>'12. Разходи'!K65</f>
        <v>10</v>
      </c>
      <c r="O65" s="1162">
        <f>'12. Разходи'!L65-'12. Разходи'!$K65</f>
        <v>1.5</v>
      </c>
      <c r="P65" s="896">
        <f>IFERROR(('12. Разходи'!L65-'12. Разходи'!$K65)/'12. Разходи'!$K65,0)</f>
        <v>0.15</v>
      </c>
      <c r="Q65" s="1152">
        <f>'12. Разходи'!M65-'12. Разходи'!$K65</f>
        <v>3.1999999999999993</v>
      </c>
      <c r="R65" s="896">
        <f>IFERROR(('12. Разходи'!M65-'12. Разходи'!$K65)/'12. Разходи'!$K65,0)</f>
        <v>0.31999999999999995</v>
      </c>
      <c r="S65" s="1152">
        <f>'12. Разходи'!N65-'12. Разходи'!$K65</f>
        <v>5.1999999999999993</v>
      </c>
      <c r="T65" s="896">
        <f>IFERROR(('12. Разходи'!N65-'12. Разходи'!$K65)/'12. Разходи'!$K65,0)</f>
        <v>0.51999999999999991</v>
      </c>
      <c r="U65" s="1152">
        <f>'12. Разходи'!O65-'12. Разходи'!$K65</f>
        <v>7.5</v>
      </c>
      <c r="V65" s="905">
        <f>IFERROR(('12. Разходи'!O65-'12. Разходи'!$K65)/'12. Разходи'!$K65,0)</f>
        <v>0.75</v>
      </c>
      <c r="W65" s="1152">
        <f>'12. Разходи'!P65-'12. Разходи'!$K65</f>
        <v>10.100000000000001</v>
      </c>
      <c r="X65" s="910">
        <f>IFERROR(('12. Разходи'!P65-'12. Разходи'!$K65)/'12. Разходи'!$K65,0)</f>
        <v>1.0100000000000002</v>
      </c>
      <c r="Y65" s="1182">
        <f>'12. Разходи'!S65</f>
        <v>1</v>
      </c>
      <c r="Z65" s="1162">
        <f>'12. Разходи'!T65-'12. Разходи'!$S65</f>
        <v>0</v>
      </c>
      <c r="AA65" s="896">
        <f>IFERROR(('12. Разходи'!T65-'12. Разходи'!$S65)/'12. Разходи'!$S65,0)</f>
        <v>0</v>
      </c>
      <c r="AB65" s="1152">
        <f>'12. Разходи'!U65-'12. Разходи'!$S65</f>
        <v>0</v>
      </c>
      <c r="AC65" s="896">
        <f>IFERROR(('12. Разходи'!U65-'12. Разходи'!$S65)/'12. Разходи'!$S65,0)</f>
        <v>0</v>
      </c>
      <c r="AD65" s="1152">
        <f>'12. Разходи'!V65-'12. Разходи'!$S65</f>
        <v>0</v>
      </c>
      <c r="AE65" s="896">
        <f>IFERROR(('12. Разходи'!V65-'12. Разходи'!$S65)/'12. Разходи'!$S65,0)</f>
        <v>0</v>
      </c>
      <c r="AF65" s="1152">
        <f>'12. Разходи'!W65-'12. Разходи'!$S65</f>
        <v>0</v>
      </c>
      <c r="AG65" s="905">
        <f>IFERROR(('12. Разходи'!W65-'12. Разходи'!$S65)/'12. Разходи'!$S65,0)</f>
        <v>0</v>
      </c>
      <c r="AH65" s="1152">
        <f>'12. Разходи'!X65-'12. Разходи'!$S65</f>
        <v>0</v>
      </c>
      <c r="AI65" s="910">
        <f>IFERROR(('12. Разходи'!X65-'12. Разходи'!$S65)/'12. Разходи'!$S65,0)</f>
        <v>0</v>
      </c>
      <c r="AJ65" s="1182">
        <f>'12. Разходи'!AA65</f>
        <v>0</v>
      </c>
      <c r="AK65" s="1162">
        <f>'12. Разходи'!AB65-'12. Разходи'!$AA65</f>
        <v>0</v>
      </c>
      <c r="AL65" s="896">
        <f>IFERROR(('12. Разходи'!AB65-'12. Разходи'!$AA65)/'12. Разходи'!$AA65,0)</f>
        <v>0</v>
      </c>
      <c r="AM65" s="1152">
        <f>'12. Разходи'!AC65-'12. Разходи'!$AA65</f>
        <v>0</v>
      </c>
      <c r="AN65" s="896">
        <f>IFERROR(('12. Разходи'!AC65-'12. Разходи'!$AA65)/'12. Разходи'!$AA65,0)</f>
        <v>0</v>
      </c>
      <c r="AO65" s="1152">
        <f>'12. Разходи'!AD65-'12. Разходи'!$AA65</f>
        <v>0</v>
      </c>
      <c r="AP65" s="896">
        <f>IFERROR(('12. Разходи'!AD65-'12. Разходи'!$AA65)/'12. Разходи'!$AA65,0)</f>
        <v>0</v>
      </c>
      <c r="AQ65" s="1152">
        <f>'12. Разходи'!AE65-'12. Разходи'!$AA65</f>
        <v>0</v>
      </c>
      <c r="AR65" s="905">
        <f>IFERROR(('12. Разходи'!AE65-'12. Разходи'!$AA65)/'12. Разходи'!$AA65,0)</f>
        <v>0</v>
      </c>
      <c r="AS65" s="1152">
        <f>'12. Разходи'!AF65-'12. Разходи'!$AA65</f>
        <v>0</v>
      </c>
      <c r="AT65" s="910">
        <f>IFERROR(('12. Разходи'!AF65-'12. Разходи'!$AA65)/'12. Разходи'!$AA65,0)</f>
        <v>0</v>
      </c>
      <c r="AU65" s="1182">
        <f>'12. Разходи'!AI65</f>
        <v>0</v>
      </c>
      <c r="AV65" s="1162">
        <f>'12. Разходи'!AJ65-'12. Разходи'!$AI65</f>
        <v>0</v>
      </c>
      <c r="AW65" s="896">
        <f>IFERROR(('12. Разходи'!AJ65-'12. Разходи'!$AI65)/'12. Разходи'!$AI65,0)</f>
        <v>0</v>
      </c>
      <c r="AX65" s="1152">
        <f>'12. Разходи'!AK65-'12. Разходи'!$AI65</f>
        <v>0</v>
      </c>
      <c r="AY65" s="896">
        <f>IFERROR(('12. Разходи'!AK65-'12. Разходи'!$AI65)/'12. Разходи'!$AI65,0)</f>
        <v>0</v>
      </c>
      <c r="AZ65" s="1152">
        <f>'12. Разходи'!AL65-'12. Разходи'!$AI65</f>
        <v>0</v>
      </c>
      <c r="BA65" s="896">
        <f>IFERROR(('12. Разходи'!AL65-'12. Разходи'!$AI65)/'12. Разходи'!$AI65,0)</f>
        <v>0</v>
      </c>
      <c r="BB65" s="1152">
        <f>'12. Разходи'!AM65-'12. Разходи'!$AI65</f>
        <v>0</v>
      </c>
      <c r="BC65" s="905">
        <f>IFERROR(('12. Разходи'!AM65-'12. Разходи'!$AI65)/'12. Разходи'!$AI65,0)</f>
        <v>0</v>
      </c>
      <c r="BD65" s="1152">
        <f>'12. Разходи'!AN65-'12. Разходи'!$AI65</f>
        <v>0</v>
      </c>
      <c r="BE65" s="910">
        <f>IFERROR(('12. Разходи'!AN65-'12. Разходи'!$AI65)/'12. Разходи'!$AI65,0)</f>
        <v>0</v>
      </c>
      <c r="BF65" s="4775"/>
      <c r="BG65" s="4794">
        <f t="shared" si="1"/>
        <v>39.369474852108823</v>
      </c>
      <c r="BH65" s="4794">
        <f t="shared" si="2"/>
        <v>-39.369474852108823</v>
      </c>
      <c r="BI65" s="4794">
        <f t="shared" si="3"/>
        <v>-39.369474852108823</v>
      </c>
      <c r="BJ65" s="4794">
        <f t="shared" si="4"/>
        <v>-39.369474852108823</v>
      </c>
      <c r="BK65" s="4794">
        <f t="shared" si="5"/>
        <v>-39.369474852108823</v>
      </c>
      <c r="BL65" s="4794">
        <f t="shared" si="6"/>
        <v>-39.369474852108823</v>
      </c>
      <c r="BM65" s="4794">
        <f t="shared" si="7"/>
        <v>5.1129188119621851</v>
      </c>
      <c r="BN65" s="4794">
        <f t="shared" si="8"/>
        <v>0.76693782179432779</v>
      </c>
      <c r="BO65" s="4794">
        <f t="shared" si="9"/>
        <v>1.6361340198278989</v>
      </c>
      <c r="BP65" s="4794">
        <f t="shared" si="10"/>
        <v>2.6587177822203358</v>
      </c>
      <c r="BQ65" s="4794">
        <f t="shared" si="11"/>
        <v>3.8346891089716388</v>
      </c>
      <c r="BR65" s="4794">
        <f t="shared" si="12"/>
        <v>5.1640480000818076</v>
      </c>
      <c r="BS65" s="4794">
        <f t="shared" si="13"/>
        <v>0.51129188119621849</v>
      </c>
      <c r="BT65" s="4794">
        <f t="shared" si="14"/>
        <v>0</v>
      </c>
      <c r="BU65" s="4794">
        <f t="shared" si="15"/>
        <v>0</v>
      </c>
      <c r="BV65" s="4794">
        <f t="shared" si="16"/>
        <v>0</v>
      </c>
      <c r="BW65" s="4794">
        <f t="shared" si="17"/>
        <v>0</v>
      </c>
      <c r="BX65" s="4794">
        <f t="shared" si="18"/>
        <v>0</v>
      </c>
      <c r="BY65" s="4794">
        <f t="shared" si="19"/>
        <v>0</v>
      </c>
      <c r="BZ65" s="4794">
        <f t="shared" si="20"/>
        <v>0</v>
      </c>
      <c r="CA65" s="4794">
        <f t="shared" si="21"/>
        <v>0</v>
      </c>
      <c r="CB65" s="4794">
        <f t="shared" si="22"/>
        <v>0</v>
      </c>
      <c r="CC65" s="4794">
        <f t="shared" si="23"/>
        <v>0</v>
      </c>
      <c r="CD65" s="4794">
        <f t="shared" si="24"/>
        <v>0</v>
      </c>
      <c r="CE65" s="4794">
        <f t="shared" si="25"/>
        <v>0</v>
      </c>
      <c r="CF65" s="4794">
        <f t="shared" si="26"/>
        <v>0</v>
      </c>
      <c r="CG65" s="4794">
        <f t="shared" si="27"/>
        <v>0</v>
      </c>
      <c r="CH65" s="4794">
        <f t="shared" si="28"/>
        <v>0</v>
      </c>
      <c r="CI65" s="4794">
        <f t="shared" si="29"/>
        <v>0</v>
      </c>
      <c r="CJ65" s="4794">
        <f t="shared" si="30"/>
        <v>0</v>
      </c>
    </row>
    <row r="66" spans="1:88" s="692" customFormat="1" ht="43.5" customHeight="1">
      <c r="A66" s="404" t="s">
        <v>83</v>
      </c>
      <c r="B66" s="920" t="s">
        <v>1748</v>
      </c>
      <c r="C66" s="1134">
        <f>'12. Разходи'!C66</f>
        <v>0</v>
      </c>
      <c r="D66" s="1162">
        <f>'12. Разходи'!D66-'12. Разходи'!$C66</f>
        <v>0</v>
      </c>
      <c r="E66" s="896">
        <f>IFERROR(('12. Разходи'!D66-'12. Разходи'!$C66)/'12. Разходи'!$C66,0)</f>
        <v>0</v>
      </c>
      <c r="F66" s="1152">
        <f>'12. Разходи'!E66-'12. Разходи'!$C66</f>
        <v>0</v>
      </c>
      <c r="G66" s="896">
        <f>IFERROR(('12. Разходи'!E66-'12. Разходи'!$C66)/'12. Разходи'!$C66,0)</f>
        <v>0</v>
      </c>
      <c r="H66" s="1152">
        <f>'12. Разходи'!F66-'12. Разходи'!$C66</f>
        <v>0</v>
      </c>
      <c r="I66" s="896">
        <f>IFERROR(('12. Разходи'!F66-'12. Разходи'!$C66)/'12. Разходи'!$C66,0)</f>
        <v>0</v>
      </c>
      <c r="J66" s="1152">
        <f>'12. Разходи'!G66-'12. Разходи'!$C66</f>
        <v>0</v>
      </c>
      <c r="K66" s="905">
        <f>IFERROR(('12. Разходи'!G66-'12. Разходи'!$C66)/'12. Разходи'!$C66,0)</f>
        <v>0</v>
      </c>
      <c r="L66" s="1152">
        <f>'12. Разходи'!H66-'12. Разходи'!$C66</f>
        <v>0</v>
      </c>
      <c r="M66" s="905">
        <f>IFERROR(('12. Разходи'!H66-'12. Разходи'!$C66)/'12. Разходи'!$C66,0)</f>
        <v>0</v>
      </c>
      <c r="N66" s="1182">
        <f>'12. Разходи'!K66</f>
        <v>0</v>
      </c>
      <c r="O66" s="1162">
        <f>'12. Разходи'!L66-'12. Разходи'!$K66</f>
        <v>0</v>
      </c>
      <c r="P66" s="896">
        <f>IFERROR(('12. Разходи'!L66-'12. Разходи'!$K66)/'12. Разходи'!$K66,0)</f>
        <v>0</v>
      </c>
      <c r="Q66" s="1152">
        <f>'12. Разходи'!M66-'12. Разходи'!$K66</f>
        <v>0</v>
      </c>
      <c r="R66" s="896">
        <f>IFERROR(('12. Разходи'!M66-'12. Разходи'!$K66)/'12. Разходи'!$K66,0)</f>
        <v>0</v>
      </c>
      <c r="S66" s="1152">
        <f>'12. Разходи'!N66-'12. Разходи'!$K66</f>
        <v>0</v>
      </c>
      <c r="T66" s="896">
        <f>IFERROR(('12. Разходи'!N66-'12. Разходи'!$K66)/'12. Разходи'!$K66,0)</f>
        <v>0</v>
      </c>
      <c r="U66" s="1152">
        <f>'12. Разходи'!O66-'12. Разходи'!$K66</f>
        <v>0</v>
      </c>
      <c r="V66" s="905">
        <f>IFERROR(('12. Разходи'!O66-'12. Разходи'!$K66)/'12. Разходи'!$K66,0)</f>
        <v>0</v>
      </c>
      <c r="W66" s="1152">
        <f>'12. Разходи'!P66-'12. Разходи'!$K66</f>
        <v>0</v>
      </c>
      <c r="X66" s="910">
        <f>IFERROR(('12. Разходи'!P66-'12. Разходи'!$K66)/'12. Разходи'!$K66,0)</f>
        <v>0</v>
      </c>
      <c r="Y66" s="1182">
        <f>'12. Разходи'!S66</f>
        <v>0</v>
      </c>
      <c r="Z66" s="1162">
        <f>'12. Разходи'!T66-'12. Разходи'!$S66</f>
        <v>0</v>
      </c>
      <c r="AA66" s="896">
        <f>IFERROR(('12. Разходи'!T66-'12. Разходи'!$S66)/'12. Разходи'!$S66,0)</f>
        <v>0</v>
      </c>
      <c r="AB66" s="1152">
        <f>'12. Разходи'!U66-'12. Разходи'!$S66</f>
        <v>0</v>
      </c>
      <c r="AC66" s="896">
        <f>IFERROR(('12. Разходи'!U66-'12. Разходи'!$S66)/'12. Разходи'!$S66,0)</f>
        <v>0</v>
      </c>
      <c r="AD66" s="1152">
        <f>'12. Разходи'!V66-'12. Разходи'!$S66</f>
        <v>0</v>
      </c>
      <c r="AE66" s="896">
        <f>IFERROR(('12. Разходи'!V66-'12. Разходи'!$S66)/'12. Разходи'!$S66,0)</f>
        <v>0</v>
      </c>
      <c r="AF66" s="1152">
        <f>'12. Разходи'!W66-'12. Разходи'!$S66</f>
        <v>0</v>
      </c>
      <c r="AG66" s="905">
        <f>IFERROR(('12. Разходи'!W66-'12. Разходи'!$S66)/'12. Разходи'!$S66,0)</f>
        <v>0</v>
      </c>
      <c r="AH66" s="1152">
        <f>'12. Разходи'!X66-'12. Разходи'!$S66</f>
        <v>0</v>
      </c>
      <c r="AI66" s="910">
        <f>IFERROR(('12. Разходи'!X66-'12. Разходи'!$S66)/'12. Разходи'!$S66,0)</f>
        <v>0</v>
      </c>
      <c r="AJ66" s="1182">
        <f>'12. Разходи'!AA66</f>
        <v>0</v>
      </c>
      <c r="AK66" s="1162">
        <f>'12. Разходи'!AB66-'12. Разходи'!$AA66</f>
        <v>0</v>
      </c>
      <c r="AL66" s="896">
        <f>IFERROR(('12. Разходи'!AB66-'12. Разходи'!$AA66)/'12. Разходи'!$AA66,0)</f>
        <v>0</v>
      </c>
      <c r="AM66" s="1152">
        <f>'12. Разходи'!AC66-'12. Разходи'!$AA66</f>
        <v>0</v>
      </c>
      <c r="AN66" s="896">
        <f>IFERROR(('12. Разходи'!AC66-'12. Разходи'!$AA66)/'12. Разходи'!$AA66,0)</f>
        <v>0</v>
      </c>
      <c r="AO66" s="1152">
        <f>'12. Разходи'!AD66-'12. Разходи'!$AA66</f>
        <v>0</v>
      </c>
      <c r="AP66" s="896">
        <f>IFERROR(('12. Разходи'!AD66-'12. Разходи'!$AA66)/'12. Разходи'!$AA66,0)</f>
        <v>0</v>
      </c>
      <c r="AQ66" s="1152">
        <f>'12. Разходи'!AE66-'12. Разходи'!$AA66</f>
        <v>0</v>
      </c>
      <c r="AR66" s="905">
        <f>IFERROR(('12. Разходи'!AE66-'12. Разходи'!$AA66)/'12. Разходи'!$AA66,0)</f>
        <v>0</v>
      </c>
      <c r="AS66" s="1152">
        <f>'12. Разходи'!AF66-'12. Разходи'!$AA66</f>
        <v>0</v>
      </c>
      <c r="AT66" s="910">
        <f>IFERROR(('12. Разходи'!AF66-'12. Разходи'!$AA66)/'12. Разходи'!$AA66,0)</f>
        <v>0</v>
      </c>
      <c r="AU66" s="1182">
        <f>'12. Разходи'!AI66</f>
        <v>0</v>
      </c>
      <c r="AV66" s="1162">
        <f>'12. Разходи'!AJ66-'12. Разходи'!$AI66</f>
        <v>0</v>
      </c>
      <c r="AW66" s="896">
        <f>IFERROR(('12. Разходи'!AJ66-'12. Разходи'!$AI66)/'12. Разходи'!$AI66,0)</f>
        <v>0</v>
      </c>
      <c r="AX66" s="1152">
        <f>'12. Разходи'!AK66-'12. Разходи'!$AI66</f>
        <v>0</v>
      </c>
      <c r="AY66" s="896">
        <f>IFERROR(('12. Разходи'!AK66-'12. Разходи'!$AI66)/'12. Разходи'!$AI66,0)</f>
        <v>0</v>
      </c>
      <c r="AZ66" s="1152">
        <f>'12. Разходи'!AL66-'12. Разходи'!$AI66</f>
        <v>0</v>
      </c>
      <c r="BA66" s="896">
        <f>IFERROR(('12. Разходи'!AL66-'12. Разходи'!$AI66)/'12. Разходи'!$AI66,0)</f>
        <v>0</v>
      </c>
      <c r="BB66" s="1152">
        <f>'12. Разходи'!AM66-'12. Разходи'!$AI66</f>
        <v>0</v>
      </c>
      <c r="BC66" s="905">
        <f>IFERROR(('12. Разходи'!AM66-'12. Разходи'!$AI66)/'12. Разходи'!$AI66,0)</f>
        <v>0</v>
      </c>
      <c r="BD66" s="1152">
        <f>'12. Разходи'!AN66-'12. Разходи'!$AI66</f>
        <v>0</v>
      </c>
      <c r="BE66" s="910">
        <f>IFERROR(('12. Разходи'!AN66-'12. Разходи'!$AI66)/'12. Разходи'!$AI66,0)</f>
        <v>0</v>
      </c>
      <c r="BF66" s="4775"/>
      <c r="BG66" s="4794">
        <f t="shared" si="1"/>
        <v>0</v>
      </c>
      <c r="BH66" s="4794">
        <f t="shared" si="2"/>
        <v>0</v>
      </c>
      <c r="BI66" s="4794">
        <f t="shared" si="3"/>
        <v>0</v>
      </c>
      <c r="BJ66" s="4794">
        <f t="shared" si="4"/>
        <v>0</v>
      </c>
      <c r="BK66" s="4794">
        <f t="shared" si="5"/>
        <v>0</v>
      </c>
      <c r="BL66" s="4794">
        <f t="shared" si="6"/>
        <v>0</v>
      </c>
      <c r="BM66" s="4794">
        <f t="shared" si="7"/>
        <v>0</v>
      </c>
      <c r="BN66" s="4794">
        <f t="shared" si="8"/>
        <v>0</v>
      </c>
      <c r="BO66" s="4794">
        <f t="shared" si="9"/>
        <v>0</v>
      </c>
      <c r="BP66" s="4794">
        <f t="shared" si="10"/>
        <v>0</v>
      </c>
      <c r="BQ66" s="4794">
        <f t="shared" si="11"/>
        <v>0</v>
      </c>
      <c r="BR66" s="4794">
        <f t="shared" si="12"/>
        <v>0</v>
      </c>
      <c r="BS66" s="4794">
        <f t="shared" si="13"/>
        <v>0</v>
      </c>
      <c r="BT66" s="4794">
        <f t="shared" si="14"/>
        <v>0</v>
      </c>
      <c r="BU66" s="4794">
        <f t="shared" si="15"/>
        <v>0</v>
      </c>
      <c r="BV66" s="4794">
        <f t="shared" si="16"/>
        <v>0</v>
      </c>
      <c r="BW66" s="4794">
        <f t="shared" si="17"/>
        <v>0</v>
      </c>
      <c r="BX66" s="4794">
        <f t="shared" si="18"/>
        <v>0</v>
      </c>
      <c r="BY66" s="4794">
        <f t="shared" si="19"/>
        <v>0</v>
      </c>
      <c r="BZ66" s="4794">
        <f t="shared" si="20"/>
        <v>0</v>
      </c>
      <c r="CA66" s="4794">
        <f t="shared" si="21"/>
        <v>0</v>
      </c>
      <c r="CB66" s="4794">
        <f t="shared" si="22"/>
        <v>0</v>
      </c>
      <c r="CC66" s="4794">
        <f t="shared" si="23"/>
        <v>0</v>
      </c>
      <c r="CD66" s="4794">
        <f t="shared" si="24"/>
        <v>0</v>
      </c>
      <c r="CE66" s="4794">
        <f t="shared" si="25"/>
        <v>0</v>
      </c>
      <c r="CF66" s="4794">
        <f t="shared" si="26"/>
        <v>0</v>
      </c>
      <c r="CG66" s="4794">
        <f t="shared" si="27"/>
        <v>0</v>
      </c>
      <c r="CH66" s="4794">
        <f t="shared" si="28"/>
        <v>0</v>
      </c>
      <c r="CI66" s="4794">
        <f t="shared" si="29"/>
        <v>0</v>
      </c>
      <c r="CJ66" s="4794">
        <f t="shared" si="30"/>
        <v>0</v>
      </c>
    </row>
    <row r="67" spans="1:88" ht="15.95" customHeight="1">
      <c r="A67" s="113" t="s">
        <v>84</v>
      </c>
      <c r="B67" s="920" t="s">
        <v>1306</v>
      </c>
      <c r="C67" s="1134">
        <f>'12. Разходи'!C67</f>
        <v>959</v>
      </c>
      <c r="D67" s="1160">
        <f>'12. Разходи'!D67-'12. Разходи'!$C67</f>
        <v>443</v>
      </c>
      <c r="E67" s="1140">
        <f>IFERROR(('12. Разходи'!D67-'12. Разходи'!$C67)/'12. Разходи'!$C67,0)</f>
        <v>0.46193952033368091</v>
      </c>
      <c r="F67" s="926">
        <f>'12. Разходи'!E67-'12. Разходи'!$C67</f>
        <v>653</v>
      </c>
      <c r="G67" s="1148">
        <f>IFERROR(('12. Разходи'!E67-'12. Разходи'!$C67)/'12. Разходи'!$C67,0)</f>
        <v>0.68091762252346189</v>
      </c>
      <c r="H67" s="926">
        <f>'12. Разходи'!F67-'12. Разходи'!$C67</f>
        <v>895</v>
      </c>
      <c r="I67" s="1148">
        <f>IFERROR(('12. Разходи'!F67-'12. Разходи'!$C67)/'12. Разходи'!$C67,0)</f>
        <v>0.93326381647549528</v>
      </c>
      <c r="J67" s="926">
        <f>'12. Разходи'!G67-'12. Разходи'!$C67</f>
        <v>1173</v>
      </c>
      <c r="K67" s="1147">
        <f>IFERROR(('12. Разходи'!G67-'12. Разходи'!$C67)/'12. Разходи'!$C67,0)</f>
        <v>1.2231491136600625</v>
      </c>
      <c r="L67" s="1155">
        <f>'12. Разходи'!H67-'12. Разходи'!$C67</f>
        <v>1493</v>
      </c>
      <c r="M67" s="1147">
        <f>IFERROR(('12. Разходи'!H67-'12. Разходи'!$C67)/'12. Разходи'!$C67,0)</f>
        <v>1.556830031282586</v>
      </c>
      <c r="N67" s="1196">
        <f>'12. Разходи'!K67</f>
        <v>241</v>
      </c>
      <c r="O67" s="1160">
        <f>'12. Разходи'!L67-'12. Разходи'!$K67</f>
        <v>89.5</v>
      </c>
      <c r="P67" s="1140">
        <f>IFERROR(('12. Разходи'!L67-'12. Разходи'!$K67)/'12. Разходи'!$K67,0)</f>
        <v>0.37136929460580914</v>
      </c>
      <c r="Q67" s="926">
        <f>'12. Разходи'!M67-'12. Разходи'!$K67</f>
        <v>139.19999999999999</v>
      </c>
      <c r="R67" s="1148">
        <f>IFERROR(('12. Разходи'!M67-'12. Разходи'!$K67)/'12. Разходи'!$K67,0)</f>
        <v>0.57759336099585057</v>
      </c>
      <c r="S67" s="926">
        <f>'12. Разходи'!N67-'12. Разходи'!$K67</f>
        <v>198.2</v>
      </c>
      <c r="T67" s="1148">
        <f>IFERROR(('12. Разходи'!N67-'12. Разходи'!$K67)/'12. Разходи'!$K67,0)</f>
        <v>0.82240663900414934</v>
      </c>
      <c r="U67" s="926">
        <f>'12. Разходи'!O67-'12. Разходи'!$K67</f>
        <v>265.5</v>
      </c>
      <c r="V67" s="1147">
        <f>IFERROR(('12. Разходи'!O67-'12. Разходи'!$K67)/'12. Разходи'!$K67,0)</f>
        <v>1.1016597510373445</v>
      </c>
      <c r="W67" s="1155">
        <f>'12. Разходи'!P67-'12. Разходи'!$K67</f>
        <v>342.1</v>
      </c>
      <c r="X67" s="1202">
        <f>IFERROR(('12. Разходи'!P67-'12. Разходи'!$K67)/'12. Разходи'!$K67,0)</f>
        <v>1.4195020746887967</v>
      </c>
      <c r="Y67" s="1196">
        <f>'12. Разходи'!S67</f>
        <v>225.60000000000002</v>
      </c>
      <c r="Z67" s="1160">
        <f>'12. Разходи'!T67-'12. Разходи'!$S67</f>
        <v>83.399999999999977</v>
      </c>
      <c r="AA67" s="1140">
        <f>IFERROR(('12. Разходи'!T67-'12. Разходи'!$S67)/'12. Разходи'!$S67,0)</f>
        <v>0.36968085106382964</v>
      </c>
      <c r="AB67" s="926">
        <f>'12. Разходи'!U67-'12. Разходи'!$S67</f>
        <v>130.39999999999998</v>
      </c>
      <c r="AC67" s="1148">
        <f>IFERROR(('12. Разходи'!U67-'12. Разходи'!$S67)/'12. Разходи'!$S67,0)</f>
        <v>0.57801418439716301</v>
      </c>
      <c r="AD67" s="926">
        <f>'12. Разходи'!V67-'12. Разходи'!$S67</f>
        <v>183.7</v>
      </c>
      <c r="AE67" s="1148">
        <f>IFERROR(('12. Разходи'!V67-'12. Разходи'!$S67)/'12. Разходи'!$S67,0)</f>
        <v>0.81427304964538993</v>
      </c>
      <c r="AF67" s="926">
        <f>'12. Разходи'!W67-'12. Разходи'!$S67</f>
        <v>245.04999999999995</v>
      </c>
      <c r="AG67" s="1147">
        <f>IFERROR(('12. Разходи'!W67-'12. Разходи'!$S67)/'12. Разходи'!$S67,0)</f>
        <v>1.0862145390070919</v>
      </c>
      <c r="AH67" s="1155">
        <f>'12. Разходи'!X67-'12. Разходи'!$S67</f>
        <v>315.44999999999993</v>
      </c>
      <c r="AI67" s="1202">
        <f>IFERROR(('12. Разходи'!X67-'12. Разходи'!$S67)/'12. Разходи'!$S67,0)</f>
        <v>1.3982712765957441</v>
      </c>
      <c r="AJ67" s="1196">
        <f>'12. Разходи'!AA67</f>
        <v>0</v>
      </c>
      <c r="AK67" s="1160">
        <f>'12. Разходи'!AB67-'12. Разходи'!$AA67</f>
        <v>0</v>
      </c>
      <c r="AL67" s="1140">
        <f>IFERROR(('12. Разходи'!AB67-'12. Разходи'!$AA67)/'12. Разходи'!$AA67,0)</f>
        <v>0</v>
      </c>
      <c r="AM67" s="926">
        <f>'12. Разходи'!AC67-'12. Разходи'!$AA67</f>
        <v>0</v>
      </c>
      <c r="AN67" s="1148">
        <f>IFERROR(('12. Разходи'!AC67-'12. Разходи'!$AA67)/'12. Разходи'!$AA67,0)</f>
        <v>0</v>
      </c>
      <c r="AO67" s="926">
        <f>'12. Разходи'!AD67-'12. Разходи'!$AA67</f>
        <v>0</v>
      </c>
      <c r="AP67" s="1148">
        <f>IFERROR(('12. Разходи'!AD67-'12. Разходи'!$AA67)/'12. Разходи'!$AA67,0)</f>
        <v>0</v>
      </c>
      <c r="AQ67" s="926">
        <f>'12. Разходи'!AE67-'12. Разходи'!$AA67</f>
        <v>0</v>
      </c>
      <c r="AR67" s="1147">
        <f>IFERROR(('12. Разходи'!AE67-'12. Разходи'!$AA67)/'12. Разходи'!$AA67,0)</f>
        <v>0</v>
      </c>
      <c r="AS67" s="1155">
        <f>'12. Разходи'!AF67-'12. Разходи'!$AA67</f>
        <v>0</v>
      </c>
      <c r="AT67" s="1202">
        <f>IFERROR(('12. Разходи'!AF67-'12. Разходи'!$AA67)/'12. Разходи'!$AA67,0)</f>
        <v>0</v>
      </c>
      <c r="AU67" s="1196">
        <f>'12. Разходи'!AI67</f>
        <v>0</v>
      </c>
      <c r="AV67" s="1160">
        <f>'12. Разходи'!AJ67-'12. Разходи'!$AI67</f>
        <v>0</v>
      </c>
      <c r="AW67" s="1140">
        <f>IFERROR(('12. Разходи'!AJ67-'12. Разходи'!$AI67)/'12. Разходи'!$AI67,0)</f>
        <v>0</v>
      </c>
      <c r="AX67" s="926">
        <f>'12. Разходи'!AK67-'12. Разходи'!$AI67</f>
        <v>0</v>
      </c>
      <c r="AY67" s="1148">
        <f>IFERROR(('12. Разходи'!AK67-'12. Разходи'!$AI67)/'12. Разходи'!$AI67,0)</f>
        <v>0</v>
      </c>
      <c r="AZ67" s="926">
        <f>'12. Разходи'!AL67-'12. Разходи'!$AI67</f>
        <v>0</v>
      </c>
      <c r="BA67" s="1148">
        <f>IFERROR(('12. Разходи'!AL67-'12. Разходи'!$AI67)/'12. Разходи'!$AI67,0)</f>
        <v>0</v>
      </c>
      <c r="BB67" s="926">
        <f>'12. Разходи'!AM67-'12. Разходи'!$AI67</f>
        <v>0</v>
      </c>
      <c r="BC67" s="1147">
        <f>IFERROR(('12. Разходи'!AM67-'12. Разходи'!$AI67)/'12. Разходи'!$AI67,0)</f>
        <v>0</v>
      </c>
      <c r="BD67" s="1155">
        <f>'12. Разходи'!AN67-'12. Разходи'!$AI67</f>
        <v>0</v>
      </c>
      <c r="BE67" s="1202">
        <f>IFERROR(('12. Разходи'!AN67-'12. Разходи'!$AI67)/'12. Разходи'!$AI67,0)</f>
        <v>0</v>
      </c>
      <c r="BF67" s="4775"/>
      <c r="BG67" s="4794">
        <f t="shared" si="1"/>
        <v>490.32891406717351</v>
      </c>
      <c r="BH67" s="4794">
        <f t="shared" si="2"/>
        <v>226.50230336992479</v>
      </c>
      <c r="BI67" s="4794">
        <f t="shared" si="3"/>
        <v>333.87359842113068</v>
      </c>
      <c r="BJ67" s="4794">
        <f t="shared" si="4"/>
        <v>457.60623367061555</v>
      </c>
      <c r="BK67" s="4794">
        <f t="shared" si="5"/>
        <v>599.74537664316426</v>
      </c>
      <c r="BL67" s="4794">
        <f t="shared" si="6"/>
        <v>763.35877862595419</v>
      </c>
      <c r="BM67" s="4794">
        <f t="shared" si="7"/>
        <v>123.22134336828866</v>
      </c>
      <c r="BN67" s="4794">
        <f t="shared" si="8"/>
        <v>45.760623367061555</v>
      </c>
      <c r="BO67" s="4794">
        <f t="shared" si="9"/>
        <v>71.171829862513604</v>
      </c>
      <c r="BP67" s="4794">
        <f t="shared" si="10"/>
        <v>101.33805085309049</v>
      </c>
      <c r="BQ67" s="4794">
        <f t="shared" si="11"/>
        <v>135.74799445759601</v>
      </c>
      <c r="BR67" s="4794">
        <f t="shared" si="12"/>
        <v>174.91295255722636</v>
      </c>
      <c r="BS67" s="4794">
        <f t="shared" si="13"/>
        <v>115.3474483978669</v>
      </c>
      <c r="BT67" s="4794">
        <f t="shared" si="14"/>
        <v>42.641742891764608</v>
      </c>
      <c r="BU67" s="4794">
        <f t="shared" si="15"/>
        <v>66.672461307986879</v>
      </c>
      <c r="BV67" s="4794">
        <f t="shared" si="16"/>
        <v>93.924318575745332</v>
      </c>
      <c r="BW67" s="4794">
        <f t="shared" si="17"/>
        <v>125.29207548713332</v>
      </c>
      <c r="BX67" s="4794">
        <f t="shared" si="18"/>
        <v>161.28702392334708</v>
      </c>
      <c r="BY67" s="4794">
        <f t="shared" si="19"/>
        <v>0</v>
      </c>
      <c r="BZ67" s="4794">
        <f t="shared" si="20"/>
        <v>0</v>
      </c>
      <c r="CA67" s="4794">
        <f t="shared" si="21"/>
        <v>0</v>
      </c>
      <c r="CB67" s="4794">
        <f t="shared" si="22"/>
        <v>0</v>
      </c>
      <c r="CC67" s="4794">
        <f t="shared" si="23"/>
        <v>0</v>
      </c>
      <c r="CD67" s="4794">
        <f t="shared" si="24"/>
        <v>0</v>
      </c>
      <c r="CE67" s="4794">
        <f t="shared" si="25"/>
        <v>0</v>
      </c>
      <c r="CF67" s="4794">
        <f t="shared" si="26"/>
        <v>0</v>
      </c>
      <c r="CG67" s="4794">
        <f t="shared" si="27"/>
        <v>0</v>
      </c>
      <c r="CH67" s="4794">
        <f t="shared" si="28"/>
        <v>0</v>
      </c>
      <c r="CI67" s="4794">
        <f t="shared" si="29"/>
        <v>0</v>
      </c>
      <c r="CJ67" s="4794">
        <f t="shared" si="30"/>
        <v>0</v>
      </c>
    </row>
    <row r="68" spans="1:88" s="692" customFormat="1" ht="24">
      <c r="A68" s="404" t="s">
        <v>1280</v>
      </c>
      <c r="B68" s="920" t="s">
        <v>1307</v>
      </c>
      <c r="C68" s="1134">
        <f>'12. Разходи'!C68</f>
        <v>56</v>
      </c>
      <c r="D68" s="1160">
        <f>'12. Разходи'!D68-'12. Разходи'!$C68</f>
        <v>-56</v>
      </c>
      <c r="E68" s="1140">
        <f>IFERROR(('12. Разходи'!D68-'12. Разходи'!$C68)/'12. Разходи'!$C68,0)</f>
        <v>-1</v>
      </c>
      <c r="F68" s="926">
        <f>'12. Разходи'!E68-'12. Разходи'!$C68</f>
        <v>-56</v>
      </c>
      <c r="G68" s="1148">
        <f>IFERROR(('12. Разходи'!E68-'12. Разходи'!$C68)/'12. Разходи'!$C68,0)</f>
        <v>-1</v>
      </c>
      <c r="H68" s="926">
        <f>'12. Разходи'!F68-'12. Разходи'!$C68</f>
        <v>-56</v>
      </c>
      <c r="I68" s="1148">
        <f>IFERROR(('12. Разходи'!F68-'12. Разходи'!$C68)/'12. Разходи'!$C68,0)</f>
        <v>-1</v>
      </c>
      <c r="J68" s="926">
        <f>'12. Разходи'!G68-'12. Разходи'!$C68</f>
        <v>-56</v>
      </c>
      <c r="K68" s="1147">
        <f>IFERROR(('12. Разходи'!G68-'12. Разходи'!$C68)/'12. Разходи'!$C68,0)</f>
        <v>-1</v>
      </c>
      <c r="L68" s="1155">
        <f>'12. Разходи'!H68-'12. Разходи'!$C68</f>
        <v>-56</v>
      </c>
      <c r="M68" s="1147">
        <f>IFERROR(('12. Разходи'!H68-'12. Разходи'!$C68)/'12. Разходи'!$C68,0)</f>
        <v>-1</v>
      </c>
      <c r="N68" s="1196">
        <f>'12. Разходи'!K68</f>
        <v>9</v>
      </c>
      <c r="O68" s="1160">
        <f>'12. Разходи'!L68-'12. Разходи'!$K68</f>
        <v>-0.5</v>
      </c>
      <c r="P68" s="1140">
        <f>IFERROR(('12. Разходи'!L68-'12. Разходи'!$K68)/'12. Разходи'!$K68,0)</f>
        <v>-5.5555555555555552E-2</v>
      </c>
      <c r="Q68" s="926">
        <f>'12. Разходи'!M68-'12. Разходи'!$K68</f>
        <v>-0.19999999999999929</v>
      </c>
      <c r="R68" s="1148">
        <f>IFERROR(('12. Разходи'!M68-'12. Разходи'!$K68)/'12. Разходи'!$K68,0)</f>
        <v>-2.2222222222222143E-2</v>
      </c>
      <c r="S68" s="926">
        <f>'12. Разходи'!N68-'12. Разходи'!$K68</f>
        <v>-0.19999999999999929</v>
      </c>
      <c r="T68" s="1148">
        <f>IFERROR(('12. Разходи'!N68-'12. Разходи'!$K68)/'12. Разходи'!$K68,0)</f>
        <v>-2.2222222222222143E-2</v>
      </c>
      <c r="U68" s="926">
        <f>'12. Разходи'!O68-'12. Разходи'!$K68</f>
        <v>-0.5</v>
      </c>
      <c r="V68" s="1147">
        <f>IFERROR(('12. Разходи'!O68-'12. Разходи'!$K68)/'12. Разходи'!$K68,0)</f>
        <v>-5.5555555555555552E-2</v>
      </c>
      <c r="W68" s="1155">
        <f>'12. Разходи'!P68-'12. Разходи'!$K68</f>
        <v>-0.10000000000000142</v>
      </c>
      <c r="X68" s="1202">
        <f>IFERROR(('12. Разходи'!P68-'12. Разходи'!$K68)/'12. Разходи'!$K68,0)</f>
        <v>-1.1111111111111269E-2</v>
      </c>
      <c r="Y68" s="1196">
        <f>'12. Разходи'!S68</f>
        <v>0.39999999999997726</v>
      </c>
      <c r="Z68" s="1160">
        <f>'12. Разходи'!T68-'12. Разходи'!$S68</f>
        <v>-0.39999999999997726</v>
      </c>
      <c r="AA68" s="1140">
        <f>IFERROR(('12. Разходи'!T68-'12. Разходи'!$S68)/'12. Разходи'!$S68,0)</f>
        <v>-1</v>
      </c>
      <c r="AB68" s="926">
        <f>'12. Разходи'!U68-'12. Разходи'!$S68</f>
        <v>-0.39999999999997726</v>
      </c>
      <c r="AC68" s="1148">
        <f>IFERROR(('12. Разходи'!U68-'12. Разходи'!$S68)/'12. Разходи'!$S68,0)</f>
        <v>-1</v>
      </c>
      <c r="AD68" s="926">
        <f>'12. Разходи'!V68-'12. Разходи'!$S68</f>
        <v>-0.69999999999997708</v>
      </c>
      <c r="AE68" s="1148">
        <f>IFERROR(('12. Разходи'!V68-'12. Разходи'!$S68)/'12. Разходи'!$S68,0)</f>
        <v>-1.7500000000000422</v>
      </c>
      <c r="AF68" s="926">
        <f>'12. Разходи'!W68-'12. Разходи'!$S68</f>
        <v>-4.9999999999977174E-2</v>
      </c>
      <c r="AG68" s="1147">
        <f>IFERROR(('12. Разходи'!W68-'12. Разходи'!$S68)/'12. Разходи'!$S68,0)</f>
        <v>-0.12499999999995004</v>
      </c>
      <c r="AH68" s="1155">
        <f>'12. Разходи'!X68-'12. Разходи'!$S68</f>
        <v>-0.44999999999997708</v>
      </c>
      <c r="AI68" s="1202">
        <f>IFERROR(('12. Разходи'!X68-'12. Разходи'!$S68)/'12. Разходи'!$S68,0)</f>
        <v>-1.1250000000000067</v>
      </c>
      <c r="AJ68" s="1196">
        <f>'12. Разходи'!AA68</f>
        <v>0</v>
      </c>
      <c r="AK68" s="1160">
        <f>'12. Разходи'!AB68-'12. Разходи'!$AA68</f>
        <v>0</v>
      </c>
      <c r="AL68" s="1140">
        <f>IFERROR(('12. Разходи'!AB68-'12. Разходи'!$AA68)/'12. Разходи'!$AA68,0)</f>
        <v>0</v>
      </c>
      <c r="AM68" s="926">
        <f>'12. Разходи'!AC68-'12. Разходи'!$AA68</f>
        <v>0</v>
      </c>
      <c r="AN68" s="1148">
        <f>IFERROR(('12. Разходи'!AC68-'12. Разходи'!$AA68)/'12. Разходи'!$AA68,0)</f>
        <v>0</v>
      </c>
      <c r="AO68" s="926">
        <f>'12. Разходи'!AD68-'12. Разходи'!$AA68</f>
        <v>0</v>
      </c>
      <c r="AP68" s="1148">
        <f>IFERROR(('12. Разходи'!AD68-'12. Разходи'!$AA68)/'12. Разходи'!$AA68,0)</f>
        <v>0</v>
      </c>
      <c r="AQ68" s="926">
        <f>'12. Разходи'!AE68-'12. Разходи'!$AA68</f>
        <v>0</v>
      </c>
      <c r="AR68" s="1147">
        <f>IFERROR(('12. Разходи'!AE68-'12. Разходи'!$AA68)/'12. Разходи'!$AA68,0)</f>
        <v>0</v>
      </c>
      <c r="AS68" s="1155">
        <f>'12. Разходи'!AF68-'12. Разходи'!$AA68</f>
        <v>0</v>
      </c>
      <c r="AT68" s="1202">
        <f>IFERROR(('12. Разходи'!AF68-'12. Разходи'!$AA68)/'12. Разходи'!$AA68,0)</f>
        <v>0</v>
      </c>
      <c r="AU68" s="1196">
        <f>'12. Разходи'!AI68</f>
        <v>0</v>
      </c>
      <c r="AV68" s="1160">
        <f>'12. Разходи'!AJ68-'12. Разходи'!$AI68</f>
        <v>0</v>
      </c>
      <c r="AW68" s="1140">
        <f>IFERROR(('12. Разходи'!AJ68-'12. Разходи'!$AI68)/'12. Разходи'!$AI68,0)</f>
        <v>0</v>
      </c>
      <c r="AX68" s="926">
        <f>'12. Разходи'!AK68-'12. Разходи'!$AI68</f>
        <v>0</v>
      </c>
      <c r="AY68" s="1148">
        <f>IFERROR(('12. Разходи'!AK68-'12. Разходи'!$AI68)/'12. Разходи'!$AI68,0)</f>
        <v>0</v>
      </c>
      <c r="AZ68" s="926">
        <f>'12. Разходи'!AL68-'12. Разходи'!$AI68</f>
        <v>0</v>
      </c>
      <c r="BA68" s="1148">
        <f>IFERROR(('12. Разходи'!AL68-'12. Разходи'!$AI68)/'12. Разходи'!$AI68,0)</f>
        <v>0</v>
      </c>
      <c r="BB68" s="926">
        <f>'12. Разходи'!AM68-'12. Разходи'!$AI68</f>
        <v>0</v>
      </c>
      <c r="BC68" s="1147">
        <f>IFERROR(('12. Разходи'!AM68-'12. Разходи'!$AI68)/'12. Разходи'!$AI68,0)</f>
        <v>0</v>
      </c>
      <c r="BD68" s="1155">
        <f>'12. Разходи'!AN68-'12. Разходи'!$AI68</f>
        <v>0</v>
      </c>
      <c r="BE68" s="1202">
        <f>IFERROR(('12. Разходи'!AN68-'12. Разходи'!$AI68)/'12. Разходи'!$AI68,0)</f>
        <v>0</v>
      </c>
      <c r="BF68" s="4775"/>
      <c r="BG68" s="4794">
        <f t="shared" si="1"/>
        <v>28.632345346988235</v>
      </c>
      <c r="BH68" s="4794">
        <f t="shared" si="2"/>
        <v>-28.632345346988235</v>
      </c>
      <c r="BI68" s="4794">
        <f t="shared" si="3"/>
        <v>-28.632345346988235</v>
      </c>
      <c r="BJ68" s="4794">
        <f t="shared" si="4"/>
        <v>-28.632345346988235</v>
      </c>
      <c r="BK68" s="4794">
        <f t="shared" si="5"/>
        <v>-28.632345346988235</v>
      </c>
      <c r="BL68" s="4794">
        <f t="shared" si="6"/>
        <v>-28.632345346988235</v>
      </c>
      <c r="BM68" s="4794">
        <f t="shared" si="7"/>
        <v>4.6016269307659661</v>
      </c>
      <c r="BN68" s="4794">
        <f t="shared" si="8"/>
        <v>-0.25564594059810924</v>
      </c>
      <c r="BO68" s="4794">
        <f t="shared" si="9"/>
        <v>-0.10225837623924333</v>
      </c>
      <c r="BP68" s="4794">
        <f t="shared" si="10"/>
        <v>-0.10225837623924333</v>
      </c>
      <c r="BQ68" s="4794">
        <f t="shared" si="11"/>
        <v>-0.25564594059810924</v>
      </c>
      <c r="BR68" s="4794">
        <f t="shared" si="12"/>
        <v>-5.1129188119622575E-2</v>
      </c>
      <c r="BS68" s="4794">
        <f t="shared" si="13"/>
        <v>0.20451675247847578</v>
      </c>
      <c r="BT68" s="4794">
        <f t="shared" si="14"/>
        <v>-0.20451675247847578</v>
      </c>
      <c r="BU68" s="4794">
        <f t="shared" si="15"/>
        <v>-0.20451675247847578</v>
      </c>
      <c r="BV68" s="4794">
        <f t="shared" si="16"/>
        <v>-0.35790431683734125</v>
      </c>
      <c r="BW68" s="4794">
        <f t="shared" si="17"/>
        <v>-2.5564594059799255E-2</v>
      </c>
      <c r="BX68" s="4794">
        <f t="shared" si="18"/>
        <v>-0.2300813465382866</v>
      </c>
      <c r="BY68" s="4794">
        <f t="shared" si="19"/>
        <v>0</v>
      </c>
      <c r="BZ68" s="4794">
        <f t="shared" si="20"/>
        <v>0</v>
      </c>
      <c r="CA68" s="4794">
        <f t="shared" si="21"/>
        <v>0</v>
      </c>
      <c r="CB68" s="4794">
        <f t="shared" si="22"/>
        <v>0</v>
      </c>
      <c r="CC68" s="4794">
        <f t="shared" si="23"/>
        <v>0</v>
      </c>
      <c r="CD68" s="4794">
        <f t="shared" si="24"/>
        <v>0</v>
      </c>
      <c r="CE68" s="4794">
        <f t="shared" si="25"/>
        <v>0</v>
      </c>
      <c r="CF68" s="4794">
        <f t="shared" si="26"/>
        <v>0</v>
      </c>
      <c r="CG68" s="4794">
        <f t="shared" si="27"/>
        <v>0</v>
      </c>
      <c r="CH68" s="4794">
        <f t="shared" si="28"/>
        <v>0</v>
      </c>
      <c r="CI68" s="4794">
        <f t="shared" si="29"/>
        <v>0</v>
      </c>
      <c r="CJ68" s="4794">
        <f t="shared" si="30"/>
        <v>0</v>
      </c>
    </row>
    <row r="69" spans="1:88" ht="41.25" customHeight="1" thickBot="1">
      <c r="A69" s="4177" t="s">
        <v>1281</v>
      </c>
      <c r="B69" s="919" t="s">
        <v>1749</v>
      </c>
      <c r="C69" s="1135">
        <f>'12. Разходи'!C69</f>
        <v>0</v>
      </c>
      <c r="D69" s="4178">
        <f>'12. Разходи'!D69-'12. Разходи'!$C69</f>
        <v>0</v>
      </c>
      <c r="E69" s="4179">
        <f>IFERROR(('12. Разходи'!D69-'12. Разходи'!$C69)/'12. Разходи'!$C69,0)</f>
        <v>0</v>
      </c>
      <c r="F69" s="4180">
        <f>'12. Разходи'!E69-'12. Разходи'!$C69</f>
        <v>0</v>
      </c>
      <c r="G69" s="4181">
        <f>IFERROR(('12. Разходи'!E69-'12. Разходи'!$C69)/'12. Разходи'!$C69,0)</f>
        <v>0</v>
      </c>
      <c r="H69" s="4180">
        <f>'12. Разходи'!F69-'12. Разходи'!$C69</f>
        <v>0</v>
      </c>
      <c r="I69" s="4181">
        <f>IFERROR(('12. Разходи'!F69-'12. Разходи'!$C69)/'12. Разходи'!$C69,0)</f>
        <v>0</v>
      </c>
      <c r="J69" s="4180">
        <f>'12. Разходи'!G69-'12. Разходи'!$C69</f>
        <v>0</v>
      </c>
      <c r="K69" s="4182">
        <f>IFERROR(('12. Разходи'!G69-'12. Разходи'!$C69)/'12. Разходи'!$C69,0)</f>
        <v>0</v>
      </c>
      <c r="L69" s="3896">
        <f>'12. Разходи'!H69-'12. Разходи'!$C69</f>
        <v>0</v>
      </c>
      <c r="M69" s="4182">
        <f>IFERROR(('12. Разходи'!H69-'12. Разходи'!$C69)/'12. Разходи'!$C69,0)</f>
        <v>0</v>
      </c>
      <c r="N69" s="1198">
        <f>'12. Разходи'!K69</f>
        <v>0</v>
      </c>
      <c r="O69" s="4178">
        <f>'12. Разходи'!L69-'12. Разходи'!$K69</f>
        <v>0</v>
      </c>
      <c r="P69" s="4179">
        <f>IFERROR(('12. Разходи'!L69-'12. Разходи'!$K69)/'12. Разходи'!$K69,0)</f>
        <v>0</v>
      </c>
      <c r="Q69" s="4180">
        <f>'12. Разходи'!M69-'12. Разходи'!$K69</f>
        <v>0</v>
      </c>
      <c r="R69" s="4181">
        <f>IFERROR(('12. Разходи'!M69-'12. Разходи'!$K69)/'12. Разходи'!$K69,0)</f>
        <v>0</v>
      </c>
      <c r="S69" s="4180">
        <f>'12. Разходи'!N69-'12. Разходи'!$K69</f>
        <v>0</v>
      </c>
      <c r="T69" s="4181">
        <f>IFERROR(('12. Разходи'!N69-'12. Разходи'!$K69)/'12. Разходи'!$K69,0)</f>
        <v>0</v>
      </c>
      <c r="U69" s="4180">
        <f>'12. Разходи'!O69-'12. Разходи'!$K69</f>
        <v>0</v>
      </c>
      <c r="V69" s="4182">
        <f>IFERROR(('12. Разходи'!O69-'12. Разходи'!$K69)/'12. Разходи'!$K69,0)</f>
        <v>0</v>
      </c>
      <c r="W69" s="3896">
        <f>'12. Разходи'!P69-'12. Разходи'!$K69</f>
        <v>0</v>
      </c>
      <c r="X69" s="4183">
        <f>IFERROR(('12. Разходи'!P69-'12. Разходи'!$K69)/'12. Разходи'!$K69,0)</f>
        <v>0</v>
      </c>
      <c r="Y69" s="1198">
        <f>'12. Разходи'!S69</f>
        <v>0</v>
      </c>
      <c r="Z69" s="4178">
        <f>'12. Разходи'!T69-'12. Разходи'!$S69</f>
        <v>0</v>
      </c>
      <c r="AA69" s="4179">
        <f>IFERROR(('12. Разходи'!T69-'12. Разходи'!$S69)/'12. Разходи'!$S69,0)</f>
        <v>0</v>
      </c>
      <c r="AB69" s="4180">
        <f>'12. Разходи'!U69-'12. Разходи'!$S69</f>
        <v>0</v>
      </c>
      <c r="AC69" s="4181">
        <f>IFERROR(('12. Разходи'!U69-'12. Разходи'!$S69)/'12. Разходи'!$S69,0)</f>
        <v>0</v>
      </c>
      <c r="AD69" s="4180">
        <f>'12. Разходи'!V69-'12. Разходи'!$S69</f>
        <v>0</v>
      </c>
      <c r="AE69" s="4181">
        <f>IFERROR(('12. Разходи'!V69-'12. Разходи'!$S69)/'12. Разходи'!$S69,0)</f>
        <v>0</v>
      </c>
      <c r="AF69" s="4180">
        <f>'12. Разходи'!W69-'12. Разходи'!$S69</f>
        <v>0</v>
      </c>
      <c r="AG69" s="4182">
        <f>IFERROR(('12. Разходи'!W69-'12. Разходи'!$S69)/'12. Разходи'!$S69,0)</f>
        <v>0</v>
      </c>
      <c r="AH69" s="3896">
        <f>'12. Разходи'!X69-'12. Разходи'!$S69</f>
        <v>0</v>
      </c>
      <c r="AI69" s="4183">
        <f>IFERROR(('12. Разходи'!X69-'12. Разходи'!$S69)/'12. Разходи'!$S69,0)</f>
        <v>0</v>
      </c>
      <c r="AJ69" s="1198">
        <f>'12. Разходи'!AA69</f>
        <v>0</v>
      </c>
      <c r="AK69" s="4178">
        <f>'12. Разходи'!AB69-'12. Разходи'!$AA69</f>
        <v>0</v>
      </c>
      <c r="AL69" s="4179">
        <f>IFERROR(('12. Разходи'!AB69-'12. Разходи'!$AA69)/'12. Разходи'!$AA69,0)</f>
        <v>0</v>
      </c>
      <c r="AM69" s="4180">
        <f>'12. Разходи'!AC69-'12. Разходи'!$AA69</f>
        <v>0</v>
      </c>
      <c r="AN69" s="4181">
        <f>IFERROR(('12. Разходи'!AC69-'12. Разходи'!$AA69)/'12. Разходи'!$AA69,0)</f>
        <v>0</v>
      </c>
      <c r="AO69" s="4180">
        <f>'12. Разходи'!AD69-'12. Разходи'!$AA69</f>
        <v>0</v>
      </c>
      <c r="AP69" s="4181">
        <f>IFERROR(('12. Разходи'!AD69-'12. Разходи'!$AA69)/'12. Разходи'!$AA69,0)</f>
        <v>0</v>
      </c>
      <c r="AQ69" s="4180">
        <f>'12. Разходи'!AE69-'12. Разходи'!$AA69</f>
        <v>0</v>
      </c>
      <c r="AR69" s="4182">
        <f>IFERROR(('12. Разходи'!AE69-'12. Разходи'!$AA69)/'12. Разходи'!$AA69,0)</f>
        <v>0</v>
      </c>
      <c r="AS69" s="3896">
        <f>'12. Разходи'!AF69-'12. Разходи'!$AA69</f>
        <v>0</v>
      </c>
      <c r="AT69" s="4183">
        <f>IFERROR(('12. Разходи'!AF69-'12. Разходи'!$AA69)/'12. Разходи'!$AA69,0)</f>
        <v>0</v>
      </c>
      <c r="AU69" s="1198">
        <f>'12. Разходи'!AI69</f>
        <v>0</v>
      </c>
      <c r="AV69" s="4178">
        <f>'12. Разходи'!AJ69-'12. Разходи'!$AI69</f>
        <v>0</v>
      </c>
      <c r="AW69" s="4179">
        <f>IFERROR(('12. Разходи'!AJ69-'12. Разходи'!$AI69)/'12. Разходи'!$AI69,0)</f>
        <v>0</v>
      </c>
      <c r="AX69" s="4180">
        <f>'12. Разходи'!AK69-'12. Разходи'!$AI69</f>
        <v>0</v>
      </c>
      <c r="AY69" s="4181">
        <f>IFERROR(('12. Разходи'!AK69-'12. Разходи'!$AI69)/'12. Разходи'!$AI69,0)</f>
        <v>0</v>
      </c>
      <c r="AZ69" s="4180">
        <f>'12. Разходи'!AL69-'12. Разходи'!$AI69</f>
        <v>0</v>
      </c>
      <c r="BA69" s="4181">
        <f>IFERROR(('12. Разходи'!AL69-'12. Разходи'!$AI69)/'12. Разходи'!$AI69,0)</f>
        <v>0</v>
      </c>
      <c r="BB69" s="4180">
        <f>'12. Разходи'!AM69-'12. Разходи'!$AI69</f>
        <v>0</v>
      </c>
      <c r="BC69" s="4182">
        <f>IFERROR(('12. Разходи'!AM69-'12. Разходи'!$AI69)/'12. Разходи'!$AI69,0)</f>
        <v>0</v>
      </c>
      <c r="BD69" s="3896">
        <f>'12. Разходи'!AN69-'12. Разходи'!$AI69</f>
        <v>0</v>
      </c>
      <c r="BE69" s="4183">
        <f>IFERROR(('12. Разходи'!AN69-'12. Разходи'!$AI69)/'12. Разходи'!$AI69,0)</f>
        <v>0</v>
      </c>
      <c r="BF69" s="4775"/>
      <c r="BG69" s="4794">
        <f t="shared" si="1"/>
        <v>0</v>
      </c>
      <c r="BH69" s="4794">
        <f t="shared" si="2"/>
        <v>0</v>
      </c>
      <c r="BI69" s="4794">
        <f t="shared" si="3"/>
        <v>0</v>
      </c>
      <c r="BJ69" s="4794">
        <f t="shared" si="4"/>
        <v>0</v>
      </c>
      <c r="BK69" s="4794">
        <f t="shared" si="5"/>
        <v>0</v>
      </c>
      <c r="BL69" s="4794">
        <f t="shared" si="6"/>
        <v>0</v>
      </c>
      <c r="BM69" s="4794">
        <f t="shared" si="7"/>
        <v>0</v>
      </c>
      <c r="BN69" s="4794">
        <f t="shared" si="8"/>
        <v>0</v>
      </c>
      <c r="BO69" s="4794">
        <f t="shared" si="9"/>
        <v>0</v>
      </c>
      <c r="BP69" s="4794">
        <f t="shared" si="10"/>
        <v>0</v>
      </c>
      <c r="BQ69" s="4794">
        <f t="shared" si="11"/>
        <v>0</v>
      </c>
      <c r="BR69" s="4794">
        <f t="shared" si="12"/>
        <v>0</v>
      </c>
      <c r="BS69" s="4794">
        <f t="shared" si="13"/>
        <v>0</v>
      </c>
      <c r="BT69" s="4794">
        <f t="shared" si="14"/>
        <v>0</v>
      </c>
      <c r="BU69" s="4794">
        <f t="shared" si="15"/>
        <v>0</v>
      </c>
      <c r="BV69" s="4794">
        <f t="shared" si="16"/>
        <v>0</v>
      </c>
      <c r="BW69" s="4794">
        <f t="shared" si="17"/>
        <v>0</v>
      </c>
      <c r="BX69" s="4794">
        <f t="shared" si="18"/>
        <v>0</v>
      </c>
      <c r="BY69" s="4794">
        <f t="shared" si="19"/>
        <v>0</v>
      </c>
      <c r="BZ69" s="4794">
        <f t="shared" si="20"/>
        <v>0</v>
      </c>
      <c r="CA69" s="4794">
        <f t="shared" si="21"/>
        <v>0</v>
      </c>
      <c r="CB69" s="4794">
        <f t="shared" si="22"/>
        <v>0</v>
      </c>
      <c r="CC69" s="4794">
        <f t="shared" si="23"/>
        <v>0</v>
      </c>
      <c r="CD69" s="4794">
        <f t="shared" si="24"/>
        <v>0</v>
      </c>
      <c r="CE69" s="4794">
        <f t="shared" si="25"/>
        <v>0</v>
      </c>
      <c r="CF69" s="4794">
        <f t="shared" si="26"/>
        <v>0</v>
      </c>
      <c r="CG69" s="4794">
        <f t="shared" si="27"/>
        <v>0</v>
      </c>
      <c r="CH69" s="4794">
        <f t="shared" si="28"/>
        <v>0</v>
      </c>
      <c r="CI69" s="4794">
        <f t="shared" si="29"/>
        <v>0</v>
      </c>
      <c r="CJ69" s="4794">
        <f t="shared" si="30"/>
        <v>0</v>
      </c>
    </row>
    <row r="70" spans="1:88" s="1179" customFormat="1" ht="15.95" customHeight="1" thickBot="1">
      <c r="A70" s="115">
        <v>6</v>
      </c>
      <c r="B70" s="916" t="s">
        <v>450</v>
      </c>
      <c r="C70" s="1129">
        <f>'12. Разходи'!C70</f>
        <v>463.2</v>
      </c>
      <c r="D70" s="1167">
        <f>'12. Разходи'!D70-'12. Разходи'!$C70</f>
        <v>5.8000000000000114</v>
      </c>
      <c r="E70" s="894">
        <f>IFERROR(('12. Разходи'!D70-'12. Разходи'!$C70)/'12. Разходи'!$C70,0)</f>
        <v>1.2521588946459437E-2</v>
      </c>
      <c r="F70" s="1166">
        <f>'12. Разходи'!E70-'12. Разходи'!$C70</f>
        <v>-5.1999999999999886</v>
      </c>
      <c r="G70" s="894">
        <f>IFERROR(('12. Разходи'!E70-'12. Разходи'!$C70)/'12. Разходи'!$C70,0)</f>
        <v>-1.1226252158894622E-2</v>
      </c>
      <c r="H70" s="1166">
        <f>'12. Разходи'!F70-'12. Разходи'!$C70</f>
        <v>-18.199999999999989</v>
      </c>
      <c r="I70" s="894">
        <f>IFERROR(('12. Разходи'!F70-'12. Разходи'!$C70)/'12. Разходи'!$C70,0)</f>
        <v>-3.9291882556131238E-2</v>
      </c>
      <c r="J70" s="1166">
        <f>'12. Разходи'!G70-'12. Разходи'!$C70</f>
        <v>-30.199999999999989</v>
      </c>
      <c r="K70" s="907">
        <f>IFERROR(('12. Разходи'!G70-'12. Разходи'!$C70)/'12. Разходи'!$C70,0)</f>
        <v>-6.519861830742657E-2</v>
      </c>
      <c r="L70" s="1166">
        <f>'12. Разходи'!H70-'12. Разходи'!$C70</f>
        <v>-42.199999999999989</v>
      </c>
      <c r="M70" s="907">
        <f>IFERROR(('12. Разходи'!H70-'12. Разходи'!$C70)/'12. Разходи'!$C70,0)</f>
        <v>-9.1105354058721916E-2</v>
      </c>
      <c r="N70" s="1180">
        <f>'12. Разходи'!K70</f>
        <v>78</v>
      </c>
      <c r="O70" s="1167">
        <f>'12. Разходи'!L70-'12. Разходи'!$K70</f>
        <v>1</v>
      </c>
      <c r="P70" s="894">
        <f>IFERROR(('12. Разходи'!L70-'12. Разходи'!$K70)/'12. Разходи'!$K70,0)</f>
        <v>1.282051282051282E-2</v>
      </c>
      <c r="Q70" s="1166">
        <f>'12. Разходи'!M70-'12. Разходи'!$K70</f>
        <v>1</v>
      </c>
      <c r="R70" s="894">
        <f>IFERROR(('12. Разходи'!M70-'12. Разходи'!$K70)/'12. Разходи'!$K70,0)</f>
        <v>1.282051282051282E-2</v>
      </c>
      <c r="S70" s="1166">
        <f>'12. Разходи'!N70-'12. Разходи'!$K70</f>
        <v>0</v>
      </c>
      <c r="T70" s="894">
        <f>IFERROR(('12. Разходи'!N70-'12. Разходи'!$K70)/'12. Разходи'!$K70,0)</f>
        <v>0</v>
      </c>
      <c r="U70" s="1166">
        <f>'12. Разходи'!O70-'12. Разходи'!$K70</f>
        <v>-1</v>
      </c>
      <c r="V70" s="907">
        <f>IFERROR(('12. Разходи'!O70-'12. Разходи'!$K70)/'12. Разходи'!$K70,0)</f>
        <v>-1.282051282051282E-2</v>
      </c>
      <c r="W70" s="1166">
        <f>'12. Разходи'!P70-'12. Разходи'!$K70</f>
        <v>-1</v>
      </c>
      <c r="X70" s="909">
        <f>IFERROR(('12. Разходи'!P70-'12. Разходи'!$K70)/'12. Разходи'!$K70,0)</f>
        <v>-1.282051282051282E-2</v>
      </c>
      <c r="Y70" s="1180">
        <f>'12. Разходи'!S70</f>
        <v>68</v>
      </c>
      <c r="Z70" s="1167">
        <f>'12. Разходи'!T70-'12. Разходи'!$S70</f>
        <v>1</v>
      </c>
      <c r="AA70" s="894">
        <f>IFERROR(('12. Разходи'!T70-'12. Разходи'!$S70)/'12. Разходи'!$S70,0)</f>
        <v>1.4705882352941176E-2</v>
      </c>
      <c r="AB70" s="1166">
        <f>'12. Разходи'!U70-'12. Разходи'!$S70</f>
        <v>1</v>
      </c>
      <c r="AC70" s="894">
        <f>IFERROR(('12. Разходи'!U70-'12. Разходи'!$S70)/'12. Разходи'!$S70,0)</f>
        <v>1.4705882352941176E-2</v>
      </c>
      <c r="AD70" s="1166">
        <f>'12. Разходи'!V70-'12. Разходи'!$S70</f>
        <v>0</v>
      </c>
      <c r="AE70" s="894">
        <f>IFERROR(('12. Разходи'!V70-'12. Разходи'!$S70)/'12. Разходи'!$S70,0)</f>
        <v>0</v>
      </c>
      <c r="AF70" s="1166">
        <f>'12. Разходи'!W70-'12. Разходи'!$S70</f>
        <v>-1</v>
      </c>
      <c r="AG70" s="907">
        <f>IFERROR(('12. Разходи'!W70-'12. Разходи'!$S70)/'12. Разходи'!$S70,0)</f>
        <v>-1.4705882352941176E-2</v>
      </c>
      <c r="AH70" s="1166">
        <f>'12. Разходи'!X70-'12. Разходи'!$S70</f>
        <v>-1</v>
      </c>
      <c r="AI70" s="909">
        <f>IFERROR(('12. Разходи'!X70-'12. Разходи'!$S70)/'12. Разходи'!$S70,0)</f>
        <v>-1.4705882352941176E-2</v>
      </c>
      <c r="AJ70" s="1180">
        <f>'12. Разходи'!AA70</f>
        <v>0</v>
      </c>
      <c r="AK70" s="1167">
        <f>'12. Разходи'!AB70-'12. Разходи'!$AA70</f>
        <v>0</v>
      </c>
      <c r="AL70" s="894">
        <f>IFERROR(('12. Разходи'!AB70-'12. Разходи'!$AA70)/'12. Разходи'!$AA70,0)</f>
        <v>0</v>
      </c>
      <c r="AM70" s="1166">
        <f>'12. Разходи'!AC70-'12. Разходи'!$AA70</f>
        <v>0</v>
      </c>
      <c r="AN70" s="894">
        <f>IFERROR(('12. Разходи'!AC70-'12. Разходи'!$AA70)/'12. Разходи'!$AA70,0)</f>
        <v>0</v>
      </c>
      <c r="AO70" s="1166">
        <f>'12. Разходи'!AD70-'12. Разходи'!$AA70</f>
        <v>0</v>
      </c>
      <c r="AP70" s="894">
        <f>IFERROR(('12. Разходи'!AD70-'12. Разходи'!$AA70)/'12. Разходи'!$AA70,0)</f>
        <v>0</v>
      </c>
      <c r="AQ70" s="1166">
        <f>'12. Разходи'!AE70-'12. Разходи'!$AA70</f>
        <v>0</v>
      </c>
      <c r="AR70" s="907">
        <f>IFERROR(('12. Разходи'!AE70-'12. Разходи'!$AA70)/'12. Разходи'!$AA70,0)</f>
        <v>0</v>
      </c>
      <c r="AS70" s="1166">
        <f>'12. Разходи'!AF70-'12. Разходи'!$AA70</f>
        <v>0</v>
      </c>
      <c r="AT70" s="909">
        <f>IFERROR(('12. Разходи'!AF70-'12. Разходи'!$AA70)/'12. Разходи'!$AA70,0)</f>
        <v>0</v>
      </c>
      <c r="AU70" s="1180">
        <f>'12. Разходи'!AI70</f>
        <v>0</v>
      </c>
      <c r="AV70" s="1167">
        <f>'12. Разходи'!AJ70-'12. Разходи'!$AI70</f>
        <v>0</v>
      </c>
      <c r="AW70" s="894">
        <f>IFERROR(('12. Разходи'!AJ70-'12. Разходи'!$AI70)/'12. Разходи'!$AI70,0)</f>
        <v>0</v>
      </c>
      <c r="AX70" s="1166">
        <f>'12. Разходи'!AK70-'12. Разходи'!$AI70</f>
        <v>0</v>
      </c>
      <c r="AY70" s="894">
        <f>IFERROR(('12. Разходи'!AK70-'12. Разходи'!$AI70)/'12. Разходи'!$AI70,0)</f>
        <v>0</v>
      </c>
      <c r="AZ70" s="1166">
        <f>'12. Разходи'!AL70-'12. Разходи'!$AI70</f>
        <v>0</v>
      </c>
      <c r="BA70" s="894">
        <f>IFERROR(('12. Разходи'!AL70-'12. Разходи'!$AI70)/'12. Разходи'!$AI70,0)</f>
        <v>0</v>
      </c>
      <c r="BB70" s="1166">
        <f>'12. Разходи'!AM70-'12. Разходи'!$AI70</f>
        <v>0</v>
      </c>
      <c r="BC70" s="907">
        <f>IFERROR(('12. Разходи'!AM70-'12. Разходи'!$AI70)/'12. Разходи'!$AI70,0)</f>
        <v>0</v>
      </c>
      <c r="BD70" s="1166">
        <f>'12. Разходи'!AN70-'12. Разходи'!$AI70</f>
        <v>0</v>
      </c>
      <c r="BE70" s="909">
        <f>IFERROR(('12. Разходи'!AN70-'12. Разходи'!$AI70)/'12. Разходи'!$AI70,0)</f>
        <v>0</v>
      </c>
      <c r="BF70" s="4775"/>
      <c r="BG70" s="4794">
        <f t="shared" si="1"/>
        <v>236.8303993700884</v>
      </c>
      <c r="BH70" s="4794">
        <f t="shared" si="2"/>
        <v>2.9654929109380732</v>
      </c>
      <c r="BI70" s="4794">
        <f t="shared" si="3"/>
        <v>-2.6587177822203305</v>
      </c>
      <c r="BJ70" s="4794">
        <f t="shared" si="4"/>
        <v>-9.3055122377711701</v>
      </c>
      <c r="BK70" s="4794">
        <f t="shared" si="5"/>
        <v>-15.441014812125793</v>
      </c>
      <c r="BL70" s="4794">
        <f t="shared" si="6"/>
        <v>-21.576517386480415</v>
      </c>
      <c r="BM70" s="4794">
        <f t="shared" si="7"/>
        <v>39.880766733305045</v>
      </c>
      <c r="BN70" s="4794">
        <f t="shared" si="8"/>
        <v>0.51129188119621849</v>
      </c>
      <c r="BO70" s="4794">
        <f t="shared" si="9"/>
        <v>0.51129188119621849</v>
      </c>
      <c r="BP70" s="4794">
        <f t="shared" si="10"/>
        <v>0</v>
      </c>
      <c r="BQ70" s="4794">
        <f t="shared" si="11"/>
        <v>-0.51129188119621849</v>
      </c>
      <c r="BR70" s="4794">
        <f t="shared" si="12"/>
        <v>-0.51129188119621849</v>
      </c>
      <c r="BS70" s="4794">
        <f t="shared" si="13"/>
        <v>34.767847921342856</v>
      </c>
      <c r="BT70" s="4794">
        <f t="shared" si="14"/>
        <v>0.51129188119621849</v>
      </c>
      <c r="BU70" s="4794">
        <f t="shared" si="15"/>
        <v>0.51129188119621849</v>
      </c>
      <c r="BV70" s="4794">
        <f t="shared" si="16"/>
        <v>0</v>
      </c>
      <c r="BW70" s="4794">
        <f t="shared" si="17"/>
        <v>-0.51129188119621849</v>
      </c>
      <c r="BX70" s="4794">
        <f t="shared" si="18"/>
        <v>-0.51129188119621849</v>
      </c>
      <c r="BY70" s="4794">
        <f t="shared" si="19"/>
        <v>0</v>
      </c>
      <c r="BZ70" s="4794">
        <f t="shared" si="20"/>
        <v>0</v>
      </c>
      <c r="CA70" s="4794">
        <f t="shared" si="21"/>
        <v>0</v>
      </c>
      <c r="CB70" s="4794">
        <f t="shared" si="22"/>
        <v>0</v>
      </c>
      <c r="CC70" s="4794">
        <f t="shared" si="23"/>
        <v>0</v>
      </c>
      <c r="CD70" s="4794">
        <f t="shared" si="24"/>
        <v>0</v>
      </c>
      <c r="CE70" s="4794">
        <f t="shared" si="25"/>
        <v>0</v>
      </c>
      <c r="CF70" s="4794">
        <f t="shared" si="26"/>
        <v>0</v>
      </c>
      <c r="CG70" s="4794">
        <f t="shared" si="27"/>
        <v>0</v>
      </c>
      <c r="CH70" s="4794">
        <f t="shared" si="28"/>
        <v>0</v>
      </c>
      <c r="CI70" s="4794">
        <f t="shared" si="29"/>
        <v>0</v>
      </c>
      <c r="CJ70" s="4794">
        <f t="shared" si="30"/>
        <v>0</v>
      </c>
    </row>
    <row r="71" spans="1:88" ht="15.95" customHeight="1">
      <c r="A71" s="113" t="s">
        <v>268</v>
      </c>
      <c r="B71" s="914" t="s">
        <v>451</v>
      </c>
      <c r="C71" s="1130">
        <f>'12. Разходи'!C71</f>
        <v>44</v>
      </c>
      <c r="D71" s="1160">
        <f>'12. Разходи'!D71-'12. Разходи'!$C71</f>
        <v>0</v>
      </c>
      <c r="E71" s="1140">
        <f>IFERROR(('12. Разходи'!D71-'12. Разходи'!$C71)/'12. Разходи'!$C71,0)</f>
        <v>0</v>
      </c>
      <c r="F71" s="926">
        <f>'12. Разходи'!E71-'12. Разходи'!$C71</f>
        <v>0</v>
      </c>
      <c r="G71" s="1148">
        <f>IFERROR(('12. Разходи'!E71-'12. Разходи'!$C71)/'12. Разходи'!$C71,0)</f>
        <v>0</v>
      </c>
      <c r="H71" s="926">
        <f>'12. Разходи'!F71-'12. Разходи'!$C71</f>
        <v>0</v>
      </c>
      <c r="I71" s="1148">
        <f>IFERROR(('12. Разходи'!F71-'12. Разходи'!$C71)/'12. Разходи'!$C71,0)</f>
        <v>0</v>
      </c>
      <c r="J71" s="926">
        <f>'12. Разходи'!G71-'12. Разходи'!$C71</f>
        <v>0</v>
      </c>
      <c r="K71" s="1147">
        <f>IFERROR(('12. Разходи'!G71-'12. Разходи'!$C71)/'12. Разходи'!$C71,0)</f>
        <v>0</v>
      </c>
      <c r="L71" s="1155">
        <f>'12. Разходи'!H71-'12. Разходи'!$C71</f>
        <v>0</v>
      </c>
      <c r="M71" s="1147">
        <f>IFERROR(('12. Разходи'!H71-'12. Разходи'!$C71)/'12. Разходи'!$C71,0)</f>
        <v>0</v>
      </c>
      <c r="N71" s="1196">
        <f>'12. Разходи'!K71</f>
        <v>9</v>
      </c>
      <c r="O71" s="1160">
        <f>'12. Разходи'!L71-'12. Разходи'!$K71</f>
        <v>0</v>
      </c>
      <c r="P71" s="1140">
        <f>IFERROR(('12. Разходи'!L71-'12. Разходи'!$K71)/'12. Разходи'!$K71,0)</f>
        <v>0</v>
      </c>
      <c r="Q71" s="926">
        <f>'12. Разходи'!M71-'12. Разходи'!$K71</f>
        <v>0</v>
      </c>
      <c r="R71" s="1148">
        <f>IFERROR(('12. Разходи'!M71-'12. Разходи'!$K71)/'12. Разходи'!$K71,0)</f>
        <v>0</v>
      </c>
      <c r="S71" s="926">
        <f>'12. Разходи'!N71-'12. Разходи'!$K71</f>
        <v>0</v>
      </c>
      <c r="T71" s="1148">
        <f>IFERROR(('12. Разходи'!N71-'12. Разходи'!$K71)/'12. Разходи'!$K71,0)</f>
        <v>0</v>
      </c>
      <c r="U71" s="926">
        <f>'12. Разходи'!O71-'12. Разходи'!$K71</f>
        <v>0</v>
      </c>
      <c r="V71" s="1147">
        <f>IFERROR(('12. Разходи'!O71-'12. Разходи'!$K71)/'12. Разходи'!$K71,0)</f>
        <v>0</v>
      </c>
      <c r="W71" s="1155">
        <f>'12. Разходи'!P71-'12. Разходи'!$K71</f>
        <v>0</v>
      </c>
      <c r="X71" s="1202">
        <f>IFERROR(('12. Разходи'!P71-'12. Разходи'!$K71)/'12. Разходи'!$K71,0)</f>
        <v>0</v>
      </c>
      <c r="Y71" s="1196">
        <f>'12. Разходи'!S71</f>
        <v>10</v>
      </c>
      <c r="Z71" s="1160">
        <f>'12. Разходи'!T71-'12. Разходи'!$S71</f>
        <v>0</v>
      </c>
      <c r="AA71" s="1140">
        <f>IFERROR(('12. Разходи'!T71-'12. Разходи'!$S71)/'12. Разходи'!$S71,0)</f>
        <v>0</v>
      </c>
      <c r="AB71" s="926">
        <f>'12. Разходи'!U71-'12. Разходи'!$S71</f>
        <v>0</v>
      </c>
      <c r="AC71" s="1148">
        <f>IFERROR(('12. Разходи'!U71-'12. Разходи'!$S71)/'12. Разходи'!$S71,0)</f>
        <v>0</v>
      </c>
      <c r="AD71" s="926">
        <f>'12. Разходи'!V71-'12. Разходи'!$S71</f>
        <v>0</v>
      </c>
      <c r="AE71" s="1148">
        <f>IFERROR(('12. Разходи'!V71-'12. Разходи'!$S71)/'12. Разходи'!$S71,0)</f>
        <v>0</v>
      </c>
      <c r="AF71" s="926">
        <f>'12. Разходи'!W71-'12. Разходи'!$S71</f>
        <v>0</v>
      </c>
      <c r="AG71" s="1147">
        <f>IFERROR(('12. Разходи'!W71-'12. Разходи'!$S71)/'12. Разходи'!$S71,0)</f>
        <v>0</v>
      </c>
      <c r="AH71" s="1155">
        <f>'12. Разходи'!X71-'12. Разходи'!$S71</f>
        <v>0</v>
      </c>
      <c r="AI71" s="1202">
        <f>IFERROR(('12. Разходи'!X71-'12. Разходи'!$S71)/'12. Разходи'!$S71,0)</f>
        <v>0</v>
      </c>
      <c r="AJ71" s="1196">
        <f>'12. Разходи'!AA71</f>
        <v>0</v>
      </c>
      <c r="AK71" s="1160">
        <f>'12. Разходи'!AB71-'12. Разходи'!$AA71</f>
        <v>0</v>
      </c>
      <c r="AL71" s="1140">
        <f>IFERROR(('12. Разходи'!AB71-'12. Разходи'!$AA71)/'12. Разходи'!$AA71,0)</f>
        <v>0</v>
      </c>
      <c r="AM71" s="926">
        <f>'12. Разходи'!AC71-'12. Разходи'!$AA71</f>
        <v>0</v>
      </c>
      <c r="AN71" s="1148">
        <f>IFERROR(('12. Разходи'!AC71-'12. Разходи'!$AA71)/'12. Разходи'!$AA71,0)</f>
        <v>0</v>
      </c>
      <c r="AO71" s="926">
        <f>'12. Разходи'!AD71-'12. Разходи'!$AA71</f>
        <v>0</v>
      </c>
      <c r="AP71" s="1148">
        <f>IFERROR(('12. Разходи'!AD71-'12. Разходи'!$AA71)/'12. Разходи'!$AA71,0)</f>
        <v>0</v>
      </c>
      <c r="AQ71" s="926">
        <f>'12. Разходи'!AE71-'12. Разходи'!$AA71</f>
        <v>0</v>
      </c>
      <c r="AR71" s="1147">
        <f>IFERROR(('12. Разходи'!AE71-'12. Разходи'!$AA71)/'12. Разходи'!$AA71,0)</f>
        <v>0</v>
      </c>
      <c r="AS71" s="1155">
        <f>'12. Разходи'!AF71-'12. Разходи'!$AA71</f>
        <v>0</v>
      </c>
      <c r="AT71" s="1202">
        <f>IFERROR(('12. Разходи'!AF71-'12. Разходи'!$AA71)/'12. Разходи'!$AA71,0)</f>
        <v>0</v>
      </c>
      <c r="AU71" s="1196">
        <f>'12. Разходи'!AI71</f>
        <v>0</v>
      </c>
      <c r="AV71" s="1160">
        <f>'12. Разходи'!AJ71-'12. Разходи'!$AI71</f>
        <v>0</v>
      </c>
      <c r="AW71" s="1140">
        <f>IFERROR(('12. Разходи'!AJ71-'12. Разходи'!$AI71)/'12. Разходи'!$AI71,0)</f>
        <v>0</v>
      </c>
      <c r="AX71" s="926">
        <f>'12. Разходи'!AK71-'12. Разходи'!$AI71</f>
        <v>0</v>
      </c>
      <c r="AY71" s="1148">
        <f>IFERROR(('12. Разходи'!AK71-'12. Разходи'!$AI71)/'12. Разходи'!$AI71,0)</f>
        <v>0</v>
      </c>
      <c r="AZ71" s="926">
        <f>'12. Разходи'!AL71-'12. Разходи'!$AI71</f>
        <v>0</v>
      </c>
      <c r="BA71" s="1148">
        <f>IFERROR(('12. Разходи'!AL71-'12. Разходи'!$AI71)/'12. Разходи'!$AI71,0)</f>
        <v>0</v>
      </c>
      <c r="BB71" s="926">
        <f>'12. Разходи'!AM71-'12. Разходи'!$AI71</f>
        <v>0</v>
      </c>
      <c r="BC71" s="1147">
        <f>IFERROR(('12. Разходи'!AM71-'12. Разходи'!$AI71)/'12. Разходи'!$AI71,0)</f>
        <v>0</v>
      </c>
      <c r="BD71" s="1155">
        <f>'12. Разходи'!AN71-'12. Разходи'!$AI71</f>
        <v>0</v>
      </c>
      <c r="BE71" s="1202">
        <f>IFERROR(('12. Разходи'!AN71-'12. Разходи'!$AI71)/'12. Разходи'!$AI71,0)</f>
        <v>0</v>
      </c>
      <c r="BF71" s="4775"/>
      <c r="BG71" s="4794">
        <f t="shared" si="1"/>
        <v>22.496842772633613</v>
      </c>
      <c r="BH71" s="4794">
        <f t="shared" si="2"/>
        <v>0</v>
      </c>
      <c r="BI71" s="4794">
        <f t="shared" si="3"/>
        <v>0</v>
      </c>
      <c r="BJ71" s="4794">
        <f t="shared" si="4"/>
        <v>0</v>
      </c>
      <c r="BK71" s="4794">
        <f t="shared" si="5"/>
        <v>0</v>
      </c>
      <c r="BL71" s="4794">
        <f t="shared" si="6"/>
        <v>0</v>
      </c>
      <c r="BM71" s="4794">
        <f t="shared" si="7"/>
        <v>4.6016269307659661</v>
      </c>
      <c r="BN71" s="4794">
        <f t="shared" si="8"/>
        <v>0</v>
      </c>
      <c r="BO71" s="4794">
        <f t="shared" si="9"/>
        <v>0</v>
      </c>
      <c r="BP71" s="4794">
        <f t="shared" si="10"/>
        <v>0</v>
      </c>
      <c r="BQ71" s="4794">
        <f t="shared" si="11"/>
        <v>0</v>
      </c>
      <c r="BR71" s="4794">
        <f t="shared" si="12"/>
        <v>0</v>
      </c>
      <c r="BS71" s="4794">
        <f t="shared" si="13"/>
        <v>5.1129188119621851</v>
      </c>
      <c r="BT71" s="4794">
        <f t="shared" si="14"/>
        <v>0</v>
      </c>
      <c r="BU71" s="4794">
        <f t="shared" si="15"/>
        <v>0</v>
      </c>
      <c r="BV71" s="4794">
        <f t="shared" si="16"/>
        <v>0</v>
      </c>
      <c r="BW71" s="4794">
        <f t="shared" si="17"/>
        <v>0</v>
      </c>
      <c r="BX71" s="4794">
        <f t="shared" si="18"/>
        <v>0</v>
      </c>
      <c r="BY71" s="4794">
        <f t="shared" si="19"/>
        <v>0</v>
      </c>
      <c r="BZ71" s="4794">
        <f t="shared" si="20"/>
        <v>0</v>
      </c>
      <c r="CA71" s="4794">
        <f t="shared" si="21"/>
        <v>0</v>
      </c>
      <c r="CB71" s="4794">
        <f t="shared" si="22"/>
        <v>0</v>
      </c>
      <c r="CC71" s="4794">
        <f t="shared" si="23"/>
        <v>0</v>
      </c>
      <c r="CD71" s="4794">
        <f t="shared" si="24"/>
        <v>0</v>
      </c>
      <c r="CE71" s="4794">
        <f t="shared" si="25"/>
        <v>0</v>
      </c>
      <c r="CF71" s="4794">
        <f t="shared" si="26"/>
        <v>0</v>
      </c>
      <c r="CG71" s="4794">
        <f t="shared" si="27"/>
        <v>0</v>
      </c>
      <c r="CH71" s="4794">
        <f t="shared" si="28"/>
        <v>0</v>
      </c>
      <c r="CI71" s="4794">
        <f t="shared" si="29"/>
        <v>0</v>
      </c>
      <c r="CJ71" s="4794">
        <f t="shared" si="30"/>
        <v>0</v>
      </c>
    </row>
    <row r="72" spans="1:88" ht="15.95" customHeight="1">
      <c r="A72" s="113" t="s">
        <v>270</v>
      </c>
      <c r="B72" s="921" t="s">
        <v>452</v>
      </c>
      <c r="C72" s="1131">
        <f>'12. Разходи'!C72</f>
        <v>37</v>
      </c>
      <c r="D72" s="1160">
        <f>'12. Разходи'!D72-'12. Разходи'!$C72</f>
        <v>1</v>
      </c>
      <c r="E72" s="1140">
        <f>IFERROR(('12. Разходи'!D72-'12. Разходи'!$C72)/'12. Разходи'!$C72,0)</f>
        <v>2.7027027027027029E-2</v>
      </c>
      <c r="F72" s="926">
        <f>'12. Разходи'!E72-'12. Разходи'!$C72</f>
        <v>0</v>
      </c>
      <c r="G72" s="1148">
        <f>IFERROR(('12. Разходи'!E72-'12. Разходи'!$C72)/'12. Разходи'!$C72,0)</f>
        <v>0</v>
      </c>
      <c r="H72" s="926">
        <f>'12. Разходи'!F72-'12. Разходи'!$C72</f>
        <v>-1</v>
      </c>
      <c r="I72" s="1148">
        <f>IFERROR(('12. Разходи'!F72-'12. Разходи'!$C72)/'12. Разходи'!$C72,0)</f>
        <v>-2.7027027027027029E-2</v>
      </c>
      <c r="J72" s="926">
        <f>'12. Разходи'!G72-'12. Разходи'!$C72</f>
        <v>-1</v>
      </c>
      <c r="K72" s="1147">
        <f>IFERROR(('12. Разходи'!G72-'12. Разходи'!$C72)/'12. Разходи'!$C72,0)</f>
        <v>-2.7027027027027029E-2</v>
      </c>
      <c r="L72" s="1155">
        <f>'12. Разходи'!H72-'12. Разходи'!$C72</f>
        <v>-2</v>
      </c>
      <c r="M72" s="1147">
        <f>IFERROR(('12. Разходи'!H72-'12. Разходи'!$C72)/'12. Разходи'!$C72,0)</f>
        <v>-5.4054054054054057E-2</v>
      </c>
      <c r="N72" s="1196">
        <f>'12. Разходи'!K72</f>
        <v>9</v>
      </c>
      <c r="O72" s="1160">
        <f>'12. Разходи'!L72-'12. Разходи'!$K72</f>
        <v>1</v>
      </c>
      <c r="P72" s="1140">
        <f>IFERROR(('12. Разходи'!L72-'12. Разходи'!$K72)/'12. Разходи'!$K72,0)</f>
        <v>0.1111111111111111</v>
      </c>
      <c r="Q72" s="926">
        <f>'12. Разходи'!M72-'12. Разходи'!$K72</f>
        <v>1</v>
      </c>
      <c r="R72" s="1148">
        <f>IFERROR(('12. Разходи'!M72-'12. Разходи'!$K72)/'12. Разходи'!$K72,0)</f>
        <v>0.1111111111111111</v>
      </c>
      <c r="S72" s="926">
        <f>'12. Разходи'!N72-'12. Разходи'!$K72</f>
        <v>1</v>
      </c>
      <c r="T72" s="1148">
        <f>IFERROR(('12. Разходи'!N72-'12. Разходи'!$K72)/'12. Разходи'!$K72,0)</f>
        <v>0.1111111111111111</v>
      </c>
      <c r="U72" s="926">
        <f>'12. Разходи'!O72-'12. Разходи'!$K72</f>
        <v>0</v>
      </c>
      <c r="V72" s="1147">
        <f>IFERROR(('12. Разходи'!O72-'12. Разходи'!$K72)/'12. Разходи'!$K72,0)</f>
        <v>0</v>
      </c>
      <c r="W72" s="1155">
        <f>'12. Разходи'!P72-'12. Разходи'!$K72</f>
        <v>0</v>
      </c>
      <c r="X72" s="1202">
        <f>IFERROR(('12. Разходи'!P72-'12. Разходи'!$K72)/'12. Разходи'!$K72,0)</f>
        <v>0</v>
      </c>
      <c r="Y72" s="1196">
        <f>'12. Разходи'!S72</f>
        <v>10</v>
      </c>
      <c r="Z72" s="1160">
        <f>'12. Разходи'!T72-'12. Разходи'!$S72</f>
        <v>1</v>
      </c>
      <c r="AA72" s="1140">
        <f>IFERROR(('12. Разходи'!T72-'12. Разходи'!$S72)/'12. Разходи'!$S72,0)</f>
        <v>0.1</v>
      </c>
      <c r="AB72" s="926">
        <f>'12. Разходи'!U72-'12. Разходи'!$S72</f>
        <v>1</v>
      </c>
      <c r="AC72" s="1148">
        <f>IFERROR(('12. Разходи'!U72-'12. Разходи'!$S72)/'12. Разходи'!$S72,0)</f>
        <v>0.1</v>
      </c>
      <c r="AD72" s="926">
        <f>'12. Разходи'!V72-'12. Разходи'!$S72</f>
        <v>1</v>
      </c>
      <c r="AE72" s="1148">
        <f>IFERROR(('12. Разходи'!V72-'12. Разходи'!$S72)/'12. Разходи'!$S72,0)</f>
        <v>0.1</v>
      </c>
      <c r="AF72" s="926">
        <f>'12. Разходи'!W72-'12. Разходи'!$S72</f>
        <v>0</v>
      </c>
      <c r="AG72" s="1147">
        <f>IFERROR(('12. Разходи'!W72-'12. Разходи'!$S72)/'12. Разходи'!$S72,0)</f>
        <v>0</v>
      </c>
      <c r="AH72" s="1155">
        <f>'12. Разходи'!X72-'12. Разходи'!$S72</f>
        <v>0</v>
      </c>
      <c r="AI72" s="1202">
        <f>IFERROR(('12. Разходи'!X72-'12. Разходи'!$S72)/'12. Разходи'!$S72,0)</f>
        <v>0</v>
      </c>
      <c r="AJ72" s="3307"/>
      <c r="AK72" s="3308"/>
      <c r="AL72" s="3216"/>
      <c r="AM72" s="3309"/>
      <c r="AN72" s="3216"/>
      <c r="AO72" s="3309"/>
      <c r="AP72" s="3216"/>
      <c r="AQ72" s="3309"/>
      <c r="AR72" s="3310"/>
      <c r="AS72" s="3309"/>
      <c r="AT72" s="3311"/>
      <c r="AU72" s="3307"/>
      <c r="AV72" s="3308"/>
      <c r="AW72" s="3216"/>
      <c r="AX72" s="3309"/>
      <c r="AY72" s="3216"/>
      <c r="AZ72" s="3309"/>
      <c r="BA72" s="3216"/>
      <c r="BB72" s="3309"/>
      <c r="BC72" s="3310"/>
      <c r="BD72" s="3309"/>
      <c r="BE72" s="3311"/>
      <c r="BF72" s="4775"/>
      <c r="BG72" s="4794">
        <f t="shared" si="1"/>
        <v>18.917799604260086</v>
      </c>
      <c r="BH72" s="4794">
        <f t="shared" si="2"/>
        <v>0.51129188119621849</v>
      </c>
      <c r="BI72" s="4794">
        <f t="shared" si="3"/>
        <v>0</v>
      </c>
      <c r="BJ72" s="4794">
        <f t="shared" si="4"/>
        <v>-0.51129188119621849</v>
      </c>
      <c r="BK72" s="4794">
        <f t="shared" si="5"/>
        <v>-0.51129188119621849</v>
      </c>
      <c r="BL72" s="4794">
        <f t="shared" si="6"/>
        <v>-1.022583762392437</v>
      </c>
      <c r="BM72" s="4794">
        <f t="shared" si="7"/>
        <v>4.6016269307659661</v>
      </c>
      <c r="BN72" s="4794">
        <f t="shared" si="8"/>
        <v>0.51129188119621849</v>
      </c>
      <c r="BO72" s="4794">
        <f t="shared" si="9"/>
        <v>0.51129188119621849</v>
      </c>
      <c r="BP72" s="4794">
        <f t="shared" si="10"/>
        <v>0.51129188119621849</v>
      </c>
      <c r="BQ72" s="4794">
        <f t="shared" si="11"/>
        <v>0</v>
      </c>
      <c r="BR72" s="4794">
        <f t="shared" si="12"/>
        <v>0</v>
      </c>
      <c r="BS72" s="4794">
        <f t="shared" si="13"/>
        <v>5.1129188119621851</v>
      </c>
      <c r="BT72" s="4794">
        <f t="shared" si="14"/>
        <v>0.51129188119621849</v>
      </c>
      <c r="BU72" s="4794">
        <f t="shared" si="15"/>
        <v>0.51129188119621849</v>
      </c>
      <c r="BV72" s="4794">
        <f t="shared" si="16"/>
        <v>0.51129188119621849</v>
      </c>
      <c r="BW72" s="4794">
        <f t="shared" si="17"/>
        <v>0</v>
      </c>
      <c r="BX72" s="4794">
        <f t="shared" si="18"/>
        <v>0</v>
      </c>
      <c r="BY72" s="4794">
        <f t="shared" si="19"/>
        <v>0</v>
      </c>
      <c r="BZ72" s="4794">
        <f t="shared" si="20"/>
        <v>0</v>
      </c>
      <c r="CA72" s="4794">
        <f t="shared" si="21"/>
        <v>0</v>
      </c>
      <c r="CB72" s="4794">
        <f t="shared" si="22"/>
        <v>0</v>
      </c>
      <c r="CC72" s="4794">
        <f t="shared" si="23"/>
        <v>0</v>
      </c>
      <c r="CD72" s="4794">
        <f t="shared" si="24"/>
        <v>0</v>
      </c>
      <c r="CE72" s="4794">
        <f t="shared" si="25"/>
        <v>0</v>
      </c>
      <c r="CF72" s="4794">
        <f t="shared" si="26"/>
        <v>0</v>
      </c>
      <c r="CG72" s="4794">
        <f t="shared" si="27"/>
        <v>0</v>
      </c>
      <c r="CH72" s="4794">
        <f t="shared" si="28"/>
        <v>0</v>
      </c>
      <c r="CI72" s="4794">
        <f t="shared" si="29"/>
        <v>0</v>
      </c>
      <c r="CJ72" s="4794">
        <f t="shared" si="30"/>
        <v>0</v>
      </c>
    </row>
    <row r="73" spans="1:88" ht="15.95" customHeight="1">
      <c r="A73" s="113" t="s">
        <v>272</v>
      </c>
      <c r="B73" s="915" t="s">
        <v>453</v>
      </c>
      <c r="C73" s="1131">
        <f>'12. Разходи'!C73</f>
        <v>366</v>
      </c>
      <c r="D73" s="1160">
        <f>'12. Разходи'!D73-'12. Разходи'!$C73</f>
        <v>5</v>
      </c>
      <c r="E73" s="1140">
        <f>IFERROR(('12. Разходи'!D73-'12. Разходи'!$C73)/'12. Разходи'!$C73,0)</f>
        <v>1.3661202185792349E-2</v>
      </c>
      <c r="F73" s="926">
        <f>'12. Разходи'!E73-'12. Разходи'!$C73</f>
        <v>-5</v>
      </c>
      <c r="G73" s="1148">
        <f>IFERROR(('12. Разходи'!E73-'12. Разходи'!$C73)/'12. Разходи'!$C73,0)</f>
        <v>-1.3661202185792349E-2</v>
      </c>
      <c r="H73" s="926">
        <f>'12. Разходи'!F73-'12. Разходи'!$C73</f>
        <v>-17</v>
      </c>
      <c r="I73" s="1148">
        <f>IFERROR(('12. Разходи'!F73-'12. Разходи'!$C73)/'12. Разходи'!$C73,0)</f>
        <v>-4.6448087431693992E-2</v>
      </c>
      <c r="J73" s="926">
        <f>'12. Разходи'!G73-'12. Разходи'!$C73</f>
        <v>-29</v>
      </c>
      <c r="K73" s="1147">
        <f>IFERROR(('12. Разходи'!G73-'12. Разходи'!$C73)/'12. Разходи'!$C73,0)</f>
        <v>-7.9234972677595633E-2</v>
      </c>
      <c r="L73" s="1155">
        <f>'12. Разходи'!H73-'12. Разходи'!$C73</f>
        <v>-40</v>
      </c>
      <c r="M73" s="1147">
        <f>IFERROR(('12. Разходи'!H73-'12. Разходи'!$C73)/'12. Разходи'!$C73,0)</f>
        <v>-0.10928961748633879</v>
      </c>
      <c r="N73" s="3307"/>
      <c r="O73" s="3308"/>
      <c r="P73" s="3216"/>
      <c r="Q73" s="3309"/>
      <c r="R73" s="3216"/>
      <c r="S73" s="3309"/>
      <c r="T73" s="3216"/>
      <c r="U73" s="3309"/>
      <c r="V73" s="3310"/>
      <c r="W73" s="3309"/>
      <c r="X73" s="3311"/>
      <c r="Y73" s="3307"/>
      <c r="Z73" s="3308"/>
      <c r="AA73" s="3216"/>
      <c r="AB73" s="3309"/>
      <c r="AC73" s="3216"/>
      <c r="AD73" s="3309"/>
      <c r="AE73" s="3216"/>
      <c r="AF73" s="3309"/>
      <c r="AG73" s="3310"/>
      <c r="AH73" s="3309"/>
      <c r="AI73" s="3311"/>
      <c r="AJ73" s="3312">
        <f>'12. Разходи'!AA73</f>
        <v>0</v>
      </c>
      <c r="AK73" s="1160">
        <f>'12. Разходи'!AB73-'12. Разходи'!$AA73</f>
        <v>0</v>
      </c>
      <c r="AL73" s="1140">
        <f>IFERROR(('12. Разходи'!AB73-'12. Разходи'!$AA73)/'12. Разходи'!$AA73,0)</f>
        <v>0</v>
      </c>
      <c r="AM73" s="926">
        <f>'12. Разходи'!AC73-'12. Разходи'!$AA73</f>
        <v>0</v>
      </c>
      <c r="AN73" s="1148">
        <f>IFERROR(('12. Разходи'!AC73-'12. Разходи'!$AA73)/'12. Разходи'!$AA73,0)</f>
        <v>0</v>
      </c>
      <c r="AO73" s="926">
        <f>'12. Разходи'!AD73-'12. Разходи'!$AA73</f>
        <v>0</v>
      </c>
      <c r="AP73" s="1148">
        <f>IFERROR(('12. Разходи'!AD73-'12. Разходи'!$AA73)/'12. Разходи'!$AA73,0)</f>
        <v>0</v>
      </c>
      <c r="AQ73" s="926">
        <f>'12. Разходи'!AE73-'12. Разходи'!$AA73</f>
        <v>0</v>
      </c>
      <c r="AR73" s="1147">
        <f>IFERROR(('12. Разходи'!AE73-'12. Разходи'!$AA73)/'12. Разходи'!$AA73,0)</f>
        <v>0</v>
      </c>
      <c r="AS73" s="1155">
        <f>'12. Разходи'!AF73-'12. Разходи'!$AA73</f>
        <v>0</v>
      </c>
      <c r="AT73" s="1202">
        <f>IFERROR(('12. Разходи'!AF73-'12. Разходи'!$AA73)/'12. Разходи'!$AA73,0)</f>
        <v>0</v>
      </c>
      <c r="AU73" s="1196">
        <f>'12. Разходи'!AI73</f>
        <v>0</v>
      </c>
      <c r="AV73" s="1160">
        <f>'12. Разходи'!AJ73-'12. Разходи'!$AI73</f>
        <v>0</v>
      </c>
      <c r="AW73" s="1140">
        <f>IFERROR(('12. Разходи'!AJ73-'12. Разходи'!$AI73)/'12. Разходи'!$AI73,0)</f>
        <v>0</v>
      </c>
      <c r="AX73" s="926">
        <f>'12. Разходи'!AK73-'12. Разходи'!$AI73</f>
        <v>0</v>
      </c>
      <c r="AY73" s="1148">
        <f>IFERROR(('12. Разходи'!AK73-'12. Разходи'!$AI73)/'12. Разходи'!$AI73,0)</f>
        <v>0</v>
      </c>
      <c r="AZ73" s="926">
        <f>'12. Разходи'!AL73-'12. Разходи'!$AI73</f>
        <v>0</v>
      </c>
      <c r="BA73" s="1148">
        <f>IFERROR(('12. Разходи'!AL73-'12. Разходи'!$AI73)/'12. Разходи'!$AI73,0)</f>
        <v>0</v>
      </c>
      <c r="BB73" s="926">
        <f>'12. Разходи'!AM73-'12. Разходи'!$AI73</f>
        <v>0</v>
      </c>
      <c r="BC73" s="1147">
        <f>IFERROR(('12. Разходи'!AM73-'12. Разходи'!$AI73)/'12. Разходи'!$AI73,0)</f>
        <v>0</v>
      </c>
      <c r="BD73" s="1155">
        <f>'12. Разходи'!AN73-'12. Разходи'!$AI73</f>
        <v>0</v>
      </c>
      <c r="BE73" s="1202">
        <f>IFERROR(('12. Разходи'!AN73-'12. Разходи'!$AI73)/'12. Разходи'!$AI73,0)</f>
        <v>0</v>
      </c>
      <c r="BF73" s="4775"/>
      <c r="BG73" s="4794">
        <f t="shared" si="1"/>
        <v>187.13282851781597</v>
      </c>
      <c r="BH73" s="4794">
        <f t="shared" si="2"/>
        <v>2.5564594059810926</v>
      </c>
      <c r="BI73" s="4794">
        <f t="shared" si="3"/>
        <v>-2.5564594059810926</v>
      </c>
      <c r="BJ73" s="4794">
        <f t="shared" si="4"/>
        <v>-8.691961980335714</v>
      </c>
      <c r="BK73" s="4794">
        <f t="shared" si="5"/>
        <v>-14.827464554690337</v>
      </c>
      <c r="BL73" s="4794">
        <f t="shared" si="6"/>
        <v>-20.45167524784874</v>
      </c>
      <c r="BM73" s="4794">
        <f t="shared" si="7"/>
        <v>0</v>
      </c>
      <c r="BN73" s="4794">
        <f t="shared" si="8"/>
        <v>0</v>
      </c>
      <c r="BO73" s="4794">
        <f t="shared" si="9"/>
        <v>0</v>
      </c>
      <c r="BP73" s="4794">
        <f t="shared" si="10"/>
        <v>0</v>
      </c>
      <c r="BQ73" s="4794">
        <f t="shared" si="11"/>
        <v>0</v>
      </c>
      <c r="BR73" s="4794">
        <f t="shared" si="12"/>
        <v>0</v>
      </c>
      <c r="BS73" s="4794">
        <f t="shared" si="13"/>
        <v>0</v>
      </c>
      <c r="BT73" s="4794">
        <f t="shared" si="14"/>
        <v>0</v>
      </c>
      <c r="BU73" s="4794">
        <f t="shared" si="15"/>
        <v>0</v>
      </c>
      <c r="BV73" s="4794">
        <f t="shared" si="16"/>
        <v>0</v>
      </c>
      <c r="BW73" s="4794">
        <f t="shared" si="17"/>
        <v>0</v>
      </c>
      <c r="BX73" s="4794">
        <f t="shared" si="18"/>
        <v>0</v>
      </c>
      <c r="BY73" s="4794">
        <f t="shared" si="19"/>
        <v>0</v>
      </c>
      <c r="BZ73" s="4794">
        <f t="shared" si="20"/>
        <v>0</v>
      </c>
      <c r="CA73" s="4794">
        <f t="shared" si="21"/>
        <v>0</v>
      </c>
      <c r="CB73" s="4794">
        <f t="shared" si="22"/>
        <v>0</v>
      </c>
      <c r="CC73" s="4794">
        <f t="shared" si="23"/>
        <v>0</v>
      </c>
      <c r="CD73" s="4794">
        <f t="shared" si="24"/>
        <v>0</v>
      </c>
      <c r="CE73" s="4794">
        <f t="shared" si="25"/>
        <v>0</v>
      </c>
      <c r="CF73" s="4794">
        <f t="shared" si="26"/>
        <v>0</v>
      </c>
      <c r="CG73" s="4794">
        <f t="shared" si="27"/>
        <v>0</v>
      </c>
      <c r="CH73" s="4794">
        <f t="shared" si="28"/>
        <v>0</v>
      </c>
      <c r="CI73" s="4794">
        <f t="shared" si="29"/>
        <v>0</v>
      </c>
      <c r="CJ73" s="4794">
        <f t="shared" si="30"/>
        <v>0</v>
      </c>
    </row>
    <row r="74" spans="1:88" ht="15.95" customHeight="1">
      <c r="A74" s="113" t="s">
        <v>274</v>
      </c>
      <c r="B74" s="915" t="s">
        <v>1336</v>
      </c>
      <c r="C74" s="3307"/>
      <c r="D74" s="3308"/>
      <c r="E74" s="3216"/>
      <c r="F74" s="3309"/>
      <c r="G74" s="3216"/>
      <c r="H74" s="3309"/>
      <c r="I74" s="3216"/>
      <c r="J74" s="3309"/>
      <c r="K74" s="3310"/>
      <c r="L74" s="3309"/>
      <c r="M74" s="3310"/>
      <c r="N74" s="3312">
        <f>'12. Разходи'!K74</f>
        <v>56</v>
      </c>
      <c r="O74" s="1160">
        <f>'12. Разходи'!L74-'12. Разходи'!$K74</f>
        <v>0</v>
      </c>
      <c r="P74" s="1140">
        <f>IFERROR(('12. Разходи'!L74-'12. Разходи'!$K74)/'12. Разходи'!$K74,0)</f>
        <v>0</v>
      </c>
      <c r="Q74" s="926">
        <f>'12. Разходи'!M74-'12. Разходи'!$K74</f>
        <v>0</v>
      </c>
      <c r="R74" s="1148">
        <f>IFERROR(('12. Разходи'!M74-'12. Разходи'!$K74)/'12. Разходи'!$K74,0)</f>
        <v>0</v>
      </c>
      <c r="S74" s="926">
        <f>'12. Разходи'!N74-'12. Разходи'!$K74</f>
        <v>-1</v>
      </c>
      <c r="T74" s="1148">
        <f>IFERROR(('12. Разходи'!N74-'12. Разходи'!$K74)/'12. Разходи'!$K74,0)</f>
        <v>-1.7857142857142856E-2</v>
      </c>
      <c r="U74" s="926">
        <f>'12. Разходи'!O74-'12. Разходи'!$K74</f>
        <v>-1</v>
      </c>
      <c r="V74" s="1147">
        <f>IFERROR(('12. Разходи'!O74-'12. Разходи'!$K74)/'12. Разходи'!$K74,0)</f>
        <v>-1.7857142857142856E-2</v>
      </c>
      <c r="W74" s="1155">
        <f>'12. Разходи'!P74-'12. Разходи'!$K74</f>
        <v>-1</v>
      </c>
      <c r="X74" s="1202">
        <f>IFERROR(('12. Разходи'!P74-'12. Разходи'!$K74)/'12. Разходи'!$K74,0)</f>
        <v>-1.7857142857142856E-2</v>
      </c>
      <c r="Y74" s="1196">
        <f>'12. Разходи'!S74</f>
        <v>43</v>
      </c>
      <c r="Z74" s="1160">
        <f>'12. Разходи'!T74-'12. Разходи'!$S74</f>
        <v>0</v>
      </c>
      <c r="AA74" s="1140">
        <f>IFERROR(('12. Разходи'!T74-'12. Разходи'!$S74)/'12. Разходи'!$S74,0)</f>
        <v>0</v>
      </c>
      <c r="AB74" s="926">
        <f>'12. Разходи'!U74-'12. Разходи'!$S74</f>
        <v>0</v>
      </c>
      <c r="AC74" s="1148">
        <f>IFERROR(('12. Разходи'!U74-'12. Разходи'!$S74)/'12. Разходи'!$S74,0)</f>
        <v>0</v>
      </c>
      <c r="AD74" s="926">
        <f>'12. Разходи'!V74-'12. Разходи'!$S74</f>
        <v>-1</v>
      </c>
      <c r="AE74" s="1148">
        <f>IFERROR(('12. Разходи'!V74-'12. Разходи'!$S74)/'12. Разходи'!$S74,0)</f>
        <v>-2.3255813953488372E-2</v>
      </c>
      <c r="AF74" s="926">
        <f>'12. Разходи'!W74-'12. Разходи'!$S74</f>
        <v>-1</v>
      </c>
      <c r="AG74" s="1147">
        <f>IFERROR(('12. Разходи'!W74-'12. Разходи'!$S74)/'12. Разходи'!$S74,0)</f>
        <v>-2.3255813953488372E-2</v>
      </c>
      <c r="AH74" s="1155">
        <f>'12. Разходи'!X74-'12. Разходи'!$S74</f>
        <v>-1</v>
      </c>
      <c r="AI74" s="1202">
        <f>IFERROR(('12. Разходи'!X74-'12. Разходи'!$S74)/'12. Разходи'!$S74,0)</f>
        <v>-2.3255813953488372E-2</v>
      </c>
      <c r="AJ74" s="3307"/>
      <c r="AK74" s="3308"/>
      <c r="AL74" s="3216"/>
      <c r="AM74" s="3309"/>
      <c r="AN74" s="3216"/>
      <c r="AO74" s="3309"/>
      <c r="AP74" s="3216"/>
      <c r="AQ74" s="3309"/>
      <c r="AR74" s="3310"/>
      <c r="AS74" s="3309"/>
      <c r="AT74" s="3311"/>
      <c r="AU74" s="3307"/>
      <c r="AV74" s="3308"/>
      <c r="AW74" s="3216"/>
      <c r="AX74" s="3309"/>
      <c r="AY74" s="3216"/>
      <c r="AZ74" s="3309"/>
      <c r="BA74" s="3216"/>
      <c r="BB74" s="3309"/>
      <c r="BC74" s="3310"/>
      <c r="BD74" s="3309"/>
      <c r="BE74" s="3311"/>
      <c r="BF74" s="4775"/>
      <c r="BG74" s="4794">
        <f t="shared" si="1"/>
        <v>0</v>
      </c>
      <c r="BH74" s="4794">
        <f t="shared" si="2"/>
        <v>0</v>
      </c>
      <c r="BI74" s="4794">
        <f t="shared" si="3"/>
        <v>0</v>
      </c>
      <c r="BJ74" s="4794">
        <f t="shared" si="4"/>
        <v>0</v>
      </c>
      <c r="BK74" s="4794">
        <f t="shared" si="5"/>
        <v>0</v>
      </c>
      <c r="BL74" s="4794">
        <f t="shared" si="6"/>
        <v>0</v>
      </c>
      <c r="BM74" s="4794">
        <f t="shared" si="7"/>
        <v>28.632345346988235</v>
      </c>
      <c r="BN74" s="4794">
        <f t="shared" si="8"/>
        <v>0</v>
      </c>
      <c r="BO74" s="4794">
        <f t="shared" si="9"/>
        <v>0</v>
      </c>
      <c r="BP74" s="4794">
        <f t="shared" si="10"/>
        <v>-0.51129188119621849</v>
      </c>
      <c r="BQ74" s="4794">
        <f t="shared" si="11"/>
        <v>-0.51129188119621849</v>
      </c>
      <c r="BR74" s="4794">
        <f t="shared" si="12"/>
        <v>-0.51129188119621849</v>
      </c>
      <c r="BS74" s="4794">
        <f t="shared" si="13"/>
        <v>21.985550891437395</v>
      </c>
      <c r="BT74" s="4794">
        <f t="shared" si="14"/>
        <v>0</v>
      </c>
      <c r="BU74" s="4794">
        <f t="shared" si="15"/>
        <v>0</v>
      </c>
      <c r="BV74" s="4794">
        <f t="shared" si="16"/>
        <v>-0.51129188119621849</v>
      </c>
      <c r="BW74" s="4794">
        <f t="shared" si="17"/>
        <v>-0.51129188119621849</v>
      </c>
      <c r="BX74" s="4794">
        <f t="shared" si="18"/>
        <v>-0.51129188119621849</v>
      </c>
      <c r="BY74" s="4794">
        <f t="shared" si="19"/>
        <v>0</v>
      </c>
      <c r="BZ74" s="4794">
        <f t="shared" si="20"/>
        <v>0</v>
      </c>
      <c r="CA74" s="4794">
        <f t="shared" si="21"/>
        <v>0</v>
      </c>
      <c r="CB74" s="4794">
        <f t="shared" si="22"/>
        <v>0</v>
      </c>
      <c r="CC74" s="4794">
        <f t="shared" si="23"/>
        <v>0</v>
      </c>
      <c r="CD74" s="4794">
        <f t="shared" si="24"/>
        <v>0</v>
      </c>
      <c r="CE74" s="4794">
        <f t="shared" si="25"/>
        <v>0</v>
      </c>
      <c r="CF74" s="4794">
        <f t="shared" si="26"/>
        <v>0</v>
      </c>
      <c r="CG74" s="4794">
        <f t="shared" si="27"/>
        <v>0</v>
      </c>
      <c r="CH74" s="4794">
        <f t="shared" si="28"/>
        <v>0</v>
      </c>
      <c r="CI74" s="4794">
        <f t="shared" si="29"/>
        <v>0</v>
      </c>
      <c r="CJ74" s="4794">
        <f t="shared" si="30"/>
        <v>0</v>
      </c>
    </row>
    <row r="75" spans="1:88" ht="15.95" customHeight="1" thickBot="1">
      <c r="A75" s="113" t="s">
        <v>276</v>
      </c>
      <c r="B75" s="140" t="s">
        <v>455</v>
      </c>
      <c r="C75" s="1136">
        <f>'12. Разходи'!C75</f>
        <v>16.2</v>
      </c>
      <c r="D75" s="1160">
        <f>'12. Разходи'!D75-'12. Разходи'!$C75</f>
        <v>-0.19999999999999929</v>
      </c>
      <c r="E75" s="1140">
        <f>IFERROR(('12. Разходи'!D75-'12. Разходи'!$C75)/'12. Разходи'!$C75,0)</f>
        <v>-1.2345679012345635E-2</v>
      </c>
      <c r="F75" s="926">
        <f>'12. Разходи'!E75-'12. Разходи'!$C75</f>
        <v>-0.19999999999999929</v>
      </c>
      <c r="G75" s="1148">
        <f>IFERROR(('12. Разходи'!E75-'12. Разходи'!$C75)/'12. Разходи'!$C75,0)</f>
        <v>-1.2345679012345635E-2</v>
      </c>
      <c r="H75" s="926">
        <f>'12. Разходи'!F75-'12. Разходи'!$C75</f>
        <v>-0.19999999999999929</v>
      </c>
      <c r="I75" s="1148">
        <f>IFERROR(('12. Разходи'!F75-'12. Разходи'!$C75)/'12. Разходи'!$C75,0)</f>
        <v>-1.2345679012345635E-2</v>
      </c>
      <c r="J75" s="926">
        <f>'12. Разходи'!G75-'12. Разходи'!$C75</f>
        <v>-0.19999999999999929</v>
      </c>
      <c r="K75" s="1147">
        <f>IFERROR(('12. Разходи'!G75-'12. Разходи'!$C75)/'12. Разходи'!$C75,0)</f>
        <v>-1.2345679012345635E-2</v>
      </c>
      <c r="L75" s="1155">
        <f>'12. Разходи'!H75-'12. Разходи'!$C75</f>
        <v>-0.19999999999999929</v>
      </c>
      <c r="M75" s="1147">
        <f>IFERROR(('12. Разходи'!H75-'12. Разходи'!$C75)/'12. Разходи'!$C75,0)</f>
        <v>-1.2345679012345635E-2</v>
      </c>
      <c r="N75" s="1196">
        <f>'12. Разходи'!K75</f>
        <v>4</v>
      </c>
      <c r="O75" s="1160">
        <f>'12. Разходи'!L75-'12. Разходи'!$K75</f>
        <v>0</v>
      </c>
      <c r="P75" s="1140">
        <f>IFERROR(('12. Разходи'!L75-'12. Разходи'!$K75)/'12. Разходи'!$K75,0)</f>
        <v>0</v>
      </c>
      <c r="Q75" s="926">
        <f>'12. Разходи'!M75-'12. Разходи'!$K75</f>
        <v>0</v>
      </c>
      <c r="R75" s="1148">
        <f>IFERROR(('12. Разходи'!M75-'12. Разходи'!$K75)/'12. Разходи'!$K75,0)</f>
        <v>0</v>
      </c>
      <c r="S75" s="926">
        <f>'12. Разходи'!N75-'12. Разходи'!$K75</f>
        <v>0</v>
      </c>
      <c r="T75" s="1148">
        <f>IFERROR(('12. Разходи'!N75-'12. Разходи'!$K75)/'12. Разходи'!$K75,0)</f>
        <v>0</v>
      </c>
      <c r="U75" s="926">
        <f>'12. Разходи'!O75-'12. Разходи'!$K75</f>
        <v>0</v>
      </c>
      <c r="V75" s="1147">
        <f>IFERROR(('12. Разходи'!O75-'12. Разходи'!$K75)/'12. Разходи'!$K75,0)</f>
        <v>0</v>
      </c>
      <c r="W75" s="1155">
        <f>'12. Разходи'!P75-'12. Разходи'!$K75</f>
        <v>0</v>
      </c>
      <c r="X75" s="1202">
        <f>IFERROR(('12. Разходи'!P75-'12. Разходи'!$K75)/'12. Разходи'!$K75,0)</f>
        <v>0</v>
      </c>
      <c r="Y75" s="1196">
        <f>'12. Разходи'!S75</f>
        <v>5</v>
      </c>
      <c r="Z75" s="1160">
        <f>'12. Разходи'!T75-'12. Разходи'!$S75</f>
        <v>0</v>
      </c>
      <c r="AA75" s="1140">
        <f>IFERROR(('12. Разходи'!T75-'12. Разходи'!$S75)/'12. Разходи'!$S75,0)</f>
        <v>0</v>
      </c>
      <c r="AB75" s="926">
        <f>'12. Разходи'!U75-'12. Разходи'!$S75</f>
        <v>0</v>
      </c>
      <c r="AC75" s="1148">
        <f>IFERROR(('12. Разходи'!U75-'12. Разходи'!$S75)/'12. Разходи'!$S75,0)</f>
        <v>0</v>
      </c>
      <c r="AD75" s="926">
        <f>'12. Разходи'!V75-'12. Разходи'!$S75</f>
        <v>0</v>
      </c>
      <c r="AE75" s="1148">
        <f>IFERROR(('12. Разходи'!V75-'12. Разходи'!$S75)/'12. Разходи'!$S75,0)</f>
        <v>0</v>
      </c>
      <c r="AF75" s="926">
        <f>'12. Разходи'!W75-'12. Разходи'!$S75</f>
        <v>0</v>
      </c>
      <c r="AG75" s="1147">
        <f>IFERROR(('12. Разходи'!W75-'12. Разходи'!$S75)/'12. Разходи'!$S75,0)</f>
        <v>0</v>
      </c>
      <c r="AH75" s="1155">
        <f>'12. Разходи'!X75-'12. Разходи'!$S75</f>
        <v>0</v>
      </c>
      <c r="AI75" s="1202">
        <f>IFERROR(('12. Разходи'!X75-'12. Разходи'!$S75)/'12. Разходи'!$S75,0)</f>
        <v>0</v>
      </c>
      <c r="AJ75" s="1196">
        <f>'12. Разходи'!AA75</f>
        <v>0</v>
      </c>
      <c r="AK75" s="1160">
        <f>'12. Разходи'!AB75-'12. Разходи'!$AA75</f>
        <v>0</v>
      </c>
      <c r="AL75" s="1140">
        <f>IFERROR(('12. Разходи'!AB75-'12. Разходи'!$AA75)/'12. Разходи'!$AA75,0)</f>
        <v>0</v>
      </c>
      <c r="AM75" s="926">
        <f>'12. Разходи'!AC75-'12. Разходи'!$AA75</f>
        <v>0</v>
      </c>
      <c r="AN75" s="1148">
        <f>IFERROR(('12. Разходи'!AC75-'12. Разходи'!$AA75)/'12. Разходи'!$AA75,0)</f>
        <v>0</v>
      </c>
      <c r="AO75" s="926">
        <f>'12. Разходи'!AD75-'12. Разходи'!$AA75</f>
        <v>0</v>
      </c>
      <c r="AP75" s="1148">
        <f>IFERROR(('12. Разходи'!AD75-'12. Разходи'!$AA75)/'12. Разходи'!$AA75,0)</f>
        <v>0</v>
      </c>
      <c r="AQ75" s="926">
        <f>'12. Разходи'!AE75-'12. Разходи'!$AA75</f>
        <v>0</v>
      </c>
      <c r="AR75" s="1147">
        <f>IFERROR(('12. Разходи'!AE75-'12. Разходи'!$AA75)/'12. Разходи'!$AA75,0)</f>
        <v>0</v>
      </c>
      <c r="AS75" s="1155">
        <f>'12. Разходи'!AF75-'12. Разходи'!$AA75</f>
        <v>0</v>
      </c>
      <c r="AT75" s="1202">
        <f>IFERROR(('12. Разходи'!AF75-'12. Разходи'!$AA75)/'12. Разходи'!$AA75,0)</f>
        <v>0</v>
      </c>
      <c r="AU75" s="1196">
        <f>'12. Разходи'!AI75</f>
        <v>0</v>
      </c>
      <c r="AV75" s="1160">
        <f>'12. Разходи'!AJ75-'12. Разходи'!$AI75</f>
        <v>0</v>
      </c>
      <c r="AW75" s="1140">
        <f>IFERROR(('12. Разходи'!AJ75-'12. Разходи'!$AI75)/'12. Разходи'!$AI75,0)</f>
        <v>0</v>
      </c>
      <c r="AX75" s="926">
        <f>'12. Разходи'!AK75-'12. Разходи'!$AI75</f>
        <v>0</v>
      </c>
      <c r="AY75" s="1148">
        <f>IFERROR(('12. Разходи'!AK75-'12. Разходи'!$AI75)/'12. Разходи'!$AI75,0)</f>
        <v>0</v>
      </c>
      <c r="AZ75" s="926">
        <f>'12. Разходи'!AL75-'12. Разходи'!$AI75</f>
        <v>0</v>
      </c>
      <c r="BA75" s="1148">
        <f>IFERROR(('12. Разходи'!AL75-'12. Разходи'!$AI75)/'12. Разходи'!$AI75,0)</f>
        <v>0</v>
      </c>
      <c r="BB75" s="926">
        <f>'12. Разходи'!AM75-'12. Разходи'!$AI75</f>
        <v>0</v>
      </c>
      <c r="BC75" s="1147">
        <f>IFERROR(('12. Разходи'!AM75-'12. Разходи'!$AI75)/'12. Разходи'!$AI75,0)</f>
        <v>0</v>
      </c>
      <c r="BD75" s="1155">
        <f>'12. Разходи'!AN75-'12. Разходи'!$AI75</f>
        <v>0</v>
      </c>
      <c r="BE75" s="1202">
        <f>IFERROR(('12. Разходи'!AN75-'12. Разходи'!$AI75)/'12. Разходи'!$AI75,0)</f>
        <v>0</v>
      </c>
      <c r="BF75" s="4775"/>
      <c r="BG75" s="4794">
        <f t="shared" si="1"/>
        <v>8.2829284753787391</v>
      </c>
      <c r="BH75" s="4794">
        <f t="shared" si="2"/>
        <v>-0.10225837623924333</v>
      </c>
      <c r="BI75" s="4794">
        <f t="shared" si="3"/>
        <v>-0.10225837623924333</v>
      </c>
      <c r="BJ75" s="4794">
        <f t="shared" si="4"/>
        <v>-0.10225837623924333</v>
      </c>
      <c r="BK75" s="4794">
        <f t="shared" si="5"/>
        <v>-0.10225837623924333</v>
      </c>
      <c r="BL75" s="4794">
        <f t="shared" si="6"/>
        <v>-0.10225837623924333</v>
      </c>
      <c r="BM75" s="4794">
        <f t="shared" si="7"/>
        <v>2.045167524784874</v>
      </c>
      <c r="BN75" s="4794">
        <f t="shared" si="8"/>
        <v>0</v>
      </c>
      <c r="BO75" s="4794">
        <f t="shared" si="9"/>
        <v>0</v>
      </c>
      <c r="BP75" s="4794">
        <f t="shared" si="10"/>
        <v>0</v>
      </c>
      <c r="BQ75" s="4794">
        <f t="shared" si="11"/>
        <v>0</v>
      </c>
      <c r="BR75" s="4794">
        <f t="shared" si="12"/>
        <v>0</v>
      </c>
      <c r="BS75" s="4794">
        <f t="shared" si="13"/>
        <v>2.5564594059810926</v>
      </c>
      <c r="BT75" s="4794">
        <f t="shared" si="14"/>
        <v>0</v>
      </c>
      <c r="BU75" s="4794">
        <f t="shared" si="15"/>
        <v>0</v>
      </c>
      <c r="BV75" s="4794">
        <f t="shared" si="16"/>
        <v>0</v>
      </c>
      <c r="BW75" s="4794">
        <f t="shared" si="17"/>
        <v>0</v>
      </c>
      <c r="BX75" s="4794">
        <f t="shared" si="18"/>
        <v>0</v>
      </c>
      <c r="BY75" s="4794">
        <f t="shared" si="19"/>
        <v>0</v>
      </c>
      <c r="BZ75" s="4794">
        <f t="shared" si="20"/>
        <v>0</v>
      </c>
      <c r="CA75" s="4794">
        <f t="shared" si="21"/>
        <v>0</v>
      </c>
      <c r="CB75" s="4794">
        <f t="shared" si="22"/>
        <v>0</v>
      </c>
      <c r="CC75" s="4794">
        <f t="shared" si="23"/>
        <v>0</v>
      </c>
      <c r="CD75" s="4794">
        <f t="shared" si="24"/>
        <v>0</v>
      </c>
      <c r="CE75" s="4794">
        <f t="shared" si="25"/>
        <v>0</v>
      </c>
      <c r="CF75" s="4794">
        <f t="shared" si="26"/>
        <v>0</v>
      </c>
      <c r="CG75" s="4794">
        <f t="shared" si="27"/>
        <v>0</v>
      </c>
      <c r="CH75" s="4794">
        <f t="shared" si="28"/>
        <v>0</v>
      </c>
      <c r="CI75" s="4794">
        <f t="shared" si="29"/>
        <v>0</v>
      </c>
      <c r="CJ75" s="4794">
        <f t="shared" si="30"/>
        <v>0</v>
      </c>
    </row>
    <row r="76" spans="1:88" s="1179" customFormat="1" ht="15.95" customHeight="1" thickBot="1">
      <c r="A76" s="115">
        <v>7</v>
      </c>
      <c r="B76" s="916" t="s">
        <v>267</v>
      </c>
      <c r="C76" s="1129">
        <f>'12. Разходи'!C76</f>
        <v>137.30000000000001</v>
      </c>
      <c r="D76" s="1167">
        <f>'12. Разходи'!D76-'12. Разходи'!$C76</f>
        <v>-0.30000000000001137</v>
      </c>
      <c r="E76" s="894">
        <f>IFERROR(('12. Разходи'!D76-'12. Разходи'!$C76)/'12. Разходи'!$C76,0)</f>
        <v>-2.1849963583394855E-3</v>
      </c>
      <c r="F76" s="1166">
        <f>'12. Разходи'!E76-'12. Разходи'!$C76</f>
        <v>-0.30000000000001137</v>
      </c>
      <c r="G76" s="894">
        <f>IFERROR(('12. Разходи'!E76-'12. Разходи'!$C76)/'12. Разходи'!$C76,0)</f>
        <v>-2.1849963583394855E-3</v>
      </c>
      <c r="H76" s="1166">
        <f>'12. Разходи'!F76-'12. Разходи'!$C76</f>
        <v>-0.30000000000001137</v>
      </c>
      <c r="I76" s="894">
        <f>IFERROR(('12. Разходи'!F76-'12. Разходи'!$C76)/'12. Разходи'!$C76,0)</f>
        <v>-2.1849963583394855E-3</v>
      </c>
      <c r="J76" s="1166">
        <f>'12. Разходи'!G76-'12. Разходи'!$C76</f>
        <v>-0.30000000000001137</v>
      </c>
      <c r="K76" s="907">
        <f>IFERROR(('12. Разходи'!G76-'12. Разходи'!$C76)/'12. Разходи'!$C76,0)</f>
        <v>-2.1849963583394855E-3</v>
      </c>
      <c r="L76" s="1166">
        <f>'12. Разходи'!H76-'12. Разходи'!$C76</f>
        <v>-0.30000000000001137</v>
      </c>
      <c r="M76" s="907">
        <f>IFERROR(('12. Разходи'!H76-'12. Разходи'!$C76)/'12. Разходи'!$C76,0)</f>
        <v>-2.1849963583394855E-3</v>
      </c>
      <c r="N76" s="1180">
        <f>'12. Разходи'!K76</f>
        <v>18.045999999999999</v>
      </c>
      <c r="O76" s="1167">
        <f>'12. Разходи'!L76-'12. Разходи'!$K76</f>
        <v>-4.5999999999999375E-2</v>
      </c>
      <c r="P76" s="894">
        <f>IFERROR(('12. Разходи'!L76-'12. Разходи'!$K76)/'12. Разходи'!$K76,0)</f>
        <v>-2.5490413388008079E-3</v>
      </c>
      <c r="Q76" s="1166">
        <f>'12. Разходи'!M76-'12. Разходи'!$K76</f>
        <v>-4.5999999999999375E-2</v>
      </c>
      <c r="R76" s="894">
        <f>IFERROR(('12. Разходи'!M76-'12. Разходи'!$K76)/'12. Разходи'!$K76,0)</f>
        <v>-2.5490413388008079E-3</v>
      </c>
      <c r="S76" s="1166">
        <f>'12. Разходи'!N76-'12. Разходи'!$K76</f>
        <v>-4.5999999999999375E-2</v>
      </c>
      <c r="T76" s="894">
        <f>IFERROR(('12. Разходи'!N76-'12. Разходи'!$K76)/'12. Разходи'!$K76,0)</f>
        <v>-2.5490413388008079E-3</v>
      </c>
      <c r="U76" s="1166">
        <f>'12. Разходи'!O76-'12. Разходи'!$K76</f>
        <v>-4.5999999999999375E-2</v>
      </c>
      <c r="V76" s="907">
        <f>IFERROR(('12. Разходи'!O76-'12. Разходи'!$K76)/'12. Разходи'!$K76,0)</f>
        <v>-2.5490413388008079E-3</v>
      </c>
      <c r="W76" s="1166">
        <f>'12. Разходи'!P76-'12. Разходи'!$K76</f>
        <v>-4.5999999999999375E-2</v>
      </c>
      <c r="X76" s="909">
        <f>IFERROR(('12. Разходи'!P76-'12. Разходи'!$K76)/'12. Разходи'!$K76,0)</f>
        <v>-2.5490413388008079E-3</v>
      </c>
      <c r="Y76" s="1180">
        <f>'12. Разходи'!S76</f>
        <v>43.998999999999995</v>
      </c>
      <c r="Z76" s="1167">
        <f>'12. Разходи'!T76-'12. Разходи'!$S76</f>
        <v>1.0000000000047748E-3</v>
      </c>
      <c r="AA76" s="894">
        <f>IFERROR(('12. Разходи'!T76-'12. Разходи'!$S76)/'12. Разходи'!$S76,0)</f>
        <v>2.2727789268046432E-5</v>
      </c>
      <c r="AB76" s="1166">
        <f>'12. Разходи'!U76-'12. Разходи'!$S76</f>
        <v>1.0000000000047748E-3</v>
      </c>
      <c r="AC76" s="894">
        <f>IFERROR(('12. Разходи'!U76-'12. Разходи'!$S76)/'12. Разходи'!$S76,0)</f>
        <v>2.2727789268046432E-5</v>
      </c>
      <c r="AD76" s="1166">
        <f>'12. Разходи'!V76-'12. Разходи'!$S76</f>
        <v>1.0000000000047748E-3</v>
      </c>
      <c r="AE76" s="894">
        <f>IFERROR(('12. Разходи'!V76-'12. Разходи'!$S76)/'12. Разходи'!$S76,0)</f>
        <v>2.2727789268046432E-5</v>
      </c>
      <c r="AF76" s="1166">
        <f>'12. Разходи'!W76-'12. Разходи'!$S76</f>
        <v>1.0000000000047748E-3</v>
      </c>
      <c r="AG76" s="907">
        <f>IFERROR(('12. Разходи'!W76-'12. Разходи'!$S76)/'12. Разходи'!$S76,0)</f>
        <v>2.2727789268046432E-5</v>
      </c>
      <c r="AH76" s="1166">
        <f>'12. Разходи'!X76-'12. Разходи'!$S76</f>
        <v>1.0000000000047748E-3</v>
      </c>
      <c r="AI76" s="909">
        <f>IFERROR(('12. Разходи'!X76-'12. Разходи'!$S76)/'12. Разходи'!$S76,0)</f>
        <v>2.2727789268046432E-5</v>
      </c>
      <c r="AJ76" s="1180">
        <f>'12. Разходи'!AA76</f>
        <v>0</v>
      </c>
      <c r="AK76" s="1167">
        <f>'12. Разходи'!AB76-'12. Разходи'!$AA76</f>
        <v>0</v>
      </c>
      <c r="AL76" s="894">
        <f>IFERROR(('12. Разходи'!AB76-'12. Разходи'!$AA76)/'12. Разходи'!$AA76,0)</f>
        <v>0</v>
      </c>
      <c r="AM76" s="1166">
        <f>'12. Разходи'!AC76-'12. Разходи'!$AA76</f>
        <v>0</v>
      </c>
      <c r="AN76" s="894">
        <f>IFERROR(('12. Разходи'!AC76-'12. Разходи'!$AA76)/'12. Разходи'!$AA76,0)</f>
        <v>0</v>
      </c>
      <c r="AO76" s="1166">
        <f>'12. Разходи'!AD76-'12. Разходи'!$AA76</f>
        <v>0</v>
      </c>
      <c r="AP76" s="894">
        <f>IFERROR(('12. Разходи'!AD76-'12. Разходи'!$AA76)/'12. Разходи'!$AA76,0)</f>
        <v>0</v>
      </c>
      <c r="AQ76" s="1166">
        <f>'12. Разходи'!AE76-'12. Разходи'!$AA76</f>
        <v>0</v>
      </c>
      <c r="AR76" s="907">
        <f>IFERROR(('12. Разходи'!AE76-'12. Разходи'!$AA76)/'12. Разходи'!$AA76,0)</f>
        <v>0</v>
      </c>
      <c r="AS76" s="1166">
        <f>'12. Разходи'!AF76-'12. Разходи'!$AA76</f>
        <v>0</v>
      </c>
      <c r="AT76" s="909">
        <f>IFERROR(('12. Разходи'!AF76-'12. Разходи'!$AA76)/'12. Разходи'!$AA76,0)</f>
        <v>0</v>
      </c>
      <c r="AU76" s="1180">
        <f>'12. Разходи'!AI76</f>
        <v>0</v>
      </c>
      <c r="AV76" s="1167">
        <f>'12. Разходи'!AJ76-'12. Разходи'!$AI76</f>
        <v>0</v>
      </c>
      <c r="AW76" s="894">
        <f>IFERROR(('12. Разходи'!AJ76-'12. Разходи'!$AI76)/'12. Разходи'!$AI76,0)</f>
        <v>0</v>
      </c>
      <c r="AX76" s="1166">
        <f>'12. Разходи'!AK76-'12. Разходи'!$AI76</f>
        <v>0</v>
      </c>
      <c r="AY76" s="894">
        <f>IFERROR(('12. Разходи'!AK76-'12. Разходи'!$AI76)/'12. Разходи'!$AI76,0)</f>
        <v>0</v>
      </c>
      <c r="AZ76" s="1166">
        <f>'12. Разходи'!AL76-'12. Разходи'!$AI76</f>
        <v>0</v>
      </c>
      <c r="BA76" s="894">
        <f>IFERROR(('12. Разходи'!AL76-'12. Разходи'!$AI76)/'12. Разходи'!$AI76,0)</f>
        <v>0</v>
      </c>
      <c r="BB76" s="1166">
        <f>'12. Разходи'!AM76-'12. Разходи'!$AI76</f>
        <v>0</v>
      </c>
      <c r="BC76" s="907">
        <f>IFERROR(('12. Разходи'!AM76-'12. Разходи'!$AI76)/'12. Разходи'!$AI76,0)</f>
        <v>0</v>
      </c>
      <c r="BD76" s="1166">
        <f>'12. Разходи'!AN76-'12. Разходи'!$AI76</f>
        <v>0</v>
      </c>
      <c r="BE76" s="909">
        <f>IFERROR(('12. Разходи'!AN76-'12. Разходи'!$AI76)/'12. Разходи'!$AI76,0)</f>
        <v>0</v>
      </c>
      <c r="BF76" s="4775"/>
      <c r="BG76" s="4794">
        <f t="shared" ref="BG76:BG95" si="31">IFERROR(C76/$D$1,0)</f>
        <v>70.200375288240807</v>
      </c>
      <c r="BH76" s="4794">
        <f t="shared" ref="BH76:BH95" si="32">IFERROR(D76/$D$1,0)</f>
        <v>-0.15338756435887135</v>
      </c>
      <c r="BI76" s="4794">
        <f t="shared" ref="BI76:BI95" si="33">IFERROR(F76/$D$1,0)</f>
        <v>-0.15338756435887135</v>
      </c>
      <c r="BJ76" s="4794">
        <f t="shared" ref="BJ76:BJ95" si="34">IFERROR(H76/$D$1,0)</f>
        <v>-0.15338756435887135</v>
      </c>
      <c r="BK76" s="4794">
        <f t="shared" ref="BK76:BK95" si="35">IFERROR(J76/$D$1,0)</f>
        <v>-0.15338756435887135</v>
      </c>
      <c r="BL76" s="4794">
        <f t="shared" ref="BL76:BL95" si="36">IFERROR(L76/$D$1,0)</f>
        <v>-0.15338756435887135</v>
      </c>
      <c r="BM76" s="4794">
        <f t="shared" ref="BM76:BM95" si="37">IFERROR(N76/$D$1,0)</f>
        <v>9.2267732880669584</v>
      </c>
      <c r="BN76" s="4794">
        <f t="shared" ref="BN76:BN95" si="38">IFERROR(O76/$D$1,0)</f>
        <v>-2.3519426535025732E-2</v>
      </c>
      <c r="BO76" s="4794">
        <f t="shared" ref="BO76:BO95" si="39">IFERROR(Q76/$D$1,0)</f>
        <v>-2.3519426535025732E-2</v>
      </c>
      <c r="BP76" s="4794">
        <f t="shared" ref="BP76:BP95" si="40">IFERROR(S76/$D$1,0)</f>
        <v>-2.3519426535025732E-2</v>
      </c>
      <c r="BQ76" s="4794">
        <f t="shared" ref="BQ76:BQ95" si="41">IFERROR(U76/$D$1,0)</f>
        <v>-2.3519426535025732E-2</v>
      </c>
      <c r="BR76" s="4794">
        <f t="shared" ref="BR76:BR95" si="42">IFERROR(W76/$D$1,0)</f>
        <v>-2.3519426535025732E-2</v>
      </c>
      <c r="BS76" s="4794">
        <f t="shared" ref="BS76:BS95" si="43">IFERROR(Y76/$D$1,0)</f>
        <v>22.496331480752414</v>
      </c>
      <c r="BT76" s="4794">
        <f t="shared" ref="BT76:BT95" si="44">IFERROR(Z76/$D$1,0)</f>
        <v>5.1129188119865981E-4</v>
      </c>
      <c r="BU76" s="4794">
        <f t="shared" ref="BU76:BU95" si="45">IFERROR(AB76/$D$1,0)</f>
        <v>5.1129188119865981E-4</v>
      </c>
      <c r="BV76" s="4794">
        <f t="shared" ref="BV76:BV95" si="46">IFERROR(AD76/$D$1,0)</f>
        <v>5.1129188119865981E-4</v>
      </c>
      <c r="BW76" s="4794">
        <f t="shared" ref="BW76:BW95" si="47">IFERROR(AF76/$D$1,0)</f>
        <v>5.1129188119865981E-4</v>
      </c>
      <c r="BX76" s="4794">
        <f t="shared" ref="BX76:BX95" si="48">IFERROR(AH76/$D$1,0)</f>
        <v>5.1129188119865981E-4</v>
      </c>
      <c r="BY76" s="4794">
        <f t="shared" ref="BY76:BY95" si="49">IFERROR(AJ76/$D$1,0)</f>
        <v>0</v>
      </c>
      <c r="BZ76" s="4794">
        <f t="shared" ref="BZ76:BZ95" si="50">IFERROR(AK76/$D$1,0)</f>
        <v>0</v>
      </c>
      <c r="CA76" s="4794">
        <f t="shared" ref="CA76:CA95" si="51">IFERROR(AM76/$D$1,0)</f>
        <v>0</v>
      </c>
      <c r="CB76" s="4794">
        <f t="shared" ref="CB76:CB95" si="52">IFERROR(AO76/$D$1,0)</f>
        <v>0</v>
      </c>
      <c r="CC76" s="4794">
        <f t="shared" ref="CC76:CC95" si="53">IFERROR(AQ76/$D$1,0)</f>
        <v>0</v>
      </c>
      <c r="CD76" s="4794">
        <f t="shared" ref="CD76:CD95" si="54">IFERROR(AS76/$D$1,0)</f>
        <v>0</v>
      </c>
      <c r="CE76" s="4794">
        <f t="shared" ref="CE76:CE95" si="55">IFERROR(AU76/$D$1,0)</f>
        <v>0</v>
      </c>
      <c r="CF76" s="4794">
        <f t="shared" ref="CF76:CF95" si="56">IFERROR(AV76/$D$1,0)</f>
        <v>0</v>
      </c>
      <c r="CG76" s="4794">
        <f t="shared" ref="CG76:CG95" si="57">IFERROR(AX76/$D$1,0)</f>
        <v>0</v>
      </c>
      <c r="CH76" s="4794">
        <f t="shared" ref="CH76:CH95" si="58">IFERROR(AZ76/$D$1,0)</f>
        <v>0</v>
      </c>
      <c r="CI76" s="4794">
        <f t="shared" ref="CI76:CI95" si="59">IFERROR(BB76/$D$1,0)</f>
        <v>0</v>
      </c>
      <c r="CJ76" s="4794">
        <f t="shared" ref="CJ76:CJ95" si="60">IFERROR(BD76/$D$1,0)</f>
        <v>0</v>
      </c>
    </row>
    <row r="77" spans="1:88" ht="15.95" customHeight="1">
      <c r="A77" s="113" t="s">
        <v>176</v>
      </c>
      <c r="B77" s="914" t="s">
        <v>269</v>
      </c>
      <c r="C77" s="1130">
        <f>'12. Разходи'!C77</f>
        <v>0</v>
      </c>
      <c r="D77" s="1160">
        <f>'12. Разходи'!D77-'12. Разходи'!$C77</f>
        <v>0</v>
      </c>
      <c r="E77" s="1140">
        <f>IFERROR(('12. Разходи'!D77-'12. Разходи'!$C77)/'12. Разходи'!$C77,0)</f>
        <v>0</v>
      </c>
      <c r="F77" s="926">
        <f>'12. Разходи'!E77-'12. Разходи'!$C77</f>
        <v>0</v>
      </c>
      <c r="G77" s="1148">
        <f>IFERROR(('12. Разходи'!E77-'12. Разходи'!$C77)/'12. Разходи'!$C77,0)</f>
        <v>0</v>
      </c>
      <c r="H77" s="926">
        <f>'12. Разходи'!F77-'12. Разходи'!$C77</f>
        <v>0</v>
      </c>
      <c r="I77" s="1148">
        <f>IFERROR(('12. Разходи'!F77-'12. Разходи'!$C77)/'12. Разходи'!$C77,0)</f>
        <v>0</v>
      </c>
      <c r="J77" s="926">
        <f>'12. Разходи'!G77-'12. Разходи'!$C77</f>
        <v>0</v>
      </c>
      <c r="K77" s="1147">
        <f>IFERROR(('12. Разходи'!G77-'12. Разходи'!$C77)/'12. Разходи'!$C77,0)</f>
        <v>0</v>
      </c>
      <c r="L77" s="1155">
        <f>'12. Разходи'!H77-'12. Разходи'!$C77</f>
        <v>0</v>
      </c>
      <c r="M77" s="1147">
        <f>IFERROR(('12. Разходи'!H77-'12. Разходи'!$C77)/'12. Разходи'!$C77,0)</f>
        <v>0</v>
      </c>
      <c r="N77" s="1196">
        <f>'12. Разходи'!K77</f>
        <v>0</v>
      </c>
      <c r="O77" s="1160">
        <f>'12. Разходи'!L77-'12. Разходи'!$K77</f>
        <v>0</v>
      </c>
      <c r="P77" s="1140">
        <f>IFERROR(('12. Разходи'!L77-'12. Разходи'!$K77)/'12. Разходи'!$K77,0)</f>
        <v>0</v>
      </c>
      <c r="Q77" s="926">
        <f>'12. Разходи'!M77-'12. Разходи'!$K77</f>
        <v>0</v>
      </c>
      <c r="R77" s="1148">
        <f>IFERROR(('12. Разходи'!M77-'12. Разходи'!$K77)/'12. Разходи'!$K77,0)</f>
        <v>0</v>
      </c>
      <c r="S77" s="926">
        <f>'12. Разходи'!N77-'12. Разходи'!$K77</f>
        <v>0</v>
      </c>
      <c r="T77" s="1148">
        <f>IFERROR(('12. Разходи'!N77-'12. Разходи'!$K77)/'12. Разходи'!$K77,0)</f>
        <v>0</v>
      </c>
      <c r="U77" s="926">
        <f>'12. Разходи'!O77-'12. Разходи'!$K77</f>
        <v>0</v>
      </c>
      <c r="V77" s="1147">
        <f>IFERROR(('12. Разходи'!O77-'12. Разходи'!$K77)/'12. Разходи'!$K77,0)</f>
        <v>0</v>
      </c>
      <c r="W77" s="1155">
        <f>'12. Разходи'!P77-'12. Разходи'!$K77</f>
        <v>0</v>
      </c>
      <c r="X77" s="1202">
        <f>IFERROR(('12. Разходи'!P77-'12. Разходи'!$K77)/'12. Разходи'!$K77,0)</f>
        <v>0</v>
      </c>
      <c r="Y77" s="1196">
        <f>'12. Разходи'!S77</f>
        <v>0</v>
      </c>
      <c r="Z77" s="1160">
        <f>'12. Разходи'!T77-'12. Разходи'!$S77</f>
        <v>0</v>
      </c>
      <c r="AA77" s="1140">
        <f>IFERROR(('12. Разходи'!T77-'12. Разходи'!$S77)/'12. Разходи'!$S77,0)</f>
        <v>0</v>
      </c>
      <c r="AB77" s="926">
        <f>'12. Разходи'!U77-'12. Разходи'!$S77</f>
        <v>0</v>
      </c>
      <c r="AC77" s="1148">
        <f>IFERROR(('12. Разходи'!U77-'12. Разходи'!$S77)/'12. Разходи'!$S77,0)</f>
        <v>0</v>
      </c>
      <c r="AD77" s="926">
        <f>'12. Разходи'!V77-'12. Разходи'!$S77</f>
        <v>0</v>
      </c>
      <c r="AE77" s="1148">
        <f>IFERROR(('12. Разходи'!V77-'12. Разходи'!$S77)/'12. Разходи'!$S77,0)</f>
        <v>0</v>
      </c>
      <c r="AF77" s="926">
        <f>'12. Разходи'!W77-'12. Разходи'!$S77</f>
        <v>0</v>
      </c>
      <c r="AG77" s="1147">
        <f>IFERROR(('12. Разходи'!W77-'12. Разходи'!$S77)/'12. Разходи'!$S77,0)</f>
        <v>0</v>
      </c>
      <c r="AH77" s="1155">
        <f>'12. Разходи'!X77-'12. Разходи'!$S77</f>
        <v>0</v>
      </c>
      <c r="AI77" s="1202">
        <f>IFERROR(('12. Разходи'!X77-'12. Разходи'!$S77)/'12. Разходи'!$S77,0)</f>
        <v>0</v>
      </c>
      <c r="AJ77" s="1196">
        <f>'12. Разходи'!AA77</f>
        <v>0</v>
      </c>
      <c r="AK77" s="1160">
        <f>'12. Разходи'!AB77-'12. Разходи'!$AA77</f>
        <v>0</v>
      </c>
      <c r="AL77" s="1140">
        <f>IFERROR(('12. Разходи'!AB77-'12. Разходи'!$AA77)/'12. Разходи'!$AA77,0)</f>
        <v>0</v>
      </c>
      <c r="AM77" s="926">
        <f>'12. Разходи'!AC77-'12. Разходи'!$AA77</f>
        <v>0</v>
      </c>
      <c r="AN77" s="1148">
        <f>IFERROR(('12. Разходи'!AC77-'12. Разходи'!$AA77)/'12. Разходи'!$AA77,0)</f>
        <v>0</v>
      </c>
      <c r="AO77" s="926">
        <f>'12. Разходи'!AD77-'12. Разходи'!$AA77</f>
        <v>0</v>
      </c>
      <c r="AP77" s="1148">
        <f>IFERROR(('12. Разходи'!AD77-'12. Разходи'!$AA77)/'12. Разходи'!$AA77,0)</f>
        <v>0</v>
      </c>
      <c r="AQ77" s="926">
        <f>'12. Разходи'!AE77-'12. Разходи'!$AA77</f>
        <v>0</v>
      </c>
      <c r="AR77" s="1147">
        <f>IFERROR(('12. Разходи'!AE77-'12. Разходи'!$AA77)/'12. Разходи'!$AA77,0)</f>
        <v>0</v>
      </c>
      <c r="AS77" s="1155">
        <f>'12. Разходи'!AF77-'12. Разходи'!$AA77</f>
        <v>0</v>
      </c>
      <c r="AT77" s="1202">
        <f>IFERROR(('12. Разходи'!AF77-'12. Разходи'!$AA77)/'12. Разходи'!$AA77,0)</f>
        <v>0</v>
      </c>
      <c r="AU77" s="1196">
        <f>'12. Разходи'!AI77</f>
        <v>0</v>
      </c>
      <c r="AV77" s="1160">
        <f>'12. Разходи'!AJ77-'12. Разходи'!$AI77</f>
        <v>0</v>
      </c>
      <c r="AW77" s="1140">
        <f>IFERROR(('12. Разходи'!AJ77-'12. Разходи'!$AI77)/'12. Разходи'!$AI77,0)</f>
        <v>0</v>
      </c>
      <c r="AX77" s="926">
        <f>'12. Разходи'!AK77-'12. Разходи'!$AI77</f>
        <v>0</v>
      </c>
      <c r="AY77" s="1148">
        <f>IFERROR(('12. Разходи'!AK77-'12. Разходи'!$AI77)/'12. Разходи'!$AI77,0)</f>
        <v>0</v>
      </c>
      <c r="AZ77" s="926">
        <f>'12. Разходи'!AL77-'12. Разходи'!$AI77</f>
        <v>0</v>
      </c>
      <c r="BA77" s="1148">
        <f>IFERROR(('12. Разходи'!AL77-'12. Разходи'!$AI77)/'12. Разходи'!$AI77,0)</f>
        <v>0</v>
      </c>
      <c r="BB77" s="926">
        <f>'12. Разходи'!AM77-'12. Разходи'!$AI77</f>
        <v>0</v>
      </c>
      <c r="BC77" s="1147">
        <f>IFERROR(('12. Разходи'!AM77-'12. Разходи'!$AI77)/'12. Разходи'!$AI77,0)</f>
        <v>0</v>
      </c>
      <c r="BD77" s="1155">
        <f>'12. Разходи'!AN77-'12. Разходи'!$AI77</f>
        <v>0</v>
      </c>
      <c r="BE77" s="1202">
        <f>IFERROR(('12. Разходи'!AN77-'12. Разходи'!$AI77)/'12. Разходи'!$AI77,0)</f>
        <v>0</v>
      </c>
      <c r="BF77" s="4775"/>
      <c r="BG77" s="4794">
        <f t="shared" si="31"/>
        <v>0</v>
      </c>
      <c r="BH77" s="4794">
        <f t="shared" si="32"/>
        <v>0</v>
      </c>
      <c r="BI77" s="4794">
        <f t="shared" si="33"/>
        <v>0</v>
      </c>
      <c r="BJ77" s="4794">
        <f t="shared" si="34"/>
        <v>0</v>
      </c>
      <c r="BK77" s="4794">
        <f t="shared" si="35"/>
        <v>0</v>
      </c>
      <c r="BL77" s="4794">
        <f t="shared" si="36"/>
        <v>0</v>
      </c>
      <c r="BM77" s="4794">
        <f t="shared" si="37"/>
        <v>0</v>
      </c>
      <c r="BN77" s="4794">
        <f t="shared" si="38"/>
        <v>0</v>
      </c>
      <c r="BO77" s="4794">
        <f t="shared" si="39"/>
        <v>0</v>
      </c>
      <c r="BP77" s="4794">
        <f t="shared" si="40"/>
        <v>0</v>
      </c>
      <c r="BQ77" s="4794">
        <f t="shared" si="41"/>
        <v>0</v>
      </c>
      <c r="BR77" s="4794">
        <f t="shared" si="42"/>
        <v>0</v>
      </c>
      <c r="BS77" s="4794">
        <f t="shared" si="43"/>
        <v>0</v>
      </c>
      <c r="BT77" s="4794">
        <f t="shared" si="44"/>
        <v>0</v>
      </c>
      <c r="BU77" s="4794">
        <f t="shared" si="45"/>
        <v>0</v>
      </c>
      <c r="BV77" s="4794">
        <f t="shared" si="46"/>
        <v>0</v>
      </c>
      <c r="BW77" s="4794">
        <f t="shared" si="47"/>
        <v>0</v>
      </c>
      <c r="BX77" s="4794">
        <f t="shared" si="48"/>
        <v>0</v>
      </c>
      <c r="BY77" s="4794">
        <f t="shared" si="49"/>
        <v>0</v>
      </c>
      <c r="BZ77" s="4794">
        <f t="shared" si="50"/>
        <v>0</v>
      </c>
      <c r="CA77" s="4794">
        <f t="shared" si="51"/>
        <v>0</v>
      </c>
      <c r="CB77" s="4794">
        <f t="shared" si="52"/>
        <v>0</v>
      </c>
      <c r="CC77" s="4794">
        <f t="shared" si="53"/>
        <v>0</v>
      </c>
      <c r="CD77" s="4794">
        <f t="shared" si="54"/>
        <v>0</v>
      </c>
      <c r="CE77" s="4794">
        <f t="shared" si="55"/>
        <v>0</v>
      </c>
      <c r="CF77" s="4794">
        <f t="shared" si="56"/>
        <v>0</v>
      </c>
      <c r="CG77" s="4794">
        <f t="shared" si="57"/>
        <v>0</v>
      </c>
      <c r="CH77" s="4794">
        <f t="shared" si="58"/>
        <v>0</v>
      </c>
      <c r="CI77" s="4794">
        <f t="shared" si="59"/>
        <v>0</v>
      </c>
      <c r="CJ77" s="4794">
        <f t="shared" si="60"/>
        <v>0</v>
      </c>
    </row>
    <row r="78" spans="1:88" ht="15.95" customHeight="1">
      <c r="A78" s="113" t="s">
        <v>178</v>
      </c>
      <c r="B78" s="922" t="s">
        <v>271</v>
      </c>
      <c r="C78" s="1136">
        <f>'12. Разходи'!C78</f>
        <v>40</v>
      </c>
      <c r="D78" s="1160">
        <f>'12. Разходи'!D78-'12. Разходи'!$C78</f>
        <v>0</v>
      </c>
      <c r="E78" s="1140">
        <f>IFERROR(('12. Разходи'!D78-'12. Разходи'!$C78)/'12. Разходи'!$C78,0)</f>
        <v>0</v>
      </c>
      <c r="F78" s="926">
        <f>'12. Разходи'!E78-'12. Разходи'!$C78</f>
        <v>0</v>
      </c>
      <c r="G78" s="1148">
        <f>IFERROR(('12. Разходи'!E78-'12. Разходи'!$C78)/'12. Разходи'!$C78,0)</f>
        <v>0</v>
      </c>
      <c r="H78" s="926">
        <f>'12. Разходи'!F78-'12. Разходи'!$C78</f>
        <v>0</v>
      </c>
      <c r="I78" s="1148">
        <f>IFERROR(('12. Разходи'!F78-'12. Разходи'!$C78)/'12. Разходи'!$C78,0)</f>
        <v>0</v>
      </c>
      <c r="J78" s="926">
        <f>'12. Разходи'!G78-'12. Разходи'!$C78</f>
        <v>0</v>
      </c>
      <c r="K78" s="1147">
        <f>IFERROR(('12. Разходи'!G78-'12. Разходи'!$C78)/'12. Разходи'!$C78,0)</f>
        <v>0</v>
      </c>
      <c r="L78" s="1155">
        <f>'12. Разходи'!H78-'12. Разходи'!$C78</f>
        <v>0</v>
      </c>
      <c r="M78" s="1147">
        <f>IFERROR(('12. Разходи'!H78-'12. Разходи'!$C78)/'12. Разходи'!$C78,0)</f>
        <v>0</v>
      </c>
      <c r="N78" s="1196">
        <f>'12. Разходи'!K78</f>
        <v>4</v>
      </c>
      <c r="O78" s="1160">
        <f>'12. Разходи'!L78-'12. Разходи'!$K78</f>
        <v>0</v>
      </c>
      <c r="P78" s="1140">
        <f>IFERROR(('12. Разходи'!L78-'12. Разходи'!$K78)/'12. Разходи'!$K78,0)</f>
        <v>0</v>
      </c>
      <c r="Q78" s="926">
        <f>'12. Разходи'!M78-'12. Разходи'!$K78</f>
        <v>0</v>
      </c>
      <c r="R78" s="1148">
        <f>IFERROR(('12. Разходи'!M78-'12. Разходи'!$K78)/'12. Разходи'!$K78,0)</f>
        <v>0</v>
      </c>
      <c r="S78" s="926">
        <f>'12. Разходи'!N78-'12. Разходи'!$K78</f>
        <v>0</v>
      </c>
      <c r="T78" s="1148">
        <f>IFERROR(('12. Разходи'!N78-'12. Разходи'!$K78)/'12. Разходи'!$K78,0)</f>
        <v>0</v>
      </c>
      <c r="U78" s="926">
        <f>'12. Разходи'!O78-'12. Разходи'!$K78</f>
        <v>0</v>
      </c>
      <c r="V78" s="1147">
        <f>IFERROR(('12. Разходи'!O78-'12. Разходи'!$K78)/'12. Разходи'!$K78,0)</f>
        <v>0</v>
      </c>
      <c r="W78" s="1155">
        <f>'12. Разходи'!P78-'12. Разходи'!$K78</f>
        <v>0</v>
      </c>
      <c r="X78" s="1202">
        <f>IFERROR(('12. Разходи'!P78-'12. Разходи'!$K78)/'12. Разходи'!$K78,0)</f>
        <v>0</v>
      </c>
      <c r="Y78" s="1196">
        <f>'12. Разходи'!S78</f>
        <v>12.2</v>
      </c>
      <c r="Z78" s="1160">
        <f>'12. Разходи'!T78-'12. Разходи'!$S78</f>
        <v>-0.19999999999999929</v>
      </c>
      <c r="AA78" s="1140">
        <f>IFERROR(('12. Разходи'!T78-'12. Разходи'!$S78)/'12. Разходи'!$S78,0)</f>
        <v>-1.6393442622950762E-2</v>
      </c>
      <c r="AB78" s="926">
        <f>'12. Разходи'!U78-'12. Разходи'!$S78</f>
        <v>-0.19999999999999929</v>
      </c>
      <c r="AC78" s="1148">
        <f>IFERROR(('12. Разходи'!U78-'12. Разходи'!$S78)/'12. Разходи'!$S78,0)</f>
        <v>-1.6393442622950762E-2</v>
      </c>
      <c r="AD78" s="926">
        <f>'12. Разходи'!V78-'12. Разходи'!$S78</f>
        <v>-0.19999999999999929</v>
      </c>
      <c r="AE78" s="1148">
        <f>IFERROR(('12. Разходи'!V78-'12. Разходи'!$S78)/'12. Разходи'!$S78,0)</f>
        <v>-1.6393442622950762E-2</v>
      </c>
      <c r="AF78" s="926">
        <f>'12. Разходи'!W78-'12. Разходи'!$S78</f>
        <v>-0.19999999999999929</v>
      </c>
      <c r="AG78" s="1147">
        <f>IFERROR(('12. Разходи'!W78-'12. Разходи'!$S78)/'12. Разходи'!$S78,0)</f>
        <v>-1.6393442622950762E-2</v>
      </c>
      <c r="AH78" s="1155">
        <f>'12. Разходи'!X78-'12. Разходи'!$S78</f>
        <v>-0.19999999999999929</v>
      </c>
      <c r="AI78" s="1202">
        <f>IFERROR(('12. Разходи'!X78-'12. Разходи'!$S78)/'12. Разходи'!$S78,0)</f>
        <v>-1.6393442622950762E-2</v>
      </c>
      <c r="AJ78" s="1196">
        <f>'12. Разходи'!AA78</f>
        <v>0</v>
      </c>
      <c r="AK78" s="1160">
        <f>'12. Разходи'!AB78-'12. Разходи'!$AA78</f>
        <v>0</v>
      </c>
      <c r="AL78" s="1140">
        <f>IFERROR(('12. Разходи'!AB78-'12. Разходи'!$AA78)/'12. Разходи'!$AA78,0)</f>
        <v>0</v>
      </c>
      <c r="AM78" s="926">
        <f>'12. Разходи'!AC78-'12. Разходи'!$AA78</f>
        <v>0</v>
      </c>
      <c r="AN78" s="1148">
        <f>IFERROR(('12. Разходи'!AC78-'12. Разходи'!$AA78)/'12. Разходи'!$AA78,0)</f>
        <v>0</v>
      </c>
      <c r="AO78" s="926">
        <f>'12. Разходи'!AD78-'12. Разходи'!$AA78</f>
        <v>0</v>
      </c>
      <c r="AP78" s="1148">
        <f>IFERROR(('12. Разходи'!AD78-'12. Разходи'!$AA78)/'12. Разходи'!$AA78,0)</f>
        <v>0</v>
      </c>
      <c r="AQ78" s="926">
        <f>'12. Разходи'!AE78-'12. Разходи'!$AA78</f>
        <v>0</v>
      </c>
      <c r="AR78" s="1147">
        <f>IFERROR(('12. Разходи'!AE78-'12. Разходи'!$AA78)/'12. Разходи'!$AA78,0)</f>
        <v>0</v>
      </c>
      <c r="AS78" s="1155">
        <f>'12. Разходи'!AF78-'12. Разходи'!$AA78</f>
        <v>0</v>
      </c>
      <c r="AT78" s="1202">
        <f>IFERROR(('12. Разходи'!AF78-'12. Разходи'!$AA78)/'12. Разходи'!$AA78,0)</f>
        <v>0</v>
      </c>
      <c r="AU78" s="1196">
        <f>'12. Разходи'!AI78</f>
        <v>0</v>
      </c>
      <c r="AV78" s="1160">
        <f>'12. Разходи'!AJ78-'12. Разходи'!$AI78</f>
        <v>0</v>
      </c>
      <c r="AW78" s="1140">
        <f>IFERROR(('12. Разходи'!AJ78-'12. Разходи'!$AI78)/'12. Разходи'!$AI78,0)</f>
        <v>0</v>
      </c>
      <c r="AX78" s="926">
        <f>'12. Разходи'!AK78-'12. Разходи'!$AI78</f>
        <v>0</v>
      </c>
      <c r="AY78" s="1148">
        <f>IFERROR(('12. Разходи'!AK78-'12. Разходи'!$AI78)/'12. Разходи'!$AI78,0)</f>
        <v>0</v>
      </c>
      <c r="AZ78" s="926">
        <f>'12. Разходи'!AL78-'12. Разходи'!$AI78</f>
        <v>0</v>
      </c>
      <c r="BA78" s="1148">
        <f>IFERROR(('12. Разходи'!AL78-'12. Разходи'!$AI78)/'12. Разходи'!$AI78,0)</f>
        <v>0</v>
      </c>
      <c r="BB78" s="926">
        <f>'12. Разходи'!AM78-'12. Разходи'!$AI78</f>
        <v>0</v>
      </c>
      <c r="BC78" s="1147">
        <f>IFERROR(('12. Разходи'!AM78-'12. Разходи'!$AI78)/'12. Разходи'!$AI78,0)</f>
        <v>0</v>
      </c>
      <c r="BD78" s="1155">
        <f>'12. Разходи'!AN78-'12. Разходи'!$AI78</f>
        <v>0</v>
      </c>
      <c r="BE78" s="1202">
        <f>IFERROR(('12. Разходи'!AN78-'12. Разходи'!$AI78)/'12. Разходи'!$AI78,0)</f>
        <v>0</v>
      </c>
      <c r="BF78" s="4775"/>
      <c r="BG78" s="4794">
        <f t="shared" si="31"/>
        <v>20.45167524784874</v>
      </c>
      <c r="BH78" s="4794">
        <f t="shared" si="32"/>
        <v>0</v>
      </c>
      <c r="BI78" s="4794">
        <f t="shared" si="33"/>
        <v>0</v>
      </c>
      <c r="BJ78" s="4794">
        <f t="shared" si="34"/>
        <v>0</v>
      </c>
      <c r="BK78" s="4794">
        <f t="shared" si="35"/>
        <v>0</v>
      </c>
      <c r="BL78" s="4794">
        <f t="shared" si="36"/>
        <v>0</v>
      </c>
      <c r="BM78" s="4794">
        <f t="shared" si="37"/>
        <v>2.045167524784874</v>
      </c>
      <c r="BN78" s="4794">
        <f t="shared" si="38"/>
        <v>0</v>
      </c>
      <c r="BO78" s="4794">
        <f t="shared" si="39"/>
        <v>0</v>
      </c>
      <c r="BP78" s="4794">
        <f t="shared" si="40"/>
        <v>0</v>
      </c>
      <c r="BQ78" s="4794">
        <f t="shared" si="41"/>
        <v>0</v>
      </c>
      <c r="BR78" s="4794">
        <f t="shared" si="42"/>
        <v>0</v>
      </c>
      <c r="BS78" s="4794">
        <f t="shared" si="43"/>
        <v>6.2377609505938656</v>
      </c>
      <c r="BT78" s="4794">
        <f t="shared" si="44"/>
        <v>-0.10225837623924333</v>
      </c>
      <c r="BU78" s="4794">
        <f t="shared" si="45"/>
        <v>-0.10225837623924333</v>
      </c>
      <c r="BV78" s="4794">
        <f t="shared" si="46"/>
        <v>-0.10225837623924333</v>
      </c>
      <c r="BW78" s="4794">
        <f t="shared" si="47"/>
        <v>-0.10225837623924333</v>
      </c>
      <c r="BX78" s="4794">
        <f t="shared" si="48"/>
        <v>-0.10225837623924333</v>
      </c>
      <c r="BY78" s="4794">
        <f t="shared" si="49"/>
        <v>0</v>
      </c>
      <c r="BZ78" s="4794">
        <f t="shared" si="50"/>
        <v>0</v>
      </c>
      <c r="CA78" s="4794">
        <f t="shared" si="51"/>
        <v>0</v>
      </c>
      <c r="CB78" s="4794">
        <f t="shared" si="52"/>
        <v>0</v>
      </c>
      <c r="CC78" s="4794">
        <f t="shared" si="53"/>
        <v>0</v>
      </c>
      <c r="CD78" s="4794">
        <f t="shared" si="54"/>
        <v>0</v>
      </c>
      <c r="CE78" s="4794">
        <f t="shared" si="55"/>
        <v>0</v>
      </c>
      <c r="CF78" s="4794">
        <f t="shared" si="56"/>
        <v>0</v>
      </c>
      <c r="CG78" s="4794">
        <f t="shared" si="57"/>
        <v>0</v>
      </c>
      <c r="CH78" s="4794">
        <f t="shared" si="58"/>
        <v>0</v>
      </c>
      <c r="CI78" s="4794">
        <f t="shared" si="59"/>
        <v>0</v>
      </c>
      <c r="CJ78" s="4794">
        <f t="shared" si="60"/>
        <v>0</v>
      </c>
    </row>
    <row r="79" spans="1:88" ht="15.95" customHeight="1">
      <c r="A79" s="113" t="s">
        <v>456</v>
      </c>
      <c r="B79" s="140" t="s">
        <v>266</v>
      </c>
      <c r="C79" s="1136">
        <f>'12. Разходи'!C79</f>
        <v>0</v>
      </c>
      <c r="D79" s="1160">
        <f>'12. Разходи'!D79-'12. Разходи'!$C79</f>
        <v>0</v>
      </c>
      <c r="E79" s="1140">
        <f>IFERROR(('12. Разходи'!D79-'12. Разходи'!$C79)/'12. Разходи'!$C79,0)</f>
        <v>0</v>
      </c>
      <c r="F79" s="926">
        <f>'12. Разходи'!E79-'12. Разходи'!$C79</f>
        <v>0</v>
      </c>
      <c r="G79" s="1148">
        <f>IFERROR(('12. Разходи'!E79-'12. Разходи'!$C79)/'12. Разходи'!$C79,0)</f>
        <v>0</v>
      </c>
      <c r="H79" s="926">
        <f>'12. Разходи'!F79-'12. Разходи'!$C79</f>
        <v>0</v>
      </c>
      <c r="I79" s="1148">
        <f>IFERROR(('12. Разходи'!F79-'12. Разходи'!$C79)/'12. Разходи'!$C79,0)</f>
        <v>0</v>
      </c>
      <c r="J79" s="926">
        <f>'12. Разходи'!G79-'12. Разходи'!$C79</f>
        <v>0</v>
      </c>
      <c r="K79" s="1147">
        <f>IFERROR(('12. Разходи'!G79-'12. Разходи'!$C79)/'12. Разходи'!$C79,0)</f>
        <v>0</v>
      </c>
      <c r="L79" s="1155">
        <f>'12. Разходи'!H79-'12. Разходи'!$C79</f>
        <v>0</v>
      </c>
      <c r="M79" s="1147">
        <f>IFERROR(('12. Разходи'!H79-'12. Разходи'!$C79)/'12. Разходи'!$C79,0)</f>
        <v>0</v>
      </c>
      <c r="N79" s="1196">
        <f>'12. Разходи'!K79</f>
        <v>0</v>
      </c>
      <c r="O79" s="1160">
        <f>'12. Разходи'!L79-'12. Разходи'!$K79</f>
        <v>0</v>
      </c>
      <c r="P79" s="1140">
        <f>IFERROR(('12. Разходи'!L79-'12. Разходи'!$K79)/'12. Разходи'!$K79,0)</f>
        <v>0</v>
      </c>
      <c r="Q79" s="926">
        <f>'12. Разходи'!M79-'12. Разходи'!$K79</f>
        <v>0</v>
      </c>
      <c r="R79" s="1148">
        <f>IFERROR(('12. Разходи'!M79-'12. Разходи'!$K79)/'12. Разходи'!$K79,0)</f>
        <v>0</v>
      </c>
      <c r="S79" s="926">
        <f>'12. Разходи'!N79-'12. Разходи'!$K79</f>
        <v>0</v>
      </c>
      <c r="T79" s="1148">
        <f>IFERROR(('12. Разходи'!N79-'12. Разходи'!$K79)/'12. Разходи'!$K79,0)</f>
        <v>0</v>
      </c>
      <c r="U79" s="926">
        <f>'12. Разходи'!O79-'12. Разходи'!$K79</f>
        <v>0</v>
      </c>
      <c r="V79" s="1147">
        <f>IFERROR(('12. Разходи'!O79-'12. Разходи'!$K79)/'12. Разходи'!$K79,0)</f>
        <v>0</v>
      </c>
      <c r="W79" s="1155">
        <f>'12. Разходи'!P79-'12. Разходи'!$K79</f>
        <v>0</v>
      </c>
      <c r="X79" s="1202">
        <f>IFERROR(('12. Разходи'!P79-'12. Разходи'!$K79)/'12. Разходи'!$K79,0)</f>
        <v>0</v>
      </c>
      <c r="Y79" s="1196">
        <f>'12. Разходи'!S79</f>
        <v>0</v>
      </c>
      <c r="Z79" s="1160">
        <f>'12. Разходи'!T79-'12. Разходи'!$S79</f>
        <v>0</v>
      </c>
      <c r="AA79" s="1140">
        <f>IFERROR(('12. Разходи'!T79-'12. Разходи'!$S79)/'12. Разходи'!$S79,0)</f>
        <v>0</v>
      </c>
      <c r="AB79" s="926">
        <f>'12. Разходи'!U79-'12. Разходи'!$S79</f>
        <v>0</v>
      </c>
      <c r="AC79" s="1148">
        <f>IFERROR(('12. Разходи'!U79-'12. Разходи'!$S79)/'12. Разходи'!$S79,0)</f>
        <v>0</v>
      </c>
      <c r="AD79" s="926">
        <f>'12. Разходи'!V79-'12. Разходи'!$S79</f>
        <v>0</v>
      </c>
      <c r="AE79" s="1148">
        <f>IFERROR(('12. Разходи'!V79-'12. Разходи'!$S79)/'12. Разходи'!$S79,0)</f>
        <v>0</v>
      </c>
      <c r="AF79" s="926">
        <f>'12. Разходи'!W79-'12. Разходи'!$S79</f>
        <v>0</v>
      </c>
      <c r="AG79" s="1147">
        <f>IFERROR(('12. Разходи'!W79-'12. Разходи'!$S79)/'12. Разходи'!$S79,0)</f>
        <v>0</v>
      </c>
      <c r="AH79" s="1155">
        <f>'12. Разходи'!X79-'12. Разходи'!$S79</f>
        <v>0</v>
      </c>
      <c r="AI79" s="1202">
        <f>IFERROR(('12. Разходи'!X79-'12. Разходи'!$S79)/'12. Разходи'!$S79,0)</f>
        <v>0</v>
      </c>
      <c r="AJ79" s="1196">
        <f>'12. Разходи'!AA79</f>
        <v>0</v>
      </c>
      <c r="AK79" s="1160">
        <f>'12. Разходи'!AB79-'12. Разходи'!$AA79</f>
        <v>0</v>
      </c>
      <c r="AL79" s="1140">
        <f>IFERROR(('12. Разходи'!AB79-'12. Разходи'!$AA79)/'12. Разходи'!$AA79,0)</f>
        <v>0</v>
      </c>
      <c r="AM79" s="926">
        <f>'12. Разходи'!AC79-'12. Разходи'!$AA79</f>
        <v>0</v>
      </c>
      <c r="AN79" s="1148">
        <f>IFERROR(('12. Разходи'!AC79-'12. Разходи'!$AA79)/'12. Разходи'!$AA79,0)</f>
        <v>0</v>
      </c>
      <c r="AO79" s="926">
        <f>'12. Разходи'!AD79-'12. Разходи'!$AA79</f>
        <v>0</v>
      </c>
      <c r="AP79" s="1148">
        <f>IFERROR(('12. Разходи'!AD79-'12. Разходи'!$AA79)/'12. Разходи'!$AA79,0)</f>
        <v>0</v>
      </c>
      <c r="AQ79" s="926">
        <f>'12. Разходи'!AE79-'12. Разходи'!$AA79</f>
        <v>0</v>
      </c>
      <c r="AR79" s="1147">
        <f>IFERROR(('12. Разходи'!AE79-'12. Разходи'!$AA79)/'12. Разходи'!$AA79,0)</f>
        <v>0</v>
      </c>
      <c r="AS79" s="1155">
        <f>'12. Разходи'!AF79-'12. Разходи'!$AA79</f>
        <v>0</v>
      </c>
      <c r="AT79" s="1202">
        <f>IFERROR(('12. Разходи'!AF79-'12. Разходи'!$AA79)/'12. Разходи'!$AA79,0)</f>
        <v>0</v>
      </c>
      <c r="AU79" s="1196">
        <f>'12. Разходи'!AI79</f>
        <v>0</v>
      </c>
      <c r="AV79" s="1160">
        <f>'12. Разходи'!AJ79-'12. Разходи'!$AI79</f>
        <v>0</v>
      </c>
      <c r="AW79" s="1140">
        <f>IFERROR(('12. Разходи'!AJ79-'12. Разходи'!$AI79)/'12. Разходи'!$AI79,0)</f>
        <v>0</v>
      </c>
      <c r="AX79" s="926">
        <f>'12. Разходи'!AK79-'12. Разходи'!$AI79</f>
        <v>0</v>
      </c>
      <c r="AY79" s="1148">
        <f>IFERROR(('12. Разходи'!AK79-'12. Разходи'!$AI79)/'12. Разходи'!$AI79,0)</f>
        <v>0</v>
      </c>
      <c r="AZ79" s="926">
        <f>'12. Разходи'!AL79-'12. Разходи'!$AI79</f>
        <v>0</v>
      </c>
      <c r="BA79" s="1148">
        <f>IFERROR(('12. Разходи'!AL79-'12. Разходи'!$AI79)/'12. Разходи'!$AI79,0)</f>
        <v>0</v>
      </c>
      <c r="BB79" s="926">
        <f>'12. Разходи'!AM79-'12. Разходи'!$AI79</f>
        <v>0</v>
      </c>
      <c r="BC79" s="1147">
        <f>IFERROR(('12. Разходи'!AM79-'12. Разходи'!$AI79)/'12. Разходи'!$AI79,0)</f>
        <v>0</v>
      </c>
      <c r="BD79" s="1155">
        <f>'12. Разходи'!AN79-'12. Разходи'!$AI79</f>
        <v>0</v>
      </c>
      <c r="BE79" s="1202">
        <f>IFERROR(('12. Разходи'!AN79-'12. Разходи'!$AI79)/'12. Разходи'!$AI79,0)</f>
        <v>0</v>
      </c>
      <c r="BF79" s="4775"/>
      <c r="BG79" s="4794">
        <f t="shared" si="31"/>
        <v>0</v>
      </c>
      <c r="BH79" s="4794">
        <f t="shared" si="32"/>
        <v>0</v>
      </c>
      <c r="BI79" s="4794">
        <f t="shared" si="33"/>
        <v>0</v>
      </c>
      <c r="BJ79" s="4794">
        <f t="shared" si="34"/>
        <v>0</v>
      </c>
      <c r="BK79" s="4794">
        <f t="shared" si="35"/>
        <v>0</v>
      </c>
      <c r="BL79" s="4794">
        <f t="shared" si="36"/>
        <v>0</v>
      </c>
      <c r="BM79" s="4794">
        <f t="shared" si="37"/>
        <v>0</v>
      </c>
      <c r="BN79" s="4794">
        <f t="shared" si="38"/>
        <v>0</v>
      </c>
      <c r="BO79" s="4794">
        <f t="shared" si="39"/>
        <v>0</v>
      </c>
      <c r="BP79" s="4794">
        <f t="shared" si="40"/>
        <v>0</v>
      </c>
      <c r="BQ79" s="4794">
        <f t="shared" si="41"/>
        <v>0</v>
      </c>
      <c r="BR79" s="4794">
        <f t="shared" si="42"/>
        <v>0</v>
      </c>
      <c r="BS79" s="4794">
        <f t="shared" si="43"/>
        <v>0</v>
      </c>
      <c r="BT79" s="4794">
        <f t="shared" si="44"/>
        <v>0</v>
      </c>
      <c r="BU79" s="4794">
        <f t="shared" si="45"/>
        <v>0</v>
      </c>
      <c r="BV79" s="4794">
        <f t="shared" si="46"/>
        <v>0</v>
      </c>
      <c r="BW79" s="4794">
        <f t="shared" si="47"/>
        <v>0</v>
      </c>
      <c r="BX79" s="4794">
        <f t="shared" si="48"/>
        <v>0</v>
      </c>
      <c r="BY79" s="4794">
        <f t="shared" si="49"/>
        <v>0</v>
      </c>
      <c r="BZ79" s="4794">
        <f t="shared" si="50"/>
        <v>0</v>
      </c>
      <c r="CA79" s="4794">
        <f t="shared" si="51"/>
        <v>0</v>
      </c>
      <c r="CB79" s="4794">
        <f t="shared" si="52"/>
        <v>0</v>
      </c>
      <c r="CC79" s="4794">
        <f t="shared" si="53"/>
        <v>0</v>
      </c>
      <c r="CD79" s="4794">
        <f t="shared" si="54"/>
        <v>0</v>
      </c>
      <c r="CE79" s="4794">
        <f t="shared" si="55"/>
        <v>0</v>
      </c>
      <c r="CF79" s="4794">
        <f t="shared" si="56"/>
        <v>0</v>
      </c>
      <c r="CG79" s="4794">
        <f t="shared" si="57"/>
        <v>0</v>
      </c>
      <c r="CH79" s="4794">
        <f t="shared" si="58"/>
        <v>0</v>
      </c>
      <c r="CI79" s="4794">
        <f t="shared" si="59"/>
        <v>0</v>
      </c>
      <c r="CJ79" s="4794">
        <f t="shared" si="60"/>
        <v>0</v>
      </c>
    </row>
    <row r="80" spans="1:88" ht="15.95" customHeight="1">
      <c r="A80" s="113" t="s">
        <v>457</v>
      </c>
      <c r="B80" s="914" t="s">
        <v>273</v>
      </c>
      <c r="C80" s="1130">
        <f>'12. Разходи'!C80</f>
        <v>19</v>
      </c>
      <c r="D80" s="1160">
        <f>'12. Разходи'!D80-'12. Разходи'!$C80</f>
        <v>0</v>
      </c>
      <c r="E80" s="1140">
        <f>IFERROR(('12. Разходи'!D80-'12. Разходи'!$C80)/'12. Разходи'!$C80,0)</f>
        <v>0</v>
      </c>
      <c r="F80" s="926">
        <f>'12. Разходи'!E80-'12. Разходи'!$C80</f>
        <v>0</v>
      </c>
      <c r="G80" s="1148">
        <f>IFERROR(('12. Разходи'!E80-'12. Разходи'!$C80)/'12. Разходи'!$C80,0)</f>
        <v>0</v>
      </c>
      <c r="H80" s="926">
        <f>'12. Разходи'!F80-'12. Разходи'!$C80</f>
        <v>0</v>
      </c>
      <c r="I80" s="1148">
        <f>IFERROR(('12. Разходи'!F80-'12. Разходи'!$C80)/'12. Разходи'!$C80,0)</f>
        <v>0</v>
      </c>
      <c r="J80" s="926">
        <f>'12. Разходи'!G80-'12. Разходи'!$C80</f>
        <v>0</v>
      </c>
      <c r="K80" s="1147">
        <f>IFERROR(('12. Разходи'!G80-'12. Разходи'!$C80)/'12. Разходи'!$C80,0)</f>
        <v>0</v>
      </c>
      <c r="L80" s="1155">
        <f>'12. Разходи'!H80-'12. Разходи'!$C80</f>
        <v>0</v>
      </c>
      <c r="M80" s="1147">
        <f>IFERROR(('12. Разходи'!H80-'12. Разходи'!$C80)/'12. Разходи'!$C80,0)</f>
        <v>0</v>
      </c>
      <c r="N80" s="1196">
        <f>'12. Разходи'!K80</f>
        <v>4</v>
      </c>
      <c r="O80" s="1160">
        <f>'12. Разходи'!L80-'12. Разходи'!$K80</f>
        <v>0</v>
      </c>
      <c r="P80" s="1140">
        <f>IFERROR(('12. Разходи'!L80-'12. Разходи'!$K80)/'12. Разходи'!$K80,0)</f>
        <v>0</v>
      </c>
      <c r="Q80" s="926">
        <f>'12. Разходи'!M80-'12. Разходи'!$K80</f>
        <v>0</v>
      </c>
      <c r="R80" s="1148">
        <f>IFERROR(('12. Разходи'!M80-'12. Разходи'!$K80)/'12. Разходи'!$K80,0)</f>
        <v>0</v>
      </c>
      <c r="S80" s="926">
        <f>'12. Разходи'!N80-'12. Разходи'!$K80</f>
        <v>0</v>
      </c>
      <c r="T80" s="1148">
        <f>IFERROR(('12. Разходи'!N80-'12. Разходи'!$K80)/'12. Разходи'!$K80,0)</f>
        <v>0</v>
      </c>
      <c r="U80" s="926">
        <f>'12. Разходи'!O80-'12. Разходи'!$K80</f>
        <v>0</v>
      </c>
      <c r="V80" s="1147">
        <f>IFERROR(('12. Разходи'!O80-'12. Разходи'!$K80)/'12. Разходи'!$K80,0)</f>
        <v>0</v>
      </c>
      <c r="W80" s="1155">
        <f>'12. Разходи'!P80-'12. Разходи'!$K80</f>
        <v>0</v>
      </c>
      <c r="X80" s="1202">
        <f>IFERROR(('12. Разходи'!P80-'12. Разходи'!$K80)/'12. Разходи'!$K80,0)</f>
        <v>0</v>
      </c>
      <c r="Y80" s="1196">
        <f>'12. Разходи'!S80</f>
        <v>4</v>
      </c>
      <c r="Z80" s="1160">
        <f>'12. Разходи'!T80-'12. Разходи'!$S80</f>
        <v>0</v>
      </c>
      <c r="AA80" s="1140">
        <f>IFERROR(('12. Разходи'!T80-'12. Разходи'!$S80)/'12. Разходи'!$S80,0)</f>
        <v>0</v>
      </c>
      <c r="AB80" s="926">
        <f>'12. Разходи'!U80-'12. Разходи'!$S80</f>
        <v>0</v>
      </c>
      <c r="AC80" s="1148">
        <f>IFERROR(('12. Разходи'!U80-'12. Разходи'!$S80)/'12. Разходи'!$S80,0)</f>
        <v>0</v>
      </c>
      <c r="AD80" s="926">
        <f>'12. Разходи'!V80-'12. Разходи'!$S80</f>
        <v>0</v>
      </c>
      <c r="AE80" s="1148">
        <f>IFERROR(('12. Разходи'!V80-'12. Разходи'!$S80)/'12. Разходи'!$S80,0)</f>
        <v>0</v>
      </c>
      <c r="AF80" s="926">
        <f>'12. Разходи'!W80-'12. Разходи'!$S80</f>
        <v>0</v>
      </c>
      <c r="AG80" s="1147">
        <f>IFERROR(('12. Разходи'!W80-'12. Разходи'!$S80)/'12. Разходи'!$S80,0)</f>
        <v>0</v>
      </c>
      <c r="AH80" s="1155">
        <f>'12. Разходи'!X80-'12. Разходи'!$S80</f>
        <v>0</v>
      </c>
      <c r="AI80" s="1202">
        <f>IFERROR(('12. Разходи'!X80-'12. Разходи'!$S80)/'12. Разходи'!$S80,0)</f>
        <v>0</v>
      </c>
      <c r="AJ80" s="1196">
        <f>'12. Разходи'!AA80</f>
        <v>0</v>
      </c>
      <c r="AK80" s="1160">
        <f>'12. Разходи'!AB80-'12. Разходи'!$AA80</f>
        <v>0</v>
      </c>
      <c r="AL80" s="1140">
        <f>IFERROR(('12. Разходи'!AB80-'12. Разходи'!$AA80)/'12. Разходи'!$AA80,0)</f>
        <v>0</v>
      </c>
      <c r="AM80" s="926">
        <f>'12. Разходи'!AC80-'12. Разходи'!$AA80</f>
        <v>0</v>
      </c>
      <c r="AN80" s="1148">
        <f>IFERROR(('12. Разходи'!AC80-'12. Разходи'!$AA80)/'12. Разходи'!$AA80,0)</f>
        <v>0</v>
      </c>
      <c r="AO80" s="926">
        <f>'12. Разходи'!AD80-'12. Разходи'!$AA80</f>
        <v>0</v>
      </c>
      <c r="AP80" s="1148">
        <f>IFERROR(('12. Разходи'!AD80-'12. Разходи'!$AA80)/'12. Разходи'!$AA80,0)</f>
        <v>0</v>
      </c>
      <c r="AQ80" s="926">
        <f>'12. Разходи'!AE80-'12. Разходи'!$AA80</f>
        <v>0</v>
      </c>
      <c r="AR80" s="1147">
        <f>IFERROR(('12. Разходи'!AE80-'12. Разходи'!$AA80)/'12. Разходи'!$AA80,0)</f>
        <v>0</v>
      </c>
      <c r="AS80" s="1155">
        <f>'12. Разходи'!AF80-'12. Разходи'!$AA80</f>
        <v>0</v>
      </c>
      <c r="AT80" s="1202">
        <f>IFERROR(('12. Разходи'!AF80-'12. Разходи'!$AA80)/'12. Разходи'!$AA80,0)</f>
        <v>0</v>
      </c>
      <c r="AU80" s="1196">
        <f>'12. Разходи'!AI80</f>
        <v>0</v>
      </c>
      <c r="AV80" s="1160">
        <f>'12. Разходи'!AJ80-'12. Разходи'!$AI80</f>
        <v>0</v>
      </c>
      <c r="AW80" s="1140">
        <f>IFERROR(('12. Разходи'!AJ80-'12. Разходи'!$AI80)/'12. Разходи'!$AI80,0)</f>
        <v>0</v>
      </c>
      <c r="AX80" s="926">
        <f>'12. Разходи'!AK80-'12. Разходи'!$AI80</f>
        <v>0</v>
      </c>
      <c r="AY80" s="1148">
        <f>IFERROR(('12. Разходи'!AK80-'12. Разходи'!$AI80)/'12. Разходи'!$AI80,0)</f>
        <v>0</v>
      </c>
      <c r="AZ80" s="926">
        <f>'12. Разходи'!AL80-'12. Разходи'!$AI80</f>
        <v>0</v>
      </c>
      <c r="BA80" s="1148">
        <f>IFERROR(('12. Разходи'!AL80-'12. Разходи'!$AI80)/'12. Разходи'!$AI80,0)</f>
        <v>0</v>
      </c>
      <c r="BB80" s="926">
        <f>'12. Разходи'!AM80-'12. Разходи'!$AI80</f>
        <v>0</v>
      </c>
      <c r="BC80" s="1147">
        <f>IFERROR(('12. Разходи'!AM80-'12. Разходи'!$AI80)/'12. Разходи'!$AI80,0)</f>
        <v>0</v>
      </c>
      <c r="BD80" s="1155">
        <f>'12. Разходи'!AN80-'12. Разходи'!$AI80</f>
        <v>0</v>
      </c>
      <c r="BE80" s="1202">
        <f>IFERROR(('12. Разходи'!AN80-'12. Разходи'!$AI80)/'12. Разходи'!$AI80,0)</f>
        <v>0</v>
      </c>
      <c r="BF80" s="4775"/>
      <c r="BG80" s="4794">
        <f t="shared" si="31"/>
        <v>9.7145457427281521</v>
      </c>
      <c r="BH80" s="4794">
        <f t="shared" si="32"/>
        <v>0</v>
      </c>
      <c r="BI80" s="4794">
        <f t="shared" si="33"/>
        <v>0</v>
      </c>
      <c r="BJ80" s="4794">
        <f t="shared" si="34"/>
        <v>0</v>
      </c>
      <c r="BK80" s="4794">
        <f t="shared" si="35"/>
        <v>0</v>
      </c>
      <c r="BL80" s="4794">
        <f t="shared" si="36"/>
        <v>0</v>
      </c>
      <c r="BM80" s="4794">
        <f t="shared" si="37"/>
        <v>2.045167524784874</v>
      </c>
      <c r="BN80" s="4794">
        <f t="shared" si="38"/>
        <v>0</v>
      </c>
      <c r="BO80" s="4794">
        <f t="shared" si="39"/>
        <v>0</v>
      </c>
      <c r="BP80" s="4794">
        <f t="shared" si="40"/>
        <v>0</v>
      </c>
      <c r="BQ80" s="4794">
        <f t="shared" si="41"/>
        <v>0</v>
      </c>
      <c r="BR80" s="4794">
        <f t="shared" si="42"/>
        <v>0</v>
      </c>
      <c r="BS80" s="4794">
        <f t="shared" si="43"/>
        <v>2.045167524784874</v>
      </c>
      <c r="BT80" s="4794">
        <f t="shared" si="44"/>
        <v>0</v>
      </c>
      <c r="BU80" s="4794">
        <f t="shared" si="45"/>
        <v>0</v>
      </c>
      <c r="BV80" s="4794">
        <f t="shared" si="46"/>
        <v>0</v>
      </c>
      <c r="BW80" s="4794">
        <f t="shared" si="47"/>
        <v>0</v>
      </c>
      <c r="BX80" s="4794">
        <f t="shared" si="48"/>
        <v>0</v>
      </c>
      <c r="BY80" s="4794">
        <f t="shared" si="49"/>
        <v>0</v>
      </c>
      <c r="BZ80" s="4794">
        <f t="shared" si="50"/>
        <v>0</v>
      </c>
      <c r="CA80" s="4794">
        <f t="shared" si="51"/>
        <v>0</v>
      </c>
      <c r="CB80" s="4794">
        <f t="shared" si="52"/>
        <v>0</v>
      </c>
      <c r="CC80" s="4794">
        <f t="shared" si="53"/>
        <v>0</v>
      </c>
      <c r="CD80" s="4794">
        <f t="shared" si="54"/>
        <v>0</v>
      </c>
      <c r="CE80" s="4794">
        <f t="shared" si="55"/>
        <v>0</v>
      </c>
      <c r="CF80" s="4794">
        <f t="shared" si="56"/>
        <v>0</v>
      </c>
      <c r="CG80" s="4794">
        <f t="shared" si="57"/>
        <v>0</v>
      </c>
      <c r="CH80" s="4794">
        <f t="shared" si="58"/>
        <v>0</v>
      </c>
      <c r="CI80" s="4794">
        <f t="shared" si="59"/>
        <v>0</v>
      </c>
      <c r="CJ80" s="4794">
        <f t="shared" si="60"/>
        <v>0</v>
      </c>
    </row>
    <row r="81" spans="1:88" ht="15.95" customHeight="1">
      <c r="A81" s="113" t="s">
        <v>458</v>
      </c>
      <c r="B81" s="140" t="s">
        <v>275</v>
      </c>
      <c r="C81" s="1136">
        <f>'12. Разходи'!C81</f>
        <v>43</v>
      </c>
      <c r="D81" s="1160">
        <f>'12. Разходи'!D81-'12. Разходи'!$C81</f>
        <v>0</v>
      </c>
      <c r="E81" s="1140">
        <f>IFERROR(('12. Разходи'!D81-'12. Разходи'!$C81)/'12. Разходи'!$C81,0)</f>
        <v>0</v>
      </c>
      <c r="F81" s="926">
        <f>'12. Разходи'!E81-'12. Разходи'!$C81</f>
        <v>0</v>
      </c>
      <c r="G81" s="1148">
        <f>IFERROR(('12. Разходи'!E81-'12. Разходи'!$C81)/'12. Разходи'!$C81,0)</f>
        <v>0</v>
      </c>
      <c r="H81" s="926">
        <f>'12. Разходи'!F81-'12. Разходи'!$C81</f>
        <v>0</v>
      </c>
      <c r="I81" s="1148">
        <f>IFERROR(('12. Разходи'!F81-'12. Разходи'!$C81)/'12. Разходи'!$C81,0)</f>
        <v>0</v>
      </c>
      <c r="J81" s="926">
        <f>'12. Разходи'!G81-'12. Разходи'!$C81</f>
        <v>0</v>
      </c>
      <c r="K81" s="1147">
        <f>IFERROR(('12. Разходи'!G81-'12. Разходи'!$C81)/'12. Разходи'!$C81,0)</f>
        <v>0</v>
      </c>
      <c r="L81" s="1155">
        <f>'12. Разходи'!H81-'12. Разходи'!$C81</f>
        <v>0</v>
      </c>
      <c r="M81" s="1147">
        <f>IFERROR(('12. Разходи'!H81-'12. Разходи'!$C81)/'12. Разходи'!$C81,0)</f>
        <v>0</v>
      </c>
      <c r="N81" s="1196">
        <f>'12. Разходи'!K81</f>
        <v>10.045999999999999</v>
      </c>
      <c r="O81" s="1160">
        <f>'12. Разходи'!L81-'12. Разходи'!$K81</f>
        <v>-4.5999999999999375E-2</v>
      </c>
      <c r="P81" s="1140">
        <f>IFERROR(('12. Разходи'!L81-'12. Разходи'!$K81)/'12. Разходи'!$K81,0)</f>
        <v>-4.5789368903045372E-3</v>
      </c>
      <c r="Q81" s="926">
        <f>'12. Разходи'!M81-'12. Разходи'!$K81</f>
        <v>-4.5999999999999375E-2</v>
      </c>
      <c r="R81" s="1148">
        <f>IFERROR(('12. Разходи'!M81-'12. Разходи'!$K81)/'12. Разходи'!$K81,0)</f>
        <v>-4.5789368903045372E-3</v>
      </c>
      <c r="S81" s="926">
        <f>'12. Разходи'!N81-'12. Разходи'!$K81</f>
        <v>-4.5999999999999375E-2</v>
      </c>
      <c r="T81" s="1148">
        <f>IFERROR(('12. Разходи'!N81-'12. Разходи'!$K81)/'12. Разходи'!$K81,0)</f>
        <v>-4.5789368903045372E-3</v>
      </c>
      <c r="U81" s="926">
        <f>'12. Разходи'!O81-'12. Разходи'!$K81</f>
        <v>-4.5999999999999375E-2</v>
      </c>
      <c r="V81" s="1147">
        <f>IFERROR(('12. Разходи'!O81-'12. Разходи'!$K81)/'12. Разходи'!$K81,0)</f>
        <v>-4.5789368903045372E-3</v>
      </c>
      <c r="W81" s="1155">
        <f>'12. Разходи'!P81-'12. Разходи'!$K81</f>
        <v>-4.5999999999999375E-2</v>
      </c>
      <c r="X81" s="1202">
        <f>IFERROR(('12. Разходи'!P81-'12. Разходи'!$K81)/'12. Разходи'!$K81,0)</f>
        <v>-4.5789368903045372E-3</v>
      </c>
      <c r="Y81" s="1196">
        <f>'12. Разходи'!S81</f>
        <v>10.599</v>
      </c>
      <c r="Z81" s="1160">
        <f>'12. Разходи'!T81-'12. Разходи'!$S81</f>
        <v>0.4009999999999998</v>
      </c>
      <c r="AA81" s="1140">
        <f>IFERROR(('12. Разходи'!T81-'12. Разходи'!$S81)/'12. Разходи'!$S81,0)</f>
        <v>3.7833757901688816E-2</v>
      </c>
      <c r="AB81" s="926">
        <f>'12. Разходи'!U81-'12. Разходи'!$S81</f>
        <v>0.4009999999999998</v>
      </c>
      <c r="AC81" s="1148">
        <f>IFERROR(('12. Разходи'!U81-'12. Разходи'!$S81)/'12. Разходи'!$S81,0)</f>
        <v>3.7833757901688816E-2</v>
      </c>
      <c r="AD81" s="926">
        <f>'12. Разходи'!V81-'12. Разходи'!$S81</f>
        <v>0.4009999999999998</v>
      </c>
      <c r="AE81" s="1148">
        <f>IFERROR(('12. Разходи'!V81-'12. Разходи'!$S81)/'12. Разходи'!$S81,0)</f>
        <v>3.7833757901688816E-2</v>
      </c>
      <c r="AF81" s="926">
        <f>'12. Разходи'!W81-'12. Разходи'!$S81</f>
        <v>0.4009999999999998</v>
      </c>
      <c r="AG81" s="1147">
        <f>IFERROR(('12. Разходи'!W81-'12. Разходи'!$S81)/'12. Разходи'!$S81,0)</f>
        <v>3.7833757901688816E-2</v>
      </c>
      <c r="AH81" s="1155">
        <f>'12. Разходи'!X81-'12. Разходи'!$S81</f>
        <v>0.4009999999999998</v>
      </c>
      <c r="AI81" s="1202">
        <f>IFERROR(('12. Разходи'!X81-'12. Разходи'!$S81)/'12. Разходи'!$S81,0)</f>
        <v>3.7833757901688816E-2</v>
      </c>
      <c r="AJ81" s="1196">
        <f>'12. Разходи'!AA81</f>
        <v>0</v>
      </c>
      <c r="AK81" s="1160">
        <f>'12. Разходи'!AB81-'12. Разходи'!$AA81</f>
        <v>0</v>
      </c>
      <c r="AL81" s="1140">
        <f>IFERROR(('12. Разходи'!AB81-'12. Разходи'!$AA81)/'12. Разходи'!$AA81,0)</f>
        <v>0</v>
      </c>
      <c r="AM81" s="926">
        <f>'12. Разходи'!AC81-'12. Разходи'!$AA81</f>
        <v>0</v>
      </c>
      <c r="AN81" s="1148">
        <f>IFERROR(('12. Разходи'!AC81-'12. Разходи'!$AA81)/'12. Разходи'!$AA81,0)</f>
        <v>0</v>
      </c>
      <c r="AO81" s="926">
        <f>'12. Разходи'!AD81-'12. Разходи'!$AA81</f>
        <v>0</v>
      </c>
      <c r="AP81" s="1148">
        <f>IFERROR(('12. Разходи'!AD81-'12. Разходи'!$AA81)/'12. Разходи'!$AA81,0)</f>
        <v>0</v>
      </c>
      <c r="AQ81" s="926">
        <f>'12. Разходи'!AE81-'12. Разходи'!$AA81</f>
        <v>0</v>
      </c>
      <c r="AR81" s="1147">
        <f>IFERROR(('12. Разходи'!AE81-'12. Разходи'!$AA81)/'12. Разходи'!$AA81,0)</f>
        <v>0</v>
      </c>
      <c r="AS81" s="1155">
        <f>'12. Разходи'!AF81-'12. Разходи'!$AA81</f>
        <v>0</v>
      </c>
      <c r="AT81" s="1202">
        <f>IFERROR(('12. Разходи'!AF81-'12. Разходи'!$AA81)/'12. Разходи'!$AA81,0)</f>
        <v>0</v>
      </c>
      <c r="AU81" s="1196">
        <f>'12. Разходи'!AI81</f>
        <v>0</v>
      </c>
      <c r="AV81" s="1160">
        <f>'12. Разходи'!AJ81-'12. Разходи'!$AI81</f>
        <v>0</v>
      </c>
      <c r="AW81" s="1140">
        <f>IFERROR(('12. Разходи'!AJ81-'12. Разходи'!$AI81)/'12. Разходи'!$AI81,0)</f>
        <v>0</v>
      </c>
      <c r="AX81" s="926">
        <f>'12. Разходи'!AK81-'12. Разходи'!$AI81</f>
        <v>0</v>
      </c>
      <c r="AY81" s="1148">
        <f>IFERROR(('12. Разходи'!AK81-'12. Разходи'!$AI81)/'12. Разходи'!$AI81,0)</f>
        <v>0</v>
      </c>
      <c r="AZ81" s="926">
        <f>'12. Разходи'!AL81-'12. Разходи'!$AI81</f>
        <v>0</v>
      </c>
      <c r="BA81" s="1148">
        <f>IFERROR(('12. Разходи'!AL81-'12. Разходи'!$AI81)/'12. Разходи'!$AI81,0)</f>
        <v>0</v>
      </c>
      <c r="BB81" s="926">
        <f>'12. Разходи'!AM81-'12. Разходи'!$AI81</f>
        <v>0</v>
      </c>
      <c r="BC81" s="1147">
        <f>IFERROR(('12. Разходи'!AM81-'12. Разходи'!$AI81)/'12. Разходи'!$AI81,0)</f>
        <v>0</v>
      </c>
      <c r="BD81" s="1155">
        <f>'12. Разходи'!AN81-'12. Разходи'!$AI81</f>
        <v>0</v>
      </c>
      <c r="BE81" s="1202">
        <f>IFERROR(('12. Разходи'!AN81-'12. Разходи'!$AI81)/'12. Разходи'!$AI81,0)</f>
        <v>0</v>
      </c>
      <c r="BF81" s="4775"/>
      <c r="BG81" s="4794">
        <f t="shared" si="31"/>
        <v>21.985550891437395</v>
      </c>
      <c r="BH81" s="4794">
        <f t="shared" si="32"/>
        <v>0</v>
      </c>
      <c r="BI81" s="4794">
        <f t="shared" si="33"/>
        <v>0</v>
      </c>
      <c r="BJ81" s="4794">
        <f t="shared" si="34"/>
        <v>0</v>
      </c>
      <c r="BK81" s="4794">
        <f t="shared" si="35"/>
        <v>0</v>
      </c>
      <c r="BL81" s="4794">
        <f t="shared" si="36"/>
        <v>0</v>
      </c>
      <c r="BM81" s="4794">
        <f t="shared" si="37"/>
        <v>5.1364382384972105</v>
      </c>
      <c r="BN81" s="4794">
        <f t="shared" si="38"/>
        <v>-2.3519426535025732E-2</v>
      </c>
      <c r="BO81" s="4794">
        <f t="shared" si="39"/>
        <v>-2.3519426535025732E-2</v>
      </c>
      <c r="BP81" s="4794">
        <f t="shared" si="40"/>
        <v>-2.3519426535025732E-2</v>
      </c>
      <c r="BQ81" s="4794">
        <f t="shared" si="41"/>
        <v>-2.3519426535025732E-2</v>
      </c>
      <c r="BR81" s="4794">
        <f t="shared" si="42"/>
        <v>-2.3519426535025732E-2</v>
      </c>
      <c r="BS81" s="4794">
        <f t="shared" si="43"/>
        <v>5.4191826487987198</v>
      </c>
      <c r="BT81" s="4794">
        <f t="shared" si="44"/>
        <v>0.20502804435968353</v>
      </c>
      <c r="BU81" s="4794">
        <f t="shared" si="45"/>
        <v>0.20502804435968353</v>
      </c>
      <c r="BV81" s="4794">
        <f t="shared" si="46"/>
        <v>0.20502804435968353</v>
      </c>
      <c r="BW81" s="4794">
        <f t="shared" si="47"/>
        <v>0.20502804435968353</v>
      </c>
      <c r="BX81" s="4794">
        <f t="shared" si="48"/>
        <v>0.20502804435968353</v>
      </c>
      <c r="BY81" s="4794">
        <f t="shared" si="49"/>
        <v>0</v>
      </c>
      <c r="BZ81" s="4794">
        <f t="shared" si="50"/>
        <v>0</v>
      </c>
      <c r="CA81" s="4794">
        <f t="shared" si="51"/>
        <v>0</v>
      </c>
      <c r="CB81" s="4794">
        <f t="shared" si="52"/>
        <v>0</v>
      </c>
      <c r="CC81" s="4794">
        <f t="shared" si="53"/>
        <v>0</v>
      </c>
      <c r="CD81" s="4794">
        <f t="shared" si="54"/>
        <v>0</v>
      </c>
      <c r="CE81" s="4794">
        <f t="shared" si="55"/>
        <v>0</v>
      </c>
      <c r="CF81" s="4794">
        <f t="shared" si="56"/>
        <v>0</v>
      </c>
      <c r="CG81" s="4794">
        <f t="shared" si="57"/>
        <v>0</v>
      </c>
      <c r="CH81" s="4794">
        <f t="shared" si="58"/>
        <v>0</v>
      </c>
      <c r="CI81" s="4794">
        <f t="shared" si="59"/>
        <v>0</v>
      </c>
      <c r="CJ81" s="4794">
        <f t="shared" si="60"/>
        <v>0</v>
      </c>
    </row>
    <row r="82" spans="1:88" ht="15.95" customHeight="1">
      <c r="A82" s="113" t="s">
        <v>459</v>
      </c>
      <c r="B82" s="259" t="s">
        <v>261</v>
      </c>
      <c r="C82" s="1137">
        <f>'12. Разходи'!C82</f>
        <v>0</v>
      </c>
      <c r="D82" s="1160">
        <f>'12. Разходи'!D82-'12. Разходи'!$C82</f>
        <v>0</v>
      </c>
      <c r="E82" s="1140">
        <f>IFERROR(('12. Разходи'!D82-'12. Разходи'!$C82)/'12. Разходи'!$C82,0)</f>
        <v>0</v>
      </c>
      <c r="F82" s="926">
        <f>'12. Разходи'!E82-'12. Разходи'!$C82</f>
        <v>0</v>
      </c>
      <c r="G82" s="1148">
        <f>IFERROR(('12. Разходи'!E82-'12. Разходи'!$C82)/'12. Разходи'!$C82,0)</f>
        <v>0</v>
      </c>
      <c r="H82" s="926">
        <f>'12. Разходи'!F82-'12. Разходи'!$C82</f>
        <v>0</v>
      </c>
      <c r="I82" s="1148">
        <f>IFERROR(('12. Разходи'!F82-'12. Разходи'!$C82)/'12. Разходи'!$C82,0)</f>
        <v>0</v>
      </c>
      <c r="J82" s="926">
        <f>'12. Разходи'!G82-'12. Разходи'!$C82</f>
        <v>0</v>
      </c>
      <c r="K82" s="1147">
        <f>IFERROR(('12. Разходи'!G82-'12. Разходи'!$C82)/'12. Разходи'!$C82,0)</f>
        <v>0</v>
      </c>
      <c r="L82" s="1155">
        <f>'12. Разходи'!H82-'12. Разходи'!$C82</f>
        <v>0</v>
      </c>
      <c r="M82" s="1147">
        <f>IFERROR(('12. Разходи'!H82-'12. Разходи'!$C82)/'12. Разходи'!$C82,0)</f>
        <v>0</v>
      </c>
      <c r="N82" s="1196">
        <f>'12. Разходи'!K82</f>
        <v>0</v>
      </c>
      <c r="O82" s="1160">
        <f>'12. Разходи'!L82-'12. Разходи'!$K82</f>
        <v>0</v>
      </c>
      <c r="P82" s="1140">
        <f>IFERROR(('12. Разходи'!L82-'12. Разходи'!$K82)/'12. Разходи'!$K82,0)</f>
        <v>0</v>
      </c>
      <c r="Q82" s="926">
        <f>'12. Разходи'!M82-'12. Разходи'!$K82</f>
        <v>0</v>
      </c>
      <c r="R82" s="1148">
        <f>IFERROR(('12. Разходи'!M82-'12. Разходи'!$K82)/'12. Разходи'!$K82,0)</f>
        <v>0</v>
      </c>
      <c r="S82" s="926">
        <f>'12. Разходи'!N82-'12. Разходи'!$K82</f>
        <v>0</v>
      </c>
      <c r="T82" s="1148">
        <f>IFERROR(('12. Разходи'!N82-'12. Разходи'!$K82)/'12. Разходи'!$K82,0)</f>
        <v>0</v>
      </c>
      <c r="U82" s="926">
        <f>'12. Разходи'!O82-'12. Разходи'!$K82</f>
        <v>0</v>
      </c>
      <c r="V82" s="1147">
        <f>IFERROR(('12. Разходи'!O82-'12. Разходи'!$K82)/'12. Разходи'!$K82,0)</f>
        <v>0</v>
      </c>
      <c r="W82" s="1155">
        <f>'12. Разходи'!P82-'12. Разходи'!$K82</f>
        <v>0</v>
      </c>
      <c r="X82" s="1202">
        <f>IFERROR(('12. Разходи'!P82-'12. Разходи'!$K82)/'12. Разходи'!$K82,0)</f>
        <v>0</v>
      </c>
      <c r="Y82" s="1196">
        <f>'12. Разходи'!S82</f>
        <v>0</v>
      </c>
      <c r="Z82" s="1160">
        <f>'12. Разходи'!T82-'12. Разходи'!$S82</f>
        <v>0</v>
      </c>
      <c r="AA82" s="1140">
        <f>IFERROR(('12. Разходи'!T82-'12. Разходи'!$S82)/'12. Разходи'!$S82,0)</f>
        <v>0</v>
      </c>
      <c r="AB82" s="926">
        <f>'12. Разходи'!U82-'12. Разходи'!$S82</f>
        <v>0</v>
      </c>
      <c r="AC82" s="1148">
        <f>IFERROR(('12. Разходи'!U82-'12. Разходи'!$S82)/'12. Разходи'!$S82,0)</f>
        <v>0</v>
      </c>
      <c r="AD82" s="926">
        <f>'12. Разходи'!V82-'12. Разходи'!$S82</f>
        <v>0</v>
      </c>
      <c r="AE82" s="1148">
        <f>IFERROR(('12. Разходи'!V82-'12. Разходи'!$S82)/'12. Разходи'!$S82,0)</f>
        <v>0</v>
      </c>
      <c r="AF82" s="926">
        <f>'12. Разходи'!W82-'12. Разходи'!$S82</f>
        <v>0</v>
      </c>
      <c r="AG82" s="1147">
        <f>IFERROR(('12. Разходи'!W82-'12. Разходи'!$S82)/'12. Разходи'!$S82,0)</f>
        <v>0</v>
      </c>
      <c r="AH82" s="1155">
        <f>'12. Разходи'!X82-'12. Разходи'!$S82</f>
        <v>0</v>
      </c>
      <c r="AI82" s="1202">
        <f>IFERROR(('12. Разходи'!X82-'12. Разходи'!$S82)/'12. Разходи'!$S82,0)</f>
        <v>0</v>
      </c>
      <c r="AJ82" s="1196">
        <f>'12. Разходи'!AA82</f>
        <v>0</v>
      </c>
      <c r="AK82" s="1160">
        <f>'12. Разходи'!AB82-'12. Разходи'!$AA82</f>
        <v>0</v>
      </c>
      <c r="AL82" s="1140">
        <f>IFERROR(('12. Разходи'!AB82-'12. Разходи'!$AA82)/'12. Разходи'!$AA82,0)</f>
        <v>0</v>
      </c>
      <c r="AM82" s="926">
        <f>'12. Разходи'!AC82-'12. Разходи'!$AA82</f>
        <v>0</v>
      </c>
      <c r="AN82" s="1148">
        <f>IFERROR(('12. Разходи'!AC82-'12. Разходи'!$AA82)/'12. Разходи'!$AA82,0)</f>
        <v>0</v>
      </c>
      <c r="AO82" s="926">
        <f>'12. Разходи'!AD82-'12. Разходи'!$AA82</f>
        <v>0</v>
      </c>
      <c r="AP82" s="1148">
        <f>IFERROR(('12. Разходи'!AD82-'12. Разходи'!$AA82)/'12. Разходи'!$AA82,0)</f>
        <v>0</v>
      </c>
      <c r="AQ82" s="926">
        <f>'12. Разходи'!AE82-'12. Разходи'!$AA82</f>
        <v>0</v>
      </c>
      <c r="AR82" s="1147">
        <f>IFERROR(('12. Разходи'!AE82-'12. Разходи'!$AA82)/'12. Разходи'!$AA82,0)</f>
        <v>0</v>
      </c>
      <c r="AS82" s="1155">
        <f>'12. Разходи'!AF82-'12. Разходи'!$AA82</f>
        <v>0</v>
      </c>
      <c r="AT82" s="1202">
        <f>IFERROR(('12. Разходи'!AF82-'12. Разходи'!$AA82)/'12. Разходи'!$AA82,0)</f>
        <v>0</v>
      </c>
      <c r="AU82" s="1196">
        <f>'12. Разходи'!AI82</f>
        <v>0</v>
      </c>
      <c r="AV82" s="1160">
        <f>'12. Разходи'!AJ82-'12. Разходи'!$AI82</f>
        <v>0</v>
      </c>
      <c r="AW82" s="1140">
        <f>IFERROR(('12. Разходи'!AJ82-'12. Разходи'!$AI82)/'12. Разходи'!$AI82,0)</f>
        <v>0</v>
      </c>
      <c r="AX82" s="926">
        <f>'12. Разходи'!AK82-'12. Разходи'!$AI82</f>
        <v>0</v>
      </c>
      <c r="AY82" s="1148">
        <f>IFERROR(('12. Разходи'!AK82-'12. Разходи'!$AI82)/'12. Разходи'!$AI82,0)</f>
        <v>0</v>
      </c>
      <c r="AZ82" s="926">
        <f>'12. Разходи'!AL82-'12. Разходи'!$AI82</f>
        <v>0</v>
      </c>
      <c r="BA82" s="1148">
        <f>IFERROR(('12. Разходи'!AL82-'12. Разходи'!$AI82)/'12. Разходи'!$AI82,0)</f>
        <v>0</v>
      </c>
      <c r="BB82" s="926">
        <f>'12. Разходи'!AM82-'12. Разходи'!$AI82</f>
        <v>0</v>
      </c>
      <c r="BC82" s="1147">
        <f>IFERROR(('12. Разходи'!AM82-'12. Разходи'!$AI82)/'12. Разходи'!$AI82,0)</f>
        <v>0</v>
      </c>
      <c r="BD82" s="1155">
        <f>'12. Разходи'!AN82-'12. Разходи'!$AI82</f>
        <v>0</v>
      </c>
      <c r="BE82" s="1202">
        <f>IFERROR(('12. Разходи'!AN82-'12. Разходи'!$AI82)/'12. Разходи'!$AI82,0)</f>
        <v>0</v>
      </c>
      <c r="BF82" s="4775"/>
      <c r="BG82" s="4794">
        <f t="shared" si="31"/>
        <v>0</v>
      </c>
      <c r="BH82" s="4794">
        <f t="shared" si="32"/>
        <v>0</v>
      </c>
      <c r="BI82" s="4794">
        <f t="shared" si="33"/>
        <v>0</v>
      </c>
      <c r="BJ82" s="4794">
        <f t="shared" si="34"/>
        <v>0</v>
      </c>
      <c r="BK82" s="4794">
        <f t="shared" si="35"/>
        <v>0</v>
      </c>
      <c r="BL82" s="4794">
        <f t="shared" si="36"/>
        <v>0</v>
      </c>
      <c r="BM82" s="4794">
        <f t="shared" si="37"/>
        <v>0</v>
      </c>
      <c r="BN82" s="4794">
        <f t="shared" si="38"/>
        <v>0</v>
      </c>
      <c r="BO82" s="4794">
        <f t="shared" si="39"/>
        <v>0</v>
      </c>
      <c r="BP82" s="4794">
        <f t="shared" si="40"/>
        <v>0</v>
      </c>
      <c r="BQ82" s="4794">
        <f t="shared" si="41"/>
        <v>0</v>
      </c>
      <c r="BR82" s="4794">
        <f t="shared" si="42"/>
        <v>0</v>
      </c>
      <c r="BS82" s="4794">
        <f t="shared" si="43"/>
        <v>0</v>
      </c>
      <c r="BT82" s="4794">
        <f t="shared" si="44"/>
        <v>0</v>
      </c>
      <c r="BU82" s="4794">
        <f t="shared" si="45"/>
        <v>0</v>
      </c>
      <c r="BV82" s="4794">
        <f t="shared" si="46"/>
        <v>0</v>
      </c>
      <c r="BW82" s="4794">
        <f t="shared" si="47"/>
        <v>0</v>
      </c>
      <c r="BX82" s="4794">
        <f t="shared" si="48"/>
        <v>0</v>
      </c>
      <c r="BY82" s="4794">
        <f t="shared" si="49"/>
        <v>0</v>
      </c>
      <c r="BZ82" s="4794">
        <f t="shared" si="50"/>
        <v>0</v>
      </c>
      <c r="CA82" s="4794">
        <f t="shared" si="51"/>
        <v>0</v>
      </c>
      <c r="CB82" s="4794">
        <f t="shared" si="52"/>
        <v>0</v>
      </c>
      <c r="CC82" s="4794">
        <f t="shared" si="53"/>
        <v>0</v>
      </c>
      <c r="CD82" s="4794">
        <f t="shared" si="54"/>
        <v>0</v>
      </c>
      <c r="CE82" s="4794">
        <f t="shared" si="55"/>
        <v>0</v>
      </c>
      <c r="CF82" s="4794">
        <f t="shared" si="56"/>
        <v>0</v>
      </c>
      <c r="CG82" s="4794">
        <f t="shared" si="57"/>
        <v>0</v>
      </c>
      <c r="CH82" s="4794">
        <f t="shared" si="58"/>
        <v>0</v>
      </c>
      <c r="CI82" s="4794">
        <f t="shared" si="59"/>
        <v>0</v>
      </c>
      <c r="CJ82" s="4794">
        <f t="shared" si="60"/>
        <v>0</v>
      </c>
    </row>
    <row r="83" spans="1:88" ht="15.95" customHeight="1">
      <c r="A83" s="113" t="s">
        <v>460</v>
      </c>
      <c r="B83" s="140" t="s">
        <v>238</v>
      </c>
      <c r="C83" s="1204">
        <f>'12. Разходи'!C83</f>
        <v>35.299999999999997</v>
      </c>
      <c r="D83" s="1161">
        <f>'12. Разходи'!D83-'12. Разходи'!$C83</f>
        <v>-0.29999999999999716</v>
      </c>
      <c r="E83" s="897">
        <f>IFERROR(('12. Разходи'!D83-'12. Разходи'!$C83)/'12. Разходи'!$C83,0)</f>
        <v>-8.4985835694050185E-3</v>
      </c>
      <c r="F83" s="1154">
        <f>'12. Разходи'!E83-'12. Разходи'!$C83</f>
        <v>-0.29999999999999716</v>
      </c>
      <c r="G83" s="897">
        <f>IFERROR(('12. Разходи'!E83-'12. Разходи'!$C83)/'12. Разходи'!$C83,0)</f>
        <v>-8.4985835694050185E-3</v>
      </c>
      <c r="H83" s="1154">
        <f>'12. Разходи'!F83-'12. Разходи'!$C83</f>
        <v>-0.29999999999999716</v>
      </c>
      <c r="I83" s="897">
        <f>IFERROR(('12. Разходи'!F83-'12. Разходи'!$C83)/'12. Разходи'!$C83,0)</f>
        <v>-8.4985835694050185E-3</v>
      </c>
      <c r="J83" s="1154">
        <f>'12. Разходи'!G83-'12. Разходи'!$C83</f>
        <v>-0.29999999999999716</v>
      </c>
      <c r="K83" s="904">
        <f>IFERROR(('12. Разходи'!G83-'12. Разходи'!$C83)/'12. Разходи'!$C83,0)</f>
        <v>-8.4985835694050185E-3</v>
      </c>
      <c r="L83" s="1154">
        <f>'12. Разходи'!H83-'12. Разходи'!$C83</f>
        <v>-0.29999999999999716</v>
      </c>
      <c r="M83" s="904">
        <f>IFERROR(('12. Разходи'!H83-'12. Разходи'!$C83)/'12. Разходи'!$C83,0)</f>
        <v>-8.4985835694050185E-3</v>
      </c>
      <c r="N83" s="1183">
        <f>'12. Разходи'!K83</f>
        <v>0</v>
      </c>
      <c r="O83" s="1161">
        <f>'12. Разходи'!L83-'12. Разходи'!$K83</f>
        <v>0</v>
      </c>
      <c r="P83" s="897">
        <f>IFERROR(('12. Разходи'!L83-'12. Разходи'!$K83)/'12. Разходи'!$K83,0)</f>
        <v>0</v>
      </c>
      <c r="Q83" s="1154">
        <f>'12. Разходи'!M83-'12. Разходи'!$K83</f>
        <v>0</v>
      </c>
      <c r="R83" s="897">
        <f>IFERROR(('12. Разходи'!M83-'12. Разходи'!$K83)/'12. Разходи'!$K83,0)</f>
        <v>0</v>
      </c>
      <c r="S83" s="1154">
        <f>'12. Разходи'!N83-'12. Разходи'!$K83</f>
        <v>0</v>
      </c>
      <c r="T83" s="897">
        <f>IFERROR(('12. Разходи'!N83-'12. Разходи'!$K83)/'12. Разходи'!$K83,0)</f>
        <v>0</v>
      </c>
      <c r="U83" s="1154">
        <f>'12. Разходи'!O83-'12. Разходи'!$K83</f>
        <v>0</v>
      </c>
      <c r="V83" s="904">
        <f>IFERROR(('12. Разходи'!O83-'12. Разходи'!$K83)/'12. Разходи'!$K83,0)</f>
        <v>0</v>
      </c>
      <c r="W83" s="1154">
        <f>'12. Разходи'!P83-'12. Разходи'!$K83</f>
        <v>0</v>
      </c>
      <c r="X83" s="725">
        <f>IFERROR(('12. Разходи'!P83-'12. Разходи'!$K83)/'12. Разходи'!$K83,0)</f>
        <v>0</v>
      </c>
      <c r="Y83" s="1183">
        <f>'12. Разходи'!S83</f>
        <v>17.2</v>
      </c>
      <c r="Z83" s="1161">
        <f>'12. Разходи'!T83-'12. Разходи'!$S83</f>
        <v>-0.19999999999999929</v>
      </c>
      <c r="AA83" s="897">
        <f>IFERROR(('12. Разходи'!T83-'12. Разходи'!$S83)/'12. Разходи'!$S83,0)</f>
        <v>-1.1627906976744146E-2</v>
      </c>
      <c r="AB83" s="1154">
        <f>'12. Разходи'!U83-'12. Разходи'!$S83</f>
        <v>-0.19999999999999929</v>
      </c>
      <c r="AC83" s="897">
        <f>IFERROR(('12. Разходи'!U83-'12. Разходи'!$S83)/'12. Разходи'!$S83,0)</f>
        <v>-1.1627906976744146E-2</v>
      </c>
      <c r="AD83" s="1154">
        <f>'12. Разходи'!V83-'12. Разходи'!$S83</f>
        <v>-0.19999999999999929</v>
      </c>
      <c r="AE83" s="897">
        <f>IFERROR(('12. Разходи'!V83-'12. Разходи'!$S83)/'12. Разходи'!$S83,0)</f>
        <v>-1.1627906976744146E-2</v>
      </c>
      <c r="AF83" s="1154">
        <f>'12. Разходи'!W83-'12. Разходи'!$S83</f>
        <v>-0.19999999999999929</v>
      </c>
      <c r="AG83" s="904">
        <f>IFERROR(('12. Разходи'!W83-'12. Разходи'!$S83)/'12. Разходи'!$S83,0)</f>
        <v>-1.1627906976744146E-2</v>
      </c>
      <c r="AH83" s="1154">
        <f>'12. Разходи'!X83-'12. Разходи'!$S83</f>
        <v>-0.19999999999999929</v>
      </c>
      <c r="AI83" s="725">
        <f>IFERROR(('12. Разходи'!X83-'12. Разходи'!$S83)/'12. Разходи'!$S83,0)</f>
        <v>-1.1627906976744146E-2</v>
      </c>
      <c r="AJ83" s="1183">
        <f>'12. Разходи'!AA83</f>
        <v>0</v>
      </c>
      <c r="AK83" s="1161">
        <f>'12. Разходи'!AB83-'12. Разходи'!$AA83</f>
        <v>0</v>
      </c>
      <c r="AL83" s="897">
        <f>IFERROR(('12. Разходи'!AB83-'12. Разходи'!$AA83)/'12. Разходи'!$AA83,0)</f>
        <v>0</v>
      </c>
      <c r="AM83" s="1154">
        <f>'12. Разходи'!AC83-'12. Разходи'!$AA83</f>
        <v>0</v>
      </c>
      <c r="AN83" s="897">
        <f>IFERROR(('12. Разходи'!AC83-'12. Разходи'!$AA83)/'12. Разходи'!$AA83,0)</f>
        <v>0</v>
      </c>
      <c r="AO83" s="1154">
        <f>'12. Разходи'!AD83-'12. Разходи'!$AA83</f>
        <v>0</v>
      </c>
      <c r="AP83" s="897">
        <f>IFERROR(('12. Разходи'!AD83-'12. Разходи'!$AA83)/'12. Разходи'!$AA83,0)</f>
        <v>0</v>
      </c>
      <c r="AQ83" s="1154">
        <f>'12. Разходи'!AE83-'12. Разходи'!$AA83</f>
        <v>0</v>
      </c>
      <c r="AR83" s="904">
        <f>IFERROR(('12. Разходи'!AE83-'12. Разходи'!$AA83)/'12. Разходи'!$AA83,0)</f>
        <v>0</v>
      </c>
      <c r="AS83" s="1154">
        <f>'12. Разходи'!AF83-'12. Разходи'!$AA83</f>
        <v>0</v>
      </c>
      <c r="AT83" s="1206">
        <f>IFERROR(('12. Разходи'!AF83-'12. Разходи'!$AA83)/'12. Разходи'!$AA83,0)</f>
        <v>0</v>
      </c>
      <c r="AU83" s="1183">
        <f>'12. Разходи'!AI83</f>
        <v>0</v>
      </c>
      <c r="AV83" s="1161">
        <f>'12. Разходи'!AJ83-'12. Разходи'!$AI83</f>
        <v>0</v>
      </c>
      <c r="AW83" s="897">
        <f>IFERROR(('12. Разходи'!AJ83-'12. Разходи'!$AI83)/'12. Разходи'!$AI83,0)</f>
        <v>0</v>
      </c>
      <c r="AX83" s="1154">
        <f>'12. Разходи'!AK83-'12. Разходи'!$AI83</f>
        <v>0</v>
      </c>
      <c r="AY83" s="897">
        <f>IFERROR(('12. Разходи'!AK83-'12. Разходи'!$AI83)/'12. Разходи'!$AI83,0)</f>
        <v>0</v>
      </c>
      <c r="AZ83" s="1154">
        <f>'12. Разходи'!AL83-'12. Разходи'!$AI83</f>
        <v>0</v>
      </c>
      <c r="BA83" s="897">
        <f>IFERROR(('12. Разходи'!AL83-'12. Разходи'!$AI83)/'12. Разходи'!$AI83,0)</f>
        <v>0</v>
      </c>
      <c r="BB83" s="1154">
        <f>'12. Разходи'!AM83-'12. Разходи'!$AI83</f>
        <v>0</v>
      </c>
      <c r="BC83" s="904">
        <f>IFERROR(('12. Разходи'!AM83-'12. Разходи'!$AI83)/'12. Разходи'!$AI83,0)</f>
        <v>0</v>
      </c>
      <c r="BD83" s="1154">
        <f>'12. Разходи'!AN83-'12. Разходи'!$AI83</f>
        <v>0</v>
      </c>
      <c r="BE83" s="1206">
        <f>IFERROR(('12. Разходи'!AN83-'12. Разходи'!$AI83)/'12. Разходи'!$AI83,0)</f>
        <v>0</v>
      </c>
      <c r="BF83" s="4775"/>
      <c r="BG83" s="4794">
        <f t="shared" si="31"/>
        <v>18.048603406226512</v>
      </c>
      <c r="BH83" s="4794">
        <f t="shared" si="32"/>
        <v>-0.15338756435886411</v>
      </c>
      <c r="BI83" s="4794">
        <f t="shared" si="33"/>
        <v>-0.15338756435886411</v>
      </c>
      <c r="BJ83" s="4794">
        <f t="shared" si="34"/>
        <v>-0.15338756435886411</v>
      </c>
      <c r="BK83" s="4794">
        <f t="shared" si="35"/>
        <v>-0.15338756435886411</v>
      </c>
      <c r="BL83" s="4794">
        <f t="shared" si="36"/>
        <v>-0.15338756435886411</v>
      </c>
      <c r="BM83" s="4794">
        <f t="shared" si="37"/>
        <v>0</v>
      </c>
      <c r="BN83" s="4794">
        <f t="shared" si="38"/>
        <v>0</v>
      </c>
      <c r="BO83" s="4794">
        <f t="shared" si="39"/>
        <v>0</v>
      </c>
      <c r="BP83" s="4794">
        <f t="shared" si="40"/>
        <v>0</v>
      </c>
      <c r="BQ83" s="4794">
        <f t="shared" si="41"/>
        <v>0</v>
      </c>
      <c r="BR83" s="4794">
        <f t="shared" si="42"/>
        <v>0</v>
      </c>
      <c r="BS83" s="4794">
        <f t="shared" si="43"/>
        <v>8.7942203565749573</v>
      </c>
      <c r="BT83" s="4794">
        <f t="shared" si="44"/>
        <v>-0.10225837623924333</v>
      </c>
      <c r="BU83" s="4794">
        <f t="shared" si="45"/>
        <v>-0.10225837623924333</v>
      </c>
      <c r="BV83" s="4794">
        <f t="shared" si="46"/>
        <v>-0.10225837623924333</v>
      </c>
      <c r="BW83" s="4794">
        <f t="shared" si="47"/>
        <v>-0.10225837623924333</v>
      </c>
      <c r="BX83" s="4794">
        <f t="shared" si="48"/>
        <v>-0.10225837623924333</v>
      </c>
      <c r="BY83" s="4794">
        <f t="shared" si="49"/>
        <v>0</v>
      </c>
      <c r="BZ83" s="4794">
        <f t="shared" si="50"/>
        <v>0</v>
      </c>
      <c r="CA83" s="4794">
        <f t="shared" si="51"/>
        <v>0</v>
      </c>
      <c r="CB83" s="4794">
        <f t="shared" si="52"/>
        <v>0</v>
      </c>
      <c r="CC83" s="4794">
        <f t="shared" si="53"/>
        <v>0</v>
      </c>
      <c r="CD83" s="4794">
        <f t="shared" si="54"/>
        <v>0</v>
      </c>
      <c r="CE83" s="4794">
        <f t="shared" si="55"/>
        <v>0</v>
      </c>
      <c r="CF83" s="4794">
        <f t="shared" si="56"/>
        <v>0</v>
      </c>
      <c r="CG83" s="4794">
        <f t="shared" si="57"/>
        <v>0</v>
      </c>
      <c r="CH83" s="4794">
        <f t="shared" si="58"/>
        <v>0</v>
      </c>
      <c r="CI83" s="4794">
        <f t="shared" si="59"/>
        <v>0</v>
      </c>
      <c r="CJ83" s="4794">
        <f t="shared" si="60"/>
        <v>0</v>
      </c>
    </row>
    <row r="84" spans="1:88" s="690" customFormat="1" ht="15.95" customHeight="1">
      <c r="A84" s="855" t="s">
        <v>633</v>
      </c>
      <c r="B84" s="3299">
        <f>'12. Разходи'!B84</f>
        <v>0</v>
      </c>
      <c r="C84" s="3300">
        <f>'12. Разходи'!C84</f>
        <v>35.299999999999997</v>
      </c>
      <c r="D84" s="1160">
        <f>'12. Разходи'!D84-'12. Разходи'!$C84</f>
        <v>-0.29999999999999716</v>
      </c>
      <c r="E84" s="1140">
        <f>IFERROR(('12. Разходи'!D84-'12. Разходи'!$C84)/'12. Разходи'!$C84,0)</f>
        <v>-8.4985835694050185E-3</v>
      </c>
      <c r="F84" s="926">
        <f>'12. Разходи'!E84-'12. Разходи'!$C84</f>
        <v>-0.29999999999999716</v>
      </c>
      <c r="G84" s="1148">
        <f>IFERROR(('12. Разходи'!E84-'12. Разходи'!$C84)/'12. Разходи'!$C84,0)</f>
        <v>-8.4985835694050185E-3</v>
      </c>
      <c r="H84" s="926">
        <f>'12. Разходи'!F84-'12. Разходи'!$C84</f>
        <v>-0.29999999999999716</v>
      </c>
      <c r="I84" s="1148">
        <f>IFERROR(('12. Разходи'!F84-'12. Разходи'!$C84)/'12. Разходи'!$C84,0)</f>
        <v>-8.4985835694050185E-3</v>
      </c>
      <c r="J84" s="926">
        <f>'12. Разходи'!G84-'12. Разходи'!$C84</f>
        <v>-0.29999999999999716</v>
      </c>
      <c r="K84" s="1147">
        <f>IFERROR(('12. Разходи'!G84-'12. Разходи'!$C84)/'12. Разходи'!$C84,0)</f>
        <v>-8.4985835694050185E-3</v>
      </c>
      <c r="L84" s="1155">
        <f>'12. Разходи'!H84-'12. Разходи'!$C84</f>
        <v>-0.29999999999999716</v>
      </c>
      <c r="M84" s="1147">
        <f>IFERROR(('12. Разходи'!H84-'12. Разходи'!$C84)/'12. Разходи'!$C84,0)</f>
        <v>-8.4985835694050185E-3</v>
      </c>
      <c r="N84" s="1196">
        <f>'12. Разходи'!K84</f>
        <v>0</v>
      </c>
      <c r="O84" s="1160">
        <f>'12. Разходи'!L84-'12. Разходи'!$K84</f>
        <v>0</v>
      </c>
      <c r="P84" s="1140">
        <f>IFERROR(('12. Разходи'!L84-'12. Разходи'!$K84)/'12. Разходи'!$K84,0)</f>
        <v>0</v>
      </c>
      <c r="Q84" s="926">
        <f>'12. Разходи'!M84-'12. Разходи'!$K84</f>
        <v>0</v>
      </c>
      <c r="R84" s="1148">
        <f>IFERROR(('12. Разходи'!M84-'12. Разходи'!$K84)/'12. Разходи'!$K84,0)</f>
        <v>0</v>
      </c>
      <c r="S84" s="926">
        <f>'12. Разходи'!N84-'12. Разходи'!$K84</f>
        <v>0</v>
      </c>
      <c r="T84" s="1148">
        <f>IFERROR(('12. Разходи'!N84-'12. Разходи'!$K84)/'12. Разходи'!$K84,0)</f>
        <v>0</v>
      </c>
      <c r="U84" s="926">
        <f>'12. Разходи'!O84-'12. Разходи'!$K84</f>
        <v>0</v>
      </c>
      <c r="V84" s="1147">
        <f>IFERROR(('12. Разходи'!O84-'12. Разходи'!$K84)/'12. Разходи'!$K84,0)</f>
        <v>0</v>
      </c>
      <c r="W84" s="1155">
        <f>'12. Разходи'!P84-'12. Разходи'!$K84</f>
        <v>0</v>
      </c>
      <c r="X84" s="1202">
        <f>IFERROR(('12. Разходи'!P84-'12. Разходи'!$K84)/'12. Разходи'!$K84,0)</f>
        <v>0</v>
      </c>
      <c r="Y84" s="1196">
        <f>'12. Разходи'!S84</f>
        <v>17.2</v>
      </c>
      <c r="Z84" s="1160">
        <f>'12. Разходи'!T84-'12. Разходи'!$S84</f>
        <v>-0.19999999999999929</v>
      </c>
      <c r="AA84" s="1140">
        <f>IFERROR(('12. Разходи'!T84-'12. Разходи'!$S84)/'12. Разходи'!$S84,0)</f>
        <v>-1.1627906976744146E-2</v>
      </c>
      <c r="AB84" s="926">
        <f>'12. Разходи'!U84-'12. Разходи'!$S84</f>
        <v>-0.19999999999999929</v>
      </c>
      <c r="AC84" s="1148">
        <f>IFERROR(('12. Разходи'!U84-'12. Разходи'!$S84)/'12. Разходи'!$S84,0)</f>
        <v>-1.1627906976744146E-2</v>
      </c>
      <c r="AD84" s="926">
        <f>'12. Разходи'!V84-'12. Разходи'!$S84</f>
        <v>-0.19999999999999929</v>
      </c>
      <c r="AE84" s="1148">
        <f>IFERROR(('12. Разходи'!V84-'12. Разходи'!$S84)/'12. Разходи'!$S84,0)</f>
        <v>-1.1627906976744146E-2</v>
      </c>
      <c r="AF84" s="926">
        <f>'12. Разходи'!W84-'12. Разходи'!$S84</f>
        <v>-0.19999999999999929</v>
      </c>
      <c r="AG84" s="1147">
        <f>IFERROR(('12. Разходи'!W84-'12. Разходи'!$S84)/'12. Разходи'!$S84,0)</f>
        <v>-1.1627906976744146E-2</v>
      </c>
      <c r="AH84" s="1155">
        <f>'12. Разходи'!X84-'12. Разходи'!$S84</f>
        <v>-0.19999999999999929</v>
      </c>
      <c r="AI84" s="1202">
        <f>IFERROR(('12. Разходи'!X84-'12. Разходи'!$S84)/'12. Разходи'!$S84,0)</f>
        <v>-1.1627906976744146E-2</v>
      </c>
      <c r="AJ84" s="1196">
        <f>'12. Разходи'!AA84</f>
        <v>0</v>
      </c>
      <c r="AK84" s="1160">
        <f>'12. Разходи'!AB84-'12. Разходи'!$AA84</f>
        <v>0</v>
      </c>
      <c r="AL84" s="1140">
        <f>IFERROR(('12. Разходи'!AB84-'12. Разходи'!$AA84)/'12. Разходи'!$AA84,0)</f>
        <v>0</v>
      </c>
      <c r="AM84" s="926">
        <f>'12. Разходи'!AC84-'12. Разходи'!$AA84</f>
        <v>0</v>
      </c>
      <c r="AN84" s="1148">
        <f>IFERROR(('12. Разходи'!AC84-'12. Разходи'!$AA84)/'12. Разходи'!$AA84,0)</f>
        <v>0</v>
      </c>
      <c r="AO84" s="926">
        <f>'12. Разходи'!AD84-'12. Разходи'!$AA84</f>
        <v>0</v>
      </c>
      <c r="AP84" s="1148">
        <f>IFERROR(('12. Разходи'!AD84-'12. Разходи'!$AA84)/'12. Разходи'!$AA84,0)</f>
        <v>0</v>
      </c>
      <c r="AQ84" s="926">
        <f>'12. Разходи'!AE84-'12. Разходи'!$AA84</f>
        <v>0</v>
      </c>
      <c r="AR84" s="1147">
        <f>IFERROR(('12. Разходи'!AE84-'12. Разходи'!$AA84)/'12. Разходи'!$AA84,0)</f>
        <v>0</v>
      </c>
      <c r="AS84" s="1155">
        <f>'12. Разходи'!AF84-'12. Разходи'!$AA84</f>
        <v>0</v>
      </c>
      <c r="AT84" s="1202">
        <f>IFERROR(('12. Разходи'!AF84-'12. Разходи'!$AA84)/'12. Разходи'!$AA84,0)</f>
        <v>0</v>
      </c>
      <c r="AU84" s="1196">
        <f>'12. Разходи'!AI84</f>
        <v>0</v>
      </c>
      <c r="AV84" s="1160">
        <f>'12. Разходи'!AJ84-'12. Разходи'!$AI84</f>
        <v>0</v>
      </c>
      <c r="AW84" s="1140">
        <f>IFERROR(('12. Разходи'!AJ84-'12. Разходи'!$AI84)/'12. Разходи'!$AI84,0)</f>
        <v>0</v>
      </c>
      <c r="AX84" s="926">
        <f>'12. Разходи'!AK84-'12. Разходи'!$AI84</f>
        <v>0</v>
      </c>
      <c r="AY84" s="1148">
        <f>IFERROR(('12. Разходи'!AK84-'12. Разходи'!$AI84)/'12. Разходи'!$AI84,0)</f>
        <v>0</v>
      </c>
      <c r="AZ84" s="926">
        <f>'12. Разходи'!AL84-'12. Разходи'!$AI84</f>
        <v>0</v>
      </c>
      <c r="BA84" s="1148">
        <f>IFERROR(('12. Разходи'!AL84-'12. Разходи'!$AI84)/'12. Разходи'!$AI84,0)</f>
        <v>0</v>
      </c>
      <c r="BB84" s="926">
        <f>'12. Разходи'!AM84-'12. Разходи'!$AI84</f>
        <v>0</v>
      </c>
      <c r="BC84" s="1147">
        <f>IFERROR(('12. Разходи'!AM84-'12. Разходи'!$AI84)/'12. Разходи'!$AI84,0)</f>
        <v>0</v>
      </c>
      <c r="BD84" s="1155">
        <f>'12. Разходи'!AN84-'12. Разходи'!$AI84</f>
        <v>0</v>
      </c>
      <c r="BE84" s="1202">
        <f>IFERROR(('12. Разходи'!AN84-'12. Разходи'!$AI84)/'12. Разходи'!$AI84,0)</f>
        <v>0</v>
      </c>
      <c r="BF84" s="4775"/>
      <c r="BG84" s="4794">
        <f t="shared" si="31"/>
        <v>18.048603406226512</v>
      </c>
      <c r="BH84" s="4794">
        <f t="shared" si="32"/>
        <v>-0.15338756435886411</v>
      </c>
      <c r="BI84" s="4794">
        <f t="shared" si="33"/>
        <v>-0.15338756435886411</v>
      </c>
      <c r="BJ84" s="4794">
        <f t="shared" si="34"/>
        <v>-0.15338756435886411</v>
      </c>
      <c r="BK84" s="4794">
        <f t="shared" si="35"/>
        <v>-0.15338756435886411</v>
      </c>
      <c r="BL84" s="4794">
        <f t="shared" si="36"/>
        <v>-0.15338756435886411</v>
      </c>
      <c r="BM84" s="4794">
        <f t="shared" si="37"/>
        <v>0</v>
      </c>
      <c r="BN84" s="4794">
        <f t="shared" si="38"/>
        <v>0</v>
      </c>
      <c r="BO84" s="4794">
        <f t="shared" si="39"/>
        <v>0</v>
      </c>
      <c r="BP84" s="4794">
        <f t="shared" si="40"/>
        <v>0</v>
      </c>
      <c r="BQ84" s="4794">
        <f t="shared" si="41"/>
        <v>0</v>
      </c>
      <c r="BR84" s="4794">
        <f t="shared" si="42"/>
        <v>0</v>
      </c>
      <c r="BS84" s="4794">
        <f t="shared" si="43"/>
        <v>8.7942203565749573</v>
      </c>
      <c r="BT84" s="4794">
        <f t="shared" si="44"/>
        <v>-0.10225837623924333</v>
      </c>
      <c r="BU84" s="4794">
        <f t="shared" si="45"/>
        <v>-0.10225837623924333</v>
      </c>
      <c r="BV84" s="4794">
        <f t="shared" si="46"/>
        <v>-0.10225837623924333</v>
      </c>
      <c r="BW84" s="4794">
        <f t="shared" si="47"/>
        <v>-0.10225837623924333</v>
      </c>
      <c r="BX84" s="4794">
        <f t="shared" si="48"/>
        <v>-0.10225837623924333</v>
      </c>
      <c r="BY84" s="4794">
        <f t="shared" si="49"/>
        <v>0</v>
      </c>
      <c r="BZ84" s="4794">
        <f t="shared" si="50"/>
        <v>0</v>
      </c>
      <c r="CA84" s="4794">
        <f t="shared" si="51"/>
        <v>0</v>
      </c>
      <c r="CB84" s="4794">
        <f t="shared" si="52"/>
        <v>0</v>
      </c>
      <c r="CC84" s="4794">
        <f t="shared" si="53"/>
        <v>0</v>
      </c>
      <c r="CD84" s="4794">
        <f t="shared" si="54"/>
        <v>0</v>
      </c>
      <c r="CE84" s="4794">
        <f t="shared" si="55"/>
        <v>0</v>
      </c>
      <c r="CF84" s="4794">
        <f t="shared" si="56"/>
        <v>0</v>
      </c>
      <c r="CG84" s="4794">
        <f t="shared" si="57"/>
        <v>0</v>
      </c>
      <c r="CH84" s="4794">
        <f t="shared" si="58"/>
        <v>0</v>
      </c>
      <c r="CI84" s="4794">
        <f t="shared" si="59"/>
        <v>0</v>
      </c>
      <c r="CJ84" s="4794">
        <f t="shared" si="60"/>
        <v>0</v>
      </c>
    </row>
    <row r="85" spans="1:88" s="690" customFormat="1" ht="15.95" customHeight="1">
      <c r="A85" s="855" t="s">
        <v>634</v>
      </c>
      <c r="B85" s="3299">
        <f>'12. Разходи'!B85</f>
        <v>0</v>
      </c>
      <c r="C85" s="3300">
        <f>'12. Разходи'!C85</f>
        <v>0</v>
      </c>
      <c r="D85" s="1160">
        <f>'12. Разходи'!D85-'12. Разходи'!$C85</f>
        <v>0</v>
      </c>
      <c r="E85" s="1140">
        <f>IFERROR(('12. Разходи'!D85-'12. Разходи'!$C85)/'12. Разходи'!$C85,0)</f>
        <v>0</v>
      </c>
      <c r="F85" s="926">
        <f>'12. Разходи'!E85-'12. Разходи'!$C85</f>
        <v>0</v>
      </c>
      <c r="G85" s="1148">
        <f>IFERROR(('12. Разходи'!E85-'12. Разходи'!$C85)/'12. Разходи'!$C85,0)</f>
        <v>0</v>
      </c>
      <c r="H85" s="926">
        <f>'12. Разходи'!F85-'12. Разходи'!$C85</f>
        <v>0</v>
      </c>
      <c r="I85" s="1148">
        <f>IFERROR(('12. Разходи'!F85-'12. Разходи'!$C85)/'12. Разходи'!$C85,0)</f>
        <v>0</v>
      </c>
      <c r="J85" s="926">
        <f>'12. Разходи'!G85-'12. Разходи'!$C85</f>
        <v>0</v>
      </c>
      <c r="K85" s="1147">
        <f>IFERROR(('12. Разходи'!G85-'12. Разходи'!$C85)/'12. Разходи'!$C85,0)</f>
        <v>0</v>
      </c>
      <c r="L85" s="1155">
        <f>'12. Разходи'!H85-'12. Разходи'!$C85</f>
        <v>0</v>
      </c>
      <c r="M85" s="1147">
        <f>IFERROR(('12. Разходи'!H85-'12. Разходи'!$C85)/'12. Разходи'!$C85,0)</f>
        <v>0</v>
      </c>
      <c r="N85" s="1196">
        <f>'12. Разходи'!K85</f>
        <v>0</v>
      </c>
      <c r="O85" s="1160">
        <f>'12. Разходи'!L85-'12. Разходи'!$K85</f>
        <v>0</v>
      </c>
      <c r="P85" s="1140">
        <f>IFERROR(('12. Разходи'!L85-'12. Разходи'!$K85)/'12. Разходи'!$K85,0)</f>
        <v>0</v>
      </c>
      <c r="Q85" s="926">
        <f>'12. Разходи'!M85-'12. Разходи'!$K85</f>
        <v>0</v>
      </c>
      <c r="R85" s="1148">
        <f>IFERROR(('12. Разходи'!M85-'12. Разходи'!$K85)/'12. Разходи'!$K85,0)</f>
        <v>0</v>
      </c>
      <c r="S85" s="926">
        <f>'12. Разходи'!N85-'12. Разходи'!$K85</f>
        <v>0</v>
      </c>
      <c r="T85" s="1148">
        <f>IFERROR(('12. Разходи'!N85-'12. Разходи'!$K85)/'12. Разходи'!$K85,0)</f>
        <v>0</v>
      </c>
      <c r="U85" s="926">
        <f>'12. Разходи'!O85-'12. Разходи'!$K85</f>
        <v>0</v>
      </c>
      <c r="V85" s="1147">
        <f>IFERROR(('12. Разходи'!O85-'12. Разходи'!$K85)/'12. Разходи'!$K85,0)</f>
        <v>0</v>
      </c>
      <c r="W85" s="1155">
        <f>'12. Разходи'!P85-'12. Разходи'!$K85</f>
        <v>0</v>
      </c>
      <c r="X85" s="1202">
        <f>IFERROR(('12. Разходи'!P85-'12. Разходи'!$K85)/'12. Разходи'!$K85,0)</f>
        <v>0</v>
      </c>
      <c r="Y85" s="1196">
        <f>'12. Разходи'!S85</f>
        <v>0</v>
      </c>
      <c r="Z85" s="1160">
        <f>'12. Разходи'!T85-'12. Разходи'!$S85</f>
        <v>0</v>
      </c>
      <c r="AA85" s="1140">
        <f>IFERROR(('12. Разходи'!T85-'12. Разходи'!$S85)/'12. Разходи'!$S85,0)</f>
        <v>0</v>
      </c>
      <c r="AB85" s="926">
        <f>'12. Разходи'!U85-'12. Разходи'!$S85</f>
        <v>0</v>
      </c>
      <c r="AC85" s="1148">
        <f>IFERROR(('12. Разходи'!U85-'12. Разходи'!$S85)/'12. Разходи'!$S85,0)</f>
        <v>0</v>
      </c>
      <c r="AD85" s="926">
        <f>'12. Разходи'!V85-'12. Разходи'!$S85</f>
        <v>0</v>
      </c>
      <c r="AE85" s="1148">
        <f>IFERROR(('12. Разходи'!V85-'12. Разходи'!$S85)/'12. Разходи'!$S85,0)</f>
        <v>0</v>
      </c>
      <c r="AF85" s="926">
        <f>'12. Разходи'!W85-'12. Разходи'!$S85</f>
        <v>0</v>
      </c>
      <c r="AG85" s="1147">
        <f>IFERROR(('12. Разходи'!W85-'12. Разходи'!$S85)/'12. Разходи'!$S85,0)</f>
        <v>0</v>
      </c>
      <c r="AH85" s="1155">
        <f>'12. Разходи'!X85-'12. Разходи'!$S85</f>
        <v>0</v>
      </c>
      <c r="AI85" s="1202">
        <f>IFERROR(('12. Разходи'!X85-'12. Разходи'!$S85)/'12. Разходи'!$S85,0)</f>
        <v>0</v>
      </c>
      <c r="AJ85" s="1196">
        <f>'12. Разходи'!AA85</f>
        <v>0</v>
      </c>
      <c r="AK85" s="1160">
        <f>'12. Разходи'!AB85-'12. Разходи'!$AA85</f>
        <v>0</v>
      </c>
      <c r="AL85" s="1140">
        <f>IFERROR(('12. Разходи'!AB85-'12. Разходи'!$AA85)/'12. Разходи'!$AA85,0)</f>
        <v>0</v>
      </c>
      <c r="AM85" s="926">
        <f>'12. Разходи'!AC85-'12. Разходи'!$AA85</f>
        <v>0</v>
      </c>
      <c r="AN85" s="1148">
        <f>IFERROR(('12. Разходи'!AC85-'12. Разходи'!$AA85)/'12. Разходи'!$AA85,0)</f>
        <v>0</v>
      </c>
      <c r="AO85" s="926">
        <f>'12. Разходи'!AD85-'12. Разходи'!$AA85</f>
        <v>0</v>
      </c>
      <c r="AP85" s="1148">
        <f>IFERROR(('12. Разходи'!AD85-'12. Разходи'!$AA85)/'12. Разходи'!$AA85,0)</f>
        <v>0</v>
      </c>
      <c r="AQ85" s="926">
        <f>'12. Разходи'!AE85-'12. Разходи'!$AA85</f>
        <v>0</v>
      </c>
      <c r="AR85" s="1147">
        <f>IFERROR(('12. Разходи'!AE85-'12. Разходи'!$AA85)/'12. Разходи'!$AA85,0)</f>
        <v>0</v>
      </c>
      <c r="AS85" s="1155">
        <f>'12. Разходи'!AF85-'12. Разходи'!$AA85</f>
        <v>0</v>
      </c>
      <c r="AT85" s="1202">
        <f>IFERROR(('12. Разходи'!AF85-'12. Разходи'!$AA85)/'12. Разходи'!$AA85,0)</f>
        <v>0</v>
      </c>
      <c r="AU85" s="1196">
        <f>'12. Разходи'!AI85</f>
        <v>0</v>
      </c>
      <c r="AV85" s="1160">
        <f>'12. Разходи'!AJ85-'12. Разходи'!$AI85</f>
        <v>0</v>
      </c>
      <c r="AW85" s="1140">
        <f>IFERROR(('12. Разходи'!AJ85-'12. Разходи'!$AI85)/'12. Разходи'!$AI85,0)</f>
        <v>0</v>
      </c>
      <c r="AX85" s="926">
        <f>'12. Разходи'!AK85-'12. Разходи'!$AI85</f>
        <v>0</v>
      </c>
      <c r="AY85" s="1148">
        <f>IFERROR(('12. Разходи'!AK85-'12. Разходи'!$AI85)/'12. Разходи'!$AI85,0)</f>
        <v>0</v>
      </c>
      <c r="AZ85" s="926">
        <f>'12. Разходи'!AL85-'12. Разходи'!$AI85</f>
        <v>0</v>
      </c>
      <c r="BA85" s="1148">
        <f>IFERROR(('12. Разходи'!AL85-'12. Разходи'!$AI85)/'12. Разходи'!$AI85,0)</f>
        <v>0</v>
      </c>
      <c r="BB85" s="926">
        <f>'12. Разходи'!AM85-'12. Разходи'!$AI85</f>
        <v>0</v>
      </c>
      <c r="BC85" s="1147">
        <f>IFERROR(('12. Разходи'!AM85-'12. Разходи'!$AI85)/'12. Разходи'!$AI85,0)</f>
        <v>0</v>
      </c>
      <c r="BD85" s="1155">
        <f>'12. Разходи'!AN85-'12. Разходи'!$AI85</f>
        <v>0</v>
      </c>
      <c r="BE85" s="1202">
        <f>IFERROR(('12. Разходи'!AN85-'12. Разходи'!$AI85)/'12. Разходи'!$AI85,0)</f>
        <v>0</v>
      </c>
      <c r="BF85" s="4775"/>
      <c r="BG85" s="4794">
        <f t="shared" si="31"/>
        <v>0</v>
      </c>
      <c r="BH85" s="4794">
        <f t="shared" si="32"/>
        <v>0</v>
      </c>
      <c r="BI85" s="4794">
        <f t="shared" si="33"/>
        <v>0</v>
      </c>
      <c r="BJ85" s="4794">
        <f t="shared" si="34"/>
        <v>0</v>
      </c>
      <c r="BK85" s="4794">
        <f t="shared" si="35"/>
        <v>0</v>
      </c>
      <c r="BL85" s="4794">
        <f t="shared" si="36"/>
        <v>0</v>
      </c>
      <c r="BM85" s="4794">
        <f t="shared" si="37"/>
        <v>0</v>
      </c>
      <c r="BN85" s="4794">
        <f t="shared" si="38"/>
        <v>0</v>
      </c>
      <c r="BO85" s="4794">
        <f t="shared" si="39"/>
        <v>0</v>
      </c>
      <c r="BP85" s="4794">
        <f t="shared" si="40"/>
        <v>0</v>
      </c>
      <c r="BQ85" s="4794">
        <f t="shared" si="41"/>
        <v>0</v>
      </c>
      <c r="BR85" s="4794">
        <f t="shared" si="42"/>
        <v>0</v>
      </c>
      <c r="BS85" s="4794">
        <f t="shared" si="43"/>
        <v>0</v>
      </c>
      <c r="BT85" s="4794">
        <f t="shared" si="44"/>
        <v>0</v>
      </c>
      <c r="BU85" s="4794">
        <f t="shared" si="45"/>
        <v>0</v>
      </c>
      <c r="BV85" s="4794">
        <f t="shared" si="46"/>
        <v>0</v>
      </c>
      <c r="BW85" s="4794">
        <f t="shared" si="47"/>
        <v>0</v>
      </c>
      <c r="BX85" s="4794">
        <f t="shared" si="48"/>
        <v>0</v>
      </c>
      <c r="BY85" s="4794">
        <f t="shared" si="49"/>
        <v>0</v>
      </c>
      <c r="BZ85" s="4794">
        <f t="shared" si="50"/>
        <v>0</v>
      </c>
      <c r="CA85" s="4794">
        <f t="shared" si="51"/>
        <v>0</v>
      </c>
      <c r="CB85" s="4794">
        <f t="shared" si="52"/>
        <v>0</v>
      </c>
      <c r="CC85" s="4794">
        <f t="shared" si="53"/>
        <v>0</v>
      </c>
      <c r="CD85" s="4794">
        <f t="shared" si="54"/>
        <v>0</v>
      </c>
      <c r="CE85" s="4794">
        <f t="shared" si="55"/>
        <v>0</v>
      </c>
      <c r="CF85" s="4794">
        <f t="shared" si="56"/>
        <v>0</v>
      </c>
      <c r="CG85" s="4794">
        <f t="shared" si="57"/>
        <v>0</v>
      </c>
      <c r="CH85" s="4794">
        <f t="shared" si="58"/>
        <v>0</v>
      </c>
      <c r="CI85" s="4794">
        <f t="shared" si="59"/>
        <v>0</v>
      </c>
      <c r="CJ85" s="4794">
        <f t="shared" si="60"/>
        <v>0</v>
      </c>
    </row>
    <row r="86" spans="1:88" s="690" customFormat="1" ht="15.95" customHeight="1">
      <c r="A86" s="855" t="s">
        <v>635</v>
      </c>
      <c r="B86" s="3299">
        <f>'12. Разходи'!B86</f>
        <v>0</v>
      </c>
      <c r="C86" s="3300">
        <f>'12. Разходи'!C86</f>
        <v>0</v>
      </c>
      <c r="D86" s="1160">
        <f>'12. Разходи'!D86-'12. Разходи'!$C86</f>
        <v>0</v>
      </c>
      <c r="E86" s="1140">
        <f>IFERROR(('12. Разходи'!D86-'12. Разходи'!$C86)/'12. Разходи'!$C86,0)</f>
        <v>0</v>
      </c>
      <c r="F86" s="926">
        <f>'12. Разходи'!E86-'12. Разходи'!$C86</f>
        <v>0</v>
      </c>
      <c r="G86" s="1148">
        <f>IFERROR(('12. Разходи'!E86-'12. Разходи'!$C86)/'12. Разходи'!$C86,0)</f>
        <v>0</v>
      </c>
      <c r="H86" s="926">
        <f>'12. Разходи'!F86-'12. Разходи'!$C86</f>
        <v>0</v>
      </c>
      <c r="I86" s="1148">
        <f>IFERROR(('12. Разходи'!F86-'12. Разходи'!$C86)/'12. Разходи'!$C86,0)</f>
        <v>0</v>
      </c>
      <c r="J86" s="926">
        <f>'12. Разходи'!G86-'12. Разходи'!$C86</f>
        <v>0</v>
      </c>
      <c r="K86" s="1147">
        <f>IFERROR(('12. Разходи'!G86-'12. Разходи'!$C86)/'12. Разходи'!$C86,0)</f>
        <v>0</v>
      </c>
      <c r="L86" s="1155">
        <f>'12. Разходи'!H86-'12. Разходи'!$C86</f>
        <v>0</v>
      </c>
      <c r="M86" s="1147">
        <f>IFERROR(('12. Разходи'!H86-'12. Разходи'!$C86)/'12. Разходи'!$C86,0)</f>
        <v>0</v>
      </c>
      <c r="N86" s="1196">
        <f>'12. Разходи'!K86</f>
        <v>0</v>
      </c>
      <c r="O86" s="1160">
        <f>'12. Разходи'!L86-'12. Разходи'!$K86</f>
        <v>0</v>
      </c>
      <c r="P86" s="1140">
        <f>IFERROR(('12. Разходи'!L86-'12. Разходи'!$K86)/'12. Разходи'!$K86,0)</f>
        <v>0</v>
      </c>
      <c r="Q86" s="926">
        <f>'12. Разходи'!M86-'12. Разходи'!$K86</f>
        <v>0</v>
      </c>
      <c r="R86" s="1148">
        <f>IFERROR(('12. Разходи'!M86-'12. Разходи'!$K86)/'12. Разходи'!$K86,0)</f>
        <v>0</v>
      </c>
      <c r="S86" s="926">
        <f>'12. Разходи'!N86-'12. Разходи'!$K86</f>
        <v>0</v>
      </c>
      <c r="T86" s="1148">
        <f>IFERROR(('12. Разходи'!N86-'12. Разходи'!$K86)/'12. Разходи'!$K86,0)</f>
        <v>0</v>
      </c>
      <c r="U86" s="926">
        <f>'12. Разходи'!O86-'12. Разходи'!$K86</f>
        <v>0</v>
      </c>
      <c r="V86" s="1147">
        <f>IFERROR(('12. Разходи'!O86-'12. Разходи'!$K86)/'12. Разходи'!$K86,0)</f>
        <v>0</v>
      </c>
      <c r="W86" s="1155">
        <f>'12. Разходи'!P86-'12. Разходи'!$K86</f>
        <v>0</v>
      </c>
      <c r="X86" s="1202">
        <f>IFERROR(('12. Разходи'!P86-'12. Разходи'!$K86)/'12. Разходи'!$K86,0)</f>
        <v>0</v>
      </c>
      <c r="Y86" s="1196">
        <f>'12. Разходи'!S86</f>
        <v>0</v>
      </c>
      <c r="Z86" s="1160">
        <f>'12. Разходи'!T86-'12. Разходи'!$S86</f>
        <v>0</v>
      </c>
      <c r="AA86" s="1140">
        <f>IFERROR(('12. Разходи'!T86-'12. Разходи'!$S86)/'12. Разходи'!$S86,0)</f>
        <v>0</v>
      </c>
      <c r="AB86" s="926">
        <f>'12. Разходи'!U86-'12. Разходи'!$S86</f>
        <v>0</v>
      </c>
      <c r="AC86" s="1148">
        <f>IFERROR(('12. Разходи'!U86-'12. Разходи'!$S86)/'12. Разходи'!$S86,0)</f>
        <v>0</v>
      </c>
      <c r="AD86" s="926">
        <f>'12. Разходи'!V86-'12. Разходи'!$S86</f>
        <v>0</v>
      </c>
      <c r="AE86" s="1148">
        <f>IFERROR(('12. Разходи'!V86-'12. Разходи'!$S86)/'12. Разходи'!$S86,0)</f>
        <v>0</v>
      </c>
      <c r="AF86" s="926">
        <f>'12. Разходи'!W86-'12. Разходи'!$S86</f>
        <v>0</v>
      </c>
      <c r="AG86" s="1147">
        <f>IFERROR(('12. Разходи'!W86-'12. Разходи'!$S86)/'12. Разходи'!$S86,0)</f>
        <v>0</v>
      </c>
      <c r="AH86" s="1155">
        <f>'12. Разходи'!X86-'12. Разходи'!$S86</f>
        <v>0</v>
      </c>
      <c r="AI86" s="1202">
        <f>IFERROR(('12. Разходи'!X86-'12. Разходи'!$S86)/'12. Разходи'!$S86,0)</f>
        <v>0</v>
      </c>
      <c r="AJ86" s="1196">
        <f>'12. Разходи'!AA86</f>
        <v>0</v>
      </c>
      <c r="AK86" s="1160">
        <f>'12. Разходи'!AB86-'12. Разходи'!$AA86</f>
        <v>0</v>
      </c>
      <c r="AL86" s="1140">
        <f>IFERROR(('12. Разходи'!AB86-'12. Разходи'!$AA86)/'12. Разходи'!$AA86,0)</f>
        <v>0</v>
      </c>
      <c r="AM86" s="926">
        <f>'12. Разходи'!AC86-'12. Разходи'!$AA86</f>
        <v>0</v>
      </c>
      <c r="AN86" s="1148">
        <f>IFERROR(('12. Разходи'!AC86-'12. Разходи'!$AA86)/'12. Разходи'!$AA86,0)</f>
        <v>0</v>
      </c>
      <c r="AO86" s="926">
        <f>'12. Разходи'!AD86-'12. Разходи'!$AA86</f>
        <v>0</v>
      </c>
      <c r="AP86" s="1148">
        <f>IFERROR(('12. Разходи'!AD86-'12. Разходи'!$AA86)/'12. Разходи'!$AA86,0)</f>
        <v>0</v>
      </c>
      <c r="AQ86" s="926">
        <f>'12. Разходи'!AE86-'12. Разходи'!$AA86</f>
        <v>0</v>
      </c>
      <c r="AR86" s="1147">
        <f>IFERROR(('12. Разходи'!AE86-'12. Разходи'!$AA86)/'12. Разходи'!$AA86,0)</f>
        <v>0</v>
      </c>
      <c r="AS86" s="1155">
        <f>'12. Разходи'!AF86-'12. Разходи'!$AA86</f>
        <v>0</v>
      </c>
      <c r="AT86" s="1202">
        <f>IFERROR(('12. Разходи'!AF86-'12. Разходи'!$AA86)/'12. Разходи'!$AA86,0)</f>
        <v>0</v>
      </c>
      <c r="AU86" s="1196">
        <f>'12. Разходи'!AI86</f>
        <v>0</v>
      </c>
      <c r="AV86" s="1160">
        <f>'12. Разходи'!AJ86-'12. Разходи'!$AI86</f>
        <v>0</v>
      </c>
      <c r="AW86" s="1140">
        <f>IFERROR(('12. Разходи'!AJ86-'12. Разходи'!$AI86)/'12. Разходи'!$AI86,0)</f>
        <v>0</v>
      </c>
      <c r="AX86" s="926">
        <f>'12. Разходи'!AK86-'12. Разходи'!$AI86</f>
        <v>0</v>
      </c>
      <c r="AY86" s="1148">
        <f>IFERROR(('12. Разходи'!AK86-'12. Разходи'!$AI86)/'12. Разходи'!$AI86,0)</f>
        <v>0</v>
      </c>
      <c r="AZ86" s="926">
        <f>'12. Разходи'!AL86-'12. Разходи'!$AI86</f>
        <v>0</v>
      </c>
      <c r="BA86" s="1148">
        <f>IFERROR(('12. Разходи'!AL86-'12. Разходи'!$AI86)/'12. Разходи'!$AI86,0)</f>
        <v>0</v>
      </c>
      <c r="BB86" s="926">
        <f>'12. Разходи'!AM86-'12. Разходи'!$AI86</f>
        <v>0</v>
      </c>
      <c r="BC86" s="1147">
        <f>IFERROR(('12. Разходи'!AM86-'12. Разходи'!$AI86)/'12. Разходи'!$AI86,0)</f>
        <v>0</v>
      </c>
      <c r="BD86" s="1155">
        <f>'12. Разходи'!AN86-'12. Разходи'!$AI86</f>
        <v>0</v>
      </c>
      <c r="BE86" s="1202">
        <f>IFERROR(('12. Разходи'!AN86-'12. Разходи'!$AI86)/'12. Разходи'!$AI86,0)</f>
        <v>0</v>
      </c>
      <c r="BF86" s="4775"/>
      <c r="BG86" s="4794">
        <f t="shared" si="31"/>
        <v>0</v>
      </c>
      <c r="BH86" s="4794">
        <f t="shared" si="32"/>
        <v>0</v>
      </c>
      <c r="BI86" s="4794">
        <f t="shared" si="33"/>
        <v>0</v>
      </c>
      <c r="BJ86" s="4794">
        <f t="shared" si="34"/>
        <v>0</v>
      </c>
      <c r="BK86" s="4794">
        <f t="shared" si="35"/>
        <v>0</v>
      </c>
      <c r="BL86" s="4794">
        <f t="shared" si="36"/>
        <v>0</v>
      </c>
      <c r="BM86" s="4794">
        <f t="shared" si="37"/>
        <v>0</v>
      </c>
      <c r="BN86" s="4794">
        <f t="shared" si="38"/>
        <v>0</v>
      </c>
      <c r="BO86" s="4794">
        <f t="shared" si="39"/>
        <v>0</v>
      </c>
      <c r="BP86" s="4794">
        <f t="shared" si="40"/>
        <v>0</v>
      </c>
      <c r="BQ86" s="4794">
        <f t="shared" si="41"/>
        <v>0</v>
      </c>
      <c r="BR86" s="4794">
        <f t="shared" si="42"/>
        <v>0</v>
      </c>
      <c r="BS86" s="4794">
        <f t="shared" si="43"/>
        <v>0</v>
      </c>
      <c r="BT86" s="4794">
        <f t="shared" si="44"/>
        <v>0</v>
      </c>
      <c r="BU86" s="4794">
        <f t="shared" si="45"/>
        <v>0</v>
      </c>
      <c r="BV86" s="4794">
        <f t="shared" si="46"/>
        <v>0</v>
      </c>
      <c r="BW86" s="4794">
        <f t="shared" si="47"/>
        <v>0</v>
      </c>
      <c r="BX86" s="4794">
        <f t="shared" si="48"/>
        <v>0</v>
      </c>
      <c r="BY86" s="4794">
        <f t="shared" si="49"/>
        <v>0</v>
      </c>
      <c r="BZ86" s="4794">
        <f t="shared" si="50"/>
        <v>0</v>
      </c>
      <c r="CA86" s="4794">
        <f t="shared" si="51"/>
        <v>0</v>
      </c>
      <c r="CB86" s="4794">
        <f t="shared" si="52"/>
        <v>0</v>
      </c>
      <c r="CC86" s="4794">
        <f t="shared" si="53"/>
        <v>0</v>
      </c>
      <c r="CD86" s="4794">
        <f t="shared" si="54"/>
        <v>0</v>
      </c>
      <c r="CE86" s="4794">
        <f t="shared" si="55"/>
        <v>0</v>
      </c>
      <c r="CF86" s="4794">
        <f t="shared" si="56"/>
        <v>0</v>
      </c>
      <c r="CG86" s="4794">
        <f t="shared" si="57"/>
        <v>0</v>
      </c>
      <c r="CH86" s="4794">
        <f t="shared" si="58"/>
        <v>0</v>
      </c>
      <c r="CI86" s="4794">
        <f t="shared" si="59"/>
        <v>0</v>
      </c>
      <c r="CJ86" s="4794">
        <f t="shared" si="60"/>
        <v>0</v>
      </c>
    </row>
    <row r="87" spans="1:88" s="690" customFormat="1" ht="15.95" customHeight="1" thickBot="1">
      <c r="A87" s="857" t="s">
        <v>636</v>
      </c>
      <c r="B87" s="3299">
        <f>'12. Разходи'!B87</f>
        <v>0</v>
      </c>
      <c r="C87" s="3300">
        <f>'12. Разходи'!C87</f>
        <v>0</v>
      </c>
      <c r="D87" s="1160">
        <f>'12. Разходи'!D87-'12. Разходи'!$C87</f>
        <v>0</v>
      </c>
      <c r="E87" s="1140">
        <f>IFERROR(('12. Разходи'!D87-'12. Разходи'!$C87)/'12. Разходи'!$C87,0)</f>
        <v>0</v>
      </c>
      <c r="F87" s="926">
        <f>'12. Разходи'!E87-'12. Разходи'!$C87</f>
        <v>0</v>
      </c>
      <c r="G87" s="1148">
        <f>IFERROR(('12. Разходи'!E87-'12. Разходи'!$C87)/'12. Разходи'!$C87,0)</f>
        <v>0</v>
      </c>
      <c r="H87" s="926">
        <f>'12. Разходи'!F87-'12. Разходи'!$C87</f>
        <v>0</v>
      </c>
      <c r="I87" s="1148">
        <f>IFERROR(('12. Разходи'!F87-'12. Разходи'!$C87)/'12. Разходи'!$C87,0)</f>
        <v>0</v>
      </c>
      <c r="J87" s="926">
        <f>'12. Разходи'!G87-'12. Разходи'!$C87</f>
        <v>0</v>
      </c>
      <c r="K87" s="1147">
        <f>IFERROR(('12. Разходи'!G87-'12. Разходи'!$C87)/'12. Разходи'!$C87,0)</f>
        <v>0</v>
      </c>
      <c r="L87" s="1155">
        <f>'12. Разходи'!H87-'12. Разходи'!$C87</f>
        <v>0</v>
      </c>
      <c r="M87" s="1147">
        <f>IFERROR(('12. Разходи'!H87-'12. Разходи'!$C87)/'12. Разходи'!$C87,0)</f>
        <v>0</v>
      </c>
      <c r="N87" s="1196">
        <f>'12. Разходи'!K87</f>
        <v>0</v>
      </c>
      <c r="O87" s="1160">
        <f>'12. Разходи'!L87-'12. Разходи'!$K87</f>
        <v>0</v>
      </c>
      <c r="P87" s="1140">
        <f>IFERROR(('12. Разходи'!L87-'12. Разходи'!$K87)/'12. Разходи'!$K87,0)</f>
        <v>0</v>
      </c>
      <c r="Q87" s="926">
        <f>'12. Разходи'!M87-'12. Разходи'!$K87</f>
        <v>0</v>
      </c>
      <c r="R87" s="1148">
        <f>IFERROR(('12. Разходи'!M87-'12. Разходи'!$K87)/'12. Разходи'!$K87,0)</f>
        <v>0</v>
      </c>
      <c r="S87" s="926">
        <f>'12. Разходи'!N87-'12. Разходи'!$K87</f>
        <v>0</v>
      </c>
      <c r="T87" s="1148">
        <f>IFERROR(('12. Разходи'!N87-'12. Разходи'!$K87)/'12. Разходи'!$K87,0)</f>
        <v>0</v>
      </c>
      <c r="U87" s="926">
        <f>'12. Разходи'!O87-'12. Разходи'!$K87</f>
        <v>0</v>
      </c>
      <c r="V87" s="1147">
        <f>IFERROR(('12. Разходи'!O87-'12. Разходи'!$K87)/'12. Разходи'!$K87,0)</f>
        <v>0</v>
      </c>
      <c r="W87" s="1155">
        <f>'12. Разходи'!P87-'12. Разходи'!$K87</f>
        <v>0</v>
      </c>
      <c r="X87" s="1202">
        <f>IFERROR(('12. Разходи'!P87-'12. Разходи'!$K87)/'12. Разходи'!$K87,0)</f>
        <v>0</v>
      </c>
      <c r="Y87" s="1196">
        <f>'12. Разходи'!S87</f>
        <v>0</v>
      </c>
      <c r="Z87" s="1160">
        <f>'12. Разходи'!T87-'12. Разходи'!$S87</f>
        <v>0</v>
      </c>
      <c r="AA87" s="1140">
        <f>IFERROR(('12. Разходи'!T87-'12. Разходи'!$S87)/'12. Разходи'!$S87,0)</f>
        <v>0</v>
      </c>
      <c r="AB87" s="926">
        <f>'12. Разходи'!U87-'12. Разходи'!$S87</f>
        <v>0</v>
      </c>
      <c r="AC87" s="1148">
        <f>IFERROR(('12. Разходи'!U87-'12. Разходи'!$S87)/'12. Разходи'!$S87,0)</f>
        <v>0</v>
      </c>
      <c r="AD87" s="926">
        <f>'12. Разходи'!V87-'12. Разходи'!$S87</f>
        <v>0</v>
      </c>
      <c r="AE87" s="1148">
        <f>IFERROR(('12. Разходи'!V87-'12. Разходи'!$S87)/'12. Разходи'!$S87,0)</f>
        <v>0</v>
      </c>
      <c r="AF87" s="926">
        <f>'12. Разходи'!W87-'12. Разходи'!$S87</f>
        <v>0</v>
      </c>
      <c r="AG87" s="1147">
        <f>IFERROR(('12. Разходи'!W87-'12. Разходи'!$S87)/'12. Разходи'!$S87,0)</f>
        <v>0</v>
      </c>
      <c r="AH87" s="1155">
        <f>'12. Разходи'!X87-'12. Разходи'!$S87</f>
        <v>0</v>
      </c>
      <c r="AI87" s="1202">
        <f>IFERROR(('12. Разходи'!X87-'12. Разходи'!$S87)/'12. Разходи'!$S87,0)</f>
        <v>0</v>
      </c>
      <c r="AJ87" s="1196">
        <f>'12. Разходи'!AA87</f>
        <v>0</v>
      </c>
      <c r="AK87" s="1160">
        <f>'12. Разходи'!AB87-'12. Разходи'!$AA87</f>
        <v>0</v>
      </c>
      <c r="AL87" s="1140">
        <f>IFERROR(('12. Разходи'!AB87-'12. Разходи'!$AA87)/'12. Разходи'!$AA87,0)</f>
        <v>0</v>
      </c>
      <c r="AM87" s="926">
        <f>'12. Разходи'!AC87-'12. Разходи'!$AA87</f>
        <v>0</v>
      </c>
      <c r="AN87" s="1148">
        <f>IFERROR(('12. Разходи'!AC87-'12. Разходи'!$AA87)/'12. Разходи'!$AA87,0)</f>
        <v>0</v>
      </c>
      <c r="AO87" s="926">
        <f>'12. Разходи'!AD87-'12. Разходи'!$AA87</f>
        <v>0</v>
      </c>
      <c r="AP87" s="1148">
        <f>IFERROR(('12. Разходи'!AD87-'12. Разходи'!$AA87)/'12. Разходи'!$AA87,0)</f>
        <v>0</v>
      </c>
      <c r="AQ87" s="926">
        <f>'12. Разходи'!AE87-'12. Разходи'!$AA87</f>
        <v>0</v>
      </c>
      <c r="AR87" s="1147">
        <f>IFERROR(('12. Разходи'!AE87-'12. Разходи'!$AA87)/'12. Разходи'!$AA87,0)</f>
        <v>0</v>
      </c>
      <c r="AS87" s="1155">
        <f>'12. Разходи'!AF87-'12. Разходи'!$AA87</f>
        <v>0</v>
      </c>
      <c r="AT87" s="1202">
        <f>IFERROR(('12. Разходи'!AF87-'12. Разходи'!$AA87)/'12. Разходи'!$AA87,0)</f>
        <v>0</v>
      </c>
      <c r="AU87" s="1196">
        <f>'12. Разходи'!AI87</f>
        <v>0</v>
      </c>
      <c r="AV87" s="1160">
        <f>'12. Разходи'!AJ87-'12. Разходи'!$AI87</f>
        <v>0</v>
      </c>
      <c r="AW87" s="1140">
        <f>IFERROR(('12. Разходи'!AJ87-'12. Разходи'!$AI87)/'12. Разходи'!$AI87,0)</f>
        <v>0</v>
      </c>
      <c r="AX87" s="926">
        <f>'12. Разходи'!AK87-'12. Разходи'!$AI87</f>
        <v>0</v>
      </c>
      <c r="AY87" s="1148">
        <f>IFERROR(('12. Разходи'!AK87-'12. Разходи'!$AI87)/'12. Разходи'!$AI87,0)</f>
        <v>0</v>
      </c>
      <c r="AZ87" s="926">
        <f>'12. Разходи'!AL87-'12. Разходи'!$AI87</f>
        <v>0</v>
      </c>
      <c r="BA87" s="1148">
        <f>IFERROR(('12. Разходи'!AL87-'12. Разходи'!$AI87)/'12. Разходи'!$AI87,0)</f>
        <v>0</v>
      </c>
      <c r="BB87" s="926">
        <f>'12. Разходи'!AM87-'12. Разходи'!$AI87</f>
        <v>0</v>
      </c>
      <c r="BC87" s="1147">
        <f>IFERROR(('12. Разходи'!AM87-'12. Разходи'!$AI87)/'12. Разходи'!$AI87,0)</f>
        <v>0</v>
      </c>
      <c r="BD87" s="1155">
        <f>'12. Разходи'!AN87-'12. Разходи'!$AI87</f>
        <v>0</v>
      </c>
      <c r="BE87" s="1202">
        <f>IFERROR(('12. Разходи'!AN87-'12. Разходи'!$AI87)/'12. Разходи'!$AI87,0)</f>
        <v>0</v>
      </c>
      <c r="BF87" s="4775"/>
      <c r="BG87" s="4794">
        <f t="shared" si="31"/>
        <v>0</v>
      </c>
      <c r="BH87" s="4794">
        <f t="shared" si="32"/>
        <v>0</v>
      </c>
      <c r="BI87" s="4794">
        <f t="shared" si="33"/>
        <v>0</v>
      </c>
      <c r="BJ87" s="4794">
        <f t="shared" si="34"/>
        <v>0</v>
      </c>
      <c r="BK87" s="4794">
        <f t="shared" si="35"/>
        <v>0</v>
      </c>
      <c r="BL87" s="4794">
        <f t="shared" si="36"/>
        <v>0</v>
      </c>
      <c r="BM87" s="4794">
        <f t="shared" si="37"/>
        <v>0</v>
      </c>
      <c r="BN87" s="4794">
        <f t="shared" si="38"/>
        <v>0</v>
      </c>
      <c r="BO87" s="4794">
        <f t="shared" si="39"/>
        <v>0</v>
      </c>
      <c r="BP87" s="4794">
        <f t="shared" si="40"/>
        <v>0</v>
      </c>
      <c r="BQ87" s="4794">
        <f t="shared" si="41"/>
        <v>0</v>
      </c>
      <c r="BR87" s="4794">
        <f t="shared" si="42"/>
        <v>0</v>
      </c>
      <c r="BS87" s="4794">
        <f t="shared" si="43"/>
        <v>0</v>
      </c>
      <c r="BT87" s="4794">
        <f t="shared" si="44"/>
        <v>0</v>
      </c>
      <c r="BU87" s="4794">
        <f t="shared" si="45"/>
        <v>0</v>
      </c>
      <c r="BV87" s="4794">
        <f t="shared" si="46"/>
        <v>0</v>
      </c>
      <c r="BW87" s="4794">
        <f t="shared" si="47"/>
        <v>0</v>
      </c>
      <c r="BX87" s="4794">
        <f t="shared" si="48"/>
        <v>0</v>
      </c>
      <c r="BY87" s="4794">
        <f t="shared" si="49"/>
        <v>0</v>
      </c>
      <c r="BZ87" s="4794">
        <f t="shared" si="50"/>
        <v>0</v>
      </c>
      <c r="CA87" s="4794">
        <f t="shared" si="51"/>
        <v>0</v>
      </c>
      <c r="CB87" s="4794">
        <f t="shared" si="52"/>
        <v>0</v>
      </c>
      <c r="CC87" s="4794">
        <f t="shared" si="53"/>
        <v>0</v>
      </c>
      <c r="CD87" s="4794">
        <f t="shared" si="54"/>
        <v>0</v>
      </c>
      <c r="CE87" s="4794">
        <f t="shared" si="55"/>
        <v>0</v>
      </c>
      <c r="CF87" s="4794">
        <f t="shared" si="56"/>
        <v>0</v>
      </c>
      <c r="CG87" s="4794">
        <f t="shared" si="57"/>
        <v>0</v>
      </c>
      <c r="CH87" s="4794">
        <f t="shared" si="58"/>
        <v>0</v>
      </c>
      <c r="CI87" s="4794">
        <f t="shared" si="59"/>
        <v>0</v>
      </c>
      <c r="CJ87" s="4794">
        <f t="shared" si="60"/>
        <v>0</v>
      </c>
    </row>
    <row r="88" spans="1:88" s="1179" customFormat="1" ht="15.95" customHeight="1" thickBot="1">
      <c r="A88" s="5436" t="s">
        <v>277</v>
      </c>
      <c r="B88" s="5437"/>
      <c r="C88" s="1129">
        <f>'12. Разходи'!C88</f>
        <v>18552.292350438001</v>
      </c>
      <c r="D88" s="1167">
        <f>'12. Разходи'!D88-'12. Разходи'!$C88</f>
        <v>3604.1742891074537</v>
      </c>
      <c r="E88" s="894">
        <f>IFERROR(('12. Разходи'!D88-'12. Разходи'!$C88)/'12. Разходи'!$C88,0)</f>
        <v>0.19427110251539145</v>
      </c>
      <c r="F88" s="1166">
        <f>'12. Разходи'!E88-'12. Разходи'!$C88</f>
        <v>4877.800033599473</v>
      </c>
      <c r="G88" s="894">
        <f>IFERROR(('12. Разходи'!E88-'12. Разходи'!$C88)/'12. Разходи'!$C88,0)</f>
        <v>0.26292168867661858</v>
      </c>
      <c r="H88" s="1166">
        <f>'12. Разходи'!F88-'12. Разходи'!$C88</f>
        <v>7042.7995158163394</v>
      </c>
      <c r="I88" s="903">
        <f>IFERROR(('12. Разходи'!F88-'12. Разходи'!$C88)/'12. Разходи'!$C88,0)</f>
        <v>0.37961882999596358</v>
      </c>
      <c r="J88" s="1169">
        <f>'12. Разходи'!G88-'12. Разходи'!$C88</f>
        <v>9297.2799634671974</v>
      </c>
      <c r="K88" s="903">
        <f>IFERROR(('12. Разходи'!G88-'12. Разходи'!$C88)/'12. Разходи'!$C88,0)</f>
        <v>0.50113914700399265</v>
      </c>
      <c r="L88" s="1166">
        <f>'12. Разходи'!H88-'12. Разходи'!$C88</f>
        <v>12075.228091646117</v>
      </c>
      <c r="M88" s="907">
        <f>IFERROR(('12. Разходи'!H88-'12. Разходи'!$C88)/'12. Разходи'!$C88,0)</f>
        <v>0.65087525916230149</v>
      </c>
      <c r="N88" s="1180">
        <f>'12. Разходи'!K88</f>
        <v>3856.1148398749997</v>
      </c>
      <c r="O88" s="1167">
        <f>'12. Разходи'!L88-'12. Разходи'!$K88</f>
        <v>732.49903227651566</v>
      </c>
      <c r="P88" s="894">
        <f>IFERROR(('12. Разходи'!L88-'12. Разходи'!$K88)/'12. Разходи'!$K88,0)</f>
        <v>0.18995778463388824</v>
      </c>
      <c r="Q88" s="1166">
        <f>'12. Разходи'!M88-'12. Разходи'!$K88</f>
        <v>1247.3533545167279</v>
      </c>
      <c r="R88" s="894">
        <f>IFERROR(('12. Разходи'!M88-'12. Разходи'!$K88)/'12. Разходи'!$K88,0)</f>
        <v>0.32347412001795112</v>
      </c>
      <c r="S88" s="1166">
        <f>'12. Разходи'!N88-'12. Разходи'!$K88</f>
        <v>1731.2426691019714</v>
      </c>
      <c r="T88" s="903">
        <f>IFERROR(('12. Разходи'!N88-'12. Разходи'!$K88)/'12. Разходи'!$K88,0)</f>
        <v>0.44896035024675029</v>
      </c>
      <c r="U88" s="1169">
        <f>'12. Разходи'!O88-'12. Разходи'!$K88</f>
        <v>2353.0128259448943</v>
      </c>
      <c r="V88" s="903">
        <f>IFERROR(('12. Разходи'!O88-'12. Разходи'!$K88)/'12. Разходи'!$K88,0)</f>
        <v>0.61020299541213086</v>
      </c>
      <c r="W88" s="1166">
        <f>'12. Разходи'!P88-'12. Разходи'!$K88</f>
        <v>3085.4170817824465</v>
      </c>
      <c r="X88" s="909">
        <f>IFERROR(('12. Разходи'!P88-'12. Разходи'!$K88)/'12. Разходи'!$K88,0)</f>
        <v>0.80013620182599743</v>
      </c>
      <c r="Y88" s="1180">
        <f>'12. Разходи'!S88</f>
        <v>3861.5759230499998</v>
      </c>
      <c r="Z88" s="1167">
        <f>'12. Разходи'!T88-'12. Разходи'!$S88</f>
        <v>1010.2246032530302</v>
      </c>
      <c r="AA88" s="894">
        <f>IFERROR(('12. Разходи'!T88-'12. Разходи'!$S88)/'12. Разходи'!$S88,0)</f>
        <v>0.26160941112744496</v>
      </c>
      <c r="AB88" s="1166">
        <f>'12. Разходи'!U88-'12. Разходи'!$S88</f>
        <v>1353.2345805207979</v>
      </c>
      <c r="AC88" s="894">
        <f>IFERROR(('12. Разходи'!U88-'12. Разходи'!$S88)/'12. Разходи'!$S88,0)</f>
        <v>0.35043583435541226</v>
      </c>
      <c r="AD88" s="1166">
        <f>'12. Разходи'!V88-'12. Разходи'!$S88</f>
        <v>1827.8040673186888</v>
      </c>
      <c r="AE88" s="903">
        <f>IFERROR(('12. Разходи'!V88-'12. Разходи'!$S88)/'12. Разходи'!$S88,0)</f>
        <v>0.47333112276995681</v>
      </c>
      <c r="AF88" s="1169">
        <f>'12. Разходи'!W88-'12. Разходи'!$S88</f>
        <v>2381.3601128249093</v>
      </c>
      <c r="AG88" s="903">
        <f>IFERROR(('12. Разходи'!W88-'12. Разходи'!$S88)/'12. Разходи'!$S88,0)</f>
        <v>0.61668089926975533</v>
      </c>
      <c r="AH88" s="1166">
        <f>'12. Разходи'!X88-'12. Разходи'!$S88</f>
        <v>3020.1559388084379</v>
      </c>
      <c r="AI88" s="909">
        <f>IFERROR(('12. Разходи'!X88-'12. Разходи'!$S88)/'12. Разходи'!$S88,0)</f>
        <v>0.78210450836430001</v>
      </c>
      <c r="AJ88" s="1180">
        <f>'12. Разходи'!AA88</f>
        <v>0</v>
      </c>
      <c r="AK88" s="1167">
        <f>'12. Разходи'!AB88-'12. Разходи'!$AA88</f>
        <v>0</v>
      </c>
      <c r="AL88" s="894">
        <f>IFERROR(('12. Разходи'!AB88-'12. Разходи'!$AA88)/'12. Разходи'!$AA88,0)</f>
        <v>0</v>
      </c>
      <c r="AM88" s="1166">
        <f>'12. Разходи'!AC88-'12. Разходи'!$AA88</f>
        <v>0</v>
      </c>
      <c r="AN88" s="894">
        <f>IFERROR(('12. Разходи'!AC88-'12. Разходи'!$AA88)/'12. Разходи'!$AA88,0)</f>
        <v>0</v>
      </c>
      <c r="AO88" s="1166">
        <f>'12. Разходи'!AD88-'12. Разходи'!$AA88</f>
        <v>0</v>
      </c>
      <c r="AP88" s="894">
        <f>IFERROR(('12. Разходи'!AD88-'12. Разходи'!$AA88)/'12. Разходи'!$AA88,0)</f>
        <v>0</v>
      </c>
      <c r="AQ88" s="1166">
        <f>'12. Разходи'!AE88-'12. Разходи'!$AA88</f>
        <v>0</v>
      </c>
      <c r="AR88" s="907">
        <f>IFERROR(('12. Разходи'!AE88-'12. Разходи'!$AA88)/'12. Разходи'!$AA88,0)</f>
        <v>0</v>
      </c>
      <c r="AS88" s="1166">
        <f>'12. Разходи'!AF88-'12. Разходи'!$AA88</f>
        <v>0</v>
      </c>
      <c r="AT88" s="909">
        <f>IFERROR(('12. Разходи'!AF88-'12. Разходи'!$AA88)/'12. Разходи'!$AA88,0)</f>
        <v>0</v>
      </c>
      <c r="AU88" s="1180">
        <f>'12. Разходи'!AI88</f>
        <v>0</v>
      </c>
      <c r="AV88" s="1167">
        <f>'12. Разходи'!AJ88-'12. Разходи'!$AI88</f>
        <v>0</v>
      </c>
      <c r="AW88" s="894">
        <f>IFERROR(('12. Разходи'!AJ88-'12. Разходи'!$AI88)/'12. Разходи'!$AI88,0)</f>
        <v>0</v>
      </c>
      <c r="AX88" s="1166">
        <f>'12. Разходи'!AK88-'12. Разходи'!$AI88</f>
        <v>0</v>
      </c>
      <c r="AY88" s="894">
        <f>IFERROR(('12. Разходи'!AK88-'12. Разходи'!$AI88)/'12. Разходи'!$AI88,0)</f>
        <v>0</v>
      </c>
      <c r="AZ88" s="1166">
        <f>'12. Разходи'!AL88-'12. Разходи'!$AI88</f>
        <v>0</v>
      </c>
      <c r="BA88" s="894">
        <f>IFERROR(('12. Разходи'!AL88-'12. Разходи'!$AI88)/'12. Разходи'!$AI88,0)</f>
        <v>0</v>
      </c>
      <c r="BB88" s="1166">
        <f>'12. Разходи'!AM88-'12. Разходи'!$AI88</f>
        <v>0</v>
      </c>
      <c r="BC88" s="907">
        <f>IFERROR(('12. Разходи'!AM88-'12. Разходи'!$AI88)/'12. Разходи'!$AI88,0)</f>
        <v>0</v>
      </c>
      <c r="BD88" s="1166">
        <f>'12. Разходи'!AN88-'12. Разходи'!$AI88</f>
        <v>0</v>
      </c>
      <c r="BE88" s="909">
        <f>IFERROR(('12. Разходи'!AN88-'12. Разходи'!$AI88)/'12. Разходи'!$AI88,0)</f>
        <v>0</v>
      </c>
      <c r="BF88" s="4775"/>
      <c r="BG88" s="4794">
        <f t="shared" si="31"/>
        <v>9485.636456357659</v>
      </c>
      <c r="BH88" s="4794">
        <f t="shared" si="32"/>
        <v>1842.7850524367934</v>
      </c>
      <c r="BI88" s="4794">
        <f t="shared" si="33"/>
        <v>2493.9795552780524</v>
      </c>
      <c r="BJ88" s="4794">
        <f t="shared" si="34"/>
        <v>3600.9262133295529</v>
      </c>
      <c r="BK88" s="4794">
        <f t="shared" si="35"/>
        <v>4753.6237625290532</v>
      </c>
      <c r="BL88" s="4794">
        <f t="shared" si="36"/>
        <v>6173.9660868511664</v>
      </c>
      <c r="BM88" s="4794">
        <f t="shared" si="37"/>
        <v>1971.6002105883435</v>
      </c>
      <c r="BN88" s="4794">
        <f t="shared" si="38"/>
        <v>374.52080818706929</v>
      </c>
      <c r="BO88" s="4794">
        <f t="shared" si="39"/>
        <v>637.76164314727146</v>
      </c>
      <c r="BP88" s="4794">
        <f t="shared" si="40"/>
        <v>885.17032109230934</v>
      </c>
      <c r="BQ88" s="4794">
        <f t="shared" si="41"/>
        <v>1203.0763542561951</v>
      </c>
      <c r="BR88" s="4794">
        <f t="shared" si="42"/>
        <v>1577.5487040194939</v>
      </c>
      <c r="BS88" s="4794">
        <f t="shared" si="43"/>
        <v>1974.3924180782583</v>
      </c>
      <c r="BT88" s="4794">
        <f t="shared" si="44"/>
        <v>516.5196378279453</v>
      </c>
      <c r="BU88" s="4794">
        <f t="shared" si="45"/>
        <v>691.89785437425439</v>
      </c>
      <c r="BV88" s="4794">
        <f t="shared" si="46"/>
        <v>934.54138003747198</v>
      </c>
      <c r="BW88" s="4794">
        <f t="shared" si="47"/>
        <v>1217.5700918918869</v>
      </c>
      <c r="BX88" s="4794">
        <f t="shared" si="48"/>
        <v>1544.1812114592976</v>
      </c>
      <c r="BY88" s="4794">
        <f t="shared" si="49"/>
        <v>0</v>
      </c>
      <c r="BZ88" s="4794">
        <f t="shared" si="50"/>
        <v>0</v>
      </c>
      <c r="CA88" s="4794">
        <f t="shared" si="51"/>
        <v>0</v>
      </c>
      <c r="CB88" s="4794">
        <f t="shared" si="52"/>
        <v>0</v>
      </c>
      <c r="CC88" s="4794">
        <f t="shared" si="53"/>
        <v>0</v>
      </c>
      <c r="CD88" s="4794">
        <f t="shared" si="54"/>
        <v>0</v>
      </c>
      <c r="CE88" s="4794">
        <f t="shared" si="55"/>
        <v>0</v>
      </c>
      <c r="CF88" s="4794">
        <f t="shared" si="56"/>
        <v>0</v>
      </c>
      <c r="CG88" s="4794">
        <f t="shared" si="57"/>
        <v>0</v>
      </c>
      <c r="CH88" s="4794">
        <f t="shared" si="58"/>
        <v>0</v>
      </c>
      <c r="CI88" s="4794">
        <f t="shared" si="59"/>
        <v>0</v>
      </c>
      <c r="CJ88" s="4794">
        <f t="shared" si="60"/>
        <v>0</v>
      </c>
    </row>
    <row r="89" spans="1:88" s="1234" customFormat="1" ht="15.95" customHeight="1" thickBot="1">
      <c r="A89" s="260"/>
      <c r="B89" s="261" t="s">
        <v>1232</v>
      </c>
      <c r="C89" s="1138">
        <f>'12. Разходи'!C89</f>
        <v>983.5693504379999</v>
      </c>
      <c r="D89" s="1172">
        <f>'12. Разходи'!D89-'12. Разходи'!$C89</f>
        <v>18.982459562000145</v>
      </c>
      <c r="E89" s="902">
        <f>IFERROR(('12. Разходи'!D89-'12. Разходи'!$C89)/'12. Разходи'!$C89,0)</f>
        <v>1.929956393369409E-2</v>
      </c>
      <c r="F89" s="1173">
        <f>'12. Разходи'!E89-'12. Разходи'!$C89</f>
        <v>-9.2048504379998803</v>
      </c>
      <c r="G89" s="902">
        <f>IFERROR(('12. Разходи'!E89-'12. Разходи'!$C89)/'12. Разходи'!$C89,0)</f>
        <v>-9.3586186209450375E-3</v>
      </c>
      <c r="H89" s="1173">
        <f>'12. Разходи'!F89-'12. Разходи'!$C89</f>
        <v>-36.422620437999853</v>
      </c>
      <c r="I89" s="902">
        <f>IFERROR(('12. Разходи'!F89-'12. Разходи'!$C89)/'12. Разходи'!$C89,0)</f>
        <v>-3.7031064888083644E-2</v>
      </c>
      <c r="J89" s="1173">
        <f>'12. Разходи'!G89-'12. Разходи'!$C89</f>
        <v>-62.64039043799994</v>
      </c>
      <c r="K89" s="908">
        <f>IFERROR(('12. Разходи'!G89-'12. Разходи'!$C89)/'12. Разходи'!$C89,0)</f>
        <v>-6.3686806029595297E-2</v>
      </c>
      <c r="L89" s="1173">
        <f>'12. Разходи'!H89-'12. Разходи'!$C89</f>
        <v>-91.525600437999856</v>
      </c>
      <c r="M89" s="908">
        <f>IFERROR(('12. Разходи'!H89-'12. Разходи'!$C89)/'12. Разходи'!$C89,0)</f>
        <v>-9.3054547091409437E-2</v>
      </c>
      <c r="N89" s="1185">
        <f>'12. Разходи'!K89</f>
        <v>65.068839874999995</v>
      </c>
      <c r="O89" s="1172">
        <f>'12. Разходи'!L89-'12. Разходи'!$K89</f>
        <v>1.0686421250000109</v>
      </c>
      <c r="P89" s="902">
        <f>IFERROR(('12. Разходи'!L89-'12. Разходи'!$K89)/'12. Разходи'!$K89,0)</f>
        <v>1.6423254618538118E-2</v>
      </c>
      <c r="Q89" s="1173">
        <f>'12. Разходи'!M89-'12. Разходи'!$K89</f>
        <v>1.0686421250000109</v>
      </c>
      <c r="R89" s="902">
        <f>IFERROR(('12. Разходи'!M89-'12. Разходи'!$K89)/'12. Разходи'!$K89,0)</f>
        <v>1.6423254618538118E-2</v>
      </c>
      <c r="S89" s="1173">
        <f>'12. Разходи'!N89-'12. Разходи'!$K89</f>
        <v>4.1145725000006905E-2</v>
      </c>
      <c r="T89" s="902">
        <f>IFERROR(('12. Разходи'!N89-'12. Разходи'!$K89)/'12. Разходи'!$K89,0)</f>
        <v>6.3234145681788075E-4</v>
      </c>
      <c r="U89" s="1173">
        <f>'12. Разходи'!O89-'12. Разходи'!$K89</f>
        <v>-0.95885427499999309</v>
      </c>
      <c r="V89" s="908">
        <f>IFERROR(('12. Разходи'!O89-'12. Разходи'!$K89)/'12. Разходи'!$K89,0)</f>
        <v>-1.4735997704000761E-2</v>
      </c>
      <c r="W89" s="1173">
        <f>'12. Разходи'!P89-'12. Разходи'!$K89</f>
        <v>-0.95885427499999309</v>
      </c>
      <c r="X89" s="843">
        <f>IFERROR(('12. Разходи'!P89-'12. Разходи'!$K89)/'12. Разходи'!$K89,0)</f>
        <v>-1.4735997704000761E-2</v>
      </c>
      <c r="Y89" s="1185">
        <f>'12. Разходи'!S89</f>
        <v>731.17692304999991</v>
      </c>
      <c r="Z89" s="1172">
        <f>'12. Разходи'!T89-'12. Разходи'!$S89</f>
        <v>117.23182295000015</v>
      </c>
      <c r="AA89" s="902">
        <f>IFERROR(('12. Разходи'!T89-'12. Разходи'!$S89)/'12. Разходи'!$S89,0)</f>
        <v>0.16033304560677925</v>
      </c>
      <c r="AB89" s="1173">
        <f>'12. Разходи'!U89-'12. Разходи'!$S89</f>
        <v>107.86217695000005</v>
      </c>
      <c r="AC89" s="902">
        <f>IFERROR(('12. Разходи'!U89-'12. Разходи'!$S89)/'12. Разходи'!$S89,0)</f>
        <v>0.14751857389052764</v>
      </c>
      <c r="AD89" s="1173">
        <f>'12. Разходи'!V89-'12. Разходи'!$S89</f>
        <v>95.060726950000117</v>
      </c>
      <c r="AE89" s="902">
        <f>IFERROR(('12. Разходи'!V89-'12. Разходи'!$S89)/'12. Разходи'!$S89,0)</f>
        <v>0.13001056783010587</v>
      </c>
      <c r="AF89" s="1173">
        <f>'12. Разходи'!W89-'12. Разходи'!$S89</f>
        <v>89.340146950000076</v>
      </c>
      <c r="AG89" s="908">
        <f>IFERROR(('12. Разходи'!W89-'12. Разходи'!$S89)/'12. Разходи'!$S89,0)</f>
        <v>0.12218677057986245</v>
      </c>
      <c r="AH89" s="1173">
        <f>'12. Разходи'!X89-'12. Разходи'!$S89</f>
        <v>84.619566950000035</v>
      </c>
      <c r="AI89" s="843">
        <f>IFERROR(('12. Разходи'!X89-'12. Разходи'!$S89)/'12. Разходи'!$S89,0)</f>
        <v>0.11573063137307674</v>
      </c>
      <c r="AJ89" s="1185">
        <f>'12. Разходи'!AA89</f>
        <v>0</v>
      </c>
      <c r="AK89" s="1172">
        <f>'12. Разходи'!AB89-'12. Разходи'!$AA89</f>
        <v>0</v>
      </c>
      <c r="AL89" s="902">
        <f>IFERROR(('12. Разходи'!AB89-'12. Разходи'!$AA89)/'12. Разходи'!$AA89,0)</f>
        <v>0</v>
      </c>
      <c r="AM89" s="1173">
        <f>'12. Разходи'!AC89-'12. Разходи'!$AA89</f>
        <v>0</v>
      </c>
      <c r="AN89" s="902">
        <f>IFERROR(('12. Разходи'!AC89-'12. Разходи'!$AA89)/'12. Разходи'!$AA89,0)</f>
        <v>0</v>
      </c>
      <c r="AO89" s="1173">
        <f>'12. Разходи'!AD89-'12. Разходи'!$AA89</f>
        <v>0</v>
      </c>
      <c r="AP89" s="902">
        <f>IFERROR(('12. Разходи'!AD89-'12. Разходи'!$AA89)/'12. Разходи'!$AA89,0)</f>
        <v>0</v>
      </c>
      <c r="AQ89" s="1173">
        <f>'12. Разходи'!AE89-'12. Разходи'!$AA89</f>
        <v>0</v>
      </c>
      <c r="AR89" s="908">
        <f>IFERROR(('12. Разходи'!AE89-'12. Разходи'!$AA89)/'12. Разходи'!$AA89,0)</f>
        <v>0</v>
      </c>
      <c r="AS89" s="1173">
        <f>'12. Разходи'!AF89-'12. Разходи'!$AA89</f>
        <v>0</v>
      </c>
      <c r="AT89" s="1233">
        <f>IFERROR(('12. Разходи'!AF89-'12. Разходи'!$AA89)/'12. Разходи'!$AA89,0)</f>
        <v>0</v>
      </c>
      <c r="AU89" s="1185">
        <f>'12. Разходи'!AI89</f>
        <v>0</v>
      </c>
      <c r="AV89" s="1172">
        <f>'12. Разходи'!AJ89-'12. Разходи'!$AI89</f>
        <v>0</v>
      </c>
      <c r="AW89" s="902">
        <f>IFERROR(('12. Разходи'!AJ89-'12. Разходи'!$AI89)/'12. Разходи'!$AI89,0)</f>
        <v>0</v>
      </c>
      <c r="AX89" s="1173">
        <f>'12. Разходи'!AK89-'12. Разходи'!$AI89</f>
        <v>0</v>
      </c>
      <c r="AY89" s="902">
        <f>IFERROR(('12. Разходи'!AK89-'12. Разходи'!$AI89)/'12. Разходи'!$AI89,0)</f>
        <v>0</v>
      </c>
      <c r="AZ89" s="1173">
        <f>'12. Разходи'!AL89-'12. Разходи'!$AI89</f>
        <v>0</v>
      </c>
      <c r="BA89" s="902">
        <f>IFERROR(('12. Разходи'!AL89-'12. Разходи'!$AI89)/'12. Разходи'!$AI89,0)</f>
        <v>0</v>
      </c>
      <c r="BB89" s="1173">
        <f>'12. Разходи'!AM89-'12. Разходи'!$AI89</f>
        <v>0</v>
      </c>
      <c r="BC89" s="908">
        <f>IFERROR(('12. Разходи'!AM89-'12. Разходи'!$AI89)/'12. Разходи'!$AI89,0)</f>
        <v>0</v>
      </c>
      <c r="BD89" s="1173">
        <f>'12. Разходи'!AN89-'12. Разходи'!$AI89</f>
        <v>0</v>
      </c>
      <c r="BE89" s="1233">
        <f>IFERROR(('12. Разходи'!AN89-'12. Разходи'!$AI89)/'12. Разходи'!$AI89,0)</f>
        <v>0</v>
      </c>
      <c r="BF89" s="4775"/>
      <c r="BG89" s="4794">
        <f t="shared" si="31"/>
        <v>502.89102347238764</v>
      </c>
      <c r="BH89" s="4794">
        <f t="shared" si="32"/>
        <v>9.7055774591862001</v>
      </c>
      <c r="BI89" s="4794">
        <f t="shared" si="33"/>
        <v>-4.7063652965747949</v>
      </c>
      <c r="BJ89" s="4794">
        <f t="shared" si="34"/>
        <v>-18.62259012184078</v>
      </c>
      <c r="BK89" s="4794">
        <f t="shared" si="35"/>
        <v>-32.027523065910607</v>
      </c>
      <c r="BL89" s="4794">
        <f t="shared" si="36"/>
        <v>-46.796296425558388</v>
      </c>
      <c r="BM89" s="4794">
        <f t="shared" si="37"/>
        <v>33.269169546944262</v>
      </c>
      <c r="BN89" s="4794">
        <f t="shared" si="38"/>
        <v>0.54638804241678007</v>
      </c>
      <c r="BO89" s="4794">
        <f t="shared" si="39"/>
        <v>0.54638804241678007</v>
      </c>
      <c r="BP89" s="4794">
        <f t="shared" si="40"/>
        <v>2.1037475138435808E-2</v>
      </c>
      <c r="BQ89" s="4794">
        <f t="shared" si="41"/>
        <v>-0.4902544060577827</v>
      </c>
      <c r="BR89" s="4794">
        <f t="shared" si="42"/>
        <v>-0.4902544060577827</v>
      </c>
      <c r="BS89" s="4794">
        <f t="shared" si="43"/>
        <v>373.84482447349717</v>
      </c>
      <c r="BT89" s="4794">
        <f t="shared" si="44"/>
        <v>59.939679292167597</v>
      </c>
      <c r="BU89" s="4794">
        <f t="shared" si="45"/>
        <v>55.149055362684919</v>
      </c>
      <c r="BV89" s="4794">
        <f t="shared" si="46"/>
        <v>48.603777910145624</v>
      </c>
      <c r="BW89" s="4794">
        <f t="shared" si="47"/>
        <v>45.678891800412138</v>
      </c>
      <c r="BX89" s="4794">
        <f t="shared" si="48"/>
        <v>43.265297571874875</v>
      </c>
      <c r="BY89" s="4794">
        <f t="shared" si="49"/>
        <v>0</v>
      </c>
      <c r="BZ89" s="4794">
        <f t="shared" si="50"/>
        <v>0</v>
      </c>
      <c r="CA89" s="4794">
        <f t="shared" si="51"/>
        <v>0</v>
      </c>
      <c r="CB89" s="4794">
        <f t="shared" si="52"/>
        <v>0</v>
      </c>
      <c r="CC89" s="4794">
        <f t="shared" si="53"/>
        <v>0</v>
      </c>
      <c r="CD89" s="4794">
        <f t="shared" si="54"/>
        <v>0</v>
      </c>
      <c r="CE89" s="4794">
        <f t="shared" si="55"/>
        <v>0</v>
      </c>
      <c r="CF89" s="4794">
        <f t="shared" si="56"/>
        <v>0</v>
      </c>
      <c r="CG89" s="4794">
        <f t="shared" si="57"/>
        <v>0</v>
      </c>
      <c r="CH89" s="4794">
        <f t="shared" si="58"/>
        <v>0</v>
      </c>
      <c r="CI89" s="4794">
        <f t="shared" si="59"/>
        <v>0</v>
      </c>
      <c r="CJ89" s="4794">
        <f t="shared" si="60"/>
        <v>0</v>
      </c>
    </row>
    <row r="90" spans="1:88" s="1235" customFormat="1" ht="15.95" customHeight="1" thickBot="1">
      <c r="A90" s="260"/>
      <c r="B90" s="261" t="s">
        <v>637</v>
      </c>
      <c r="C90" s="1138">
        <f>'12. Разходи'!C90</f>
        <v>1887</v>
      </c>
      <c r="D90" s="1174">
        <f>'12. Разходи'!D90-'12. Разходи'!$C90</f>
        <v>237</v>
      </c>
      <c r="E90" s="902">
        <f>IFERROR(('12. Разходи'!D90-'12. Разходи'!$C90)/'12. Разходи'!$C90,0)</f>
        <v>0.12559618441971382</v>
      </c>
      <c r="F90" s="1175">
        <f>'12. Разходи'!E90-'12. Разходи'!$C90</f>
        <v>345</v>
      </c>
      <c r="G90" s="902">
        <f>IFERROR(('12. Разходи'!E90-'12. Разходи'!$C90)/'12. Разходи'!$C90,0)</f>
        <v>0.18282988871224165</v>
      </c>
      <c r="H90" s="1175">
        <f>'12. Разходи'!F90-'12. Разходи'!$C90</f>
        <v>470</v>
      </c>
      <c r="I90" s="902">
        <f>IFERROR(('12. Разходи'!F90-'12. Разходи'!$C90)/'12. Разходи'!$C90,0)</f>
        <v>0.24907260201377848</v>
      </c>
      <c r="J90" s="1175">
        <f>'12. Разходи'!G90-'12. Разходи'!$C90</f>
        <v>613</v>
      </c>
      <c r="K90" s="908">
        <f>IFERROR(('12. Разходи'!G90-'12. Разходи'!$C90)/'12. Разходи'!$C90,0)</f>
        <v>0.32485426603073664</v>
      </c>
      <c r="L90" s="1175">
        <f>'12. Разходи'!H90-'12. Разходи'!$C90</f>
        <v>778</v>
      </c>
      <c r="M90" s="908">
        <f>IFERROR(('12. Разходи'!H90-'12. Разходи'!$C90)/'12. Разходи'!$C90,0)</f>
        <v>0.41229464758876522</v>
      </c>
      <c r="N90" s="1185">
        <f>'12. Разходи'!K90</f>
        <v>470</v>
      </c>
      <c r="O90" s="1174">
        <f>'12. Разходи'!L90-'12. Разходи'!$K90</f>
        <v>49</v>
      </c>
      <c r="P90" s="902">
        <f>IFERROR(('12. Разходи'!L90-'12. Разходи'!$K90)/'12. Разходи'!$K90,0)</f>
        <v>0.10425531914893617</v>
      </c>
      <c r="Q90" s="1175">
        <f>'12. Разходи'!M90-'12. Разходи'!$K90</f>
        <v>64</v>
      </c>
      <c r="R90" s="902">
        <f>IFERROR(('12. Разходи'!M90-'12. Разходи'!$K90)/'12. Разходи'!$K90,0)</f>
        <v>0.13617021276595745</v>
      </c>
      <c r="S90" s="1175">
        <f>'12. Разходи'!N90-'12. Разходи'!$K90</f>
        <v>82</v>
      </c>
      <c r="T90" s="902">
        <f>IFERROR(('12. Разходи'!N90-'12. Разходи'!$K90)/'12. Разходи'!$K90,0)</f>
        <v>0.17446808510638298</v>
      </c>
      <c r="U90" s="1175">
        <f>'12. Разходи'!O90-'12. Разходи'!$K90</f>
        <v>103</v>
      </c>
      <c r="V90" s="908">
        <f>IFERROR(('12. Разходи'!O90-'12. Разходи'!$K90)/'12. Разходи'!$K90,0)</f>
        <v>0.21914893617021278</v>
      </c>
      <c r="W90" s="1175">
        <f>'12. Разходи'!P90-'12. Разходи'!$K90</f>
        <v>127</v>
      </c>
      <c r="X90" s="843">
        <f>IFERROR(('12. Разходи'!P90-'12. Разходи'!$K90)/'12. Разходи'!$K90,0)</f>
        <v>0.27021276595744681</v>
      </c>
      <c r="Y90" s="1185">
        <f>'12. Разходи'!S90</f>
        <v>276.39999999999998</v>
      </c>
      <c r="Z90" s="1174">
        <f>'12. Разходи'!T90-'12. Разходи'!$S90</f>
        <v>-0.39999999999997726</v>
      </c>
      <c r="AA90" s="902">
        <f>IFERROR(('12. Разходи'!T90-'12. Разходи'!$S90)/'12. Разходи'!$S90,0)</f>
        <v>-1.4471780028942739E-3</v>
      </c>
      <c r="AB90" s="1175">
        <f>'12. Разходи'!U90-'12. Разходи'!$S90</f>
        <v>-0.39999999999997726</v>
      </c>
      <c r="AC90" s="902">
        <f>IFERROR(('12. Разходи'!U90-'12. Разходи'!$S90)/'12. Разходи'!$S90,0)</f>
        <v>-1.4471780028942739E-3</v>
      </c>
      <c r="AD90" s="1175">
        <f>'12. Разходи'!V90-'12. Разходи'!$S90</f>
        <v>-0.39999999999997726</v>
      </c>
      <c r="AE90" s="902">
        <f>IFERROR(('12. Разходи'!V90-'12. Разходи'!$S90)/'12. Разходи'!$S90,0)</f>
        <v>-1.4471780028942739E-3</v>
      </c>
      <c r="AF90" s="1175">
        <f>'12. Разходи'!W90-'12. Разходи'!$S90</f>
        <v>0.60000000000002274</v>
      </c>
      <c r="AG90" s="908">
        <f>IFERROR(('12. Разходи'!W90-'12. Разходи'!$S90)/'12. Разходи'!$S90,0)</f>
        <v>2.1707670043416166E-3</v>
      </c>
      <c r="AH90" s="1175">
        <f>'12. Разходи'!X90-'12. Разходи'!$S90</f>
        <v>0.60000000000002274</v>
      </c>
      <c r="AI90" s="843">
        <f>IFERROR(('12. Разходи'!X90-'12. Разходи'!$S90)/'12. Разходи'!$S90,0)</f>
        <v>2.1707670043416166E-3</v>
      </c>
      <c r="AJ90" s="1185">
        <f>'12. Разходи'!AA90</f>
        <v>0</v>
      </c>
      <c r="AK90" s="1174">
        <f>'12. Разходи'!AB90-'12. Разходи'!$AA90</f>
        <v>0</v>
      </c>
      <c r="AL90" s="902">
        <f>IFERROR(('12. Разходи'!AB90-'12. Разходи'!$AA90)/'12. Разходи'!$AA90,0)</f>
        <v>0</v>
      </c>
      <c r="AM90" s="1175">
        <f>'12. Разходи'!AC90-'12. Разходи'!$AA90</f>
        <v>0</v>
      </c>
      <c r="AN90" s="902">
        <f>IFERROR(('12. Разходи'!AC90-'12. Разходи'!$AA90)/'12. Разходи'!$AA90,0)</f>
        <v>0</v>
      </c>
      <c r="AO90" s="1175">
        <f>'12. Разходи'!AD90-'12. Разходи'!$AA90</f>
        <v>0</v>
      </c>
      <c r="AP90" s="902">
        <f>IFERROR(('12. Разходи'!AD90-'12. Разходи'!$AA90)/'12. Разходи'!$AA90,0)</f>
        <v>0</v>
      </c>
      <c r="AQ90" s="1175">
        <f>'12. Разходи'!AE90-'12. Разходи'!$AA90</f>
        <v>0</v>
      </c>
      <c r="AR90" s="908">
        <f>IFERROR(('12. Разходи'!AE90-'12. Разходи'!$AA90)/'12. Разходи'!$AA90,0)</f>
        <v>0</v>
      </c>
      <c r="AS90" s="1175">
        <f>'12. Разходи'!AF90-'12. Разходи'!$AA90</f>
        <v>0</v>
      </c>
      <c r="AT90" s="1233">
        <f>IFERROR(('12. Разходи'!AF90-'12. Разходи'!$AA90)/'12. Разходи'!$AA90,0)</f>
        <v>0</v>
      </c>
      <c r="AU90" s="1185">
        <f>'12. Разходи'!AI90</f>
        <v>0</v>
      </c>
      <c r="AV90" s="1174">
        <f>'12. Разходи'!AJ90-'12. Разходи'!$AI90</f>
        <v>0</v>
      </c>
      <c r="AW90" s="902">
        <f>IFERROR(('12. Разходи'!AJ90-'12. Разходи'!$AI90)/'12. Разходи'!$AI90,0)</f>
        <v>0</v>
      </c>
      <c r="AX90" s="1175">
        <f>'12. Разходи'!AK90-'12. Разходи'!$AI90</f>
        <v>0</v>
      </c>
      <c r="AY90" s="902">
        <f>IFERROR(('12. Разходи'!AK90-'12. Разходи'!$AI90)/'12. Разходи'!$AI90,0)</f>
        <v>0</v>
      </c>
      <c r="AZ90" s="1175">
        <f>'12. Разходи'!AL90-'12. Разходи'!$AI90</f>
        <v>0</v>
      </c>
      <c r="BA90" s="902">
        <f>IFERROR(('12. Разходи'!AL90-'12. Разходи'!$AI90)/'12. Разходи'!$AI90,0)</f>
        <v>0</v>
      </c>
      <c r="BB90" s="1175">
        <f>'12. Разходи'!AM90-'12. Разходи'!$AI90</f>
        <v>0</v>
      </c>
      <c r="BC90" s="908">
        <f>IFERROR(('12. Разходи'!AM90-'12. Разходи'!$AI90)/'12. Разходи'!$AI90,0)</f>
        <v>0</v>
      </c>
      <c r="BD90" s="1175">
        <f>'12. Разходи'!AN90-'12. Разходи'!$AI90</f>
        <v>0</v>
      </c>
      <c r="BE90" s="1233">
        <f>IFERROR(('12. Разходи'!AN90-'12. Разходи'!$AI90)/'12. Разходи'!$AI90,0)</f>
        <v>0</v>
      </c>
      <c r="BF90" s="4775"/>
      <c r="BG90" s="4794">
        <f t="shared" si="31"/>
        <v>964.8077798172643</v>
      </c>
      <c r="BH90" s="4794">
        <f t="shared" si="32"/>
        <v>121.17617584350378</v>
      </c>
      <c r="BI90" s="4794">
        <f t="shared" si="33"/>
        <v>176.39569901269539</v>
      </c>
      <c r="BJ90" s="4794">
        <f t="shared" si="34"/>
        <v>240.30718416222268</v>
      </c>
      <c r="BK90" s="4794">
        <f t="shared" si="35"/>
        <v>313.42192317328193</v>
      </c>
      <c r="BL90" s="4794">
        <f t="shared" si="36"/>
        <v>397.785083570658</v>
      </c>
      <c r="BM90" s="4794">
        <f t="shared" si="37"/>
        <v>240.30718416222268</v>
      </c>
      <c r="BN90" s="4794">
        <f t="shared" si="38"/>
        <v>25.053302178614707</v>
      </c>
      <c r="BO90" s="4794">
        <f t="shared" si="39"/>
        <v>32.722680396557983</v>
      </c>
      <c r="BP90" s="4794">
        <f t="shared" si="40"/>
        <v>41.925934258089917</v>
      </c>
      <c r="BQ90" s="4794">
        <f t="shared" si="41"/>
        <v>52.663063763210502</v>
      </c>
      <c r="BR90" s="4794">
        <f t="shared" si="42"/>
        <v>64.934068911919752</v>
      </c>
      <c r="BS90" s="4794">
        <f t="shared" si="43"/>
        <v>141.32107596263478</v>
      </c>
      <c r="BT90" s="4794">
        <f t="shared" si="44"/>
        <v>-0.20451675247847578</v>
      </c>
      <c r="BU90" s="4794">
        <f t="shared" si="45"/>
        <v>-0.20451675247847578</v>
      </c>
      <c r="BV90" s="4794">
        <f t="shared" si="46"/>
        <v>-0.20451675247847578</v>
      </c>
      <c r="BW90" s="4794">
        <f t="shared" si="47"/>
        <v>0.30677512871774271</v>
      </c>
      <c r="BX90" s="4794">
        <f t="shared" si="48"/>
        <v>0.30677512871774271</v>
      </c>
      <c r="BY90" s="4794">
        <f t="shared" si="49"/>
        <v>0</v>
      </c>
      <c r="BZ90" s="4794">
        <f t="shared" si="50"/>
        <v>0</v>
      </c>
      <c r="CA90" s="4794">
        <f t="shared" si="51"/>
        <v>0</v>
      </c>
      <c r="CB90" s="4794">
        <f t="shared" si="52"/>
        <v>0</v>
      </c>
      <c r="CC90" s="4794">
        <f t="shared" si="53"/>
        <v>0</v>
      </c>
      <c r="CD90" s="4794">
        <f t="shared" si="54"/>
        <v>0</v>
      </c>
      <c r="CE90" s="4794">
        <f t="shared" si="55"/>
        <v>0</v>
      </c>
      <c r="CF90" s="4794">
        <f t="shared" si="56"/>
        <v>0</v>
      </c>
      <c r="CG90" s="4794">
        <f t="shared" si="57"/>
        <v>0</v>
      </c>
      <c r="CH90" s="4794">
        <f t="shared" si="58"/>
        <v>0</v>
      </c>
      <c r="CI90" s="4794">
        <f t="shared" si="59"/>
        <v>0</v>
      </c>
      <c r="CJ90" s="4794">
        <f t="shared" si="60"/>
        <v>0</v>
      </c>
    </row>
    <row r="91" spans="1:88" s="1235" customFormat="1" ht="15.95" customHeight="1" thickBot="1">
      <c r="A91" s="260"/>
      <c r="B91" s="261" t="s">
        <v>1230</v>
      </c>
      <c r="C91" s="1138">
        <f>'12. Разходи'!C91</f>
        <v>13452.292350438001</v>
      </c>
      <c r="D91" s="1172">
        <f>'12. Разходи'!D91-'12. Разходи'!$C91</f>
        <v>4362.2594595619994</v>
      </c>
      <c r="E91" s="902">
        <f>IFERROR(('12. Разходи'!D91-'12. Разходи'!$C91)/'12. Разходи'!$C91,0)</f>
        <v>0.32427629030973043</v>
      </c>
      <c r="F91" s="1173">
        <f>'12. Разходи'!E91-'12. Разходи'!$C91</f>
        <v>6190.0721495619982</v>
      </c>
      <c r="G91" s="902">
        <f>IFERROR(('12. Разходи'!E91-'12. Разходи'!$C91)/'12. Разходи'!$C91,0)</f>
        <v>0.4601499869544875</v>
      </c>
      <c r="H91" s="1173">
        <f>'12. Разходи'!F91-'12. Разходи'!$C91</f>
        <v>8391.8543795619989</v>
      </c>
      <c r="I91" s="902">
        <f>IFERROR(('12. Разходи'!F91-'12. Разходи'!$C91)/'12. Разходи'!$C91,0)</f>
        <v>0.6238233723257407</v>
      </c>
      <c r="J91" s="1173">
        <f>'12. Разходи'!G91-'12. Разходи'!$C91</f>
        <v>10676.636609562</v>
      </c>
      <c r="K91" s="908">
        <f>IFERROR(('12. Разходи'!G91-'12. Разходи'!$C91)/'12. Разходи'!$C91,0)</f>
        <v>0.79366670983881582</v>
      </c>
      <c r="L91" s="1173">
        <f>'12. Разходи'!H91-'12. Разходи'!$C91</f>
        <v>13288.751399561999</v>
      </c>
      <c r="M91" s="908">
        <f>IFERROR(('12. Разходи'!H91-'12. Разходи'!$C91)/'12. Разходи'!$C91,0)</f>
        <v>0.98784289349237364</v>
      </c>
      <c r="N91" s="1185">
        <f>'12. Разходи'!K91</f>
        <v>3187.1148398749997</v>
      </c>
      <c r="O91" s="1172">
        <f>'12. Разходи'!L91-'12. Разходи'!$K91</f>
        <v>1008.0226421250004</v>
      </c>
      <c r="P91" s="902">
        <f>IFERROR(('12. Разходи'!L91-'12. Разходи'!$K91)/'12. Разходи'!$K91,0)</f>
        <v>0.3162806151549078</v>
      </c>
      <c r="Q91" s="1173">
        <f>'12. Разходи'!M91-'12. Разходи'!$K91</f>
        <v>1521.0226421250004</v>
      </c>
      <c r="R91" s="902">
        <f>IFERROR(('12. Разходи'!M91-'12. Разходи'!$K91)/'12. Разходи'!$K91,0)</f>
        <v>0.47724124123015776</v>
      </c>
      <c r="S91" s="1173">
        <f>'12. Разходи'!N91-'12. Разходи'!$K91</f>
        <v>2002.9951457250013</v>
      </c>
      <c r="T91" s="902">
        <f>IFERROR(('12. Разходи'!N91-'12. Разходи'!$K91)/'12. Разходи'!$K91,0)</f>
        <v>0.62846657442803655</v>
      </c>
      <c r="U91" s="1173">
        <f>'12. Разходи'!O91-'12. Разходи'!$K91</f>
        <v>2632.9951457250004</v>
      </c>
      <c r="V91" s="908">
        <f>IFERROR(('12. Разходи'!O91-'12. Разходи'!$K91)/'12. Разходи'!$K91,0)</f>
        <v>0.82613751873097485</v>
      </c>
      <c r="W91" s="1173">
        <f>'12. Разходи'!P91-'12. Разходи'!$K91</f>
        <v>3363.9951457250004</v>
      </c>
      <c r="X91" s="843">
        <f>IFERROR(('12. Разходи'!P91-'12. Разходи'!$K91)/'12. Разходи'!$K91,0)</f>
        <v>1.0554985668031147</v>
      </c>
      <c r="Y91" s="1185">
        <f>'12. Разходи'!S91</f>
        <v>3614.1759230499997</v>
      </c>
      <c r="Z91" s="1172">
        <f>'12. Разходи'!T91-'12. Разходи'!$S91</f>
        <v>1038.2328229500004</v>
      </c>
      <c r="AA91" s="902">
        <f>IFERROR(('12. Разходи'!T91-'12. Разходи'!$S91)/'12. Разходи'!$S91,0)</f>
        <v>0.28726681961674866</v>
      </c>
      <c r="AB91" s="1173">
        <f>'12. Разходи'!U91-'12. Разходи'!$S91</f>
        <v>1373.8631769500003</v>
      </c>
      <c r="AC91" s="902">
        <f>IFERROR(('12. Разходи'!U91-'12. Разходи'!$S91)/'12. Разходи'!$S91,0)</f>
        <v>0.38013179385872242</v>
      </c>
      <c r="AD91" s="1173">
        <f>'12. Разходи'!V91-'12. Разходи'!$S91</f>
        <v>1842.0617269500003</v>
      </c>
      <c r="AE91" s="902">
        <f>IFERROR(('12. Разходи'!V91-'12. Разходи'!$S91)/'12. Разходи'!$S91,0)</f>
        <v>0.50967682984161056</v>
      </c>
      <c r="AF91" s="1173">
        <f>'12. Разходи'!W91-'12. Разходи'!$S91</f>
        <v>2388.3411469500002</v>
      </c>
      <c r="AG91" s="908">
        <f>IFERROR(('12. Разходи'!W91-'12. Разходи'!$S91)/'12. Разходи'!$S91,0)</f>
        <v>0.66082592485826785</v>
      </c>
      <c r="AH91" s="1173">
        <f>'12. Разходи'!X91-'12. Разходи'!$S91</f>
        <v>3020.6205669500009</v>
      </c>
      <c r="AI91" s="843">
        <f>IFERROR(('12. Разходи'!X91-'12. Разходи'!$S91)/'12. Разходи'!$S91,0)</f>
        <v>0.83577020910506816</v>
      </c>
      <c r="AJ91" s="1185">
        <f>'12. Разходи'!AA91</f>
        <v>0</v>
      </c>
      <c r="AK91" s="1172">
        <f>'12. Разходи'!AB91-'12. Разходи'!$AA91</f>
        <v>0</v>
      </c>
      <c r="AL91" s="902">
        <f>IFERROR(('12. Разходи'!AB91-'12. Разходи'!$AA91)/'12. Разходи'!$AA91,0)</f>
        <v>0</v>
      </c>
      <c r="AM91" s="1173">
        <f>'12. Разходи'!AC91-'12. Разходи'!$AA91</f>
        <v>0</v>
      </c>
      <c r="AN91" s="902">
        <f>IFERROR(('12. Разходи'!AC91-'12. Разходи'!$AA91)/'12. Разходи'!$AA91,0)</f>
        <v>0</v>
      </c>
      <c r="AO91" s="1173">
        <f>'12. Разходи'!AD91-'12. Разходи'!$AA91</f>
        <v>0</v>
      </c>
      <c r="AP91" s="902">
        <f>IFERROR(('12. Разходи'!AD91-'12. Разходи'!$AA91)/'12. Разходи'!$AA91,0)</f>
        <v>0</v>
      </c>
      <c r="AQ91" s="1173">
        <f>'12. Разходи'!AE91-'12. Разходи'!$AA91</f>
        <v>0</v>
      </c>
      <c r="AR91" s="908">
        <f>IFERROR(('12. Разходи'!AE91-'12. Разходи'!$AA91)/'12. Разходи'!$AA91,0)</f>
        <v>0</v>
      </c>
      <c r="AS91" s="1173">
        <f>'12. Разходи'!AF91-'12. Разходи'!$AA91</f>
        <v>0</v>
      </c>
      <c r="AT91" s="1233">
        <f>IFERROR(('12. Разходи'!AF91-'12. Разходи'!$AA91)/'12. Разходи'!$AA91,0)</f>
        <v>0</v>
      </c>
      <c r="AU91" s="1185">
        <f>'12. Разходи'!AI91</f>
        <v>0</v>
      </c>
      <c r="AV91" s="1172">
        <f>'12. Разходи'!AJ91-'12. Разходи'!$AI91</f>
        <v>0</v>
      </c>
      <c r="AW91" s="902">
        <f>IFERROR(('12. Разходи'!AJ91-'12. Разходи'!$AI91)/'12. Разходи'!$AI91,0)</f>
        <v>0</v>
      </c>
      <c r="AX91" s="1173">
        <f>'12. Разходи'!AK91-'12. Разходи'!$AI91</f>
        <v>0</v>
      </c>
      <c r="AY91" s="902">
        <f>IFERROR(('12. Разходи'!AK91-'12. Разходи'!$AI91)/'12. Разходи'!$AI91,0)</f>
        <v>0</v>
      </c>
      <c r="AZ91" s="1173">
        <f>'12. Разходи'!AL91-'12. Разходи'!$AI91</f>
        <v>0</v>
      </c>
      <c r="BA91" s="902">
        <f>IFERROR(('12. Разходи'!AL91-'12. Разходи'!$AI91)/'12. Разходи'!$AI91,0)</f>
        <v>0</v>
      </c>
      <c r="BB91" s="1173">
        <f>'12. Разходи'!AM91-'12. Разходи'!$AI91</f>
        <v>0</v>
      </c>
      <c r="BC91" s="908">
        <f>IFERROR(('12. Разходи'!AM91-'12. Разходи'!$AI91)/'12. Разходи'!$AI91,0)</f>
        <v>0</v>
      </c>
      <c r="BD91" s="1173">
        <f>'12. Разходи'!AN91-'12. Разходи'!$AI91</f>
        <v>0</v>
      </c>
      <c r="BE91" s="1233">
        <f>IFERROR(('12. Разходи'!AN91-'12. Разходи'!$AI91)/'12. Разходи'!$AI91,0)</f>
        <v>0</v>
      </c>
      <c r="BF91" s="4775"/>
      <c r="BG91" s="4794">
        <f t="shared" si="31"/>
        <v>6878.0478622569453</v>
      </c>
      <c r="BH91" s="4794">
        <f t="shared" si="32"/>
        <v>2230.387845345454</v>
      </c>
      <c r="BI91" s="4794">
        <f t="shared" si="33"/>
        <v>3164.933634089874</v>
      </c>
      <c r="BJ91" s="4794">
        <f t="shared" si="34"/>
        <v>4290.6870124509796</v>
      </c>
      <c r="BK91" s="4794">
        <f t="shared" si="35"/>
        <v>5458.8776169513712</v>
      </c>
      <c r="BL91" s="4794">
        <f t="shared" si="36"/>
        <v>6794.4307018309364</v>
      </c>
      <c r="BM91" s="4794">
        <f t="shared" si="37"/>
        <v>1629.5459420680734</v>
      </c>
      <c r="BN91" s="4794">
        <f t="shared" si="38"/>
        <v>515.39379298047402</v>
      </c>
      <c r="BO91" s="4794">
        <f t="shared" si="39"/>
        <v>777.68652803413408</v>
      </c>
      <c r="BP91" s="4794">
        <f t="shared" si="40"/>
        <v>1024.1151560846297</v>
      </c>
      <c r="BQ91" s="4794">
        <f t="shared" si="41"/>
        <v>1346.229041238247</v>
      </c>
      <c r="BR91" s="4794">
        <f t="shared" si="42"/>
        <v>1719.9834063926826</v>
      </c>
      <c r="BS91" s="4794">
        <f t="shared" si="43"/>
        <v>1847.8988066703137</v>
      </c>
      <c r="BT91" s="4794">
        <f t="shared" si="44"/>
        <v>530.84001316576609</v>
      </c>
      <c r="BU91" s="4794">
        <f t="shared" si="45"/>
        <v>702.44508824897889</v>
      </c>
      <c r="BV91" s="4794">
        <f t="shared" si="46"/>
        <v>941.8312056518206</v>
      </c>
      <c r="BW91" s="4794">
        <f t="shared" si="47"/>
        <v>1221.1394379623996</v>
      </c>
      <c r="BX91" s="4794">
        <f t="shared" si="48"/>
        <v>1544.4187720558541</v>
      </c>
      <c r="BY91" s="4794">
        <f t="shared" si="49"/>
        <v>0</v>
      </c>
      <c r="BZ91" s="4794">
        <f t="shared" si="50"/>
        <v>0</v>
      </c>
      <c r="CA91" s="4794">
        <f t="shared" si="51"/>
        <v>0</v>
      </c>
      <c r="CB91" s="4794">
        <f t="shared" si="52"/>
        <v>0</v>
      </c>
      <c r="CC91" s="4794">
        <f t="shared" si="53"/>
        <v>0</v>
      </c>
      <c r="CD91" s="4794">
        <f t="shared" si="54"/>
        <v>0</v>
      </c>
      <c r="CE91" s="4794">
        <f t="shared" si="55"/>
        <v>0</v>
      </c>
      <c r="CF91" s="4794">
        <f t="shared" si="56"/>
        <v>0</v>
      </c>
      <c r="CG91" s="4794">
        <f t="shared" si="57"/>
        <v>0</v>
      </c>
      <c r="CH91" s="4794">
        <f t="shared" si="58"/>
        <v>0</v>
      </c>
      <c r="CI91" s="4794">
        <f t="shared" si="59"/>
        <v>0</v>
      </c>
      <c r="CJ91" s="4794">
        <f t="shared" si="60"/>
        <v>0</v>
      </c>
    </row>
    <row r="92" spans="1:88" s="1241" customFormat="1" ht="15.95" customHeight="1">
      <c r="A92" s="801"/>
      <c r="B92" s="802" t="s">
        <v>1515</v>
      </c>
      <c r="C92" s="1139">
        <f>'12. Разходи'!C92</f>
        <v>9763</v>
      </c>
      <c r="D92" s="1176">
        <f>'12. Разходи'!D92-'12. Разходи'!$C92</f>
        <v>-9763</v>
      </c>
      <c r="E92" s="1236">
        <f>IFERROR(('12. Разходи'!D92-'12. Разходи'!$C92)/'12. Разходи'!$C92,0)</f>
        <v>-1</v>
      </c>
      <c r="F92" s="1177">
        <f>'12. Разходи'!E92-'12. Разходи'!$C92</f>
        <v>-9763</v>
      </c>
      <c r="G92" s="1237">
        <f>IFERROR(('12. Разходи'!E92-'12. Разходи'!$C92)/'12. Разходи'!$C92,0)</f>
        <v>-1</v>
      </c>
      <c r="H92" s="1177">
        <f>'12. Разходи'!F92-'12. Разходи'!$C92</f>
        <v>-9763</v>
      </c>
      <c r="I92" s="1237">
        <f>IFERROR(('12. Разходи'!F92-'12. Разходи'!$C92)/'12. Разходи'!$C92,0)</f>
        <v>-1</v>
      </c>
      <c r="J92" s="1177">
        <f>'12. Разходи'!G92-'12. Разходи'!$C92</f>
        <v>-9763</v>
      </c>
      <c r="K92" s="1238">
        <f>IFERROR(('12. Разходи'!G92-'12. Разходи'!$C92)/'12. Разходи'!$C92,0)</f>
        <v>-1</v>
      </c>
      <c r="L92" s="1178">
        <f>'12. Разходи'!H92-'12. Разходи'!$C92</f>
        <v>-9763</v>
      </c>
      <c r="M92" s="1238">
        <f>IFERROR(('12. Разходи'!H92-'12. Разходи'!$C92)/'12. Разходи'!$C92,0)</f>
        <v>-1</v>
      </c>
      <c r="N92" s="1186">
        <f>'12. Разходи'!K92</f>
        <v>2315</v>
      </c>
      <c r="O92" s="1176">
        <f>'12. Разходи'!L92-'12. Разходи'!$K92</f>
        <v>-2315</v>
      </c>
      <c r="P92" s="1236">
        <f>IFERROR(('12. Разходи'!L92-'12. Разходи'!$K92)/'12. Разходи'!$K92,0)</f>
        <v>-1</v>
      </c>
      <c r="Q92" s="1177">
        <f>'12. Разходи'!M92-'12. Разходи'!$K92</f>
        <v>-2315</v>
      </c>
      <c r="R92" s="1237">
        <f>IFERROR(('12. Разходи'!M92-'12. Разходи'!$K92)/'12. Разходи'!$K92,0)</f>
        <v>-1</v>
      </c>
      <c r="S92" s="1177">
        <f>'12. Разходи'!N92-'12. Разходи'!$K92</f>
        <v>-2315</v>
      </c>
      <c r="T92" s="1237">
        <f>IFERROR(('12. Разходи'!N92-'12. Разходи'!$K92)/'12. Разходи'!$K92,0)</f>
        <v>-1</v>
      </c>
      <c r="U92" s="1177">
        <f>'12. Разходи'!O92-'12. Разходи'!$K92</f>
        <v>-2315</v>
      </c>
      <c r="V92" s="1238">
        <f>IFERROR(('12. Разходи'!O92-'12. Разходи'!$K92)/'12. Разходи'!$K92,0)</f>
        <v>-1</v>
      </c>
      <c r="W92" s="1178">
        <f>'12. Разходи'!P92-'12. Разходи'!$K92</f>
        <v>-2315</v>
      </c>
      <c r="X92" s="1239">
        <f>IFERROR(('12. Разходи'!P92-'12. Разходи'!$K92)/'12. Разходи'!$K92,0)</f>
        <v>-1</v>
      </c>
      <c r="Y92" s="1240">
        <f>'12. Разходи'!S92</f>
        <v>2625</v>
      </c>
      <c r="Z92" s="1176">
        <f>'12. Разходи'!T92-'12. Разходи'!$S92</f>
        <v>-2625</v>
      </c>
      <c r="AA92" s="1236">
        <f>IFERROR(('12. Разходи'!T92-'12. Разходи'!$S92)/'12. Разходи'!$S92,0)</f>
        <v>-1</v>
      </c>
      <c r="AB92" s="1177">
        <f>'12. Разходи'!U92-'12. Разходи'!$S92</f>
        <v>-2625</v>
      </c>
      <c r="AC92" s="1237">
        <f>IFERROR(('12. Разходи'!U92-'12. Разходи'!$S92)/'12. Разходи'!$S92,0)</f>
        <v>-1</v>
      </c>
      <c r="AD92" s="1177">
        <f>'12. Разходи'!V92-'12. Разходи'!$S92</f>
        <v>-2625</v>
      </c>
      <c r="AE92" s="1237">
        <f>IFERROR(('12. Разходи'!V92-'12. Разходи'!$S92)/'12. Разходи'!$S92,0)</f>
        <v>-1</v>
      </c>
      <c r="AF92" s="1177">
        <f>'12. Разходи'!W92-'12. Разходи'!$S92</f>
        <v>-2625</v>
      </c>
      <c r="AG92" s="1238">
        <f>IFERROR(('12. Разходи'!W92-'12. Разходи'!$S92)/'12. Разходи'!$S92,0)</f>
        <v>-1</v>
      </c>
      <c r="AH92" s="1178">
        <f>'12. Разходи'!X92-'12. Разходи'!$S92</f>
        <v>-2625</v>
      </c>
      <c r="AI92" s="1239">
        <f>IFERROR(('12. Разходи'!X92-'12. Разходи'!$S92)/'12. Разходи'!$S92,0)</f>
        <v>-1</v>
      </c>
      <c r="AJ92" s="1240">
        <f>'12. Разходи'!AA92</f>
        <v>0</v>
      </c>
      <c r="AK92" s="1176">
        <f>'12. Разходи'!AB92-'12. Разходи'!$AA92</f>
        <v>0</v>
      </c>
      <c r="AL92" s="1236">
        <f>IFERROR(('12. Разходи'!AB92-'12. Разходи'!$AA92)/'12. Разходи'!$AA92,0)</f>
        <v>0</v>
      </c>
      <c r="AM92" s="1177">
        <f>'12. Разходи'!AC92-'12. Разходи'!$AA92</f>
        <v>0</v>
      </c>
      <c r="AN92" s="1237">
        <f>IFERROR(('12. Разходи'!AC92-'12. Разходи'!$AA92)/'12. Разходи'!$AA92,0)</f>
        <v>0</v>
      </c>
      <c r="AO92" s="1177">
        <f>'12. Разходи'!AD92-'12. Разходи'!$AA92</f>
        <v>0</v>
      </c>
      <c r="AP92" s="1237">
        <f>IFERROR(('12. Разходи'!AD92-'12. Разходи'!$AA92)/'12. Разходи'!$AA92,0)</f>
        <v>0</v>
      </c>
      <c r="AQ92" s="1177">
        <f>'12. Разходи'!AE92-'12. Разходи'!$AA92</f>
        <v>0</v>
      </c>
      <c r="AR92" s="1238">
        <f>IFERROR(('12. Разходи'!AE92-'12. Разходи'!$AA92)/'12. Разходи'!$AA92,0)</f>
        <v>0</v>
      </c>
      <c r="AS92" s="1178">
        <f>'12. Разходи'!AF92-'12. Разходи'!$AA92</f>
        <v>0</v>
      </c>
      <c r="AT92" s="1239">
        <f>IFERROR(('12. Разходи'!AF92-'12. Разходи'!$AA92)/'12. Разходи'!$AA92,0)</f>
        <v>0</v>
      </c>
      <c r="AU92" s="1240">
        <f>'12. Разходи'!AI92</f>
        <v>0</v>
      </c>
      <c r="AV92" s="1176">
        <f>'12. Разходи'!AJ92-'12. Разходи'!$AI92</f>
        <v>0</v>
      </c>
      <c r="AW92" s="1236">
        <f>IFERROR(('12. Разходи'!AJ92-'12. Разходи'!$AI92)/'12. Разходи'!$AI92,0)</f>
        <v>0</v>
      </c>
      <c r="AX92" s="1177">
        <f>'12. Разходи'!AK92-'12. Разходи'!$AI92</f>
        <v>0</v>
      </c>
      <c r="AY92" s="1237">
        <f>IFERROR(('12. Разходи'!AK92-'12. Разходи'!$AI92)/'12. Разходи'!$AI92,0)</f>
        <v>0</v>
      </c>
      <c r="AZ92" s="1177">
        <f>'12. Разходи'!AL92-'12. Разходи'!$AI92</f>
        <v>0</v>
      </c>
      <c r="BA92" s="1237">
        <f>IFERROR(('12. Разходи'!AL92-'12. Разходи'!$AI92)/'12. Разходи'!$AI92,0)</f>
        <v>0</v>
      </c>
      <c r="BB92" s="1177">
        <f>'12. Разходи'!AM92-'12. Разходи'!$AI92</f>
        <v>0</v>
      </c>
      <c r="BC92" s="1238">
        <f>IFERROR(('12. Разходи'!AM92-'12. Разходи'!$AI92)/'12. Разходи'!$AI92,0)</f>
        <v>0</v>
      </c>
      <c r="BD92" s="1178">
        <f>'12. Разходи'!AN92-'12. Разходи'!$AI92</f>
        <v>0</v>
      </c>
      <c r="BE92" s="1239">
        <f>IFERROR(('12. Разходи'!AN92-'12. Разходи'!$AI92)/'12. Разходи'!$AI92,0)</f>
        <v>0</v>
      </c>
      <c r="BF92" s="4775"/>
      <c r="BG92" s="4794">
        <f t="shared" si="31"/>
        <v>4991.7426361186808</v>
      </c>
      <c r="BH92" s="4794">
        <f t="shared" si="32"/>
        <v>-4991.7426361186808</v>
      </c>
      <c r="BI92" s="4794">
        <f t="shared" si="33"/>
        <v>-4991.7426361186808</v>
      </c>
      <c r="BJ92" s="4794">
        <f t="shared" si="34"/>
        <v>-4991.7426361186808</v>
      </c>
      <c r="BK92" s="4794">
        <f t="shared" si="35"/>
        <v>-4991.7426361186808</v>
      </c>
      <c r="BL92" s="4794">
        <f t="shared" si="36"/>
        <v>-4991.7426361186808</v>
      </c>
      <c r="BM92" s="4794">
        <f t="shared" si="37"/>
        <v>1183.6407049692459</v>
      </c>
      <c r="BN92" s="4794">
        <f t="shared" si="38"/>
        <v>-1183.6407049692459</v>
      </c>
      <c r="BO92" s="4794">
        <f t="shared" si="39"/>
        <v>-1183.6407049692459</v>
      </c>
      <c r="BP92" s="4794">
        <f t="shared" si="40"/>
        <v>-1183.6407049692459</v>
      </c>
      <c r="BQ92" s="4794">
        <f t="shared" si="41"/>
        <v>-1183.6407049692459</v>
      </c>
      <c r="BR92" s="4794">
        <f t="shared" si="42"/>
        <v>-1183.6407049692459</v>
      </c>
      <c r="BS92" s="4794">
        <f t="shared" si="43"/>
        <v>1342.1411881400736</v>
      </c>
      <c r="BT92" s="4794">
        <f t="shared" si="44"/>
        <v>-1342.1411881400736</v>
      </c>
      <c r="BU92" s="4794">
        <f t="shared" si="45"/>
        <v>-1342.1411881400736</v>
      </c>
      <c r="BV92" s="4794">
        <f t="shared" si="46"/>
        <v>-1342.1411881400736</v>
      </c>
      <c r="BW92" s="4794">
        <f t="shared" si="47"/>
        <v>-1342.1411881400736</v>
      </c>
      <c r="BX92" s="4794">
        <f t="shared" si="48"/>
        <v>-1342.1411881400736</v>
      </c>
      <c r="BY92" s="4794">
        <f t="shared" si="49"/>
        <v>0</v>
      </c>
      <c r="BZ92" s="4794">
        <f t="shared" si="50"/>
        <v>0</v>
      </c>
      <c r="CA92" s="4794">
        <f t="shared" si="51"/>
        <v>0</v>
      </c>
      <c r="CB92" s="4794">
        <f t="shared" si="52"/>
        <v>0</v>
      </c>
      <c r="CC92" s="4794">
        <f t="shared" si="53"/>
        <v>0</v>
      </c>
      <c r="CD92" s="4794">
        <f t="shared" si="54"/>
        <v>0</v>
      </c>
      <c r="CE92" s="4794">
        <f t="shared" si="55"/>
        <v>0</v>
      </c>
      <c r="CF92" s="4794">
        <f t="shared" si="56"/>
        <v>0</v>
      </c>
      <c r="CG92" s="4794">
        <f t="shared" si="57"/>
        <v>0</v>
      </c>
      <c r="CH92" s="4794">
        <f t="shared" si="58"/>
        <v>0</v>
      </c>
      <c r="CI92" s="4794">
        <f t="shared" si="59"/>
        <v>0</v>
      </c>
      <c r="CJ92" s="4794">
        <f t="shared" si="60"/>
        <v>0</v>
      </c>
    </row>
    <row r="93" spans="1:88" s="1242" customFormat="1" ht="15.95" customHeight="1">
      <c r="A93" s="3593"/>
      <c r="B93" s="3592" t="s">
        <v>1517</v>
      </c>
      <c r="C93" s="3594">
        <f>'12. Разходи'!C93</f>
        <v>3689.2923504380014</v>
      </c>
      <c r="D93" s="1176">
        <f>'12. Разходи'!D93-'12. Разходи'!$C93</f>
        <v>14125.259459561999</v>
      </c>
      <c r="E93" s="1236">
        <f>IFERROR(('12. Разходи'!D93-'12. Разходи'!$C93)/'12. Разходи'!$C93,0)</f>
        <v>3.8287178455469966</v>
      </c>
      <c r="F93" s="1177">
        <f>'12. Разходи'!E93-'12. Разходи'!$C93</f>
        <v>15953.072149561998</v>
      </c>
      <c r="G93" s="1237">
        <f>IFERROR(('12. Разходи'!E93-'12. Разходи'!$C93)/'12. Разходи'!$C93,0)</f>
        <v>4.3241550504036397</v>
      </c>
      <c r="H93" s="1177">
        <f>'12. Разходи'!F93-'12. Разходи'!$C93</f>
        <v>18154.854379561999</v>
      </c>
      <c r="I93" s="1237">
        <f>IFERROR(('12. Разходи'!F93-'12. Разходи'!$C93)/'12. Разходи'!$C93,0)</f>
        <v>4.9209584535653867</v>
      </c>
      <c r="J93" s="1177">
        <f>'12. Разходи'!G93-'12. Разходи'!$C93</f>
        <v>20439.636609562</v>
      </c>
      <c r="K93" s="1238">
        <f>IFERROR(('12. Разходи'!G93-'12. Разходи'!$C93)/'12. Разходи'!$C93,0)</f>
        <v>5.5402593961238553</v>
      </c>
      <c r="L93" s="1178">
        <f>'12. Разходи'!H93-'12. Разходи'!$C93</f>
        <v>23051.751399561999</v>
      </c>
      <c r="M93" s="1238">
        <f>IFERROR(('12. Разходи'!H93-'12. Разходи'!$C93)/'12. Разходи'!$C93,0)</f>
        <v>6.2482853647597869</v>
      </c>
      <c r="N93" s="1186">
        <f>'12. Разходи'!K93</f>
        <v>872.11483987499969</v>
      </c>
      <c r="O93" s="1176">
        <f>'12. Разходи'!L93-'12. Разходи'!$K93</f>
        <v>3323.0226421250004</v>
      </c>
      <c r="P93" s="1236">
        <f>IFERROR(('12. Разходи'!L93-'12. Разходи'!$K93)/'12. Разходи'!$K93,0)</f>
        <v>3.8103039762530466</v>
      </c>
      <c r="Q93" s="1177">
        <f>'12. Разходи'!M93-'12. Разходи'!$K93</f>
        <v>3836.0226421250004</v>
      </c>
      <c r="R93" s="1237">
        <f>IFERROR(('12. Разходи'!M93-'12. Разходи'!$K93)/'12. Разходи'!$K93,0)</f>
        <v>4.3985292609799167</v>
      </c>
      <c r="S93" s="1177">
        <f>'12. Разходи'!N93-'12. Разходи'!$K93</f>
        <v>4317.9951457250008</v>
      </c>
      <c r="T93" s="1237">
        <f>IFERROR(('12. Разходи'!N93-'12. Разходи'!$K93)/'12. Разходи'!$K93,0)</f>
        <v>4.9511772398505451</v>
      </c>
      <c r="U93" s="1177">
        <f>'12. Разходи'!O93-'12. Разходи'!$K93</f>
        <v>4947.9951457250008</v>
      </c>
      <c r="V93" s="1238">
        <f>IFERROR(('12. Разходи'!O93-'12. Разходи'!$K93)/'12. Разходи'!$K93,0)</f>
        <v>5.6735591684624902</v>
      </c>
      <c r="W93" s="1178">
        <f>'12. Разходи'!P93-'12. Разходи'!$K93</f>
        <v>5678.9951457250008</v>
      </c>
      <c r="X93" s="1239">
        <f>IFERROR(('12. Разходи'!P93-'12. Разходи'!$K93)/'12. Разходи'!$K93,0)</f>
        <v>6.5117515332487308</v>
      </c>
      <c r="Y93" s="1240">
        <f>'12. Разходи'!S93</f>
        <v>989.17592304999971</v>
      </c>
      <c r="Z93" s="1176">
        <f>'12. Разходи'!T93-'12. Разходи'!$S93</f>
        <v>3663.2328229500004</v>
      </c>
      <c r="AA93" s="1236">
        <f>IFERROR(('12. Разходи'!T93-'12. Разходи'!$S93)/'12. Разходи'!$S93,0)</f>
        <v>3.7033178200040311</v>
      </c>
      <c r="AB93" s="1177">
        <f>'12. Разходи'!U93-'12. Разходи'!$S93</f>
        <v>3998.8631769500003</v>
      </c>
      <c r="AC93" s="1237">
        <f>IFERROR(('12. Разходи'!U93-'12. Разходи'!$S93)/'12. Разходи'!$S93,0)</f>
        <v>4.0426208157392347</v>
      </c>
      <c r="AD93" s="1177">
        <f>'12. Разходи'!V93-'12. Разходи'!$S93</f>
        <v>4467.0617269499999</v>
      </c>
      <c r="AE93" s="1237">
        <f>IFERROR(('12. Разходи'!V93-'12. Разходи'!$S93)/'12. Разходи'!$S93,0)</f>
        <v>4.5159426375607445</v>
      </c>
      <c r="AF93" s="1177">
        <f>'12. Разходи'!W93-'12. Разходи'!$S93</f>
        <v>5013.3411469500006</v>
      </c>
      <c r="AG93" s="1238">
        <f>IFERROR(('12. Разходи'!W93-'12. Разходи'!$S93)/'12. Разходи'!$S93,0)</f>
        <v>5.0681997308345244</v>
      </c>
      <c r="AH93" s="1178">
        <f>'12. Разходи'!X93-'12. Разходи'!$S93</f>
        <v>5645.6205669500014</v>
      </c>
      <c r="AI93" s="1239">
        <f>IFERROR(('12. Разходи'!X93-'12. Разходи'!$S93)/'12. Разходи'!$S93,0)</f>
        <v>5.7073978807960062</v>
      </c>
      <c r="AJ93" s="1240">
        <f>'12. Разходи'!AA93</f>
        <v>0</v>
      </c>
      <c r="AK93" s="1176">
        <f>'12. Разходи'!AB93-'12. Разходи'!$AA93</f>
        <v>0</v>
      </c>
      <c r="AL93" s="1236">
        <f>IFERROR(('12. Разходи'!AB93-'12. Разходи'!$AA93)/'12. Разходи'!$AA93,0)</f>
        <v>0</v>
      </c>
      <c r="AM93" s="1177">
        <f>'12. Разходи'!AC93-'12. Разходи'!$AA93</f>
        <v>0</v>
      </c>
      <c r="AN93" s="1237">
        <f>IFERROR(('12. Разходи'!AC93-'12. Разходи'!$AA93)/'12. Разходи'!$AA93,0)</f>
        <v>0</v>
      </c>
      <c r="AO93" s="1177">
        <f>'12. Разходи'!AD93-'12. Разходи'!$AA93</f>
        <v>0</v>
      </c>
      <c r="AP93" s="1237">
        <f>IFERROR(('12. Разходи'!AD93-'12. Разходи'!$AA93)/'12. Разходи'!$AA93,0)</f>
        <v>0</v>
      </c>
      <c r="AQ93" s="1177">
        <f>'12. Разходи'!AE93-'12. Разходи'!$AA93</f>
        <v>0</v>
      </c>
      <c r="AR93" s="1238">
        <f>IFERROR(('12. Разходи'!AE93-'12. Разходи'!$AA93)/'12. Разходи'!$AA93,0)</f>
        <v>0</v>
      </c>
      <c r="AS93" s="1178">
        <f>'12. Разходи'!AF93-'12. Разходи'!$AA93</f>
        <v>0</v>
      </c>
      <c r="AT93" s="1239">
        <f>IFERROR(('12. Разходи'!AF93-'12. Разходи'!$AA93)/'12. Разходи'!$AA93,0)</f>
        <v>0</v>
      </c>
      <c r="AU93" s="1240">
        <f>'12. Разходи'!AI93</f>
        <v>0</v>
      </c>
      <c r="AV93" s="1176">
        <f>'12. Разходи'!AJ93-'12. Разходи'!$AI93</f>
        <v>0</v>
      </c>
      <c r="AW93" s="1236">
        <f>IFERROR(('12. Разходи'!AJ93-'12. Разходи'!$AI93)/'12. Разходи'!$AI93,0)</f>
        <v>0</v>
      </c>
      <c r="AX93" s="1177">
        <f>'12. Разходи'!AK93-'12. Разходи'!$AI93</f>
        <v>0</v>
      </c>
      <c r="AY93" s="1237">
        <f>IFERROR(('12. Разходи'!AK93-'12. Разходи'!$AI93)/'12. Разходи'!$AI93,0)</f>
        <v>0</v>
      </c>
      <c r="AZ93" s="1177">
        <f>'12. Разходи'!AL93-'12. Разходи'!$AI93</f>
        <v>0</v>
      </c>
      <c r="BA93" s="1237">
        <f>IFERROR(('12. Разходи'!AL93-'12. Разходи'!$AI93)/'12. Разходи'!$AI93,0)</f>
        <v>0</v>
      </c>
      <c r="BB93" s="1177">
        <f>'12. Разходи'!AM93-'12. Разходи'!$AI93</f>
        <v>0</v>
      </c>
      <c r="BC93" s="1238">
        <f>IFERROR(('12. Разходи'!AM93-'12. Разходи'!$AI93)/'12. Разходи'!$AI93,0)</f>
        <v>0</v>
      </c>
      <c r="BD93" s="1178">
        <f>'12. Разходи'!AN93-'12. Разходи'!$AI93</f>
        <v>0</v>
      </c>
      <c r="BE93" s="1239">
        <f>IFERROR(('12. Разходи'!AN93-'12. Разходи'!$AI93)/'12. Разходи'!$AI93,0)</f>
        <v>0</v>
      </c>
      <c r="BF93" s="4775"/>
      <c r="BG93" s="4794">
        <f t="shared" si="31"/>
        <v>1886.3052261382643</v>
      </c>
      <c r="BH93" s="4794">
        <f t="shared" si="32"/>
        <v>7222.1304814641353</v>
      </c>
      <c r="BI93" s="4794">
        <f t="shared" si="33"/>
        <v>8156.6762702085553</v>
      </c>
      <c r="BJ93" s="4794">
        <f t="shared" si="34"/>
        <v>9282.4296485696614</v>
      </c>
      <c r="BK93" s="4794">
        <f t="shared" si="35"/>
        <v>10450.620253070052</v>
      </c>
      <c r="BL93" s="4794">
        <f t="shared" si="36"/>
        <v>11786.173337949616</v>
      </c>
      <c r="BM93" s="4794">
        <f t="shared" si="37"/>
        <v>445.90523709882746</v>
      </c>
      <c r="BN93" s="4794">
        <f t="shared" si="38"/>
        <v>1699.0344979497197</v>
      </c>
      <c r="BO93" s="4794">
        <f t="shared" si="39"/>
        <v>1961.3272330033799</v>
      </c>
      <c r="BP93" s="4794">
        <f t="shared" si="40"/>
        <v>2207.7558610538754</v>
      </c>
      <c r="BQ93" s="4794">
        <f t="shared" si="41"/>
        <v>2529.8697462074929</v>
      </c>
      <c r="BR93" s="4794">
        <f t="shared" si="42"/>
        <v>2903.6241113619285</v>
      </c>
      <c r="BS93" s="4794">
        <f t="shared" si="43"/>
        <v>505.75761853024022</v>
      </c>
      <c r="BT93" s="4794">
        <f t="shared" si="44"/>
        <v>1872.9812013058397</v>
      </c>
      <c r="BU93" s="4794">
        <f t="shared" si="45"/>
        <v>2044.5862763890525</v>
      </c>
      <c r="BV93" s="4794">
        <f t="shared" si="46"/>
        <v>2283.9723937918939</v>
      </c>
      <c r="BW93" s="4794">
        <f t="shared" si="47"/>
        <v>2563.2806261024734</v>
      </c>
      <c r="BX93" s="4794">
        <f t="shared" si="48"/>
        <v>2886.5599601959279</v>
      </c>
      <c r="BY93" s="4794">
        <f t="shared" si="49"/>
        <v>0</v>
      </c>
      <c r="BZ93" s="4794">
        <f t="shared" si="50"/>
        <v>0</v>
      </c>
      <c r="CA93" s="4794">
        <f t="shared" si="51"/>
        <v>0</v>
      </c>
      <c r="CB93" s="4794">
        <f t="shared" si="52"/>
        <v>0</v>
      </c>
      <c r="CC93" s="4794">
        <f t="shared" si="53"/>
        <v>0</v>
      </c>
      <c r="CD93" s="4794">
        <f t="shared" si="54"/>
        <v>0</v>
      </c>
      <c r="CE93" s="4794">
        <f t="shared" si="55"/>
        <v>0</v>
      </c>
      <c r="CF93" s="4794">
        <f t="shared" si="56"/>
        <v>0</v>
      </c>
      <c r="CG93" s="4794">
        <f t="shared" si="57"/>
        <v>0</v>
      </c>
      <c r="CH93" s="4794">
        <f t="shared" si="58"/>
        <v>0</v>
      </c>
      <c r="CI93" s="4794">
        <f t="shared" si="59"/>
        <v>0</v>
      </c>
      <c r="CJ93" s="4794">
        <f t="shared" si="60"/>
        <v>0</v>
      </c>
    </row>
    <row r="94" spans="1:88" s="1242" customFormat="1" ht="15.95" customHeight="1" thickBot="1">
      <c r="A94" s="858"/>
      <c r="B94" s="1127" t="s">
        <v>1466</v>
      </c>
      <c r="C94" s="3594">
        <f>'12. Разходи'!C94</f>
        <v>1833</v>
      </c>
      <c r="D94" s="1176">
        <f>'12. Разходи'!D94-'12. Разходи'!$C94</f>
        <v>-1833</v>
      </c>
      <c r="E94" s="1236">
        <f>IFERROR(('12. Разходи'!D94-'12. Разходи'!$C94)/'12. Разходи'!$C94,0)</f>
        <v>-1</v>
      </c>
      <c r="F94" s="1177">
        <f>'12. Разходи'!E94-'12. Разходи'!$C94</f>
        <v>-1833</v>
      </c>
      <c r="G94" s="1237">
        <f>IFERROR(('12. Разходи'!E94-'12. Разходи'!$C94)/'12. Разходи'!$C94,0)</f>
        <v>-1</v>
      </c>
      <c r="H94" s="1177">
        <f>'12. Разходи'!F94-'12. Разходи'!$C94</f>
        <v>-1833</v>
      </c>
      <c r="I94" s="1237">
        <f>IFERROR(('12. Разходи'!F94-'12. Разходи'!$C94)/'12. Разходи'!$C94,0)</f>
        <v>-1</v>
      </c>
      <c r="J94" s="1177">
        <f>'12. Разходи'!G94-'12. Разходи'!$C94</f>
        <v>-1833</v>
      </c>
      <c r="K94" s="1238">
        <f>IFERROR(('12. Разходи'!G94-'12. Разходи'!$C94)/'12. Разходи'!$C94,0)</f>
        <v>-1</v>
      </c>
      <c r="L94" s="1178">
        <f>'12. Разходи'!H94-'12. Разходи'!$C94</f>
        <v>-1833</v>
      </c>
      <c r="M94" s="1238">
        <f>IFERROR(('12. Разходи'!H94-'12. Разходи'!$C94)/'12. Разходи'!$C94,0)</f>
        <v>-1</v>
      </c>
      <c r="N94" s="1186">
        <f>'12. Разходи'!K94</f>
        <v>435</v>
      </c>
      <c r="O94" s="1176">
        <f>'12. Разходи'!L94-'12. Разходи'!$K94</f>
        <v>-435</v>
      </c>
      <c r="P94" s="1236">
        <f>IFERROR(('12. Разходи'!L94-'12. Разходи'!$K94)/'12. Разходи'!$K94,0)</f>
        <v>-1</v>
      </c>
      <c r="Q94" s="1177">
        <f>'12. Разходи'!M94-'12. Разходи'!$K94</f>
        <v>-435</v>
      </c>
      <c r="R94" s="1237">
        <f>IFERROR(('12. Разходи'!M94-'12. Разходи'!$K94)/'12. Разходи'!$K94,0)</f>
        <v>-1</v>
      </c>
      <c r="S94" s="1177">
        <f>'12. Разходи'!N94-'12. Разходи'!$K94</f>
        <v>-435</v>
      </c>
      <c r="T94" s="1237">
        <f>IFERROR(('12. Разходи'!N94-'12. Разходи'!$K94)/'12. Разходи'!$K94,0)</f>
        <v>-1</v>
      </c>
      <c r="U94" s="1177">
        <f>'12. Разходи'!O94-'12. Разходи'!$K94</f>
        <v>-435</v>
      </c>
      <c r="V94" s="1238">
        <f>IFERROR(('12. Разходи'!O94-'12. Разходи'!$K94)/'12. Разходи'!$K94,0)</f>
        <v>-1</v>
      </c>
      <c r="W94" s="1178">
        <f>'12. Разходи'!P94-'12. Разходи'!$K94</f>
        <v>-435</v>
      </c>
      <c r="X94" s="1239">
        <f>IFERROR(('12. Разходи'!P94-'12. Разходи'!$K94)/'12. Разходи'!$K94,0)</f>
        <v>-1</v>
      </c>
      <c r="Y94" s="1240">
        <f>'12. Разходи'!S94</f>
        <v>493</v>
      </c>
      <c r="Z94" s="1176">
        <f>'12. Разходи'!T94-'12. Разходи'!$S94</f>
        <v>-493</v>
      </c>
      <c r="AA94" s="1236">
        <f>IFERROR(('12. Разходи'!T94-'12. Разходи'!$S94)/'12. Разходи'!$S94,0)</f>
        <v>-1</v>
      </c>
      <c r="AB94" s="1177">
        <f>'12. Разходи'!U94-'12. Разходи'!$S94</f>
        <v>-493</v>
      </c>
      <c r="AC94" s="1237">
        <f>IFERROR(('12. Разходи'!U94-'12. Разходи'!$S94)/'12. Разходи'!$S94,0)</f>
        <v>-1</v>
      </c>
      <c r="AD94" s="1177">
        <f>'12. Разходи'!V94-'12. Разходи'!$S94</f>
        <v>-493</v>
      </c>
      <c r="AE94" s="1237">
        <f>IFERROR(('12. Разходи'!V94-'12. Разходи'!$S94)/'12. Разходи'!$S94,0)</f>
        <v>-1</v>
      </c>
      <c r="AF94" s="1177">
        <f>'12. Разходи'!W94-'12. Разходи'!$S94</f>
        <v>-493</v>
      </c>
      <c r="AG94" s="1238">
        <f>IFERROR(('12. Разходи'!W94-'12. Разходи'!$S94)/'12. Разходи'!$S94,0)</f>
        <v>-1</v>
      </c>
      <c r="AH94" s="1178">
        <f>'12. Разходи'!X94-'12. Разходи'!$S94</f>
        <v>-493</v>
      </c>
      <c r="AI94" s="1239">
        <f>IFERROR(('12. Разходи'!X94-'12. Разходи'!$S94)/'12. Разходи'!$S94,0)</f>
        <v>-1</v>
      </c>
      <c r="AJ94" s="1240">
        <f>'12. Разходи'!AA94</f>
        <v>0</v>
      </c>
      <c r="AK94" s="1176">
        <f>'12. Разходи'!AB94-'12. Разходи'!$AA94</f>
        <v>0</v>
      </c>
      <c r="AL94" s="1236">
        <f>IFERROR(('12. Разходи'!AB94-'12. Разходи'!$AA94)/'12. Разходи'!$AA94,0)</f>
        <v>0</v>
      </c>
      <c r="AM94" s="1177">
        <f>'12. Разходи'!AC94-'12. Разходи'!$AA94</f>
        <v>0</v>
      </c>
      <c r="AN94" s="1237">
        <f>IFERROR(('12. Разходи'!AC94-'12. Разходи'!$AA94)/'12. Разходи'!$AA94,0)</f>
        <v>0</v>
      </c>
      <c r="AO94" s="1177">
        <f>'12. Разходи'!AD94-'12. Разходи'!$AA94</f>
        <v>0</v>
      </c>
      <c r="AP94" s="1237">
        <f>IFERROR(('12. Разходи'!AD94-'12. Разходи'!$AA94)/'12. Разходи'!$AA94,0)</f>
        <v>0</v>
      </c>
      <c r="AQ94" s="1177">
        <f>'12. Разходи'!AE94-'12. Разходи'!$AA94</f>
        <v>0</v>
      </c>
      <c r="AR94" s="1238">
        <f>IFERROR(('12. Разходи'!AE94-'12. Разходи'!$AA94)/'12. Разходи'!$AA94,0)</f>
        <v>0</v>
      </c>
      <c r="AS94" s="1178">
        <f>'12. Разходи'!AF94-'12. Разходи'!$AA94</f>
        <v>0</v>
      </c>
      <c r="AT94" s="1239">
        <f>IFERROR(('12. Разходи'!AF94-'12. Разходи'!$AA94)/'12. Разходи'!$AA94,0)</f>
        <v>0</v>
      </c>
      <c r="AU94" s="1240">
        <f>'12. Разходи'!AI94</f>
        <v>0</v>
      </c>
      <c r="AV94" s="1176">
        <f>'12. Разходи'!AJ94-'12. Разходи'!$AI94</f>
        <v>0</v>
      </c>
      <c r="AW94" s="1236">
        <f>IFERROR(('12. Разходи'!AJ94-'12. Разходи'!$AI94)/'12. Разходи'!$AI94,0)</f>
        <v>0</v>
      </c>
      <c r="AX94" s="1177">
        <f>'12. Разходи'!AK94-'12. Разходи'!$AI94</f>
        <v>0</v>
      </c>
      <c r="AY94" s="1237">
        <f>IFERROR(('12. Разходи'!AK94-'12. Разходи'!$AI94)/'12. Разходи'!$AI94,0)</f>
        <v>0</v>
      </c>
      <c r="AZ94" s="1177">
        <f>'12. Разходи'!AL94-'12. Разходи'!$AI94</f>
        <v>0</v>
      </c>
      <c r="BA94" s="1237">
        <f>IFERROR(('12. Разходи'!AL94-'12. Разходи'!$AI94)/'12. Разходи'!$AI94,0)</f>
        <v>0</v>
      </c>
      <c r="BB94" s="1177">
        <f>'12. Разходи'!AM94-'12. Разходи'!$AI94</f>
        <v>0</v>
      </c>
      <c r="BC94" s="1238">
        <f>IFERROR(('12. Разходи'!AM94-'12. Разходи'!$AI94)/'12. Разходи'!$AI94,0)</f>
        <v>0</v>
      </c>
      <c r="BD94" s="1178">
        <f>'12. Разходи'!AN94-'12. Разходи'!$AI94</f>
        <v>0</v>
      </c>
      <c r="BE94" s="1239">
        <f>IFERROR(('12. Разходи'!AN94-'12. Разходи'!$AI94)/'12. Разходи'!$AI94,0)</f>
        <v>0</v>
      </c>
      <c r="BF94" s="4775"/>
      <c r="BG94" s="4794">
        <f t="shared" si="31"/>
        <v>937.19801823266846</v>
      </c>
      <c r="BH94" s="4794">
        <f t="shared" si="32"/>
        <v>-937.19801823266846</v>
      </c>
      <c r="BI94" s="4794">
        <f t="shared" si="33"/>
        <v>-937.19801823266846</v>
      </c>
      <c r="BJ94" s="4794">
        <f t="shared" si="34"/>
        <v>-937.19801823266846</v>
      </c>
      <c r="BK94" s="4794">
        <f t="shared" si="35"/>
        <v>-937.19801823266846</v>
      </c>
      <c r="BL94" s="4794">
        <f t="shared" si="36"/>
        <v>-937.19801823266846</v>
      </c>
      <c r="BM94" s="4794">
        <f t="shared" si="37"/>
        <v>222.41196832035504</v>
      </c>
      <c r="BN94" s="4794">
        <f t="shared" si="38"/>
        <v>-222.41196832035504</v>
      </c>
      <c r="BO94" s="4794">
        <f t="shared" si="39"/>
        <v>-222.41196832035504</v>
      </c>
      <c r="BP94" s="4794">
        <f t="shared" si="40"/>
        <v>-222.41196832035504</v>
      </c>
      <c r="BQ94" s="4794">
        <f t="shared" si="41"/>
        <v>-222.41196832035504</v>
      </c>
      <c r="BR94" s="4794">
        <f t="shared" si="42"/>
        <v>-222.41196832035504</v>
      </c>
      <c r="BS94" s="4794">
        <f t="shared" si="43"/>
        <v>252.06689742973572</v>
      </c>
      <c r="BT94" s="4794">
        <f t="shared" si="44"/>
        <v>-252.06689742973572</v>
      </c>
      <c r="BU94" s="4794">
        <f t="shared" si="45"/>
        <v>-252.06689742973572</v>
      </c>
      <c r="BV94" s="4794">
        <f t="shared" si="46"/>
        <v>-252.06689742973572</v>
      </c>
      <c r="BW94" s="4794">
        <f t="shared" si="47"/>
        <v>-252.06689742973572</v>
      </c>
      <c r="BX94" s="4794">
        <f t="shared" si="48"/>
        <v>-252.06689742973572</v>
      </c>
      <c r="BY94" s="4794">
        <f t="shared" si="49"/>
        <v>0</v>
      </c>
      <c r="BZ94" s="4794">
        <f t="shared" si="50"/>
        <v>0</v>
      </c>
      <c r="CA94" s="4794">
        <f t="shared" si="51"/>
        <v>0</v>
      </c>
      <c r="CB94" s="4794">
        <f t="shared" si="52"/>
        <v>0</v>
      </c>
      <c r="CC94" s="4794">
        <f t="shared" si="53"/>
        <v>0</v>
      </c>
      <c r="CD94" s="4794">
        <f t="shared" si="54"/>
        <v>0</v>
      </c>
      <c r="CE94" s="4794">
        <f t="shared" si="55"/>
        <v>0</v>
      </c>
      <c r="CF94" s="4794">
        <f t="shared" si="56"/>
        <v>0</v>
      </c>
      <c r="CG94" s="4794">
        <f t="shared" si="57"/>
        <v>0</v>
      </c>
      <c r="CH94" s="4794">
        <f t="shared" si="58"/>
        <v>0</v>
      </c>
      <c r="CI94" s="4794">
        <f t="shared" si="59"/>
        <v>0</v>
      </c>
      <c r="CJ94" s="4794">
        <f t="shared" si="60"/>
        <v>0</v>
      </c>
    </row>
    <row r="95" spans="1:88" s="1235" customFormat="1" ht="24.75" thickBot="1">
      <c r="A95" s="260"/>
      <c r="B95" s="261" t="s">
        <v>1231</v>
      </c>
      <c r="C95" s="1138">
        <f>'12. Разходи'!C95</f>
        <v>14246.292350438001</v>
      </c>
      <c r="D95" s="1172">
        <f>'12. Разходи'!D95-'12. Разходи'!$C95</f>
        <v>5102.8942891074548</v>
      </c>
      <c r="E95" s="902">
        <f>IFERROR(('12. Разходи'!D95-'12. Разходи'!$C95)/'12. Разходи'!$C95,0)</f>
        <v>0.3581910411202931</v>
      </c>
      <c r="F95" s="1173">
        <f>'12. Разходи'!E95-'12. Разходи'!$C95</f>
        <v>7031.4600335994728</v>
      </c>
      <c r="G95" s="902">
        <f>IFERROR(('12. Разходи'!E95-'12. Разходи'!$C95)/'12. Разходи'!$C95,0)</f>
        <v>0.49356421029667352</v>
      </c>
      <c r="H95" s="1173">
        <f>'12. Разходи'!F95-'12. Разходи'!$C95</f>
        <v>9337.1145158163381</v>
      </c>
      <c r="I95" s="902">
        <f>IFERROR(('12. Разходи'!F95-'12. Разходи'!$C95)/'12. Разходи'!$C95,0)</f>
        <v>0.65540663396039811</v>
      </c>
      <c r="J95" s="1173">
        <f>'12. Разходи'!G95-'12. Разходи'!$C95</f>
        <v>11740.734963467199</v>
      </c>
      <c r="K95" s="908">
        <f>IFERROR(('12. Разходи'!G95-'12. Разходи'!$C95)/'12. Разходи'!$C95,0)</f>
        <v>0.82412565140895977</v>
      </c>
      <c r="L95" s="1173">
        <f>'12. Разходи'!H95-'12. Разходи'!$C95</f>
        <v>14457.980091646117</v>
      </c>
      <c r="M95" s="908">
        <f>IFERROR(('12. Разходи'!H95-'12. Разходи'!$C95)/'12. Разходи'!$C95,0)</f>
        <v>1.0148591462256218</v>
      </c>
      <c r="N95" s="1185">
        <f>'12. Разходи'!K95</f>
        <v>3391.1148398749997</v>
      </c>
      <c r="O95" s="1172">
        <f>'12. Разходи'!L95-'12. Разходи'!$K95</f>
        <v>1044.2110322765161</v>
      </c>
      <c r="P95" s="902">
        <f>IFERROR(('12. Разходи'!L95-'12. Разходи'!$K95)/'12. Разходи'!$K95,0)</f>
        <v>0.30792558836344419</v>
      </c>
      <c r="Q95" s="1173">
        <f>'12. Разходи'!M95-'12. Разходи'!$K95</f>
        <v>1562.6233545167283</v>
      </c>
      <c r="R95" s="902">
        <f>IFERROR(('12. Разходи'!M95-'12. Разходи'!$K95)/'12. Разходи'!$K95,0)</f>
        <v>0.46079930297327482</v>
      </c>
      <c r="S95" s="1173">
        <f>'12. Разходи'!N95-'12. Разходи'!$K95</f>
        <v>2050.0726691019713</v>
      </c>
      <c r="T95" s="902">
        <f>IFERROR(('12. Разходи'!N95-'12. Разходи'!$K95)/'12. Разходи'!$K95,0)</f>
        <v>0.60454238971675145</v>
      </c>
      <c r="U95" s="1173">
        <f>'12. Разходи'!O95-'12. Разходи'!$K95</f>
        <v>2685.247825944894</v>
      </c>
      <c r="V95" s="908">
        <f>IFERROR(('12. Разходи'!O95-'12. Разходи'!$K95)/'12. Разходи'!$K95,0)</f>
        <v>0.79184809501876829</v>
      </c>
      <c r="W95" s="1173">
        <f>'12. Разходи'!P95-'12. Разходи'!$K95</f>
        <v>3420.9610817824464</v>
      </c>
      <c r="X95" s="843">
        <f>IFERROR(('12. Разходи'!P95-'12. Разходи'!$K95)/'12. Разходи'!$K95,0)</f>
        <v>1.0088013067432853</v>
      </c>
      <c r="Y95" s="1185">
        <f>'12. Разходи'!S95</f>
        <v>3731.1759230499997</v>
      </c>
      <c r="Z95" s="1172">
        <f>'12. Разходи'!T95-'12. Разходи'!$S95</f>
        <v>1057.6896032530299</v>
      </c>
      <c r="AA95" s="902">
        <f>IFERROR(('12. Разходи'!T95-'12. Разходи'!$S95)/'12. Разходи'!$S95,0)</f>
        <v>0.2834735282029896</v>
      </c>
      <c r="AB95" s="1173">
        <f>'12. Разходи'!U95-'12. Разходи'!$S95</f>
        <v>1405.5045805207978</v>
      </c>
      <c r="AC95" s="902">
        <f>IFERROR(('12. Разходи'!U95-'12. Разходи'!$S95)/'12. Разходи'!$S95,0)</f>
        <v>0.37669212320921253</v>
      </c>
      <c r="AD95" s="1173">
        <f>'12. Разходи'!V95-'12. Разходи'!$S95</f>
        <v>1884.8040673186892</v>
      </c>
      <c r="AE95" s="902">
        <f>IFERROR(('12. Разходи'!V95-'12. Разходи'!$S95)/'12. Разходи'!$S95,0)</f>
        <v>0.50515014735032415</v>
      </c>
      <c r="AF95" s="1173">
        <f>'12. Разходи'!W95-'12. Разходи'!$S95</f>
        <v>2443.0701128249098</v>
      </c>
      <c r="AG95" s="908">
        <f>IFERROR(('12. Разходи'!W95-'12. Разходи'!$S95)/'12. Разходи'!$S95,0)</f>
        <v>0.65477215848558945</v>
      </c>
      <c r="AH95" s="1173">
        <f>'12. Разходи'!X95-'12. Разходи'!$S95</f>
        <v>3086.6059388084382</v>
      </c>
      <c r="AI95" s="843">
        <f>IFERROR(('12. Разходи'!X95-'12. Разходи'!$S95)/'12. Разходи'!$S95,0)</f>
        <v>0.82724749582038837</v>
      </c>
      <c r="AJ95" s="1185">
        <f>'12. Разходи'!AA95</f>
        <v>0</v>
      </c>
      <c r="AK95" s="1172">
        <f>'12. Разходи'!AB95-'12. Разходи'!$AA95</f>
        <v>0</v>
      </c>
      <c r="AL95" s="902">
        <f>IFERROR(('12. Разходи'!AB95-'12. Разходи'!$AA95)/'12. Разходи'!$AA95,0)</f>
        <v>0</v>
      </c>
      <c r="AM95" s="1173">
        <f>'12. Разходи'!AC95-'12. Разходи'!$AA95</f>
        <v>0</v>
      </c>
      <c r="AN95" s="902">
        <f>IFERROR(('12. Разходи'!AC95-'12. Разходи'!$AA95)/'12. Разходи'!$AA95,0)</f>
        <v>0</v>
      </c>
      <c r="AO95" s="1173">
        <f>'12. Разходи'!AD95-'12. Разходи'!$AA95</f>
        <v>0</v>
      </c>
      <c r="AP95" s="902">
        <f>IFERROR(('12. Разходи'!AD95-'12. Разходи'!$AA95)/'12. Разходи'!$AA95,0)</f>
        <v>0</v>
      </c>
      <c r="AQ95" s="1173">
        <f>'12. Разходи'!AE95-'12. Разходи'!$AA95</f>
        <v>0</v>
      </c>
      <c r="AR95" s="908">
        <f>IFERROR(('12. Разходи'!AE95-'12. Разходи'!$AA95)/'12. Разходи'!$AA95,0)</f>
        <v>0</v>
      </c>
      <c r="AS95" s="1173">
        <f>'12. Разходи'!AF95-'12. Разходи'!$AA95</f>
        <v>0</v>
      </c>
      <c r="AT95" s="1233">
        <f>IFERROR(('12. Разходи'!AF95-'12. Разходи'!$AA95)/'12. Разходи'!$AA95,0)</f>
        <v>0</v>
      </c>
      <c r="AU95" s="1185">
        <f>'12. Разходи'!AI95</f>
        <v>0</v>
      </c>
      <c r="AV95" s="1172">
        <f>'12. Разходи'!AJ95-'12. Разходи'!$AI95</f>
        <v>0</v>
      </c>
      <c r="AW95" s="902">
        <f>IFERROR(('12. Разходи'!AJ95-'12. Разходи'!$AI95)/'12. Разходи'!$AI95,0)</f>
        <v>0</v>
      </c>
      <c r="AX95" s="1173">
        <f>'12. Разходи'!AK95-'12. Разходи'!$AI95</f>
        <v>0</v>
      </c>
      <c r="AY95" s="902">
        <f>IFERROR(('12. Разходи'!AK95-'12. Разходи'!$AI95)/'12. Разходи'!$AI95,0)</f>
        <v>0</v>
      </c>
      <c r="AZ95" s="1173">
        <f>'12. Разходи'!AL95-'12. Разходи'!$AI95</f>
        <v>0</v>
      </c>
      <c r="BA95" s="902">
        <f>IFERROR(('12. Разходи'!AL95-'12. Разходи'!$AI95)/'12. Разходи'!$AI95,0)</f>
        <v>0</v>
      </c>
      <c r="BB95" s="1173">
        <f>'12. Разходи'!AM95-'12. Разходи'!$AI95</f>
        <v>0</v>
      </c>
      <c r="BC95" s="908">
        <f>IFERROR(('12. Разходи'!AM95-'12. Разходи'!$AI95)/'12. Разходи'!$AI95,0)</f>
        <v>0</v>
      </c>
      <c r="BD95" s="1173">
        <f>'12. Разходи'!AN95-'12. Разходи'!$AI95</f>
        <v>0</v>
      </c>
      <c r="BE95" s="1233">
        <f>IFERROR(('12. Разходи'!AN95-'12. Разходи'!$AI95)/'12. Разходи'!$AI95,0)</f>
        <v>0</v>
      </c>
      <c r="BF95" s="4775"/>
      <c r="BG95" s="4794">
        <f t="shared" si="31"/>
        <v>7284.0136159267431</v>
      </c>
      <c r="BH95" s="4794">
        <f t="shared" si="32"/>
        <v>2609.0684206231908</v>
      </c>
      <c r="BI95" s="4794">
        <f t="shared" si="33"/>
        <v>3595.1284281351</v>
      </c>
      <c r="BJ95" s="4794">
        <f t="shared" si="34"/>
        <v>4773.9908457362544</v>
      </c>
      <c r="BK95" s="4794">
        <f t="shared" si="35"/>
        <v>6002.94246609736</v>
      </c>
      <c r="BL95" s="4794">
        <f t="shared" si="36"/>
        <v>7392.2478393552192</v>
      </c>
      <c r="BM95" s="4794">
        <f t="shared" si="37"/>
        <v>1733.8494858321019</v>
      </c>
      <c r="BN95" s="4794">
        <f t="shared" si="38"/>
        <v>533.89662305850516</v>
      </c>
      <c r="BO95" s="4794">
        <f t="shared" si="39"/>
        <v>798.95663453200348</v>
      </c>
      <c r="BP95" s="4794">
        <f t="shared" si="40"/>
        <v>1048.1855115740996</v>
      </c>
      <c r="BQ95" s="4794">
        <f t="shared" si="41"/>
        <v>1372.9454124054207</v>
      </c>
      <c r="BR95" s="4794">
        <f t="shared" si="42"/>
        <v>1749.1096270035978</v>
      </c>
      <c r="BS95" s="4794">
        <f t="shared" si="43"/>
        <v>1907.7199567702714</v>
      </c>
      <c r="BT95" s="4794">
        <f t="shared" si="44"/>
        <v>540.78810696892367</v>
      </c>
      <c r="BU95" s="4794">
        <f t="shared" si="45"/>
        <v>718.62308100438065</v>
      </c>
      <c r="BV95" s="4794">
        <f t="shared" si="46"/>
        <v>963.68501726565671</v>
      </c>
      <c r="BW95" s="4794">
        <f t="shared" si="47"/>
        <v>1249.1219138805059</v>
      </c>
      <c r="BX95" s="4794">
        <f t="shared" si="48"/>
        <v>1578.1565569647864</v>
      </c>
      <c r="BY95" s="4794">
        <f t="shared" si="49"/>
        <v>0</v>
      </c>
      <c r="BZ95" s="4794">
        <f t="shared" si="50"/>
        <v>0</v>
      </c>
      <c r="CA95" s="4794">
        <f t="shared" si="51"/>
        <v>0</v>
      </c>
      <c r="CB95" s="4794">
        <f t="shared" si="52"/>
        <v>0</v>
      </c>
      <c r="CC95" s="4794">
        <f t="shared" si="53"/>
        <v>0</v>
      </c>
      <c r="CD95" s="4794">
        <f t="shared" si="54"/>
        <v>0</v>
      </c>
      <c r="CE95" s="4794">
        <f t="shared" si="55"/>
        <v>0</v>
      </c>
      <c r="CF95" s="4794">
        <f t="shared" si="56"/>
        <v>0</v>
      </c>
      <c r="CG95" s="4794">
        <f t="shared" si="57"/>
        <v>0</v>
      </c>
      <c r="CH95" s="4794">
        <f t="shared" si="58"/>
        <v>0</v>
      </c>
      <c r="CI95" s="4794">
        <f t="shared" si="59"/>
        <v>0</v>
      </c>
      <c r="CJ95" s="4794">
        <f t="shared" si="60"/>
        <v>0</v>
      </c>
    </row>
    <row r="96" spans="1:88" s="695" customFormat="1" ht="15.75" thickBot="1">
      <c r="A96" s="1187"/>
      <c r="B96" s="1187"/>
      <c r="C96" s="1187"/>
      <c r="D96" s="1188"/>
      <c r="E96" s="1189"/>
      <c r="F96" s="1188"/>
      <c r="G96" s="1189"/>
      <c r="H96" s="1188"/>
      <c r="I96" s="1189"/>
      <c r="J96" s="1188"/>
      <c r="K96" s="1189"/>
      <c r="L96" s="1188"/>
      <c r="M96" s="1189"/>
      <c r="N96" s="1189"/>
      <c r="O96" s="1190"/>
      <c r="P96" s="1191"/>
      <c r="Q96" s="1190"/>
      <c r="R96" s="1191"/>
      <c r="S96" s="1190"/>
      <c r="T96" s="1191"/>
      <c r="U96" s="1190"/>
      <c r="V96" s="1191"/>
      <c r="W96" s="1190"/>
      <c r="X96" s="1191"/>
      <c r="Y96" s="1191"/>
      <c r="Z96" s="1192"/>
      <c r="AA96" s="1191"/>
      <c r="AB96" s="1192"/>
      <c r="AC96" s="1191"/>
      <c r="AD96" s="1192"/>
      <c r="AE96" s="1191"/>
      <c r="AF96" s="1192"/>
      <c r="AG96" s="1189"/>
      <c r="AH96" s="1193"/>
      <c r="AI96" s="1189"/>
      <c r="AJ96" s="2765"/>
      <c r="AK96" s="2765"/>
      <c r="AL96" s="2765"/>
      <c r="AM96" s="1192"/>
      <c r="AN96" s="1191"/>
      <c r="AO96" s="1192"/>
      <c r="AP96" s="1191"/>
      <c r="AQ96" s="1192"/>
      <c r="AR96" s="1191"/>
      <c r="AS96" s="1193"/>
      <c r="AT96" s="1189"/>
      <c r="AU96" s="1189"/>
      <c r="AV96" s="1192"/>
      <c r="AW96" s="1191"/>
      <c r="AX96" s="1192"/>
      <c r="AY96" s="1191"/>
      <c r="AZ96" s="1192"/>
      <c r="BA96" s="1191"/>
      <c r="BB96" s="1192"/>
      <c r="BC96" s="1191"/>
      <c r="BD96" s="1193"/>
      <c r="BE96" s="1189"/>
      <c r="BF96" s="4775"/>
      <c r="BG96" s="694"/>
      <c r="BH96" s="694"/>
      <c r="BI96" s="694"/>
      <c r="BJ96" s="694"/>
      <c r="BK96" s="694"/>
    </row>
    <row r="97" spans="1:76" s="48" customFormat="1" ht="15" customHeight="1" thickBot="1">
      <c r="A97" s="5370" t="s">
        <v>1426</v>
      </c>
      <c r="B97" s="5372"/>
      <c r="C97" s="5470" t="str">
        <f>C8</f>
        <v>Доставяне на вода на потребителите</v>
      </c>
      <c r="D97" s="5471"/>
      <c r="E97" s="5471"/>
      <c r="F97" s="5471"/>
      <c r="G97" s="5471"/>
      <c r="H97" s="5471"/>
      <c r="I97" s="5471"/>
      <c r="J97" s="5471"/>
      <c r="K97" s="5471"/>
      <c r="L97" s="5471"/>
      <c r="M97" s="5472"/>
      <c r="N97" s="5465" t="s">
        <v>208</v>
      </c>
      <c r="O97" s="5473"/>
      <c r="P97" s="5473"/>
      <c r="Q97" s="5473"/>
      <c r="R97" s="5473"/>
      <c r="S97" s="5473"/>
      <c r="T97" s="5473"/>
      <c r="U97" s="5473"/>
      <c r="V97" s="5473"/>
      <c r="W97" s="5473"/>
      <c r="X97" s="5474"/>
      <c r="Y97" s="5450" t="s">
        <v>209</v>
      </c>
      <c r="Z97" s="5451"/>
      <c r="AA97" s="5451"/>
      <c r="AB97" s="5451"/>
      <c r="AC97" s="5451"/>
      <c r="AD97" s="5451"/>
      <c r="AE97" s="5451"/>
      <c r="AF97" s="5451"/>
      <c r="AG97" s="5451"/>
      <c r="AH97" s="5451"/>
      <c r="AI97" s="5452"/>
      <c r="AJ97" s="2765"/>
      <c r="AK97" s="2765"/>
      <c r="AL97" s="2765"/>
      <c r="AM97" s="1195"/>
      <c r="AN97" s="1194"/>
      <c r="AO97" s="1195"/>
      <c r="AP97" s="1194"/>
      <c r="AQ97" s="1195"/>
      <c r="AR97" s="1194"/>
      <c r="AS97" s="1195"/>
      <c r="AT97" s="1194"/>
      <c r="AU97" s="1194"/>
      <c r="AV97" s="1195"/>
      <c r="AW97" s="1194"/>
      <c r="AX97" s="1195"/>
      <c r="AY97" s="1194"/>
      <c r="AZ97" s="1195"/>
      <c r="BA97" s="1194"/>
      <c r="BB97" s="1195"/>
      <c r="BC97" s="1194"/>
      <c r="BD97" s="1195"/>
      <c r="BE97" s="1194"/>
      <c r="BF97" s="4775"/>
    </row>
    <row r="98" spans="1:76" s="48" customFormat="1" ht="15.75" thickBot="1">
      <c r="A98" s="5486"/>
      <c r="B98" s="5487"/>
      <c r="C98" s="1623"/>
      <c r="D98" s="5466" t="str">
        <f>+D9</f>
        <v>2027 г.</v>
      </c>
      <c r="E98" s="5467"/>
      <c r="F98" s="5467" t="str">
        <f>+F9</f>
        <v>2028 г.</v>
      </c>
      <c r="G98" s="5467"/>
      <c r="H98" s="5467" t="str">
        <f>+H9</f>
        <v>2029 г.</v>
      </c>
      <c r="I98" s="5467"/>
      <c r="J98" s="5468" t="str">
        <f>+J9</f>
        <v>2030 г.</v>
      </c>
      <c r="K98" s="5467"/>
      <c r="L98" s="5468" t="str">
        <f>+L9</f>
        <v>2031 г.</v>
      </c>
      <c r="M98" s="5469"/>
      <c r="N98" s="1624"/>
      <c r="O98" s="5466" t="str">
        <f>+O9</f>
        <v>2027 г.</v>
      </c>
      <c r="P98" s="5467"/>
      <c r="Q98" s="5467" t="str">
        <f>+Q9</f>
        <v>2028 г.</v>
      </c>
      <c r="R98" s="5467"/>
      <c r="S98" s="5467" t="str">
        <f>+S9</f>
        <v>2029 г.</v>
      </c>
      <c r="T98" s="5467"/>
      <c r="U98" s="5468" t="str">
        <f>+U9</f>
        <v>2030 г.</v>
      </c>
      <c r="V98" s="5467"/>
      <c r="W98" s="5468" t="str">
        <f>+W9</f>
        <v>2031 г.</v>
      </c>
      <c r="X98" s="5469"/>
      <c r="Y98" s="1625"/>
      <c r="Z98" s="5466" t="str">
        <f>+Z9</f>
        <v>2027 г.</v>
      </c>
      <c r="AA98" s="5467"/>
      <c r="AB98" s="5467" t="str">
        <f>+AB9</f>
        <v>2028 г.</v>
      </c>
      <c r="AC98" s="5467"/>
      <c r="AD98" s="5467" t="str">
        <f>+AD9</f>
        <v>2029 г.</v>
      </c>
      <c r="AE98" s="5467"/>
      <c r="AF98" s="5468" t="str">
        <f>+AF9</f>
        <v>2030 г.</v>
      </c>
      <c r="AG98" s="5467"/>
      <c r="AH98" s="5468" t="str">
        <f>+AH9</f>
        <v>2031 г.</v>
      </c>
      <c r="AI98" s="5469"/>
      <c r="AJ98" s="2765"/>
      <c r="AL98" s="2765"/>
      <c r="AM98" s="1195"/>
      <c r="AN98" s="1194"/>
      <c r="AO98" s="1195"/>
      <c r="AP98" s="1194"/>
      <c r="AQ98" s="1195"/>
      <c r="AR98" s="1194"/>
      <c r="AS98" s="1195"/>
      <c r="AT98" s="1194"/>
      <c r="AU98" s="1194"/>
      <c r="AV98" s="1195"/>
      <c r="AW98" s="1194"/>
      <c r="AX98" s="1195"/>
      <c r="AY98" s="1194"/>
      <c r="AZ98" s="1195"/>
      <c r="BA98" s="1194"/>
      <c r="BB98" s="1195"/>
      <c r="BC98" s="1194"/>
      <c r="BD98" s="1195"/>
      <c r="BE98" s="1194"/>
      <c r="BF98" s="4775"/>
    </row>
    <row r="99" spans="1:76" s="48" customFormat="1" ht="60.75" thickBot="1">
      <c r="A99" s="5488"/>
      <c r="B99" s="5489"/>
      <c r="C99" s="1627"/>
      <c r="D99" s="1429" t="s">
        <v>1424</v>
      </c>
      <c r="E99" s="1430" t="s">
        <v>1425</v>
      </c>
      <c r="F99" s="1430" t="s">
        <v>1424</v>
      </c>
      <c r="G99" s="1430" t="s">
        <v>1425</v>
      </c>
      <c r="H99" s="1430" t="s">
        <v>1424</v>
      </c>
      <c r="I99" s="1430" t="s">
        <v>1425</v>
      </c>
      <c r="J99" s="1430" t="s">
        <v>1424</v>
      </c>
      <c r="K99" s="1430" t="s">
        <v>1425</v>
      </c>
      <c r="L99" s="1430" t="s">
        <v>1424</v>
      </c>
      <c r="M99" s="1431" t="s">
        <v>1425</v>
      </c>
      <c r="N99" s="1432"/>
      <c r="O99" s="1429" t="s">
        <v>1424</v>
      </c>
      <c r="P99" s="1430" t="s">
        <v>1425</v>
      </c>
      <c r="Q99" s="1430" t="s">
        <v>1424</v>
      </c>
      <c r="R99" s="1430" t="s">
        <v>1425</v>
      </c>
      <c r="S99" s="1430" t="s">
        <v>1424</v>
      </c>
      <c r="T99" s="1430" t="s">
        <v>1425</v>
      </c>
      <c r="U99" s="1430" t="s">
        <v>1424</v>
      </c>
      <c r="V99" s="1430" t="s">
        <v>1425</v>
      </c>
      <c r="W99" s="1430" t="s">
        <v>1424</v>
      </c>
      <c r="X99" s="1431" t="s">
        <v>1425</v>
      </c>
      <c r="Y99" s="1628"/>
      <c r="Z99" s="1451" t="s">
        <v>1424</v>
      </c>
      <c r="AA99" s="1452" t="s">
        <v>1425</v>
      </c>
      <c r="AB99" s="1452" t="s">
        <v>1424</v>
      </c>
      <c r="AC99" s="1452" t="s">
        <v>1425</v>
      </c>
      <c r="AD99" s="1453" t="s">
        <v>1424</v>
      </c>
      <c r="AE99" s="1452" t="s">
        <v>1425</v>
      </c>
      <c r="AF99" s="1452" t="s">
        <v>1424</v>
      </c>
      <c r="AG99" s="1452" t="s">
        <v>1425</v>
      </c>
      <c r="AH99" s="1450" t="s">
        <v>1424</v>
      </c>
      <c r="AI99" s="1430" t="s">
        <v>1425</v>
      </c>
      <c r="AJ99" s="2765"/>
      <c r="AK99" s="2765"/>
      <c r="AL99" s="2765"/>
      <c r="AM99" s="1195"/>
      <c r="AN99" s="1194"/>
      <c r="AU99" s="1194"/>
      <c r="AV99" s="1195"/>
      <c r="AW99" s="1194"/>
      <c r="AX99" s="1195"/>
      <c r="AY99" s="1194"/>
      <c r="AZ99" s="1195"/>
      <c r="BA99" s="1194"/>
      <c r="BB99" s="1195"/>
      <c r="BC99" s="1194"/>
      <c r="BD99" s="1195"/>
      <c r="BE99" s="1194"/>
      <c r="BF99" s="4775"/>
      <c r="BH99" s="4825" t="s">
        <v>1424</v>
      </c>
      <c r="BI99" s="4825" t="s">
        <v>1424</v>
      </c>
      <c r="BJ99" s="4825" t="s">
        <v>1424</v>
      </c>
      <c r="BK99" s="4825" t="s">
        <v>1424</v>
      </c>
      <c r="BL99" s="4825" t="s">
        <v>1424</v>
      </c>
      <c r="BN99" s="4825" t="s">
        <v>1424</v>
      </c>
      <c r="BO99" s="4825" t="s">
        <v>1424</v>
      </c>
      <c r="BP99" s="4825" t="s">
        <v>1424</v>
      </c>
      <c r="BQ99" s="4825" t="s">
        <v>1424</v>
      </c>
      <c r="BR99" s="4825" t="s">
        <v>1424</v>
      </c>
      <c r="BT99" s="4825" t="s">
        <v>1424</v>
      </c>
      <c r="BU99" s="4825" t="s">
        <v>1424</v>
      </c>
      <c r="BV99" s="4825" t="s">
        <v>1424</v>
      </c>
      <c r="BW99" s="4825" t="s">
        <v>1424</v>
      </c>
      <c r="BX99" s="4825" t="s">
        <v>1424</v>
      </c>
    </row>
    <row r="100" spans="1:76" s="48" customFormat="1">
      <c r="A100" s="5483" t="s">
        <v>1233</v>
      </c>
      <c r="B100" s="1252" t="s">
        <v>226</v>
      </c>
      <c r="C100" s="1256"/>
      <c r="D100" s="925">
        <f>'12.2.Нови дейности или обекти'!C22+'12.2.Нови дейности или обекти'!H22+'12.2.Нови дейности или обекти'!M22+'12.2.Нови дейности или обекти'!R22+'12.2.Нови дейности или обекти'!W22+'12.2.Нови дейности или обекти'!C45+'12.2.Нови дейности или обекти'!H45+'12.2.Нови дейности или обекти'!M45+'12.2.Нови дейности или обекти'!R45+'12.2.Нови дейности или обекти'!W45</f>
        <v>0</v>
      </c>
      <c r="E100" s="925">
        <f>D11-D100</f>
        <v>11.982459562000258</v>
      </c>
      <c r="F100" s="1245">
        <f>'12.2.Нови дейности или обекти'!D22+'12.2.Нови дейности или обекти'!I22+'12.2.Нови дейности или обекти'!N22+'12.2.Нови дейности или обекти'!S22+'12.2.Нови дейности или обекти'!X22++'12.2.Нови дейности или обекти'!D45+'12.2.Нови дейности или обекти'!I45+'12.2.Нови дейности или обекти'!N45+'12.2.Нови дейности или обекти'!S45+'12.2.Нови дейности или обекти'!X45</f>
        <v>0</v>
      </c>
      <c r="G100" s="1245">
        <f>F11-F100</f>
        <v>-5.2048504379995393</v>
      </c>
      <c r="H100" s="1245">
        <f>'12.2.Нови дейности или обекти'!E22+'12.2.Нови дейности или обекти'!J22+'12.2.Нови дейности или обекти'!O22+'12.2.Нови дейности или обекти'!T22+'12.2.Нови дейности или обекти'!Y22+'12.2.Нови дейности или обекти'!E45+'12.2.Нови дейности или обекти'!J45+'12.2.Нови дейности или обекти'!O45+'12.2.Нови дейности или обекти'!T45+'12.2.Нови дейности или обекти'!Y45</f>
        <v>0</v>
      </c>
      <c r="I100" s="1245">
        <f>H11-H100</f>
        <v>-19.42262043799974</v>
      </c>
      <c r="J100" s="1245">
        <f>'12.2.Нови дейности или обекти'!F22+'12.2.Нови дейности или обекти'!K22+'12.2.Нови дейности или обекти'!P22+'12.2.Нови дейности или обекти'!U22+'12.2.Нови дейности или обекти'!Z22+'12.2.Нови дейности или обекти'!F45+'12.2.Нови дейности или обекти'!K45+'12.2.Нови дейности или обекти'!P45+'12.2.Нови дейности или обекти'!U45+'12.2.Нови дейности или обекти'!Z45</f>
        <v>0</v>
      </c>
      <c r="K100" s="1245">
        <f>IF(J100=0,0,J11-J100)</f>
        <v>0</v>
      </c>
      <c r="L100" s="1245">
        <f>'12.2.Нови дейности или обекти'!G22+'12.2.Нови дейности или обекти'!L22+'12.2.Нови дейности или обекти'!Q22+'12.2.Нови дейности или обекти'!V22+'12.2.Нови дейности или обекти'!AA22+'12.2.Нови дейности или обекти'!G45+'12.2.Нови дейности или обекти'!L45+'12.2.Нови дейности или обекти'!Q45+'12.2.Нови дейности или обекти'!V45+'12.2.Нови дейности или обекти'!AA45</f>
        <v>0</v>
      </c>
      <c r="M100" s="1246">
        <f>IF(L100=0,0,L11-L100)</f>
        <v>0</v>
      </c>
      <c r="N100" s="1256"/>
      <c r="O100" s="1251">
        <f>'12.2.Нови дейности или обекти'!C69+'12.2.Нови дейности или обекти'!H69+'12.2.Нови дейности или обекти'!M69+'12.2.Нови дейности или обекти'!R69+'12.2.Нови дейности или обекти'!W69+'12.2.Нови дейности или обекти'!C92+'12.2.Нови дейности или обекти'!H92+'12.2.Нови дейности или обекти'!M92+'12.2.Нови дейности или обекти'!R92+'12.2.Нови дейности или обекти'!W92</f>
        <v>0</v>
      </c>
      <c r="P100" s="1245">
        <f>O11-O100</f>
        <v>6.8642124999996668E-2</v>
      </c>
      <c r="Q100" s="1245">
        <f>'12.2.Нови дейности или обекти'!D69+'12.2.Нови дейности или обекти'!I69+'12.2.Нови дейности или обекти'!N69+'12.2.Нови дейности или обекти'!S69+'12.2.Нови дейности или обекти'!X69+'12.2.Нови дейности или обекти'!D92+'12.2.Нови дейности или обекти'!I92+'12.2.Нови дейности или обекти'!N92+'12.2.Нови дейности или обекти'!S92+'12.2.Нови дейности или обекти'!X92</f>
        <v>0</v>
      </c>
      <c r="R100" s="1245">
        <f>Q11-Q100</f>
        <v>6.8642124999996668E-2</v>
      </c>
      <c r="S100" s="1245">
        <f>'12.2.Нови дейности или обекти'!E69+'12.2.Нови дейности или обекти'!J69+'12.2.Нови дейности или обекти'!O69+'12.2.Нови дейности или обекти'!T69+'12.2.Нови дейности или обекти'!Y69+'12.2.Нови дейности или обекти'!E92+'12.2.Нови дейности или обекти'!J92+'12.2.Нови дейности или обекти'!O92+'12.2.Нови дейности или обекти'!T92+'12.2.Нови дейности или обекти'!Y92</f>
        <v>0</v>
      </c>
      <c r="T100" s="1245">
        <f>S11-S100</f>
        <v>4.1145725000035327E-2</v>
      </c>
      <c r="U100" s="1245">
        <f>'12.2.Нови дейности или обекти'!F69+'12.2.Нови дейности или обекти'!K69+'12.2.Нови дейности или обекти'!P69+'12.2.Нови дейности или обекти'!U69+'12.2.Нови дейности или обекти'!Z69+'12.2.Нови дейности или обекти'!F92+'12.2.Нови дейности или обекти'!K92+'12.2.Нови дейности или обекти'!P92+'12.2.Нови дейности или обекти'!U92+'12.2.Нови дейности или обекти'!Z92</f>
        <v>0</v>
      </c>
      <c r="V100" s="1245">
        <f>IF(U100=0,0,U11-U100)</f>
        <v>0</v>
      </c>
      <c r="W100" s="1245">
        <f>'12.2.Нови дейности или обекти'!G69+'12.2.Нови дейности или обекти'!L69+'12.2.Нови дейности или обекти'!Q69+'12.2.Нови дейности или обекти'!V69+'12.2.Нови дейности или обекти'!AA69+'12.2.Нови дейности или обекти'!G92+'12.2.Нови дейности или обекти'!L92+'12.2.Нови дейности или обекти'!Q92+'12.2.Нови дейности или обекти'!V92+'12.2.Нови дейности или обекти'!AA92</f>
        <v>0</v>
      </c>
      <c r="X100" s="1246">
        <f>IF(W100=0,0,W11-W100)</f>
        <v>0</v>
      </c>
      <c r="Y100" s="1256"/>
      <c r="Z100" s="1251">
        <f>'12.2.Нови дейности или обекти'!C116+'12.2.Нови дейности или обекти'!H116+'12.2.Нови дейности или обекти'!M116+'12.2.Нови дейности или обекти'!R116+'12.2.Нови дейности или обекти'!W116+'12.2.Нови дейности или обекти'!C139+'12.2.Нови дейности или обекти'!H139+'12.2.Нови дейности или обекти'!M139+'12.2.Нови дейности или обекти'!R139+'12.2.Нови дейности или обекти'!W139</f>
        <v>0</v>
      </c>
      <c r="AA100" s="1245">
        <f>Z11-Z100</f>
        <v>55.231822950000151</v>
      </c>
      <c r="AB100" s="1245">
        <f>'12.2.Нови дейности или обекти'!D116+'12.2.Нови дейности или обекти'!I116+'12.2.Нови дейности или обекти'!N116+'12.2.Нови дейности или обекти'!S116+'12.2.Нови дейности или обекти'!X116+'12.2.Нови дейности или обекти'!D139+'12.2.Нови дейности или обекти'!I139+'12.2.Нови дейности или обекти'!N139+'12.2.Нови дейности или обекти'!S139+'12.2.Нови дейности или обекти'!X139</f>
        <v>0</v>
      </c>
      <c r="AC100" s="1245">
        <f>AB11-AB100</f>
        <v>45.862176950000048</v>
      </c>
      <c r="AD100" s="1245">
        <f>'12.2.Нови дейности или обекти'!E116+'12.2.Нови дейности или обекти'!J116+'12.2.Нови дейности или обекти'!O116+'12.2.Нови дейности или обекти'!T116+'12.2.Нови дейности или обекти'!Y116+'12.2.Нови дейности или обекти'!E139+'12.2.Нови дейности или обекти'!J139+'12.2.Нови дейности или обекти'!O139+'12.2.Нови дейности или обекти'!T139+'12.2.Нови дейности или обекти'!Y139</f>
        <v>0</v>
      </c>
      <c r="AE100" s="1245">
        <f>AD11-AD100</f>
        <v>34.060726950000117</v>
      </c>
      <c r="AF100" s="1245">
        <f>'12.2.Нови дейности или обекти'!F116+'12.2.Нови дейности или обекти'!K116+'12.2.Нови дейности или обекти'!P116+'12.2.Нови дейности или обекти'!U116+'12.2.Нови дейности или обекти'!Z116+'12.2.Нови дейности или обекти'!F139+'12.2.Нови дейности или обекти'!K139+'12.2.Нови дейности или обекти'!P139+'12.2.Нови дейности или обекти'!U139+'12.2.Нови дейности или обекти'!Z139</f>
        <v>0</v>
      </c>
      <c r="AG100" s="1245">
        <f>IF(AF100=0,0,AF11-AF100)</f>
        <v>0</v>
      </c>
      <c r="AH100" s="1245">
        <f>'12.2.Нови дейности или обекти'!G116+'12.2.Нови дейности или обекти'!L116+'12.2.Нови дейности или обекти'!Q116+'12.2.Нови дейности или обекти'!V116+'12.2.Нови дейности или обекти'!AA116+'12.2.Нови дейности или обекти'!G139+'12.2.Нови дейности или обекти'!L139+'12.2.Нови дейности или обекти'!Q139+'12.2.Нови дейности или обекти'!V139+'12.2.Нови дейности или обекти'!AA139</f>
        <v>0</v>
      </c>
      <c r="AI100" s="1246">
        <f>IF(AH100=0,0,AH11-AH100)</f>
        <v>0</v>
      </c>
      <c r="AJ100" s="2765"/>
      <c r="AK100" s="2765"/>
      <c r="AL100" s="2765"/>
      <c r="AM100" s="1195"/>
      <c r="AN100" s="1194"/>
      <c r="AO100" s="3196"/>
      <c r="AP100" s="3196"/>
      <c r="AQ100" s="3316"/>
      <c r="AR100" s="3317"/>
      <c r="AS100" s="3160"/>
      <c r="AT100" s="3159"/>
      <c r="AU100" s="1194"/>
      <c r="AV100" s="1195"/>
      <c r="AW100" s="1194"/>
      <c r="AX100" s="1195"/>
      <c r="AY100" s="1194"/>
      <c r="AZ100" s="1195"/>
      <c r="BA100" s="1194"/>
      <c r="BB100" s="1195"/>
      <c r="BC100" s="1194"/>
      <c r="BD100" s="1195"/>
      <c r="BE100" s="1194"/>
      <c r="BF100" s="4775"/>
      <c r="BH100" s="4807">
        <f t="shared" ref="BH100:BH106" si="61">IFERROR(D100/$D$1,0)</f>
        <v>0</v>
      </c>
      <c r="BI100" s="4807">
        <f t="shared" ref="BI100:BI106" si="62">IFERROR(F100/$D$1,0)</f>
        <v>0</v>
      </c>
      <c r="BJ100" s="4807">
        <f t="shared" ref="BJ100:BJ106" si="63">IFERROR(H100/$D$1,0)</f>
        <v>0</v>
      </c>
      <c r="BK100" s="4807">
        <f t="shared" ref="BK100:BK106" si="64">IFERROR(J100/$D$1,0)</f>
        <v>0</v>
      </c>
      <c r="BL100" s="4807">
        <f t="shared" ref="BL100:BL106" si="65">IFERROR(L100/$D$1,0)</f>
        <v>0</v>
      </c>
      <c r="BN100" s="4794">
        <f t="shared" ref="BN100:BN106" si="66">IFERROR(O100/$D$1,0)</f>
        <v>0</v>
      </c>
      <c r="BO100" s="4794">
        <f t="shared" ref="BO100:BO106" si="67">IFERROR(Q100/$D$1,0)</f>
        <v>0</v>
      </c>
      <c r="BP100" s="4794">
        <f t="shared" ref="BP100:BP106" si="68">IFERROR(S100/$D$1,0)</f>
        <v>0</v>
      </c>
      <c r="BQ100" s="4794">
        <f t="shared" ref="BQ100:BQ106" si="69">IFERROR(U100/$D$1,0)</f>
        <v>0</v>
      </c>
      <c r="BR100" s="4794">
        <f t="shared" ref="BR100:BR106" si="70">IFERROR(W100/$D$1,0)</f>
        <v>0</v>
      </c>
      <c r="BT100" s="4794">
        <f t="shared" ref="BT100:BT106" si="71">IFERROR(Z100/$D$1,0)</f>
        <v>0</v>
      </c>
      <c r="BU100" s="4794">
        <f t="shared" ref="BU100:BU106" si="72">IFERROR(AB100/$D$1,0)</f>
        <v>0</v>
      </c>
      <c r="BV100" s="4794">
        <f t="shared" ref="BV100:BV106" si="73">IFERROR(AD100/$D$1,0)</f>
        <v>0</v>
      </c>
      <c r="BW100" s="4794">
        <f t="shared" ref="BW100:BW106" si="74">IFERROR(AF100/$D$1,0)</f>
        <v>0</v>
      </c>
      <c r="BX100" s="4794">
        <f t="shared" ref="BX100:BX106" si="75">IFERROR(AH100/$D$1,0)</f>
        <v>0</v>
      </c>
    </row>
    <row r="101" spans="1:76" s="48" customFormat="1">
      <c r="A101" s="5484"/>
      <c r="B101" s="1253" t="s">
        <v>239</v>
      </c>
      <c r="C101" s="1256"/>
      <c r="D101" s="927">
        <f>'12.2.Нови дейности или обекти'!C27+'12.2.Нови дейности или обекти'!H27+'12.2.Нови дейности или обекти'!M27+'12.2.Нови дейности или обекти'!R27+'12.2.Нови дейности или обекти'!W27+'12.2.Нови дейности или обекти'!C50+'12.2.Нови дейности или обекти'!H50+'12.2.Нови дейности или обекти'!M50+'12.2.Нови дейности или обекти'!R50+'12.2.Нови дейности или обекти'!W50</f>
        <v>0</v>
      </c>
      <c r="E101" s="1243">
        <f>D29-D101</f>
        <v>0.77700000000004366</v>
      </c>
      <c r="F101" s="1243">
        <f>'12.2.Нови дейности или обекти'!D23+'12.2.Нови дейности или обекти'!I23+'12.2.Нови дейности или обекти'!N23+'12.2.Нови дейности или обекти'!S23+'12.2.Нови дейности или обекти'!X23++'12.2.Нови дейности или обекти'!D46+'12.2.Нови дейности или обекти'!I46+'12.2.Нови дейности или обекти'!N46+'12.2.Нови дейности или обекти'!S46+'12.2.Нови дейности или обекти'!X46</f>
        <v>0</v>
      </c>
      <c r="G101" s="1243">
        <f>F29-F101</f>
        <v>0.77700000000004366</v>
      </c>
      <c r="H101" s="1243">
        <f>'12.2.Нови дейности или обекти'!E23+'12.2.Нови дейности или обекти'!J23+'12.2.Нови дейности или обекти'!O23+'12.2.Нови дейности или обекти'!T23+'12.2.Нови дейности или обекти'!Y23+'12.2.Нови дейности или обекти'!E46+'12.2.Нови дейности или обекти'!J46+'12.2.Нови дейности или обекти'!O46+'12.2.Нови дейности или обекти'!T46+'12.2.Нови дейности или обекти'!Y46</f>
        <v>0</v>
      </c>
      <c r="I101" s="1243">
        <f>H29-H101</f>
        <v>0.77700000000004366</v>
      </c>
      <c r="J101" s="1243">
        <f>'12.2.Нови дейности или обекти'!F23+'12.2.Нови дейности или обекти'!K23+'12.2.Нови дейности или обекти'!P23+'12.2.Нови дейности или обекти'!U23+'12.2.Нови дейности или обекти'!Z23+'12.2.Нови дейности или обекти'!F46+'12.2.Нови дейности или обекти'!K46+'12.2.Нови дейности или обекти'!P46+'12.2.Нови дейности или обекти'!U46+'12.2.Нови дейности или обекти'!Z46</f>
        <v>0</v>
      </c>
      <c r="K101" s="1243">
        <f>J29-J101</f>
        <v>0.77700000000004366</v>
      </c>
      <c r="L101" s="1243">
        <f>'12.2.Нови дейности или обекти'!G23+'12.2.Нови дейности или обекти'!L23+'12.2.Нови дейности или обекти'!Q23+'12.2.Нови дейности или обекти'!V23+'12.2.Нови дейности или обекти'!AA23+'12.2.Нови дейности или обекти'!G46+'12.2.Нови дейности или обекти'!L46+'12.2.Нови дейности или обекти'!Q46+'12.2.Нови дейности или обекти'!V46+'12.2.Нови дейности или обекти'!AA46</f>
        <v>0</v>
      </c>
      <c r="M101" s="1248">
        <f>L29-L101</f>
        <v>0.77700000000004366</v>
      </c>
      <c r="N101" s="1256"/>
      <c r="O101" s="1247">
        <f>'12.2.Нови дейности или обекти'!C74+'12.2.Нови дейности или обекти'!H74+'12.2.Нови дейности или обекти'!M74+'12.2.Нови дейности или обекти'!R74+'12.2.Нови дейности или обекти'!W74+'12.2.Нови дейности или обекти'!C97+'12.2.Нови дейности или обекти'!H97+'12.2.Нови дейности или обекти'!M97+'12.2.Нови дейности или обекти'!R97+'12.2.Нови дейности или обекти'!W97</f>
        <v>0</v>
      </c>
      <c r="P101" s="1243">
        <f>O29-O101</f>
        <v>0</v>
      </c>
      <c r="Q101" s="1243">
        <f>'12.2.Нови дейности или обекти'!D74+'12.2.Нови дейности или обекти'!I74+'12.2.Нови дейности или обекти'!N74+'12.2.Нови дейности или обекти'!S74+'12.2.Нови дейности или обекти'!X74+'12.2.Нови дейности или обекти'!D97+'12.2.Нови дейности или обекти'!I97+'12.2.Нови дейности или обекти'!N97+'12.2.Нови дейности или обекти'!S97+'12.2.Нови дейности или обекти'!X97</f>
        <v>0</v>
      </c>
      <c r="R101" s="1243">
        <f>Q29-Q101</f>
        <v>0</v>
      </c>
      <c r="S101" s="1243">
        <f>'12.2.Нови дейности или обекти'!E74+'12.2.Нови дейности или обекти'!J74+'12.2.Нови дейности или обекти'!O74+'12.2.Нови дейности или обекти'!T74+'12.2.Нови дейности или обекти'!Y74+'12.2.Нови дейности или обекти'!E97+'12.2.Нови дейности или обекти'!J97+'12.2.Нови дейности или обекти'!O97+'12.2.Нови дейности или обекти'!T97+'12.2.Нови дейности или обекти'!Y97</f>
        <v>0</v>
      </c>
      <c r="T101" s="1243">
        <f>S29-S101</f>
        <v>0</v>
      </c>
      <c r="U101" s="1243">
        <f>'12.2.Нови дейности или обекти'!F74+'12.2.Нови дейности или обекти'!K74+'12.2.Нови дейности или обекти'!P74+'12.2.Нови дейности или обекти'!U74+'12.2.Нови дейности или обекти'!Z74+'12.2.Нови дейности или обекти'!F97+'12.2.Нови дейности или обекти'!K97+'12.2.Нови дейности или обекти'!P97+'12.2.Нови дейности или обекти'!U97+'12.2.Нови дейности или обекти'!Z97</f>
        <v>0</v>
      </c>
      <c r="V101" s="1243">
        <f>U29-U101</f>
        <v>0</v>
      </c>
      <c r="W101" s="1243">
        <f>'12.2.Нови дейности или обекти'!G74+'12.2.Нови дейности или обекти'!L74+'12.2.Нови дейности или обекти'!Q74+'12.2.Нови дейности или обекти'!V74+'12.2.Нови дейности или обекти'!AA74+'12.2.Нови дейности или обекти'!G97+'12.2.Нови дейности или обекти'!L97+'12.2.Нови дейности или обекти'!Q97+'12.2.Нови дейности или обекти'!V97+'12.2.Нови дейности или обекти'!AA97</f>
        <v>0</v>
      </c>
      <c r="X101" s="1248">
        <f>W29-W101</f>
        <v>0</v>
      </c>
      <c r="Y101" s="1256"/>
      <c r="Z101" s="1247">
        <f>'12.2.Нови дейности или обекти'!C121+'12.2.Нови дейности или обекти'!H121+'12.2.Нови дейности или обекти'!M121+'12.2.Нови дейности или обекти'!R121+'12.2.Нови дейности или обекти'!W121+'12.2.Нови дейности или обекти'!C144+'12.2.Нови дейности или обекти'!H144+'12.2.Нови дейности или обекти'!M144+'12.2.Нови дейности или обекти'!R144+'12.2.Нови дейности или обекти'!W144</f>
        <v>0</v>
      </c>
      <c r="AA101" s="1243">
        <f>Z29-Z101</f>
        <v>61</v>
      </c>
      <c r="AB101" s="1243">
        <f>'12.2.Нови дейности или обекти'!D121+'12.2.Нови дейности или обекти'!I121+'12.2.Нови дейности или обекти'!N121+'12.2.Нови дейности или обекти'!S121+'12.2.Нови дейности или обекти'!X121+'12.2.Нови дейности или обекти'!D144+'12.2.Нови дейности или обекти'!I144+'12.2.Нови дейности или обекти'!N144+'12.2.Нови дейности или обекти'!S144+'12.2.Нови дейности или обекти'!X144</f>
        <v>0</v>
      </c>
      <c r="AC101" s="1243">
        <f>AB29-AB101</f>
        <v>61</v>
      </c>
      <c r="AD101" s="1243">
        <f>'12.2.Нови дейности или обекти'!E121+'12.2.Нови дейности или обекти'!J121+'12.2.Нови дейности или обекти'!O121+'12.2.Нови дейности или обекти'!T121+'12.2.Нови дейности или обекти'!Y121+'12.2.Нови дейности или обекти'!E144+'12.2.Нови дейности или обекти'!J144+'12.2.Нови дейности или обекти'!O144+'12.2.Нови дейности или обекти'!T144+'12.2.Нови дейности или обекти'!Y144</f>
        <v>0</v>
      </c>
      <c r="AE101" s="1243">
        <f>AD29-AD101</f>
        <v>61</v>
      </c>
      <c r="AF101" s="1243">
        <f>'12.2.Нови дейности или обекти'!F121+'12.2.Нови дейности или обекти'!K121+'12.2.Нови дейности или обекти'!P121+'12.2.Нови дейности или обекти'!U121+'12.2.Нови дейности или обекти'!Z121+'12.2.Нови дейности или обекти'!F144+'12.2.Нови дейности или обекти'!K144+'12.2.Нови дейности или обекти'!P144+'12.2.Нови дейности или обекти'!U144+'12.2.Нови дейности или обекти'!Z144</f>
        <v>0</v>
      </c>
      <c r="AG101" s="1243">
        <f>AF29-AF101</f>
        <v>61</v>
      </c>
      <c r="AH101" s="1243">
        <f>'12.2.Нови дейности или обекти'!G121+'12.2.Нови дейности или обекти'!L121+'12.2.Нови дейности или обекти'!Q121+'12.2.Нови дейности или обекти'!V121+'12.2.Нови дейности или обекти'!AA121+'12.2.Нови дейности или обекти'!G144+'12.2.Нови дейности или обекти'!L144+'12.2.Нови дейности или обекти'!Q144+'12.2.Нови дейности или обекти'!V144+'12.2.Нови дейности или обекти'!AA144</f>
        <v>0</v>
      </c>
      <c r="AI101" s="1248">
        <f>AH29-AH101</f>
        <v>61</v>
      </c>
      <c r="AJ101" s="2765"/>
      <c r="AK101" s="2765"/>
      <c r="AL101" s="2765"/>
      <c r="AM101" s="1195"/>
      <c r="AN101" s="1194"/>
      <c r="AO101" s="3196"/>
      <c r="AP101" s="3196"/>
      <c r="AQ101" s="3316"/>
      <c r="AR101" s="3319"/>
      <c r="AS101" s="3320"/>
      <c r="AT101" s="2772"/>
      <c r="AU101" s="1194"/>
      <c r="AV101" s="1195"/>
      <c r="AW101" s="1194"/>
      <c r="AX101" s="1195"/>
      <c r="AY101" s="1194"/>
      <c r="AZ101" s="1195"/>
      <c r="BA101" s="1194"/>
      <c r="BB101" s="1195"/>
      <c r="BC101" s="1194"/>
      <c r="BD101" s="1195"/>
      <c r="BE101" s="1194"/>
      <c r="BF101" s="4775"/>
      <c r="BH101" s="4794">
        <f t="shared" si="61"/>
        <v>0</v>
      </c>
      <c r="BI101" s="4794">
        <f t="shared" si="62"/>
        <v>0</v>
      </c>
      <c r="BJ101" s="4794">
        <f t="shared" si="63"/>
        <v>0</v>
      </c>
      <c r="BK101" s="4794">
        <f t="shared" si="64"/>
        <v>0</v>
      </c>
      <c r="BL101" s="4794">
        <f t="shared" si="65"/>
        <v>0</v>
      </c>
      <c r="BN101" s="4794">
        <f t="shared" si="66"/>
        <v>0</v>
      </c>
      <c r="BO101" s="4794">
        <f t="shared" si="67"/>
        <v>0</v>
      </c>
      <c r="BP101" s="4794">
        <f t="shared" si="68"/>
        <v>0</v>
      </c>
      <c r="BQ101" s="4794">
        <f t="shared" si="69"/>
        <v>0</v>
      </c>
      <c r="BR101" s="4794">
        <f t="shared" si="70"/>
        <v>0</v>
      </c>
      <c r="BT101" s="4794">
        <f t="shared" si="71"/>
        <v>0</v>
      </c>
      <c r="BU101" s="4794">
        <f t="shared" si="72"/>
        <v>0</v>
      </c>
      <c r="BV101" s="4794">
        <f t="shared" si="73"/>
        <v>0</v>
      </c>
      <c r="BW101" s="4794">
        <f t="shared" si="74"/>
        <v>0</v>
      </c>
      <c r="BX101" s="4794">
        <f t="shared" si="75"/>
        <v>0</v>
      </c>
    </row>
    <row r="102" spans="1:76" s="48" customFormat="1">
      <c r="A102" s="5484"/>
      <c r="B102" s="1253" t="s">
        <v>448</v>
      </c>
      <c r="C102" s="1256"/>
      <c r="D102" s="927">
        <f>'12.2.Нови дейности или обекти'!C28+'12.2.Нови дейности или обекти'!H28+'12.2.Нови дейности или обекти'!M28+'12.2.Нови дейности или обекти'!R28+'12.2.Нови дейности или обекти'!W28+'12.2.Нови дейности или обекти'!C51+'12.2.Нови дейности или обекти'!H51+'12.2.Нови дейности или обекти'!M51+'12.2.Нови дейности или обекти'!R51+'12.2.Нови дейности или обекти'!W51</f>
        <v>0</v>
      </c>
      <c r="E102" s="1243">
        <f>D59-D102</f>
        <v>3263</v>
      </c>
      <c r="F102" s="1243">
        <f>'12.2.Нови дейности или обекти'!D24+'12.2.Нови дейности или обекти'!I24+'12.2.Нови дейности или обекти'!N24+'12.2.Нови дейности или обекти'!S24+'12.2.Нови дейности или обекти'!X24++'12.2.Нови дейности или обекти'!D47+'12.2.Нови дейности или обекти'!I47+'12.2.Нови дейности или обекти'!N47+'12.2.Нови дейности или обекти'!S47+'12.2.Нови дейности или обекти'!X47</f>
        <v>0</v>
      </c>
      <c r="G102" s="1243">
        <f>F59-F102</f>
        <v>4586</v>
      </c>
      <c r="H102" s="1243">
        <f>'12.2.Нови дейности или обекти'!E24+'12.2.Нови дейности или обекти'!J24+'12.2.Нови дейности или обекти'!O24+'12.2.Нови дейности или обекти'!T24+'12.2.Нови дейности или обекти'!Y24+'12.2.Нови дейности или обекти'!E47+'12.2.Нови дейности или обекти'!J47+'12.2.Нови дейности или обекти'!O47+'12.2.Нови дейности или обекти'!T47+'12.2.Нови дейности или обекти'!Y47</f>
        <v>0</v>
      </c>
      <c r="I102" s="1243">
        <f>H59-H102</f>
        <v>6201</v>
      </c>
      <c r="J102" s="1243">
        <f>'12.2.Нови дейности или обекти'!F24+'12.2.Нови дейности или обекти'!K24+'12.2.Нови дейности или обекти'!P24+'12.2.Нови дейности или обекти'!U24+'12.2.Нови дейности или обекти'!Z24+'12.2.Нови дейности или обекти'!F47+'12.2.Нови дейности или обекти'!K47+'12.2.Нови дейности или обекти'!P47+'12.2.Нови дейности или обекти'!U47+'12.2.Нови дейности или обекти'!Z47</f>
        <v>0</v>
      </c>
      <c r="K102" s="1243">
        <f>J59-J102</f>
        <v>7806</v>
      </c>
      <c r="L102" s="1243">
        <f>'12.2.Нови дейности или обекти'!G24+'12.2.Нови дейности или обекти'!L24+'12.2.Нови дейности или обекти'!Q24+'12.2.Нови дейности или обекти'!V24+'12.2.Нови дейности или обекти'!AA24+'12.2.Нови дейности или обекти'!G47+'12.2.Нови дейности или обекти'!L47+'12.2.Нови дейности или обекти'!Q47+'12.2.Нови дейности или обекти'!V47+'12.2.Нови дейности или обекти'!AA47</f>
        <v>0</v>
      </c>
      <c r="M102" s="1248">
        <f>L59-L102</f>
        <v>9636</v>
      </c>
      <c r="N102" s="1256"/>
      <c r="O102" s="1247">
        <f>'12.2.Нови дейности или обекти'!C75+'12.2.Нови дейности или обекти'!H75+'12.2.Нови дейности или обекти'!M75+'12.2.Нови дейности или обекти'!R75+'12.2.Нови дейности или обекти'!W75+'12.2.Нови дейности или обекти'!C98+'12.2.Нови дейности или обекти'!H98+'12.2.Нови дейности или обекти'!M98+'12.2.Нови дейности или обекти'!R98+'12.2.Нови дейности или обекти'!W98</f>
        <v>0</v>
      </c>
      <c r="P102" s="1243">
        <f>O59-O102</f>
        <v>722</v>
      </c>
      <c r="Q102" s="1243">
        <f>'12.2.Нови дейности или обекти'!D75+'12.2.Нови дейности или обекти'!I75+'12.2.Нови дейности или обекти'!N75+'12.2.Нови дейности или обекти'!S75+'12.2.Нови дейности или обекти'!X75+'12.2.Нови дейности или обекти'!D98+'12.2.Нови дейности или обекти'!I98+'12.2.Нови дейности или обекти'!N98+'12.2.Нови дейности или обекти'!S98+'12.2.Нови дейности или обекти'!X98</f>
        <v>0</v>
      </c>
      <c r="R102" s="1243">
        <f>Q59-Q102</f>
        <v>1097</v>
      </c>
      <c r="S102" s="1243">
        <f>'12.2.Нови дейности или обекти'!E75+'12.2.Нови дейности или обекти'!J75+'12.2.Нови дейности или обекти'!O75+'12.2.Нови дейности или обекти'!T75+'12.2.Нови дейности или обекти'!Y75+'12.2.Нови дейности или обекти'!E98+'12.2.Нови дейности или обекти'!J98+'12.2.Нови дейности или обекти'!O98+'12.2.Нови дейности или обекти'!T98+'12.2.Нови дейности или обекти'!Y98</f>
        <v>0</v>
      </c>
      <c r="T102" s="1243">
        <f>S59-S102</f>
        <v>1419</v>
      </c>
      <c r="U102" s="1243">
        <f>'12.2.Нови дейности или обекти'!F75+'12.2.Нови дейности или обекти'!K75+'12.2.Нови дейности или обекти'!P75+'12.2.Нови дейности или обекти'!U75+'12.2.Нови дейности или обекти'!Z75+'12.2.Нови дейности или обекти'!F98+'12.2.Нови дейности или обекти'!K98+'12.2.Нови дейности или обекти'!P98+'12.2.Нови дейности или обекти'!U98+'12.2.Нови дейности или обекти'!Z98</f>
        <v>0</v>
      </c>
      <c r="V102" s="1243">
        <f>U59-U102</f>
        <v>1866</v>
      </c>
      <c r="W102" s="1243">
        <f>'12.2.Нови дейности или обекти'!G75+'12.2.Нови дейности или обекти'!L75+'12.2.Нови дейности или обекти'!Q75+'12.2.Нови дейности или обекти'!V75+'12.2.Нови дейности или обекти'!AA75+'12.2.Нови дейности или обекти'!G98+'12.2.Нови дейности или обекти'!L98+'12.2.Нови дейности или обекти'!Q98+'12.2.Нови дейности или обекти'!V98+'12.2.Нови дейности или обекти'!AA98</f>
        <v>0</v>
      </c>
      <c r="X102" s="1248">
        <f>W59-W102</f>
        <v>2385</v>
      </c>
      <c r="Y102" s="1256"/>
      <c r="Z102" s="1247">
        <f>'12.2.Нови дейности или обекти'!C122+'12.2.Нови дейности или обекти'!H122+'12.2.Нови дейности или обекти'!M122+'12.2.Нови дейности или обекти'!R122+'12.2.Нови дейности или обекти'!W122+'12.2.Нови дейности или обекти'!C145+'12.2.Нови дейности или обекти'!H145+'12.2.Нови дейности или обекти'!M145+'12.2.Нови дейности или обекти'!R145+'12.2.Нови дейности или обекти'!W145</f>
        <v>0</v>
      </c>
      <c r="AA102" s="1243">
        <f>Z59-Z102</f>
        <v>673</v>
      </c>
      <c r="AB102" s="1243">
        <f>'12.2.Нови дейности или обекти'!D122+'12.2.Нови дейности или обекти'!I122+'12.2.Нови дейности или обекти'!N122+'12.2.Нови дейности или обекти'!S122+'12.2.Нови дейности или обекти'!X122+'12.2.Нови дейности или обекти'!D145+'12.2.Нови дейности или обекти'!I145+'12.2.Нови дейности или обекти'!N145+'12.2.Нови дейности или обекти'!S145+'12.2.Нови дейности или обекти'!X145</f>
        <v>0</v>
      </c>
      <c r="AC102" s="1243">
        <f>AB59-AB102</f>
        <v>898</v>
      </c>
      <c r="AD102" s="1243">
        <f>'12.2.Нови дейности или обекти'!E122+'12.2.Нови дейности или обекти'!J122+'12.2.Нови дейности или обекти'!O122+'12.2.Нови дейности или обекти'!T122+'12.2.Нови дейности или обекти'!Y122+'12.2.Нови дейности или обекти'!E145+'12.2.Нови дейности или обекти'!J145+'12.2.Нови дейности или обекти'!O145+'12.2.Нови дейности или обекти'!T145+'12.2.Нови дейности или обекти'!Y145</f>
        <v>0</v>
      </c>
      <c r="AE102" s="1243">
        <f>AD59-AD102</f>
        <v>1242</v>
      </c>
      <c r="AF102" s="1243">
        <f>'12.2.Нови дейности или обекти'!F122+'12.2.Нови дейности или обекти'!K122+'12.2.Нови дейности или обекти'!P122+'12.2.Нови дейности или обекти'!U122+'12.2.Нови дейности или обекти'!Z122+'12.2.Нови дейности или обекти'!F145+'12.2.Нови дейности или обекти'!K145+'12.2.Нови дейности или обекти'!P145+'12.2.Нови дейности или обекти'!U145+'12.2.Нови дейности или обекти'!Z145</f>
        <v>0</v>
      </c>
      <c r="AG102" s="1243">
        <f>AF59-AF102</f>
        <v>1636</v>
      </c>
      <c r="AH102" s="1243">
        <f>'12.2.Нови дейности или обекти'!G122+'12.2.Нови дейности или обекти'!L122+'12.2.Нови дейности или обекти'!Q122+'12.2.Нови дейности или обекти'!V122+'12.2.Нови дейности или обекти'!AA122+'12.2.Нови дейности или обекти'!G145+'12.2.Нови дейности или обекти'!L145+'12.2.Нови дейности или обекти'!Q145+'12.2.Нови дейности или обекти'!V145+'12.2.Нови дейности или обекти'!AA145</f>
        <v>0</v>
      </c>
      <c r="AI102" s="1248">
        <f>AH59-AH102</f>
        <v>2092</v>
      </c>
      <c r="AJ102" s="2765"/>
      <c r="AK102" s="2765"/>
      <c r="AL102" s="2765"/>
      <c r="AM102" s="1195"/>
      <c r="AN102" s="1194"/>
      <c r="AO102" s="3196"/>
      <c r="AP102" s="3196"/>
      <c r="AQ102" s="3316"/>
      <c r="AR102" s="3317"/>
      <c r="AS102" s="3320"/>
      <c r="AT102" s="2772"/>
      <c r="AU102" s="1194"/>
      <c r="AV102" s="1195"/>
      <c r="AW102" s="1194"/>
      <c r="AX102" s="1195"/>
      <c r="AY102" s="1194"/>
      <c r="AZ102" s="1195"/>
      <c r="BA102" s="1194"/>
      <c r="BB102" s="1195"/>
      <c r="BC102" s="1194"/>
      <c r="BD102" s="1195"/>
      <c r="BE102" s="1194"/>
      <c r="BF102" s="4775"/>
      <c r="BH102" s="4794">
        <f t="shared" si="61"/>
        <v>0</v>
      </c>
      <c r="BI102" s="4794">
        <f t="shared" si="62"/>
        <v>0</v>
      </c>
      <c r="BJ102" s="4794">
        <f t="shared" si="63"/>
        <v>0</v>
      </c>
      <c r="BK102" s="4794">
        <f t="shared" si="64"/>
        <v>0</v>
      </c>
      <c r="BL102" s="4794">
        <f t="shared" si="65"/>
        <v>0</v>
      </c>
      <c r="BN102" s="4794">
        <f t="shared" si="66"/>
        <v>0</v>
      </c>
      <c r="BO102" s="4794">
        <f t="shared" si="67"/>
        <v>0</v>
      </c>
      <c r="BP102" s="4794">
        <f t="shared" si="68"/>
        <v>0</v>
      </c>
      <c r="BQ102" s="4794">
        <f t="shared" si="69"/>
        <v>0</v>
      </c>
      <c r="BR102" s="4794">
        <f t="shared" si="70"/>
        <v>0</v>
      </c>
      <c r="BT102" s="4794">
        <f t="shared" si="71"/>
        <v>0</v>
      </c>
      <c r="BU102" s="4794">
        <f t="shared" si="72"/>
        <v>0</v>
      </c>
      <c r="BV102" s="4794">
        <f t="shared" si="73"/>
        <v>0</v>
      </c>
      <c r="BW102" s="4794">
        <f t="shared" si="74"/>
        <v>0</v>
      </c>
      <c r="BX102" s="4794">
        <f t="shared" si="75"/>
        <v>0</v>
      </c>
    </row>
    <row r="103" spans="1:76" s="48" customFormat="1">
      <c r="A103" s="5484"/>
      <c r="B103" s="1253" t="s">
        <v>449</v>
      </c>
      <c r="C103" s="1256"/>
      <c r="D103" s="927">
        <f>'12.2.Нови дейности или обекти'!C29+'12.2.Нови дейности или обекти'!H29+'12.2.Нови дейности или обекти'!M29+'12.2.Нови дейности или обекти'!R29+'12.2.Нови дейности или обекти'!W29+'12.2.Нови дейности или обекти'!C52+'12.2.Нови дейности или обекти'!H52+'12.2.Нови дейности или обекти'!M52+'12.2.Нови дейности или обекти'!R52+'12.2.Нови дейности или обекти'!W52</f>
        <v>0</v>
      </c>
      <c r="E103" s="1243">
        <f>D63-D103</f>
        <v>1081</v>
      </c>
      <c r="F103" s="1243">
        <f>'12.2.Нови дейности или обекти'!D25+'12.2.Нови дейности или обекти'!I25+'12.2.Нови дейности или обекти'!N25+'12.2.Нови дейности или обекти'!S25+'12.2.Нови дейности или обекти'!X25++'12.2.Нови дейности или обекти'!D48+'12.2.Нови дейности или обекти'!I48+'12.2.Нови дейности или обекти'!N48+'12.2.Нови дейности или обекти'!S48+'12.2.Нови дейности или обекти'!X48</f>
        <v>0</v>
      </c>
      <c r="G103" s="1243">
        <f>F63-F103</f>
        <v>1614</v>
      </c>
      <c r="H103" s="1243">
        <f>'12.2.Нови дейности или обекти'!E25+'12.2.Нови дейности или обекти'!J25+'12.2.Нови дейности или обекти'!O25+'12.2.Нови дейности или обекти'!T25+'12.2.Нови дейности или обекти'!Y25+'12.2.Нови дейности или обекти'!E48+'12.2.Нови дейности или обекти'!J48+'12.2.Нови дейности или обекти'!O48+'12.2.Нови дейности или обекти'!T48+'12.2.Нови дейности или обекти'!Y48</f>
        <v>0</v>
      </c>
      <c r="I103" s="1243">
        <f>H63-H103</f>
        <v>2228</v>
      </c>
      <c r="J103" s="1243">
        <f>'12.2.Нови дейности или обекти'!F25+'12.2.Нови дейности или обекти'!K25+'12.2.Нови дейности или обекти'!P25+'12.2.Нови дейности или обекти'!U25+'12.2.Нови дейности или обекти'!Z25+'12.2.Нови дейности или обекти'!F48+'12.2.Нови дейности или обекти'!K48+'12.2.Нови дейности или обекти'!P48+'12.2.Нови дейности или обекти'!U48+'12.2.Нови дейности или обекти'!Z48</f>
        <v>0</v>
      </c>
      <c r="K103" s="1243">
        <f>J63-J103</f>
        <v>2934</v>
      </c>
      <c r="L103" s="1243">
        <f>'12.2.Нови дейности или обекти'!G25+'12.2.Нови дейности или обекти'!L25+'12.2.Нови дейности или обекти'!Q25+'12.2.Нови дейности или обекти'!V25+'12.2.Нови дейности или обекти'!AA25+'12.2.Нови дейности или обекти'!G48+'12.2.Нови дейности или обекти'!L48+'12.2.Нови дейности или обекти'!Q48+'12.2.Нови дейности или обекти'!V48+'12.2.Нови дейности или обекти'!AA48</f>
        <v>0</v>
      </c>
      <c r="M103" s="1248">
        <f>L63-L103</f>
        <v>3745</v>
      </c>
      <c r="N103" s="1256"/>
      <c r="O103" s="1247">
        <f>'12.2.Нови дейности или обекти'!C76+'12.2.Нови дейности или обекти'!H76+'12.2.Нови дейности или обекти'!M76+'12.2.Нови дейности или обекти'!R76+'12.2.Нови дейности или обекти'!W76+'12.2.Нови дейности или обекти'!C99+'12.2.Нови дейности или обекти'!H99+'12.2.Нови дейности или обекти'!M99+'12.2.Нови дейности или обекти'!R99+'12.2.Нови дейности или обекти'!W99</f>
        <v>0</v>
      </c>
      <c r="P103" s="1243">
        <f>O63-O103</f>
        <v>285</v>
      </c>
      <c r="Q103" s="1243">
        <f>'12.2.Нови дейности или обекти'!D76+'12.2.Нови дейности или обекти'!I76+'12.2.Нови дейности или обекти'!N76+'12.2.Нови дейности или обекти'!S76+'12.2.Нови дейности или обекти'!X76+'12.2.Нови дейности или обекти'!D99+'12.2.Нови дейности или обекти'!I99+'12.2.Нови дейности или обекти'!N99+'12.2.Нови дейности или обекти'!S99+'12.2.Нови дейности или обекти'!X99</f>
        <v>0</v>
      </c>
      <c r="R103" s="1243">
        <f>Q63-Q103</f>
        <v>423</v>
      </c>
      <c r="S103" s="1243">
        <f>'12.2.Нови дейности или обекти'!E76+'12.2.Нови дейности или обекти'!J76+'12.2.Нови дейности или обекти'!O76+'12.2.Нови дейности или обекти'!T76+'12.2.Нови дейности или обекти'!Y76+'12.2.Нови дейности или обекти'!E99+'12.2.Нови дейности или обекти'!J99+'12.2.Нови дейности или обекти'!O99+'12.2.Нови дейности или обекти'!T99+'12.2.Нови дейности или обекти'!Y99</f>
        <v>0</v>
      </c>
      <c r="T103" s="1243">
        <f>S63-S103</f>
        <v>584</v>
      </c>
      <c r="U103" s="1243">
        <f>'12.2.Нови дейности или обекти'!F76+'12.2.Нови дейности или обекти'!K76+'12.2.Нови дейности или обекти'!P76+'12.2.Нови дейности или обекти'!U76+'12.2.Нови дейности или обекти'!Z76+'12.2.Нови дейности или обекти'!F99+'12.2.Нови дейности или обекти'!K99+'12.2.Нови дейности или обекти'!P99+'12.2.Нови дейности или обекти'!U99+'12.2.Нови дейности или обекти'!Z99</f>
        <v>0</v>
      </c>
      <c r="V103" s="1243">
        <f>U63-U103</f>
        <v>768</v>
      </c>
      <c r="W103" s="1243">
        <f>'12.2.Нови дейности или обекти'!G76+'12.2.Нови дейности или обекти'!L76+'12.2.Нови дейности или обекти'!Q76+'12.2.Нови дейности или обекти'!V76+'12.2.Нови дейности или обекти'!AA76+'12.2.Нови дейности или обекти'!G99+'12.2.Нови дейности или обекти'!L99+'12.2.Нови дейности или обекти'!Q99+'12.2.Нови дейности или обекти'!V99+'12.2.Нови дейности или обекти'!AA99</f>
        <v>0</v>
      </c>
      <c r="X103" s="1248">
        <f>W63-W103</f>
        <v>980</v>
      </c>
      <c r="Y103" s="1256"/>
      <c r="Z103" s="1247">
        <f>'12.2.Нови дейности или обекти'!C123+'12.2.Нови дейности или обекти'!H123+'12.2.Нови дейности или обекти'!M123+'12.2.Нови дейности или обекти'!R123+'12.2.Нови дейности или обекти'!W123+'12.2.Нови дейности или обекти'!C146+'12.2.Нови дейности или обекти'!H146+'12.2.Нови дейности или обекти'!M146+'12.2.Нови дейности или обекти'!R146+'12.2.Нови дейности или обекти'!W146</f>
        <v>0</v>
      </c>
      <c r="AA103" s="1243">
        <f>Z63-Z103</f>
        <v>248</v>
      </c>
      <c r="AB103" s="1243">
        <f>'12.2.Нови дейности или обекти'!D123+'12.2.Нови дейности или обекти'!I123+'12.2.Нови дейности или обекти'!N123+'12.2.Нови дейности или обекти'!S123+'12.2.Нови дейности или обекти'!X123+'12.2.Нови дейности или обекти'!D146+'12.2.Нови дейности или обекти'!I146+'12.2.Нови дейности или обекти'!N146+'12.2.Нови дейности или обекти'!S146+'12.2.Нови дейности или обекти'!X146</f>
        <v>0</v>
      </c>
      <c r="AC103" s="1243">
        <f>AB63-AB103</f>
        <v>368</v>
      </c>
      <c r="AD103" s="1243">
        <f>'12.2.Нови дейности или обекти'!E123+'12.2.Нови дейности или обекти'!J123+'12.2.Нови дейности или обекти'!O123+'12.2.Нови дейности или обекти'!T123+'12.2.Нови дейности или обекти'!Y123+'12.2.Нови дейности или обекти'!E146+'12.2.Нови дейности или обекти'!J146+'12.2.Нови дейности или обекти'!O146+'12.2.Нови дейности или обекти'!T146+'12.2.Нови дейности или обекти'!Y146</f>
        <v>0</v>
      </c>
      <c r="AE103" s="1243">
        <f>AD63-AD103</f>
        <v>505</v>
      </c>
      <c r="AF103" s="1243">
        <f>'12.2.Нови дейности или обекти'!F123+'12.2.Нови дейности или обекти'!K123+'12.2.Нови дейности или обекти'!P123+'12.2.Нови дейности или обекти'!U123+'12.2.Нови дейности или обекти'!Z123+'12.2.Нови дейности или обекти'!F146+'12.2.Нови дейности или обекти'!K146+'12.2.Нови дейности или обекти'!P146+'12.2.Нови дейности или обекти'!U146+'12.2.Нови дейности или обекти'!Z146</f>
        <v>0</v>
      </c>
      <c r="AG103" s="1243">
        <f>AF63-AF103</f>
        <v>663</v>
      </c>
      <c r="AH103" s="1243">
        <f>'12.2.Нови дейности или обекти'!G123+'12.2.Нови дейности или обекти'!L123+'12.2.Нови дейности или обекти'!Q123+'12.2.Нови дейности или обекти'!V123+'12.2.Нови дейности или обекти'!AA123+'12.2.Нови дейности или обекти'!G146+'12.2.Нови дейности или обекти'!L146+'12.2.Нови дейности или обекти'!Q146+'12.2.Нови дейности или обекти'!V146+'12.2.Нови дейности или обекти'!AA146</f>
        <v>0</v>
      </c>
      <c r="AI103" s="1248">
        <f>AH63-AH103</f>
        <v>844</v>
      </c>
      <c r="AJ103" s="2765"/>
      <c r="AK103" s="2765"/>
      <c r="AL103" s="2765"/>
      <c r="AM103" s="1195"/>
      <c r="AN103" s="1194"/>
      <c r="AO103" s="1195"/>
      <c r="AP103" s="1194"/>
      <c r="AQ103" s="1195"/>
      <c r="AR103" s="1194"/>
      <c r="AS103" s="1195"/>
      <c r="AT103" s="1194"/>
      <c r="AU103" s="1194"/>
      <c r="AV103" s="1195"/>
      <c r="AW103" s="1194"/>
      <c r="AX103" s="1195"/>
      <c r="AY103" s="1194"/>
      <c r="AZ103" s="1195"/>
      <c r="BA103" s="1194"/>
      <c r="BB103" s="1195"/>
      <c r="BC103" s="1194"/>
      <c r="BD103" s="1195"/>
      <c r="BE103" s="1194"/>
      <c r="BF103" s="4775"/>
      <c r="BH103" s="4794">
        <f t="shared" si="61"/>
        <v>0</v>
      </c>
      <c r="BI103" s="4794">
        <f t="shared" si="62"/>
        <v>0</v>
      </c>
      <c r="BJ103" s="4794">
        <f t="shared" si="63"/>
        <v>0</v>
      </c>
      <c r="BK103" s="4794">
        <f t="shared" si="64"/>
        <v>0</v>
      </c>
      <c r="BL103" s="4794">
        <f t="shared" si="65"/>
        <v>0</v>
      </c>
      <c r="BN103" s="4794">
        <f t="shared" si="66"/>
        <v>0</v>
      </c>
      <c r="BO103" s="4794">
        <f t="shared" si="67"/>
        <v>0</v>
      </c>
      <c r="BP103" s="4794">
        <f t="shared" si="68"/>
        <v>0</v>
      </c>
      <c r="BQ103" s="4794">
        <f t="shared" si="69"/>
        <v>0</v>
      </c>
      <c r="BR103" s="4794">
        <f t="shared" si="70"/>
        <v>0</v>
      </c>
      <c r="BT103" s="4794">
        <f t="shared" si="71"/>
        <v>0</v>
      </c>
      <c r="BU103" s="4794">
        <f t="shared" si="72"/>
        <v>0</v>
      </c>
      <c r="BV103" s="4794">
        <f t="shared" si="73"/>
        <v>0</v>
      </c>
      <c r="BW103" s="4794">
        <f t="shared" si="74"/>
        <v>0</v>
      </c>
      <c r="BX103" s="4794">
        <f t="shared" si="75"/>
        <v>0</v>
      </c>
    </row>
    <row r="104" spans="1:76" s="48" customFormat="1">
      <c r="A104" s="5484"/>
      <c r="B104" s="1253" t="s">
        <v>450</v>
      </c>
      <c r="C104" s="1256"/>
      <c r="D104" s="927">
        <f>'12.2.Нови дейности или обекти'!C30+'12.2.Нови дейности или обекти'!H30+'12.2.Нови дейности или обекти'!M30+'12.2.Нови дейности или обекти'!R30+'12.2.Нови дейности или обекти'!W30+'12.2.Нови дейности или обекти'!C53+'12.2.Нови дейности или обекти'!H53+'12.2.Нови дейности или обекти'!M53+'12.2.Нови дейности или обекти'!R53+'12.2.Нови дейности или обекти'!W53</f>
        <v>0</v>
      </c>
      <c r="E104" s="1243">
        <f>D70-D104</f>
        <v>5.8000000000000114</v>
      </c>
      <c r="F104" s="1243">
        <f>'12.2.Нови дейности или обекти'!D26+'12.2.Нови дейности или обекти'!I26+'12.2.Нови дейности или обекти'!N26+'12.2.Нови дейности или обекти'!S26+'12.2.Нови дейности или обекти'!X26++'12.2.Нови дейности или обекти'!D49+'12.2.Нови дейности или обекти'!I49+'12.2.Нови дейности или обекти'!N49+'12.2.Нови дейности или обекти'!S49+'12.2.Нови дейности или обекти'!X49</f>
        <v>0</v>
      </c>
      <c r="G104" s="1243">
        <f>F70-F104</f>
        <v>-5.1999999999999886</v>
      </c>
      <c r="H104" s="1243">
        <f>'12.2.Нови дейности или обекти'!E26+'12.2.Нови дейности или обекти'!J26+'12.2.Нови дейности или обекти'!O26+'12.2.Нови дейности или обекти'!T26+'12.2.Нови дейности или обекти'!Y26+'12.2.Нови дейности или обекти'!E49+'12.2.Нови дейности или обекти'!J49+'12.2.Нови дейности или обекти'!O49+'12.2.Нови дейности или обекти'!T49+'12.2.Нови дейности или обекти'!Y49</f>
        <v>0</v>
      </c>
      <c r="I104" s="1243">
        <f>H70-H104</f>
        <v>-18.199999999999989</v>
      </c>
      <c r="J104" s="1243">
        <f>'12.2.Нови дейности или обекти'!F26+'12.2.Нови дейности или обекти'!K26+'12.2.Нови дейности или обекти'!P26+'12.2.Нови дейности или обекти'!U26+'12.2.Нови дейности или обекти'!Z26+'12.2.Нови дейности или обекти'!F49+'12.2.Нови дейности или обекти'!K49+'12.2.Нови дейности или обекти'!P49+'12.2.Нови дейности или обекти'!U49+'12.2.Нови дейности или обекти'!Z49</f>
        <v>0</v>
      </c>
      <c r="K104" s="1243">
        <f>J70-J104</f>
        <v>-30.199999999999989</v>
      </c>
      <c r="L104" s="1243">
        <f>'12.2.Нови дейности или обекти'!G26+'12.2.Нови дейности или обекти'!L26+'12.2.Нови дейности или обекти'!Q26+'12.2.Нови дейности или обекти'!V26+'12.2.Нови дейности или обекти'!AA26+'12.2.Нови дейности или обекти'!G49+'12.2.Нови дейности или обекти'!L49+'12.2.Нови дейности или обекти'!Q49+'12.2.Нови дейности или обекти'!V49+'12.2.Нови дейности или обекти'!AA49</f>
        <v>0</v>
      </c>
      <c r="M104" s="1248">
        <f>L70-L104</f>
        <v>-42.199999999999989</v>
      </c>
      <c r="N104" s="1256"/>
      <c r="O104" s="1247">
        <f>'12.2.Нови дейности или обекти'!C77+'12.2.Нови дейности или обекти'!H77+'12.2.Нови дейности или обекти'!M77+'12.2.Нови дейности или обекти'!R77+'12.2.Нови дейности или обекти'!W77+'12.2.Нови дейности или обекти'!C100+'12.2.Нови дейности или обекти'!H100+'12.2.Нови дейности или обекти'!M100+'12.2.Нови дейности или обекти'!R100+'12.2.Нови дейности или обекти'!W100</f>
        <v>0</v>
      </c>
      <c r="P104" s="1243">
        <f>O70-O104</f>
        <v>1</v>
      </c>
      <c r="Q104" s="1243">
        <f>'12.2.Нови дейности или обекти'!D77+'12.2.Нови дейности или обекти'!I77+'12.2.Нови дейности или обекти'!N77+'12.2.Нови дейности или обекти'!S77+'12.2.Нови дейности или обекти'!X77+'12.2.Нови дейности или обекти'!D100+'12.2.Нови дейности или обекти'!I100+'12.2.Нови дейности или обекти'!N100+'12.2.Нови дейности или обекти'!S100+'12.2.Нови дейности или обекти'!X100</f>
        <v>0</v>
      </c>
      <c r="R104" s="1243">
        <f>Q70-Q104</f>
        <v>1</v>
      </c>
      <c r="S104" s="1243">
        <f>'12.2.Нови дейности или обекти'!E77+'12.2.Нови дейности или обекти'!J77+'12.2.Нови дейности или обекти'!O77+'12.2.Нови дейности или обекти'!T77+'12.2.Нови дейности или обекти'!Y77+'12.2.Нови дейности или обекти'!E100+'12.2.Нови дейности или обекти'!J100+'12.2.Нови дейности или обекти'!O100+'12.2.Нови дейности или обекти'!T100+'12.2.Нови дейности или обекти'!Y100</f>
        <v>0</v>
      </c>
      <c r="T104" s="1243">
        <f>S70-S104</f>
        <v>0</v>
      </c>
      <c r="U104" s="1243">
        <f>'12.2.Нови дейности или обекти'!F77+'12.2.Нови дейности или обекти'!K77+'12.2.Нови дейности или обекти'!P77+'12.2.Нови дейности или обекти'!U77+'12.2.Нови дейности или обекти'!Z77+'12.2.Нови дейности или обекти'!F100+'12.2.Нови дейности или обекти'!K100+'12.2.Нови дейности или обекти'!P100+'12.2.Нови дейности или обекти'!U100+'12.2.Нови дейности или обекти'!Z100</f>
        <v>0</v>
      </c>
      <c r="V104" s="1243">
        <f>U70-U104</f>
        <v>-1</v>
      </c>
      <c r="W104" s="1243">
        <f>'12.2.Нови дейности или обекти'!G77+'12.2.Нови дейности или обекти'!L77+'12.2.Нови дейности или обекти'!Q77+'12.2.Нови дейности или обекти'!V77+'12.2.Нови дейности или обекти'!AA77+'12.2.Нови дейности или обекти'!G100+'12.2.Нови дейности или обекти'!L100+'12.2.Нови дейности или обекти'!Q100+'12.2.Нови дейности или обекти'!V100+'12.2.Нови дейности или обекти'!AA100</f>
        <v>0</v>
      </c>
      <c r="X104" s="1248">
        <f>W70-W104</f>
        <v>-1</v>
      </c>
      <c r="Y104" s="1256"/>
      <c r="Z104" s="1247">
        <f>'12.2.Нови дейности или обекти'!C124+'12.2.Нови дейности или обекти'!H124+'12.2.Нови дейности или обекти'!M124+'12.2.Нови дейности или обекти'!R124+'12.2.Нови дейности или обекти'!W124+'12.2.Нови дейности или обекти'!C147+'12.2.Нови дейности или обекти'!H147+'12.2.Нови дейности или обекти'!M147+'12.2.Нови дейности или обекти'!R147+'12.2.Нови дейности или обекти'!W147</f>
        <v>0</v>
      </c>
      <c r="AA104" s="1243">
        <f>Z70-Z104</f>
        <v>1</v>
      </c>
      <c r="AB104" s="1243">
        <f>'12.2.Нови дейности или обекти'!D124+'12.2.Нови дейности или обекти'!I124+'12.2.Нови дейности или обекти'!N124+'12.2.Нови дейности или обекти'!S124+'12.2.Нови дейности или обекти'!X124+'12.2.Нови дейности или обекти'!D147+'12.2.Нови дейности или обекти'!I147+'12.2.Нови дейности или обекти'!N147+'12.2.Нови дейности или обекти'!S147+'12.2.Нови дейности или обекти'!X147</f>
        <v>0</v>
      </c>
      <c r="AC104" s="1243">
        <f>AB70-AB104</f>
        <v>1</v>
      </c>
      <c r="AD104" s="1243">
        <f>'12.2.Нови дейности или обекти'!E124+'12.2.Нови дейности или обекти'!J124+'12.2.Нови дейности или обекти'!O124+'12.2.Нови дейности или обекти'!T124+'12.2.Нови дейности или обекти'!Y124+'12.2.Нови дейности или обекти'!E147+'12.2.Нови дейности или обекти'!J147+'12.2.Нови дейности или обекти'!O147+'12.2.Нови дейности или обекти'!T147+'12.2.Нови дейности или обекти'!Y147</f>
        <v>0</v>
      </c>
      <c r="AE104" s="1243">
        <f>AD70-AD104</f>
        <v>0</v>
      </c>
      <c r="AF104" s="1243">
        <f>'12.2.Нови дейности или обекти'!F124+'12.2.Нови дейности или обекти'!K124+'12.2.Нови дейности или обекти'!P124+'12.2.Нови дейности или обекти'!U124+'12.2.Нови дейности или обекти'!Z124+'12.2.Нови дейности или обекти'!F147+'12.2.Нови дейности или обекти'!K147+'12.2.Нови дейности или обекти'!P147+'12.2.Нови дейности или обекти'!U147+'12.2.Нови дейности или обекти'!Z147</f>
        <v>0</v>
      </c>
      <c r="AG104" s="1243">
        <f>AF70-AF104</f>
        <v>-1</v>
      </c>
      <c r="AH104" s="1243">
        <f>'12.2.Нови дейности или обекти'!G124+'12.2.Нови дейности или обекти'!L124+'12.2.Нови дейности или обекти'!Q124+'12.2.Нови дейности или обекти'!V124+'12.2.Нови дейности или обекти'!AA124+'12.2.Нови дейности или обекти'!G147+'12.2.Нови дейности или обекти'!L147+'12.2.Нови дейности или обекти'!Q147+'12.2.Нови дейности или обекти'!V147+'12.2.Нови дейности или обекти'!AA147</f>
        <v>0</v>
      </c>
      <c r="AI104" s="1248">
        <f>AH70-AH104</f>
        <v>-1</v>
      </c>
      <c r="AJ104" s="2765"/>
      <c r="AK104" s="2765"/>
      <c r="AL104" s="2765"/>
      <c r="AM104" s="1195"/>
      <c r="AN104" s="1194"/>
      <c r="AO104" s="1195"/>
      <c r="AP104" s="1194"/>
      <c r="AQ104" s="1195"/>
      <c r="AR104" s="1194"/>
      <c r="AS104" s="1195"/>
      <c r="AT104" s="1194"/>
      <c r="AU104" s="1194"/>
      <c r="AV104" s="1195"/>
      <c r="AW104" s="1194"/>
      <c r="AX104" s="1195"/>
      <c r="AY104" s="1194"/>
      <c r="AZ104" s="1195"/>
      <c r="BA104" s="1194"/>
      <c r="BB104" s="1195"/>
      <c r="BC104" s="1194"/>
      <c r="BD104" s="1195"/>
      <c r="BE104" s="1194"/>
      <c r="BF104" s="4775"/>
      <c r="BH104" s="4794">
        <f t="shared" si="61"/>
        <v>0</v>
      </c>
      <c r="BI104" s="4794">
        <f t="shared" si="62"/>
        <v>0</v>
      </c>
      <c r="BJ104" s="4794">
        <f t="shared" si="63"/>
        <v>0</v>
      </c>
      <c r="BK104" s="4794">
        <f t="shared" si="64"/>
        <v>0</v>
      </c>
      <c r="BL104" s="4794">
        <f t="shared" si="65"/>
        <v>0</v>
      </c>
      <c r="BN104" s="4794">
        <f t="shared" si="66"/>
        <v>0</v>
      </c>
      <c r="BO104" s="4794">
        <f t="shared" si="67"/>
        <v>0</v>
      </c>
      <c r="BP104" s="4794">
        <f t="shared" si="68"/>
        <v>0</v>
      </c>
      <c r="BQ104" s="4794">
        <f t="shared" si="69"/>
        <v>0</v>
      </c>
      <c r="BR104" s="4794">
        <f t="shared" si="70"/>
        <v>0</v>
      </c>
      <c r="BT104" s="4794">
        <f t="shared" si="71"/>
        <v>0</v>
      </c>
      <c r="BU104" s="4794">
        <f t="shared" si="72"/>
        <v>0</v>
      </c>
      <c r="BV104" s="4794">
        <f t="shared" si="73"/>
        <v>0</v>
      </c>
      <c r="BW104" s="4794">
        <f t="shared" si="74"/>
        <v>0</v>
      </c>
      <c r="BX104" s="4794">
        <f t="shared" si="75"/>
        <v>0</v>
      </c>
    </row>
    <row r="105" spans="1:76" s="48" customFormat="1">
      <c r="A105" s="5484"/>
      <c r="B105" s="1253" t="s">
        <v>267</v>
      </c>
      <c r="C105" s="1256"/>
      <c r="D105" s="927">
        <f>'12.2.Нови дейности или обекти'!C31+'12.2.Нови дейности или обекти'!H31+'12.2.Нови дейности или обекти'!M31+'12.2.Нови дейности или обекти'!R31+'12.2.Нови дейности или обекти'!W31+'12.2.Нови дейности или обекти'!C54+'12.2.Нови дейности или обекти'!H54+'12.2.Нови дейности или обекти'!M54+'12.2.Нови дейности или обекти'!R54+'12.2.Нови дейности или обекти'!W54</f>
        <v>0</v>
      </c>
      <c r="E105" s="1243">
        <f>D76-D105</f>
        <v>-0.30000000000001137</v>
      </c>
      <c r="F105" s="1243">
        <f>'12.2.Нови дейности или обекти'!D27+'12.2.Нови дейности или обекти'!I27+'12.2.Нови дейности или обекти'!N27+'12.2.Нови дейности или обекти'!S27+'12.2.Нови дейности или обекти'!X27++'12.2.Нови дейности или обекти'!D50+'12.2.Нови дейности или обекти'!I50+'12.2.Нови дейности или обекти'!N50+'12.2.Нови дейности или обекти'!S50+'12.2.Нови дейности или обекти'!X50</f>
        <v>0</v>
      </c>
      <c r="G105" s="1243">
        <f>F76-F105</f>
        <v>-0.30000000000001137</v>
      </c>
      <c r="H105" s="1243">
        <f>'12.2.Нови дейности или обекти'!E27+'12.2.Нови дейности или обекти'!J27+'12.2.Нови дейности или обекти'!O27+'12.2.Нови дейности или обекти'!T27+'12.2.Нови дейности или обекти'!Y27+'12.2.Нови дейности или обекти'!E50+'12.2.Нови дейности или обекти'!J50+'12.2.Нови дейности или обекти'!O50+'12.2.Нови дейности или обекти'!T50+'12.2.Нови дейности или обекти'!Y50</f>
        <v>0</v>
      </c>
      <c r="I105" s="1243">
        <f>H76-H105</f>
        <v>-0.30000000000001137</v>
      </c>
      <c r="J105" s="1243">
        <f>'12.2.Нови дейности или обекти'!F27+'12.2.Нови дейности или обекти'!K27+'12.2.Нови дейности или обекти'!P27+'12.2.Нови дейности или обекти'!U27+'12.2.Нови дейности или обекти'!Z27+'12.2.Нови дейности или обекти'!F50+'12.2.Нови дейности или обекти'!K50+'12.2.Нови дейности или обекти'!P50+'12.2.Нови дейности или обекти'!U50+'12.2.Нови дейности или обекти'!Z50</f>
        <v>0</v>
      </c>
      <c r="K105" s="1243">
        <f>J76-J105</f>
        <v>-0.30000000000001137</v>
      </c>
      <c r="L105" s="1243">
        <f>'12.2.Нови дейности или обекти'!G27+'12.2.Нови дейности или обекти'!L27+'12.2.Нови дейности или обекти'!Q27+'12.2.Нови дейности или обекти'!V27+'12.2.Нови дейности или обекти'!AA27+'12.2.Нови дейности или обекти'!G50+'12.2.Нови дейности или обекти'!L50+'12.2.Нови дейности или обекти'!Q50+'12.2.Нови дейности или обекти'!V50+'12.2.Нови дейности или обекти'!AA50</f>
        <v>0</v>
      </c>
      <c r="M105" s="1248">
        <f>L76-L105</f>
        <v>-0.30000000000001137</v>
      </c>
      <c r="N105" s="1256"/>
      <c r="O105" s="1247">
        <f>'12.2.Нови дейности или обекти'!C78+'12.2.Нови дейности или обекти'!H78+'12.2.Нови дейности или обекти'!M78+'12.2.Нови дейности или обекти'!R78+'12.2.Нови дейности или обекти'!W78+'12.2.Нови дейности или обекти'!C101+'12.2.Нови дейности или обекти'!H101+'12.2.Нови дейности или обекти'!M101+'12.2.Нови дейности или обекти'!R101+'12.2.Нови дейности или обекти'!W101</f>
        <v>0</v>
      </c>
      <c r="P105" s="1243">
        <f>O76-O105</f>
        <v>-4.5999999999999375E-2</v>
      </c>
      <c r="Q105" s="1243">
        <f>'12.2.Нови дейности или обекти'!D78+'12.2.Нови дейности или обекти'!I78+'12.2.Нови дейности или обекти'!N78+'12.2.Нови дейности или обекти'!S78+'12.2.Нови дейности или обекти'!X78+'12.2.Нови дейности или обекти'!D101+'12.2.Нови дейности или обекти'!I101+'12.2.Нови дейности или обекти'!N101+'12.2.Нови дейности или обекти'!S101+'12.2.Нови дейности или обекти'!X101</f>
        <v>0</v>
      </c>
      <c r="R105" s="1243">
        <f>Q76-Q105</f>
        <v>-4.5999999999999375E-2</v>
      </c>
      <c r="S105" s="1243">
        <f>'12.2.Нови дейности или обекти'!E78+'12.2.Нови дейности или обекти'!J78+'12.2.Нови дейности или обекти'!O78+'12.2.Нови дейности или обекти'!T78+'12.2.Нови дейности или обекти'!Y78+'12.2.Нови дейности или обекти'!E101+'12.2.Нови дейности или обекти'!J101+'12.2.Нови дейности или обекти'!O101+'12.2.Нови дейности или обекти'!T101+'12.2.Нови дейности или обекти'!Y101</f>
        <v>0</v>
      </c>
      <c r="T105" s="1243">
        <f>S76-S105</f>
        <v>-4.5999999999999375E-2</v>
      </c>
      <c r="U105" s="1243">
        <f>'12.2.Нови дейности или обекти'!F78+'12.2.Нови дейности или обекти'!K78+'12.2.Нови дейности или обекти'!P78+'12.2.Нови дейности или обекти'!U78+'12.2.Нови дейности или обекти'!Z78+'12.2.Нови дейности или обекти'!F101+'12.2.Нови дейности или обекти'!K101+'12.2.Нови дейности или обекти'!P101+'12.2.Нови дейности или обекти'!U101+'12.2.Нови дейности или обекти'!Z101</f>
        <v>0</v>
      </c>
      <c r="V105" s="1243">
        <f>U76-U105</f>
        <v>-4.5999999999999375E-2</v>
      </c>
      <c r="W105" s="1243">
        <f>'12.2.Нови дейности или обекти'!G78+'12.2.Нови дейности или обекти'!L78+'12.2.Нови дейности или обекти'!Q78+'12.2.Нови дейности или обекти'!V78+'12.2.Нови дейности или обекти'!AA78+'12.2.Нови дейности или обекти'!G101+'12.2.Нови дейности или обекти'!L101+'12.2.Нови дейности или обекти'!Q101+'12.2.Нови дейности или обекти'!V101+'12.2.Нови дейности или обекти'!AA101</f>
        <v>0</v>
      </c>
      <c r="X105" s="1248">
        <f>W76-W105</f>
        <v>-4.5999999999999375E-2</v>
      </c>
      <c r="Y105" s="1256"/>
      <c r="Z105" s="1247">
        <f>'12.2.Нови дейности или обекти'!C125+'12.2.Нови дейности или обекти'!H125+'12.2.Нови дейности или обекти'!M125+'12.2.Нови дейности или обекти'!R125+'12.2.Нови дейности или обекти'!W125+'12.2.Нови дейности или обекти'!C148+'12.2.Нови дейности или обекти'!H148+'12.2.Нови дейности или обекти'!M148+'12.2.Нови дейности или обекти'!R148+'12.2.Нови дейности или обекти'!W148</f>
        <v>0</v>
      </c>
      <c r="AA105" s="1243">
        <f>Z76-Z105</f>
        <v>1.0000000000047748E-3</v>
      </c>
      <c r="AB105" s="1243">
        <f>'12.2.Нови дейности или обекти'!D125+'12.2.Нови дейности или обекти'!I125+'12.2.Нови дейности или обекти'!N125+'12.2.Нови дейности или обекти'!S125+'12.2.Нови дейности или обекти'!X125+'12.2.Нови дейности или обекти'!D148+'12.2.Нови дейности или обекти'!I148+'12.2.Нови дейности или обекти'!N148+'12.2.Нови дейности или обекти'!S148+'12.2.Нови дейности или обекти'!X148</f>
        <v>0</v>
      </c>
      <c r="AC105" s="1243">
        <f>AB76-AB105</f>
        <v>1.0000000000047748E-3</v>
      </c>
      <c r="AD105" s="1243">
        <f>'12.2.Нови дейности или обекти'!E125+'12.2.Нови дейности или обекти'!J125+'12.2.Нови дейности или обекти'!O125+'12.2.Нови дейности или обекти'!T125+'12.2.Нови дейности или обекти'!Y125+'12.2.Нови дейности или обекти'!E148+'12.2.Нови дейности или обекти'!J148+'12.2.Нови дейности или обекти'!O148+'12.2.Нови дейности или обекти'!T148+'12.2.Нови дейности или обекти'!Y148</f>
        <v>0</v>
      </c>
      <c r="AE105" s="1243">
        <f>AD76-AD105</f>
        <v>1.0000000000047748E-3</v>
      </c>
      <c r="AF105" s="1243">
        <f>'12.2.Нови дейности или обекти'!F125+'12.2.Нови дейности или обекти'!K125+'12.2.Нови дейности или обекти'!P125+'12.2.Нови дейности или обекти'!U125+'12.2.Нови дейности или обекти'!Z125+'12.2.Нови дейности или обекти'!F148+'12.2.Нови дейности или обекти'!K148+'12.2.Нови дейности или обекти'!P148+'12.2.Нови дейности или обекти'!U148+'12.2.Нови дейности или обекти'!Z148</f>
        <v>0</v>
      </c>
      <c r="AG105" s="1243">
        <f>AF76-AF105</f>
        <v>1.0000000000047748E-3</v>
      </c>
      <c r="AH105" s="1243">
        <f>'12.2.Нови дейности или обекти'!G125+'12.2.Нови дейности или обекти'!L125+'12.2.Нови дейности или обекти'!Q125+'12.2.Нови дейности или обекти'!V125+'12.2.Нови дейности или обекти'!AA125+'12.2.Нови дейности или обекти'!G148+'12.2.Нови дейности или обекти'!L148+'12.2.Нови дейности или обекти'!Q148+'12.2.Нови дейности или обекти'!V148+'12.2.Нови дейности или обекти'!AA148</f>
        <v>0</v>
      </c>
      <c r="AI105" s="1248">
        <f>AH76-AH105</f>
        <v>1.0000000000047748E-3</v>
      </c>
      <c r="AJ105" s="2765"/>
      <c r="AK105" s="2765"/>
      <c r="AL105" s="2765"/>
      <c r="AM105" s="1195"/>
      <c r="AN105" s="1194"/>
      <c r="AO105" s="1195"/>
      <c r="AP105" s="1194"/>
      <c r="AQ105" s="1195"/>
      <c r="AR105" s="1194"/>
      <c r="AS105" s="1195"/>
      <c r="AT105" s="1194"/>
      <c r="AU105" s="1194"/>
      <c r="AV105" s="1195"/>
      <c r="AW105" s="1194"/>
      <c r="AX105" s="1195"/>
      <c r="AY105" s="1194"/>
      <c r="AZ105" s="1195"/>
      <c r="BA105" s="1194"/>
      <c r="BB105" s="1195"/>
      <c r="BC105" s="1194"/>
      <c r="BD105" s="1195"/>
      <c r="BE105" s="1194"/>
      <c r="BF105" s="4775"/>
      <c r="BH105" s="4794">
        <f t="shared" si="61"/>
        <v>0</v>
      </c>
      <c r="BI105" s="4794">
        <f t="shared" si="62"/>
        <v>0</v>
      </c>
      <c r="BJ105" s="4794">
        <f t="shared" si="63"/>
        <v>0</v>
      </c>
      <c r="BK105" s="4794">
        <f t="shared" si="64"/>
        <v>0</v>
      </c>
      <c r="BL105" s="4794">
        <f t="shared" si="65"/>
        <v>0</v>
      </c>
      <c r="BN105" s="4794">
        <f t="shared" si="66"/>
        <v>0</v>
      </c>
      <c r="BO105" s="4794">
        <f t="shared" si="67"/>
        <v>0</v>
      </c>
      <c r="BP105" s="4794">
        <f t="shared" si="68"/>
        <v>0</v>
      </c>
      <c r="BQ105" s="4794">
        <f t="shared" si="69"/>
        <v>0</v>
      </c>
      <c r="BR105" s="4794">
        <f t="shared" si="70"/>
        <v>0</v>
      </c>
      <c r="BT105" s="4794">
        <f t="shared" si="71"/>
        <v>0</v>
      </c>
      <c r="BU105" s="4794">
        <f t="shared" si="72"/>
        <v>0</v>
      </c>
      <c r="BV105" s="4794">
        <f t="shared" si="73"/>
        <v>0</v>
      </c>
      <c r="BW105" s="4794">
        <f t="shared" si="74"/>
        <v>0</v>
      </c>
      <c r="BX105" s="4794">
        <f t="shared" si="75"/>
        <v>0</v>
      </c>
    </row>
    <row r="106" spans="1:76" s="48" customFormat="1" ht="15.75" thickBot="1">
      <c r="A106" s="5485"/>
      <c r="B106" s="1254" t="s">
        <v>1234</v>
      </c>
      <c r="C106" s="1257"/>
      <c r="D106" s="1255">
        <f>'12.2.Нови дейности или обекти'!C21+'12.2.Нови дейности или обекти'!H21+'12.2.Нови дейности или обекти'!M21+'12.2.Нови дейности или обекти'!R21+'12.2.Нови дейности или обекти'!W21+'12.2.Нови дейности или обекти'!C44+'12.2.Нови дейности или обекти'!H44+'12.2.Нови дейности или обекти'!M44+'12.2.Нови дейности или обекти'!R44+'12.2.Нови дейности или обекти'!W44</f>
        <v>0</v>
      </c>
      <c r="E106" s="1244">
        <f>D88-D106</f>
        <v>3604.1742891074537</v>
      </c>
      <c r="F106" s="1244">
        <f>'12.2.Нови дейности или обекти'!D28+'12.2.Нови дейности или обекти'!I28+'12.2.Нови дейности или обекти'!N28+'12.2.Нови дейности или обекти'!S28+'12.2.Нови дейности или обекти'!X28++'12.2.Нови дейности или обекти'!D51+'12.2.Нови дейности или обекти'!I51+'12.2.Нови дейности или обекти'!N51+'12.2.Нови дейности или обекти'!S51+'12.2.Нови дейности или обекти'!X51</f>
        <v>0</v>
      </c>
      <c r="G106" s="1244">
        <f>F88-F106</f>
        <v>4877.800033599473</v>
      </c>
      <c r="H106" s="1244">
        <f>'12.2.Нови дейности или обекти'!E28+'12.2.Нови дейности или обекти'!J28+'12.2.Нови дейности или обекти'!O28+'12.2.Нови дейности или обекти'!T28+'12.2.Нови дейности или обекти'!Y28+'12.2.Нови дейности или обекти'!E51+'12.2.Нови дейности или обекти'!J51+'12.2.Нови дейности или обекти'!O51+'12.2.Нови дейности или обекти'!T51+'12.2.Нови дейности или обекти'!Y51</f>
        <v>0</v>
      </c>
      <c r="I106" s="1244">
        <f>H88-H106</f>
        <v>7042.7995158163394</v>
      </c>
      <c r="J106" s="1244">
        <f>'12.2.Нови дейности или обекти'!F28+'12.2.Нови дейности или обекти'!K28+'12.2.Нови дейности или обекти'!P28+'12.2.Нови дейности или обекти'!U28+'12.2.Нови дейности или обекти'!Z28+'12.2.Нови дейности или обекти'!F51+'12.2.Нови дейности или обекти'!K51+'12.2.Нови дейности или обекти'!P51+'12.2.Нови дейности или обекти'!U51+'12.2.Нови дейности или обекти'!Z51</f>
        <v>0</v>
      </c>
      <c r="K106" s="1244">
        <f>J88-J106</f>
        <v>9297.2799634671974</v>
      </c>
      <c r="L106" s="1244">
        <f>'12.2.Нови дейности или обекти'!G28+'12.2.Нови дейности или обекти'!L28+'12.2.Нови дейности или обекти'!Q28+'12.2.Нови дейности или обекти'!V28+'12.2.Нови дейности или обекти'!AA28+'12.2.Нови дейности или обекти'!G51+'12.2.Нови дейности или обекти'!L51+'12.2.Нови дейности или обекти'!Q51+'12.2.Нови дейности или обекти'!V51+'12.2.Нови дейности или обекти'!AA51</f>
        <v>0</v>
      </c>
      <c r="M106" s="1250">
        <f>L88-L106</f>
        <v>12075.228091646117</v>
      </c>
      <c r="N106" s="1257"/>
      <c r="O106" s="1249">
        <f>'12.2.Нови дейности или обекти'!C68+'12.2.Нови дейности или обекти'!H68+'12.2.Нови дейности или обекти'!M68+'12.2.Нови дейности или обекти'!R68+'12.2.Нови дейности или обекти'!W68+'12.2.Нови дейности или обекти'!C91+'12.2.Нови дейности или обекти'!H91+'12.2.Нови дейности или обекти'!M91+'12.2.Нови дейности или обекти'!R91+'12.2.Нови дейности или обекти'!W91</f>
        <v>0</v>
      </c>
      <c r="P106" s="1244">
        <f>O88-O106</f>
        <v>732.49903227651566</v>
      </c>
      <c r="Q106" s="1244">
        <f>'12.2.Нови дейности или обекти'!D68+'12.2.Нови дейности или обекти'!I68+'12.2.Нови дейности или обекти'!N68+'12.2.Нови дейности или обекти'!S68+'12.2.Нови дейности или обекти'!X68+'12.2.Нови дейности или обекти'!D91+'12.2.Нови дейности или обекти'!I91+'12.2.Нови дейности или обекти'!N91+'12.2.Нови дейности или обекти'!S91+'12.2.Нови дейности или обекти'!X91</f>
        <v>0</v>
      </c>
      <c r="R106" s="1244">
        <f>Q88-Q106</f>
        <v>1247.3533545167279</v>
      </c>
      <c r="S106" s="1244">
        <f>'12.2.Нови дейности или обекти'!E68+'12.2.Нови дейности или обекти'!J68+'12.2.Нови дейности или обекти'!O68+'12.2.Нови дейности или обекти'!T68+'12.2.Нови дейности или обекти'!Y68+'12.2.Нови дейности или обекти'!E91+'12.2.Нови дейности или обекти'!J91+'12.2.Нови дейности или обекти'!O91+'12.2.Нови дейности или обекти'!T91+'12.2.Нови дейности или обекти'!Y91</f>
        <v>0</v>
      </c>
      <c r="T106" s="1244">
        <f>S88-S106</f>
        <v>1731.2426691019714</v>
      </c>
      <c r="U106" s="1244">
        <f>'12.2.Нови дейности или обекти'!F68+'12.2.Нови дейности или обекти'!K68+'12.2.Нови дейности или обекти'!P68+'12.2.Нови дейности или обекти'!U68+'12.2.Нови дейности или обекти'!Z68+'12.2.Нови дейности или обекти'!F91+'12.2.Нови дейности или обекти'!K91+'12.2.Нови дейности или обекти'!P91+'12.2.Нови дейности или обекти'!U91+'12.2.Нови дейности или обекти'!Z91</f>
        <v>0</v>
      </c>
      <c r="V106" s="1244">
        <f>U88-U106</f>
        <v>2353.0128259448943</v>
      </c>
      <c r="W106" s="1244">
        <f>'12.2.Нови дейности или обекти'!G68+'12.2.Нови дейности или обекти'!L68+'12.2.Нови дейности или обекти'!Q68+'12.2.Нови дейности или обекти'!V68+'12.2.Нови дейности или обекти'!AA68+'12.2.Нови дейности или обекти'!G91+'12.2.Нови дейности или обекти'!L91+'12.2.Нови дейности или обекти'!Q91+'12.2.Нови дейности или обекти'!V91+'12.2.Нови дейности или обекти'!AA91</f>
        <v>0</v>
      </c>
      <c r="X106" s="1250">
        <f>W88-W106</f>
        <v>3085.4170817824465</v>
      </c>
      <c r="Y106" s="1257"/>
      <c r="Z106" s="1249">
        <f>'12.2.Нови дейности или обекти'!C115+'12.2.Нови дейности или обекти'!H115+'12.2.Нови дейности или обекти'!M115+'12.2.Нови дейности или обекти'!R115+'12.2.Нови дейности или обекти'!W115+'12.2.Нови дейности или обекти'!C138+'12.2.Нови дейности или обекти'!H138+'12.2.Нови дейности или обекти'!M138+'12.2.Нови дейности или обекти'!R138+'12.2.Нови дейности или обекти'!W138</f>
        <v>0</v>
      </c>
      <c r="AA106" s="1244">
        <f>Z88-Z106</f>
        <v>1010.2246032530302</v>
      </c>
      <c r="AB106" s="1244">
        <f>'12.2.Нови дейности или обекти'!D115+'12.2.Нови дейности или обекти'!I115+'12.2.Нови дейности или обекти'!N115+'12.2.Нови дейности или обекти'!S115+'12.2.Нови дейности или обекти'!X115+'12.2.Нови дейности или обекти'!D138+'12.2.Нови дейности или обекти'!I138+'12.2.Нови дейности или обекти'!N138+'12.2.Нови дейности или обекти'!S138+'12.2.Нови дейности или обекти'!X138</f>
        <v>0</v>
      </c>
      <c r="AC106" s="1244">
        <f>AB88-AB106</f>
        <v>1353.2345805207979</v>
      </c>
      <c r="AD106" s="1244">
        <f>'12.2.Нови дейности или обекти'!E115+'12.2.Нови дейности или обекти'!J115+'12.2.Нови дейности или обекти'!O115+'12.2.Нови дейности или обекти'!T115+'12.2.Нови дейности или обекти'!Y115+'12.2.Нови дейности или обекти'!E138+'12.2.Нови дейности или обекти'!J138+'12.2.Нови дейности или обекти'!O138+'12.2.Нови дейности или обекти'!T138+'12.2.Нови дейности или обекти'!Y138</f>
        <v>0</v>
      </c>
      <c r="AE106" s="1244">
        <f>AD88-AD106</f>
        <v>1827.8040673186888</v>
      </c>
      <c r="AF106" s="1244">
        <f>'12.2.Нови дейности или обекти'!F115+'12.2.Нови дейности или обекти'!K115+'12.2.Нови дейности или обекти'!P115+'12.2.Нови дейности или обекти'!U115+'12.2.Нови дейности или обекти'!Z115+'12.2.Нови дейности или обекти'!F138+'12.2.Нови дейности или обекти'!K138+'12.2.Нови дейности или обекти'!P138+'12.2.Нови дейности или обекти'!U138+'12.2.Нови дейности или обекти'!Z138</f>
        <v>0</v>
      </c>
      <c r="AG106" s="1244">
        <f>AF88-AF106</f>
        <v>2381.3601128249093</v>
      </c>
      <c r="AH106" s="1244">
        <f>'12.2.Нови дейности или обекти'!G115+'12.2.Нови дейности или обекти'!L115+'12.2.Нови дейности или обекти'!Q115+'12.2.Нови дейности или обекти'!V115+'12.2.Нови дейности или обекти'!AA115+'12.2.Нови дейности или обекти'!G138+'12.2.Нови дейности или обекти'!L138+'12.2.Нови дейности или обекти'!Q138+'12.2.Нови дейности или обекти'!V138+'12.2.Нови дейности или обекти'!AA138</f>
        <v>0</v>
      </c>
      <c r="AI106" s="1250">
        <f>AH88-AH106</f>
        <v>3020.1559388084379</v>
      </c>
      <c r="AJ106" s="2765"/>
      <c r="AK106" s="2765"/>
      <c r="AL106" s="2765"/>
      <c r="AM106" s="1195"/>
      <c r="AN106" s="1194"/>
      <c r="AO106" s="3196"/>
      <c r="AP106" s="3196"/>
      <c r="AQ106" s="3316"/>
      <c r="AR106" s="3317"/>
      <c r="AS106" s="3320"/>
      <c r="AT106" s="2772"/>
      <c r="AU106" s="1194"/>
      <c r="AV106" s="1195"/>
      <c r="AW106" s="1194"/>
      <c r="AX106" s="1195"/>
      <c r="AY106" s="1194"/>
      <c r="AZ106" s="1195"/>
      <c r="BA106" s="1194"/>
      <c r="BB106" s="1195"/>
      <c r="BC106" s="1194"/>
      <c r="BD106" s="1195"/>
      <c r="BE106" s="1194"/>
      <c r="BF106" s="4775"/>
      <c r="BH106" s="4794">
        <f t="shared" si="61"/>
        <v>0</v>
      </c>
      <c r="BI106" s="4794">
        <f t="shared" si="62"/>
        <v>0</v>
      </c>
      <c r="BJ106" s="4794">
        <f t="shared" si="63"/>
        <v>0</v>
      </c>
      <c r="BK106" s="4794">
        <f t="shared" si="64"/>
        <v>0</v>
      </c>
      <c r="BL106" s="4794">
        <f t="shared" si="65"/>
        <v>0</v>
      </c>
      <c r="BN106" s="4794">
        <f t="shared" si="66"/>
        <v>0</v>
      </c>
      <c r="BO106" s="4794">
        <f t="shared" si="67"/>
        <v>0</v>
      </c>
      <c r="BP106" s="4794">
        <f t="shared" si="68"/>
        <v>0</v>
      </c>
      <c r="BQ106" s="4794">
        <f t="shared" si="69"/>
        <v>0</v>
      </c>
      <c r="BR106" s="4794">
        <f t="shared" si="70"/>
        <v>0</v>
      </c>
      <c r="BT106" s="4794">
        <f t="shared" si="71"/>
        <v>0</v>
      </c>
      <c r="BU106" s="4794">
        <f t="shared" si="72"/>
        <v>0</v>
      </c>
      <c r="BV106" s="4794">
        <f t="shared" si="73"/>
        <v>0</v>
      </c>
      <c r="BW106" s="4794">
        <f t="shared" si="74"/>
        <v>0</v>
      </c>
      <c r="BX106" s="4794">
        <f t="shared" si="75"/>
        <v>0</v>
      </c>
    </row>
    <row r="107" spans="1:76" s="693" customFormat="1">
      <c r="A107" s="4692"/>
      <c r="B107" s="4693"/>
      <c r="C107" s="4694"/>
      <c r="D107" s="4695"/>
      <c r="E107" s="4695"/>
      <c r="F107" s="4695"/>
      <c r="G107" s="4695"/>
      <c r="H107" s="4695"/>
      <c r="I107" s="4695"/>
      <c r="J107" s="4695"/>
      <c r="K107" s="4695"/>
      <c r="L107" s="4695"/>
      <c r="M107" s="4695"/>
      <c r="N107" s="4694"/>
      <c r="O107" s="4695"/>
      <c r="P107" s="4695"/>
      <c r="Q107" s="4695"/>
      <c r="R107" s="4695"/>
      <c r="S107" s="4695"/>
      <c r="T107" s="4695"/>
      <c r="U107" s="4695"/>
      <c r="V107" s="4695"/>
      <c r="W107" s="4695"/>
      <c r="X107" s="4695"/>
      <c r="Y107" s="4694"/>
      <c r="Z107" s="4695"/>
      <c r="AA107" s="4695"/>
      <c r="AB107" s="4695"/>
      <c r="AC107" s="4695"/>
      <c r="AD107" s="4695"/>
      <c r="AE107" s="4695"/>
      <c r="AF107" s="4695"/>
      <c r="AG107" s="4695"/>
      <c r="AH107" s="4695"/>
      <c r="AI107" s="4695"/>
      <c r="AJ107" s="4696"/>
      <c r="AK107" s="4696"/>
      <c r="AL107" s="4696"/>
      <c r="AM107" s="4697"/>
      <c r="AN107" s="4698"/>
      <c r="AO107" s="4699"/>
      <c r="AP107" s="4699"/>
      <c r="AQ107" s="4700"/>
      <c r="AR107" s="2550"/>
      <c r="AS107" s="4240"/>
      <c r="AT107" s="4701"/>
      <c r="AU107" s="4698"/>
      <c r="AV107" s="4697"/>
      <c r="AW107" s="4698"/>
      <c r="AX107" s="4697"/>
      <c r="AY107" s="4698"/>
      <c r="AZ107" s="4697"/>
      <c r="BA107" s="4698"/>
      <c r="BB107" s="4697"/>
      <c r="BC107" s="4698"/>
      <c r="BD107" s="4697"/>
      <c r="BE107" s="4698"/>
    </row>
    <row r="108" spans="1:76" s="693" customFormat="1">
      <c r="A108" s="4692"/>
      <c r="B108" s="4693"/>
      <c r="C108" s="3313" t="str">
        <f>'Приложение '!B82</f>
        <v>Дата: 15.04.2026 г.</v>
      </c>
      <c r="D108" s="4695"/>
      <c r="E108" s="4695"/>
      <c r="F108" s="4695"/>
      <c r="G108" s="4695"/>
      <c r="H108" s="4695"/>
      <c r="I108" s="4695"/>
      <c r="J108" s="4695"/>
      <c r="K108" s="4695"/>
      <c r="L108" s="4695"/>
      <c r="M108" s="4695"/>
      <c r="N108" s="4694"/>
      <c r="O108" s="4695"/>
      <c r="P108" s="4695"/>
      <c r="Q108" s="4695"/>
      <c r="R108" s="4695"/>
      <c r="S108" s="4695"/>
      <c r="T108" s="4695"/>
      <c r="U108" s="4695"/>
      <c r="V108" s="4695"/>
      <c r="W108" s="4695"/>
      <c r="X108" s="4695"/>
      <c r="Y108" s="4694"/>
      <c r="Z108" s="4695"/>
      <c r="AA108" s="4695"/>
      <c r="AB108" s="4695"/>
      <c r="AC108" s="4695"/>
      <c r="AD108" s="4695"/>
      <c r="AE108" s="4695"/>
      <c r="AF108" s="4695"/>
      <c r="AG108" s="4695"/>
      <c r="AH108" s="4695"/>
      <c r="AI108" s="4695"/>
      <c r="AJ108" s="4696"/>
      <c r="AK108" s="4696"/>
      <c r="AL108" s="4696"/>
      <c r="AM108" s="4697"/>
      <c r="AN108" s="4698"/>
      <c r="AO108" s="4699"/>
      <c r="AP108" s="4699"/>
      <c r="AQ108" s="4700"/>
      <c r="AR108" s="2550"/>
      <c r="AS108" s="4240"/>
      <c r="AT108" s="4701"/>
      <c r="AU108" s="4698"/>
      <c r="AV108" s="4697"/>
      <c r="AW108" s="4698"/>
      <c r="AX108" s="4697"/>
      <c r="AY108" s="4698"/>
      <c r="AZ108" s="4697"/>
      <c r="BA108" s="4698"/>
      <c r="BB108" s="4697"/>
      <c r="BC108" s="4698"/>
      <c r="BD108" s="4697"/>
      <c r="BE108" s="4698"/>
    </row>
    <row r="109" spans="1:76" s="693" customFormat="1">
      <c r="A109" s="4692"/>
      <c r="B109" s="4693"/>
      <c r="C109" s="3313"/>
      <c r="D109" s="4695"/>
      <c r="E109" s="4695"/>
      <c r="F109" s="4695"/>
      <c r="G109" s="4695"/>
      <c r="H109" s="4695"/>
      <c r="I109" s="4695"/>
      <c r="J109" s="4695"/>
      <c r="K109" s="4695"/>
      <c r="L109" s="4695"/>
      <c r="M109" s="4695"/>
      <c r="N109" s="4694"/>
      <c r="O109" s="4695"/>
      <c r="P109" s="4695"/>
      <c r="Q109" s="4695"/>
      <c r="R109" s="4695"/>
      <c r="S109" s="4695"/>
      <c r="T109" s="4695"/>
      <c r="U109" s="4695"/>
      <c r="V109" s="4695"/>
      <c r="W109" s="4695"/>
      <c r="X109" s="4695"/>
      <c r="Y109" s="4694"/>
      <c r="Z109" s="4695"/>
      <c r="AA109" s="4695"/>
      <c r="AB109" s="4695"/>
      <c r="AC109" s="4695"/>
      <c r="AD109" s="4695"/>
      <c r="AE109" s="4695"/>
      <c r="AF109" s="4695"/>
      <c r="AG109" s="4695"/>
      <c r="AH109" s="4695"/>
      <c r="AI109" s="4695"/>
      <c r="AJ109" s="4696"/>
      <c r="AK109" s="4696"/>
      <c r="AL109" s="4696"/>
      <c r="AM109" s="4697"/>
      <c r="AN109" s="4698"/>
      <c r="AO109" s="4699"/>
      <c r="AP109" s="4699"/>
      <c r="AQ109" s="4700"/>
      <c r="AR109" s="2550"/>
      <c r="AS109" s="4240"/>
      <c r="AT109" s="4701"/>
      <c r="AU109" s="4698"/>
      <c r="AV109" s="4697"/>
      <c r="AW109" s="4698"/>
      <c r="AX109" s="4697"/>
      <c r="AY109" s="4698"/>
      <c r="AZ109" s="4697"/>
      <c r="BA109" s="4698"/>
      <c r="BB109" s="4697"/>
      <c r="BC109" s="4698"/>
      <c r="BD109" s="4697"/>
      <c r="BE109" s="4698"/>
    </row>
    <row r="110" spans="1:76" s="693" customFormat="1">
      <c r="A110" s="4692"/>
      <c r="B110" s="4693"/>
      <c r="C110" s="4694"/>
      <c r="D110" s="4695"/>
      <c r="E110" s="4695"/>
      <c r="F110" s="4695"/>
      <c r="G110" s="4695"/>
      <c r="H110" s="4695"/>
      <c r="I110" s="4695"/>
      <c r="J110" s="4695"/>
      <c r="K110" s="4695"/>
      <c r="L110" s="4695"/>
      <c r="M110" s="4695"/>
      <c r="N110" s="4694"/>
      <c r="O110" s="4695"/>
      <c r="P110" s="4695"/>
      <c r="Q110" s="4695"/>
      <c r="R110" s="4695"/>
      <c r="S110" s="4695"/>
      <c r="T110" s="4695"/>
      <c r="U110" s="4695"/>
      <c r="V110" s="4695"/>
      <c r="W110" s="4695"/>
      <c r="X110" s="4695"/>
      <c r="Y110" s="4694"/>
      <c r="Z110" s="4695"/>
      <c r="AA110" s="4695"/>
      <c r="AB110" s="4695"/>
      <c r="AC110" s="4695"/>
      <c r="AD110" s="4695"/>
      <c r="AE110" s="4695"/>
      <c r="AF110" s="4695"/>
      <c r="AG110" s="4695"/>
      <c r="AH110" s="4695"/>
      <c r="AI110" s="4695"/>
      <c r="AJ110" s="4696"/>
      <c r="AK110" s="4696"/>
      <c r="AL110" s="4696"/>
      <c r="AM110" s="4697"/>
      <c r="AN110" s="4698"/>
      <c r="AO110" s="4699"/>
      <c r="AP110" s="4699"/>
      <c r="AQ110" s="4700"/>
      <c r="AR110" s="2550"/>
      <c r="AS110" s="4240"/>
      <c r="AT110" s="4701"/>
      <c r="AU110" s="4698"/>
      <c r="AV110" s="4697"/>
      <c r="AW110" s="4698"/>
      <c r="AX110" s="4697"/>
      <c r="AY110" s="4698"/>
      <c r="AZ110" s="4697"/>
      <c r="BA110" s="4698"/>
      <c r="BB110" s="4697"/>
      <c r="BC110" s="4698"/>
      <c r="BD110" s="4697"/>
      <c r="BE110" s="4698"/>
    </row>
    <row r="111" spans="1:76" s="693" customFormat="1">
      <c r="A111" s="4702"/>
      <c r="B111" s="4702"/>
      <c r="C111" s="4703" t="s">
        <v>187</v>
      </c>
      <c r="D111" s="4704"/>
      <c r="E111" s="4705"/>
      <c r="F111" s="4704"/>
      <c r="G111" s="4705"/>
      <c r="H111" s="4704"/>
      <c r="I111" s="4705"/>
      <c r="J111" s="4704"/>
      <c r="K111" s="4705"/>
      <c r="L111" s="4704"/>
      <c r="M111" s="4705"/>
      <c r="N111" s="4705"/>
      <c r="O111" s="4704"/>
      <c r="P111" s="4705"/>
      <c r="Q111" s="4704"/>
      <c r="R111" s="4705"/>
      <c r="S111" s="4704"/>
      <c r="T111" s="4705"/>
      <c r="U111" s="4704"/>
      <c r="V111" s="4705"/>
      <c r="W111" s="4704"/>
      <c r="X111" s="4705"/>
      <c r="Y111" s="4705"/>
      <c r="Z111" s="4706"/>
      <c r="AA111" s="4705"/>
      <c r="AB111" s="4706"/>
      <c r="AC111" s="4705"/>
      <c r="AD111" s="4706"/>
      <c r="AE111" s="4705"/>
      <c r="AF111" s="4706"/>
      <c r="AG111" s="4705"/>
      <c r="AH111" s="4706"/>
      <c r="AI111" s="4705"/>
      <c r="AJ111" s="4696"/>
      <c r="AK111" s="4696"/>
      <c r="AL111" s="4696"/>
      <c r="AM111" s="4706"/>
      <c r="AN111" s="4705"/>
      <c r="AO111" s="4699"/>
      <c r="AP111" s="4699"/>
      <c r="AQ111" s="4700"/>
      <c r="AR111" s="4707"/>
      <c r="AS111" s="4708"/>
      <c r="AT111" s="4709"/>
      <c r="AU111" s="4710"/>
      <c r="AV111" s="4710"/>
      <c r="AW111" s="4711"/>
      <c r="AX111" s="4710"/>
      <c r="AY111" s="4711"/>
      <c r="AZ111" s="4710"/>
      <c r="BA111" s="4711"/>
      <c r="BB111" s="4710"/>
      <c r="BC111" s="4705"/>
      <c r="BD111" s="4706"/>
      <c r="BE111" s="4705"/>
    </row>
    <row r="112" spans="1:76" s="48" customFormat="1" ht="34.5" customHeight="1">
      <c r="A112" s="1626"/>
      <c r="B112" s="1626"/>
      <c r="C112" s="5461" t="str">
        <f>"1. Справка №12.1. е резултативна от справка 12. и справка 12.2. и показва ефект за "&amp;D9&amp;" - "&amp;L9&amp;" от планираните разходи за нови обекти и/или дейности, вкл. в коефициента Qр, и ефективност на разходите  спрямо "&amp;C9</f>
        <v>1. Справка №12.1. е резултативна от справка 12. и справка 12.2. и показва ефект за 2027 г. - 2031 г. от планираните разходи за нови обекти и/или дейности, вкл. в коефициента Qр, и ефективност на разходите  спрямо 2024 г.</v>
      </c>
      <c r="D112" s="5461"/>
      <c r="E112" s="5461"/>
      <c r="F112" s="5461"/>
      <c r="G112" s="5461"/>
      <c r="H112" s="5461"/>
      <c r="I112" s="5461"/>
      <c r="J112" s="5461"/>
      <c r="K112" s="5461"/>
      <c r="L112" s="5461"/>
      <c r="M112" s="5461"/>
      <c r="N112" s="5461"/>
      <c r="O112" s="5461"/>
      <c r="P112" s="5461"/>
      <c r="Q112" s="5461"/>
      <c r="R112" s="5461"/>
      <c r="S112" s="5461"/>
      <c r="T112" s="5461"/>
      <c r="U112" s="5461"/>
      <c r="V112" s="5461"/>
      <c r="W112" s="5461"/>
      <c r="X112" s="5461"/>
      <c r="Y112" s="706"/>
      <c r="Z112" s="727"/>
      <c r="AA112" s="706"/>
      <c r="AB112" s="727"/>
      <c r="AC112" s="706"/>
      <c r="AD112" s="727"/>
      <c r="AE112" s="706"/>
      <c r="AF112" s="727"/>
      <c r="AG112" s="706"/>
      <c r="AH112" s="727"/>
      <c r="AI112" s="706"/>
      <c r="AJ112" s="706"/>
      <c r="AK112" s="727"/>
      <c r="AL112" s="706"/>
      <c r="AM112" s="727"/>
      <c r="AN112" s="706"/>
      <c r="AO112" s="727"/>
      <c r="AP112" s="706"/>
      <c r="AQ112" s="727"/>
      <c r="AR112" s="706"/>
      <c r="AS112" s="716"/>
      <c r="AT112" s="716"/>
      <c r="AU112" s="716"/>
      <c r="AV112" s="716"/>
      <c r="AW112" s="716"/>
      <c r="AX112" s="716"/>
      <c r="AY112" s="716"/>
      <c r="AZ112" s="716"/>
      <c r="BA112" s="716"/>
      <c r="BB112" s="2765"/>
      <c r="BC112" s="706"/>
      <c r="BD112" s="727"/>
      <c r="BE112" s="706"/>
    </row>
    <row r="113" spans="1:57">
      <c r="A113" s="716"/>
      <c r="B113" s="716"/>
      <c r="C113" s="716"/>
      <c r="D113" s="3197"/>
      <c r="E113" s="3196"/>
      <c r="F113" s="3197"/>
      <c r="G113" s="3196"/>
      <c r="H113" s="3197"/>
      <c r="I113" s="3196"/>
      <c r="J113" s="3197"/>
      <c r="K113" s="3196"/>
      <c r="L113" s="3197"/>
      <c r="M113" s="3196"/>
      <c r="N113" s="3196"/>
      <c r="O113" s="867"/>
      <c r="P113" s="717"/>
      <c r="Q113" s="867"/>
      <c r="R113" s="717"/>
      <c r="S113" s="867"/>
      <c r="T113" s="717"/>
      <c r="U113" s="867"/>
      <c r="V113" s="717"/>
      <c r="W113" s="3197"/>
      <c r="X113" s="3196"/>
      <c r="Y113" s="3196"/>
      <c r="Z113" s="3291"/>
      <c r="AA113" s="3196"/>
      <c r="AB113" s="3291"/>
      <c r="AC113" s="3196"/>
      <c r="AD113" s="3291"/>
      <c r="AE113" s="3196"/>
      <c r="AF113" s="3313"/>
      <c r="AG113" s="3196"/>
      <c r="AH113" s="3291"/>
      <c r="AI113" s="3196"/>
      <c r="AJ113" s="3196"/>
      <c r="AK113" s="3313"/>
      <c r="AL113" s="717"/>
      <c r="AM113" s="3313"/>
      <c r="AN113" s="717"/>
      <c r="AO113" s="3313"/>
      <c r="AP113" s="717"/>
      <c r="AQ113" s="3313"/>
      <c r="AR113" s="717"/>
      <c r="AS113" s="3291"/>
      <c r="AT113" s="3196"/>
      <c r="AU113" s="3196"/>
      <c r="AV113" s="3291"/>
      <c r="AW113" s="3196"/>
      <c r="AX113" s="3291"/>
      <c r="AY113" s="3196"/>
      <c r="AZ113" s="3291"/>
      <c r="BA113" s="3196"/>
      <c r="BB113" s="2765"/>
      <c r="BC113" s="717"/>
      <c r="BD113" s="3291"/>
      <c r="BE113" s="3196"/>
    </row>
    <row r="114" spans="1:57">
      <c r="A114" s="716"/>
      <c r="B114" s="3314"/>
      <c r="C114" s="3314"/>
      <c r="D114" s="3197"/>
      <c r="E114" s="3196"/>
      <c r="F114" s="3197"/>
      <c r="G114" s="3196"/>
      <c r="H114" s="3197"/>
      <c r="I114" s="3196"/>
      <c r="J114" s="3197"/>
      <c r="K114" s="3196"/>
      <c r="L114" s="3197"/>
      <c r="M114" s="3196"/>
      <c r="N114" s="3196"/>
      <c r="O114" s="3197"/>
      <c r="P114" s="3196"/>
      <c r="Q114" s="3197"/>
      <c r="R114" s="3196"/>
      <c r="S114" s="3197"/>
      <c r="T114" s="3196"/>
      <c r="U114" s="3197"/>
      <c r="V114" s="3196"/>
      <c r="W114" s="3197"/>
      <c r="X114" s="3196"/>
      <c r="Y114" s="3196"/>
      <c r="Z114" s="3291"/>
      <c r="AA114" s="3196"/>
      <c r="AB114" s="3291"/>
      <c r="AC114" s="3196"/>
      <c r="AD114" s="3291"/>
      <c r="AE114" s="3196"/>
      <c r="AF114" s="706"/>
      <c r="AG114" s="3157"/>
      <c r="AH114" s="3315"/>
      <c r="AI114" s="3157"/>
      <c r="AJ114" s="3157"/>
      <c r="AL114" s="3196"/>
      <c r="AM114" s="3291"/>
      <c r="AN114" s="3196"/>
      <c r="AO114" s="3291"/>
      <c r="AP114" s="3196"/>
      <c r="AQ114" s="3291"/>
      <c r="AR114" s="3196"/>
      <c r="AS114" s="727"/>
      <c r="AT114" s="3197"/>
      <c r="BA114" s="3160"/>
      <c r="BB114" s="2765"/>
      <c r="BC114" s="3196"/>
      <c r="BD114" s="3315"/>
      <c r="BE114" s="3157"/>
    </row>
    <row r="115" spans="1:57">
      <c r="A115" s="716"/>
      <c r="B115" s="716"/>
      <c r="C115" s="716"/>
      <c r="D115" s="3197"/>
      <c r="E115" s="3196"/>
      <c r="F115" s="3197"/>
      <c r="G115" s="3196"/>
      <c r="H115" s="3197"/>
      <c r="I115" s="3196"/>
      <c r="J115" s="3197"/>
      <c r="K115" s="3196"/>
      <c r="L115" s="3197"/>
      <c r="M115" s="3196"/>
      <c r="N115" s="3196"/>
      <c r="O115" s="3197"/>
      <c r="P115" s="3196"/>
      <c r="Q115" s="3197"/>
      <c r="R115" s="3196"/>
      <c r="S115" s="3197"/>
      <c r="T115" s="3196"/>
      <c r="U115" s="3197"/>
      <c r="V115" s="3196"/>
      <c r="W115" s="3197"/>
      <c r="X115" s="3196"/>
      <c r="Y115" s="3196"/>
      <c r="Z115" s="3291"/>
      <c r="AA115" s="3196"/>
      <c r="AB115" s="3291"/>
      <c r="AC115" s="3196"/>
      <c r="AD115" s="3291"/>
      <c r="AE115" s="3196"/>
      <c r="AF115" s="706"/>
      <c r="AG115" s="2765"/>
      <c r="AH115" s="3318"/>
      <c r="AI115" s="2765"/>
      <c r="AJ115" s="2765"/>
      <c r="AK115" s="3291"/>
      <c r="AL115" s="3196"/>
      <c r="AM115" s="3291"/>
      <c r="AN115" s="3196"/>
      <c r="AO115" s="3291"/>
      <c r="AP115" s="3196"/>
      <c r="AQ115" s="3291"/>
      <c r="AR115" s="3196"/>
      <c r="AS115" s="3291"/>
      <c r="AT115" s="3197"/>
      <c r="BA115" s="3160"/>
      <c r="BB115" s="2765"/>
      <c r="BC115" s="3196"/>
      <c r="BD115" s="3318"/>
      <c r="BE115" s="2765"/>
    </row>
    <row r="116" spans="1:57">
      <c r="A116" s="716"/>
      <c r="B116" s="716"/>
      <c r="C116" s="716"/>
      <c r="D116" s="3197"/>
      <c r="E116" s="3196"/>
      <c r="F116" s="3197"/>
      <c r="G116" s="3196"/>
      <c r="H116" s="3197"/>
      <c r="I116" s="3196"/>
      <c r="J116" s="3197"/>
      <c r="K116" s="3196"/>
      <c r="L116" s="3197"/>
      <c r="M116" s="3196"/>
      <c r="N116" s="3196"/>
      <c r="O116" s="3197"/>
      <c r="P116" s="3196"/>
      <c r="Q116" s="3197"/>
      <c r="R116" s="3196"/>
      <c r="S116" s="3197"/>
      <c r="T116" s="3196"/>
      <c r="U116" s="3197"/>
      <c r="V116" s="3196"/>
      <c r="W116" s="3197"/>
      <c r="X116" s="3196"/>
      <c r="Y116" s="3196"/>
      <c r="Z116" s="3291"/>
      <c r="AA116" s="3196"/>
      <c r="AB116" s="3291"/>
      <c r="AC116" s="3196"/>
      <c r="AD116" s="3291"/>
      <c r="AE116" s="3196"/>
      <c r="AF116" s="706"/>
      <c r="AG116" s="2765"/>
      <c r="AH116" s="3318"/>
      <c r="AI116" s="2765"/>
      <c r="AJ116" s="2765"/>
      <c r="AK116" s="3291"/>
      <c r="AL116" s="3196"/>
      <c r="AM116" s="3291"/>
      <c r="AN116" s="3196"/>
      <c r="AO116" s="3291"/>
      <c r="AP116" s="3196"/>
      <c r="AQ116" s="3291"/>
      <c r="AR116" s="3196"/>
      <c r="AS116" s="3315"/>
      <c r="AT116" s="3197"/>
      <c r="BA116" s="3160"/>
      <c r="BB116" s="2765"/>
      <c r="BC116" s="3196"/>
      <c r="BD116" s="3318"/>
      <c r="BE116" s="2765"/>
    </row>
    <row r="117" spans="1:57">
      <c r="A117" s="716"/>
      <c r="B117" s="716"/>
      <c r="C117" s="716"/>
      <c r="D117" s="3197"/>
      <c r="E117" s="3196"/>
      <c r="F117" s="3197"/>
      <c r="G117" s="3196"/>
      <c r="H117" s="3197"/>
      <c r="I117" s="3196"/>
      <c r="J117" s="3197"/>
      <c r="K117" s="3196"/>
      <c r="L117" s="3197"/>
      <c r="M117" s="3196"/>
      <c r="N117" s="3196"/>
      <c r="O117" s="3197"/>
      <c r="P117" s="3196"/>
      <c r="Q117" s="3197"/>
      <c r="R117" s="3196"/>
      <c r="S117" s="3197"/>
      <c r="T117" s="3196"/>
      <c r="U117" s="3197"/>
      <c r="V117" s="3196"/>
      <c r="W117" s="3197"/>
      <c r="X117" s="3196"/>
      <c r="Y117" s="3196"/>
      <c r="Z117" s="3291"/>
      <c r="AA117" s="3196"/>
      <c r="AB117" s="3291"/>
      <c r="AC117" s="3196"/>
      <c r="AD117" s="3291"/>
      <c r="AE117" s="3196"/>
      <c r="AF117" s="706"/>
      <c r="AG117" s="2765"/>
      <c r="AH117" s="3318"/>
      <c r="AI117" s="2765"/>
      <c r="AJ117" s="2765"/>
      <c r="AK117" s="3291"/>
      <c r="AL117" s="3196"/>
      <c r="AM117" s="3291"/>
      <c r="AN117" s="3196"/>
      <c r="AO117" s="3291"/>
      <c r="AP117" s="3196"/>
      <c r="AQ117" s="3291"/>
      <c r="AR117" s="3196"/>
      <c r="AS117" s="3318"/>
      <c r="AT117" s="3197"/>
      <c r="AU117" s="3196"/>
      <c r="AV117" s="3196"/>
      <c r="AW117" s="3316"/>
      <c r="AX117" s="3317"/>
      <c r="AY117" s="3320"/>
      <c r="AZ117" s="2772"/>
      <c r="BA117" s="3160"/>
      <c r="BB117" s="2765"/>
      <c r="BC117" s="3196"/>
      <c r="BD117" s="3318"/>
      <c r="BE117" s="2765"/>
    </row>
    <row r="118" spans="1:57">
      <c r="A118" s="716"/>
      <c r="B118" s="716"/>
      <c r="C118" s="716"/>
      <c r="D118" s="3197"/>
      <c r="E118" s="3196"/>
      <c r="F118" s="3197"/>
      <c r="G118" s="3196"/>
      <c r="H118" s="3197"/>
      <c r="I118" s="3196"/>
      <c r="J118" s="3197"/>
      <c r="K118" s="3196"/>
      <c r="L118" s="3197"/>
      <c r="M118" s="3196"/>
      <c r="N118" s="3196"/>
      <c r="O118" s="3197"/>
      <c r="P118" s="3196"/>
      <c r="Q118" s="3197"/>
      <c r="R118" s="3196"/>
      <c r="S118" s="3197"/>
      <c r="T118" s="3196"/>
      <c r="U118" s="3197"/>
      <c r="V118" s="3196"/>
      <c r="W118" s="3197"/>
      <c r="X118" s="3196"/>
      <c r="Y118" s="3196"/>
      <c r="Z118" s="3291"/>
      <c r="AA118" s="3196"/>
      <c r="AB118" s="3291"/>
      <c r="AC118" s="3196"/>
      <c r="AD118" s="3291"/>
      <c r="AE118" s="3196"/>
      <c r="AF118" s="706"/>
      <c r="AG118" s="2765"/>
      <c r="AH118" s="3318"/>
      <c r="AI118" s="2765"/>
      <c r="AJ118" s="2765"/>
      <c r="AK118" s="3291"/>
      <c r="AL118" s="3196"/>
      <c r="AM118" s="3291"/>
      <c r="AN118" s="3196"/>
      <c r="AO118" s="3291"/>
      <c r="AP118" s="3196"/>
      <c r="AQ118" s="3291"/>
      <c r="AR118" s="3196"/>
      <c r="AS118" s="3318"/>
      <c r="AT118" s="3197"/>
      <c r="BA118" s="3160"/>
      <c r="BB118" s="2765"/>
      <c r="BC118" s="3196"/>
      <c r="BD118" s="3318"/>
      <c r="BE118" s="2765"/>
    </row>
    <row r="119" spans="1:57" s="48" customFormat="1">
      <c r="A119" s="716"/>
      <c r="B119" s="716"/>
      <c r="C119" s="716"/>
      <c r="D119" s="3197"/>
      <c r="E119" s="3196"/>
      <c r="F119" s="3197"/>
      <c r="G119" s="3196"/>
      <c r="H119" s="3197"/>
      <c r="I119" s="3196"/>
      <c r="J119" s="3197"/>
      <c r="K119" s="3196"/>
      <c r="L119" s="3197"/>
      <c r="M119" s="3196"/>
      <c r="N119" s="3196"/>
      <c r="O119" s="3197"/>
      <c r="P119" s="3196"/>
      <c r="Q119" s="3197"/>
      <c r="R119" s="3196"/>
      <c r="S119" s="3197"/>
      <c r="T119" s="3196"/>
      <c r="U119" s="3197"/>
      <c r="V119" s="3196"/>
      <c r="W119" s="716"/>
      <c r="X119" s="716"/>
      <c r="Y119" s="716"/>
      <c r="Z119" s="716"/>
      <c r="AA119" s="716"/>
      <c r="AB119" s="716"/>
      <c r="AC119" s="716"/>
      <c r="AD119" s="716"/>
      <c r="AE119" s="716"/>
      <c r="AF119" s="706"/>
      <c r="AG119" s="2765"/>
      <c r="AH119" s="3318"/>
      <c r="AI119" s="2765"/>
      <c r="AJ119" s="2765"/>
      <c r="AK119" s="3291"/>
      <c r="AL119" s="3196"/>
      <c r="AM119" s="3291"/>
      <c r="AN119" s="3196"/>
      <c r="AO119" s="3291"/>
      <c r="AP119" s="3196"/>
      <c r="AQ119" s="3291"/>
      <c r="AR119" s="3196"/>
      <c r="AS119" s="3318"/>
      <c r="AT119" s="3197"/>
      <c r="BA119" s="3160"/>
      <c r="BB119" s="3196"/>
      <c r="BC119" s="3196"/>
      <c r="BD119" s="3318"/>
      <c r="BE119" s="2765"/>
    </row>
    <row r="120" spans="1:57" s="48" customFormat="1">
      <c r="A120" s="716"/>
      <c r="B120" s="716"/>
      <c r="C120" s="716"/>
      <c r="D120" s="3197"/>
      <c r="E120" s="3224"/>
      <c r="F120" s="3197"/>
      <c r="G120" s="3224"/>
      <c r="H120" s="3197"/>
      <c r="I120" s="3224"/>
      <c r="J120" s="3197"/>
      <c r="K120" s="3224"/>
      <c r="L120" s="3197"/>
      <c r="M120" s="3224"/>
      <c r="N120" s="3224"/>
      <c r="O120" s="3197"/>
      <c r="P120" s="3224"/>
      <c r="Q120" s="3197"/>
      <c r="R120" s="3224"/>
      <c r="S120" s="3197"/>
      <c r="T120" s="3224"/>
      <c r="U120" s="3197"/>
      <c r="V120" s="3224"/>
      <c r="W120" s="716"/>
      <c r="X120" s="716"/>
      <c r="Y120" s="716"/>
      <c r="Z120" s="716"/>
      <c r="AA120" s="716"/>
      <c r="AB120" s="716"/>
      <c r="AC120" s="716"/>
      <c r="AD120" s="716"/>
      <c r="AE120" s="716"/>
      <c r="AF120" s="706"/>
      <c r="AG120" s="2765"/>
      <c r="AH120" s="3318"/>
      <c r="AI120" s="2765"/>
      <c r="AJ120" s="2765"/>
      <c r="AK120" s="3291"/>
      <c r="AL120" s="3224"/>
      <c r="AM120" s="3291"/>
      <c r="AN120" s="3224"/>
      <c r="AO120" s="3291"/>
      <c r="AP120" s="3224"/>
      <c r="AQ120" s="3291"/>
      <c r="AR120" s="3196"/>
      <c r="AS120" s="3318"/>
      <c r="AT120" s="3197"/>
      <c r="AU120" s="3224"/>
      <c r="AV120" s="3224"/>
      <c r="AW120" s="716"/>
      <c r="AX120" s="3321"/>
      <c r="AY120" s="3320"/>
      <c r="AZ120" s="2772"/>
      <c r="BA120" s="3160"/>
      <c r="BB120" s="3291"/>
      <c r="BC120" s="3196"/>
      <c r="BD120" s="3318"/>
      <c r="BE120" s="2765"/>
    </row>
    <row r="121" spans="1:57" s="48" customFormat="1">
      <c r="A121" s="25"/>
      <c r="C121" s="3322"/>
      <c r="D121" s="3197"/>
      <c r="E121" s="3196"/>
      <c r="F121" s="3197"/>
      <c r="G121" s="3196"/>
      <c r="H121" s="3197"/>
      <c r="I121" s="3196"/>
      <c r="J121" s="3197"/>
      <c r="K121" s="3196"/>
      <c r="L121" s="3197"/>
      <c r="M121" s="3196"/>
      <c r="N121" s="3196"/>
      <c r="O121" s="3197"/>
      <c r="P121" s="3196"/>
      <c r="Q121" s="3197"/>
      <c r="R121" s="3196"/>
      <c r="S121" s="3197"/>
      <c r="T121" s="3196"/>
      <c r="U121" s="3197"/>
      <c r="V121" s="3196"/>
      <c r="W121" s="716"/>
      <c r="X121" s="716"/>
      <c r="Y121" s="716"/>
      <c r="Z121" s="716"/>
      <c r="AA121" s="716"/>
      <c r="AB121" s="716"/>
      <c r="AC121" s="716"/>
      <c r="AD121" s="716"/>
      <c r="AE121" s="716"/>
      <c r="AF121" s="3291"/>
      <c r="AG121" s="2765"/>
      <c r="AH121" s="3318"/>
      <c r="AI121" s="2765"/>
      <c r="AJ121" s="2765"/>
      <c r="AK121" s="3291"/>
      <c r="AL121" s="3196"/>
      <c r="AM121" s="3291"/>
      <c r="AN121" s="3196"/>
      <c r="AO121" s="3291"/>
      <c r="AP121" s="3196"/>
      <c r="AQ121" s="3291"/>
      <c r="AR121" s="3196"/>
      <c r="AS121" s="3318"/>
      <c r="AT121" s="2765"/>
      <c r="AU121" s="2765"/>
      <c r="AV121" s="3291"/>
      <c r="AW121" s="3196"/>
      <c r="AX121" s="3291"/>
      <c r="AY121" s="3196"/>
      <c r="AZ121" s="3291"/>
      <c r="BA121" s="3196"/>
      <c r="BB121" s="3291"/>
      <c r="BC121" s="3196"/>
      <c r="BD121" s="3318"/>
      <c r="BE121" s="2765"/>
    </row>
    <row r="122" spans="1:57" s="48" customFormat="1">
      <c r="A122" s="716"/>
      <c r="C122" s="394"/>
      <c r="D122" s="3197"/>
      <c r="E122" s="3196"/>
      <c r="F122" s="3197"/>
      <c r="G122" s="3196"/>
      <c r="H122" s="3197"/>
      <c r="I122" s="3196"/>
      <c r="J122" s="3197"/>
      <c r="K122" s="3196"/>
      <c r="L122" s="3197"/>
      <c r="M122" s="3196"/>
      <c r="N122" s="3196"/>
      <c r="O122" s="3197"/>
      <c r="P122" s="3196"/>
      <c r="Q122" s="3197"/>
      <c r="R122" s="3196"/>
      <c r="S122" s="3197"/>
      <c r="T122" s="3196"/>
      <c r="U122" s="3197"/>
      <c r="V122" s="3196"/>
      <c r="W122" s="3197"/>
      <c r="X122" s="3196"/>
      <c r="Y122" s="3196"/>
      <c r="Z122" s="3291"/>
      <c r="AA122" s="3196"/>
      <c r="AB122" s="3291"/>
      <c r="AC122" s="3196"/>
      <c r="AD122" s="3291"/>
      <c r="AE122" s="3196"/>
      <c r="AF122" s="3291"/>
      <c r="AG122" s="3196"/>
      <c r="AH122" s="3291"/>
      <c r="AI122" s="3196"/>
      <c r="AJ122" s="3196"/>
      <c r="AK122" s="3291"/>
      <c r="AL122" s="3196"/>
      <c r="AM122" s="3291"/>
      <c r="AN122" s="3196"/>
      <c r="AO122" s="3291"/>
      <c r="AP122" s="3196"/>
      <c r="AQ122" s="3291"/>
      <c r="AR122" s="3196"/>
      <c r="AS122" s="3291"/>
      <c r="AT122" s="3196"/>
      <c r="AU122" s="3196"/>
      <c r="AV122" s="3291"/>
      <c r="AW122" s="3196"/>
      <c r="AX122" s="3291"/>
      <c r="AY122" s="3196"/>
      <c r="AZ122" s="3291"/>
      <c r="BA122" s="3196"/>
      <c r="BB122" s="3291"/>
      <c r="BC122" s="3196"/>
      <c r="BD122" s="3291"/>
      <c r="BE122" s="3196"/>
    </row>
    <row r="123" spans="1:57" s="48" customFormat="1">
      <c r="A123" s="827"/>
      <c r="B123" s="827"/>
      <c r="C123" s="893"/>
      <c r="D123" s="861"/>
      <c r="E123" s="683"/>
      <c r="F123" s="861"/>
      <c r="G123" s="683"/>
      <c r="H123" s="861"/>
      <c r="I123" s="683"/>
      <c r="J123" s="863"/>
      <c r="K123" s="706"/>
      <c r="L123" s="863"/>
      <c r="M123" s="706"/>
      <c r="N123" s="706"/>
      <c r="O123" s="863"/>
      <c r="P123" s="706"/>
      <c r="Q123" s="863"/>
      <c r="R123" s="706"/>
      <c r="S123" s="863"/>
      <c r="T123" s="706"/>
      <c r="U123" s="863"/>
      <c r="V123" s="706"/>
      <c r="W123" s="863"/>
      <c r="X123" s="706"/>
      <c r="Y123" s="706"/>
      <c r="Z123" s="727"/>
      <c r="AA123" s="706"/>
      <c r="AB123" s="727"/>
      <c r="AC123" s="706"/>
      <c r="AD123" s="727"/>
      <c r="AE123" s="706"/>
      <c r="AF123" s="727"/>
      <c r="AG123" s="706"/>
      <c r="AH123" s="727"/>
      <c r="AI123" s="706"/>
      <c r="AJ123" s="706"/>
      <c r="AK123" s="727"/>
      <c r="AL123" s="706"/>
      <c r="AM123" s="727"/>
      <c r="AN123" s="706"/>
      <c r="AO123" s="727"/>
      <c r="AP123" s="706"/>
      <c r="AQ123" s="727"/>
      <c r="AR123" s="706"/>
      <c r="AS123" s="727"/>
      <c r="AT123" s="706"/>
      <c r="AU123" s="706"/>
      <c r="AV123" s="727"/>
      <c r="AW123" s="706"/>
      <c r="AX123" s="727"/>
      <c r="AY123" s="706"/>
      <c r="AZ123" s="727"/>
      <c r="BA123" s="706"/>
      <c r="BB123" s="727"/>
      <c r="BC123" s="706"/>
      <c r="BD123" s="727"/>
      <c r="BE123" s="706"/>
    </row>
    <row r="124" spans="1:57" s="48" customFormat="1">
      <c r="A124" s="827"/>
      <c r="B124" s="827"/>
      <c r="C124" s="893"/>
      <c r="D124" s="863"/>
      <c r="E124" s="706"/>
      <c r="F124" s="863"/>
      <c r="G124" s="706"/>
      <c r="H124" s="863"/>
      <c r="I124" s="706"/>
      <c r="J124" s="863"/>
      <c r="K124" s="706"/>
      <c r="L124" s="863"/>
      <c r="M124" s="706"/>
      <c r="N124" s="706"/>
      <c r="O124" s="863"/>
      <c r="P124" s="706"/>
      <c r="Q124" s="863"/>
      <c r="R124" s="706"/>
      <c r="S124" s="863"/>
      <c r="T124" s="706"/>
      <c r="U124" s="863"/>
      <c r="V124" s="706"/>
      <c r="W124" s="863"/>
      <c r="X124" s="706"/>
      <c r="Y124" s="706"/>
      <c r="Z124" s="727"/>
      <c r="AA124" s="706"/>
      <c r="AB124" s="727"/>
      <c r="AC124" s="706"/>
      <c r="AD124" s="727"/>
      <c r="AE124" s="706"/>
      <c r="AF124" s="727"/>
      <c r="AG124" s="706"/>
      <c r="AH124" s="727"/>
      <c r="AI124" s="706"/>
      <c r="AJ124" s="706"/>
      <c r="AK124" s="727"/>
      <c r="AL124" s="706"/>
      <c r="AM124" s="727"/>
      <c r="AN124" s="706"/>
      <c r="AO124" s="727"/>
      <c r="AP124" s="706"/>
      <c r="AQ124" s="727"/>
      <c r="AR124" s="706"/>
      <c r="AS124" s="727"/>
      <c r="AT124" s="706"/>
      <c r="AU124" s="706"/>
      <c r="AV124" s="727"/>
      <c r="AW124" s="706"/>
      <c r="AX124" s="727"/>
      <c r="AY124" s="706"/>
      <c r="AZ124" s="727"/>
      <c r="BA124" s="706"/>
      <c r="BB124" s="727"/>
      <c r="BC124" s="706"/>
      <c r="BD124" s="727"/>
      <c r="BE124" s="706"/>
    </row>
    <row r="125" spans="1:57" s="48" customFormat="1">
      <c r="A125" s="827"/>
      <c r="B125" s="827"/>
      <c r="C125" s="893"/>
      <c r="D125" s="863"/>
      <c r="E125" s="706"/>
      <c r="F125" s="863"/>
      <c r="G125" s="706"/>
      <c r="H125" s="863"/>
      <c r="I125" s="706"/>
      <c r="J125" s="863"/>
      <c r="K125" s="706"/>
      <c r="L125" s="863"/>
      <c r="M125" s="706"/>
      <c r="N125" s="706"/>
      <c r="O125" s="863"/>
      <c r="P125" s="706"/>
      <c r="Q125" s="863"/>
      <c r="R125" s="706"/>
      <c r="S125" s="863"/>
      <c r="T125" s="706"/>
      <c r="U125" s="863"/>
      <c r="V125" s="706"/>
      <c r="W125" s="863"/>
      <c r="X125" s="706"/>
      <c r="Y125" s="706"/>
      <c r="Z125" s="727"/>
      <c r="AA125" s="706"/>
      <c r="AB125" s="727"/>
      <c r="AC125" s="706"/>
      <c r="AD125" s="727"/>
      <c r="AE125" s="706"/>
      <c r="AF125" s="727"/>
      <c r="AG125" s="706"/>
      <c r="AH125" s="727"/>
      <c r="AI125" s="706"/>
      <c r="AJ125" s="706"/>
      <c r="AK125" s="727"/>
      <c r="AL125" s="706"/>
      <c r="AM125" s="727"/>
      <c r="AN125" s="706"/>
      <c r="AO125" s="727"/>
      <c r="AP125" s="706"/>
      <c r="AQ125" s="727"/>
      <c r="AR125" s="706"/>
      <c r="AS125" s="727"/>
      <c r="AT125" s="706"/>
      <c r="AU125" s="706"/>
      <c r="AV125" s="727"/>
      <c r="AW125" s="706"/>
      <c r="AX125" s="727"/>
      <c r="AY125" s="706"/>
      <c r="AZ125" s="727"/>
      <c r="BA125" s="706"/>
      <c r="BB125" s="727"/>
      <c r="BC125" s="706"/>
      <c r="BD125" s="727"/>
      <c r="BE125" s="706"/>
    </row>
    <row r="126" spans="1:57" s="48" customFormat="1">
      <c r="A126" s="827"/>
      <c r="B126" s="827"/>
      <c r="C126" s="893"/>
      <c r="D126" s="863"/>
      <c r="E126" s="706"/>
      <c r="F126" s="863"/>
      <c r="G126" s="706"/>
      <c r="H126" s="863"/>
      <c r="I126" s="706"/>
      <c r="J126" s="863"/>
      <c r="K126" s="706"/>
      <c r="L126" s="863"/>
      <c r="M126" s="706"/>
      <c r="N126" s="706"/>
      <c r="O126" s="863"/>
      <c r="P126" s="706"/>
      <c r="Q126" s="863"/>
      <c r="R126" s="706"/>
      <c r="S126" s="863"/>
      <c r="T126" s="706"/>
      <c r="U126" s="863"/>
      <c r="V126" s="706"/>
      <c r="W126" s="863"/>
      <c r="X126" s="706"/>
      <c r="Y126" s="706"/>
      <c r="Z126" s="727"/>
      <c r="AA126" s="706"/>
      <c r="AB126" s="727"/>
      <c r="AC126" s="706"/>
      <c r="AD126" s="727"/>
      <c r="AE126" s="706"/>
      <c r="AF126" s="727"/>
      <c r="AG126" s="706"/>
      <c r="AH126" s="727"/>
      <c r="AI126" s="706"/>
      <c r="AJ126" s="706"/>
      <c r="AK126" s="727"/>
      <c r="AL126" s="706"/>
      <c r="AM126" s="727"/>
      <c r="AN126" s="706"/>
      <c r="AO126" s="727"/>
      <c r="AP126" s="706"/>
      <c r="AQ126" s="727"/>
      <c r="AR126" s="706"/>
      <c r="AS126" s="727"/>
      <c r="AT126" s="706"/>
      <c r="AU126" s="706"/>
      <c r="AV126" s="727"/>
      <c r="AW126" s="706"/>
      <c r="AX126" s="727"/>
      <c r="AY126" s="706"/>
      <c r="AZ126" s="727"/>
      <c r="BA126" s="706"/>
      <c r="BB126" s="727"/>
      <c r="BC126" s="706"/>
      <c r="BD126" s="727"/>
      <c r="BE126" s="706"/>
    </row>
    <row r="127" spans="1:57" s="48" customFormat="1">
      <c r="A127" s="827"/>
      <c r="B127" s="827"/>
      <c r="C127" s="893"/>
      <c r="D127" s="863"/>
      <c r="E127" s="706"/>
      <c r="F127" s="863"/>
      <c r="G127" s="706"/>
      <c r="H127" s="863"/>
      <c r="I127" s="706"/>
      <c r="J127" s="863"/>
      <c r="K127" s="706"/>
      <c r="L127" s="863"/>
      <c r="M127" s="706"/>
      <c r="N127" s="706"/>
      <c r="O127" s="863"/>
      <c r="P127" s="706"/>
      <c r="Q127" s="863"/>
      <c r="R127" s="706"/>
      <c r="S127" s="863"/>
      <c r="T127" s="706"/>
      <c r="U127" s="863"/>
      <c r="V127" s="706"/>
      <c r="W127" s="863"/>
      <c r="X127" s="706"/>
      <c r="Y127" s="706"/>
      <c r="Z127" s="727"/>
      <c r="AA127" s="706"/>
      <c r="AB127" s="727"/>
      <c r="AC127" s="706"/>
      <c r="AD127" s="727"/>
      <c r="AE127" s="706"/>
      <c r="AF127" s="727"/>
      <c r="AG127" s="706"/>
      <c r="AH127" s="727"/>
      <c r="AI127" s="706"/>
      <c r="AJ127" s="706"/>
      <c r="AK127" s="727"/>
      <c r="AL127" s="706"/>
      <c r="AM127" s="727"/>
      <c r="AN127" s="706"/>
      <c r="AO127" s="727"/>
      <c r="AP127" s="706"/>
      <c r="AQ127" s="727"/>
      <c r="AR127" s="706"/>
      <c r="AS127" s="727"/>
      <c r="AT127" s="706"/>
      <c r="AU127" s="706"/>
      <c r="AV127" s="727"/>
      <c r="AW127" s="706"/>
      <c r="AX127" s="727"/>
      <c r="AY127" s="706"/>
      <c r="AZ127" s="727"/>
      <c r="BA127" s="706"/>
      <c r="BB127" s="727"/>
      <c r="BC127" s="706"/>
      <c r="BD127" s="727"/>
      <c r="BE127" s="706"/>
    </row>
    <row r="128" spans="1:57" s="48" customFormat="1">
      <c r="A128" s="827"/>
      <c r="B128" s="827"/>
      <c r="C128" s="893"/>
      <c r="D128" s="863"/>
      <c r="E128" s="706"/>
      <c r="F128" s="863"/>
      <c r="G128" s="706"/>
      <c r="H128" s="863"/>
      <c r="I128" s="706"/>
      <c r="J128" s="863"/>
      <c r="K128" s="706"/>
      <c r="L128" s="863"/>
      <c r="M128" s="706"/>
      <c r="N128" s="706"/>
      <c r="O128" s="863"/>
      <c r="P128" s="706"/>
      <c r="Q128" s="863"/>
      <c r="R128" s="706"/>
      <c r="S128" s="863"/>
      <c r="T128" s="706"/>
      <c r="U128" s="863"/>
      <c r="V128" s="706"/>
      <c r="W128" s="863"/>
      <c r="X128" s="706"/>
      <c r="Y128" s="706"/>
      <c r="Z128" s="727"/>
      <c r="AA128" s="706"/>
      <c r="AB128" s="727"/>
      <c r="AC128" s="706"/>
      <c r="AD128" s="727"/>
      <c r="AE128" s="706"/>
      <c r="AF128" s="727"/>
      <c r="AG128" s="706"/>
      <c r="AH128" s="727"/>
      <c r="AI128" s="706"/>
      <c r="AJ128" s="706"/>
      <c r="AK128" s="727"/>
      <c r="AL128" s="706"/>
      <c r="AM128" s="727"/>
      <c r="AN128" s="706"/>
      <c r="AO128" s="727"/>
      <c r="AP128" s="706"/>
      <c r="AQ128" s="727"/>
      <c r="AR128" s="706"/>
      <c r="AS128" s="727"/>
      <c r="AT128" s="706"/>
      <c r="AU128" s="706"/>
      <c r="AV128" s="727"/>
      <c r="AW128" s="706"/>
      <c r="AX128" s="727"/>
      <c r="AY128" s="706"/>
      <c r="AZ128" s="727"/>
      <c r="BA128" s="706"/>
      <c r="BB128" s="727"/>
      <c r="BC128" s="706"/>
      <c r="BD128" s="727"/>
      <c r="BE128" s="706"/>
    </row>
    <row r="129" spans="1:57" s="48" customFormat="1">
      <c r="A129" s="827"/>
      <c r="B129" s="827"/>
      <c r="C129" s="893"/>
      <c r="D129" s="863"/>
      <c r="E129" s="706"/>
      <c r="F129" s="863"/>
      <c r="G129" s="706"/>
      <c r="H129" s="863"/>
      <c r="I129" s="706"/>
      <c r="J129" s="863"/>
      <c r="K129" s="706"/>
      <c r="L129" s="863"/>
      <c r="M129" s="706"/>
      <c r="N129" s="706"/>
      <c r="O129" s="863"/>
      <c r="P129" s="706"/>
      <c r="Q129" s="863"/>
      <c r="R129" s="706"/>
      <c r="S129" s="863"/>
      <c r="T129" s="706"/>
      <c r="U129" s="863"/>
      <c r="V129" s="706"/>
      <c r="W129" s="863"/>
      <c r="X129" s="706"/>
      <c r="Y129" s="706"/>
      <c r="Z129" s="727"/>
      <c r="AA129" s="706"/>
      <c r="AB129" s="727"/>
      <c r="AC129" s="706"/>
      <c r="AD129" s="727"/>
      <c r="AE129" s="706"/>
      <c r="AF129" s="727"/>
      <c r="AG129" s="706"/>
      <c r="AH129" s="727"/>
      <c r="AI129" s="706"/>
      <c r="AJ129" s="706"/>
      <c r="AK129" s="727"/>
      <c r="AL129" s="706"/>
      <c r="AM129" s="727"/>
      <c r="AN129" s="706"/>
      <c r="AO129" s="727"/>
      <c r="AP129" s="706"/>
      <c r="AQ129" s="727"/>
      <c r="AR129" s="706"/>
      <c r="AS129" s="727"/>
      <c r="AT129" s="706"/>
      <c r="AU129" s="706"/>
      <c r="AV129" s="727"/>
      <c r="AW129" s="706"/>
      <c r="AX129" s="727"/>
      <c r="AY129" s="706"/>
      <c r="AZ129" s="727"/>
      <c r="BA129" s="706"/>
      <c r="BB129" s="727"/>
      <c r="BC129" s="706"/>
      <c r="BD129" s="727"/>
      <c r="BE129" s="706"/>
    </row>
    <row r="130" spans="1:57" s="48" customFormat="1">
      <c r="A130" s="827"/>
      <c r="B130" s="827"/>
      <c r="C130" s="893"/>
      <c r="D130" s="863"/>
      <c r="E130" s="706"/>
      <c r="F130" s="863"/>
      <c r="G130" s="706"/>
      <c r="H130" s="863"/>
      <c r="I130" s="706"/>
      <c r="J130" s="863"/>
      <c r="K130" s="706"/>
      <c r="L130" s="863"/>
      <c r="M130" s="706"/>
      <c r="N130" s="706"/>
      <c r="O130" s="863"/>
      <c r="P130" s="706"/>
      <c r="Q130" s="863"/>
      <c r="R130" s="706"/>
      <c r="S130" s="863"/>
      <c r="T130" s="706"/>
      <c r="U130" s="863"/>
      <c r="V130" s="706"/>
      <c r="W130" s="863"/>
      <c r="X130" s="706"/>
      <c r="Y130" s="706"/>
      <c r="Z130" s="727"/>
      <c r="AA130" s="706"/>
      <c r="AB130" s="727"/>
      <c r="AC130" s="706"/>
      <c r="AD130" s="727"/>
      <c r="AE130" s="706"/>
      <c r="AF130" s="727"/>
      <c r="AG130" s="706"/>
      <c r="AH130" s="727"/>
      <c r="AI130" s="706"/>
      <c r="AJ130" s="706"/>
      <c r="AK130" s="727"/>
      <c r="AL130" s="706"/>
      <c r="AM130" s="727"/>
      <c r="AN130" s="706"/>
      <c r="AO130" s="727"/>
      <c r="AP130" s="706"/>
      <c r="AQ130" s="727"/>
      <c r="AR130" s="706"/>
      <c r="AS130" s="727"/>
      <c r="AT130" s="706"/>
      <c r="AU130" s="706"/>
      <c r="AV130" s="727"/>
      <c r="AW130" s="706"/>
      <c r="AX130" s="727"/>
      <c r="AY130" s="706"/>
      <c r="AZ130" s="727"/>
      <c r="BA130" s="706"/>
      <c r="BB130" s="727"/>
      <c r="BC130" s="706"/>
      <c r="BD130" s="727"/>
      <c r="BE130" s="706"/>
    </row>
    <row r="131" spans="1:57" s="48" customFormat="1">
      <c r="A131" s="827"/>
      <c r="B131" s="827"/>
      <c r="C131" s="893"/>
      <c r="D131" s="863"/>
      <c r="E131" s="706"/>
      <c r="F131" s="863"/>
      <c r="G131" s="706"/>
      <c r="H131" s="863"/>
      <c r="I131" s="706"/>
      <c r="J131" s="863"/>
      <c r="K131" s="706"/>
      <c r="L131" s="863"/>
      <c r="M131" s="706"/>
      <c r="N131" s="706"/>
      <c r="O131" s="863"/>
      <c r="P131" s="706"/>
      <c r="Q131" s="863"/>
      <c r="R131" s="706"/>
      <c r="S131" s="863"/>
      <c r="T131" s="706"/>
      <c r="U131" s="863"/>
      <c r="V131" s="706"/>
      <c r="W131" s="863"/>
      <c r="X131" s="706"/>
      <c r="Y131" s="706"/>
      <c r="Z131" s="727"/>
      <c r="AA131" s="706"/>
      <c r="AB131" s="727"/>
      <c r="AC131" s="706"/>
      <c r="AD131" s="727"/>
      <c r="AE131" s="706"/>
      <c r="AF131" s="727"/>
      <c r="AG131" s="706"/>
      <c r="AH131" s="727"/>
      <c r="AI131" s="706"/>
      <c r="AJ131" s="706"/>
      <c r="AK131" s="727"/>
      <c r="AL131" s="706"/>
      <c r="AM131" s="727"/>
      <c r="AN131" s="706"/>
      <c r="AO131" s="727"/>
      <c r="AP131" s="706"/>
      <c r="AQ131" s="727"/>
      <c r="AR131" s="706"/>
      <c r="AS131" s="727"/>
      <c r="AT131" s="706"/>
      <c r="AU131" s="706"/>
      <c r="AV131" s="727"/>
      <c r="AW131" s="706"/>
      <c r="AX131" s="727"/>
      <c r="AY131" s="706"/>
      <c r="AZ131" s="727"/>
      <c r="BA131" s="706"/>
      <c r="BB131" s="727"/>
      <c r="BC131" s="706"/>
      <c r="BD131" s="727"/>
      <c r="BE131" s="706"/>
    </row>
    <row r="132" spans="1:57" s="48" customFormat="1">
      <c r="A132" s="827"/>
      <c r="B132" s="827"/>
      <c r="C132" s="893"/>
      <c r="D132" s="863"/>
      <c r="E132" s="706"/>
      <c r="F132" s="863"/>
      <c r="G132" s="706"/>
      <c r="H132" s="863"/>
      <c r="I132" s="706"/>
      <c r="J132" s="863"/>
      <c r="K132" s="706"/>
      <c r="L132" s="863"/>
      <c r="M132" s="706"/>
      <c r="N132" s="706"/>
      <c r="O132" s="863"/>
      <c r="P132" s="706"/>
      <c r="Q132" s="863"/>
      <c r="R132" s="706"/>
      <c r="S132" s="863"/>
      <c r="T132" s="706"/>
      <c r="U132" s="863"/>
      <c r="V132" s="706"/>
      <c r="W132" s="863"/>
      <c r="X132" s="706"/>
      <c r="Y132" s="706"/>
      <c r="Z132" s="727"/>
      <c r="AA132" s="706"/>
      <c r="AB132" s="727"/>
      <c r="AC132" s="706"/>
      <c r="AD132" s="727"/>
      <c r="AE132" s="706"/>
      <c r="AF132" s="727"/>
      <c r="AG132" s="706"/>
      <c r="AH132" s="727"/>
      <c r="AI132" s="706"/>
      <c r="AJ132" s="706"/>
      <c r="AK132" s="727"/>
      <c r="AL132" s="706"/>
      <c r="AM132" s="727"/>
      <c r="AN132" s="706"/>
      <c r="AO132" s="727"/>
      <c r="AP132" s="706"/>
      <c r="AQ132" s="727"/>
      <c r="AR132" s="706"/>
      <c r="AS132" s="727"/>
      <c r="AT132" s="706"/>
      <c r="AU132" s="706"/>
      <c r="AV132" s="727"/>
      <c r="AW132" s="706"/>
      <c r="AX132" s="727"/>
      <c r="AY132" s="706"/>
      <c r="AZ132" s="727"/>
      <c r="BA132" s="706"/>
      <c r="BB132" s="727"/>
      <c r="BC132" s="706"/>
      <c r="BD132" s="727"/>
      <c r="BE132" s="706"/>
    </row>
    <row r="133" spans="1:57" s="48" customFormat="1">
      <c r="A133" s="827"/>
      <c r="B133" s="827"/>
      <c r="C133" s="893"/>
      <c r="D133" s="863"/>
      <c r="E133" s="706"/>
      <c r="F133" s="863"/>
      <c r="G133" s="706"/>
      <c r="H133" s="863"/>
      <c r="I133" s="706"/>
      <c r="J133" s="863"/>
      <c r="K133" s="706"/>
      <c r="L133" s="863"/>
      <c r="M133" s="706"/>
      <c r="N133" s="706"/>
      <c r="O133" s="863"/>
      <c r="P133" s="706"/>
      <c r="Q133" s="863"/>
      <c r="R133" s="706"/>
      <c r="S133" s="863"/>
      <c r="T133" s="706"/>
      <c r="U133" s="863"/>
      <c r="V133" s="706"/>
      <c r="W133" s="863"/>
      <c r="X133" s="706"/>
      <c r="Y133" s="706"/>
      <c r="Z133" s="727"/>
      <c r="AA133" s="706"/>
      <c r="AB133" s="727"/>
      <c r="AC133" s="706"/>
      <c r="AD133" s="727"/>
      <c r="AE133" s="706"/>
      <c r="AF133" s="727"/>
      <c r="AG133" s="706"/>
      <c r="AH133" s="727"/>
      <c r="AI133" s="706"/>
      <c r="AJ133" s="706"/>
      <c r="AK133" s="727"/>
      <c r="AL133" s="706"/>
      <c r="AM133" s="727"/>
      <c r="AN133" s="706"/>
      <c r="AO133" s="727"/>
      <c r="AP133" s="706"/>
      <c r="AQ133" s="727"/>
      <c r="AR133" s="706"/>
      <c r="AS133" s="727"/>
      <c r="AT133" s="706"/>
      <c r="AU133" s="706"/>
      <c r="AV133" s="727"/>
      <c r="AW133" s="706"/>
      <c r="AX133" s="727"/>
      <c r="AY133" s="706"/>
      <c r="AZ133" s="727"/>
      <c r="BA133" s="706"/>
      <c r="BB133" s="727"/>
      <c r="BC133" s="706"/>
      <c r="BD133" s="727"/>
      <c r="BE133" s="706"/>
    </row>
    <row r="134" spans="1:57" s="48" customFormat="1">
      <c r="A134" s="827"/>
      <c r="B134" s="827"/>
      <c r="C134" s="893"/>
      <c r="D134" s="863"/>
      <c r="E134" s="706"/>
      <c r="F134" s="863"/>
      <c r="G134" s="706"/>
      <c r="H134" s="863"/>
      <c r="I134" s="706"/>
      <c r="J134" s="863"/>
      <c r="K134" s="706"/>
      <c r="L134" s="863"/>
      <c r="M134" s="706"/>
      <c r="N134" s="706"/>
      <c r="O134" s="863"/>
      <c r="P134" s="706"/>
      <c r="Q134" s="863"/>
      <c r="R134" s="706"/>
      <c r="S134" s="863"/>
      <c r="T134" s="706"/>
      <c r="U134" s="863"/>
      <c r="V134" s="706"/>
      <c r="W134" s="863"/>
      <c r="X134" s="706"/>
      <c r="Y134" s="706"/>
      <c r="Z134" s="727"/>
      <c r="AA134" s="706"/>
      <c r="AB134" s="727"/>
      <c r="AC134" s="706"/>
      <c r="AD134" s="727"/>
      <c r="AE134" s="706"/>
      <c r="AF134" s="727"/>
      <c r="AG134" s="706"/>
      <c r="AH134" s="727"/>
      <c r="AI134" s="706"/>
      <c r="AJ134" s="706"/>
      <c r="AK134" s="727"/>
      <c r="AL134" s="706"/>
      <c r="AM134" s="727"/>
      <c r="AN134" s="706"/>
      <c r="AO134" s="727"/>
      <c r="AP134" s="706"/>
      <c r="AQ134" s="727"/>
      <c r="AR134" s="706"/>
      <c r="AS134" s="727"/>
      <c r="AT134" s="706"/>
      <c r="AU134" s="706"/>
      <c r="AV134" s="727"/>
      <c r="AW134" s="706"/>
      <c r="AX134" s="727"/>
      <c r="AY134" s="706"/>
      <c r="AZ134" s="727"/>
      <c r="BA134" s="706"/>
      <c r="BB134" s="727"/>
      <c r="BC134" s="706"/>
      <c r="BD134" s="727"/>
      <c r="BE134" s="706"/>
    </row>
    <row r="135" spans="1:57" s="48" customFormat="1">
      <c r="A135" s="827"/>
      <c r="B135" s="827"/>
      <c r="C135" s="893"/>
      <c r="D135" s="863"/>
      <c r="E135" s="706"/>
      <c r="F135" s="863"/>
      <c r="G135" s="706"/>
      <c r="H135" s="863"/>
      <c r="I135" s="706"/>
      <c r="J135" s="863"/>
      <c r="K135" s="706"/>
      <c r="L135" s="863"/>
      <c r="M135" s="706"/>
      <c r="N135" s="706"/>
      <c r="O135" s="863"/>
      <c r="P135" s="706"/>
      <c r="Q135" s="863"/>
      <c r="R135" s="706"/>
      <c r="S135" s="863"/>
      <c r="T135" s="706"/>
      <c r="U135" s="863"/>
      <c r="V135" s="706"/>
      <c r="W135" s="863"/>
      <c r="X135" s="706"/>
      <c r="Y135" s="706"/>
      <c r="Z135" s="727"/>
      <c r="AA135" s="706"/>
      <c r="AB135" s="727"/>
      <c r="AC135" s="706"/>
      <c r="AD135" s="727"/>
      <c r="AE135" s="706"/>
      <c r="AF135" s="727"/>
      <c r="AG135" s="706"/>
      <c r="AH135" s="727"/>
      <c r="AI135" s="706"/>
      <c r="AJ135" s="706"/>
      <c r="AK135" s="727"/>
      <c r="AL135" s="706"/>
      <c r="AM135" s="727"/>
      <c r="AN135" s="706"/>
      <c r="AO135" s="727"/>
      <c r="AP135" s="706"/>
      <c r="AQ135" s="727"/>
      <c r="AR135" s="706"/>
      <c r="AS135" s="727"/>
      <c r="AT135" s="706"/>
      <c r="AU135" s="706"/>
      <c r="AV135" s="727"/>
      <c r="AW135" s="706"/>
      <c r="AX135" s="727"/>
      <c r="AY135" s="706"/>
      <c r="AZ135" s="727"/>
      <c r="BA135" s="706"/>
      <c r="BB135" s="727"/>
      <c r="BC135" s="706"/>
      <c r="BD135" s="727"/>
      <c r="BE135" s="706"/>
    </row>
    <row r="136" spans="1:57" s="48" customFormat="1">
      <c r="A136" s="827"/>
      <c r="B136" s="827"/>
      <c r="C136" s="893"/>
      <c r="D136" s="863"/>
      <c r="E136" s="706"/>
      <c r="F136" s="863"/>
      <c r="G136" s="706"/>
      <c r="H136" s="863"/>
      <c r="I136" s="706"/>
      <c r="J136" s="863"/>
      <c r="K136" s="706"/>
      <c r="L136" s="863"/>
      <c r="M136" s="706"/>
      <c r="N136" s="706"/>
      <c r="O136" s="863"/>
      <c r="P136" s="706"/>
      <c r="Q136" s="863"/>
      <c r="R136" s="706"/>
      <c r="S136" s="863"/>
      <c r="T136" s="706"/>
      <c r="U136" s="863"/>
      <c r="V136" s="706"/>
      <c r="W136" s="863"/>
      <c r="X136" s="706"/>
      <c r="Y136" s="706"/>
      <c r="Z136" s="727"/>
      <c r="AA136" s="706"/>
      <c r="AB136" s="727"/>
      <c r="AC136" s="706"/>
      <c r="AD136" s="727"/>
      <c r="AE136" s="706"/>
      <c r="AF136" s="727"/>
      <c r="AG136" s="706"/>
      <c r="AH136" s="727"/>
      <c r="AI136" s="706"/>
      <c r="AJ136" s="706"/>
      <c r="AK136" s="727"/>
      <c r="AL136" s="706"/>
      <c r="AM136" s="727"/>
      <c r="AN136" s="706"/>
      <c r="AO136" s="727"/>
      <c r="AP136" s="706"/>
      <c r="AQ136" s="727"/>
      <c r="AR136" s="706"/>
      <c r="AS136" s="727"/>
      <c r="AT136" s="706"/>
      <c r="AU136" s="706"/>
      <c r="AV136" s="727"/>
      <c r="AW136" s="706"/>
      <c r="AX136" s="727"/>
      <c r="AY136" s="706"/>
      <c r="AZ136" s="727"/>
      <c r="BA136" s="706"/>
      <c r="BB136" s="727"/>
      <c r="BC136" s="706"/>
      <c r="BD136" s="727"/>
      <c r="BE136" s="706"/>
    </row>
    <row r="137" spans="1:57" s="48" customFormat="1">
      <c r="A137" s="827"/>
      <c r="B137" s="827"/>
      <c r="C137" s="893"/>
      <c r="D137" s="863"/>
      <c r="E137" s="706"/>
      <c r="F137" s="863"/>
      <c r="G137" s="706"/>
      <c r="H137" s="863"/>
      <c r="I137" s="706"/>
      <c r="J137" s="863"/>
      <c r="K137" s="706"/>
      <c r="L137" s="863"/>
      <c r="M137" s="706"/>
      <c r="N137" s="706"/>
      <c r="O137" s="863"/>
      <c r="P137" s="706"/>
      <c r="Q137" s="863"/>
      <c r="R137" s="706"/>
      <c r="S137" s="863"/>
      <c r="T137" s="706"/>
      <c r="U137" s="863"/>
      <c r="V137" s="706"/>
      <c r="W137" s="863"/>
      <c r="X137" s="706"/>
      <c r="Y137" s="706"/>
      <c r="Z137" s="727"/>
      <c r="AA137" s="706"/>
      <c r="AB137" s="727"/>
      <c r="AC137" s="706"/>
      <c r="AD137" s="727"/>
      <c r="AE137" s="706"/>
      <c r="AF137" s="727"/>
      <c r="AG137" s="706"/>
      <c r="AH137" s="727"/>
      <c r="AI137" s="706"/>
      <c r="AJ137" s="706"/>
      <c r="AK137" s="727"/>
      <c r="AL137" s="706"/>
      <c r="AM137" s="727"/>
      <c r="AN137" s="706"/>
      <c r="AO137" s="727"/>
      <c r="AP137" s="706"/>
      <c r="AQ137" s="727"/>
      <c r="AR137" s="706"/>
      <c r="AS137" s="727"/>
      <c r="AT137" s="706"/>
      <c r="AU137" s="706"/>
      <c r="AV137" s="727"/>
      <c r="AW137" s="706"/>
      <c r="AX137" s="727"/>
      <c r="AY137" s="706"/>
      <c r="AZ137" s="727"/>
      <c r="BA137" s="706"/>
      <c r="BB137" s="727"/>
      <c r="BC137" s="706"/>
      <c r="BD137" s="727"/>
      <c r="BE137" s="706"/>
    </row>
    <row r="138" spans="1:57" s="48" customFormat="1">
      <c r="A138" s="827"/>
      <c r="B138" s="827"/>
      <c r="C138" s="893"/>
      <c r="D138" s="863"/>
      <c r="E138" s="706"/>
      <c r="F138" s="863"/>
      <c r="G138" s="706"/>
      <c r="H138" s="863"/>
      <c r="I138" s="706"/>
      <c r="J138" s="863"/>
      <c r="K138" s="706"/>
      <c r="L138" s="863"/>
      <c r="M138" s="706"/>
      <c r="N138" s="706"/>
      <c r="O138" s="863"/>
      <c r="P138" s="706"/>
      <c r="Q138" s="863"/>
      <c r="R138" s="706"/>
      <c r="S138" s="863"/>
      <c r="T138" s="706"/>
      <c r="U138" s="863"/>
      <c r="V138" s="706"/>
      <c r="W138" s="863"/>
      <c r="X138" s="706"/>
      <c r="Y138" s="706"/>
      <c r="Z138" s="727"/>
      <c r="AA138" s="706"/>
      <c r="AB138" s="727"/>
      <c r="AC138" s="706"/>
      <c r="AD138" s="727"/>
      <c r="AE138" s="706"/>
      <c r="AF138" s="727"/>
      <c r="AG138" s="706"/>
      <c r="AH138" s="727"/>
      <c r="AI138" s="706"/>
      <c r="AJ138" s="706"/>
      <c r="AK138" s="727"/>
      <c r="AL138" s="706"/>
      <c r="AM138" s="727"/>
      <c r="AN138" s="706"/>
      <c r="AO138" s="727"/>
      <c r="AP138" s="706"/>
      <c r="AQ138" s="727"/>
      <c r="AR138" s="706"/>
      <c r="AS138" s="727"/>
      <c r="AT138" s="706"/>
      <c r="AU138" s="706"/>
      <c r="AV138" s="727"/>
      <c r="AW138" s="706"/>
      <c r="AX138" s="727"/>
      <c r="AY138" s="706"/>
      <c r="AZ138" s="727"/>
      <c r="BA138" s="706"/>
      <c r="BB138" s="727"/>
      <c r="BC138" s="706"/>
      <c r="BD138" s="727"/>
      <c r="BE138" s="706"/>
    </row>
    <row r="139" spans="1:57" s="48" customFormat="1">
      <c r="A139" s="827"/>
      <c r="B139" s="827"/>
      <c r="C139" s="893"/>
      <c r="D139" s="863"/>
      <c r="E139" s="706"/>
      <c r="F139" s="863"/>
      <c r="G139" s="706"/>
      <c r="H139" s="863"/>
      <c r="I139" s="706"/>
      <c r="J139" s="863"/>
      <c r="K139" s="706"/>
      <c r="L139" s="863"/>
      <c r="M139" s="706"/>
      <c r="N139" s="706"/>
      <c r="O139" s="863"/>
      <c r="P139" s="706"/>
      <c r="Q139" s="863"/>
      <c r="R139" s="706"/>
      <c r="S139" s="863"/>
      <c r="T139" s="706"/>
      <c r="U139" s="863"/>
      <c r="V139" s="706"/>
      <c r="W139" s="863"/>
      <c r="X139" s="706"/>
      <c r="Y139" s="706"/>
      <c r="Z139" s="727"/>
      <c r="AA139" s="706"/>
      <c r="AB139" s="727"/>
      <c r="AC139" s="706"/>
      <c r="AD139" s="727"/>
      <c r="AE139" s="706"/>
      <c r="AF139" s="727"/>
      <c r="AG139" s="706"/>
      <c r="AH139" s="727"/>
      <c r="AI139" s="706"/>
      <c r="AJ139" s="706"/>
      <c r="AK139" s="727"/>
      <c r="AL139" s="706"/>
      <c r="AM139" s="727"/>
      <c r="AN139" s="706"/>
      <c r="AO139" s="727"/>
      <c r="AP139" s="706"/>
      <c r="AQ139" s="727"/>
      <c r="AR139" s="706"/>
      <c r="AS139" s="727"/>
      <c r="AT139" s="706"/>
      <c r="AU139" s="706"/>
      <c r="AV139" s="727"/>
      <c r="AW139" s="706"/>
      <c r="AX139" s="727"/>
      <c r="AY139" s="706"/>
      <c r="AZ139" s="727"/>
      <c r="BA139" s="706"/>
      <c r="BB139" s="727"/>
      <c r="BC139" s="706"/>
      <c r="BD139" s="727"/>
      <c r="BE139" s="706"/>
    </row>
    <row r="140" spans="1:57" s="48" customFormat="1">
      <c r="A140" s="827"/>
      <c r="B140" s="827"/>
      <c r="C140" s="893"/>
      <c r="D140" s="863"/>
      <c r="E140" s="706"/>
      <c r="F140" s="863"/>
      <c r="G140" s="706"/>
      <c r="H140" s="863"/>
      <c r="I140" s="706"/>
      <c r="J140" s="863"/>
      <c r="K140" s="706"/>
      <c r="L140" s="863"/>
      <c r="M140" s="706"/>
      <c r="N140" s="706"/>
      <c r="O140" s="863"/>
      <c r="P140" s="706"/>
      <c r="Q140" s="863"/>
      <c r="R140" s="706"/>
      <c r="S140" s="863"/>
      <c r="T140" s="706"/>
      <c r="U140" s="863"/>
      <c r="V140" s="706"/>
      <c r="W140" s="863"/>
      <c r="X140" s="706"/>
      <c r="Y140" s="706"/>
      <c r="Z140" s="727"/>
      <c r="AA140" s="706"/>
      <c r="AB140" s="727"/>
      <c r="AC140" s="706"/>
      <c r="AD140" s="727"/>
      <c r="AE140" s="706"/>
      <c r="AF140" s="727"/>
      <c r="AG140" s="706"/>
      <c r="AH140" s="727"/>
      <c r="AI140" s="706"/>
      <c r="AJ140" s="706"/>
      <c r="AK140" s="727"/>
      <c r="AL140" s="706"/>
      <c r="AM140" s="727"/>
      <c r="AN140" s="706"/>
      <c r="AO140" s="727"/>
      <c r="AP140" s="706"/>
      <c r="AQ140" s="727"/>
      <c r="AR140" s="706"/>
      <c r="AS140" s="727"/>
      <c r="AT140" s="706"/>
      <c r="AU140" s="706"/>
      <c r="AV140" s="727"/>
      <c r="AW140" s="706"/>
      <c r="AX140" s="727"/>
      <c r="AY140" s="706"/>
      <c r="AZ140" s="727"/>
      <c r="BA140" s="706"/>
      <c r="BB140" s="727"/>
      <c r="BC140" s="706"/>
      <c r="BD140" s="727"/>
      <c r="BE140" s="706"/>
    </row>
    <row r="141" spans="1:57" s="48" customFormat="1">
      <c r="A141" s="827"/>
      <c r="B141" s="827"/>
      <c r="C141" s="893"/>
      <c r="D141" s="863"/>
      <c r="E141" s="706"/>
      <c r="F141" s="863"/>
      <c r="G141" s="706"/>
      <c r="H141" s="863"/>
      <c r="I141" s="706"/>
      <c r="J141" s="863"/>
      <c r="K141" s="706"/>
      <c r="L141" s="863"/>
      <c r="M141" s="706"/>
      <c r="N141" s="706"/>
      <c r="O141" s="863"/>
      <c r="P141" s="706"/>
      <c r="Q141" s="863"/>
      <c r="R141" s="706"/>
      <c r="S141" s="863"/>
      <c r="T141" s="706"/>
      <c r="U141" s="863"/>
      <c r="V141" s="706"/>
      <c r="W141" s="863"/>
      <c r="X141" s="706"/>
      <c r="Y141" s="706"/>
      <c r="Z141" s="727"/>
      <c r="AA141" s="706"/>
      <c r="AB141" s="727"/>
      <c r="AC141" s="706"/>
      <c r="AD141" s="727"/>
      <c r="AE141" s="706"/>
      <c r="AF141" s="727"/>
      <c r="AG141" s="706"/>
      <c r="AH141" s="727"/>
      <c r="AI141" s="706"/>
      <c r="AJ141" s="706"/>
      <c r="AK141" s="727"/>
      <c r="AL141" s="706"/>
      <c r="AM141" s="727"/>
      <c r="AN141" s="706"/>
      <c r="AO141" s="727"/>
      <c r="AP141" s="706"/>
      <c r="AQ141" s="727"/>
      <c r="AR141" s="706"/>
      <c r="AS141" s="727"/>
      <c r="AT141" s="706"/>
      <c r="AU141" s="706"/>
      <c r="AV141" s="727"/>
      <c r="AW141" s="706"/>
      <c r="AX141" s="727"/>
      <c r="AY141" s="706"/>
      <c r="AZ141" s="727"/>
      <c r="BA141" s="706"/>
      <c r="BB141" s="727"/>
      <c r="BC141" s="706"/>
      <c r="BD141" s="727"/>
      <c r="BE141" s="706"/>
    </row>
    <row r="142" spans="1:57" s="48" customFormat="1">
      <c r="A142" s="827"/>
      <c r="B142" s="827"/>
      <c r="C142" s="893"/>
      <c r="D142" s="863"/>
      <c r="E142" s="706"/>
      <c r="F142" s="863"/>
      <c r="G142" s="706"/>
      <c r="H142" s="863"/>
      <c r="I142" s="706"/>
      <c r="J142" s="863"/>
      <c r="K142" s="706"/>
      <c r="L142" s="863"/>
      <c r="M142" s="706"/>
      <c r="N142" s="706"/>
      <c r="O142" s="863"/>
      <c r="P142" s="706"/>
      <c r="Q142" s="863"/>
      <c r="R142" s="706"/>
      <c r="S142" s="863"/>
      <c r="T142" s="706"/>
      <c r="U142" s="863"/>
      <c r="V142" s="706"/>
      <c r="W142" s="863"/>
      <c r="X142" s="706"/>
      <c r="Y142" s="706"/>
      <c r="Z142" s="727"/>
      <c r="AA142" s="706"/>
      <c r="AB142" s="727"/>
      <c r="AC142" s="706"/>
      <c r="AD142" s="727"/>
      <c r="AE142" s="706"/>
      <c r="AF142" s="727"/>
      <c r="AG142" s="706"/>
      <c r="AH142" s="727"/>
      <c r="AI142" s="706"/>
      <c r="AJ142" s="706"/>
      <c r="AK142" s="727"/>
      <c r="AL142" s="706"/>
      <c r="AM142" s="727"/>
      <c r="AN142" s="706"/>
      <c r="AO142" s="727"/>
      <c r="AP142" s="706"/>
      <c r="AQ142" s="727"/>
      <c r="AR142" s="706"/>
      <c r="AS142" s="727"/>
      <c r="AT142" s="706"/>
      <c r="AU142" s="706"/>
      <c r="AV142" s="727"/>
      <c r="AW142" s="706"/>
      <c r="AX142" s="727"/>
      <c r="AY142" s="706"/>
      <c r="AZ142" s="727"/>
      <c r="BA142" s="706"/>
      <c r="BB142" s="727"/>
      <c r="BC142" s="706"/>
      <c r="BD142" s="727"/>
      <c r="BE142" s="706"/>
    </row>
    <row r="143" spans="1:57" s="48" customFormat="1">
      <c r="A143" s="827"/>
      <c r="B143" s="827"/>
      <c r="C143" s="893"/>
      <c r="D143" s="863"/>
      <c r="E143" s="706"/>
      <c r="F143" s="863"/>
      <c r="G143" s="706"/>
      <c r="H143" s="863"/>
      <c r="I143" s="706"/>
      <c r="J143" s="863"/>
      <c r="K143" s="706"/>
      <c r="L143" s="863"/>
      <c r="M143" s="706"/>
      <c r="N143" s="706"/>
      <c r="O143" s="863"/>
      <c r="P143" s="706"/>
      <c r="Q143" s="863"/>
      <c r="R143" s="706"/>
      <c r="S143" s="863"/>
      <c r="T143" s="706"/>
      <c r="U143" s="863"/>
      <c r="V143" s="706"/>
      <c r="W143" s="863"/>
      <c r="X143" s="706"/>
      <c r="Y143" s="706"/>
      <c r="Z143" s="727"/>
      <c r="AA143" s="706"/>
      <c r="AB143" s="727"/>
      <c r="AC143" s="706"/>
      <c r="AD143" s="727"/>
      <c r="AE143" s="706"/>
      <c r="AF143" s="727"/>
      <c r="AG143" s="706"/>
      <c r="AH143" s="727"/>
      <c r="AI143" s="706"/>
      <c r="AJ143" s="706"/>
      <c r="AK143" s="727"/>
      <c r="AL143" s="706"/>
      <c r="AM143" s="727"/>
      <c r="AN143" s="706"/>
      <c r="AO143" s="727"/>
      <c r="AP143" s="706"/>
      <c r="AQ143" s="727"/>
      <c r="AR143" s="706"/>
      <c r="AS143" s="727"/>
      <c r="AT143" s="706"/>
      <c r="AU143" s="706"/>
      <c r="AV143" s="727"/>
      <c r="AW143" s="706"/>
      <c r="AX143" s="727"/>
      <c r="AY143" s="706"/>
      <c r="AZ143" s="727"/>
      <c r="BA143" s="706"/>
      <c r="BB143" s="727"/>
      <c r="BC143" s="706"/>
      <c r="BD143" s="727"/>
      <c r="BE143" s="706"/>
    </row>
    <row r="144" spans="1:57" s="48" customFormat="1">
      <c r="A144" s="827"/>
      <c r="B144" s="827"/>
      <c r="C144" s="893"/>
      <c r="D144" s="863"/>
      <c r="E144" s="706"/>
      <c r="F144" s="863"/>
      <c r="G144" s="706"/>
      <c r="H144" s="863"/>
      <c r="I144" s="706"/>
      <c r="J144" s="863"/>
      <c r="K144" s="706"/>
      <c r="L144" s="863"/>
      <c r="M144" s="706"/>
      <c r="N144" s="706"/>
      <c r="O144" s="863"/>
      <c r="P144" s="706"/>
      <c r="Q144" s="863"/>
      <c r="R144" s="706"/>
      <c r="S144" s="863"/>
      <c r="T144" s="706"/>
      <c r="U144" s="863"/>
      <c r="V144" s="706"/>
      <c r="W144" s="863"/>
      <c r="X144" s="706"/>
      <c r="Y144" s="706"/>
      <c r="Z144" s="727"/>
      <c r="AA144" s="706"/>
      <c r="AB144" s="727"/>
      <c r="AC144" s="706"/>
      <c r="AD144" s="727"/>
      <c r="AE144" s="706"/>
      <c r="AF144" s="727"/>
      <c r="AG144" s="706"/>
      <c r="AH144" s="727"/>
      <c r="AI144" s="706"/>
      <c r="AJ144" s="706"/>
      <c r="AK144" s="727"/>
      <c r="AL144" s="706"/>
      <c r="AM144" s="727"/>
      <c r="AN144" s="706"/>
      <c r="AO144" s="727"/>
      <c r="AP144" s="706"/>
      <c r="AQ144" s="727"/>
      <c r="AR144" s="706"/>
      <c r="AS144" s="727"/>
      <c r="AT144" s="706"/>
      <c r="AU144" s="706"/>
      <c r="AV144" s="727"/>
      <c r="AW144" s="706"/>
      <c r="AX144" s="727"/>
      <c r="AY144" s="706"/>
      <c r="AZ144" s="727"/>
      <c r="BA144" s="706"/>
      <c r="BB144" s="727"/>
      <c r="BC144" s="706"/>
      <c r="BD144" s="727"/>
      <c r="BE144" s="706"/>
    </row>
    <row r="145" spans="1:57" s="48" customFormat="1">
      <c r="A145" s="827"/>
      <c r="B145" s="827"/>
      <c r="C145" s="893"/>
      <c r="D145" s="863"/>
      <c r="E145" s="706"/>
      <c r="F145" s="863"/>
      <c r="G145" s="706"/>
      <c r="H145" s="863"/>
      <c r="I145" s="706"/>
      <c r="J145" s="863"/>
      <c r="K145" s="706"/>
      <c r="L145" s="863"/>
      <c r="M145" s="706"/>
      <c r="N145" s="706"/>
      <c r="O145" s="863"/>
      <c r="P145" s="706"/>
      <c r="Q145" s="863"/>
      <c r="R145" s="706"/>
      <c r="S145" s="863"/>
      <c r="T145" s="706"/>
      <c r="U145" s="863"/>
      <c r="V145" s="706"/>
      <c r="W145" s="863"/>
      <c r="X145" s="706"/>
      <c r="Y145" s="706"/>
      <c r="Z145" s="727"/>
      <c r="AA145" s="706"/>
      <c r="AB145" s="727"/>
      <c r="AC145" s="706"/>
      <c r="AD145" s="727"/>
      <c r="AE145" s="706"/>
      <c r="AF145" s="727"/>
      <c r="AG145" s="706"/>
      <c r="AH145" s="727"/>
      <c r="AI145" s="706"/>
      <c r="AJ145" s="706"/>
      <c r="AK145" s="727"/>
      <c r="AL145" s="706"/>
      <c r="AM145" s="727"/>
      <c r="AN145" s="706"/>
      <c r="AO145" s="727"/>
      <c r="AP145" s="706"/>
      <c r="AQ145" s="727"/>
      <c r="AR145" s="706"/>
      <c r="AS145" s="727"/>
      <c r="AT145" s="706"/>
      <c r="AU145" s="706"/>
      <c r="AV145" s="727"/>
      <c r="AW145" s="706"/>
      <c r="AX145" s="727"/>
      <c r="AY145" s="706"/>
      <c r="AZ145" s="727"/>
      <c r="BA145" s="706"/>
      <c r="BB145" s="727"/>
      <c r="BC145" s="706"/>
      <c r="BD145" s="727"/>
      <c r="BE145" s="706"/>
    </row>
    <row r="146" spans="1:57" s="48" customFormat="1">
      <c r="A146" s="827"/>
      <c r="B146" s="827"/>
      <c r="C146" s="893"/>
      <c r="D146" s="863"/>
      <c r="E146" s="706"/>
      <c r="F146" s="863"/>
      <c r="G146" s="706"/>
      <c r="H146" s="863"/>
      <c r="I146" s="706"/>
      <c r="J146" s="863"/>
      <c r="K146" s="706"/>
      <c r="L146" s="863"/>
      <c r="M146" s="706"/>
      <c r="N146" s="706"/>
      <c r="O146" s="863"/>
      <c r="P146" s="706"/>
      <c r="Q146" s="863"/>
      <c r="R146" s="706"/>
      <c r="S146" s="863"/>
      <c r="T146" s="706"/>
      <c r="U146" s="863"/>
      <c r="V146" s="706"/>
      <c r="W146" s="863"/>
      <c r="X146" s="706"/>
      <c r="Y146" s="706"/>
      <c r="Z146" s="727"/>
      <c r="AA146" s="706"/>
      <c r="AB146" s="727"/>
      <c r="AC146" s="706"/>
      <c r="AD146" s="727"/>
      <c r="AE146" s="706"/>
      <c r="AF146" s="727"/>
      <c r="AG146" s="706"/>
      <c r="AH146" s="727"/>
      <c r="AI146" s="706"/>
      <c r="AJ146" s="706"/>
      <c r="AK146" s="727"/>
      <c r="AL146" s="706"/>
      <c r="AM146" s="727"/>
      <c r="AN146" s="706"/>
      <c r="AO146" s="727"/>
      <c r="AP146" s="706"/>
      <c r="AQ146" s="727"/>
      <c r="AR146" s="706"/>
      <c r="AS146" s="727"/>
      <c r="AT146" s="706"/>
      <c r="AU146" s="706"/>
      <c r="AV146" s="727"/>
      <c r="AW146" s="706"/>
      <c r="AX146" s="727"/>
      <c r="AY146" s="706"/>
      <c r="AZ146" s="727"/>
      <c r="BA146" s="706"/>
      <c r="BB146" s="727"/>
      <c r="BC146" s="706"/>
      <c r="BD146" s="727"/>
      <c r="BE146" s="706"/>
    </row>
    <row r="147" spans="1:57" s="48" customFormat="1">
      <c r="A147" s="827"/>
      <c r="B147" s="827"/>
      <c r="C147" s="893"/>
      <c r="D147" s="863"/>
      <c r="E147" s="706"/>
      <c r="F147" s="863"/>
      <c r="G147" s="706"/>
      <c r="H147" s="863"/>
      <c r="I147" s="706"/>
      <c r="J147" s="863"/>
      <c r="K147" s="706"/>
      <c r="L147" s="863"/>
      <c r="M147" s="706"/>
      <c r="N147" s="706"/>
      <c r="O147" s="863"/>
      <c r="P147" s="706"/>
      <c r="Q147" s="863"/>
      <c r="R147" s="706"/>
      <c r="S147" s="863"/>
      <c r="T147" s="706"/>
      <c r="U147" s="863"/>
      <c r="V147" s="706"/>
      <c r="W147" s="863"/>
      <c r="X147" s="706"/>
      <c r="Y147" s="706"/>
      <c r="Z147" s="727"/>
      <c r="AA147" s="706"/>
      <c r="AB147" s="727"/>
      <c r="AC147" s="706"/>
      <c r="AD147" s="727"/>
      <c r="AE147" s="706"/>
      <c r="AF147" s="727"/>
      <c r="AG147" s="706"/>
      <c r="AH147" s="727"/>
      <c r="AI147" s="706"/>
      <c r="AJ147" s="706"/>
      <c r="AK147" s="727"/>
      <c r="AL147" s="706"/>
      <c r="AM147" s="727"/>
      <c r="AN147" s="706"/>
      <c r="AO147" s="727"/>
      <c r="AP147" s="706"/>
      <c r="AQ147" s="727"/>
      <c r="AR147" s="706"/>
      <c r="AS147" s="727"/>
      <c r="AT147" s="706"/>
      <c r="AU147" s="706"/>
      <c r="AV147" s="727"/>
      <c r="AW147" s="706"/>
      <c r="AX147" s="727"/>
      <c r="AY147" s="706"/>
      <c r="AZ147" s="727"/>
      <c r="BA147" s="706"/>
      <c r="BB147" s="727"/>
      <c r="BC147" s="706"/>
      <c r="BD147" s="727"/>
      <c r="BE147" s="706"/>
    </row>
    <row r="148" spans="1:57" s="48" customFormat="1">
      <c r="A148" s="827"/>
      <c r="B148" s="827"/>
      <c r="C148" s="893"/>
      <c r="D148" s="863"/>
      <c r="E148" s="706"/>
      <c r="F148" s="863"/>
      <c r="G148" s="706"/>
      <c r="H148" s="863"/>
      <c r="I148" s="706"/>
      <c r="J148" s="863"/>
      <c r="K148" s="706"/>
      <c r="L148" s="863"/>
      <c r="M148" s="706"/>
      <c r="N148" s="706"/>
      <c r="O148" s="863"/>
      <c r="P148" s="706"/>
      <c r="Q148" s="863"/>
      <c r="R148" s="706"/>
      <c r="S148" s="863"/>
      <c r="T148" s="706"/>
      <c r="U148" s="863"/>
      <c r="V148" s="706"/>
      <c r="W148" s="863"/>
      <c r="X148" s="706"/>
      <c r="Y148" s="706"/>
      <c r="Z148" s="727"/>
      <c r="AA148" s="706"/>
      <c r="AB148" s="727"/>
      <c r="AC148" s="706"/>
      <c r="AD148" s="727"/>
      <c r="AE148" s="706"/>
      <c r="AF148" s="727"/>
      <c r="AG148" s="706"/>
      <c r="AH148" s="727"/>
      <c r="AI148" s="706"/>
      <c r="AJ148" s="706"/>
      <c r="AK148" s="727"/>
      <c r="AL148" s="706"/>
      <c r="AM148" s="727"/>
      <c r="AN148" s="706"/>
      <c r="AO148" s="727"/>
      <c r="AP148" s="706"/>
      <c r="AQ148" s="727"/>
      <c r="AR148" s="706"/>
      <c r="AS148" s="727"/>
      <c r="AT148" s="706"/>
      <c r="AU148" s="706"/>
      <c r="AV148" s="727"/>
      <c r="AW148" s="706"/>
      <c r="AX148" s="727"/>
      <c r="AY148" s="706"/>
      <c r="AZ148" s="727"/>
      <c r="BA148" s="706"/>
      <c r="BB148" s="727"/>
      <c r="BC148" s="706"/>
      <c r="BD148" s="727"/>
      <c r="BE148" s="706"/>
    </row>
    <row r="149" spans="1:57" s="48" customFormat="1">
      <c r="A149" s="827"/>
      <c r="B149" s="827"/>
      <c r="C149" s="893"/>
      <c r="D149" s="863"/>
      <c r="E149" s="706"/>
      <c r="F149" s="863"/>
      <c r="G149" s="706"/>
      <c r="H149" s="863"/>
      <c r="I149" s="706"/>
      <c r="J149" s="863"/>
      <c r="K149" s="706"/>
      <c r="L149" s="863"/>
      <c r="M149" s="706"/>
      <c r="N149" s="706"/>
      <c r="O149" s="863"/>
      <c r="P149" s="706"/>
      <c r="Q149" s="863"/>
      <c r="R149" s="706"/>
      <c r="S149" s="863"/>
      <c r="T149" s="706"/>
      <c r="U149" s="863"/>
      <c r="V149" s="706"/>
      <c r="W149" s="863"/>
      <c r="X149" s="706"/>
      <c r="Y149" s="706"/>
      <c r="Z149" s="727"/>
      <c r="AA149" s="706"/>
      <c r="AB149" s="727"/>
      <c r="AC149" s="706"/>
      <c r="AD149" s="727"/>
      <c r="AE149" s="706"/>
      <c r="AF149" s="727"/>
      <c r="AG149" s="706"/>
      <c r="AH149" s="727"/>
      <c r="AI149" s="706"/>
      <c r="AJ149" s="706"/>
      <c r="AK149" s="727"/>
      <c r="AL149" s="706"/>
      <c r="AM149" s="727"/>
      <c r="AN149" s="706"/>
      <c r="AO149" s="727"/>
      <c r="AP149" s="706"/>
      <c r="AQ149" s="727"/>
      <c r="AR149" s="706"/>
      <c r="AS149" s="727"/>
      <c r="AT149" s="706"/>
      <c r="AU149" s="706"/>
      <c r="AV149" s="727"/>
      <c r="AW149" s="706"/>
      <c r="AX149" s="727"/>
      <c r="AY149" s="706"/>
      <c r="AZ149" s="727"/>
      <c r="BA149" s="706"/>
      <c r="BB149" s="727"/>
      <c r="BC149" s="706"/>
      <c r="BD149" s="727"/>
      <c r="BE149" s="706"/>
    </row>
    <row r="150" spans="1:57" s="48" customFormat="1">
      <c r="A150" s="827"/>
      <c r="B150" s="827"/>
      <c r="C150" s="893"/>
      <c r="D150" s="863"/>
      <c r="E150" s="706"/>
      <c r="F150" s="863"/>
      <c r="G150" s="706"/>
      <c r="H150" s="863"/>
      <c r="I150" s="706"/>
      <c r="J150" s="863"/>
      <c r="K150" s="706"/>
      <c r="L150" s="863"/>
      <c r="M150" s="706"/>
      <c r="N150" s="706"/>
      <c r="O150" s="863"/>
      <c r="P150" s="706"/>
      <c r="Q150" s="863"/>
      <c r="R150" s="706"/>
      <c r="S150" s="863"/>
      <c r="T150" s="706"/>
      <c r="U150" s="863"/>
      <c r="V150" s="706"/>
      <c r="W150" s="863"/>
      <c r="X150" s="706"/>
      <c r="Y150" s="706"/>
      <c r="Z150" s="727"/>
      <c r="AA150" s="706"/>
      <c r="AB150" s="727"/>
      <c r="AC150" s="706"/>
      <c r="AD150" s="727"/>
      <c r="AE150" s="706"/>
      <c r="AF150" s="727"/>
      <c r="AG150" s="706"/>
      <c r="AH150" s="727"/>
      <c r="AI150" s="706"/>
      <c r="AJ150" s="706"/>
      <c r="AK150" s="727"/>
      <c r="AL150" s="706"/>
      <c r="AM150" s="727"/>
      <c r="AN150" s="706"/>
      <c r="AO150" s="727"/>
      <c r="AP150" s="706"/>
      <c r="AQ150" s="727"/>
      <c r="AR150" s="706"/>
      <c r="AS150" s="727"/>
      <c r="AT150" s="706"/>
      <c r="AU150" s="706"/>
      <c r="AV150" s="727"/>
      <c r="AW150" s="706"/>
      <c r="AX150" s="727"/>
      <c r="AY150" s="706"/>
      <c r="AZ150" s="727"/>
      <c r="BA150" s="706"/>
      <c r="BB150" s="727"/>
      <c r="BC150" s="706"/>
      <c r="BD150" s="727"/>
      <c r="BE150" s="706"/>
    </row>
    <row r="151" spans="1:57" s="48" customFormat="1">
      <c r="A151" s="827"/>
      <c r="B151" s="827"/>
      <c r="C151" s="893"/>
      <c r="D151" s="863"/>
      <c r="E151" s="706"/>
      <c r="F151" s="863"/>
      <c r="G151" s="706"/>
      <c r="H151" s="863"/>
      <c r="I151" s="706"/>
      <c r="J151" s="863"/>
      <c r="K151" s="706"/>
      <c r="L151" s="863"/>
      <c r="M151" s="706"/>
      <c r="N151" s="706"/>
      <c r="O151" s="863"/>
      <c r="P151" s="706"/>
      <c r="Q151" s="863"/>
      <c r="R151" s="706"/>
      <c r="S151" s="863"/>
      <c r="T151" s="706"/>
      <c r="U151" s="863"/>
      <c r="V151" s="706"/>
      <c r="W151" s="863"/>
      <c r="X151" s="706"/>
      <c r="Y151" s="706"/>
      <c r="Z151" s="727"/>
      <c r="AA151" s="706"/>
      <c r="AB151" s="727"/>
      <c r="AC151" s="706"/>
      <c r="AD151" s="727"/>
      <c r="AE151" s="706"/>
      <c r="AF151" s="727"/>
      <c r="AG151" s="706"/>
      <c r="AH151" s="727"/>
      <c r="AI151" s="706"/>
      <c r="AJ151" s="706"/>
      <c r="AK151" s="727"/>
      <c r="AL151" s="706"/>
      <c r="AM151" s="727"/>
      <c r="AN151" s="706"/>
      <c r="AO151" s="727"/>
      <c r="AP151" s="706"/>
      <c r="AQ151" s="727"/>
      <c r="AR151" s="706"/>
      <c r="AS151" s="727"/>
      <c r="AT151" s="706"/>
      <c r="AU151" s="706"/>
      <c r="AV151" s="727"/>
      <c r="AW151" s="706"/>
      <c r="AX151" s="727"/>
      <c r="AY151" s="706"/>
      <c r="AZ151" s="727"/>
      <c r="BA151" s="706"/>
      <c r="BB151" s="727"/>
      <c r="BC151" s="706"/>
      <c r="BD151" s="727"/>
      <c r="BE151" s="706"/>
    </row>
    <row r="152" spans="1:57" s="48" customFormat="1">
      <c r="A152" s="827"/>
      <c r="B152" s="827"/>
      <c r="C152" s="893"/>
      <c r="D152" s="863"/>
      <c r="E152" s="706"/>
      <c r="F152" s="863"/>
      <c r="G152" s="706"/>
      <c r="H152" s="863"/>
      <c r="I152" s="706"/>
      <c r="J152" s="863"/>
      <c r="K152" s="706"/>
      <c r="L152" s="863"/>
      <c r="M152" s="706"/>
      <c r="N152" s="706"/>
      <c r="O152" s="863"/>
      <c r="P152" s="706"/>
      <c r="Q152" s="863"/>
      <c r="R152" s="706"/>
      <c r="S152" s="863"/>
      <c r="T152" s="706"/>
      <c r="U152" s="863"/>
      <c r="V152" s="706"/>
      <c r="W152" s="863"/>
      <c r="X152" s="706"/>
      <c r="Y152" s="706"/>
      <c r="Z152" s="727"/>
      <c r="AA152" s="706"/>
      <c r="AB152" s="727"/>
      <c r="AC152" s="706"/>
      <c r="AD152" s="727"/>
      <c r="AE152" s="706"/>
      <c r="AF152" s="727"/>
      <c r="AG152" s="706"/>
      <c r="AH152" s="727"/>
      <c r="AI152" s="706"/>
      <c r="AJ152" s="706"/>
      <c r="AK152" s="727"/>
      <c r="AL152" s="706"/>
      <c r="AM152" s="727"/>
      <c r="AN152" s="706"/>
      <c r="AO152" s="727"/>
      <c r="AP152" s="706"/>
      <c r="AQ152" s="727"/>
      <c r="AR152" s="706"/>
      <c r="AS152" s="727"/>
      <c r="AT152" s="706"/>
      <c r="AU152" s="706"/>
      <c r="AV152" s="727"/>
      <c r="AW152" s="706"/>
      <c r="AX152" s="727"/>
      <c r="AY152" s="706"/>
      <c r="AZ152" s="727"/>
      <c r="BA152" s="706"/>
      <c r="BB152" s="727"/>
      <c r="BC152" s="706"/>
      <c r="BD152" s="727"/>
      <c r="BE152" s="706"/>
    </row>
    <row r="153" spans="1:57" s="48" customFormat="1">
      <c r="A153" s="827"/>
      <c r="B153" s="827"/>
      <c r="C153" s="893"/>
      <c r="D153" s="863"/>
      <c r="E153" s="706"/>
      <c r="F153" s="863"/>
      <c r="G153" s="706"/>
      <c r="H153" s="863"/>
      <c r="I153" s="706"/>
      <c r="J153" s="863"/>
      <c r="K153" s="706"/>
      <c r="L153" s="863"/>
      <c r="M153" s="706"/>
      <c r="N153" s="706"/>
      <c r="O153" s="863"/>
      <c r="P153" s="706"/>
      <c r="Q153" s="863"/>
      <c r="R153" s="706"/>
      <c r="S153" s="863"/>
      <c r="T153" s="706"/>
      <c r="U153" s="863"/>
      <c r="V153" s="706"/>
      <c r="W153" s="863"/>
      <c r="X153" s="706"/>
      <c r="Y153" s="706"/>
      <c r="Z153" s="727"/>
      <c r="AA153" s="706"/>
      <c r="AB153" s="727"/>
      <c r="AC153" s="706"/>
      <c r="AD153" s="727"/>
      <c r="AE153" s="706"/>
      <c r="AF153" s="727"/>
      <c r="AG153" s="706"/>
      <c r="AH153" s="727"/>
      <c r="AI153" s="706"/>
      <c r="AJ153" s="706"/>
      <c r="AK153" s="727"/>
      <c r="AL153" s="706"/>
      <c r="AM153" s="727"/>
      <c r="AN153" s="706"/>
      <c r="AO153" s="727"/>
      <c r="AP153" s="706"/>
      <c r="AQ153" s="727"/>
      <c r="AR153" s="706"/>
      <c r="AS153" s="727"/>
      <c r="AT153" s="706"/>
      <c r="AU153" s="706"/>
      <c r="AV153" s="727"/>
      <c r="AW153" s="706"/>
      <c r="AX153" s="727"/>
      <c r="AY153" s="706"/>
      <c r="AZ153" s="727"/>
      <c r="BA153" s="706"/>
      <c r="BB153" s="727"/>
      <c r="BC153" s="706"/>
      <c r="BD153" s="727"/>
      <c r="BE153" s="706"/>
    </row>
    <row r="154" spans="1:57" s="48" customFormat="1">
      <c r="A154" s="827"/>
      <c r="B154" s="827"/>
      <c r="C154" s="893"/>
      <c r="D154" s="863"/>
      <c r="E154" s="706"/>
      <c r="F154" s="863"/>
      <c r="G154" s="706"/>
      <c r="H154" s="863"/>
      <c r="I154" s="706"/>
      <c r="J154" s="863"/>
      <c r="K154" s="706"/>
      <c r="L154" s="863"/>
      <c r="M154" s="706"/>
      <c r="N154" s="706"/>
      <c r="O154" s="863"/>
      <c r="P154" s="706"/>
      <c r="Q154" s="863"/>
      <c r="R154" s="706"/>
      <c r="S154" s="863"/>
      <c r="T154" s="706"/>
      <c r="U154" s="863"/>
      <c r="V154" s="706"/>
      <c r="W154" s="863"/>
      <c r="X154" s="706"/>
      <c r="Y154" s="706"/>
      <c r="Z154" s="727"/>
      <c r="AA154" s="706"/>
      <c r="AB154" s="727"/>
      <c r="AC154" s="706"/>
      <c r="AD154" s="727"/>
      <c r="AE154" s="706"/>
      <c r="AF154" s="727"/>
      <c r="AG154" s="706"/>
      <c r="AH154" s="727"/>
      <c r="AI154" s="706"/>
      <c r="AJ154" s="706"/>
      <c r="AK154" s="727"/>
      <c r="AL154" s="706"/>
      <c r="AM154" s="727"/>
      <c r="AN154" s="706"/>
      <c r="AO154" s="727"/>
      <c r="AP154" s="706"/>
      <c r="AQ154" s="727"/>
      <c r="AR154" s="706"/>
      <c r="AS154" s="727"/>
      <c r="AT154" s="706"/>
      <c r="AU154" s="706"/>
      <c r="AV154" s="727"/>
      <c r="AW154" s="706"/>
      <c r="AX154" s="727"/>
      <c r="AY154" s="706"/>
      <c r="AZ154" s="727"/>
      <c r="BA154" s="706"/>
      <c r="BB154" s="727"/>
      <c r="BC154" s="706"/>
      <c r="BD154" s="727"/>
      <c r="BE154" s="706"/>
    </row>
    <row r="155" spans="1:57" s="48" customFormat="1">
      <c r="A155" s="827"/>
      <c r="B155" s="827"/>
      <c r="C155" s="893"/>
      <c r="D155" s="863"/>
      <c r="E155" s="706"/>
      <c r="F155" s="863"/>
      <c r="G155" s="706"/>
      <c r="H155" s="863"/>
      <c r="I155" s="706"/>
      <c r="J155" s="863"/>
      <c r="K155" s="706"/>
      <c r="L155" s="863"/>
      <c r="M155" s="706"/>
      <c r="N155" s="706"/>
      <c r="O155" s="863"/>
      <c r="P155" s="706"/>
      <c r="Q155" s="863"/>
      <c r="R155" s="706"/>
      <c r="S155" s="863"/>
      <c r="T155" s="706"/>
      <c r="U155" s="863"/>
      <c r="V155" s="706"/>
      <c r="W155" s="863"/>
      <c r="X155" s="706"/>
      <c r="Y155" s="706"/>
      <c r="Z155" s="727"/>
      <c r="AA155" s="706"/>
      <c r="AB155" s="727"/>
      <c r="AC155" s="706"/>
      <c r="AD155" s="727"/>
      <c r="AE155" s="706"/>
      <c r="AF155" s="727"/>
      <c r="AG155" s="706"/>
      <c r="AH155" s="727"/>
      <c r="AI155" s="706"/>
      <c r="AJ155" s="706"/>
      <c r="AK155" s="727"/>
      <c r="AL155" s="706"/>
      <c r="AM155" s="727"/>
      <c r="AN155" s="706"/>
      <c r="AO155" s="727"/>
      <c r="AP155" s="706"/>
      <c r="AQ155" s="727"/>
      <c r="AR155" s="706"/>
      <c r="AS155" s="727"/>
      <c r="AT155" s="706"/>
      <c r="AU155" s="706"/>
      <c r="AV155" s="727"/>
      <c r="AW155" s="706"/>
      <c r="AX155" s="727"/>
      <c r="AY155" s="706"/>
      <c r="AZ155" s="727"/>
      <c r="BA155" s="706"/>
      <c r="BB155" s="727"/>
      <c r="BC155" s="706"/>
      <c r="BD155" s="727"/>
      <c r="BE155" s="706"/>
    </row>
    <row r="156" spans="1:57" s="48" customFormat="1">
      <c r="A156" s="827"/>
      <c r="B156" s="827"/>
      <c r="C156" s="893"/>
      <c r="D156" s="863"/>
      <c r="E156" s="706"/>
      <c r="F156" s="863"/>
      <c r="G156" s="706"/>
      <c r="H156" s="863"/>
      <c r="I156" s="706"/>
      <c r="J156" s="863"/>
      <c r="K156" s="706"/>
      <c r="L156" s="863"/>
      <c r="M156" s="706"/>
      <c r="N156" s="706"/>
      <c r="O156" s="863"/>
      <c r="P156" s="706"/>
      <c r="Q156" s="863"/>
      <c r="R156" s="706"/>
      <c r="S156" s="863"/>
      <c r="T156" s="706"/>
      <c r="U156" s="863"/>
      <c r="V156" s="706"/>
      <c r="W156" s="863"/>
      <c r="X156" s="706"/>
      <c r="Y156" s="706"/>
      <c r="Z156" s="727"/>
      <c r="AA156" s="706"/>
      <c r="AB156" s="727"/>
      <c r="AC156" s="706"/>
      <c r="AD156" s="727"/>
      <c r="AE156" s="706"/>
      <c r="AF156" s="727"/>
      <c r="AG156" s="706"/>
      <c r="AH156" s="727"/>
      <c r="AI156" s="706"/>
      <c r="AJ156" s="706"/>
      <c r="AK156" s="727"/>
      <c r="AL156" s="706"/>
      <c r="AM156" s="727"/>
      <c r="AN156" s="706"/>
      <c r="AO156" s="727"/>
      <c r="AP156" s="706"/>
      <c r="AQ156" s="727"/>
      <c r="AR156" s="706"/>
      <c r="AS156" s="727"/>
      <c r="AT156" s="706"/>
      <c r="AU156" s="706"/>
      <c r="AV156" s="727"/>
      <c r="AW156" s="706"/>
      <c r="AX156" s="727"/>
      <c r="AY156" s="706"/>
      <c r="AZ156" s="727"/>
      <c r="BA156" s="706"/>
      <c r="BB156" s="727"/>
      <c r="BC156" s="706"/>
      <c r="BD156" s="727"/>
      <c r="BE156" s="706"/>
    </row>
    <row r="157" spans="1:57" s="48" customFormat="1">
      <c r="A157" s="827"/>
      <c r="B157" s="827"/>
      <c r="C157" s="893"/>
      <c r="D157" s="863"/>
      <c r="E157" s="706"/>
      <c r="F157" s="863"/>
      <c r="G157" s="706"/>
      <c r="H157" s="863"/>
      <c r="I157" s="706"/>
      <c r="J157" s="863"/>
      <c r="K157" s="706"/>
      <c r="L157" s="863"/>
      <c r="M157" s="706"/>
      <c r="N157" s="706"/>
      <c r="O157" s="863"/>
      <c r="P157" s="706"/>
      <c r="Q157" s="863"/>
      <c r="R157" s="706"/>
      <c r="S157" s="863"/>
      <c r="T157" s="706"/>
      <c r="U157" s="863"/>
      <c r="V157" s="706"/>
      <c r="W157" s="863"/>
      <c r="X157" s="706"/>
      <c r="Y157" s="706"/>
      <c r="Z157" s="727"/>
      <c r="AA157" s="706"/>
      <c r="AB157" s="727"/>
      <c r="AC157" s="706"/>
      <c r="AD157" s="727"/>
      <c r="AE157" s="706"/>
      <c r="AF157" s="727"/>
      <c r="AG157" s="706"/>
      <c r="AH157" s="727"/>
      <c r="AI157" s="706"/>
      <c r="AJ157" s="706"/>
      <c r="AK157" s="727"/>
      <c r="AL157" s="706"/>
      <c r="AM157" s="727"/>
      <c r="AN157" s="706"/>
      <c r="AO157" s="727"/>
      <c r="AP157" s="706"/>
      <c r="AQ157" s="727"/>
      <c r="AR157" s="706"/>
      <c r="AS157" s="727"/>
      <c r="AT157" s="706"/>
      <c r="AU157" s="706"/>
      <c r="AV157" s="727"/>
      <c r="AW157" s="706"/>
      <c r="AX157" s="727"/>
      <c r="AY157" s="706"/>
      <c r="AZ157" s="727"/>
      <c r="BA157" s="706"/>
      <c r="BB157" s="727"/>
      <c r="BC157" s="706"/>
      <c r="BD157" s="727"/>
      <c r="BE157" s="706"/>
    </row>
    <row r="158" spans="1:57" s="48" customFormat="1">
      <c r="A158" s="827"/>
      <c r="B158" s="827"/>
      <c r="C158" s="893"/>
      <c r="D158" s="863"/>
      <c r="E158" s="706"/>
      <c r="F158" s="863"/>
      <c r="G158" s="706"/>
      <c r="H158" s="863"/>
      <c r="I158" s="706"/>
      <c r="J158" s="863"/>
      <c r="K158" s="706"/>
      <c r="L158" s="863"/>
      <c r="M158" s="706"/>
      <c r="N158" s="706"/>
      <c r="O158" s="863"/>
      <c r="P158" s="706"/>
      <c r="Q158" s="863"/>
      <c r="R158" s="706"/>
      <c r="S158" s="863"/>
      <c r="T158" s="706"/>
      <c r="U158" s="863"/>
      <c r="V158" s="706"/>
      <c r="W158" s="863"/>
      <c r="X158" s="706"/>
      <c r="Y158" s="706"/>
      <c r="Z158" s="727"/>
      <c r="AA158" s="706"/>
      <c r="AB158" s="727"/>
      <c r="AC158" s="706"/>
      <c r="AD158" s="727"/>
      <c r="AE158" s="706"/>
      <c r="AF158" s="727"/>
      <c r="AG158" s="706"/>
      <c r="AH158" s="727"/>
      <c r="AI158" s="706"/>
      <c r="AJ158" s="706"/>
      <c r="AK158" s="727"/>
      <c r="AL158" s="706"/>
      <c r="AM158" s="727"/>
      <c r="AN158" s="706"/>
      <c r="AO158" s="727"/>
      <c r="AP158" s="706"/>
      <c r="AQ158" s="727"/>
      <c r="AR158" s="706"/>
      <c r="AS158" s="727"/>
      <c r="AT158" s="706"/>
      <c r="AU158" s="706"/>
      <c r="AV158" s="727"/>
      <c r="AW158" s="706"/>
      <c r="AX158" s="727"/>
      <c r="AY158" s="706"/>
      <c r="AZ158" s="727"/>
      <c r="BA158" s="706"/>
      <c r="BB158" s="727"/>
      <c r="BC158" s="706"/>
      <c r="BD158" s="727"/>
      <c r="BE158" s="706"/>
    </row>
    <row r="159" spans="1:57" s="48" customFormat="1">
      <c r="A159" s="827"/>
      <c r="B159" s="827"/>
      <c r="C159" s="893"/>
      <c r="D159" s="863"/>
      <c r="E159" s="706"/>
      <c r="F159" s="863"/>
      <c r="G159" s="706"/>
      <c r="H159" s="863"/>
      <c r="I159" s="706"/>
      <c r="J159" s="863"/>
      <c r="K159" s="706"/>
      <c r="L159" s="863"/>
      <c r="M159" s="706"/>
      <c r="N159" s="706"/>
      <c r="O159" s="863"/>
      <c r="P159" s="706"/>
      <c r="Q159" s="863"/>
      <c r="R159" s="706"/>
      <c r="S159" s="863"/>
      <c r="T159" s="706"/>
      <c r="U159" s="863"/>
      <c r="V159" s="706"/>
      <c r="W159" s="863"/>
      <c r="X159" s="706"/>
      <c r="Y159" s="706"/>
      <c r="Z159" s="727"/>
      <c r="AA159" s="706"/>
      <c r="AB159" s="727"/>
      <c r="AC159" s="706"/>
      <c r="AD159" s="727"/>
      <c r="AE159" s="706"/>
      <c r="AF159" s="727"/>
      <c r="AG159" s="706"/>
      <c r="AH159" s="727"/>
      <c r="AI159" s="706"/>
      <c r="AJ159" s="706"/>
      <c r="AK159" s="727"/>
      <c r="AL159" s="706"/>
      <c r="AM159" s="727"/>
      <c r="AN159" s="706"/>
      <c r="AO159" s="727"/>
      <c r="AP159" s="706"/>
      <c r="AQ159" s="727"/>
      <c r="AR159" s="706"/>
      <c r="AS159" s="727"/>
      <c r="AT159" s="706"/>
      <c r="AU159" s="706"/>
      <c r="AV159" s="727"/>
      <c r="AW159" s="706"/>
      <c r="AX159" s="727"/>
      <c r="AY159" s="706"/>
      <c r="AZ159" s="727"/>
      <c r="BA159" s="706"/>
      <c r="BB159" s="727"/>
      <c r="BC159" s="706"/>
      <c r="BD159" s="727"/>
      <c r="BE159" s="706"/>
    </row>
    <row r="160" spans="1:57" s="48" customFormat="1">
      <c r="A160" s="827"/>
      <c r="B160" s="827"/>
      <c r="C160" s="893"/>
      <c r="D160" s="863"/>
      <c r="E160" s="706"/>
      <c r="F160" s="863"/>
      <c r="G160" s="706"/>
      <c r="H160" s="863"/>
      <c r="I160" s="706"/>
      <c r="J160" s="863"/>
      <c r="K160" s="706"/>
      <c r="L160" s="863"/>
      <c r="M160" s="706"/>
      <c r="N160" s="706"/>
      <c r="O160" s="863"/>
      <c r="P160" s="706"/>
      <c r="Q160" s="863"/>
      <c r="R160" s="706"/>
      <c r="S160" s="863"/>
      <c r="T160" s="706"/>
      <c r="U160" s="863"/>
      <c r="V160" s="706"/>
      <c r="W160" s="863"/>
      <c r="X160" s="706"/>
      <c r="Y160" s="706"/>
      <c r="Z160" s="727"/>
      <c r="AA160" s="706"/>
      <c r="AB160" s="727"/>
      <c r="AC160" s="706"/>
      <c r="AD160" s="727"/>
      <c r="AE160" s="706"/>
      <c r="AF160" s="727"/>
      <c r="AG160" s="706"/>
      <c r="AH160" s="727"/>
      <c r="AI160" s="706"/>
      <c r="AJ160" s="706"/>
      <c r="AK160" s="727"/>
      <c r="AL160" s="706"/>
      <c r="AM160" s="727"/>
      <c r="AN160" s="706"/>
      <c r="AO160" s="727"/>
      <c r="AP160" s="706"/>
      <c r="AQ160" s="727"/>
      <c r="AR160" s="706"/>
      <c r="AS160" s="727"/>
      <c r="AT160" s="706"/>
      <c r="AU160" s="706"/>
      <c r="AV160" s="727"/>
      <c r="AW160" s="706"/>
      <c r="AX160" s="727"/>
      <c r="AY160" s="706"/>
      <c r="AZ160" s="727"/>
      <c r="BA160" s="706"/>
      <c r="BB160" s="727"/>
      <c r="BC160" s="706"/>
      <c r="BD160" s="727"/>
      <c r="BE160" s="706"/>
    </row>
    <row r="161" spans="1:57" s="48" customFormat="1">
      <c r="A161" s="827"/>
      <c r="B161" s="827"/>
      <c r="C161" s="893"/>
      <c r="D161" s="863"/>
      <c r="E161" s="706"/>
      <c r="F161" s="863"/>
      <c r="G161" s="706"/>
      <c r="H161" s="863"/>
      <c r="I161" s="706"/>
      <c r="J161" s="863"/>
      <c r="K161" s="706"/>
      <c r="L161" s="863"/>
      <c r="M161" s="706"/>
      <c r="N161" s="706"/>
      <c r="O161" s="863"/>
      <c r="P161" s="706"/>
      <c r="Q161" s="863"/>
      <c r="R161" s="706"/>
      <c r="S161" s="863"/>
      <c r="T161" s="706"/>
      <c r="U161" s="863"/>
      <c r="V161" s="706"/>
      <c r="W161" s="863"/>
      <c r="X161" s="706"/>
      <c r="Y161" s="706"/>
      <c r="Z161" s="727"/>
      <c r="AA161" s="706"/>
      <c r="AB161" s="727"/>
      <c r="AC161" s="706"/>
      <c r="AD161" s="727"/>
      <c r="AE161" s="706"/>
      <c r="AF161" s="727"/>
      <c r="AG161" s="706"/>
      <c r="AH161" s="727"/>
      <c r="AI161" s="706"/>
      <c r="AJ161" s="706"/>
      <c r="AK161" s="727"/>
      <c r="AL161" s="706"/>
      <c r="AM161" s="727"/>
      <c r="AN161" s="706"/>
      <c r="AO161" s="727"/>
      <c r="AP161" s="706"/>
      <c r="AQ161" s="727"/>
      <c r="AR161" s="706"/>
      <c r="AS161" s="727"/>
      <c r="AT161" s="706"/>
      <c r="AU161" s="706"/>
      <c r="AV161" s="727"/>
      <c r="AW161" s="706"/>
      <c r="AX161" s="727"/>
      <c r="AY161" s="706"/>
      <c r="AZ161" s="727"/>
      <c r="BA161" s="706"/>
      <c r="BB161" s="727"/>
      <c r="BC161" s="706"/>
      <c r="BD161" s="727"/>
      <c r="BE161" s="706"/>
    </row>
    <row r="162" spans="1:57" s="48" customFormat="1">
      <c r="A162" s="827"/>
      <c r="B162" s="827"/>
      <c r="C162" s="893"/>
      <c r="D162" s="863"/>
      <c r="E162" s="706"/>
      <c r="F162" s="863"/>
      <c r="G162" s="706"/>
      <c r="H162" s="863"/>
      <c r="I162" s="706"/>
      <c r="J162" s="863"/>
      <c r="K162" s="706"/>
      <c r="L162" s="863"/>
      <c r="M162" s="706"/>
      <c r="N162" s="706"/>
      <c r="O162" s="863"/>
      <c r="P162" s="706"/>
      <c r="Q162" s="863"/>
      <c r="R162" s="706"/>
      <c r="S162" s="863"/>
      <c r="T162" s="706"/>
      <c r="U162" s="863"/>
      <c r="V162" s="706"/>
      <c r="W162" s="863"/>
      <c r="X162" s="706"/>
      <c r="Y162" s="706"/>
      <c r="Z162" s="727"/>
      <c r="AA162" s="706"/>
      <c r="AB162" s="727"/>
      <c r="AC162" s="706"/>
      <c r="AD162" s="727"/>
      <c r="AE162" s="706"/>
      <c r="AF162" s="727"/>
      <c r="AG162" s="706"/>
      <c r="AH162" s="727"/>
      <c r="AI162" s="706"/>
      <c r="AJ162" s="706"/>
      <c r="AK162" s="727"/>
      <c r="AL162" s="706"/>
      <c r="AM162" s="727"/>
      <c r="AN162" s="706"/>
      <c r="AO162" s="727"/>
      <c r="AP162" s="706"/>
      <c r="AQ162" s="727"/>
      <c r="AR162" s="706"/>
      <c r="AS162" s="727"/>
      <c r="AT162" s="706"/>
      <c r="AU162" s="706"/>
      <c r="AV162" s="727"/>
      <c r="AW162" s="706"/>
      <c r="AX162" s="727"/>
      <c r="AY162" s="706"/>
      <c r="AZ162" s="727"/>
      <c r="BA162" s="706"/>
      <c r="BB162" s="727"/>
      <c r="BC162" s="706"/>
      <c r="BD162" s="727"/>
      <c r="BE162" s="706"/>
    </row>
    <row r="163" spans="1:57" s="48" customFormat="1">
      <c r="A163" s="827"/>
      <c r="B163" s="827"/>
      <c r="C163" s="893"/>
      <c r="D163" s="863"/>
      <c r="E163" s="706"/>
      <c r="F163" s="863"/>
      <c r="G163" s="706"/>
      <c r="H163" s="863"/>
      <c r="I163" s="706"/>
      <c r="J163" s="863"/>
      <c r="K163" s="706"/>
      <c r="L163" s="863"/>
      <c r="M163" s="706"/>
      <c r="N163" s="706"/>
      <c r="O163" s="863"/>
      <c r="P163" s="706"/>
      <c r="Q163" s="863"/>
      <c r="R163" s="706"/>
      <c r="S163" s="863"/>
      <c r="T163" s="706"/>
      <c r="U163" s="863"/>
      <c r="V163" s="706"/>
      <c r="W163" s="863"/>
      <c r="X163" s="706"/>
      <c r="Y163" s="706"/>
      <c r="Z163" s="727"/>
      <c r="AA163" s="706"/>
      <c r="AB163" s="727"/>
      <c r="AC163" s="706"/>
      <c r="AD163" s="727"/>
      <c r="AE163" s="706"/>
      <c r="AF163" s="727"/>
      <c r="AG163" s="706"/>
      <c r="AH163" s="727"/>
      <c r="AI163" s="706"/>
      <c r="AJ163" s="706"/>
      <c r="AK163" s="727"/>
      <c r="AL163" s="706"/>
      <c r="AM163" s="727"/>
      <c r="AN163" s="706"/>
      <c r="AO163" s="727"/>
      <c r="AP163" s="706"/>
      <c r="AQ163" s="727"/>
      <c r="AR163" s="706"/>
      <c r="AS163" s="727"/>
      <c r="AT163" s="706"/>
      <c r="AU163" s="706"/>
      <c r="AV163" s="727"/>
      <c r="AW163" s="706"/>
      <c r="AX163" s="727"/>
      <c r="AY163" s="706"/>
      <c r="AZ163" s="727"/>
      <c r="BA163" s="706"/>
      <c r="BB163" s="727"/>
      <c r="BC163" s="706"/>
      <c r="BD163" s="727"/>
      <c r="BE163" s="706"/>
    </row>
    <row r="164" spans="1:57" s="48" customFormat="1">
      <c r="A164" s="827"/>
      <c r="B164" s="827"/>
      <c r="C164" s="893"/>
      <c r="D164" s="863"/>
      <c r="E164" s="706"/>
      <c r="F164" s="863"/>
      <c r="G164" s="706"/>
      <c r="H164" s="863"/>
      <c r="I164" s="706"/>
      <c r="J164" s="863"/>
      <c r="K164" s="706"/>
      <c r="L164" s="863"/>
      <c r="M164" s="706"/>
      <c r="N164" s="706"/>
      <c r="O164" s="863"/>
      <c r="P164" s="706"/>
      <c r="Q164" s="863"/>
      <c r="R164" s="706"/>
      <c r="S164" s="863"/>
      <c r="T164" s="706"/>
      <c r="U164" s="863"/>
      <c r="V164" s="706"/>
      <c r="W164" s="863"/>
      <c r="X164" s="706"/>
      <c r="Y164" s="706"/>
      <c r="Z164" s="727"/>
      <c r="AA164" s="706"/>
      <c r="AB164" s="727"/>
      <c r="AC164" s="706"/>
      <c r="AD164" s="727"/>
      <c r="AE164" s="706"/>
      <c r="AF164" s="727"/>
      <c r="AG164" s="706"/>
      <c r="AH164" s="727"/>
      <c r="AI164" s="706"/>
      <c r="AJ164" s="706"/>
      <c r="AK164" s="727"/>
      <c r="AL164" s="706"/>
      <c r="AM164" s="727"/>
      <c r="AN164" s="706"/>
      <c r="AO164" s="727"/>
      <c r="AP164" s="706"/>
      <c r="AQ164" s="727"/>
      <c r="AR164" s="706"/>
      <c r="AS164" s="727"/>
      <c r="AT164" s="706"/>
      <c r="AU164" s="706"/>
      <c r="AV164" s="727"/>
      <c r="AW164" s="706"/>
      <c r="AX164" s="727"/>
      <c r="AY164" s="706"/>
      <c r="AZ164" s="727"/>
      <c r="BA164" s="706"/>
      <c r="BB164" s="727"/>
      <c r="BC164" s="706"/>
      <c r="BD164" s="727"/>
      <c r="BE164" s="706"/>
    </row>
    <row r="165" spans="1:57" s="48" customFormat="1">
      <c r="A165" s="827"/>
      <c r="B165" s="827"/>
      <c r="C165" s="893"/>
      <c r="D165" s="863"/>
      <c r="E165" s="706"/>
      <c r="F165" s="863"/>
      <c r="G165" s="706"/>
      <c r="H165" s="863"/>
      <c r="I165" s="706"/>
      <c r="J165" s="863"/>
      <c r="K165" s="706"/>
      <c r="L165" s="863"/>
      <c r="M165" s="706"/>
      <c r="N165" s="706"/>
      <c r="O165" s="863"/>
      <c r="P165" s="706"/>
      <c r="Q165" s="863"/>
      <c r="R165" s="706"/>
      <c r="S165" s="863"/>
      <c r="T165" s="706"/>
      <c r="U165" s="863"/>
      <c r="V165" s="706"/>
      <c r="W165" s="863"/>
      <c r="X165" s="706"/>
      <c r="Y165" s="706"/>
      <c r="Z165" s="727"/>
      <c r="AA165" s="706"/>
      <c r="AB165" s="727"/>
      <c r="AC165" s="706"/>
      <c r="AD165" s="727"/>
      <c r="AE165" s="706"/>
      <c r="AF165" s="727"/>
      <c r="AG165" s="706"/>
      <c r="AH165" s="727"/>
      <c r="AI165" s="706"/>
      <c r="AJ165" s="706"/>
      <c r="AK165" s="727"/>
      <c r="AL165" s="706"/>
      <c r="AM165" s="727"/>
      <c r="AN165" s="706"/>
      <c r="AO165" s="727"/>
      <c r="AP165" s="706"/>
      <c r="AQ165" s="727"/>
      <c r="AR165" s="706"/>
      <c r="AS165" s="727"/>
      <c r="AT165" s="706"/>
      <c r="AU165" s="706"/>
      <c r="AV165" s="727"/>
      <c r="AW165" s="706"/>
      <c r="AX165" s="727"/>
      <c r="AY165" s="706"/>
      <c r="AZ165" s="727"/>
      <c r="BA165" s="706"/>
      <c r="BB165" s="727"/>
      <c r="BC165" s="706"/>
      <c r="BD165" s="727"/>
      <c r="BE165" s="706"/>
    </row>
    <row r="166" spans="1:57" s="48" customFormat="1">
      <c r="A166" s="827"/>
      <c r="B166" s="827"/>
      <c r="C166" s="893"/>
      <c r="D166" s="863"/>
      <c r="E166" s="706"/>
      <c r="F166" s="863"/>
      <c r="G166" s="706"/>
      <c r="H166" s="863"/>
      <c r="I166" s="706"/>
      <c r="J166" s="863"/>
      <c r="K166" s="706"/>
      <c r="L166" s="863"/>
      <c r="M166" s="706"/>
      <c r="N166" s="706"/>
      <c r="O166" s="863"/>
      <c r="P166" s="706"/>
      <c r="Q166" s="863"/>
      <c r="R166" s="706"/>
      <c r="S166" s="863"/>
      <c r="T166" s="706"/>
      <c r="U166" s="863"/>
      <c r="V166" s="706"/>
      <c r="W166" s="863"/>
      <c r="X166" s="706"/>
      <c r="Y166" s="706"/>
      <c r="Z166" s="727"/>
      <c r="AA166" s="706"/>
      <c r="AB166" s="727"/>
      <c r="AC166" s="706"/>
      <c r="AD166" s="727"/>
      <c r="AE166" s="706"/>
      <c r="AF166" s="727"/>
      <c r="AG166" s="706"/>
      <c r="AH166" s="727"/>
      <c r="AI166" s="706"/>
      <c r="AJ166" s="706"/>
      <c r="AK166" s="727"/>
      <c r="AL166" s="706"/>
      <c r="AM166" s="727"/>
      <c r="AN166" s="706"/>
      <c r="AO166" s="727"/>
      <c r="AP166" s="706"/>
      <c r="AQ166" s="727"/>
      <c r="AR166" s="706"/>
      <c r="AS166" s="727"/>
      <c r="AT166" s="706"/>
      <c r="AU166" s="706"/>
      <c r="AV166" s="727"/>
      <c r="AW166" s="706"/>
      <c r="AX166" s="727"/>
      <c r="AY166" s="706"/>
      <c r="AZ166" s="727"/>
      <c r="BA166" s="706"/>
      <c r="BB166" s="727"/>
      <c r="BC166" s="706"/>
      <c r="BD166" s="727"/>
      <c r="BE166" s="706"/>
    </row>
    <row r="167" spans="1:57" s="48" customFormat="1">
      <c r="A167" s="827"/>
      <c r="B167" s="827"/>
      <c r="C167" s="893"/>
      <c r="D167" s="863"/>
      <c r="E167" s="706"/>
      <c r="F167" s="863"/>
      <c r="G167" s="706"/>
      <c r="H167" s="863"/>
      <c r="I167" s="706"/>
      <c r="J167" s="863"/>
      <c r="K167" s="706"/>
      <c r="L167" s="863"/>
      <c r="M167" s="706"/>
      <c r="N167" s="706"/>
      <c r="O167" s="863"/>
      <c r="P167" s="706"/>
      <c r="Q167" s="863"/>
      <c r="R167" s="706"/>
      <c r="S167" s="863"/>
      <c r="T167" s="706"/>
      <c r="U167" s="863"/>
      <c r="V167" s="706"/>
      <c r="W167" s="863"/>
      <c r="X167" s="706"/>
      <c r="Y167" s="706"/>
      <c r="Z167" s="727"/>
      <c r="AA167" s="706"/>
      <c r="AB167" s="727"/>
      <c r="AC167" s="706"/>
      <c r="AD167" s="727"/>
      <c r="AE167" s="706"/>
      <c r="AF167" s="727"/>
      <c r="AG167" s="706"/>
      <c r="AH167" s="727"/>
      <c r="AI167" s="706"/>
      <c r="AJ167" s="706"/>
      <c r="AK167" s="727"/>
      <c r="AL167" s="706"/>
      <c r="AM167" s="727"/>
      <c r="AN167" s="706"/>
      <c r="AO167" s="727"/>
      <c r="AP167" s="706"/>
      <c r="AQ167" s="727"/>
      <c r="AR167" s="706"/>
      <c r="AS167" s="727"/>
      <c r="AT167" s="706"/>
      <c r="AU167" s="706"/>
      <c r="AV167" s="727"/>
      <c r="AW167" s="706"/>
      <c r="AX167" s="727"/>
      <c r="AY167" s="706"/>
      <c r="AZ167" s="727"/>
      <c r="BA167" s="706"/>
      <c r="BB167" s="727"/>
      <c r="BC167" s="706"/>
      <c r="BD167" s="727"/>
      <c r="BE167" s="706"/>
    </row>
    <row r="168" spans="1:57" s="48" customFormat="1">
      <c r="A168" s="827"/>
      <c r="B168" s="827"/>
      <c r="C168" s="893"/>
      <c r="D168" s="863"/>
      <c r="E168" s="706"/>
      <c r="F168" s="863"/>
      <c r="G168" s="706"/>
      <c r="H168" s="863"/>
      <c r="I168" s="706"/>
      <c r="J168" s="863"/>
      <c r="K168" s="706"/>
      <c r="L168" s="863"/>
      <c r="M168" s="706"/>
      <c r="N168" s="706"/>
      <c r="O168" s="863"/>
      <c r="P168" s="706"/>
      <c r="Q168" s="863"/>
      <c r="R168" s="706"/>
      <c r="S168" s="863"/>
      <c r="T168" s="706"/>
      <c r="U168" s="863"/>
      <c r="V168" s="706"/>
      <c r="W168" s="863"/>
      <c r="X168" s="706"/>
      <c r="Y168" s="706"/>
      <c r="Z168" s="727"/>
      <c r="AA168" s="706"/>
      <c r="AB168" s="727"/>
      <c r="AC168" s="706"/>
      <c r="AD168" s="727"/>
      <c r="AE168" s="706"/>
      <c r="AF168" s="727"/>
      <c r="AG168" s="706"/>
      <c r="AH168" s="727"/>
      <c r="AI168" s="706"/>
      <c r="AJ168" s="706"/>
      <c r="AK168" s="727"/>
      <c r="AL168" s="706"/>
      <c r="AM168" s="727"/>
      <c r="AN168" s="706"/>
      <c r="AO168" s="727"/>
      <c r="AP168" s="706"/>
      <c r="AQ168" s="727"/>
      <c r="AR168" s="706"/>
      <c r="AS168" s="727"/>
      <c r="AT168" s="706"/>
      <c r="AU168" s="706"/>
      <c r="AV168" s="727"/>
      <c r="AW168" s="706"/>
      <c r="AX168" s="727"/>
      <c r="AY168" s="706"/>
      <c r="AZ168" s="727"/>
      <c r="BA168" s="706"/>
      <c r="BB168" s="727"/>
      <c r="BC168" s="706"/>
      <c r="BD168" s="727"/>
      <c r="BE168" s="706"/>
    </row>
    <row r="169" spans="1:57" s="48" customFormat="1">
      <c r="A169" s="827"/>
      <c r="B169" s="827"/>
      <c r="C169" s="893"/>
      <c r="D169" s="863"/>
      <c r="E169" s="706"/>
      <c r="F169" s="863"/>
      <c r="G169" s="706"/>
      <c r="H169" s="863"/>
      <c r="I169" s="706"/>
      <c r="J169" s="863"/>
      <c r="K169" s="706"/>
      <c r="L169" s="863"/>
      <c r="M169" s="706"/>
      <c r="N169" s="706"/>
      <c r="O169" s="863"/>
      <c r="P169" s="706"/>
      <c r="Q169" s="863"/>
      <c r="R169" s="706"/>
      <c r="S169" s="863"/>
      <c r="T169" s="706"/>
      <c r="U169" s="863"/>
      <c r="V169" s="706"/>
      <c r="W169" s="863"/>
      <c r="X169" s="706"/>
      <c r="Y169" s="706"/>
      <c r="Z169" s="727"/>
      <c r="AA169" s="706"/>
      <c r="AB169" s="727"/>
      <c r="AC169" s="706"/>
      <c r="AD169" s="727"/>
      <c r="AE169" s="706"/>
      <c r="AF169" s="727"/>
      <c r="AG169" s="706"/>
      <c r="AH169" s="727"/>
      <c r="AI169" s="706"/>
      <c r="AJ169" s="706"/>
      <c r="AK169" s="727"/>
      <c r="AL169" s="706"/>
      <c r="AM169" s="727"/>
      <c r="AN169" s="706"/>
      <c r="AO169" s="727"/>
      <c r="AP169" s="706"/>
      <c r="AQ169" s="727"/>
      <c r="AR169" s="706"/>
      <c r="AS169" s="727"/>
      <c r="AT169" s="706"/>
      <c r="AU169" s="706"/>
      <c r="AV169" s="727"/>
      <c r="AW169" s="706"/>
      <c r="AX169" s="727"/>
      <c r="AY169" s="706"/>
      <c r="AZ169" s="727"/>
      <c r="BA169" s="706"/>
      <c r="BB169" s="727"/>
      <c r="BC169" s="706"/>
      <c r="BD169" s="727"/>
      <c r="BE169" s="706"/>
    </row>
    <row r="170" spans="1:57" s="48" customFormat="1">
      <c r="A170" s="827"/>
      <c r="B170" s="827"/>
      <c r="C170" s="893"/>
      <c r="D170" s="863"/>
      <c r="E170" s="706"/>
      <c r="F170" s="863"/>
      <c r="G170" s="706"/>
      <c r="H170" s="863"/>
      <c r="I170" s="706"/>
      <c r="J170" s="863"/>
      <c r="K170" s="706"/>
      <c r="L170" s="863"/>
      <c r="M170" s="706"/>
      <c r="N170" s="706"/>
      <c r="O170" s="863"/>
      <c r="P170" s="706"/>
      <c r="Q170" s="863"/>
      <c r="R170" s="706"/>
      <c r="S170" s="863"/>
      <c r="T170" s="706"/>
      <c r="U170" s="863"/>
      <c r="V170" s="706"/>
      <c r="W170" s="863"/>
      <c r="X170" s="706"/>
      <c r="Y170" s="706"/>
      <c r="Z170" s="727"/>
      <c r="AA170" s="706"/>
      <c r="AB170" s="727"/>
      <c r="AC170" s="706"/>
      <c r="AD170" s="727"/>
      <c r="AE170" s="706"/>
      <c r="AF170" s="727"/>
      <c r="AG170" s="706"/>
      <c r="AH170" s="727"/>
      <c r="AI170" s="706"/>
      <c r="AJ170" s="706"/>
      <c r="AK170" s="727"/>
      <c r="AL170" s="706"/>
      <c r="AM170" s="727"/>
      <c r="AN170" s="706"/>
      <c r="AO170" s="727"/>
      <c r="AP170" s="706"/>
      <c r="AQ170" s="727"/>
      <c r="AR170" s="706"/>
      <c r="AS170" s="727"/>
      <c r="AT170" s="706"/>
      <c r="AU170" s="706"/>
      <c r="AV170" s="727"/>
      <c r="AW170" s="706"/>
      <c r="AX170" s="727"/>
      <c r="AY170" s="706"/>
      <c r="AZ170" s="727"/>
      <c r="BA170" s="706"/>
      <c r="BB170" s="727"/>
      <c r="BC170" s="706"/>
      <c r="BD170" s="727"/>
      <c r="BE170" s="706"/>
    </row>
    <row r="171" spans="1:57" s="48" customFormat="1">
      <c r="A171" s="827"/>
      <c r="B171" s="827"/>
      <c r="C171" s="893"/>
      <c r="D171" s="863"/>
      <c r="E171" s="706"/>
      <c r="F171" s="863"/>
      <c r="G171" s="706"/>
      <c r="H171" s="863"/>
      <c r="I171" s="706"/>
      <c r="J171" s="863"/>
      <c r="K171" s="706"/>
      <c r="L171" s="863"/>
      <c r="M171" s="706"/>
      <c r="N171" s="706"/>
      <c r="O171" s="863"/>
      <c r="P171" s="706"/>
      <c r="Q171" s="863"/>
      <c r="R171" s="706"/>
      <c r="S171" s="863"/>
      <c r="T171" s="706"/>
      <c r="U171" s="863"/>
      <c r="V171" s="706"/>
      <c r="W171" s="863"/>
      <c r="X171" s="706"/>
      <c r="Y171" s="706"/>
      <c r="Z171" s="727"/>
      <c r="AA171" s="706"/>
      <c r="AB171" s="727"/>
      <c r="AC171" s="706"/>
      <c r="AD171" s="727"/>
      <c r="AE171" s="706"/>
      <c r="AF171" s="727"/>
      <c r="AG171" s="706"/>
      <c r="AH171" s="727"/>
      <c r="AI171" s="706"/>
      <c r="AJ171" s="706"/>
      <c r="AK171" s="727"/>
      <c r="AL171" s="706"/>
      <c r="AM171" s="727"/>
      <c r="AN171" s="706"/>
      <c r="AO171" s="727"/>
      <c r="AP171" s="706"/>
      <c r="AQ171" s="727"/>
      <c r="AR171" s="706"/>
      <c r="AS171" s="727"/>
      <c r="AT171" s="706"/>
      <c r="AU171" s="706"/>
      <c r="AV171" s="727"/>
      <c r="AW171" s="706"/>
      <c r="AX171" s="727"/>
      <c r="AY171" s="706"/>
      <c r="AZ171" s="727"/>
      <c r="BA171" s="706"/>
      <c r="BB171" s="727"/>
      <c r="BC171" s="706"/>
      <c r="BD171" s="727"/>
      <c r="BE171" s="706"/>
    </row>
    <row r="172" spans="1:57" s="48" customFormat="1">
      <c r="A172" s="827"/>
      <c r="B172" s="827"/>
      <c r="C172" s="893"/>
      <c r="D172" s="863"/>
      <c r="E172" s="706"/>
      <c r="F172" s="863"/>
      <c r="G172" s="706"/>
      <c r="H172" s="863"/>
      <c r="I172" s="706"/>
      <c r="J172" s="863"/>
      <c r="K172" s="706"/>
      <c r="L172" s="863"/>
      <c r="M172" s="706"/>
      <c r="N172" s="706"/>
      <c r="O172" s="863"/>
      <c r="P172" s="706"/>
      <c r="Q172" s="863"/>
      <c r="R172" s="706"/>
      <c r="S172" s="863"/>
      <c r="T172" s="706"/>
      <c r="U172" s="863"/>
      <c r="V172" s="706"/>
      <c r="W172" s="863"/>
      <c r="X172" s="706"/>
      <c r="Y172" s="706"/>
      <c r="Z172" s="727"/>
      <c r="AA172" s="706"/>
      <c r="AB172" s="727"/>
      <c r="AC172" s="706"/>
      <c r="AD172" s="727"/>
      <c r="AE172" s="706"/>
      <c r="AF172" s="727"/>
      <c r="AG172" s="706"/>
      <c r="AH172" s="727"/>
      <c r="AI172" s="706"/>
      <c r="AJ172" s="706"/>
      <c r="AK172" s="727"/>
      <c r="AL172" s="706"/>
      <c r="AM172" s="727"/>
      <c r="AN172" s="706"/>
      <c r="AO172" s="727"/>
      <c r="AP172" s="706"/>
      <c r="AQ172" s="727"/>
      <c r="AR172" s="706"/>
      <c r="AS172" s="727"/>
      <c r="AT172" s="706"/>
      <c r="AU172" s="706"/>
      <c r="AV172" s="727"/>
      <c r="AW172" s="706"/>
      <c r="AX172" s="727"/>
      <c r="AY172" s="706"/>
      <c r="AZ172" s="727"/>
      <c r="BA172" s="706"/>
      <c r="BB172" s="727"/>
      <c r="BC172" s="706"/>
      <c r="BD172" s="727"/>
      <c r="BE172" s="706"/>
    </row>
    <row r="173" spans="1:57" s="48" customFormat="1">
      <c r="A173" s="827"/>
      <c r="B173" s="827"/>
      <c r="C173" s="893"/>
      <c r="D173" s="863"/>
      <c r="E173" s="706"/>
      <c r="F173" s="863"/>
      <c r="G173" s="706"/>
      <c r="H173" s="863"/>
      <c r="I173" s="706"/>
      <c r="J173" s="863"/>
      <c r="K173" s="706"/>
      <c r="L173" s="863"/>
      <c r="M173" s="706"/>
      <c r="N173" s="706"/>
      <c r="O173" s="863"/>
      <c r="P173" s="706"/>
      <c r="Q173" s="863"/>
      <c r="R173" s="706"/>
      <c r="S173" s="863"/>
      <c r="T173" s="706"/>
      <c r="U173" s="863"/>
      <c r="V173" s="706"/>
      <c r="W173" s="863"/>
      <c r="X173" s="706"/>
      <c r="Y173" s="706"/>
      <c r="Z173" s="727"/>
      <c r="AA173" s="706"/>
      <c r="AB173" s="727"/>
      <c r="AC173" s="706"/>
      <c r="AD173" s="727"/>
      <c r="AE173" s="706"/>
      <c r="AF173" s="727"/>
      <c r="AG173" s="706"/>
      <c r="AH173" s="727"/>
      <c r="AI173" s="706"/>
      <c r="AJ173" s="706"/>
      <c r="AK173" s="727"/>
      <c r="AL173" s="706"/>
      <c r="AM173" s="727"/>
      <c r="AN173" s="706"/>
      <c r="AO173" s="727"/>
      <c r="AP173" s="706"/>
      <c r="AQ173" s="727"/>
      <c r="AR173" s="706"/>
      <c r="AS173" s="727"/>
      <c r="AT173" s="706"/>
      <c r="AU173" s="706"/>
      <c r="AV173" s="727"/>
      <c r="AW173" s="706"/>
      <c r="AX173" s="727"/>
      <c r="AY173" s="706"/>
      <c r="AZ173" s="727"/>
      <c r="BA173" s="706"/>
      <c r="BB173" s="727"/>
      <c r="BC173" s="706"/>
      <c r="BD173" s="727"/>
      <c r="BE173" s="706"/>
    </row>
    <row r="174" spans="1:57" s="48" customFormat="1">
      <c r="A174" s="827"/>
      <c r="B174" s="827"/>
      <c r="C174" s="893"/>
      <c r="D174" s="863"/>
      <c r="E174" s="706"/>
      <c r="F174" s="863"/>
      <c r="G174" s="706"/>
      <c r="H174" s="863"/>
      <c r="I174" s="706"/>
      <c r="J174" s="863"/>
      <c r="K174" s="706"/>
      <c r="L174" s="863"/>
      <c r="M174" s="706"/>
      <c r="N174" s="706"/>
      <c r="O174" s="863"/>
      <c r="P174" s="706"/>
      <c r="Q174" s="863"/>
      <c r="R174" s="706"/>
      <c r="S174" s="863"/>
      <c r="T174" s="706"/>
      <c r="U174" s="863"/>
      <c r="V174" s="706"/>
      <c r="W174" s="863"/>
      <c r="X174" s="706"/>
      <c r="Y174" s="706"/>
      <c r="Z174" s="727"/>
      <c r="AA174" s="706"/>
      <c r="AB174" s="727"/>
      <c r="AC174" s="706"/>
      <c r="AD174" s="727"/>
      <c r="AE174" s="706"/>
      <c r="AF174" s="727"/>
      <c r="AG174" s="706"/>
      <c r="AH174" s="727"/>
      <c r="AI174" s="706"/>
      <c r="AJ174" s="706"/>
      <c r="AK174" s="727"/>
      <c r="AL174" s="706"/>
      <c r="AM174" s="727"/>
      <c r="AN174" s="706"/>
      <c r="AO174" s="727"/>
      <c r="AP174" s="706"/>
      <c r="AQ174" s="727"/>
      <c r="AR174" s="706"/>
      <c r="AS174" s="727"/>
      <c r="AT174" s="706"/>
      <c r="AU174" s="706"/>
      <c r="AV174" s="727"/>
      <c r="AW174" s="706"/>
      <c r="AX174" s="727"/>
      <c r="AY174" s="706"/>
      <c r="AZ174" s="727"/>
      <c r="BA174" s="706"/>
      <c r="BB174" s="727"/>
      <c r="BC174" s="706"/>
      <c r="BD174" s="727"/>
      <c r="BE174" s="706"/>
    </row>
    <row r="175" spans="1:57" s="48" customFormat="1">
      <c r="A175" s="827"/>
      <c r="B175" s="827"/>
      <c r="C175" s="893"/>
      <c r="D175" s="863"/>
      <c r="E175" s="706"/>
      <c r="F175" s="863"/>
      <c r="G175" s="706"/>
      <c r="H175" s="863"/>
      <c r="I175" s="706"/>
      <c r="J175" s="863"/>
      <c r="K175" s="706"/>
      <c r="L175" s="863"/>
      <c r="M175" s="706"/>
      <c r="N175" s="706"/>
      <c r="O175" s="863"/>
      <c r="P175" s="706"/>
      <c r="Q175" s="863"/>
      <c r="R175" s="706"/>
      <c r="S175" s="863"/>
      <c r="T175" s="706"/>
      <c r="U175" s="863"/>
      <c r="V175" s="706"/>
      <c r="W175" s="863"/>
      <c r="X175" s="706"/>
      <c r="Y175" s="706"/>
      <c r="Z175" s="727"/>
      <c r="AA175" s="706"/>
      <c r="AB175" s="727"/>
      <c r="AC175" s="706"/>
      <c r="AD175" s="727"/>
      <c r="AE175" s="706"/>
      <c r="AF175" s="727"/>
      <c r="AG175" s="706"/>
      <c r="AH175" s="727"/>
      <c r="AI175" s="706"/>
      <c r="AJ175" s="706"/>
      <c r="AK175" s="727"/>
      <c r="AL175" s="706"/>
      <c r="AM175" s="727"/>
      <c r="AN175" s="706"/>
      <c r="AO175" s="727"/>
      <c r="AP175" s="706"/>
      <c r="AQ175" s="727"/>
      <c r="AR175" s="706"/>
      <c r="AS175" s="727"/>
      <c r="AT175" s="706"/>
      <c r="AU175" s="706"/>
      <c r="AV175" s="727"/>
      <c r="AW175" s="706"/>
      <c r="AX175" s="727"/>
      <c r="AY175" s="706"/>
      <c r="AZ175" s="727"/>
      <c r="BA175" s="706"/>
      <c r="BB175" s="727"/>
      <c r="BC175" s="706"/>
      <c r="BD175" s="727"/>
      <c r="BE175" s="706"/>
    </row>
    <row r="176" spans="1:57" s="48" customFormat="1">
      <c r="A176" s="827"/>
      <c r="B176" s="827"/>
      <c r="C176" s="893"/>
      <c r="D176" s="863"/>
      <c r="E176" s="706"/>
      <c r="F176" s="863"/>
      <c r="G176" s="706"/>
      <c r="H176" s="863"/>
      <c r="I176" s="706"/>
      <c r="J176" s="863"/>
      <c r="K176" s="706"/>
      <c r="L176" s="863"/>
      <c r="M176" s="706"/>
      <c r="N176" s="706"/>
      <c r="O176" s="863"/>
      <c r="P176" s="706"/>
      <c r="Q176" s="863"/>
      <c r="R176" s="706"/>
      <c r="S176" s="863"/>
      <c r="T176" s="706"/>
      <c r="U176" s="863"/>
      <c r="V176" s="706"/>
      <c r="W176" s="863"/>
      <c r="X176" s="706"/>
      <c r="Y176" s="706"/>
      <c r="Z176" s="727"/>
      <c r="AA176" s="706"/>
      <c r="AB176" s="727"/>
      <c r="AC176" s="706"/>
      <c r="AD176" s="727"/>
      <c r="AE176" s="706"/>
      <c r="AF176" s="727"/>
      <c r="AG176" s="706"/>
      <c r="AH176" s="727"/>
      <c r="AI176" s="706"/>
      <c r="AJ176" s="706"/>
      <c r="AK176" s="727"/>
      <c r="AL176" s="706"/>
      <c r="AM176" s="727"/>
      <c r="AN176" s="706"/>
      <c r="AO176" s="727"/>
      <c r="AP176" s="706"/>
      <c r="AQ176" s="727"/>
      <c r="AR176" s="706"/>
      <c r="AS176" s="727"/>
      <c r="AT176" s="706"/>
      <c r="AU176" s="706"/>
      <c r="AV176" s="727"/>
      <c r="AW176" s="706"/>
      <c r="AX176" s="727"/>
      <c r="AY176" s="706"/>
      <c r="AZ176" s="727"/>
      <c r="BA176" s="706"/>
      <c r="BB176" s="727"/>
      <c r="BC176" s="706"/>
      <c r="BD176" s="727"/>
      <c r="BE176" s="706"/>
    </row>
    <row r="177" spans="1:57" s="48" customFormat="1">
      <c r="A177" s="827"/>
      <c r="B177" s="827"/>
      <c r="C177" s="893"/>
      <c r="D177" s="863"/>
      <c r="E177" s="706"/>
      <c r="F177" s="863"/>
      <c r="G177" s="706"/>
      <c r="H177" s="863"/>
      <c r="I177" s="706"/>
      <c r="J177" s="863"/>
      <c r="K177" s="706"/>
      <c r="L177" s="863"/>
      <c r="M177" s="706"/>
      <c r="N177" s="706"/>
      <c r="O177" s="863"/>
      <c r="P177" s="706"/>
      <c r="Q177" s="863"/>
      <c r="R177" s="706"/>
      <c r="S177" s="863"/>
      <c r="T177" s="706"/>
      <c r="U177" s="863"/>
      <c r="V177" s="706"/>
      <c r="W177" s="863"/>
      <c r="X177" s="706"/>
      <c r="Y177" s="706"/>
      <c r="Z177" s="727"/>
      <c r="AA177" s="706"/>
      <c r="AB177" s="727"/>
      <c r="AC177" s="706"/>
      <c r="AD177" s="727"/>
      <c r="AE177" s="706"/>
      <c r="AF177" s="727"/>
      <c r="AG177" s="706"/>
      <c r="AH177" s="727"/>
      <c r="AI177" s="706"/>
      <c r="AJ177" s="706"/>
      <c r="AK177" s="727"/>
      <c r="AL177" s="706"/>
      <c r="AM177" s="727"/>
      <c r="AN177" s="706"/>
      <c r="AO177" s="727"/>
      <c r="AP177" s="706"/>
      <c r="AQ177" s="727"/>
      <c r="AR177" s="706"/>
      <c r="AS177" s="727"/>
      <c r="AT177" s="706"/>
      <c r="AU177" s="706"/>
      <c r="AV177" s="727"/>
      <c r="AW177" s="706"/>
      <c r="AX177" s="727"/>
      <c r="AY177" s="706"/>
      <c r="AZ177" s="727"/>
      <c r="BA177" s="706"/>
      <c r="BB177" s="727"/>
      <c r="BC177" s="706"/>
      <c r="BD177" s="727"/>
      <c r="BE177" s="706"/>
    </row>
    <row r="178" spans="1:57" s="48" customFormat="1">
      <c r="A178" s="827"/>
      <c r="B178" s="827"/>
      <c r="C178" s="893"/>
      <c r="D178" s="863"/>
      <c r="E178" s="706"/>
      <c r="F178" s="863"/>
      <c r="G178" s="706"/>
      <c r="H178" s="863"/>
      <c r="I178" s="706"/>
      <c r="J178" s="863"/>
      <c r="K178" s="706"/>
      <c r="L178" s="863"/>
      <c r="M178" s="706"/>
      <c r="N178" s="706"/>
      <c r="O178" s="863"/>
      <c r="P178" s="706"/>
      <c r="Q178" s="863"/>
      <c r="R178" s="706"/>
      <c r="S178" s="863"/>
      <c r="T178" s="706"/>
      <c r="U178" s="863"/>
      <c r="V178" s="706"/>
      <c r="W178" s="863"/>
      <c r="X178" s="706"/>
      <c r="Y178" s="706"/>
      <c r="Z178" s="727"/>
      <c r="AA178" s="706"/>
      <c r="AB178" s="727"/>
      <c r="AC178" s="706"/>
      <c r="AD178" s="727"/>
      <c r="AE178" s="706"/>
      <c r="AF178" s="727"/>
      <c r="AG178" s="706"/>
      <c r="AH178" s="727"/>
      <c r="AI178" s="706"/>
      <c r="AJ178" s="706"/>
      <c r="AK178" s="727"/>
      <c r="AL178" s="706"/>
      <c r="AM178" s="727"/>
      <c r="AN178" s="706"/>
      <c r="AO178" s="727"/>
      <c r="AP178" s="706"/>
      <c r="AQ178" s="727"/>
      <c r="AR178" s="706"/>
      <c r="AS178" s="727"/>
      <c r="AT178" s="706"/>
      <c r="AU178" s="706"/>
      <c r="AV178" s="727"/>
      <c r="AW178" s="706"/>
      <c r="AX178" s="727"/>
      <c r="AY178" s="706"/>
      <c r="AZ178" s="727"/>
      <c r="BA178" s="706"/>
      <c r="BB178" s="727"/>
      <c r="BC178" s="706"/>
      <c r="BD178" s="727"/>
      <c r="BE178" s="706"/>
    </row>
    <row r="179" spans="1:57" s="48" customFormat="1">
      <c r="A179" s="827"/>
      <c r="B179" s="827"/>
      <c r="C179" s="893"/>
      <c r="D179" s="863"/>
      <c r="E179" s="706"/>
      <c r="F179" s="863"/>
      <c r="G179" s="706"/>
      <c r="H179" s="863"/>
      <c r="I179" s="706"/>
      <c r="J179" s="863"/>
      <c r="K179" s="706"/>
      <c r="L179" s="863"/>
      <c r="M179" s="706"/>
      <c r="N179" s="706"/>
      <c r="O179" s="863"/>
      <c r="P179" s="706"/>
      <c r="Q179" s="863"/>
      <c r="R179" s="706"/>
      <c r="S179" s="863"/>
      <c r="T179" s="706"/>
      <c r="U179" s="863"/>
      <c r="V179" s="706"/>
      <c r="W179" s="863"/>
      <c r="X179" s="706"/>
      <c r="Y179" s="706"/>
      <c r="Z179" s="727"/>
      <c r="AA179" s="706"/>
      <c r="AB179" s="727"/>
      <c r="AC179" s="706"/>
      <c r="AD179" s="727"/>
      <c r="AE179" s="706"/>
      <c r="AF179" s="727"/>
      <c r="AG179" s="706"/>
      <c r="AH179" s="727"/>
      <c r="AI179" s="706"/>
      <c r="AJ179" s="706"/>
      <c r="AK179" s="727"/>
      <c r="AL179" s="706"/>
      <c r="AM179" s="727"/>
      <c r="AN179" s="706"/>
      <c r="AO179" s="727"/>
      <c r="AP179" s="706"/>
      <c r="AQ179" s="727"/>
      <c r="AR179" s="706"/>
      <c r="AS179" s="727"/>
      <c r="AT179" s="706"/>
      <c r="AU179" s="706"/>
      <c r="AV179" s="727"/>
      <c r="AW179" s="706"/>
      <c r="AX179" s="727"/>
      <c r="AY179" s="706"/>
      <c r="AZ179" s="727"/>
      <c r="BA179" s="706"/>
      <c r="BB179" s="727"/>
      <c r="BC179" s="706"/>
      <c r="BD179" s="727"/>
      <c r="BE179" s="706"/>
    </row>
    <row r="180" spans="1:57" s="48" customFormat="1">
      <c r="A180" s="827"/>
      <c r="B180" s="827"/>
      <c r="C180" s="893"/>
      <c r="D180" s="863"/>
      <c r="E180" s="706"/>
      <c r="F180" s="863"/>
      <c r="G180" s="706"/>
      <c r="H180" s="863"/>
      <c r="I180" s="706"/>
      <c r="J180" s="863"/>
      <c r="K180" s="706"/>
      <c r="L180" s="863"/>
      <c r="M180" s="706"/>
      <c r="N180" s="706"/>
      <c r="O180" s="863"/>
      <c r="P180" s="706"/>
      <c r="Q180" s="863"/>
      <c r="R180" s="706"/>
      <c r="S180" s="863"/>
      <c r="T180" s="706"/>
      <c r="U180" s="863"/>
      <c r="V180" s="706"/>
      <c r="W180" s="863"/>
      <c r="X180" s="706"/>
      <c r="Y180" s="706"/>
      <c r="Z180" s="727"/>
      <c r="AA180" s="706"/>
      <c r="AB180" s="727"/>
      <c r="AC180" s="706"/>
      <c r="AD180" s="727"/>
      <c r="AE180" s="706"/>
      <c r="AF180" s="727"/>
      <c r="AG180" s="706"/>
      <c r="AH180" s="727"/>
      <c r="AI180" s="706"/>
      <c r="AJ180" s="706"/>
      <c r="AK180" s="727"/>
      <c r="AL180" s="706"/>
      <c r="AM180" s="727"/>
      <c r="AN180" s="706"/>
      <c r="AO180" s="727"/>
      <c r="AP180" s="706"/>
      <c r="AQ180" s="727"/>
      <c r="AR180" s="706"/>
      <c r="AS180" s="727"/>
      <c r="AT180" s="706"/>
      <c r="AU180" s="706"/>
      <c r="AV180" s="727"/>
      <c r="AW180" s="706"/>
      <c r="AX180" s="727"/>
      <c r="AY180" s="706"/>
      <c r="AZ180" s="727"/>
      <c r="BA180" s="706"/>
      <c r="BB180" s="727"/>
      <c r="BC180" s="706"/>
      <c r="BD180" s="727"/>
      <c r="BE180" s="706"/>
    </row>
    <row r="181" spans="1:57" s="48" customFormat="1">
      <c r="A181" s="827"/>
      <c r="B181" s="827"/>
      <c r="C181" s="893"/>
      <c r="D181" s="863"/>
      <c r="E181" s="706"/>
      <c r="F181" s="863"/>
      <c r="G181" s="706"/>
      <c r="H181" s="863"/>
      <c r="I181" s="706"/>
      <c r="J181" s="863"/>
      <c r="K181" s="706"/>
      <c r="L181" s="863"/>
      <c r="M181" s="706"/>
      <c r="N181" s="706"/>
      <c r="O181" s="863"/>
      <c r="P181" s="706"/>
      <c r="Q181" s="863"/>
      <c r="R181" s="706"/>
      <c r="S181" s="863"/>
      <c r="T181" s="706"/>
      <c r="U181" s="863"/>
      <c r="V181" s="706"/>
      <c r="W181" s="863"/>
      <c r="X181" s="706"/>
      <c r="Y181" s="706"/>
      <c r="Z181" s="727"/>
      <c r="AA181" s="706"/>
      <c r="AB181" s="727"/>
      <c r="AC181" s="706"/>
      <c r="AD181" s="727"/>
      <c r="AE181" s="706"/>
      <c r="AF181" s="727"/>
      <c r="AG181" s="706"/>
      <c r="AH181" s="727"/>
      <c r="AI181" s="706"/>
      <c r="AJ181" s="706"/>
      <c r="AK181" s="727"/>
      <c r="AL181" s="706"/>
      <c r="AM181" s="727"/>
      <c r="AN181" s="706"/>
      <c r="AO181" s="727"/>
      <c r="AP181" s="706"/>
      <c r="AQ181" s="727"/>
      <c r="AR181" s="706"/>
      <c r="AS181" s="727"/>
      <c r="AT181" s="706"/>
      <c r="AU181" s="706"/>
      <c r="AV181" s="727"/>
      <c r="AW181" s="706"/>
      <c r="AX181" s="727"/>
      <c r="AY181" s="706"/>
      <c r="AZ181" s="727"/>
      <c r="BA181" s="706"/>
      <c r="BB181" s="727"/>
      <c r="BC181" s="706"/>
      <c r="BD181" s="727"/>
      <c r="BE181" s="706"/>
    </row>
    <row r="182" spans="1:57" s="48" customFormat="1">
      <c r="A182" s="827"/>
      <c r="B182" s="827"/>
      <c r="C182" s="893"/>
      <c r="D182" s="863"/>
      <c r="E182" s="706"/>
      <c r="F182" s="863"/>
      <c r="G182" s="706"/>
      <c r="H182" s="863"/>
      <c r="I182" s="706"/>
      <c r="J182" s="863"/>
      <c r="K182" s="706"/>
      <c r="L182" s="863"/>
      <c r="M182" s="706"/>
      <c r="N182" s="706"/>
      <c r="O182" s="863"/>
      <c r="P182" s="706"/>
      <c r="Q182" s="863"/>
      <c r="R182" s="706"/>
      <c r="S182" s="863"/>
      <c r="T182" s="706"/>
      <c r="U182" s="863"/>
      <c r="V182" s="706"/>
      <c r="W182" s="863"/>
      <c r="X182" s="706"/>
      <c r="Y182" s="706"/>
      <c r="Z182" s="727"/>
      <c r="AA182" s="706"/>
      <c r="AB182" s="727"/>
      <c r="AC182" s="706"/>
      <c r="AD182" s="727"/>
      <c r="AE182" s="706"/>
      <c r="AF182" s="727"/>
      <c r="AG182" s="706"/>
      <c r="AH182" s="727"/>
      <c r="AI182" s="706"/>
      <c r="AJ182" s="706"/>
      <c r="AK182" s="727"/>
      <c r="AL182" s="706"/>
      <c r="AM182" s="727"/>
      <c r="AN182" s="706"/>
      <c r="AO182" s="727"/>
      <c r="AP182" s="706"/>
      <c r="AQ182" s="727"/>
      <c r="AR182" s="706"/>
      <c r="AS182" s="727"/>
      <c r="AT182" s="706"/>
      <c r="AU182" s="706"/>
      <c r="AV182" s="727"/>
      <c r="AW182" s="706"/>
      <c r="AX182" s="727"/>
      <c r="AY182" s="706"/>
      <c r="AZ182" s="727"/>
      <c r="BA182" s="706"/>
      <c r="BB182" s="727"/>
      <c r="BC182" s="706"/>
      <c r="BD182" s="727"/>
      <c r="BE182" s="706"/>
    </row>
    <row r="183" spans="1:57" s="48" customFormat="1">
      <c r="A183" s="827"/>
      <c r="B183" s="827"/>
      <c r="C183" s="893"/>
      <c r="D183" s="863"/>
      <c r="E183" s="706"/>
      <c r="F183" s="863"/>
      <c r="G183" s="706"/>
      <c r="H183" s="863"/>
      <c r="I183" s="706"/>
      <c r="J183" s="863"/>
      <c r="K183" s="706"/>
      <c r="L183" s="863"/>
      <c r="M183" s="706"/>
      <c r="N183" s="706"/>
      <c r="O183" s="863"/>
      <c r="P183" s="706"/>
      <c r="Q183" s="863"/>
      <c r="R183" s="706"/>
      <c r="S183" s="863"/>
      <c r="T183" s="706"/>
      <c r="U183" s="863"/>
      <c r="V183" s="706"/>
      <c r="W183" s="863"/>
      <c r="X183" s="706"/>
      <c r="Y183" s="706"/>
      <c r="Z183" s="727"/>
      <c r="AA183" s="706"/>
      <c r="AB183" s="727"/>
      <c r="AC183" s="706"/>
      <c r="AD183" s="727"/>
      <c r="AE183" s="706"/>
      <c r="AF183" s="727"/>
      <c r="AG183" s="706"/>
      <c r="AH183" s="727"/>
      <c r="AI183" s="706"/>
      <c r="AJ183" s="706"/>
      <c r="AK183" s="727"/>
      <c r="AL183" s="706"/>
      <c r="AM183" s="727"/>
      <c r="AN183" s="706"/>
      <c r="AO183" s="727"/>
      <c r="AP183" s="706"/>
      <c r="AQ183" s="727"/>
      <c r="AR183" s="706"/>
      <c r="AS183" s="727"/>
      <c r="AT183" s="706"/>
      <c r="AU183" s="706"/>
      <c r="AV183" s="727"/>
      <c r="AW183" s="706"/>
      <c r="AX183" s="727"/>
      <c r="AY183" s="706"/>
      <c r="AZ183" s="727"/>
      <c r="BA183" s="706"/>
      <c r="BB183" s="727"/>
      <c r="BC183" s="706"/>
      <c r="BD183" s="727"/>
      <c r="BE183" s="706"/>
    </row>
    <row r="184" spans="1:57" s="48" customFormat="1">
      <c r="A184" s="827"/>
      <c r="B184" s="827"/>
      <c r="C184" s="893"/>
      <c r="D184" s="863"/>
      <c r="E184" s="706"/>
      <c r="F184" s="863"/>
      <c r="G184" s="706"/>
      <c r="H184" s="863"/>
      <c r="I184" s="706"/>
      <c r="J184" s="863"/>
      <c r="K184" s="706"/>
      <c r="L184" s="863"/>
      <c r="M184" s="706"/>
      <c r="N184" s="706"/>
      <c r="O184" s="863"/>
      <c r="P184" s="706"/>
      <c r="Q184" s="863"/>
      <c r="R184" s="706"/>
      <c r="S184" s="863"/>
      <c r="T184" s="706"/>
      <c r="U184" s="863"/>
      <c r="V184" s="706"/>
      <c r="W184" s="863"/>
      <c r="X184" s="706"/>
      <c r="Y184" s="706"/>
      <c r="Z184" s="727"/>
      <c r="AA184" s="706"/>
      <c r="AB184" s="727"/>
      <c r="AC184" s="706"/>
      <c r="AD184" s="727"/>
      <c r="AE184" s="706"/>
      <c r="AF184" s="727"/>
      <c r="AG184" s="706"/>
      <c r="AH184" s="727"/>
      <c r="AI184" s="706"/>
      <c r="AJ184" s="706"/>
      <c r="AK184" s="727"/>
      <c r="AL184" s="706"/>
      <c r="AM184" s="727"/>
      <c r="AN184" s="706"/>
      <c r="AO184" s="727"/>
      <c r="AP184" s="706"/>
      <c r="AQ184" s="727"/>
      <c r="AR184" s="706"/>
      <c r="AS184" s="727"/>
      <c r="AT184" s="706"/>
      <c r="AU184" s="706"/>
      <c r="AV184" s="727"/>
      <c r="AW184" s="706"/>
      <c r="AX184" s="727"/>
      <c r="AY184" s="706"/>
      <c r="AZ184" s="727"/>
      <c r="BA184" s="706"/>
      <c r="BB184" s="727"/>
      <c r="BC184" s="706"/>
      <c r="BD184" s="727"/>
      <c r="BE184" s="706"/>
    </row>
    <row r="185" spans="1:57" s="48" customFormat="1">
      <c r="A185" s="827"/>
      <c r="B185" s="827"/>
      <c r="C185" s="893"/>
      <c r="D185" s="863"/>
      <c r="E185" s="706"/>
      <c r="F185" s="863"/>
      <c r="G185" s="706"/>
      <c r="H185" s="863"/>
      <c r="I185" s="706"/>
      <c r="J185" s="863"/>
      <c r="K185" s="706"/>
      <c r="L185" s="863"/>
      <c r="M185" s="706"/>
      <c r="N185" s="706"/>
      <c r="O185" s="863"/>
      <c r="P185" s="706"/>
      <c r="Q185" s="863"/>
      <c r="R185" s="706"/>
      <c r="S185" s="863"/>
      <c r="T185" s="706"/>
      <c r="U185" s="863"/>
      <c r="V185" s="706"/>
      <c r="W185" s="863"/>
      <c r="X185" s="706"/>
      <c r="Y185" s="706"/>
      <c r="Z185" s="727"/>
      <c r="AA185" s="706"/>
      <c r="AB185" s="727"/>
      <c r="AC185" s="706"/>
      <c r="AD185" s="727"/>
      <c r="AE185" s="706"/>
      <c r="AF185" s="727"/>
      <c r="AG185" s="706"/>
      <c r="AH185" s="727"/>
      <c r="AI185" s="706"/>
      <c r="AJ185" s="706"/>
      <c r="AK185" s="727"/>
      <c r="AL185" s="706"/>
      <c r="AM185" s="727"/>
      <c r="AN185" s="706"/>
      <c r="AO185" s="727"/>
      <c r="AP185" s="706"/>
      <c r="AQ185" s="727"/>
      <c r="AR185" s="706"/>
      <c r="AS185" s="727"/>
      <c r="AT185" s="706"/>
      <c r="AU185" s="706"/>
      <c r="AV185" s="727"/>
      <c r="AW185" s="706"/>
      <c r="AX185" s="727"/>
      <c r="AY185" s="706"/>
      <c r="AZ185" s="727"/>
      <c r="BA185" s="706"/>
      <c r="BB185" s="727"/>
      <c r="BC185" s="706"/>
      <c r="BD185" s="727"/>
      <c r="BE185" s="706"/>
    </row>
    <row r="186" spans="1:57" s="48" customFormat="1">
      <c r="A186" s="827"/>
      <c r="B186" s="827"/>
      <c r="C186" s="893"/>
      <c r="D186" s="863"/>
      <c r="E186" s="706"/>
      <c r="F186" s="863"/>
      <c r="G186" s="706"/>
      <c r="H186" s="863"/>
      <c r="I186" s="706"/>
      <c r="J186" s="863"/>
      <c r="K186" s="706"/>
      <c r="L186" s="863"/>
      <c r="M186" s="706"/>
      <c r="N186" s="706"/>
      <c r="O186" s="863"/>
      <c r="P186" s="706"/>
      <c r="Q186" s="863"/>
      <c r="R186" s="706"/>
      <c r="S186" s="863"/>
      <c r="T186" s="706"/>
      <c r="U186" s="863"/>
      <c r="V186" s="706"/>
      <c r="W186" s="863"/>
      <c r="X186" s="706"/>
      <c r="Y186" s="706"/>
      <c r="Z186" s="727"/>
      <c r="AA186" s="706"/>
      <c r="AB186" s="727"/>
      <c r="AC186" s="706"/>
      <c r="AD186" s="727"/>
      <c r="AE186" s="706"/>
      <c r="AF186" s="727"/>
      <c r="AG186" s="706"/>
      <c r="AH186" s="727"/>
      <c r="AI186" s="706"/>
      <c r="AJ186" s="706"/>
      <c r="AK186" s="727"/>
      <c r="AL186" s="706"/>
      <c r="AM186" s="727"/>
      <c r="AN186" s="706"/>
      <c r="AO186" s="727"/>
      <c r="AP186" s="706"/>
      <c r="AQ186" s="727"/>
      <c r="AR186" s="706"/>
      <c r="AS186" s="727"/>
      <c r="AT186" s="706"/>
      <c r="AU186" s="706"/>
      <c r="AV186" s="727"/>
      <c r="AW186" s="706"/>
      <c r="AX186" s="727"/>
      <c r="AY186" s="706"/>
      <c r="AZ186" s="727"/>
      <c r="BA186" s="706"/>
      <c r="BB186" s="727"/>
      <c r="BC186" s="706"/>
      <c r="BD186" s="727"/>
      <c r="BE186" s="706"/>
    </row>
    <row r="187" spans="1:57" s="48" customFormat="1">
      <c r="A187" s="827"/>
      <c r="B187" s="827"/>
      <c r="C187" s="893"/>
      <c r="D187" s="863"/>
      <c r="E187" s="706"/>
      <c r="F187" s="863"/>
      <c r="G187" s="706"/>
      <c r="H187" s="863"/>
      <c r="I187" s="706"/>
      <c r="J187" s="863"/>
      <c r="K187" s="706"/>
      <c r="L187" s="863"/>
      <c r="M187" s="706"/>
      <c r="N187" s="706"/>
      <c r="O187" s="863"/>
      <c r="P187" s="706"/>
      <c r="Q187" s="863"/>
      <c r="R187" s="706"/>
      <c r="S187" s="863"/>
      <c r="T187" s="706"/>
      <c r="U187" s="863"/>
      <c r="V187" s="706"/>
      <c r="W187" s="863"/>
      <c r="X187" s="706"/>
      <c r="Y187" s="706"/>
      <c r="Z187" s="727"/>
      <c r="AA187" s="706"/>
      <c r="AB187" s="727"/>
      <c r="AC187" s="706"/>
      <c r="AD187" s="727"/>
      <c r="AE187" s="706"/>
      <c r="AF187" s="727"/>
      <c r="AG187" s="706"/>
      <c r="AH187" s="727"/>
      <c r="AI187" s="706"/>
      <c r="AJ187" s="706"/>
      <c r="AK187" s="727"/>
      <c r="AL187" s="706"/>
      <c r="AM187" s="727"/>
      <c r="AN187" s="706"/>
      <c r="AO187" s="727"/>
      <c r="AP187" s="706"/>
      <c r="AQ187" s="727"/>
      <c r="AR187" s="706"/>
      <c r="AS187" s="727"/>
      <c r="AT187" s="706"/>
      <c r="AU187" s="706"/>
      <c r="AV187" s="727"/>
      <c r="AW187" s="706"/>
      <c r="AX187" s="727"/>
      <c r="AY187" s="706"/>
      <c r="AZ187" s="727"/>
      <c r="BA187" s="706"/>
      <c r="BB187" s="727"/>
      <c r="BC187" s="706"/>
      <c r="BD187" s="727"/>
      <c r="BE187" s="706"/>
    </row>
    <row r="188" spans="1:57" s="48" customFormat="1">
      <c r="A188" s="827"/>
      <c r="B188" s="827"/>
      <c r="C188" s="893"/>
      <c r="D188" s="863"/>
      <c r="E188" s="706"/>
      <c r="F188" s="863"/>
      <c r="G188" s="706"/>
      <c r="H188" s="863"/>
      <c r="I188" s="706"/>
      <c r="J188" s="863"/>
      <c r="K188" s="706"/>
      <c r="L188" s="863"/>
      <c r="M188" s="706"/>
      <c r="N188" s="706"/>
      <c r="O188" s="863"/>
      <c r="P188" s="706"/>
      <c r="Q188" s="863"/>
      <c r="R188" s="706"/>
      <c r="S188" s="863"/>
      <c r="T188" s="706"/>
      <c r="U188" s="863"/>
      <c r="V188" s="706"/>
      <c r="W188" s="863"/>
      <c r="X188" s="706"/>
      <c r="Y188" s="706"/>
      <c r="Z188" s="727"/>
      <c r="AA188" s="706"/>
      <c r="AB188" s="727"/>
      <c r="AC188" s="706"/>
      <c r="AD188" s="727"/>
      <c r="AE188" s="706"/>
      <c r="AF188" s="727"/>
      <c r="AG188" s="706"/>
      <c r="AH188" s="727"/>
      <c r="AI188" s="706"/>
      <c r="AJ188" s="706"/>
      <c r="AK188" s="727"/>
      <c r="AL188" s="706"/>
      <c r="AM188" s="727"/>
      <c r="AN188" s="706"/>
      <c r="AO188" s="727"/>
      <c r="AP188" s="706"/>
      <c r="AQ188" s="727"/>
      <c r="AR188" s="706"/>
      <c r="AS188" s="727"/>
      <c r="AT188" s="706"/>
      <c r="AU188" s="706"/>
      <c r="AV188" s="727"/>
      <c r="AW188" s="706"/>
      <c r="AX188" s="727"/>
      <c r="AY188" s="706"/>
      <c r="AZ188" s="727"/>
      <c r="BA188" s="706"/>
      <c r="BB188" s="727"/>
      <c r="BC188" s="706"/>
      <c r="BD188" s="727"/>
      <c r="BE188" s="706"/>
    </row>
    <row r="189" spans="1:57" s="48" customFormat="1">
      <c r="A189" s="827"/>
      <c r="B189" s="827"/>
      <c r="C189" s="893"/>
      <c r="D189" s="863"/>
      <c r="E189" s="706"/>
      <c r="F189" s="863"/>
      <c r="G189" s="706"/>
      <c r="H189" s="863"/>
      <c r="I189" s="706"/>
      <c r="J189" s="863"/>
      <c r="K189" s="706"/>
      <c r="L189" s="863"/>
      <c r="M189" s="706"/>
      <c r="N189" s="706"/>
      <c r="O189" s="863"/>
      <c r="P189" s="706"/>
      <c r="Q189" s="863"/>
      <c r="R189" s="706"/>
      <c r="S189" s="863"/>
      <c r="T189" s="706"/>
      <c r="U189" s="863"/>
      <c r="V189" s="706"/>
      <c r="W189" s="863"/>
      <c r="X189" s="706"/>
      <c r="Y189" s="706"/>
      <c r="Z189" s="727"/>
      <c r="AA189" s="706"/>
      <c r="AB189" s="727"/>
      <c r="AC189" s="706"/>
      <c r="AD189" s="727"/>
      <c r="AE189" s="706"/>
      <c r="AF189" s="727"/>
      <c r="AG189" s="706"/>
      <c r="AH189" s="727"/>
      <c r="AI189" s="706"/>
      <c r="AJ189" s="706"/>
      <c r="AK189" s="727"/>
      <c r="AL189" s="706"/>
      <c r="AM189" s="727"/>
      <c r="AN189" s="706"/>
      <c r="AO189" s="727"/>
      <c r="AP189" s="706"/>
      <c r="AQ189" s="727"/>
      <c r="AR189" s="706"/>
      <c r="AS189" s="727"/>
      <c r="AT189" s="706"/>
      <c r="AU189" s="706"/>
      <c r="AV189" s="727"/>
      <c r="AW189" s="706"/>
      <c r="AX189" s="727"/>
      <c r="AY189" s="706"/>
      <c r="AZ189" s="727"/>
      <c r="BA189" s="706"/>
      <c r="BB189" s="727"/>
      <c r="BC189" s="706"/>
      <c r="BD189" s="727"/>
      <c r="BE189" s="706"/>
    </row>
    <row r="190" spans="1:57" s="48" customFormat="1">
      <c r="A190" s="827"/>
      <c r="B190" s="827"/>
      <c r="C190" s="893"/>
      <c r="D190" s="863"/>
      <c r="E190" s="706"/>
      <c r="F190" s="863"/>
      <c r="G190" s="706"/>
      <c r="H190" s="863"/>
      <c r="I190" s="706"/>
      <c r="J190" s="863"/>
      <c r="K190" s="706"/>
      <c r="L190" s="863"/>
      <c r="M190" s="706"/>
      <c r="N190" s="706"/>
      <c r="O190" s="863"/>
      <c r="P190" s="706"/>
      <c r="Q190" s="863"/>
      <c r="R190" s="706"/>
      <c r="S190" s="863"/>
      <c r="T190" s="706"/>
      <c r="U190" s="863"/>
      <c r="V190" s="706"/>
      <c r="W190" s="863"/>
      <c r="X190" s="706"/>
      <c r="Y190" s="706"/>
      <c r="Z190" s="727"/>
      <c r="AA190" s="706"/>
      <c r="AB190" s="727"/>
      <c r="AC190" s="706"/>
      <c r="AD190" s="727"/>
      <c r="AE190" s="706"/>
      <c r="AF190" s="727"/>
      <c r="AG190" s="706"/>
      <c r="AH190" s="727"/>
      <c r="AI190" s="706"/>
      <c r="AJ190" s="706"/>
      <c r="AK190" s="727"/>
      <c r="AL190" s="706"/>
      <c r="AM190" s="727"/>
      <c r="AN190" s="706"/>
      <c r="AO190" s="727"/>
      <c r="AP190" s="706"/>
      <c r="AQ190" s="727"/>
      <c r="AR190" s="706"/>
      <c r="AS190" s="727"/>
      <c r="AT190" s="706"/>
      <c r="AU190" s="706"/>
      <c r="AV190" s="727"/>
      <c r="AW190" s="706"/>
      <c r="AX190" s="727"/>
      <c r="AY190" s="706"/>
      <c r="AZ190" s="727"/>
      <c r="BA190" s="706"/>
      <c r="BB190" s="727"/>
      <c r="BC190" s="706"/>
      <c r="BD190" s="727"/>
      <c r="BE190" s="706"/>
    </row>
    <row r="191" spans="1:57" s="48" customFormat="1">
      <c r="A191" s="827"/>
      <c r="B191" s="827"/>
      <c r="C191" s="893"/>
      <c r="D191" s="863"/>
      <c r="E191" s="706"/>
      <c r="F191" s="863"/>
      <c r="G191" s="706"/>
      <c r="H191" s="863"/>
      <c r="I191" s="706"/>
      <c r="J191" s="863"/>
      <c r="K191" s="706"/>
      <c r="L191" s="863"/>
      <c r="M191" s="706"/>
      <c r="N191" s="706"/>
      <c r="O191" s="863"/>
      <c r="P191" s="706"/>
      <c r="Q191" s="863"/>
      <c r="R191" s="706"/>
      <c r="S191" s="863"/>
      <c r="T191" s="706"/>
      <c r="U191" s="863"/>
      <c r="V191" s="706"/>
      <c r="W191" s="863"/>
      <c r="X191" s="706"/>
      <c r="Y191" s="706"/>
      <c r="Z191" s="727"/>
      <c r="AA191" s="706"/>
      <c r="AB191" s="727"/>
      <c r="AC191" s="706"/>
      <c r="AD191" s="727"/>
      <c r="AE191" s="706"/>
      <c r="AF191" s="727"/>
      <c r="AG191" s="706"/>
      <c r="AH191" s="727"/>
      <c r="AI191" s="706"/>
      <c r="AJ191" s="706"/>
      <c r="AK191" s="727"/>
      <c r="AL191" s="706"/>
      <c r="AM191" s="727"/>
      <c r="AN191" s="706"/>
      <c r="AO191" s="727"/>
      <c r="AP191" s="706"/>
      <c r="AQ191" s="727"/>
      <c r="AR191" s="706"/>
      <c r="AS191" s="727"/>
      <c r="AT191" s="706"/>
      <c r="AU191" s="706"/>
      <c r="AV191" s="727"/>
      <c r="AW191" s="706"/>
      <c r="AX191" s="727"/>
      <c r="AY191" s="706"/>
      <c r="AZ191" s="727"/>
      <c r="BA191" s="706"/>
      <c r="BB191" s="727"/>
      <c r="BC191" s="706"/>
      <c r="BD191" s="727"/>
      <c r="BE191" s="706"/>
    </row>
    <row r="192" spans="1:57" s="48" customFormat="1">
      <c r="A192" s="827"/>
      <c r="B192" s="827"/>
      <c r="C192" s="893"/>
      <c r="D192" s="863"/>
      <c r="E192" s="706"/>
      <c r="F192" s="863"/>
      <c r="G192" s="706"/>
      <c r="H192" s="863"/>
      <c r="I192" s="706"/>
      <c r="J192" s="863"/>
      <c r="K192" s="706"/>
      <c r="L192" s="863"/>
      <c r="M192" s="706"/>
      <c r="N192" s="706"/>
      <c r="O192" s="863"/>
      <c r="P192" s="706"/>
      <c r="Q192" s="863"/>
      <c r="R192" s="706"/>
      <c r="S192" s="863"/>
      <c r="T192" s="706"/>
      <c r="U192" s="863"/>
      <c r="V192" s="706"/>
      <c r="W192" s="863"/>
      <c r="X192" s="706"/>
      <c r="Y192" s="706"/>
      <c r="Z192" s="727"/>
      <c r="AA192" s="706"/>
      <c r="AB192" s="727"/>
      <c r="AC192" s="706"/>
      <c r="AD192" s="727"/>
      <c r="AE192" s="706"/>
      <c r="AF192" s="727"/>
      <c r="AG192" s="706"/>
      <c r="AH192" s="727"/>
      <c r="AI192" s="706"/>
      <c r="AJ192" s="706"/>
      <c r="AK192" s="727"/>
      <c r="AL192" s="706"/>
      <c r="AM192" s="727"/>
      <c r="AN192" s="706"/>
      <c r="AO192" s="727"/>
      <c r="AP192" s="706"/>
      <c r="AQ192" s="727"/>
      <c r="AR192" s="706"/>
      <c r="AS192" s="727"/>
      <c r="AT192" s="706"/>
      <c r="AU192" s="706"/>
      <c r="AV192" s="727"/>
      <c r="AW192" s="706"/>
      <c r="AX192" s="727"/>
      <c r="AY192" s="706"/>
      <c r="AZ192" s="727"/>
      <c r="BA192" s="706"/>
      <c r="BB192" s="727"/>
      <c r="BC192" s="706"/>
      <c r="BD192" s="727"/>
      <c r="BE192" s="706"/>
    </row>
    <row r="193" spans="1:57" s="48" customFormat="1">
      <c r="A193" s="827"/>
      <c r="B193" s="827"/>
      <c r="C193" s="893"/>
      <c r="D193" s="863"/>
      <c r="E193" s="706"/>
      <c r="F193" s="863"/>
      <c r="G193" s="706"/>
      <c r="H193" s="863"/>
      <c r="I193" s="706"/>
      <c r="J193" s="863"/>
      <c r="K193" s="706"/>
      <c r="L193" s="863"/>
      <c r="M193" s="706"/>
      <c r="N193" s="706"/>
      <c r="O193" s="863"/>
      <c r="P193" s="706"/>
      <c r="Q193" s="863"/>
      <c r="R193" s="706"/>
      <c r="S193" s="863"/>
      <c r="T193" s="706"/>
      <c r="U193" s="863"/>
      <c r="V193" s="706"/>
      <c r="W193" s="863"/>
      <c r="X193" s="706"/>
      <c r="Y193" s="706"/>
      <c r="Z193" s="727"/>
      <c r="AA193" s="706"/>
      <c r="AB193" s="727"/>
      <c r="AC193" s="706"/>
      <c r="AD193" s="727"/>
      <c r="AE193" s="706"/>
      <c r="AF193" s="727"/>
      <c r="AG193" s="706"/>
      <c r="AH193" s="727"/>
      <c r="AI193" s="706"/>
      <c r="AJ193" s="706"/>
      <c r="AK193" s="727"/>
      <c r="AL193" s="706"/>
      <c r="AM193" s="727"/>
      <c r="AN193" s="706"/>
      <c r="AO193" s="727"/>
      <c r="AP193" s="706"/>
      <c r="AQ193" s="727"/>
      <c r="AR193" s="706"/>
      <c r="AS193" s="727"/>
      <c r="AT193" s="706"/>
      <c r="AU193" s="706"/>
      <c r="AV193" s="727"/>
      <c r="AW193" s="706"/>
      <c r="AX193" s="727"/>
      <c r="AY193" s="706"/>
      <c r="AZ193" s="727"/>
      <c r="BA193" s="706"/>
      <c r="BB193" s="727"/>
      <c r="BC193" s="706"/>
      <c r="BD193" s="727"/>
      <c r="BE193" s="706"/>
    </row>
    <row r="194" spans="1:57" s="48" customFormat="1">
      <c r="A194" s="827"/>
      <c r="B194" s="827"/>
      <c r="C194" s="893"/>
      <c r="D194" s="863"/>
      <c r="E194" s="706"/>
      <c r="F194" s="863"/>
      <c r="G194" s="706"/>
      <c r="H194" s="863"/>
      <c r="I194" s="706"/>
      <c r="J194" s="863"/>
      <c r="K194" s="706"/>
      <c r="L194" s="863"/>
      <c r="M194" s="706"/>
      <c r="N194" s="706"/>
      <c r="O194" s="863"/>
      <c r="P194" s="706"/>
      <c r="Q194" s="863"/>
      <c r="R194" s="706"/>
      <c r="S194" s="863"/>
      <c r="T194" s="706"/>
      <c r="U194" s="863"/>
      <c r="V194" s="706"/>
      <c r="W194" s="863"/>
      <c r="X194" s="706"/>
      <c r="Y194" s="706"/>
      <c r="Z194" s="727"/>
      <c r="AA194" s="706"/>
      <c r="AB194" s="727"/>
      <c r="AC194" s="706"/>
      <c r="AD194" s="727"/>
      <c r="AE194" s="706"/>
      <c r="AF194" s="727"/>
      <c r="AG194" s="706"/>
      <c r="AH194" s="727"/>
      <c r="AI194" s="706"/>
      <c r="AJ194" s="706"/>
      <c r="AK194" s="727"/>
      <c r="AL194" s="706"/>
      <c r="AM194" s="727"/>
      <c r="AN194" s="706"/>
      <c r="AO194" s="727"/>
      <c r="AP194" s="706"/>
      <c r="AQ194" s="727"/>
      <c r="AR194" s="706"/>
      <c r="AS194" s="727"/>
      <c r="AT194" s="706"/>
      <c r="AU194" s="706"/>
      <c r="AV194" s="727"/>
      <c r="AW194" s="706"/>
      <c r="AX194" s="727"/>
      <c r="AY194" s="706"/>
      <c r="AZ194" s="727"/>
      <c r="BA194" s="706"/>
      <c r="BB194" s="727"/>
      <c r="BC194" s="706"/>
      <c r="BD194" s="727"/>
      <c r="BE194" s="706"/>
    </row>
    <row r="195" spans="1:57" s="48" customFormat="1">
      <c r="A195" s="827"/>
      <c r="B195" s="827"/>
      <c r="C195" s="893"/>
      <c r="D195" s="863"/>
      <c r="E195" s="706"/>
      <c r="F195" s="863"/>
      <c r="G195" s="706"/>
      <c r="H195" s="863"/>
      <c r="I195" s="706"/>
      <c r="J195" s="863"/>
      <c r="K195" s="706"/>
      <c r="L195" s="863"/>
      <c r="M195" s="706"/>
      <c r="N195" s="706"/>
      <c r="O195" s="863"/>
      <c r="P195" s="706"/>
      <c r="Q195" s="863"/>
      <c r="R195" s="706"/>
      <c r="S195" s="863"/>
      <c r="T195" s="706"/>
      <c r="U195" s="863"/>
      <c r="V195" s="706"/>
      <c r="W195" s="863"/>
      <c r="X195" s="706"/>
      <c r="Y195" s="706"/>
      <c r="Z195" s="727"/>
      <c r="AA195" s="706"/>
      <c r="AB195" s="727"/>
      <c r="AC195" s="706"/>
      <c r="AD195" s="727"/>
      <c r="AE195" s="706"/>
      <c r="AF195" s="727"/>
      <c r="AG195" s="706"/>
      <c r="AH195" s="727"/>
      <c r="AI195" s="706"/>
      <c r="AJ195" s="706"/>
      <c r="AK195" s="727"/>
      <c r="AL195" s="706"/>
      <c r="AM195" s="727"/>
      <c r="AN195" s="706"/>
      <c r="AO195" s="727"/>
      <c r="AP195" s="706"/>
      <c r="AQ195" s="727"/>
      <c r="AR195" s="706"/>
      <c r="AS195" s="727"/>
      <c r="AT195" s="706"/>
      <c r="AU195" s="706"/>
      <c r="AV195" s="727"/>
      <c r="AW195" s="706"/>
      <c r="AX195" s="727"/>
      <c r="AY195" s="706"/>
      <c r="AZ195" s="727"/>
      <c r="BA195" s="706"/>
      <c r="BB195" s="727"/>
      <c r="BC195" s="706"/>
      <c r="BD195" s="727"/>
      <c r="BE195" s="706"/>
    </row>
    <row r="196" spans="1:57" s="48" customFormat="1">
      <c r="A196" s="827"/>
      <c r="B196" s="827"/>
      <c r="C196" s="893"/>
      <c r="D196" s="863"/>
      <c r="E196" s="706"/>
      <c r="F196" s="863"/>
      <c r="G196" s="706"/>
      <c r="H196" s="863"/>
      <c r="I196" s="706"/>
      <c r="J196" s="863"/>
      <c r="K196" s="706"/>
      <c r="L196" s="863"/>
      <c r="M196" s="706"/>
      <c r="N196" s="706"/>
      <c r="O196" s="863"/>
      <c r="P196" s="706"/>
      <c r="Q196" s="863"/>
      <c r="R196" s="706"/>
      <c r="S196" s="863"/>
      <c r="T196" s="706"/>
      <c r="U196" s="863"/>
      <c r="V196" s="706"/>
      <c r="W196" s="863"/>
      <c r="X196" s="706"/>
      <c r="Y196" s="706"/>
      <c r="Z196" s="727"/>
      <c r="AA196" s="706"/>
      <c r="AB196" s="727"/>
      <c r="AC196" s="706"/>
      <c r="AD196" s="727"/>
      <c r="AE196" s="706"/>
      <c r="AF196" s="727"/>
      <c r="AG196" s="706"/>
      <c r="AH196" s="727"/>
      <c r="AI196" s="706"/>
      <c r="AJ196" s="706"/>
      <c r="AK196" s="727"/>
      <c r="AL196" s="706"/>
      <c r="AM196" s="727"/>
      <c r="AN196" s="706"/>
      <c r="AO196" s="727"/>
      <c r="AP196" s="706"/>
      <c r="AQ196" s="727"/>
      <c r="AR196" s="706"/>
      <c r="AS196" s="727"/>
      <c r="AT196" s="706"/>
      <c r="AU196" s="706"/>
      <c r="AV196" s="727"/>
      <c r="AW196" s="706"/>
      <c r="AX196" s="727"/>
      <c r="AY196" s="706"/>
      <c r="AZ196" s="727"/>
      <c r="BA196" s="706"/>
      <c r="BB196" s="727"/>
      <c r="BC196" s="706"/>
      <c r="BD196" s="727"/>
      <c r="BE196" s="706"/>
    </row>
    <row r="197" spans="1:57" s="48" customFormat="1">
      <c r="A197" s="827"/>
      <c r="B197" s="827"/>
      <c r="C197" s="893"/>
      <c r="D197" s="863"/>
      <c r="E197" s="706"/>
      <c r="F197" s="863"/>
      <c r="G197" s="706"/>
      <c r="H197" s="863"/>
      <c r="I197" s="706"/>
      <c r="J197" s="863"/>
      <c r="K197" s="706"/>
      <c r="L197" s="863"/>
      <c r="M197" s="706"/>
      <c r="N197" s="706"/>
      <c r="O197" s="863"/>
      <c r="P197" s="706"/>
      <c r="Q197" s="863"/>
      <c r="R197" s="706"/>
      <c r="S197" s="863"/>
      <c r="T197" s="706"/>
      <c r="U197" s="863"/>
      <c r="V197" s="706"/>
      <c r="W197" s="863"/>
      <c r="X197" s="706"/>
      <c r="Y197" s="706"/>
      <c r="Z197" s="727"/>
      <c r="AA197" s="706"/>
      <c r="AB197" s="727"/>
      <c r="AC197" s="706"/>
      <c r="AD197" s="727"/>
      <c r="AE197" s="706"/>
      <c r="AF197" s="727"/>
      <c r="AG197" s="706"/>
      <c r="AH197" s="727"/>
      <c r="AI197" s="706"/>
      <c r="AJ197" s="706"/>
      <c r="AK197" s="727"/>
      <c r="AL197" s="706"/>
      <c r="AM197" s="727"/>
      <c r="AN197" s="706"/>
      <c r="AO197" s="727"/>
      <c r="AP197" s="706"/>
      <c r="AQ197" s="727"/>
      <c r="AR197" s="706"/>
      <c r="AS197" s="727"/>
      <c r="AT197" s="706"/>
      <c r="AU197" s="706"/>
      <c r="AV197" s="727"/>
      <c r="AW197" s="706"/>
      <c r="AX197" s="727"/>
      <c r="AY197" s="706"/>
      <c r="AZ197" s="727"/>
      <c r="BA197" s="706"/>
      <c r="BB197" s="727"/>
      <c r="BC197" s="706"/>
      <c r="BD197" s="727"/>
      <c r="BE197" s="706"/>
    </row>
    <row r="198" spans="1:57" s="48" customFormat="1">
      <c r="A198" s="827"/>
      <c r="B198" s="827"/>
      <c r="C198" s="893"/>
      <c r="D198" s="863"/>
      <c r="E198" s="706"/>
      <c r="F198" s="863"/>
      <c r="G198" s="706"/>
      <c r="H198" s="863"/>
      <c r="I198" s="706"/>
      <c r="J198" s="863"/>
      <c r="K198" s="706"/>
      <c r="L198" s="863"/>
      <c r="M198" s="706"/>
      <c r="N198" s="706"/>
      <c r="O198" s="863"/>
      <c r="P198" s="706"/>
      <c r="Q198" s="863"/>
      <c r="R198" s="706"/>
      <c r="S198" s="863"/>
      <c r="T198" s="706"/>
      <c r="U198" s="863"/>
      <c r="V198" s="706"/>
      <c r="W198" s="863"/>
      <c r="X198" s="706"/>
      <c r="Y198" s="706"/>
      <c r="Z198" s="727"/>
      <c r="AA198" s="706"/>
      <c r="AB198" s="727"/>
      <c r="AC198" s="706"/>
      <c r="AD198" s="727"/>
      <c r="AE198" s="706"/>
      <c r="AF198" s="727"/>
      <c r="AG198" s="706"/>
      <c r="AH198" s="727"/>
      <c r="AI198" s="706"/>
      <c r="AJ198" s="706"/>
      <c r="AK198" s="727"/>
      <c r="AL198" s="706"/>
      <c r="AM198" s="727"/>
      <c r="AN198" s="706"/>
      <c r="AO198" s="727"/>
      <c r="AP198" s="706"/>
      <c r="AQ198" s="727"/>
      <c r="AR198" s="706"/>
      <c r="AS198" s="727"/>
      <c r="AT198" s="706"/>
      <c r="AU198" s="706"/>
      <c r="AV198" s="727"/>
      <c r="AW198" s="706"/>
      <c r="AX198" s="727"/>
      <c r="AY198" s="706"/>
      <c r="AZ198" s="727"/>
      <c r="BA198" s="706"/>
      <c r="BB198" s="727"/>
      <c r="BC198" s="706"/>
      <c r="BD198" s="727"/>
      <c r="BE198" s="706"/>
    </row>
    <row r="199" spans="1:57" s="48" customFormat="1">
      <c r="A199" s="827"/>
      <c r="B199" s="827"/>
      <c r="C199" s="893"/>
      <c r="D199" s="863"/>
      <c r="E199" s="706"/>
      <c r="F199" s="863"/>
      <c r="G199" s="706"/>
      <c r="H199" s="863"/>
      <c r="I199" s="706"/>
      <c r="J199" s="863"/>
      <c r="K199" s="706"/>
      <c r="L199" s="863"/>
      <c r="M199" s="706"/>
      <c r="N199" s="706"/>
      <c r="O199" s="863"/>
      <c r="P199" s="706"/>
      <c r="Q199" s="863"/>
      <c r="R199" s="706"/>
      <c r="S199" s="863"/>
      <c r="T199" s="706"/>
      <c r="U199" s="863"/>
      <c r="V199" s="706"/>
      <c r="W199" s="863"/>
      <c r="X199" s="706"/>
      <c r="Y199" s="706"/>
      <c r="Z199" s="727"/>
      <c r="AA199" s="706"/>
      <c r="AB199" s="727"/>
      <c r="AC199" s="706"/>
      <c r="AD199" s="727"/>
      <c r="AE199" s="706"/>
      <c r="AF199" s="727"/>
      <c r="AG199" s="706"/>
      <c r="AH199" s="727"/>
      <c r="AI199" s="706"/>
      <c r="AJ199" s="706"/>
      <c r="AK199" s="727"/>
      <c r="AL199" s="706"/>
      <c r="AM199" s="727"/>
      <c r="AN199" s="706"/>
      <c r="AO199" s="727"/>
      <c r="AP199" s="706"/>
      <c r="AQ199" s="727"/>
      <c r="AR199" s="706"/>
      <c r="AS199" s="727"/>
      <c r="AT199" s="706"/>
      <c r="AU199" s="706"/>
      <c r="AV199" s="727"/>
      <c r="AW199" s="706"/>
      <c r="AX199" s="727"/>
      <c r="AY199" s="706"/>
      <c r="AZ199" s="727"/>
      <c r="BA199" s="706"/>
      <c r="BB199" s="727"/>
      <c r="BC199" s="706"/>
      <c r="BD199" s="727"/>
      <c r="BE199" s="706"/>
    </row>
    <row r="200" spans="1:57" s="48" customFormat="1">
      <c r="A200" s="827"/>
      <c r="B200" s="827"/>
      <c r="C200" s="893"/>
      <c r="D200" s="863"/>
      <c r="E200" s="706"/>
      <c r="F200" s="863"/>
      <c r="G200" s="706"/>
      <c r="H200" s="863"/>
      <c r="I200" s="706"/>
      <c r="J200" s="863"/>
      <c r="K200" s="706"/>
      <c r="L200" s="863"/>
      <c r="M200" s="706"/>
      <c r="N200" s="706"/>
      <c r="O200" s="863"/>
      <c r="P200" s="706"/>
      <c r="Q200" s="863"/>
      <c r="R200" s="706"/>
      <c r="S200" s="863"/>
      <c r="T200" s="706"/>
      <c r="U200" s="863"/>
      <c r="V200" s="706"/>
      <c r="W200" s="863"/>
      <c r="X200" s="706"/>
      <c r="Y200" s="706"/>
      <c r="Z200" s="727"/>
      <c r="AA200" s="706"/>
      <c r="AB200" s="727"/>
      <c r="AC200" s="706"/>
      <c r="AD200" s="727"/>
      <c r="AE200" s="706"/>
      <c r="AF200" s="727"/>
      <c r="AG200" s="706"/>
      <c r="AH200" s="727"/>
      <c r="AI200" s="706"/>
      <c r="AJ200" s="706"/>
      <c r="AK200" s="727"/>
      <c r="AL200" s="706"/>
      <c r="AM200" s="727"/>
      <c r="AN200" s="706"/>
      <c r="AO200" s="727"/>
      <c r="AP200" s="706"/>
      <c r="AQ200" s="727"/>
      <c r="AR200" s="706"/>
      <c r="AS200" s="727"/>
      <c r="AT200" s="706"/>
      <c r="AU200" s="706"/>
      <c r="AV200" s="727"/>
      <c r="AW200" s="706"/>
      <c r="AX200" s="727"/>
      <c r="AY200" s="706"/>
      <c r="AZ200" s="727"/>
      <c r="BA200" s="706"/>
      <c r="BB200" s="727"/>
      <c r="BC200" s="706"/>
      <c r="BD200" s="727"/>
      <c r="BE200" s="706"/>
    </row>
    <row r="201" spans="1:57" s="48" customFormat="1">
      <c r="A201" s="827"/>
      <c r="B201" s="827"/>
      <c r="C201" s="893"/>
      <c r="D201" s="863"/>
      <c r="E201" s="706"/>
      <c r="F201" s="863"/>
      <c r="G201" s="706"/>
      <c r="H201" s="863"/>
      <c r="I201" s="706"/>
      <c r="J201" s="863"/>
      <c r="K201" s="706"/>
      <c r="L201" s="863"/>
      <c r="M201" s="706"/>
      <c r="N201" s="706"/>
      <c r="O201" s="863"/>
      <c r="P201" s="706"/>
      <c r="Q201" s="863"/>
      <c r="R201" s="706"/>
      <c r="S201" s="863"/>
      <c r="T201" s="706"/>
      <c r="U201" s="863"/>
      <c r="V201" s="706"/>
      <c r="W201" s="863"/>
      <c r="X201" s="706"/>
      <c r="Y201" s="706"/>
      <c r="Z201" s="727"/>
      <c r="AA201" s="706"/>
      <c r="AB201" s="727"/>
      <c r="AC201" s="706"/>
      <c r="AD201" s="727"/>
      <c r="AE201" s="706"/>
      <c r="AF201" s="727"/>
      <c r="AG201" s="706"/>
      <c r="AH201" s="727"/>
      <c r="AI201" s="706"/>
      <c r="AJ201" s="706"/>
      <c r="AK201" s="727"/>
      <c r="AL201" s="706"/>
      <c r="AM201" s="727"/>
      <c r="AN201" s="706"/>
      <c r="AO201" s="727"/>
      <c r="AP201" s="706"/>
      <c r="AQ201" s="727"/>
      <c r="AR201" s="706"/>
      <c r="AS201" s="727"/>
      <c r="AT201" s="706"/>
      <c r="AU201" s="706"/>
      <c r="AV201" s="727"/>
      <c r="AW201" s="706"/>
      <c r="AX201" s="727"/>
      <c r="AY201" s="706"/>
      <c r="AZ201" s="727"/>
      <c r="BA201" s="706"/>
      <c r="BB201" s="727"/>
      <c r="BC201" s="706"/>
      <c r="BD201" s="727"/>
      <c r="BE201" s="706"/>
    </row>
    <row r="202" spans="1:57" s="48" customFormat="1">
      <c r="A202" s="827"/>
      <c r="B202" s="827"/>
      <c r="C202" s="893"/>
      <c r="D202" s="863"/>
      <c r="E202" s="706"/>
      <c r="F202" s="863"/>
      <c r="G202" s="706"/>
      <c r="H202" s="863"/>
      <c r="I202" s="706"/>
      <c r="J202" s="863"/>
      <c r="K202" s="706"/>
      <c r="L202" s="863"/>
      <c r="M202" s="706"/>
      <c r="N202" s="706"/>
      <c r="O202" s="863"/>
      <c r="P202" s="706"/>
      <c r="Q202" s="863"/>
      <c r="R202" s="706"/>
      <c r="S202" s="863"/>
      <c r="T202" s="706"/>
      <c r="U202" s="863"/>
      <c r="V202" s="706"/>
      <c r="W202" s="863"/>
      <c r="X202" s="706"/>
      <c r="Y202" s="706"/>
      <c r="Z202" s="727"/>
      <c r="AA202" s="706"/>
      <c r="AB202" s="727"/>
      <c r="AC202" s="706"/>
      <c r="AD202" s="727"/>
      <c r="AE202" s="706"/>
      <c r="AF202" s="727"/>
      <c r="AG202" s="706"/>
      <c r="AH202" s="727"/>
      <c r="AI202" s="706"/>
      <c r="AJ202" s="706"/>
      <c r="AK202" s="727"/>
      <c r="AL202" s="706"/>
      <c r="AM202" s="727"/>
      <c r="AN202" s="706"/>
      <c r="AO202" s="727"/>
      <c r="AP202" s="706"/>
      <c r="AQ202" s="727"/>
      <c r="AR202" s="706"/>
      <c r="AS202" s="727"/>
      <c r="AT202" s="706"/>
      <c r="AU202" s="706"/>
      <c r="AV202" s="727"/>
      <c r="AW202" s="706"/>
      <c r="AX202" s="727"/>
      <c r="AY202" s="706"/>
      <c r="AZ202" s="727"/>
      <c r="BA202" s="706"/>
      <c r="BB202" s="727"/>
      <c r="BC202" s="706"/>
      <c r="BD202" s="727"/>
      <c r="BE202" s="706"/>
    </row>
    <row r="203" spans="1:57" s="48" customFormat="1">
      <c r="A203" s="827"/>
      <c r="B203" s="827"/>
      <c r="C203" s="893"/>
      <c r="D203" s="863"/>
      <c r="E203" s="706"/>
      <c r="F203" s="863"/>
      <c r="G203" s="706"/>
      <c r="H203" s="863"/>
      <c r="I203" s="706"/>
      <c r="J203" s="863"/>
      <c r="K203" s="706"/>
      <c r="L203" s="863"/>
      <c r="M203" s="706"/>
      <c r="N203" s="706"/>
      <c r="O203" s="863"/>
      <c r="P203" s="706"/>
      <c r="Q203" s="863"/>
      <c r="R203" s="706"/>
      <c r="S203" s="863"/>
      <c r="T203" s="706"/>
      <c r="U203" s="863"/>
      <c r="V203" s="706"/>
      <c r="W203" s="863"/>
      <c r="X203" s="706"/>
      <c r="Y203" s="706"/>
      <c r="Z203" s="727"/>
      <c r="AA203" s="706"/>
      <c r="AB203" s="727"/>
      <c r="AC203" s="706"/>
      <c r="AD203" s="727"/>
      <c r="AE203" s="706"/>
      <c r="AF203" s="727"/>
      <c r="AG203" s="706"/>
      <c r="AH203" s="727"/>
      <c r="AI203" s="706"/>
      <c r="AJ203" s="706"/>
      <c r="AK203" s="727"/>
      <c r="AL203" s="706"/>
      <c r="AM203" s="727"/>
      <c r="AN203" s="706"/>
      <c r="AO203" s="727"/>
      <c r="AP203" s="706"/>
      <c r="AQ203" s="727"/>
      <c r="AR203" s="706"/>
      <c r="AS203" s="727"/>
      <c r="AT203" s="706"/>
      <c r="AU203" s="706"/>
      <c r="AV203" s="727"/>
      <c r="AW203" s="706"/>
      <c r="AX203" s="727"/>
      <c r="AY203" s="706"/>
      <c r="AZ203" s="727"/>
      <c r="BA203" s="706"/>
      <c r="BB203" s="727"/>
      <c r="BC203" s="706"/>
      <c r="BD203" s="727"/>
      <c r="BE203" s="706"/>
    </row>
    <row r="204" spans="1:57" s="48" customFormat="1">
      <c r="A204" s="827"/>
      <c r="B204" s="827"/>
      <c r="C204" s="893"/>
      <c r="D204" s="863"/>
      <c r="E204" s="706"/>
      <c r="F204" s="863"/>
      <c r="G204" s="706"/>
      <c r="H204" s="863"/>
      <c r="I204" s="706"/>
      <c r="J204" s="863"/>
      <c r="K204" s="706"/>
      <c r="L204" s="863"/>
      <c r="M204" s="706"/>
      <c r="N204" s="706"/>
      <c r="O204" s="863"/>
      <c r="P204" s="706"/>
      <c r="Q204" s="863"/>
      <c r="R204" s="706"/>
      <c r="S204" s="863"/>
      <c r="T204" s="706"/>
      <c r="U204" s="863"/>
      <c r="V204" s="706"/>
      <c r="W204" s="863"/>
      <c r="X204" s="706"/>
      <c r="Y204" s="706"/>
      <c r="Z204" s="727"/>
      <c r="AA204" s="706"/>
      <c r="AB204" s="727"/>
      <c r="AC204" s="706"/>
      <c r="AD204" s="727"/>
      <c r="AE204" s="706"/>
      <c r="AF204" s="727"/>
      <c r="AG204" s="706"/>
      <c r="AH204" s="727"/>
      <c r="AI204" s="706"/>
      <c r="AJ204" s="706"/>
      <c r="AK204" s="727"/>
      <c r="AL204" s="706"/>
      <c r="AM204" s="727"/>
      <c r="AN204" s="706"/>
      <c r="AO204" s="727"/>
      <c r="AP204" s="706"/>
      <c r="AQ204" s="727"/>
      <c r="AR204" s="706"/>
      <c r="AS204" s="727"/>
      <c r="AT204" s="706"/>
      <c r="AU204" s="706"/>
      <c r="AV204" s="727"/>
      <c r="AW204" s="706"/>
      <c r="AX204" s="727"/>
      <c r="AY204" s="706"/>
      <c r="AZ204" s="727"/>
      <c r="BA204" s="706"/>
      <c r="BB204" s="727"/>
      <c r="BC204" s="706"/>
      <c r="BD204" s="727"/>
      <c r="BE204" s="706"/>
    </row>
    <row r="205" spans="1:57" s="48" customFormat="1">
      <c r="A205" s="827"/>
      <c r="B205" s="827"/>
      <c r="C205" s="893"/>
      <c r="D205" s="863"/>
      <c r="E205" s="706"/>
      <c r="F205" s="863"/>
      <c r="G205" s="706"/>
      <c r="H205" s="863"/>
      <c r="I205" s="706"/>
      <c r="J205" s="863"/>
      <c r="K205" s="706"/>
      <c r="L205" s="863"/>
      <c r="M205" s="706"/>
      <c r="N205" s="706"/>
      <c r="O205" s="863"/>
      <c r="P205" s="706"/>
      <c r="Q205" s="863"/>
      <c r="R205" s="706"/>
      <c r="S205" s="863"/>
      <c r="T205" s="706"/>
      <c r="U205" s="863"/>
      <c r="V205" s="706"/>
      <c r="W205" s="863"/>
      <c r="X205" s="706"/>
      <c r="Y205" s="706"/>
      <c r="Z205" s="727"/>
      <c r="AA205" s="706"/>
      <c r="AB205" s="727"/>
      <c r="AC205" s="706"/>
      <c r="AD205" s="727"/>
      <c r="AE205" s="706"/>
      <c r="AF205" s="727"/>
      <c r="AG205" s="706"/>
      <c r="AH205" s="727"/>
      <c r="AI205" s="706"/>
      <c r="AJ205" s="706"/>
      <c r="AK205" s="727"/>
      <c r="AL205" s="706"/>
      <c r="AM205" s="727"/>
      <c r="AN205" s="706"/>
      <c r="AO205" s="727"/>
      <c r="AP205" s="706"/>
      <c r="AQ205" s="727"/>
      <c r="AR205" s="706"/>
      <c r="AS205" s="727"/>
      <c r="AT205" s="706"/>
      <c r="AU205" s="706"/>
      <c r="AV205" s="727"/>
      <c r="AW205" s="706"/>
      <c r="AX205" s="727"/>
      <c r="AY205" s="706"/>
      <c r="AZ205" s="727"/>
      <c r="BA205" s="706"/>
      <c r="BB205" s="727"/>
      <c r="BC205" s="706"/>
      <c r="BD205" s="727"/>
      <c r="BE205" s="706"/>
    </row>
    <row r="206" spans="1:57" s="48" customFormat="1">
      <c r="A206" s="827"/>
      <c r="B206" s="827"/>
      <c r="C206" s="893"/>
      <c r="D206" s="863"/>
      <c r="E206" s="706"/>
      <c r="F206" s="863"/>
      <c r="G206" s="706"/>
      <c r="H206" s="863"/>
      <c r="I206" s="706"/>
      <c r="J206" s="863"/>
      <c r="K206" s="706"/>
      <c r="L206" s="863"/>
      <c r="M206" s="706"/>
      <c r="N206" s="706"/>
      <c r="O206" s="863"/>
      <c r="P206" s="706"/>
      <c r="Q206" s="863"/>
      <c r="R206" s="706"/>
      <c r="S206" s="863"/>
      <c r="T206" s="706"/>
      <c r="U206" s="863"/>
      <c r="V206" s="706"/>
      <c r="W206" s="863"/>
      <c r="X206" s="706"/>
      <c r="Y206" s="706"/>
      <c r="Z206" s="727"/>
      <c r="AA206" s="706"/>
      <c r="AB206" s="727"/>
      <c r="AC206" s="706"/>
      <c r="AD206" s="727"/>
      <c r="AE206" s="706"/>
      <c r="AF206" s="727"/>
      <c r="AG206" s="706"/>
      <c r="AH206" s="727"/>
      <c r="AI206" s="706"/>
      <c r="AJ206" s="706"/>
      <c r="AK206" s="727"/>
      <c r="AL206" s="706"/>
      <c r="AM206" s="727"/>
      <c r="AN206" s="706"/>
      <c r="AO206" s="727"/>
      <c r="AP206" s="706"/>
      <c r="AQ206" s="727"/>
      <c r="AR206" s="706"/>
      <c r="AS206" s="727"/>
      <c r="AT206" s="706"/>
      <c r="AU206" s="706"/>
      <c r="AV206" s="727"/>
      <c r="AW206" s="706"/>
      <c r="AX206" s="727"/>
      <c r="AY206" s="706"/>
      <c r="AZ206" s="727"/>
      <c r="BA206" s="706"/>
      <c r="BB206" s="727"/>
      <c r="BC206" s="706"/>
      <c r="BD206" s="727"/>
      <c r="BE206" s="706"/>
    </row>
    <row r="207" spans="1:57" s="48" customFormat="1">
      <c r="A207" s="827"/>
      <c r="B207" s="827"/>
      <c r="C207" s="893"/>
      <c r="D207" s="863"/>
      <c r="E207" s="706"/>
      <c r="F207" s="863"/>
      <c r="G207" s="706"/>
      <c r="H207" s="863"/>
      <c r="I207" s="706"/>
      <c r="J207" s="863"/>
      <c r="K207" s="706"/>
      <c r="L207" s="863"/>
      <c r="M207" s="706"/>
      <c r="N207" s="706"/>
      <c r="O207" s="863"/>
      <c r="P207" s="706"/>
      <c r="Q207" s="863"/>
      <c r="R207" s="706"/>
      <c r="S207" s="863"/>
      <c r="T207" s="706"/>
      <c r="U207" s="863"/>
      <c r="V207" s="706"/>
      <c r="W207" s="863"/>
      <c r="X207" s="706"/>
      <c r="Y207" s="706"/>
      <c r="Z207" s="727"/>
      <c r="AA207" s="706"/>
      <c r="AB207" s="727"/>
      <c r="AC207" s="706"/>
      <c r="AD207" s="727"/>
      <c r="AE207" s="706"/>
      <c r="AF207" s="727"/>
      <c r="AG207" s="706"/>
      <c r="AH207" s="727"/>
      <c r="AI207" s="706"/>
      <c r="AJ207" s="706"/>
      <c r="AK207" s="727"/>
      <c r="AL207" s="706"/>
      <c r="AM207" s="727"/>
      <c r="AN207" s="706"/>
      <c r="AO207" s="727"/>
      <c r="AP207" s="706"/>
      <c r="AQ207" s="727"/>
      <c r="AR207" s="706"/>
      <c r="AS207" s="727"/>
      <c r="AT207" s="706"/>
      <c r="AU207" s="706"/>
      <c r="AV207" s="727"/>
      <c r="AW207" s="706"/>
      <c r="AX207" s="727"/>
      <c r="AY207" s="706"/>
      <c r="AZ207" s="727"/>
      <c r="BA207" s="706"/>
      <c r="BB207" s="727"/>
      <c r="BC207" s="706"/>
      <c r="BD207" s="727"/>
      <c r="BE207" s="706"/>
    </row>
    <row r="208" spans="1:57" s="48" customFormat="1">
      <c r="A208" s="827"/>
      <c r="B208" s="827"/>
      <c r="C208" s="893"/>
      <c r="D208" s="863"/>
      <c r="E208" s="706"/>
      <c r="F208" s="863"/>
      <c r="G208" s="706"/>
      <c r="H208" s="863"/>
      <c r="I208" s="706"/>
      <c r="J208" s="863"/>
      <c r="K208" s="706"/>
      <c r="L208" s="863"/>
      <c r="M208" s="706"/>
      <c r="N208" s="706"/>
      <c r="O208" s="863"/>
      <c r="P208" s="706"/>
      <c r="Q208" s="863"/>
      <c r="R208" s="706"/>
      <c r="S208" s="863"/>
      <c r="T208" s="706"/>
      <c r="U208" s="863"/>
      <c r="V208" s="706"/>
      <c r="W208" s="863"/>
      <c r="X208" s="706"/>
      <c r="Y208" s="706"/>
      <c r="Z208" s="727"/>
      <c r="AA208" s="706"/>
      <c r="AB208" s="727"/>
      <c r="AC208" s="706"/>
      <c r="AD208" s="727"/>
      <c r="AE208" s="706"/>
      <c r="AF208" s="727"/>
      <c r="AG208" s="706"/>
      <c r="AH208" s="727"/>
      <c r="AI208" s="706"/>
      <c r="AJ208" s="706"/>
      <c r="AK208" s="727"/>
      <c r="AL208" s="706"/>
      <c r="AM208" s="727"/>
      <c r="AN208" s="706"/>
      <c r="AO208" s="727"/>
      <c r="AP208" s="706"/>
      <c r="AQ208" s="727"/>
      <c r="AR208" s="706"/>
      <c r="AS208" s="727"/>
      <c r="AT208" s="706"/>
      <c r="AU208" s="706"/>
      <c r="AV208" s="727"/>
      <c r="AW208" s="706"/>
      <c r="AX208" s="727"/>
      <c r="AY208" s="706"/>
      <c r="AZ208" s="727"/>
      <c r="BA208" s="706"/>
      <c r="BB208" s="727"/>
      <c r="BC208" s="706"/>
      <c r="BD208" s="727"/>
      <c r="BE208" s="706"/>
    </row>
    <row r="209" spans="1:57" s="48" customFormat="1">
      <c r="A209" s="827"/>
      <c r="B209" s="827"/>
      <c r="C209" s="893"/>
      <c r="D209" s="863"/>
      <c r="E209" s="706"/>
      <c r="F209" s="863"/>
      <c r="G209" s="706"/>
      <c r="H209" s="863"/>
      <c r="I209" s="706"/>
      <c r="J209" s="863"/>
      <c r="K209" s="706"/>
      <c r="L209" s="863"/>
      <c r="M209" s="706"/>
      <c r="N209" s="706"/>
      <c r="O209" s="863"/>
      <c r="P209" s="706"/>
      <c r="Q209" s="863"/>
      <c r="R209" s="706"/>
      <c r="S209" s="863"/>
      <c r="T209" s="706"/>
      <c r="U209" s="863"/>
      <c r="V209" s="706"/>
      <c r="W209" s="863"/>
      <c r="X209" s="706"/>
      <c r="Y209" s="706"/>
      <c r="Z209" s="727"/>
      <c r="AA209" s="706"/>
      <c r="AB209" s="727"/>
      <c r="AC209" s="706"/>
      <c r="AD209" s="727"/>
      <c r="AE209" s="706"/>
      <c r="AF209" s="727"/>
      <c r="AG209" s="706"/>
      <c r="AH209" s="727"/>
      <c r="AI209" s="706"/>
      <c r="AJ209" s="706"/>
      <c r="AK209" s="727"/>
      <c r="AL209" s="706"/>
      <c r="AM209" s="727"/>
      <c r="AN209" s="706"/>
      <c r="AO209" s="727"/>
      <c r="AP209" s="706"/>
      <c r="AQ209" s="727"/>
      <c r="AR209" s="706"/>
      <c r="AS209" s="727"/>
      <c r="AT209" s="706"/>
      <c r="AU209" s="706"/>
      <c r="AV209" s="727"/>
      <c r="AW209" s="706"/>
      <c r="AX209" s="727"/>
      <c r="AY209" s="706"/>
      <c r="AZ209" s="727"/>
      <c r="BA209" s="706"/>
      <c r="BB209" s="727"/>
      <c r="BC209" s="706"/>
      <c r="BD209" s="727"/>
      <c r="BE209" s="706"/>
    </row>
    <row r="210" spans="1:57" s="48" customFormat="1">
      <c r="A210" s="827"/>
      <c r="B210" s="827"/>
      <c r="C210" s="893"/>
      <c r="D210" s="863"/>
      <c r="E210" s="706"/>
      <c r="F210" s="863"/>
      <c r="G210" s="706"/>
      <c r="H210" s="863"/>
      <c r="I210" s="706"/>
      <c r="J210" s="863"/>
      <c r="K210" s="706"/>
      <c r="L210" s="863"/>
      <c r="M210" s="706"/>
      <c r="N210" s="706"/>
      <c r="O210" s="863"/>
      <c r="P210" s="706"/>
      <c r="Q210" s="863"/>
      <c r="R210" s="706"/>
      <c r="S210" s="863"/>
      <c r="T210" s="706"/>
      <c r="U210" s="863"/>
      <c r="V210" s="706"/>
      <c r="W210" s="863"/>
      <c r="X210" s="706"/>
      <c r="Y210" s="706"/>
      <c r="Z210" s="727"/>
      <c r="AA210" s="706"/>
      <c r="AB210" s="727"/>
      <c r="AC210" s="706"/>
      <c r="AD210" s="727"/>
      <c r="AE210" s="706"/>
      <c r="AF210" s="727"/>
      <c r="AG210" s="706"/>
      <c r="AH210" s="727"/>
      <c r="AI210" s="706"/>
      <c r="AJ210" s="706"/>
      <c r="AK210" s="727"/>
      <c r="AL210" s="706"/>
      <c r="AM210" s="727"/>
      <c r="AN210" s="706"/>
      <c r="AO210" s="727"/>
      <c r="AP210" s="706"/>
      <c r="AQ210" s="727"/>
      <c r="AR210" s="706"/>
      <c r="AS210" s="727"/>
      <c r="AT210" s="706"/>
      <c r="AU210" s="706"/>
      <c r="AV210" s="727"/>
      <c r="AW210" s="706"/>
      <c r="AX210" s="727"/>
      <c r="AY210" s="706"/>
      <c r="AZ210" s="727"/>
      <c r="BA210" s="706"/>
      <c r="BB210" s="727"/>
      <c r="BC210" s="706"/>
      <c r="BD210" s="727"/>
      <c r="BE210" s="706"/>
    </row>
    <row r="211" spans="1:57" s="48" customFormat="1">
      <c r="A211" s="827"/>
      <c r="B211" s="827"/>
      <c r="C211" s="893"/>
      <c r="D211" s="863"/>
      <c r="E211" s="706"/>
      <c r="F211" s="863"/>
      <c r="G211" s="706"/>
      <c r="H211" s="863"/>
      <c r="I211" s="706"/>
      <c r="J211" s="863"/>
      <c r="K211" s="706"/>
      <c r="L211" s="863"/>
      <c r="M211" s="706"/>
      <c r="N211" s="706"/>
      <c r="O211" s="863"/>
      <c r="P211" s="706"/>
      <c r="Q211" s="863"/>
      <c r="R211" s="706"/>
      <c r="S211" s="863"/>
      <c r="T211" s="706"/>
      <c r="U211" s="863"/>
      <c r="V211" s="706"/>
      <c r="W211" s="863"/>
      <c r="X211" s="706"/>
      <c r="Y211" s="706"/>
      <c r="Z211" s="727"/>
      <c r="AA211" s="706"/>
      <c r="AB211" s="727"/>
      <c r="AC211" s="706"/>
      <c r="AD211" s="727"/>
      <c r="AE211" s="706"/>
      <c r="AF211" s="727"/>
      <c r="AG211" s="706"/>
      <c r="AH211" s="727"/>
      <c r="AI211" s="706"/>
      <c r="AJ211" s="706"/>
      <c r="AK211" s="727"/>
      <c r="AL211" s="706"/>
      <c r="AM211" s="727"/>
      <c r="AN211" s="706"/>
      <c r="AO211" s="727"/>
      <c r="AP211" s="706"/>
      <c r="AQ211" s="727"/>
      <c r="AR211" s="706"/>
      <c r="AS211" s="727"/>
      <c r="AT211" s="706"/>
      <c r="AU211" s="706"/>
      <c r="AV211" s="727"/>
      <c r="AW211" s="706"/>
      <c r="AX211" s="727"/>
      <c r="AY211" s="706"/>
      <c r="AZ211" s="727"/>
      <c r="BA211" s="706"/>
      <c r="BB211" s="727"/>
      <c r="BC211" s="706"/>
      <c r="BD211" s="727"/>
      <c r="BE211" s="706"/>
    </row>
    <row r="212" spans="1:57" s="48" customFormat="1">
      <c r="A212" s="827"/>
      <c r="B212" s="827"/>
      <c r="C212" s="893"/>
      <c r="D212" s="863"/>
      <c r="E212" s="706"/>
      <c r="F212" s="863"/>
      <c r="G212" s="706"/>
      <c r="H212" s="863"/>
      <c r="I212" s="706"/>
      <c r="J212" s="863"/>
      <c r="K212" s="706"/>
      <c r="L212" s="863"/>
      <c r="M212" s="706"/>
      <c r="N212" s="706"/>
      <c r="O212" s="863"/>
      <c r="P212" s="706"/>
      <c r="Q212" s="863"/>
      <c r="R212" s="706"/>
      <c r="S212" s="863"/>
      <c r="T212" s="706"/>
      <c r="U212" s="863"/>
      <c r="V212" s="706"/>
      <c r="W212" s="863"/>
      <c r="X212" s="706"/>
      <c r="Y212" s="706"/>
      <c r="Z212" s="727"/>
      <c r="AA212" s="706"/>
      <c r="AB212" s="727"/>
      <c r="AC212" s="706"/>
      <c r="AD212" s="727"/>
      <c r="AE212" s="706"/>
      <c r="AF212" s="727"/>
      <c r="AG212" s="706"/>
      <c r="AH212" s="727"/>
      <c r="AI212" s="706"/>
      <c r="AJ212" s="706"/>
      <c r="AK212" s="727"/>
      <c r="AL212" s="706"/>
      <c r="AM212" s="727"/>
      <c r="AN212" s="706"/>
      <c r="AO212" s="727"/>
      <c r="AP212" s="706"/>
      <c r="AQ212" s="727"/>
      <c r="AR212" s="706"/>
      <c r="AS212" s="727"/>
      <c r="AT212" s="706"/>
      <c r="AU212" s="706"/>
      <c r="AV212" s="727"/>
      <c r="AW212" s="706"/>
      <c r="AX212" s="727"/>
      <c r="AY212" s="706"/>
      <c r="AZ212" s="727"/>
      <c r="BA212" s="706"/>
      <c r="BB212" s="727"/>
      <c r="BC212" s="706"/>
      <c r="BD212" s="727"/>
      <c r="BE212" s="706"/>
    </row>
    <row r="213" spans="1:57" s="48" customFormat="1">
      <c r="A213" s="827"/>
      <c r="B213" s="827"/>
      <c r="C213" s="893"/>
      <c r="D213" s="863"/>
      <c r="E213" s="706"/>
      <c r="F213" s="863"/>
      <c r="G213" s="706"/>
      <c r="H213" s="863"/>
      <c r="I213" s="706"/>
      <c r="J213" s="863"/>
      <c r="K213" s="706"/>
      <c r="L213" s="863"/>
      <c r="M213" s="706"/>
      <c r="N213" s="706"/>
      <c r="O213" s="863"/>
      <c r="P213" s="706"/>
      <c r="Q213" s="863"/>
      <c r="R213" s="706"/>
      <c r="S213" s="863"/>
      <c r="T213" s="706"/>
      <c r="U213" s="863"/>
      <c r="V213" s="706"/>
      <c r="W213" s="863"/>
      <c r="X213" s="706"/>
      <c r="Y213" s="706"/>
      <c r="Z213" s="727"/>
      <c r="AA213" s="706"/>
      <c r="AB213" s="727"/>
      <c r="AC213" s="706"/>
      <c r="AD213" s="727"/>
      <c r="AE213" s="706"/>
      <c r="AF213" s="727"/>
      <c r="AG213" s="706"/>
      <c r="AH213" s="727"/>
      <c r="AI213" s="706"/>
      <c r="AJ213" s="706"/>
      <c r="AK213" s="727"/>
      <c r="AL213" s="706"/>
      <c r="AM213" s="727"/>
      <c r="AN213" s="706"/>
      <c r="AO213" s="727"/>
      <c r="AP213" s="706"/>
      <c r="AQ213" s="727"/>
      <c r="AR213" s="706"/>
      <c r="AS213" s="727"/>
      <c r="AT213" s="706"/>
      <c r="AU213" s="706"/>
      <c r="AV213" s="727"/>
      <c r="AW213" s="706"/>
      <c r="AX213" s="727"/>
      <c r="AY213" s="706"/>
      <c r="AZ213" s="727"/>
      <c r="BA213" s="706"/>
      <c r="BB213" s="727"/>
      <c r="BC213" s="706"/>
      <c r="BD213" s="727"/>
      <c r="BE213" s="706"/>
    </row>
    <row r="214" spans="1:57" s="48" customFormat="1">
      <c r="A214" s="827"/>
      <c r="B214" s="827"/>
      <c r="C214" s="893"/>
      <c r="D214" s="863"/>
      <c r="E214" s="706"/>
      <c r="F214" s="863"/>
      <c r="G214" s="706"/>
      <c r="H214" s="863"/>
      <c r="I214" s="706"/>
      <c r="J214" s="863"/>
      <c r="K214" s="706"/>
      <c r="L214" s="863"/>
      <c r="M214" s="706"/>
      <c r="N214" s="706"/>
      <c r="O214" s="863"/>
      <c r="P214" s="706"/>
      <c r="Q214" s="863"/>
      <c r="R214" s="706"/>
      <c r="S214" s="863"/>
      <c r="T214" s="706"/>
      <c r="U214" s="863"/>
      <c r="V214" s="706"/>
      <c r="W214" s="863"/>
      <c r="X214" s="706"/>
      <c r="Y214" s="706"/>
      <c r="Z214" s="727"/>
      <c r="AA214" s="706"/>
      <c r="AB214" s="727"/>
      <c r="AC214" s="706"/>
      <c r="AD214" s="727"/>
      <c r="AE214" s="706"/>
      <c r="AF214" s="727"/>
      <c r="AG214" s="706"/>
      <c r="AH214" s="727"/>
      <c r="AI214" s="706"/>
      <c r="AJ214" s="706"/>
      <c r="AK214" s="727"/>
      <c r="AL214" s="706"/>
      <c r="AM214" s="727"/>
      <c r="AN214" s="706"/>
      <c r="AO214" s="727"/>
      <c r="AP214" s="706"/>
      <c r="AQ214" s="727"/>
      <c r="AR214" s="706"/>
      <c r="AS214" s="727"/>
      <c r="AT214" s="706"/>
      <c r="AU214" s="706"/>
      <c r="AV214" s="727"/>
      <c r="AW214" s="706"/>
      <c r="AX214" s="727"/>
      <c r="AY214" s="706"/>
      <c r="AZ214" s="727"/>
      <c r="BA214" s="706"/>
      <c r="BB214" s="727"/>
      <c r="BC214" s="706"/>
      <c r="BD214" s="727"/>
      <c r="BE214" s="706"/>
    </row>
    <row r="215" spans="1:57" s="48" customFormat="1">
      <c r="A215" s="827"/>
      <c r="B215" s="827"/>
      <c r="C215" s="893"/>
      <c r="D215" s="863"/>
      <c r="E215" s="706"/>
      <c r="F215" s="863"/>
      <c r="G215" s="706"/>
      <c r="H215" s="863"/>
      <c r="I215" s="706"/>
      <c r="J215" s="863"/>
      <c r="K215" s="706"/>
      <c r="L215" s="863"/>
      <c r="M215" s="706"/>
      <c r="N215" s="706"/>
      <c r="O215" s="863"/>
      <c r="P215" s="706"/>
      <c r="Q215" s="863"/>
      <c r="R215" s="706"/>
      <c r="S215" s="863"/>
      <c r="T215" s="706"/>
      <c r="U215" s="863"/>
      <c r="V215" s="706"/>
      <c r="W215" s="863"/>
      <c r="X215" s="706"/>
      <c r="Y215" s="706"/>
      <c r="Z215" s="727"/>
      <c r="AA215" s="706"/>
      <c r="AB215" s="727"/>
      <c r="AC215" s="706"/>
      <c r="AD215" s="727"/>
      <c r="AE215" s="706"/>
      <c r="AF215" s="727"/>
      <c r="AG215" s="706"/>
      <c r="AH215" s="727"/>
      <c r="AI215" s="706"/>
      <c r="AJ215" s="706"/>
      <c r="AK215" s="727"/>
      <c r="AL215" s="706"/>
      <c r="AM215" s="727"/>
      <c r="AN215" s="706"/>
      <c r="AO215" s="727"/>
      <c r="AP215" s="706"/>
      <c r="AQ215" s="727"/>
      <c r="AR215" s="706"/>
      <c r="AS215" s="727"/>
      <c r="AT215" s="706"/>
      <c r="AU215" s="706"/>
      <c r="AV215" s="727"/>
      <c r="AW215" s="706"/>
      <c r="AX215" s="727"/>
      <c r="AY215" s="706"/>
      <c r="AZ215" s="727"/>
      <c r="BA215" s="706"/>
      <c r="BB215" s="727"/>
      <c r="BC215" s="706"/>
      <c r="BD215" s="727"/>
      <c r="BE215" s="706"/>
    </row>
    <row r="216" spans="1:57" s="48" customFormat="1">
      <c r="A216" s="827"/>
      <c r="B216" s="827"/>
      <c r="C216" s="893"/>
      <c r="D216" s="863"/>
      <c r="E216" s="706"/>
      <c r="F216" s="863"/>
      <c r="G216" s="706"/>
      <c r="H216" s="863"/>
      <c r="I216" s="706"/>
      <c r="J216" s="863"/>
      <c r="K216" s="706"/>
      <c r="L216" s="863"/>
      <c r="M216" s="706"/>
      <c r="N216" s="706"/>
      <c r="O216" s="863"/>
      <c r="P216" s="706"/>
      <c r="Q216" s="863"/>
      <c r="R216" s="706"/>
      <c r="S216" s="863"/>
      <c r="T216" s="706"/>
      <c r="U216" s="863"/>
      <c r="V216" s="706"/>
      <c r="W216" s="863"/>
      <c r="X216" s="706"/>
      <c r="Y216" s="706"/>
      <c r="Z216" s="727"/>
      <c r="AA216" s="706"/>
      <c r="AB216" s="727"/>
      <c r="AC216" s="706"/>
      <c r="AD216" s="727"/>
      <c r="AE216" s="706"/>
      <c r="AF216" s="727"/>
      <c r="AG216" s="706"/>
      <c r="AH216" s="727"/>
      <c r="AI216" s="706"/>
      <c r="AJ216" s="706"/>
      <c r="AK216" s="727"/>
      <c r="AL216" s="706"/>
      <c r="AM216" s="727"/>
      <c r="AN216" s="706"/>
      <c r="AO216" s="727"/>
      <c r="AP216" s="706"/>
      <c r="AQ216" s="727"/>
      <c r="AR216" s="706"/>
      <c r="AS216" s="727"/>
      <c r="AT216" s="706"/>
      <c r="AU216" s="706"/>
      <c r="AV216" s="727"/>
      <c r="AW216" s="706"/>
      <c r="AX216" s="727"/>
      <c r="AY216" s="706"/>
      <c r="AZ216" s="727"/>
      <c r="BA216" s="706"/>
      <c r="BB216" s="727"/>
      <c r="BC216" s="706"/>
      <c r="BD216" s="727"/>
      <c r="BE216" s="706"/>
    </row>
    <row r="217" spans="1:57" s="48" customFormat="1">
      <c r="A217" s="827"/>
      <c r="B217" s="827"/>
      <c r="C217" s="893"/>
      <c r="D217" s="863"/>
      <c r="E217" s="706"/>
      <c r="F217" s="863"/>
      <c r="G217" s="706"/>
      <c r="H217" s="863"/>
      <c r="I217" s="706"/>
      <c r="J217" s="863"/>
      <c r="K217" s="706"/>
      <c r="L217" s="863"/>
      <c r="M217" s="706"/>
      <c r="N217" s="706"/>
      <c r="O217" s="863"/>
      <c r="P217" s="706"/>
      <c r="Q217" s="863"/>
      <c r="R217" s="706"/>
      <c r="S217" s="863"/>
      <c r="T217" s="706"/>
      <c r="U217" s="863"/>
      <c r="V217" s="706"/>
      <c r="W217" s="863"/>
      <c r="X217" s="706"/>
      <c r="Y217" s="706"/>
      <c r="Z217" s="727"/>
      <c r="AA217" s="706"/>
      <c r="AB217" s="727"/>
      <c r="AC217" s="706"/>
      <c r="AD217" s="727"/>
      <c r="AE217" s="706"/>
      <c r="AF217" s="727"/>
      <c r="AG217" s="706"/>
      <c r="AH217" s="727"/>
      <c r="AI217" s="706"/>
      <c r="AJ217" s="706"/>
      <c r="AK217" s="727"/>
      <c r="AL217" s="706"/>
      <c r="AM217" s="727"/>
      <c r="AN217" s="706"/>
      <c r="AO217" s="727"/>
      <c r="AP217" s="706"/>
      <c r="AQ217" s="727"/>
      <c r="AR217" s="706"/>
      <c r="AS217" s="727"/>
      <c r="AT217" s="706"/>
      <c r="AU217" s="706"/>
      <c r="AV217" s="727"/>
      <c r="AW217" s="706"/>
      <c r="AX217" s="727"/>
      <c r="AY217" s="706"/>
      <c r="AZ217" s="727"/>
      <c r="BA217" s="706"/>
      <c r="BB217" s="727"/>
      <c r="BC217" s="706"/>
      <c r="BD217" s="727"/>
      <c r="BE217" s="706"/>
    </row>
    <row r="218" spans="1:57" s="48" customFormat="1">
      <c r="A218" s="827"/>
      <c r="B218" s="827"/>
      <c r="C218" s="893"/>
      <c r="D218" s="863"/>
      <c r="E218" s="706"/>
      <c r="F218" s="863"/>
      <c r="G218" s="706"/>
      <c r="H218" s="863"/>
      <c r="I218" s="706"/>
      <c r="J218" s="863"/>
      <c r="K218" s="706"/>
      <c r="L218" s="863"/>
      <c r="M218" s="706"/>
      <c r="N218" s="706"/>
      <c r="O218" s="863"/>
      <c r="P218" s="706"/>
      <c r="Q218" s="863"/>
      <c r="R218" s="706"/>
      <c r="S218" s="863"/>
      <c r="T218" s="706"/>
      <c r="U218" s="863"/>
      <c r="V218" s="706"/>
      <c r="W218" s="863"/>
      <c r="X218" s="706"/>
      <c r="Y218" s="706"/>
      <c r="Z218" s="727"/>
      <c r="AA218" s="706"/>
      <c r="AB218" s="727"/>
      <c r="AC218" s="706"/>
      <c r="AD218" s="727"/>
      <c r="AE218" s="706"/>
      <c r="AF218" s="727"/>
      <c r="AG218" s="706"/>
      <c r="AH218" s="727"/>
      <c r="AI218" s="706"/>
      <c r="AJ218" s="706"/>
      <c r="AK218" s="727"/>
      <c r="AL218" s="706"/>
      <c r="AM218" s="727"/>
      <c r="AN218" s="706"/>
      <c r="AO218" s="727"/>
      <c r="AP218" s="706"/>
      <c r="AQ218" s="727"/>
      <c r="AR218" s="706"/>
      <c r="AS218" s="727"/>
      <c r="AT218" s="706"/>
      <c r="AU218" s="706"/>
      <c r="AV218" s="727"/>
      <c r="AW218" s="706"/>
      <c r="AX218" s="727"/>
      <c r="AY218" s="706"/>
      <c r="AZ218" s="727"/>
      <c r="BA218" s="706"/>
      <c r="BB218" s="727"/>
      <c r="BC218" s="706"/>
      <c r="BD218" s="727"/>
      <c r="BE218" s="706"/>
    </row>
    <row r="219" spans="1:57" s="48" customFormat="1">
      <c r="A219" s="827"/>
      <c r="B219" s="827"/>
      <c r="C219" s="893"/>
      <c r="D219" s="863"/>
      <c r="E219" s="706"/>
      <c r="F219" s="863"/>
      <c r="G219" s="706"/>
      <c r="H219" s="863"/>
      <c r="I219" s="706"/>
      <c r="J219" s="863"/>
      <c r="K219" s="706"/>
      <c r="L219" s="863"/>
      <c r="M219" s="706"/>
      <c r="N219" s="706"/>
      <c r="O219" s="863"/>
      <c r="P219" s="706"/>
      <c r="Q219" s="863"/>
      <c r="R219" s="706"/>
      <c r="S219" s="863"/>
      <c r="T219" s="706"/>
      <c r="U219" s="863"/>
      <c r="V219" s="706"/>
      <c r="W219" s="863"/>
      <c r="X219" s="706"/>
      <c r="Y219" s="706"/>
      <c r="Z219" s="727"/>
      <c r="AA219" s="706"/>
      <c r="AB219" s="727"/>
      <c r="AC219" s="706"/>
      <c r="AD219" s="727"/>
      <c r="AE219" s="706"/>
      <c r="AF219" s="727"/>
      <c r="AG219" s="706"/>
      <c r="AH219" s="727"/>
      <c r="AI219" s="706"/>
      <c r="AJ219" s="706"/>
      <c r="AK219" s="727"/>
      <c r="AL219" s="706"/>
      <c r="AM219" s="727"/>
      <c r="AN219" s="706"/>
      <c r="AO219" s="727"/>
      <c r="AP219" s="706"/>
      <c r="AQ219" s="727"/>
      <c r="AR219" s="706"/>
      <c r="AS219" s="727"/>
      <c r="AT219" s="706"/>
      <c r="AU219" s="706"/>
      <c r="AV219" s="727"/>
      <c r="AW219" s="706"/>
      <c r="AX219" s="727"/>
      <c r="AY219" s="706"/>
      <c r="AZ219" s="727"/>
      <c r="BA219" s="706"/>
      <c r="BB219" s="727"/>
      <c r="BC219" s="706"/>
      <c r="BD219" s="727"/>
      <c r="BE219" s="706"/>
    </row>
    <row r="220" spans="1:57" s="48" customFormat="1">
      <c r="A220" s="827"/>
      <c r="B220" s="827"/>
      <c r="C220" s="893"/>
      <c r="D220" s="863"/>
      <c r="E220" s="706"/>
      <c r="F220" s="863"/>
      <c r="G220" s="706"/>
      <c r="H220" s="863"/>
      <c r="I220" s="706"/>
      <c r="J220" s="863"/>
      <c r="K220" s="706"/>
      <c r="L220" s="863"/>
      <c r="M220" s="706"/>
      <c r="N220" s="706"/>
      <c r="O220" s="863"/>
      <c r="P220" s="706"/>
      <c r="Q220" s="863"/>
      <c r="R220" s="706"/>
      <c r="S220" s="863"/>
      <c r="T220" s="706"/>
      <c r="U220" s="863"/>
      <c r="V220" s="706"/>
      <c r="W220" s="863"/>
      <c r="X220" s="706"/>
      <c r="Y220" s="706"/>
      <c r="Z220" s="727"/>
      <c r="AA220" s="706"/>
      <c r="AB220" s="727"/>
      <c r="AC220" s="706"/>
      <c r="AD220" s="727"/>
      <c r="AE220" s="706"/>
      <c r="AF220" s="727"/>
      <c r="AG220" s="706"/>
      <c r="AH220" s="727"/>
      <c r="AI220" s="706"/>
      <c r="AJ220" s="706"/>
      <c r="AK220" s="727"/>
      <c r="AL220" s="706"/>
      <c r="AM220" s="727"/>
      <c r="AN220" s="706"/>
      <c r="AO220" s="727"/>
      <c r="AP220" s="706"/>
      <c r="AQ220" s="727"/>
      <c r="AR220" s="706"/>
      <c r="AS220" s="727"/>
      <c r="AT220" s="706"/>
      <c r="AU220" s="706"/>
      <c r="AV220" s="727"/>
      <c r="AW220" s="706"/>
      <c r="AX220" s="727"/>
      <c r="AY220" s="706"/>
      <c r="AZ220" s="727"/>
      <c r="BA220" s="706"/>
      <c r="BB220" s="727"/>
      <c r="BC220" s="706"/>
      <c r="BD220" s="727"/>
      <c r="BE220" s="706"/>
    </row>
    <row r="221" spans="1:57" s="48" customFormat="1">
      <c r="A221" s="827"/>
      <c r="B221" s="827"/>
      <c r="C221" s="893"/>
      <c r="D221" s="863"/>
      <c r="E221" s="706"/>
      <c r="F221" s="863"/>
      <c r="G221" s="706"/>
      <c r="H221" s="863"/>
      <c r="I221" s="706"/>
      <c r="J221" s="863"/>
      <c r="K221" s="706"/>
      <c r="L221" s="863"/>
      <c r="M221" s="706"/>
      <c r="N221" s="706"/>
      <c r="O221" s="863"/>
      <c r="P221" s="706"/>
      <c r="Q221" s="863"/>
      <c r="R221" s="706"/>
      <c r="S221" s="863"/>
      <c r="T221" s="706"/>
      <c r="U221" s="863"/>
      <c r="V221" s="706"/>
      <c r="W221" s="863"/>
      <c r="X221" s="706"/>
      <c r="Y221" s="706"/>
      <c r="Z221" s="727"/>
      <c r="AA221" s="706"/>
      <c r="AB221" s="727"/>
      <c r="AC221" s="706"/>
      <c r="AD221" s="727"/>
      <c r="AE221" s="706"/>
      <c r="AF221" s="727"/>
      <c r="AG221" s="706"/>
      <c r="AH221" s="727"/>
      <c r="AI221" s="706"/>
      <c r="AJ221" s="706"/>
      <c r="AK221" s="727"/>
      <c r="AL221" s="706"/>
      <c r="AM221" s="727"/>
      <c r="AN221" s="706"/>
      <c r="AO221" s="727"/>
      <c r="AP221" s="706"/>
      <c r="AQ221" s="727"/>
      <c r="AR221" s="706"/>
      <c r="AS221" s="727"/>
      <c r="AT221" s="706"/>
      <c r="AU221" s="706"/>
      <c r="AV221" s="727"/>
      <c r="AW221" s="706"/>
      <c r="AX221" s="727"/>
      <c r="AY221" s="706"/>
      <c r="AZ221" s="727"/>
      <c r="BA221" s="706"/>
      <c r="BB221" s="727"/>
      <c r="BC221" s="706"/>
      <c r="BD221" s="727"/>
      <c r="BE221" s="706"/>
    </row>
    <row r="222" spans="1:57" s="48" customFormat="1">
      <c r="A222" s="827"/>
      <c r="B222" s="827"/>
      <c r="C222" s="893"/>
      <c r="D222" s="863"/>
      <c r="E222" s="706"/>
      <c r="F222" s="863"/>
      <c r="G222" s="706"/>
      <c r="H222" s="863"/>
      <c r="I222" s="706"/>
      <c r="J222" s="863"/>
      <c r="K222" s="706"/>
      <c r="L222" s="863"/>
      <c r="M222" s="706"/>
      <c r="N222" s="706"/>
      <c r="O222" s="863"/>
      <c r="P222" s="706"/>
      <c r="Q222" s="863"/>
      <c r="R222" s="706"/>
      <c r="S222" s="863"/>
      <c r="T222" s="706"/>
      <c r="U222" s="863"/>
      <c r="V222" s="706"/>
      <c r="W222" s="863"/>
      <c r="X222" s="706"/>
      <c r="Y222" s="706"/>
      <c r="Z222" s="727"/>
      <c r="AA222" s="706"/>
      <c r="AB222" s="727"/>
      <c r="AC222" s="706"/>
      <c r="AD222" s="727"/>
      <c r="AE222" s="706"/>
      <c r="AF222" s="727"/>
      <c r="AG222" s="706"/>
      <c r="AH222" s="727"/>
      <c r="AI222" s="706"/>
      <c r="AJ222" s="706"/>
      <c r="AK222" s="727"/>
      <c r="AL222" s="706"/>
      <c r="AM222" s="727"/>
      <c r="AN222" s="706"/>
      <c r="AO222" s="727"/>
      <c r="AP222" s="706"/>
      <c r="AQ222" s="727"/>
      <c r="AR222" s="706"/>
      <c r="AS222" s="727"/>
      <c r="AT222" s="706"/>
      <c r="AU222" s="706"/>
      <c r="AV222" s="727"/>
      <c r="AW222" s="706"/>
      <c r="AX222" s="727"/>
      <c r="AY222" s="706"/>
      <c r="AZ222" s="727"/>
      <c r="BA222" s="706"/>
      <c r="BB222" s="727"/>
      <c r="BC222" s="706"/>
      <c r="BD222" s="727"/>
      <c r="BE222" s="706"/>
    </row>
    <row r="223" spans="1:57" s="48" customFormat="1">
      <c r="A223" s="827"/>
      <c r="B223" s="827"/>
      <c r="C223" s="893"/>
      <c r="D223" s="863"/>
      <c r="E223" s="706"/>
      <c r="F223" s="863"/>
      <c r="G223" s="706"/>
      <c r="H223" s="863"/>
      <c r="I223" s="706"/>
      <c r="J223" s="863"/>
      <c r="K223" s="706"/>
      <c r="L223" s="863"/>
      <c r="M223" s="706"/>
      <c r="N223" s="706"/>
      <c r="O223" s="863"/>
      <c r="P223" s="706"/>
      <c r="Q223" s="863"/>
      <c r="R223" s="706"/>
      <c r="S223" s="863"/>
      <c r="T223" s="706"/>
      <c r="U223" s="863"/>
      <c r="V223" s="706"/>
      <c r="W223" s="863"/>
      <c r="X223" s="706"/>
      <c r="Y223" s="706"/>
      <c r="Z223" s="727"/>
      <c r="AA223" s="706"/>
      <c r="AB223" s="727"/>
      <c r="AC223" s="706"/>
      <c r="AD223" s="727"/>
      <c r="AE223" s="706"/>
      <c r="AF223" s="727"/>
      <c r="AG223" s="706"/>
      <c r="AH223" s="727"/>
      <c r="AI223" s="706"/>
      <c r="AJ223" s="706"/>
      <c r="AK223" s="727"/>
      <c r="AL223" s="706"/>
      <c r="AM223" s="727"/>
      <c r="AN223" s="706"/>
      <c r="AO223" s="727"/>
      <c r="AP223" s="706"/>
      <c r="AQ223" s="727"/>
      <c r="AR223" s="706"/>
      <c r="AS223" s="727"/>
      <c r="AT223" s="706"/>
      <c r="AU223" s="706"/>
      <c r="AV223" s="727"/>
      <c r="AW223" s="706"/>
      <c r="AX223" s="727"/>
      <c r="AY223" s="706"/>
      <c r="AZ223" s="727"/>
      <c r="BA223" s="706"/>
      <c r="BB223" s="727"/>
      <c r="BC223" s="706"/>
      <c r="BD223" s="727"/>
      <c r="BE223" s="706"/>
    </row>
    <row r="224" spans="1:57" s="48" customFormat="1">
      <c r="A224" s="827"/>
      <c r="B224" s="827"/>
      <c r="C224" s="893"/>
      <c r="D224" s="863"/>
      <c r="E224" s="706"/>
      <c r="F224" s="863"/>
      <c r="G224" s="706"/>
      <c r="H224" s="863"/>
      <c r="I224" s="706"/>
      <c r="J224" s="863"/>
      <c r="K224" s="706"/>
      <c r="L224" s="863"/>
      <c r="M224" s="706"/>
      <c r="N224" s="706"/>
      <c r="O224" s="863"/>
      <c r="P224" s="706"/>
      <c r="Q224" s="863"/>
      <c r="R224" s="706"/>
      <c r="S224" s="863"/>
      <c r="T224" s="706"/>
      <c r="U224" s="863"/>
      <c r="V224" s="706"/>
      <c r="W224" s="863"/>
      <c r="X224" s="706"/>
      <c r="Y224" s="706"/>
      <c r="Z224" s="727"/>
      <c r="AA224" s="706"/>
      <c r="AB224" s="727"/>
      <c r="AC224" s="706"/>
      <c r="AD224" s="727"/>
      <c r="AE224" s="706"/>
      <c r="AF224" s="727"/>
      <c r="AG224" s="706"/>
      <c r="AH224" s="727"/>
      <c r="AI224" s="706"/>
      <c r="AJ224" s="706"/>
      <c r="AK224" s="727"/>
      <c r="AL224" s="706"/>
      <c r="AM224" s="727"/>
      <c r="AN224" s="706"/>
      <c r="AO224" s="727"/>
      <c r="AP224" s="706"/>
      <c r="AQ224" s="727"/>
      <c r="AR224" s="706"/>
      <c r="AS224" s="727"/>
      <c r="AT224" s="706"/>
      <c r="AU224" s="706"/>
      <c r="AV224" s="727"/>
      <c r="AW224" s="706"/>
      <c r="AX224" s="727"/>
      <c r="AY224" s="706"/>
      <c r="AZ224" s="727"/>
      <c r="BA224" s="706"/>
      <c r="BB224" s="727"/>
      <c r="BC224" s="706"/>
      <c r="BD224" s="727"/>
      <c r="BE224" s="706"/>
    </row>
    <row r="225" spans="1:57" s="48" customFormat="1">
      <c r="A225" s="827"/>
      <c r="B225" s="827"/>
      <c r="C225" s="893"/>
      <c r="D225" s="863"/>
      <c r="E225" s="706"/>
      <c r="F225" s="863"/>
      <c r="G225" s="706"/>
      <c r="H225" s="863"/>
      <c r="I225" s="706"/>
      <c r="J225" s="863"/>
      <c r="K225" s="706"/>
      <c r="L225" s="863"/>
      <c r="M225" s="706"/>
      <c r="N225" s="706"/>
      <c r="O225" s="863"/>
      <c r="P225" s="706"/>
      <c r="Q225" s="863"/>
      <c r="R225" s="706"/>
      <c r="S225" s="863"/>
      <c r="T225" s="706"/>
      <c r="U225" s="863"/>
      <c r="V225" s="706"/>
      <c r="W225" s="863"/>
      <c r="X225" s="706"/>
      <c r="Y225" s="706"/>
      <c r="Z225" s="727"/>
      <c r="AA225" s="706"/>
      <c r="AB225" s="727"/>
      <c r="AC225" s="706"/>
      <c r="AD225" s="727"/>
      <c r="AE225" s="706"/>
      <c r="AF225" s="727"/>
      <c r="AG225" s="706"/>
      <c r="AH225" s="727"/>
      <c r="AI225" s="706"/>
      <c r="AJ225" s="706"/>
      <c r="AK225" s="727"/>
      <c r="AL225" s="706"/>
      <c r="AM225" s="727"/>
      <c r="AN225" s="706"/>
      <c r="AO225" s="727"/>
      <c r="AP225" s="706"/>
      <c r="AQ225" s="727"/>
      <c r="AR225" s="706"/>
      <c r="AS225" s="727"/>
      <c r="AT225" s="706"/>
      <c r="AU225" s="706"/>
      <c r="AV225" s="727"/>
      <c r="AW225" s="706"/>
      <c r="AX225" s="727"/>
      <c r="AY225" s="706"/>
      <c r="AZ225" s="727"/>
      <c r="BA225" s="706"/>
      <c r="BB225" s="727"/>
      <c r="BC225" s="706"/>
      <c r="BD225" s="727"/>
      <c r="BE225" s="706"/>
    </row>
    <row r="226" spans="1:57" s="48" customFormat="1">
      <c r="A226" s="827"/>
      <c r="B226" s="827"/>
      <c r="C226" s="893"/>
      <c r="D226" s="863"/>
      <c r="E226" s="706"/>
      <c r="F226" s="863"/>
      <c r="G226" s="706"/>
      <c r="H226" s="863"/>
      <c r="I226" s="706"/>
      <c r="J226" s="863"/>
      <c r="K226" s="706"/>
      <c r="L226" s="863"/>
      <c r="M226" s="706"/>
      <c r="N226" s="706"/>
      <c r="O226" s="863"/>
      <c r="P226" s="706"/>
      <c r="Q226" s="863"/>
      <c r="R226" s="706"/>
      <c r="S226" s="863"/>
      <c r="T226" s="706"/>
      <c r="U226" s="863"/>
      <c r="V226" s="706"/>
      <c r="W226" s="863"/>
      <c r="X226" s="706"/>
      <c r="Y226" s="706"/>
      <c r="Z226" s="727"/>
      <c r="AA226" s="706"/>
      <c r="AB226" s="727"/>
      <c r="AC226" s="706"/>
      <c r="AD226" s="727"/>
      <c r="AE226" s="706"/>
      <c r="AF226" s="727"/>
      <c r="AG226" s="706"/>
      <c r="AH226" s="727"/>
      <c r="AI226" s="706"/>
      <c r="AJ226" s="706"/>
      <c r="AK226" s="727"/>
      <c r="AL226" s="706"/>
      <c r="AM226" s="727"/>
      <c r="AN226" s="706"/>
      <c r="AO226" s="727"/>
      <c r="AP226" s="706"/>
      <c r="AQ226" s="727"/>
      <c r="AR226" s="706"/>
      <c r="AS226" s="727"/>
      <c r="AT226" s="706"/>
      <c r="AU226" s="706"/>
      <c r="AV226" s="727"/>
      <c r="AW226" s="706"/>
      <c r="AX226" s="727"/>
      <c r="AY226" s="706"/>
      <c r="AZ226" s="727"/>
      <c r="BA226" s="706"/>
      <c r="BB226" s="727"/>
      <c r="BC226" s="706"/>
      <c r="BD226" s="727"/>
      <c r="BE226" s="706"/>
    </row>
    <row r="227" spans="1:57" s="48" customFormat="1">
      <c r="A227" s="827"/>
      <c r="B227" s="827"/>
      <c r="C227" s="893"/>
      <c r="D227" s="863"/>
      <c r="E227" s="706"/>
      <c r="F227" s="863"/>
      <c r="G227" s="706"/>
      <c r="H227" s="863"/>
      <c r="I227" s="706"/>
      <c r="J227" s="863"/>
      <c r="K227" s="706"/>
      <c r="L227" s="863"/>
      <c r="M227" s="706"/>
      <c r="N227" s="706"/>
      <c r="O227" s="863"/>
      <c r="P227" s="706"/>
      <c r="Q227" s="863"/>
      <c r="R227" s="706"/>
      <c r="S227" s="863"/>
      <c r="T227" s="706"/>
      <c r="U227" s="863"/>
      <c r="V227" s="706"/>
      <c r="W227" s="863"/>
      <c r="X227" s="706"/>
      <c r="Y227" s="706"/>
      <c r="Z227" s="727"/>
      <c r="AA227" s="706"/>
      <c r="AB227" s="727"/>
      <c r="AC227" s="706"/>
      <c r="AD227" s="727"/>
      <c r="AE227" s="706"/>
      <c r="AF227" s="727"/>
      <c r="AG227" s="706"/>
      <c r="AH227" s="727"/>
      <c r="AI227" s="706"/>
      <c r="AJ227" s="706"/>
      <c r="AK227" s="727"/>
      <c r="AL227" s="706"/>
      <c r="AM227" s="727"/>
      <c r="AN227" s="706"/>
      <c r="AO227" s="727"/>
      <c r="AP227" s="706"/>
      <c r="AQ227" s="727"/>
      <c r="AR227" s="706"/>
      <c r="AS227" s="727"/>
      <c r="AT227" s="706"/>
      <c r="AU227" s="706"/>
      <c r="AV227" s="727"/>
      <c r="AW227" s="706"/>
      <c r="AX227" s="727"/>
      <c r="AY227" s="706"/>
      <c r="AZ227" s="727"/>
      <c r="BA227" s="706"/>
      <c r="BB227" s="727"/>
      <c r="BC227" s="706"/>
      <c r="BD227" s="727"/>
      <c r="BE227" s="706"/>
    </row>
    <row r="228" spans="1:57" s="48" customFormat="1">
      <c r="A228" s="827"/>
      <c r="B228" s="827"/>
      <c r="C228" s="893"/>
      <c r="D228" s="863"/>
      <c r="E228" s="706"/>
      <c r="F228" s="863"/>
      <c r="G228" s="706"/>
      <c r="H228" s="863"/>
      <c r="I228" s="706"/>
      <c r="J228" s="863"/>
      <c r="K228" s="706"/>
      <c r="L228" s="863"/>
      <c r="M228" s="706"/>
      <c r="N228" s="706"/>
      <c r="O228" s="863"/>
      <c r="P228" s="706"/>
      <c r="Q228" s="863"/>
      <c r="R228" s="706"/>
      <c r="S228" s="863"/>
      <c r="T228" s="706"/>
      <c r="U228" s="863"/>
      <c r="V228" s="706"/>
      <c r="W228" s="863"/>
      <c r="X228" s="706"/>
      <c r="Y228" s="706"/>
      <c r="Z228" s="727"/>
      <c r="AA228" s="706"/>
      <c r="AB228" s="727"/>
      <c r="AC228" s="706"/>
      <c r="AD228" s="727"/>
      <c r="AE228" s="706"/>
      <c r="AF228" s="727"/>
      <c r="AG228" s="706"/>
      <c r="AH228" s="727"/>
      <c r="AI228" s="706"/>
      <c r="AJ228" s="706"/>
      <c r="AK228" s="727"/>
      <c r="AL228" s="706"/>
      <c r="AM228" s="727"/>
      <c r="AN228" s="706"/>
      <c r="AO228" s="727"/>
      <c r="AP228" s="706"/>
      <c r="AQ228" s="727"/>
      <c r="AR228" s="706"/>
      <c r="AS228" s="727"/>
      <c r="AT228" s="706"/>
      <c r="AU228" s="706"/>
      <c r="AV228" s="727"/>
      <c r="AW228" s="706"/>
      <c r="AX228" s="727"/>
      <c r="AY228" s="706"/>
      <c r="AZ228" s="727"/>
      <c r="BA228" s="706"/>
      <c r="BB228" s="727"/>
      <c r="BC228" s="706"/>
      <c r="BD228" s="727"/>
      <c r="BE228" s="706"/>
    </row>
    <row r="229" spans="1:57" s="48" customFormat="1">
      <c r="A229" s="827"/>
      <c r="B229" s="827"/>
      <c r="C229" s="893"/>
      <c r="D229" s="863"/>
      <c r="E229" s="706"/>
      <c r="F229" s="863"/>
      <c r="G229" s="706"/>
      <c r="H229" s="863"/>
      <c r="I229" s="706"/>
      <c r="J229" s="863"/>
      <c r="K229" s="706"/>
      <c r="L229" s="863"/>
      <c r="M229" s="706"/>
      <c r="N229" s="706"/>
      <c r="O229" s="863"/>
      <c r="P229" s="706"/>
      <c r="Q229" s="863"/>
      <c r="R229" s="706"/>
      <c r="S229" s="863"/>
      <c r="T229" s="706"/>
      <c r="U229" s="863"/>
      <c r="V229" s="706"/>
      <c r="W229" s="863"/>
      <c r="X229" s="706"/>
      <c r="Y229" s="706"/>
      <c r="Z229" s="727"/>
      <c r="AA229" s="706"/>
      <c r="AB229" s="727"/>
      <c r="AC229" s="706"/>
      <c r="AD229" s="727"/>
      <c r="AE229" s="706"/>
      <c r="AF229" s="727"/>
      <c r="AG229" s="706"/>
      <c r="AH229" s="727"/>
      <c r="AI229" s="706"/>
      <c r="AJ229" s="706"/>
      <c r="AK229" s="727"/>
      <c r="AL229" s="706"/>
      <c r="AM229" s="727"/>
      <c r="AN229" s="706"/>
      <c r="AO229" s="727"/>
      <c r="AP229" s="706"/>
      <c r="AQ229" s="727"/>
      <c r="AR229" s="706"/>
      <c r="AS229" s="727"/>
      <c r="AT229" s="706"/>
      <c r="AU229" s="706"/>
      <c r="AV229" s="727"/>
      <c r="AW229" s="706"/>
      <c r="AX229" s="727"/>
      <c r="AY229" s="706"/>
      <c r="AZ229" s="727"/>
      <c r="BA229" s="706"/>
      <c r="BB229" s="727"/>
      <c r="BC229" s="706"/>
      <c r="BD229" s="727"/>
      <c r="BE229" s="706"/>
    </row>
    <row r="230" spans="1:57" s="48" customFormat="1">
      <c r="A230" s="827"/>
      <c r="B230" s="827"/>
      <c r="C230" s="893"/>
      <c r="D230" s="863"/>
      <c r="E230" s="706"/>
      <c r="F230" s="863"/>
      <c r="G230" s="706"/>
      <c r="H230" s="863"/>
      <c r="I230" s="706"/>
      <c r="J230" s="863"/>
      <c r="K230" s="706"/>
      <c r="L230" s="863"/>
      <c r="M230" s="706"/>
      <c r="N230" s="706"/>
      <c r="O230" s="863"/>
      <c r="P230" s="706"/>
      <c r="Q230" s="863"/>
      <c r="R230" s="706"/>
      <c r="S230" s="863"/>
      <c r="T230" s="706"/>
      <c r="U230" s="863"/>
      <c r="V230" s="706"/>
      <c r="W230" s="863"/>
      <c r="X230" s="706"/>
      <c r="Y230" s="706"/>
      <c r="Z230" s="727"/>
      <c r="AA230" s="706"/>
      <c r="AB230" s="727"/>
      <c r="AC230" s="706"/>
      <c r="AD230" s="727"/>
      <c r="AE230" s="706"/>
      <c r="AF230" s="727"/>
      <c r="AG230" s="706"/>
      <c r="AH230" s="727"/>
      <c r="AI230" s="706"/>
      <c r="AJ230" s="706"/>
      <c r="AK230" s="727"/>
      <c r="AL230" s="706"/>
      <c r="AM230" s="727"/>
      <c r="AN230" s="706"/>
      <c r="AO230" s="727"/>
      <c r="AP230" s="706"/>
      <c r="AQ230" s="727"/>
      <c r="AR230" s="706"/>
      <c r="AS230" s="727"/>
      <c r="AT230" s="706"/>
      <c r="AU230" s="706"/>
      <c r="AV230" s="727"/>
      <c r="AW230" s="706"/>
      <c r="AX230" s="727"/>
      <c r="AY230" s="706"/>
      <c r="AZ230" s="727"/>
      <c r="BA230" s="706"/>
      <c r="BB230" s="727"/>
      <c r="BC230" s="706"/>
      <c r="BD230" s="727"/>
      <c r="BE230" s="706"/>
    </row>
    <row r="231" spans="1:57" s="48" customFormat="1">
      <c r="A231" s="827"/>
      <c r="B231" s="827"/>
      <c r="C231" s="893"/>
      <c r="D231" s="863"/>
      <c r="E231" s="706"/>
      <c r="F231" s="863"/>
      <c r="G231" s="706"/>
      <c r="H231" s="863"/>
      <c r="I231" s="706"/>
      <c r="J231" s="863"/>
      <c r="K231" s="706"/>
      <c r="L231" s="863"/>
      <c r="M231" s="706"/>
      <c r="N231" s="706"/>
      <c r="O231" s="863"/>
      <c r="P231" s="706"/>
      <c r="Q231" s="863"/>
      <c r="R231" s="706"/>
      <c r="S231" s="863"/>
      <c r="T231" s="706"/>
      <c r="U231" s="863"/>
      <c r="V231" s="706"/>
      <c r="W231" s="863"/>
      <c r="X231" s="706"/>
      <c r="Y231" s="706"/>
      <c r="Z231" s="727"/>
      <c r="AA231" s="706"/>
      <c r="AB231" s="727"/>
      <c r="AC231" s="706"/>
      <c r="AD231" s="727"/>
      <c r="AE231" s="706"/>
      <c r="AF231" s="727"/>
      <c r="AG231" s="706"/>
      <c r="AH231" s="727"/>
      <c r="AI231" s="706"/>
      <c r="AJ231" s="706"/>
      <c r="AK231" s="727"/>
      <c r="AL231" s="706"/>
      <c r="AM231" s="727"/>
      <c r="AN231" s="706"/>
      <c r="AO231" s="727"/>
      <c r="AP231" s="706"/>
      <c r="AQ231" s="727"/>
      <c r="AR231" s="706"/>
      <c r="AS231" s="727"/>
      <c r="AT231" s="706"/>
      <c r="AU231" s="706"/>
      <c r="AV231" s="727"/>
      <c r="AW231" s="706"/>
      <c r="AX231" s="727"/>
      <c r="AY231" s="706"/>
      <c r="AZ231" s="727"/>
      <c r="BA231" s="706"/>
      <c r="BB231" s="727"/>
      <c r="BC231" s="706"/>
      <c r="BD231" s="727"/>
      <c r="BE231" s="706"/>
    </row>
    <row r="232" spans="1:57" s="48" customFormat="1">
      <c r="A232" s="827"/>
      <c r="B232" s="827"/>
      <c r="C232" s="893"/>
      <c r="D232" s="863"/>
      <c r="E232" s="706"/>
      <c r="F232" s="863"/>
      <c r="G232" s="706"/>
      <c r="H232" s="863"/>
      <c r="I232" s="706"/>
      <c r="J232" s="863"/>
      <c r="K232" s="706"/>
      <c r="L232" s="863"/>
      <c r="M232" s="706"/>
      <c r="N232" s="706"/>
      <c r="O232" s="863"/>
      <c r="P232" s="706"/>
      <c r="Q232" s="863"/>
      <c r="R232" s="706"/>
      <c r="S232" s="863"/>
      <c r="T232" s="706"/>
      <c r="U232" s="863"/>
      <c r="V232" s="706"/>
      <c r="W232" s="863"/>
      <c r="X232" s="706"/>
      <c r="Y232" s="706"/>
      <c r="Z232" s="727"/>
      <c r="AA232" s="706"/>
      <c r="AB232" s="727"/>
      <c r="AC232" s="706"/>
      <c r="AD232" s="727"/>
      <c r="AE232" s="706"/>
      <c r="AF232" s="727"/>
      <c r="AG232" s="706"/>
      <c r="AH232" s="727"/>
      <c r="AI232" s="706"/>
      <c r="AJ232" s="706"/>
      <c r="AK232" s="727"/>
      <c r="AL232" s="706"/>
      <c r="AM232" s="727"/>
      <c r="AN232" s="706"/>
      <c r="AO232" s="727"/>
      <c r="AP232" s="706"/>
      <c r="AQ232" s="727"/>
      <c r="AR232" s="706"/>
      <c r="AS232" s="727"/>
      <c r="AT232" s="706"/>
      <c r="AU232" s="706"/>
      <c r="AV232" s="727"/>
      <c r="AW232" s="706"/>
      <c r="AX232" s="727"/>
      <c r="AY232" s="706"/>
      <c r="AZ232" s="727"/>
      <c r="BA232" s="706"/>
      <c r="BB232" s="727"/>
      <c r="BC232" s="706"/>
      <c r="BD232" s="727"/>
      <c r="BE232" s="706"/>
    </row>
    <row r="233" spans="1:57" s="48" customFormat="1">
      <c r="A233" s="827"/>
      <c r="B233" s="827"/>
      <c r="C233" s="893"/>
      <c r="D233" s="863"/>
      <c r="E233" s="706"/>
      <c r="F233" s="863"/>
      <c r="G233" s="706"/>
      <c r="H233" s="863"/>
      <c r="I233" s="706"/>
      <c r="J233" s="863"/>
      <c r="K233" s="706"/>
      <c r="L233" s="863"/>
      <c r="M233" s="706"/>
      <c r="N233" s="706"/>
      <c r="O233" s="863"/>
      <c r="P233" s="706"/>
      <c r="Q233" s="863"/>
      <c r="R233" s="706"/>
      <c r="S233" s="863"/>
      <c r="T233" s="706"/>
      <c r="U233" s="863"/>
      <c r="V233" s="706"/>
      <c r="W233" s="863"/>
      <c r="X233" s="706"/>
      <c r="Y233" s="706"/>
      <c r="Z233" s="727"/>
      <c r="AA233" s="706"/>
      <c r="AB233" s="727"/>
      <c r="AC233" s="706"/>
      <c r="AD233" s="727"/>
      <c r="AE233" s="706"/>
      <c r="AF233" s="727"/>
      <c r="AG233" s="706"/>
      <c r="AH233" s="727"/>
      <c r="AI233" s="706"/>
      <c r="AJ233" s="706"/>
      <c r="AK233" s="727"/>
      <c r="AL233" s="706"/>
      <c r="AM233" s="727"/>
      <c r="AN233" s="706"/>
      <c r="AO233" s="727"/>
      <c r="AP233" s="706"/>
      <c r="AQ233" s="727"/>
      <c r="AR233" s="706"/>
      <c r="AS233" s="727"/>
      <c r="AT233" s="706"/>
      <c r="AU233" s="706"/>
      <c r="AV233" s="727"/>
      <c r="AW233" s="706"/>
      <c r="AX233" s="727"/>
      <c r="AY233" s="706"/>
      <c r="AZ233" s="727"/>
      <c r="BA233" s="706"/>
      <c r="BB233" s="727"/>
      <c r="BC233" s="706"/>
      <c r="BD233" s="727"/>
      <c r="BE233" s="706"/>
    </row>
    <row r="234" spans="1:57" s="48" customFormat="1">
      <c r="A234" s="827"/>
      <c r="B234" s="827"/>
      <c r="C234" s="893"/>
      <c r="D234" s="863"/>
      <c r="E234" s="706"/>
      <c r="F234" s="863"/>
      <c r="G234" s="706"/>
      <c r="H234" s="863"/>
      <c r="I234" s="706"/>
      <c r="J234" s="863"/>
      <c r="K234" s="706"/>
      <c r="L234" s="863"/>
      <c r="M234" s="706"/>
      <c r="N234" s="706"/>
      <c r="O234" s="863"/>
      <c r="P234" s="706"/>
      <c r="Q234" s="863"/>
      <c r="R234" s="706"/>
      <c r="S234" s="863"/>
      <c r="T234" s="706"/>
      <c r="U234" s="863"/>
      <c r="V234" s="706"/>
      <c r="W234" s="863"/>
      <c r="X234" s="706"/>
      <c r="Y234" s="706"/>
      <c r="Z234" s="727"/>
      <c r="AA234" s="706"/>
      <c r="AB234" s="727"/>
      <c r="AC234" s="706"/>
      <c r="AD234" s="727"/>
      <c r="AE234" s="706"/>
      <c r="AF234" s="727"/>
      <c r="AG234" s="706"/>
      <c r="AH234" s="727"/>
      <c r="AI234" s="706"/>
      <c r="AJ234" s="706"/>
      <c r="AK234" s="727"/>
      <c r="AL234" s="706"/>
      <c r="AM234" s="727"/>
      <c r="AN234" s="706"/>
      <c r="AO234" s="727"/>
      <c r="AP234" s="706"/>
      <c r="AQ234" s="727"/>
      <c r="AR234" s="706"/>
      <c r="AS234" s="727"/>
      <c r="AT234" s="706"/>
      <c r="AU234" s="706"/>
      <c r="AV234" s="727"/>
      <c r="AW234" s="706"/>
      <c r="AX234" s="727"/>
      <c r="AY234" s="706"/>
      <c r="AZ234" s="727"/>
      <c r="BA234" s="706"/>
      <c r="BB234" s="727"/>
      <c r="BC234" s="706"/>
      <c r="BD234" s="727"/>
      <c r="BE234" s="706"/>
    </row>
    <row r="235" spans="1:57" s="48" customFormat="1">
      <c r="A235" s="827"/>
      <c r="B235" s="827"/>
      <c r="C235" s="893"/>
      <c r="D235" s="863"/>
      <c r="E235" s="706"/>
      <c r="F235" s="863"/>
      <c r="G235" s="706"/>
      <c r="H235" s="863"/>
      <c r="I235" s="706"/>
      <c r="J235" s="863"/>
      <c r="K235" s="706"/>
      <c r="L235" s="863"/>
      <c r="M235" s="706"/>
      <c r="N235" s="706"/>
      <c r="O235" s="863"/>
      <c r="P235" s="706"/>
      <c r="Q235" s="863"/>
      <c r="R235" s="706"/>
      <c r="S235" s="863"/>
      <c r="T235" s="706"/>
      <c r="U235" s="863"/>
      <c r="V235" s="706"/>
      <c r="W235" s="863"/>
      <c r="X235" s="706"/>
      <c r="Y235" s="706"/>
      <c r="Z235" s="727"/>
      <c r="AA235" s="706"/>
      <c r="AB235" s="727"/>
      <c r="AC235" s="706"/>
      <c r="AD235" s="727"/>
      <c r="AE235" s="706"/>
      <c r="AF235" s="727"/>
      <c r="AG235" s="706"/>
      <c r="AH235" s="727"/>
      <c r="AI235" s="706"/>
      <c r="AJ235" s="706"/>
      <c r="AK235" s="727"/>
      <c r="AL235" s="706"/>
      <c r="AM235" s="727"/>
      <c r="AN235" s="706"/>
      <c r="AO235" s="727"/>
      <c r="AP235" s="706"/>
      <c r="AQ235" s="727"/>
      <c r="AR235" s="706"/>
      <c r="AS235" s="727"/>
      <c r="AT235" s="706"/>
      <c r="AU235" s="706"/>
      <c r="AV235" s="727"/>
      <c r="AW235" s="706"/>
      <c r="AX235" s="727"/>
      <c r="AY235" s="706"/>
      <c r="AZ235" s="727"/>
      <c r="BA235" s="706"/>
      <c r="BB235" s="727"/>
      <c r="BC235" s="706"/>
      <c r="BD235" s="727"/>
      <c r="BE235" s="706"/>
    </row>
    <row r="236" spans="1:57" s="48" customFormat="1">
      <c r="A236" s="827"/>
      <c r="B236" s="827"/>
      <c r="C236" s="893"/>
      <c r="D236" s="863"/>
      <c r="E236" s="706"/>
      <c r="F236" s="863"/>
      <c r="G236" s="706"/>
      <c r="H236" s="863"/>
      <c r="I236" s="706"/>
      <c r="J236" s="863"/>
      <c r="K236" s="706"/>
      <c r="L236" s="863"/>
      <c r="M236" s="706"/>
      <c r="N236" s="706"/>
      <c r="O236" s="863"/>
      <c r="P236" s="706"/>
      <c r="Q236" s="863"/>
      <c r="R236" s="706"/>
      <c r="S236" s="863"/>
      <c r="T236" s="706"/>
      <c r="U236" s="863"/>
      <c r="V236" s="706"/>
      <c r="W236" s="863"/>
      <c r="X236" s="706"/>
      <c r="Y236" s="706"/>
      <c r="Z236" s="727"/>
      <c r="AA236" s="706"/>
      <c r="AB236" s="727"/>
      <c r="AC236" s="706"/>
      <c r="AD236" s="727"/>
      <c r="AE236" s="706"/>
      <c r="AF236" s="727"/>
      <c r="AG236" s="706"/>
      <c r="AH236" s="727"/>
      <c r="AI236" s="706"/>
      <c r="AJ236" s="706"/>
      <c r="AK236" s="727"/>
      <c r="AL236" s="706"/>
      <c r="AM236" s="727"/>
      <c r="AN236" s="706"/>
      <c r="AO236" s="727"/>
      <c r="AP236" s="706"/>
      <c r="AQ236" s="727"/>
      <c r="AR236" s="706"/>
      <c r="AS236" s="727"/>
      <c r="AT236" s="706"/>
      <c r="AU236" s="706"/>
      <c r="AV236" s="727"/>
      <c r="AW236" s="706"/>
      <c r="AX236" s="727"/>
      <c r="AY236" s="706"/>
      <c r="AZ236" s="727"/>
      <c r="BA236" s="706"/>
      <c r="BB236" s="727"/>
      <c r="BC236" s="706"/>
      <c r="BD236" s="727"/>
      <c r="BE236" s="706"/>
    </row>
    <row r="237" spans="1:57" s="48" customFormat="1">
      <c r="A237" s="827"/>
      <c r="B237" s="827"/>
      <c r="C237" s="893"/>
      <c r="D237" s="863"/>
      <c r="E237" s="706"/>
      <c r="F237" s="863"/>
      <c r="G237" s="706"/>
      <c r="H237" s="863"/>
      <c r="I237" s="706"/>
      <c r="J237" s="863"/>
      <c r="K237" s="706"/>
      <c r="L237" s="863"/>
      <c r="M237" s="706"/>
      <c r="N237" s="706"/>
      <c r="O237" s="863"/>
      <c r="P237" s="706"/>
      <c r="Q237" s="863"/>
      <c r="R237" s="706"/>
      <c r="S237" s="863"/>
      <c r="T237" s="706"/>
      <c r="U237" s="863"/>
      <c r="V237" s="706"/>
      <c r="W237" s="863"/>
      <c r="X237" s="706"/>
      <c r="Y237" s="706"/>
      <c r="Z237" s="727"/>
      <c r="AA237" s="706"/>
      <c r="AB237" s="727"/>
      <c r="AC237" s="706"/>
      <c r="AD237" s="727"/>
      <c r="AE237" s="706"/>
      <c r="AF237" s="727"/>
      <c r="AG237" s="706"/>
      <c r="AH237" s="727"/>
      <c r="AI237" s="706"/>
      <c r="AJ237" s="706"/>
      <c r="AK237" s="727"/>
      <c r="AL237" s="706"/>
      <c r="AM237" s="727"/>
      <c r="AN237" s="706"/>
      <c r="AO237" s="727"/>
      <c r="AP237" s="706"/>
      <c r="AQ237" s="727"/>
      <c r="AR237" s="706"/>
      <c r="AS237" s="727"/>
      <c r="AT237" s="706"/>
      <c r="AU237" s="706"/>
      <c r="AV237" s="727"/>
      <c r="AW237" s="706"/>
      <c r="AX237" s="727"/>
      <c r="AY237" s="706"/>
      <c r="AZ237" s="727"/>
      <c r="BA237" s="706"/>
      <c r="BB237" s="727"/>
      <c r="BC237" s="706"/>
      <c r="BD237" s="727"/>
      <c r="BE237" s="706"/>
    </row>
    <row r="238" spans="1:57" s="48" customFormat="1">
      <c r="A238" s="827"/>
      <c r="B238" s="827"/>
      <c r="C238" s="893"/>
      <c r="D238" s="863"/>
      <c r="E238" s="706"/>
      <c r="F238" s="863"/>
      <c r="G238" s="706"/>
      <c r="H238" s="863"/>
      <c r="I238" s="706"/>
      <c r="J238" s="863"/>
      <c r="K238" s="706"/>
      <c r="L238" s="863"/>
      <c r="M238" s="706"/>
      <c r="N238" s="706"/>
      <c r="O238" s="863"/>
      <c r="P238" s="706"/>
      <c r="Q238" s="863"/>
      <c r="R238" s="706"/>
      <c r="S238" s="863"/>
      <c r="T238" s="706"/>
      <c r="U238" s="863"/>
      <c r="V238" s="706"/>
      <c r="W238" s="863"/>
      <c r="X238" s="706"/>
      <c r="Y238" s="706"/>
      <c r="Z238" s="727"/>
      <c r="AA238" s="706"/>
      <c r="AB238" s="727"/>
      <c r="AC238" s="706"/>
      <c r="AD238" s="727"/>
      <c r="AE238" s="706"/>
      <c r="AF238" s="727"/>
      <c r="AG238" s="706"/>
      <c r="AH238" s="727"/>
      <c r="AI238" s="706"/>
      <c r="AJ238" s="706"/>
      <c r="AK238" s="727"/>
      <c r="AL238" s="706"/>
      <c r="AM238" s="727"/>
      <c r="AN238" s="706"/>
      <c r="AO238" s="727"/>
      <c r="AP238" s="706"/>
      <c r="AQ238" s="727"/>
      <c r="AR238" s="706"/>
      <c r="AS238" s="727"/>
      <c r="AT238" s="706"/>
      <c r="AU238" s="706"/>
      <c r="AV238" s="727"/>
      <c r="AW238" s="706"/>
      <c r="AX238" s="727"/>
      <c r="AY238" s="706"/>
      <c r="AZ238" s="727"/>
      <c r="BA238" s="706"/>
      <c r="BB238" s="727"/>
      <c r="BC238" s="706"/>
      <c r="BD238" s="727"/>
      <c r="BE238" s="706"/>
    </row>
    <row r="239" spans="1:57" s="48" customFormat="1">
      <c r="A239" s="827"/>
      <c r="B239" s="827"/>
      <c r="C239" s="893"/>
      <c r="D239" s="863"/>
      <c r="E239" s="706"/>
      <c r="F239" s="863"/>
      <c r="G239" s="706"/>
      <c r="H239" s="863"/>
      <c r="I239" s="706"/>
      <c r="J239" s="863"/>
      <c r="K239" s="706"/>
      <c r="L239" s="863"/>
      <c r="M239" s="706"/>
      <c r="N239" s="706"/>
      <c r="O239" s="863"/>
      <c r="P239" s="706"/>
      <c r="Q239" s="863"/>
      <c r="R239" s="706"/>
      <c r="S239" s="863"/>
      <c r="T239" s="706"/>
      <c r="U239" s="863"/>
      <c r="V239" s="706"/>
      <c r="W239" s="863"/>
      <c r="X239" s="706"/>
      <c r="Y239" s="706"/>
      <c r="Z239" s="727"/>
      <c r="AA239" s="706"/>
      <c r="AB239" s="727"/>
      <c r="AC239" s="706"/>
      <c r="AD239" s="727"/>
      <c r="AE239" s="706"/>
      <c r="AF239" s="727"/>
      <c r="AG239" s="706"/>
      <c r="AH239" s="727"/>
      <c r="AI239" s="706"/>
      <c r="AJ239" s="706"/>
      <c r="AK239" s="727"/>
      <c r="AL239" s="706"/>
      <c r="AM239" s="727"/>
      <c r="AN239" s="706"/>
      <c r="AO239" s="727"/>
      <c r="AP239" s="706"/>
      <c r="AQ239" s="727"/>
      <c r="AR239" s="706"/>
      <c r="AS239" s="727"/>
      <c r="AT239" s="706"/>
      <c r="AU239" s="706"/>
      <c r="AV239" s="727"/>
      <c r="AW239" s="706"/>
      <c r="AX239" s="727"/>
      <c r="AY239" s="706"/>
      <c r="AZ239" s="727"/>
      <c r="BA239" s="706"/>
      <c r="BB239" s="727"/>
      <c r="BC239" s="706"/>
      <c r="BD239" s="727"/>
      <c r="BE239" s="706"/>
    </row>
    <row r="240" spans="1:57" s="48" customFormat="1">
      <c r="A240" s="827"/>
      <c r="B240" s="827"/>
      <c r="C240" s="893"/>
      <c r="D240" s="863"/>
      <c r="E240" s="706"/>
      <c r="F240" s="863"/>
      <c r="G240" s="706"/>
      <c r="H240" s="863"/>
      <c r="I240" s="706"/>
      <c r="J240" s="863"/>
      <c r="K240" s="706"/>
      <c r="L240" s="863"/>
      <c r="M240" s="706"/>
      <c r="N240" s="706"/>
      <c r="O240" s="863"/>
      <c r="P240" s="706"/>
      <c r="Q240" s="863"/>
      <c r="R240" s="706"/>
      <c r="S240" s="863"/>
      <c r="T240" s="706"/>
      <c r="U240" s="863"/>
      <c r="V240" s="706"/>
      <c r="W240" s="863"/>
      <c r="X240" s="706"/>
      <c r="Y240" s="706"/>
      <c r="Z240" s="727"/>
      <c r="AA240" s="706"/>
      <c r="AB240" s="727"/>
      <c r="AC240" s="706"/>
      <c r="AD240" s="727"/>
      <c r="AE240" s="706"/>
      <c r="AF240" s="727"/>
      <c r="AG240" s="706"/>
      <c r="AH240" s="727"/>
      <c r="AI240" s="706"/>
      <c r="AJ240" s="706"/>
      <c r="AK240" s="727"/>
      <c r="AL240" s="706"/>
      <c r="AM240" s="727"/>
      <c r="AN240" s="706"/>
      <c r="AO240" s="727"/>
      <c r="AP240" s="706"/>
      <c r="AQ240" s="727"/>
      <c r="AR240" s="706"/>
      <c r="AS240" s="727"/>
      <c r="AT240" s="706"/>
      <c r="AU240" s="706"/>
      <c r="AV240" s="727"/>
      <c r="AW240" s="706"/>
      <c r="AX240" s="727"/>
      <c r="AY240" s="706"/>
      <c r="AZ240" s="727"/>
      <c r="BA240" s="706"/>
      <c r="BB240" s="727"/>
      <c r="BC240" s="706"/>
      <c r="BD240" s="727"/>
      <c r="BE240" s="706"/>
    </row>
    <row r="241" spans="1:57" s="48" customFormat="1">
      <c r="A241" s="827"/>
      <c r="B241" s="827"/>
      <c r="C241" s="893"/>
      <c r="D241" s="863"/>
      <c r="E241" s="706"/>
      <c r="F241" s="863"/>
      <c r="G241" s="706"/>
      <c r="H241" s="863"/>
      <c r="I241" s="706"/>
      <c r="J241" s="863"/>
      <c r="K241" s="706"/>
      <c r="L241" s="863"/>
      <c r="M241" s="706"/>
      <c r="N241" s="706"/>
      <c r="O241" s="863"/>
      <c r="P241" s="706"/>
      <c r="Q241" s="863"/>
      <c r="R241" s="706"/>
      <c r="S241" s="863"/>
      <c r="T241" s="706"/>
      <c r="U241" s="863"/>
      <c r="V241" s="706"/>
      <c r="W241" s="863"/>
      <c r="X241" s="706"/>
      <c r="Y241" s="706"/>
      <c r="Z241" s="727"/>
      <c r="AA241" s="706"/>
      <c r="AB241" s="727"/>
      <c r="AC241" s="706"/>
      <c r="AD241" s="727"/>
      <c r="AE241" s="706"/>
      <c r="AF241" s="727"/>
      <c r="AG241" s="706"/>
      <c r="AH241" s="727"/>
      <c r="AI241" s="706"/>
      <c r="AJ241" s="706"/>
      <c r="AK241" s="727"/>
      <c r="AL241" s="706"/>
      <c r="AM241" s="727"/>
      <c r="AN241" s="706"/>
      <c r="AO241" s="727"/>
      <c r="AP241" s="706"/>
      <c r="AQ241" s="727"/>
      <c r="AR241" s="706"/>
      <c r="AS241" s="727"/>
      <c r="AT241" s="706"/>
      <c r="AU241" s="706"/>
      <c r="AV241" s="727"/>
      <c r="AW241" s="706"/>
      <c r="AX241" s="727"/>
      <c r="AY241" s="706"/>
      <c r="AZ241" s="727"/>
      <c r="BA241" s="706"/>
      <c r="BB241" s="727"/>
      <c r="BC241" s="706"/>
      <c r="BD241" s="727"/>
      <c r="BE241" s="706"/>
    </row>
    <row r="242" spans="1:57" s="48" customFormat="1">
      <c r="A242" s="827"/>
      <c r="B242" s="827"/>
      <c r="C242" s="893"/>
      <c r="D242" s="863"/>
      <c r="E242" s="706"/>
      <c r="F242" s="863"/>
      <c r="G242" s="706"/>
      <c r="H242" s="863"/>
      <c r="I242" s="706"/>
      <c r="J242" s="863"/>
      <c r="K242" s="706"/>
      <c r="L242" s="863"/>
      <c r="M242" s="706"/>
      <c r="N242" s="706"/>
      <c r="O242" s="863"/>
      <c r="P242" s="706"/>
      <c r="Q242" s="863"/>
      <c r="R242" s="706"/>
      <c r="S242" s="863"/>
      <c r="T242" s="706"/>
      <c r="U242" s="863"/>
      <c r="V242" s="706"/>
      <c r="W242" s="863"/>
      <c r="X242" s="706"/>
      <c r="Y242" s="706"/>
      <c r="Z242" s="727"/>
      <c r="AA242" s="706"/>
      <c r="AB242" s="727"/>
      <c r="AC242" s="706"/>
      <c r="AD242" s="727"/>
      <c r="AE242" s="706"/>
      <c r="AF242" s="727"/>
      <c r="AG242" s="706"/>
      <c r="AH242" s="727"/>
      <c r="AI242" s="706"/>
      <c r="AJ242" s="706"/>
      <c r="AK242" s="727"/>
      <c r="AL242" s="706"/>
      <c r="AM242" s="727"/>
      <c r="AN242" s="706"/>
      <c r="AO242" s="727"/>
      <c r="AP242" s="706"/>
      <c r="AQ242" s="727"/>
      <c r="AR242" s="706"/>
      <c r="AS242" s="727"/>
      <c r="AT242" s="706"/>
      <c r="AU242" s="706"/>
      <c r="AV242" s="727"/>
      <c r="AW242" s="706"/>
      <c r="AX242" s="727"/>
      <c r="AY242" s="706"/>
      <c r="AZ242" s="727"/>
      <c r="BA242" s="706"/>
      <c r="BB242" s="727"/>
      <c r="BC242" s="706"/>
      <c r="BD242" s="727"/>
      <c r="BE242" s="706"/>
    </row>
    <row r="243" spans="1:57" s="48" customFormat="1">
      <c r="A243" s="827"/>
      <c r="B243" s="827"/>
      <c r="C243" s="893"/>
      <c r="D243" s="863"/>
      <c r="E243" s="706"/>
      <c r="F243" s="863"/>
      <c r="G243" s="706"/>
      <c r="H243" s="863"/>
      <c r="I243" s="706"/>
      <c r="J243" s="863"/>
      <c r="K243" s="706"/>
      <c r="L243" s="863"/>
      <c r="M243" s="706"/>
      <c r="N243" s="706"/>
      <c r="O243" s="863"/>
      <c r="P243" s="706"/>
      <c r="Q243" s="863"/>
      <c r="R243" s="706"/>
      <c r="S243" s="863"/>
      <c r="T243" s="706"/>
      <c r="U243" s="863"/>
      <c r="V243" s="706"/>
      <c r="W243" s="863"/>
      <c r="X243" s="706"/>
      <c r="Y243" s="706"/>
      <c r="Z243" s="727"/>
      <c r="AA243" s="706"/>
      <c r="AB243" s="727"/>
      <c r="AC243" s="706"/>
      <c r="AD243" s="727"/>
      <c r="AE243" s="706"/>
      <c r="AF243" s="727"/>
      <c r="AG243" s="706"/>
      <c r="AH243" s="727"/>
      <c r="AI243" s="706"/>
      <c r="AJ243" s="706"/>
      <c r="AK243" s="727"/>
      <c r="AL243" s="706"/>
      <c r="AM243" s="727"/>
      <c r="AN243" s="706"/>
      <c r="AO243" s="727"/>
      <c r="AP243" s="706"/>
      <c r="AQ243" s="727"/>
      <c r="AR243" s="706"/>
      <c r="AS243" s="727"/>
      <c r="AT243" s="706"/>
      <c r="AU243" s="706"/>
      <c r="AV243" s="727"/>
      <c r="AW243" s="706"/>
      <c r="AX243" s="727"/>
      <c r="AY243" s="706"/>
      <c r="AZ243" s="727"/>
      <c r="BA243" s="706"/>
      <c r="BB243" s="727"/>
      <c r="BC243" s="706"/>
      <c r="BD243" s="727"/>
      <c r="BE243" s="706"/>
    </row>
    <row r="244" spans="1:57" s="48" customFormat="1">
      <c r="A244" s="827"/>
      <c r="B244" s="827"/>
      <c r="C244" s="893"/>
      <c r="D244" s="863"/>
      <c r="E244" s="706"/>
      <c r="F244" s="863"/>
      <c r="G244" s="706"/>
      <c r="H244" s="863"/>
      <c r="I244" s="706"/>
      <c r="J244" s="863"/>
      <c r="K244" s="706"/>
      <c r="L244" s="863"/>
      <c r="M244" s="706"/>
      <c r="N244" s="706"/>
      <c r="O244" s="863"/>
      <c r="P244" s="706"/>
      <c r="Q244" s="863"/>
      <c r="R244" s="706"/>
      <c r="S244" s="863"/>
      <c r="T244" s="706"/>
      <c r="U244" s="863"/>
      <c r="V244" s="706"/>
      <c r="W244" s="863"/>
      <c r="X244" s="706"/>
      <c r="Y244" s="706"/>
      <c r="Z244" s="727"/>
      <c r="AA244" s="706"/>
      <c r="AB244" s="727"/>
      <c r="AC244" s="706"/>
      <c r="AD244" s="727"/>
      <c r="AE244" s="706"/>
      <c r="AF244" s="727"/>
      <c r="AG244" s="706"/>
      <c r="AH244" s="727"/>
      <c r="AI244" s="706"/>
      <c r="AJ244" s="706"/>
      <c r="AK244" s="727"/>
      <c r="AL244" s="706"/>
      <c r="AM244" s="727"/>
      <c r="AN244" s="706"/>
      <c r="AO244" s="727"/>
      <c r="AP244" s="706"/>
      <c r="AQ244" s="727"/>
      <c r="AR244" s="706"/>
      <c r="AS244" s="727"/>
      <c r="AT244" s="706"/>
      <c r="AU244" s="706"/>
      <c r="AV244" s="727"/>
      <c r="AW244" s="706"/>
      <c r="AX244" s="727"/>
      <c r="AY244" s="706"/>
      <c r="AZ244" s="727"/>
      <c r="BA244" s="706"/>
      <c r="BB244" s="727"/>
      <c r="BC244" s="706"/>
      <c r="BD244" s="727"/>
      <c r="BE244" s="706"/>
    </row>
    <row r="245" spans="1:57" s="48" customFormat="1">
      <c r="A245" s="827"/>
      <c r="B245" s="827"/>
      <c r="C245" s="893"/>
      <c r="D245" s="863"/>
      <c r="E245" s="706"/>
      <c r="F245" s="863"/>
      <c r="G245" s="706"/>
      <c r="H245" s="863"/>
      <c r="I245" s="706"/>
      <c r="J245" s="863"/>
      <c r="K245" s="706"/>
      <c r="L245" s="863"/>
      <c r="M245" s="706"/>
      <c r="N245" s="706"/>
      <c r="O245" s="863"/>
      <c r="P245" s="706"/>
      <c r="Q245" s="863"/>
      <c r="R245" s="706"/>
      <c r="S245" s="863"/>
      <c r="T245" s="706"/>
      <c r="U245" s="863"/>
      <c r="V245" s="706"/>
      <c r="W245" s="863"/>
      <c r="X245" s="706"/>
      <c r="Y245" s="706"/>
      <c r="Z245" s="727"/>
      <c r="AA245" s="706"/>
      <c r="AB245" s="727"/>
      <c r="AC245" s="706"/>
      <c r="AD245" s="727"/>
      <c r="AE245" s="706"/>
      <c r="AF245" s="727"/>
      <c r="AG245" s="706"/>
      <c r="AH245" s="727"/>
      <c r="AI245" s="706"/>
      <c r="AJ245" s="706"/>
      <c r="AK245" s="727"/>
      <c r="AL245" s="706"/>
      <c r="AM245" s="727"/>
      <c r="AN245" s="706"/>
      <c r="AO245" s="727"/>
      <c r="AP245" s="706"/>
      <c r="AQ245" s="727"/>
      <c r="AR245" s="706"/>
      <c r="AS245" s="727"/>
      <c r="AT245" s="706"/>
      <c r="AU245" s="706"/>
      <c r="AV245" s="727"/>
      <c r="AW245" s="706"/>
      <c r="AX245" s="727"/>
      <c r="AY245" s="706"/>
      <c r="AZ245" s="727"/>
      <c r="BA245" s="706"/>
      <c r="BB245" s="727"/>
      <c r="BC245" s="706"/>
      <c r="BD245" s="727"/>
      <c r="BE245" s="706"/>
    </row>
    <row r="246" spans="1:57" s="48" customFormat="1">
      <c r="A246" s="827"/>
      <c r="B246" s="827"/>
      <c r="C246" s="893"/>
      <c r="D246" s="863"/>
      <c r="E246" s="706"/>
      <c r="F246" s="863"/>
      <c r="G246" s="706"/>
      <c r="H246" s="863"/>
      <c r="I246" s="706"/>
      <c r="J246" s="863"/>
      <c r="K246" s="706"/>
      <c r="L246" s="863"/>
      <c r="M246" s="706"/>
      <c r="N246" s="706"/>
      <c r="O246" s="863"/>
      <c r="P246" s="706"/>
      <c r="Q246" s="863"/>
      <c r="R246" s="706"/>
      <c r="S246" s="863"/>
      <c r="T246" s="706"/>
      <c r="U246" s="863"/>
      <c r="V246" s="706"/>
      <c r="W246" s="863"/>
      <c r="X246" s="706"/>
      <c r="Y246" s="706"/>
      <c r="Z246" s="727"/>
      <c r="AA246" s="706"/>
      <c r="AB246" s="727"/>
      <c r="AC246" s="706"/>
      <c r="AD246" s="727"/>
      <c r="AE246" s="706"/>
      <c r="AF246" s="727"/>
      <c r="AG246" s="706"/>
      <c r="AH246" s="727"/>
      <c r="AI246" s="706"/>
      <c r="AJ246" s="706"/>
      <c r="AK246" s="727"/>
      <c r="AL246" s="706"/>
      <c r="AM246" s="727"/>
      <c r="AN246" s="706"/>
      <c r="AO246" s="727"/>
      <c r="AP246" s="706"/>
      <c r="AQ246" s="727"/>
      <c r="AR246" s="706"/>
      <c r="AS246" s="727"/>
      <c r="AT246" s="706"/>
      <c r="AU246" s="706"/>
      <c r="AV246" s="727"/>
      <c r="AW246" s="706"/>
      <c r="AX246" s="727"/>
      <c r="AY246" s="706"/>
      <c r="AZ246" s="727"/>
      <c r="BA246" s="706"/>
      <c r="BB246" s="727"/>
      <c r="BC246" s="706"/>
      <c r="BD246" s="727"/>
      <c r="BE246" s="706"/>
    </row>
    <row r="247" spans="1:57" s="48" customFormat="1">
      <c r="A247" s="827"/>
      <c r="B247" s="827"/>
      <c r="C247" s="893"/>
      <c r="D247" s="863"/>
      <c r="E247" s="706"/>
      <c r="F247" s="863"/>
      <c r="G247" s="706"/>
      <c r="H247" s="863"/>
      <c r="I247" s="706"/>
      <c r="J247" s="863"/>
      <c r="K247" s="706"/>
      <c r="L247" s="863"/>
      <c r="M247" s="706"/>
      <c r="N247" s="706"/>
      <c r="O247" s="863"/>
      <c r="P247" s="706"/>
      <c r="Q247" s="863"/>
      <c r="R247" s="706"/>
      <c r="S247" s="863"/>
      <c r="T247" s="706"/>
      <c r="U247" s="863"/>
      <c r="V247" s="706"/>
      <c r="W247" s="863"/>
      <c r="X247" s="706"/>
      <c r="Y247" s="706"/>
      <c r="Z247" s="727"/>
      <c r="AA247" s="706"/>
      <c r="AB247" s="727"/>
      <c r="AC247" s="706"/>
      <c r="AD247" s="727"/>
      <c r="AE247" s="706"/>
      <c r="AF247" s="727"/>
      <c r="AG247" s="706"/>
      <c r="AH247" s="727"/>
      <c r="AI247" s="706"/>
      <c r="AJ247" s="706"/>
      <c r="AK247" s="727"/>
      <c r="AL247" s="706"/>
      <c r="AM247" s="727"/>
      <c r="AN247" s="706"/>
      <c r="AO247" s="727"/>
      <c r="AP247" s="706"/>
      <c r="AQ247" s="727"/>
      <c r="AR247" s="706"/>
      <c r="AS247" s="727"/>
      <c r="AT247" s="706"/>
      <c r="AU247" s="706"/>
      <c r="AV247" s="727"/>
      <c r="AW247" s="706"/>
      <c r="AX247" s="727"/>
      <c r="AY247" s="706"/>
      <c r="AZ247" s="727"/>
      <c r="BA247" s="706"/>
      <c r="BB247" s="727"/>
      <c r="BC247" s="706"/>
      <c r="BD247" s="727"/>
      <c r="BE247" s="706"/>
    </row>
    <row r="248" spans="1:57" s="48" customFormat="1">
      <c r="A248" s="827"/>
      <c r="B248" s="827"/>
      <c r="C248" s="893"/>
      <c r="D248" s="863"/>
      <c r="E248" s="706"/>
      <c r="F248" s="863"/>
      <c r="G248" s="706"/>
      <c r="H248" s="863"/>
      <c r="I248" s="706"/>
      <c r="J248" s="863"/>
      <c r="K248" s="706"/>
      <c r="L248" s="863"/>
      <c r="M248" s="706"/>
      <c r="N248" s="706"/>
      <c r="O248" s="863"/>
      <c r="P248" s="706"/>
      <c r="Q248" s="863"/>
      <c r="R248" s="706"/>
      <c r="S248" s="863"/>
      <c r="T248" s="706"/>
      <c r="U248" s="863"/>
      <c r="V248" s="706"/>
      <c r="W248" s="863"/>
      <c r="X248" s="706"/>
      <c r="Y248" s="706"/>
      <c r="Z248" s="727"/>
      <c r="AA248" s="706"/>
      <c r="AB248" s="727"/>
      <c r="AC248" s="706"/>
      <c r="AD248" s="727"/>
      <c r="AE248" s="706"/>
      <c r="AF248" s="727"/>
      <c r="AG248" s="706"/>
      <c r="AH248" s="727"/>
      <c r="AI248" s="706"/>
      <c r="AJ248" s="706"/>
      <c r="AK248" s="727"/>
      <c r="AL248" s="706"/>
      <c r="AM248" s="727"/>
      <c r="AN248" s="706"/>
      <c r="AO248" s="727"/>
      <c r="AP248" s="706"/>
      <c r="AQ248" s="727"/>
      <c r="AR248" s="706"/>
      <c r="AS248" s="727"/>
      <c r="AT248" s="706"/>
      <c r="AU248" s="706"/>
      <c r="AV248" s="727"/>
      <c r="AW248" s="706"/>
      <c r="AX248" s="727"/>
      <c r="AY248" s="706"/>
      <c r="AZ248" s="727"/>
      <c r="BA248" s="706"/>
      <c r="BB248" s="727"/>
      <c r="BC248" s="706"/>
      <c r="BD248" s="727"/>
      <c r="BE248" s="706"/>
    </row>
    <row r="249" spans="1:57" s="48" customFormat="1">
      <c r="A249" s="827"/>
      <c r="B249" s="827"/>
      <c r="C249" s="893"/>
      <c r="D249" s="863"/>
      <c r="E249" s="706"/>
      <c r="F249" s="863"/>
      <c r="G249" s="706"/>
      <c r="H249" s="863"/>
      <c r="I249" s="706"/>
      <c r="J249" s="863"/>
      <c r="K249" s="706"/>
      <c r="L249" s="863"/>
      <c r="M249" s="706"/>
      <c r="N249" s="706"/>
      <c r="O249" s="863"/>
      <c r="P249" s="706"/>
      <c r="Q249" s="863"/>
      <c r="R249" s="706"/>
      <c r="S249" s="863"/>
      <c r="T249" s="706"/>
      <c r="U249" s="863"/>
      <c r="V249" s="706"/>
      <c r="W249" s="863"/>
      <c r="X249" s="706"/>
      <c r="Y249" s="706"/>
      <c r="Z249" s="727"/>
      <c r="AA249" s="706"/>
      <c r="AB249" s="727"/>
      <c r="AC249" s="706"/>
      <c r="AD249" s="727"/>
      <c r="AE249" s="706"/>
      <c r="AF249" s="727"/>
      <c r="AG249" s="706"/>
      <c r="AH249" s="727"/>
      <c r="AI249" s="706"/>
      <c r="AJ249" s="706"/>
      <c r="AK249" s="727"/>
      <c r="AL249" s="706"/>
      <c r="AM249" s="727"/>
      <c r="AN249" s="706"/>
      <c r="AO249" s="727"/>
      <c r="AP249" s="706"/>
      <c r="AQ249" s="727"/>
      <c r="AR249" s="706"/>
      <c r="AS249" s="727"/>
      <c r="AT249" s="706"/>
      <c r="AU249" s="706"/>
      <c r="AV249" s="727"/>
      <c r="AW249" s="706"/>
      <c r="AX249" s="727"/>
      <c r="AY249" s="706"/>
      <c r="AZ249" s="727"/>
      <c r="BA249" s="706"/>
      <c r="BB249" s="727"/>
      <c r="BC249" s="706"/>
      <c r="BD249" s="727"/>
      <c r="BE249" s="706"/>
    </row>
    <row r="250" spans="1:57" s="48" customFormat="1">
      <c r="A250" s="827"/>
      <c r="B250" s="827"/>
      <c r="C250" s="893"/>
      <c r="D250" s="863"/>
      <c r="E250" s="706"/>
      <c r="F250" s="863"/>
      <c r="G250" s="706"/>
      <c r="H250" s="863"/>
      <c r="I250" s="706"/>
      <c r="J250" s="863"/>
      <c r="K250" s="706"/>
      <c r="L250" s="863"/>
      <c r="M250" s="706"/>
      <c r="N250" s="706"/>
      <c r="O250" s="863"/>
      <c r="P250" s="706"/>
      <c r="Q250" s="863"/>
      <c r="R250" s="706"/>
      <c r="S250" s="863"/>
      <c r="T250" s="706"/>
      <c r="U250" s="863"/>
      <c r="V250" s="706"/>
      <c r="W250" s="863"/>
      <c r="X250" s="706"/>
      <c r="Y250" s="706"/>
      <c r="Z250" s="727"/>
      <c r="AA250" s="706"/>
      <c r="AB250" s="727"/>
      <c r="AC250" s="706"/>
      <c r="AD250" s="727"/>
      <c r="AE250" s="706"/>
      <c r="AF250" s="727"/>
      <c r="AG250" s="706"/>
      <c r="AH250" s="727"/>
      <c r="AI250" s="706"/>
      <c r="AJ250" s="706"/>
      <c r="AK250" s="727"/>
      <c r="AL250" s="706"/>
      <c r="AM250" s="727"/>
      <c r="AN250" s="706"/>
      <c r="AO250" s="727"/>
      <c r="AP250" s="706"/>
      <c r="AQ250" s="727"/>
      <c r="AR250" s="706"/>
      <c r="AS250" s="727"/>
      <c r="AT250" s="706"/>
      <c r="AU250" s="706"/>
      <c r="AV250" s="727"/>
      <c r="AW250" s="706"/>
      <c r="AX250" s="727"/>
      <c r="AY250" s="706"/>
      <c r="AZ250" s="727"/>
      <c r="BA250" s="706"/>
      <c r="BB250" s="727"/>
      <c r="BC250" s="706"/>
      <c r="BD250" s="727"/>
      <c r="BE250" s="706"/>
    </row>
    <row r="251" spans="1:57" s="48" customFormat="1">
      <c r="A251" s="827"/>
      <c r="B251" s="827"/>
      <c r="C251" s="893"/>
      <c r="D251" s="863"/>
      <c r="E251" s="706"/>
      <c r="F251" s="863"/>
      <c r="G251" s="706"/>
      <c r="H251" s="863"/>
      <c r="I251" s="706"/>
      <c r="J251" s="863"/>
      <c r="K251" s="706"/>
      <c r="L251" s="863"/>
      <c r="M251" s="706"/>
      <c r="N251" s="706"/>
      <c r="O251" s="863"/>
      <c r="P251" s="706"/>
      <c r="Q251" s="863"/>
      <c r="R251" s="706"/>
      <c r="S251" s="863"/>
      <c r="T251" s="706"/>
      <c r="U251" s="863"/>
      <c r="V251" s="706"/>
      <c r="W251" s="863"/>
      <c r="X251" s="706"/>
      <c r="Y251" s="706"/>
      <c r="Z251" s="727"/>
      <c r="AA251" s="706"/>
      <c r="AB251" s="727"/>
      <c r="AC251" s="706"/>
      <c r="AD251" s="727"/>
      <c r="AE251" s="706"/>
      <c r="AF251" s="727"/>
      <c r="AG251" s="706"/>
      <c r="AH251" s="727"/>
      <c r="AI251" s="706"/>
      <c r="AJ251" s="706"/>
      <c r="AK251" s="727"/>
      <c r="AL251" s="706"/>
      <c r="AM251" s="727"/>
      <c r="AN251" s="706"/>
      <c r="AO251" s="727"/>
      <c r="AP251" s="706"/>
      <c r="AQ251" s="727"/>
      <c r="AR251" s="706"/>
      <c r="AS251" s="727"/>
      <c r="AT251" s="706"/>
      <c r="AU251" s="706"/>
      <c r="AV251" s="727"/>
      <c r="AW251" s="706"/>
      <c r="AX251" s="727"/>
      <c r="AY251" s="706"/>
      <c r="AZ251" s="727"/>
      <c r="BA251" s="706"/>
      <c r="BB251" s="727"/>
      <c r="BC251" s="706"/>
      <c r="BD251" s="727"/>
      <c r="BE251" s="706"/>
    </row>
    <row r="252" spans="1:57" s="48" customFormat="1">
      <c r="A252" s="827"/>
      <c r="B252" s="827"/>
      <c r="C252" s="893"/>
      <c r="D252" s="863"/>
      <c r="E252" s="706"/>
      <c r="F252" s="863"/>
      <c r="G252" s="706"/>
      <c r="H252" s="863"/>
      <c r="I252" s="706"/>
      <c r="J252" s="863"/>
      <c r="K252" s="706"/>
      <c r="L252" s="863"/>
      <c r="M252" s="706"/>
      <c r="N252" s="706"/>
      <c r="O252" s="863"/>
      <c r="P252" s="706"/>
      <c r="Q252" s="863"/>
      <c r="R252" s="706"/>
      <c r="S252" s="863"/>
      <c r="T252" s="706"/>
      <c r="U252" s="863"/>
      <c r="V252" s="706"/>
      <c r="W252" s="863"/>
      <c r="X252" s="706"/>
      <c r="Y252" s="706"/>
      <c r="Z252" s="727"/>
      <c r="AA252" s="706"/>
      <c r="AB252" s="727"/>
      <c r="AC252" s="706"/>
      <c r="AD252" s="727"/>
      <c r="AE252" s="706"/>
      <c r="AF252" s="727"/>
      <c r="AG252" s="706"/>
      <c r="AH252" s="727"/>
      <c r="AI252" s="706"/>
      <c r="AJ252" s="706"/>
      <c r="AK252" s="727"/>
      <c r="AL252" s="706"/>
      <c r="AM252" s="727"/>
      <c r="AN252" s="706"/>
      <c r="AO252" s="727"/>
      <c r="AP252" s="706"/>
      <c r="AQ252" s="727"/>
      <c r="AR252" s="706"/>
      <c r="AS252" s="727"/>
      <c r="AT252" s="706"/>
      <c r="AU252" s="706"/>
      <c r="AV252" s="727"/>
      <c r="AW252" s="706"/>
      <c r="AX252" s="727"/>
      <c r="AY252" s="706"/>
      <c r="AZ252" s="727"/>
      <c r="BA252" s="706"/>
      <c r="BB252" s="727"/>
      <c r="BC252" s="706"/>
      <c r="BD252" s="727"/>
      <c r="BE252" s="706"/>
    </row>
    <row r="253" spans="1:57" s="48" customFormat="1">
      <c r="A253" s="827"/>
      <c r="B253" s="827"/>
      <c r="C253" s="893"/>
      <c r="D253" s="863"/>
      <c r="E253" s="706"/>
      <c r="F253" s="863"/>
      <c r="G253" s="706"/>
      <c r="H253" s="863"/>
      <c r="I253" s="706"/>
      <c r="J253" s="863"/>
      <c r="K253" s="706"/>
      <c r="L253" s="863"/>
      <c r="M253" s="706"/>
      <c r="N253" s="706"/>
      <c r="O253" s="863"/>
      <c r="P253" s="706"/>
      <c r="Q253" s="863"/>
      <c r="R253" s="706"/>
      <c r="S253" s="863"/>
      <c r="T253" s="706"/>
      <c r="U253" s="863"/>
      <c r="V253" s="706"/>
      <c r="W253" s="863"/>
      <c r="X253" s="706"/>
      <c r="Y253" s="706"/>
      <c r="Z253" s="727"/>
      <c r="AA253" s="706"/>
      <c r="AB253" s="727"/>
      <c r="AC253" s="706"/>
      <c r="AD253" s="727"/>
      <c r="AE253" s="706"/>
      <c r="AF253" s="727"/>
      <c r="AG253" s="706"/>
      <c r="AH253" s="727"/>
      <c r="AI253" s="706"/>
      <c r="AJ253" s="706"/>
      <c r="AK253" s="727"/>
      <c r="AL253" s="706"/>
      <c r="AM253" s="727"/>
      <c r="AN253" s="706"/>
      <c r="AO253" s="727"/>
      <c r="AP253" s="706"/>
      <c r="AQ253" s="727"/>
      <c r="AR253" s="706"/>
      <c r="AS253" s="727"/>
      <c r="AT253" s="706"/>
      <c r="AU253" s="706"/>
      <c r="AV253" s="727"/>
      <c r="AW253" s="706"/>
      <c r="AX253" s="727"/>
      <c r="AY253" s="706"/>
      <c r="AZ253" s="727"/>
      <c r="BA253" s="706"/>
      <c r="BB253" s="727"/>
      <c r="BC253" s="706"/>
      <c r="BD253" s="727"/>
      <c r="BE253" s="706"/>
    </row>
    <row r="254" spans="1:57" s="48" customFormat="1">
      <c r="A254" s="827"/>
      <c r="B254" s="827"/>
      <c r="C254" s="893"/>
      <c r="D254" s="863"/>
      <c r="E254" s="706"/>
      <c r="F254" s="863"/>
      <c r="G254" s="706"/>
      <c r="H254" s="863"/>
      <c r="I254" s="706"/>
      <c r="J254" s="863"/>
      <c r="K254" s="706"/>
      <c r="L254" s="863"/>
      <c r="M254" s="706"/>
      <c r="N254" s="706"/>
      <c r="O254" s="863"/>
      <c r="P254" s="706"/>
      <c r="Q254" s="863"/>
      <c r="R254" s="706"/>
      <c r="S254" s="863"/>
      <c r="T254" s="706"/>
      <c r="U254" s="863"/>
      <c r="V254" s="706"/>
      <c r="W254" s="863"/>
      <c r="X254" s="706"/>
      <c r="Y254" s="706"/>
      <c r="Z254" s="727"/>
      <c r="AA254" s="706"/>
      <c r="AB254" s="727"/>
      <c r="AC254" s="706"/>
      <c r="AD254" s="727"/>
      <c r="AE254" s="706"/>
      <c r="AF254" s="727"/>
      <c r="AG254" s="706"/>
      <c r="AH254" s="727"/>
      <c r="AI254" s="706"/>
      <c r="AJ254" s="706"/>
      <c r="AK254" s="727"/>
      <c r="AL254" s="706"/>
      <c r="AM254" s="727"/>
      <c r="AN254" s="706"/>
      <c r="AO254" s="727"/>
      <c r="AP254" s="706"/>
      <c r="AQ254" s="727"/>
      <c r="AR254" s="706"/>
      <c r="AS254" s="727"/>
      <c r="AT254" s="706"/>
      <c r="AU254" s="706"/>
      <c r="AV254" s="727"/>
      <c r="AW254" s="706"/>
      <c r="AX254" s="727"/>
      <c r="AY254" s="706"/>
      <c r="AZ254" s="727"/>
      <c r="BA254" s="706"/>
      <c r="BB254" s="727"/>
      <c r="BC254" s="706"/>
      <c r="BD254" s="727"/>
      <c r="BE254" s="706"/>
    </row>
    <row r="255" spans="1:57" s="48" customFormat="1">
      <c r="A255" s="827"/>
      <c r="B255" s="827"/>
      <c r="C255" s="893"/>
      <c r="D255" s="863"/>
      <c r="E255" s="706"/>
      <c r="F255" s="863"/>
      <c r="G255" s="706"/>
      <c r="H255" s="863"/>
      <c r="I255" s="706"/>
      <c r="J255" s="863"/>
      <c r="K255" s="706"/>
      <c r="L255" s="863"/>
      <c r="M255" s="706"/>
      <c r="N255" s="706"/>
      <c r="O255" s="863"/>
      <c r="P255" s="706"/>
      <c r="Q255" s="863"/>
      <c r="R255" s="706"/>
      <c r="S255" s="863"/>
      <c r="T255" s="706"/>
      <c r="U255" s="863"/>
      <c r="V255" s="706"/>
      <c r="W255" s="863"/>
      <c r="X255" s="706"/>
      <c r="Y255" s="706"/>
      <c r="Z255" s="727"/>
      <c r="AA255" s="706"/>
      <c r="AB255" s="727"/>
      <c r="AC255" s="706"/>
      <c r="AD255" s="727"/>
      <c r="AE255" s="706"/>
      <c r="AF255" s="727"/>
      <c r="AG255" s="706"/>
      <c r="AH255" s="727"/>
      <c r="AI255" s="706"/>
      <c r="AJ255" s="706"/>
      <c r="AK255" s="727"/>
      <c r="AL255" s="706"/>
      <c r="AM255" s="727"/>
      <c r="AN255" s="706"/>
      <c r="AO255" s="727"/>
      <c r="AP255" s="706"/>
      <c r="AQ255" s="727"/>
      <c r="AR255" s="706"/>
      <c r="AS255" s="727"/>
      <c r="AT255" s="706"/>
      <c r="AU255" s="706"/>
      <c r="AV255" s="727"/>
      <c r="AW255" s="706"/>
      <c r="AX255" s="727"/>
      <c r="AY255" s="706"/>
      <c r="AZ255" s="727"/>
      <c r="BA255" s="706"/>
      <c r="BB255" s="727"/>
      <c r="BC255" s="706"/>
      <c r="BD255" s="727"/>
      <c r="BE255" s="706"/>
    </row>
    <row r="256" spans="1:57" s="48" customFormat="1">
      <c r="A256" s="827"/>
      <c r="B256" s="827"/>
      <c r="C256" s="893"/>
      <c r="D256" s="863"/>
      <c r="E256" s="706"/>
      <c r="F256" s="863"/>
      <c r="G256" s="706"/>
      <c r="H256" s="863"/>
      <c r="I256" s="706"/>
      <c r="J256" s="863"/>
      <c r="K256" s="706"/>
      <c r="L256" s="863"/>
      <c r="M256" s="706"/>
      <c r="N256" s="706"/>
      <c r="O256" s="863"/>
      <c r="P256" s="706"/>
      <c r="Q256" s="863"/>
      <c r="R256" s="706"/>
      <c r="S256" s="863"/>
      <c r="T256" s="706"/>
      <c r="U256" s="863"/>
      <c r="V256" s="706"/>
      <c r="W256" s="863"/>
      <c r="X256" s="706"/>
      <c r="Y256" s="706"/>
      <c r="Z256" s="727"/>
      <c r="AA256" s="706"/>
      <c r="AB256" s="727"/>
      <c r="AC256" s="706"/>
      <c r="AD256" s="727"/>
      <c r="AE256" s="706"/>
      <c r="AF256" s="727"/>
      <c r="AG256" s="706"/>
      <c r="AH256" s="727"/>
      <c r="AI256" s="706"/>
      <c r="AJ256" s="706"/>
      <c r="AK256" s="727"/>
      <c r="AL256" s="706"/>
      <c r="AM256" s="727"/>
      <c r="AN256" s="706"/>
      <c r="AO256" s="727"/>
      <c r="AP256" s="706"/>
      <c r="AQ256" s="727"/>
      <c r="AR256" s="706"/>
      <c r="AS256" s="727"/>
      <c r="AT256" s="706"/>
      <c r="AU256" s="706"/>
      <c r="AV256" s="727"/>
      <c r="AW256" s="706"/>
      <c r="AX256" s="727"/>
      <c r="AY256" s="706"/>
      <c r="AZ256" s="727"/>
      <c r="BA256" s="706"/>
      <c r="BB256" s="727"/>
      <c r="BC256" s="706"/>
      <c r="BD256" s="727"/>
      <c r="BE256" s="706"/>
    </row>
    <row r="257" spans="1:57" s="48" customFormat="1">
      <c r="A257" s="827"/>
      <c r="B257" s="827"/>
      <c r="C257" s="893"/>
      <c r="D257" s="863"/>
      <c r="E257" s="706"/>
      <c r="F257" s="863"/>
      <c r="G257" s="706"/>
      <c r="H257" s="863"/>
      <c r="I257" s="706"/>
      <c r="J257" s="863"/>
      <c r="K257" s="706"/>
      <c r="L257" s="863"/>
      <c r="M257" s="706"/>
      <c r="N257" s="706"/>
      <c r="O257" s="863"/>
      <c r="P257" s="706"/>
      <c r="Q257" s="863"/>
      <c r="R257" s="706"/>
      <c r="S257" s="863"/>
      <c r="T257" s="706"/>
      <c r="U257" s="863"/>
      <c r="V257" s="706"/>
      <c r="W257" s="863"/>
      <c r="X257" s="706"/>
      <c r="Y257" s="706"/>
      <c r="Z257" s="727"/>
      <c r="AA257" s="706"/>
      <c r="AB257" s="727"/>
      <c r="AC257" s="706"/>
      <c r="AD257" s="727"/>
      <c r="AE257" s="706"/>
      <c r="AF257" s="727"/>
      <c r="AG257" s="706"/>
      <c r="AH257" s="727"/>
      <c r="AI257" s="706"/>
      <c r="AJ257" s="706"/>
      <c r="AK257" s="727"/>
      <c r="AL257" s="706"/>
      <c r="AM257" s="727"/>
      <c r="AN257" s="706"/>
      <c r="AO257" s="727"/>
      <c r="AP257" s="706"/>
      <c r="AQ257" s="727"/>
      <c r="AR257" s="706"/>
      <c r="AS257" s="727"/>
      <c r="AT257" s="706"/>
      <c r="AU257" s="706"/>
      <c r="AV257" s="727"/>
      <c r="AW257" s="706"/>
      <c r="AX257" s="727"/>
      <c r="AY257" s="706"/>
      <c r="AZ257" s="727"/>
      <c r="BA257" s="706"/>
      <c r="BB257" s="727"/>
      <c r="BC257" s="706"/>
      <c r="BD257" s="727"/>
      <c r="BE257" s="706"/>
    </row>
    <row r="258" spans="1:57" s="48" customFormat="1">
      <c r="A258" s="827"/>
      <c r="B258" s="827"/>
      <c r="C258" s="893"/>
      <c r="D258" s="863"/>
      <c r="E258" s="706"/>
      <c r="F258" s="863"/>
      <c r="G258" s="706"/>
      <c r="H258" s="863"/>
      <c r="I258" s="706"/>
      <c r="J258" s="863"/>
      <c r="K258" s="706"/>
      <c r="L258" s="863"/>
      <c r="M258" s="706"/>
      <c r="N258" s="706"/>
      <c r="O258" s="863"/>
      <c r="P258" s="706"/>
      <c r="Q258" s="863"/>
      <c r="R258" s="706"/>
      <c r="S258" s="863"/>
      <c r="T258" s="706"/>
      <c r="U258" s="863"/>
      <c r="V258" s="706"/>
      <c r="W258" s="863"/>
      <c r="X258" s="706"/>
      <c r="Y258" s="706"/>
      <c r="Z258" s="727"/>
      <c r="AA258" s="706"/>
      <c r="AB258" s="727"/>
      <c r="AC258" s="706"/>
      <c r="AD258" s="727"/>
      <c r="AE258" s="706"/>
      <c r="AF258" s="727"/>
      <c r="AG258" s="706"/>
      <c r="AH258" s="727"/>
      <c r="AI258" s="706"/>
      <c r="AJ258" s="706"/>
      <c r="AK258" s="727"/>
      <c r="AL258" s="706"/>
      <c r="AM258" s="727"/>
      <c r="AN258" s="706"/>
      <c r="AO258" s="727"/>
      <c r="AP258" s="706"/>
      <c r="AQ258" s="727"/>
      <c r="AR258" s="706"/>
      <c r="AS258" s="727"/>
      <c r="AT258" s="706"/>
      <c r="AU258" s="706"/>
      <c r="AV258" s="727"/>
      <c r="AW258" s="706"/>
      <c r="AX258" s="727"/>
      <c r="AY258" s="706"/>
      <c r="AZ258" s="727"/>
      <c r="BA258" s="706"/>
      <c r="BB258" s="727"/>
      <c r="BC258" s="706"/>
      <c r="BD258" s="727"/>
      <c r="BE258" s="706"/>
    </row>
    <row r="259" spans="1:57" s="48" customFormat="1">
      <c r="A259" s="827"/>
      <c r="B259" s="827"/>
      <c r="C259" s="893"/>
      <c r="D259" s="863"/>
      <c r="E259" s="706"/>
      <c r="F259" s="863"/>
      <c r="G259" s="706"/>
      <c r="H259" s="863"/>
      <c r="I259" s="706"/>
      <c r="J259" s="863"/>
      <c r="K259" s="706"/>
      <c r="L259" s="863"/>
      <c r="M259" s="706"/>
      <c r="N259" s="706"/>
      <c r="O259" s="863"/>
      <c r="P259" s="706"/>
      <c r="Q259" s="863"/>
      <c r="R259" s="706"/>
      <c r="S259" s="863"/>
      <c r="T259" s="706"/>
      <c r="U259" s="863"/>
      <c r="V259" s="706"/>
      <c r="W259" s="863"/>
      <c r="X259" s="706"/>
      <c r="Y259" s="706"/>
      <c r="Z259" s="727"/>
      <c r="AA259" s="706"/>
      <c r="AB259" s="727"/>
      <c r="AC259" s="706"/>
      <c r="AD259" s="727"/>
      <c r="AE259" s="706"/>
      <c r="AF259" s="727"/>
      <c r="AG259" s="706"/>
      <c r="AH259" s="727"/>
      <c r="AI259" s="706"/>
      <c r="AJ259" s="706"/>
      <c r="AK259" s="727"/>
      <c r="AL259" s="706"/>
      <c r="AM259" s="727"/>
      <c r="AN259" s="706"/>
      <c r="AO259" s="727"/>
      <c r="AP259" s="706"/>
      <c r="AQ259" s="727"/>
      <c r="AR259" s="706"/>
      <c r="AS259" s="727"/>
      <c r="AT259" s="706"/>
      <c r="AU259" s="706"/>
      <c r="AV259" s="727"/>
      <c r="AW259" s="706"/>
      <c r="AX259" s="727"/>
      <c r="AY259" s="706"/>
      <c r="AZ259" s="727"/>
      <c r="BA259" s="706"/>
      <c r="BB259" s="727"/>
      <c r="BC259" s="706"/>
      <c r="BD259" s="727"/>
      <c r="BE259" s="706"/>
    </row>
    <row r="260" spans="1:57" s="48" customFormat="1">
      <c r="A260" s="827"/>
      <c r="B260" s="827"/>
      <c r="C260" s="893"/>
      <c r="D260" s="863"/>
      <c r="E260" s="706"/>
      <c r="F260" s="863"/>
      <c r="G260" s="706"/>
      <c r="H260" s="863"/>
      <c r="I260" s="706"/>
      <c r="J260" s="863"/>
      <c r="K260" s="706"/>
      <c r="L260" s="863"/>
      <c r="M260" s="706"/>
      <c r="N260" s="706"/>
      <c r="O260" s="863"/>
      <c r="P260" s="706"/>
      <c r="Q260" s="863"/>
      <c r="R260" s="706"/>
      <c r="S260" s="863"/>
      <c r="T260" s="706"/>
      <c r="U260" s="863"/>
      <c r="V260" s="706"/>
      <c r="W260" s="863"/>
      <c r="X260" s="706"/>
      <c r="Y260" s="706"/>
      <c r="Z260" s="727"/>
      <c r="AA260" s="706"/>
      <c r="AB260" s="727"/>
      <c r="AC260" s="706"/>
      <c r="AD260" s="727"/>
      <c r="AE260" s="706"/>
      <c r="AF260" s="727"/>
      <c r="AG260" s="706"/>
      <c r="AH260" s="727"/>
      <c r="AI260" s="706"/>
      <c r="AJ260" s="706"/>
      <c r="AK260" s="727"/>
      <c r="AL260" s="706"/>
      <c r="AM260" s="727"/>
      <c r="AN260" s="706"/>
      <c r="AO260" s="727"/>
      <c r="AP260" s="706"/>
      <c r="AQ260" s="727"/>
      <c r="AR260" s="706"/>
      <c r="AS260" s="727"/>
      <c r="AT260" s="706"/>
      <c r="AU260" s="706"/>
      <c r="AV260" s="727"/>
      <c r="AW260" s="706"/>
      <c r="AX260" s="727"/>
      <c r="AY260" s="706"/>
      <c r="AZ260" s="727"/>
      <c r="BA260" s="706"/>
      <c r="BB260" s="727"/>
      <c r="BC260" s="706"/>
      <c r="BD260" s="727"/>
      <c r="BE260" s="706"/>
    </row>
    <row r="261" spans="1:57" s="48" customFormat="1">
      <c r="A261" s="827"/>
      <c r="B261" s="827"/>
      <c r="C261" s="893"/>
      <c r="D261" s="863"/>
      <c r="E261" s="706"/>
      <c r="F261" s="863"/>
      <c r="G261" s="706"/>
      <c r="H261" s="863"/>
      <c r="I261" s="706"/>
      <c r="J261" s="863"/>
      <c r="K261" s="706"/>
      <c r="L261" s="863"/>
      <c r="M261" s="706"/>
      <c r="N261" s="706"/>
      <c r="O261" s="863"/>
      <c r="P261" s="706"/>
      <c r="Q261" s="863"/>
      <c r="R261" s="706"/>
      <c r="S261" s="863"/>
      <c r="T261" s="706"/>
      <c r="U261" s="863"/>
      <c r="V261" s="706"/>
      <c r="W261" s="863"/>
      <c r="X261" s="706"/>
      <c r="Y261" s="706"/>
      <c r="Z261" s="727"/>
      <c r="AA261" s="706"/>
      <c r="AB261" s="727"/>
      <c r="AC261" s="706"/>
      <c r="AD261" s="727"/>
      <c r="AE261" s="706"/>
      <c r="AF261" s="727"/>
      <c r="AG261" s="706"/>
      <c r="AH261" s="727"/>
      <c r="AI261" s="706"/>
      <c r="AJ261" s="706"/>
      <c r="AK261" s="727"/>
      <c r="AL261" s="706"/>
      <c r="AM261" s="727"/>
      <c r="AN261" s="706"/>
      <c r="AO261" s="727"/>
      <c r="AP261" s="706"/>
      <c r="AQ261" s="727"/>
      <c r="AR261" s="706"/>
      <c r="AS261" s="727"/>
      <c r="AT261" s="706"/>
      <c r="AU261" s="706"/>
      <c r="AV261" s="727"/>
      <c r="AW261" s="706"/>
      <c r="AX261" s="727"/>
      <c r="AY261" s="706"/>
      <c r="AZ261" s="727"/>
      <c r="BA261" s="706"/>
      <c r="BB261" s="727"/>
      <c r="BC261" s="706"/>
      <c r="BD261" s="727"/>
      <c r="BE261" s="706"/>
    </row>
    <row r="262" spans="1:57" s="48" customFormat="1">
      <c r="A262" s="827"/>
      <c r="B262" s="827"/>
      <c r="C262" s="893"/>
      <c r="D262" s="863"/>
      <c r="E262" s="706"/>
      <c r="F262" s="863"/>
      <c r="G262" s="706"/>
      <c r="H262" s="863"/>
      <c r="I262" s="706"/>
      <c r="J262" s="863"/>
      <c r="K262" s="706"/>
      <c r="L262" s="863"/>
      <c r="M262" s="706"/>
      <c r="N262" s="706"/>
      <c r="O262" s="863"/>
      <c r="P262" s="706"/>
      <c r="Q262" s="863"/>
      <c r="R262" s="706"/>
      <c r="S262" s="863"/>
      <c r="T262" s="706"/>
      <c r="U262" s="863"/>
      <c r="V262" s="706"/>
      <c r="W262" s="863"/>
      <c r="X262" s="706"/>
      <c r="Y262" s="706"/>
      <c r="Z262" s="727"/>
      <c r="AA262" s="706"/>
      <c r="AB262" s="727"/>
      <c r="AC262" s="706"/>
      <c r="AD262" s="727"/>
      <c r="AE262" s="706"/>
      <c r="AF262" s="727"/>
      <c r="AG262" s="706"/>
      <c r="AH262" s="727"/>
      <c r="AI262" s="706"/>
      <c r="AJ262" s="706"/>
      <c r="AK262" s="727"/>
      <c r="AL262" s="706"/>
      <c r="AM262" s="727"/>
      <c r="AN262" s="706"/>
      <c r="AO262" s="727"/>
      <c r="AP262" s="706"/>
      <c r="AQ262" s="727"/>
      <c r="AR262" s="706"/>
      <c r="AS262" s="727"/>
      <c r="AT262" s="706"/>
      <c r="AU262" s="706"/>
      <c r="AV262" s="727"/>
      <c r="AW262" s="706"/>
      <c r="AX262" s="727"/>
      <c r="AY262" s="706"/>
      <c r="AZ262" s="727"/>
      <c r="BA262" s="706"/>
      <c r="BB262" s="727"/>
      <c r="BC262" s="706"/>
      <c r="BD262" s="727"/>
      <c r="BE262" s="706"/>
    </row>
    <row r="263" spans="1:57" s="48" customFormat="1">
      <c r="A263" s="827"/>
      <c r="B263" s="827"/>
      <c r="C263" s="893"/>
      <c r="D263" s="863"/>
      <c r="E263" s="706"/>
      <c r="F263" s="863"/>
      <c r="G263" s="706"/>
      <c r="H263" s="863"/>
      <c r="I263" s="706"/>
      <c r="J263" s="863"/>
      <c r="K263" s="706"/>
      <c r="L263" s="863"/>
      <c r="M263" s="706"/>
      <c r="N263" s="706"/>
      <c r="O263" s="863"/>
      <c r="P263" s="706"/>
      <c r="Q263" s="863"/>
      <c r="R263" s="706"/>
      <c r="S263" s="863"/>
      <c r="T263" s="706"/>
      <c r="U263" s="863"/>
      <c r="V263" s="706"/>
      <c r="W263" s="863"/>
      <c r="X263" s="706"/>
      <c r="Y263" s="706"/>
      <c r="Z263" s="727"/>
      <c r="AA263" s="706"/>
      <c r="AB263" s="727"/>
      <c r="AC263" s="706"/>
      <c r="AD263" s="727"/>
      <c r="AE263" s="706"/>
      <c r="AF263" s="727"/>
      <c r="AG263" s="706"/>
      <c r="AH263" s="727"/>
      <c r="AI263" s="706"/>
      <c r="AJ263" s="706"/>
      <c r="AK263" s="727"/>
      <c r="AL263" s="706"/>
      <c r="AM263" s="727"/>
      <c r="AN263" s="706"/>
      <c r="AO263" s="727"/>
      <c r="AP263" s="706"/>
      <c r="AQ263" s="727"/>
      <c r="AR263" s="706"/>
      <c r="AS263" s="727"/>
      <c r="AT263" s="706"/>
      <c r="AU263" s="706"/>
      <c r="AV263" s="727"/>
      <c r="AW263" s="706"/>
      <c r="AX263" s="727"/>
      <c r="AY263" s="706"/>
      <c r="AZ263" s="727"/>
      <c r="BA263" s="706"/>
      <c r="BB263" s="727"/>
      <c r="BC263" s="706"/>
      <c r="BD263" s="727"/>
      <c r="BE263" s="706"/>
    </row>
    <row r="264" spans="1:57" s="48" customFormat="1">
      <c r="A264" s="827"/>
      <c r="B264" s="827"/>
      <c r="C264" s="893"/>
      <c r="D264" s="863"/>
      <c r="E264" s="706"/>
      <c r="F264" s="863"/>
      <c r="G264" s="706"/>
      <c r="H264" s="863"/>
      <c r="I264" s="706"/>
      <c r="J264" s="863"/>
      <c r="K264" s="706"/>
      <c r="L264" s="863"/>
      <c r="M264" s="706"/>
      <c r="N264" s="706"/>
      <c r="O264" s="863"/>
      <c r="P264" s="706"/>
      <c r="Q264" s="863"/>
      <c r="R264" s="706"/>
      <c r="S264" s="863"/>
      <c r="T264" s="706"/>
      <c r="U264" s="863"/>
      <c r="V264" s="706"/>
      <c r="W264" s="863"/>
      <c r="X264" s="706"/>
      <c r="Y264" s="706"/>
      <c r="Z264" s="727"/>
      <c r="AA264" s="706"/>
      <c r="AB264" s="727"/>
      <c r="AC264" s="706"/>
      <c r="AD264" s="727"/>
      <c r="AE264" s="706"/>
      <c r="AF264" s="727"/>
      <c r="AG264" s="706"/>
      <c r="AH264" s="727"/>
      <c r="AI264" s="706"/>
      <c r="AJ264" s="706"/>
      <c r="AK264" s="727"/>
      <c r="AL264" s="706"/>
      <c r="AM264" s="727"/>
      <c r="AN264" s="706"/>
      <c r="AO264" s="727"/>
      <c r="AP264" s="706"/>
      <c r="AQ264" s="727"/>
      <c r="AR264" s="706"/>
      <c r="AS264" s="727"/>
      <c r="AT264" s="706"/>
      <c r="AU264" s="706"/>
      <c r="AV264" s="727"/>
      <c r="AW264" s="706"/>
      <c r="AX264" s="727"/>
      <c r="AY264" s="706"/>
      <c r="AZ264" s="727"/>
      <c r="BA264" s="706"/>
      <c r="BB264" s="727"/>
      <c r="BC264" s="706"/>
      <c r="BD264" s="727"/>
      <c r="BE264" s="706"/>
    </row>
    <row r="265" spans="1:57" s="48" customFormat="1">
      <c r="A265" s="827"/>
      <c r="B265" s="827"/>
      <c r="C265" s="893"/>
      <c r="D265" s="863"/>
      <c r="E265" s="706"/>
      <c r="F265" s="863"/>
      <c r="G265" s="706"/>
      <c r="H265" s="863"/>
      <c r="I265" s="706"/>
      <c r="J265" s="863"/>
      <c r="K265" s="706"/>
      <c r="L265" s="863"/>
      <c r="M265" s="706"/>
      <c r="N265" s="706"/>
      <c r="O265" s="863"/>
      <c r="P265" s="706"/>
      <c r="Q265" s="863"/>
      <c r="R265" s="706"/>
      <c r="S265" s="863"/>
      <c r="T265" s="706"/>
      <c r="U265" s="863"/>
      <c r="V265" s="706"/>
      <c r="W265" s="863"/>
      <c r="X265" s="706"/>
      <c r="Y265" s="706"/>
      <c r="Z265" s="727"/>
      <c r="AA265" s="706"/>
      <c r="AB265" s="727"/>
      <c r="AC265" s="706"/>
      <c r="AD265" s="727"/>
      <c r="AE265" s="706"/>
      <c r="AF265" s="727"/>
      <c r="AG265" s="706"/>
      <c r="AH265" s="727"/>
      <c r="AI265" s="706"/>
      <c r="AJ265" s="706"/>
      <c r="AK265" s="727"/>
      <c r="AL265" s="706"/>
      <c r="AM265" s="727"/>
      <c r="AN265" s="706"/>
      <c r="AO265" s="727"/>
      <c r="AP265" s="706"/>
      <c r="AQ265" s="727"/>
      <c r="AR265" s="706"/>
      <c r="AS265" s="727"/>
      <c r="AT265" s="706"/>
      <c r="AU265" s="706"/>
      <c r="AV265" s="727"/>
      <c r="AW265" s="706"/>
      <c r="AX265" s="727"/>
      <c r="AY265" s="706"/>
      <c r="AZ265" s="727"/>
      <c r="BA265" s="706"/>
      <c r="BB265" s="727"/>
      <c r="BC265" s="706"/>
      <c r="BD265" s="727"/>
      <c r="BE265" s="706"/>
    </row>
    <row r="266" spans="1:57" s="48" customFormat="1">
      <c r="A266" s="827"/>
      <c r="B266" s="827"/>
      <c r="C266" s="893"/>
      <c r="D266" s="863"/>
      <c r="E266" s="706"/>
      <c r="F266" s="863"/>
      <c r="G266" s="706"/>
      <c r="H266" s="863"/>
      <c r="I266" s="706"/>
      <c r="J266" s="863"/>
      <c r="K266" s="706"/>
      <c r="L266" s="863"/>
      <c r="M266" s="706"/>
      <c r="N266" s="706"/>
      <c r="O266" s="863"/>
      <c r="P266" s="706"/>
      <c r="Q266" s="863"/>
      <c r="R266" s="706"/>
      <c r="S266" s="863"/>
      <c r="T266" s="706"/>
      <c r="U266" s="863"/>
      <c r="V266" s="706"/>
      <c r="W266" s="863"/>
      <c r="X266" s="706"/>
      <c r="Y266" s="706"/>
      <c r="Z266" s="727"/>
      <c r="AA266" s="706"/>
      <c r="AB266" s="727"/>
      <c r="AC266" s="706"/>
      <c r="AD266" s="727"/>
      <c r="AE266" s="706"/>
      <c r="AF266" s="727"/>
      <c r="AG266" s="706"/>
      <c r="AH266" s="727"/>
      <c r="AI266" s="706"/>
      <c r="AJ266" s="706"/>
      <c r="AK266" s="727"/>
      <c r="AL266" s="706"/>
      <c r="AM266" s="727"/>
      <c r="AN266" s="706"/>
      <c r="AO266" s="727"/>
      <c r="AP266" s="706"/>
      <c r="AQ266" s="727"/>
      <c r="AR266" s="706"/>
      <c r="AS266" s="727"/>
      <c r="AT266" s="706"/>
      <c r="AU266" s="706"/>
      <c r="AV266" s="727"/>
      <c r="AW266" s="706"/>
      <c r="AX266" s="727"/>
      <c r="AY266" s="706"/>
      <c r="AZ266" s="727"/>
      <c r="BA266" s="706"/>
      <c r="BB266" s="727"/>
      <c r="BC266" s="706"/>
      <c r="BD266" s="727"/>
      <c r="BE266" s="706"/>
    </row>
    <row r="267" spans="1:57" s="48" customFormat="1">
      <c r="A267" s="827"/>
      <c r="B267" s="827"/>
      <c r="C267" s="893"/>
      <c r="D267" s="863"/>
      <c r="E267" s="706"/>
      <c r="F267" s="863"/>
      <c r="G267" s="706"/>
      <c r="H267" s="863"/>
      <c r="I267" s="706"/>
      <c r="J267" s="863"/>
      <c r="K267" s="706"/>
      <c r="L267" s="863"/>
      <c r="M267" s="706"/>
      <c r="N267" s="706"/>
      <c r="O267" s="863"/>
      <c r="P267" s="706"/>
      <c r="Q267" s="863"/>
      <c r="R267" s="706"/>
      <c r="S267" s="863"/>
      <c r="T267" s="706"/>
      <c r="U267" s="863"/>
      <c r="V267" s="706"/>
      <c r="W267" s="863"/>
      <c r="X267" s="706"/>
      <c r="Y267" s="706"/>
      <c r="Z267" s="727"/>
      <c r="AA267" s="706"/>
      <c r="AB267" s="727"/>
      <c r="AC267" s="706"/>
      <c r="AD267" s="727"/>
      <c r="AE267" s="706"/>
      <c r="AF267" s="727"/>
      <c r="AG267" s="706"/>
      <c r="AH267" s="727"/>
      <c r="AI267" s="706"/>
      <c r="AJ267" s="706"/>
      <c r="AK267" s="727"/>
      <c r="AL267" s="706"/>
      <c r="AM267" s="727"/>
      <c r="AN267" s="706"/>
      <c r="AO267" s="727"/>
      <c r="AP267" s="706"/>
      <c r="AQ267" s="727"/>
      <c r="AR267" s="706"/>
      <c r="AS267" s="727"/>
      <c r="AT267" s="706"/>
      <c r="AU267" s="706"/>
      <c r="AV267" s="727"/>
      <c r="AW267" s="706"/>
      <c r="AX267" s="727"/>
      <c r="AY267" s="706"/>
      <c r="AZ267" s="727"/>
      <c r="BA267" s="706"/>
      <c r="BB267" s="727"/>
      <c r="BC267" s="706"/>
      <c r="BD267" s="727"/>
      <c r="BE267" s="706"/>
    </row>
    <row r="268" spans="1:57" s="48" customFormat="1">
      <c r="A268" s="827"/>
      <c r="B268" s="827"/>
      <c r="C268" s="893"/>
      <c r="D268" s="863"/>
      <c r="E268" s="706"/>
      <c r="F268" s="863"/>
      <c r="G268" s="706"/>
      <c r="H268" s="863"/>
      <c r="I268" s="706"/>
      <c r="J268" s="863"/>
      <c r="K268" s="706"/>
      <c r="L268" s="863"/>
      <c r="M268" s="706"/>
      <c r="N268" s="706"/>
      <c r="O268" s="863"/>
      <c r="P268" s="706"/>
      <c r="Q268" s="863"/>
      <c r="R268" s="706"/>
      <c r="S268" s="863"/>
      <c r="T268" s="706"/>
      <c r="U268" s="863"/>
      <c r="V268" s="706"/>
      <c r="W268" s="863"/>
      <c r="X268" s="706"/>
      <c r="Y268" s="706"/>
      <c r="Z268" s="727"/>
      <c r="AA268" s="706"/>
      <c r="AB268" s="727"/>
      <c r="AC268" s="706"/>
      <c r="AD268" s="727"/>
      <c r="AE268" s="706"/>
      <c r="AF268" s="727"/>
      <c r="AG268" s="706"/>
      <c r="AH268" s="727"/>
      <c r="AI268" s="706"/>
      <c r="AJ268" s="706"/>
      <c r="AK268" s="727"/>
      <c r="AL268" s="706"/>
      <c r="AM268" s="727"/>
      <c r="AN268" s="706"/>
      <c r="AO268" s="727"/>
      <c r="AP268" s="706"/>
      <c r="AQ268" s="727"/>
      <c r="AR268" s="706"/>
      <c r="AS268" s="727"/>
      <c r="AT268" s="706"/>
      <c r="AU268" s="706"/>
      <c r="AV268" s="727"/>
      <c r="AW268" s="706"/>
      <c r="AX268" s="727"/>
      <c r="AY268" s="706"/>
      <c r="AZ268" s="727"/>
      <c r="BA268" s="706"/>
      <c r="BB268" s="727"/>
      <c r="BC268" s="706"/>
      <c r="BD268" s="727"/>
      <c r="BE268" s="706"/>
    </row>
    <row r="269" spans="1:57" s="48" customFormat="1">
      <c r="A269" s="827"/>
      <c r="B269" s="827"/>
      <c r="C269" s="893"/>
      <c r="D269" s="863"/>
      <c r="E269" s="706"/>
      <c r="F269" s="863"/>
      <c r="G269" s="706"/>
      <c r="H269" s="863"/>
      <c r="I269" s="706"/>
      <c r="J269" s="863"/>
      <c r="K269" s="706"/>
      <c r="L269" s="863"/>
      <c r="M269" s="706"/>
      <c r="N269" s="706"/>
      <c r="O269" s="863"/>
      <c r="P269" s="706"/>
      <c r="Q269" s="863"/>
      <c r="R269" s="706"/>
      <c r="S269" s="863"/>
      <c r="T269" s="706"/>
      <c r="U269" s="863"/>
      <c r="V269" s="706"/>
      <c r="W269" s="863"/>
      <c r="X269" s="706"/>
      <c r="Y269" s="706"/>
      <c r="Z269" s="727"/>
      <c r="AA269" s="706"/>
      <c r="AB269" s="727"/>
      <c r="AC269" s="706"/>
      <c r="AD269" s="727"/>
      <c r="AE269" s="706"/>
      <c r="AF269" s="727"/>
      <c r="AG269" s="706"/>
      <c r="AH269" s="727"/>
      <c r="AI269" s="706"/>
      <c r="AJ269" s="706"/>
      <c r="AK269" s="727"/>
      <c r="AL269" s="706"/>
      <c r="AM269" s="727"/>
      <c r="AN269" s="706"/>
      <c r="AO269" s="727"/>
      <c r="AP269" s="706"/>
      <c r="AQ269" s="727"/>
      <c r="AR269" s="706"/>
      <c r="AS269" s="727"/>
      <c r="AT269" s="706"/>
      <c r="AU269" s="706"/>
      <c r="AV269" s="727"/>
      <c r="AW269" s="706"/>
      <c r="AX269" s="727"/>
      <c r="AY269" s="706"/>
      <c r="AZ269" s="727"/>
      <c r="BA269" s="706"/>
      <c r="BB269" s="727"/>
      <c r="BC269" s="706"/>
      <c r="BD269" s="727"/>
      <c r="BE269" s="706"/>
    </row>
    <row r="270" spans="1:57" s="48" customFormat="1">
      <c r="A270" s="827"/>
      <c r="B270" s="827"/>
      <c r="C270" s="893"/>
      <c r="D270" s="863"/>
      <c r="E270" s="706"/>
      <c r="F270" s="863"/>
      <c r="G270" s="706"/>
      <c r="H270" s="863"/>
      <c r="I270" s="706"/>
      <c r="J270" s="863"/>
      <c r="K270" s="706"/>
      <c r="L270" s="863"/>
      <c r="M270" s="706"/>
      <c r="N270" s="706"/>
      <c r="O270" s="863"/>
      <c r="P270" s="706"/>
      <c r="Q270" s="863"/>
      <c r="R270" s="706"/>
      <c r="S270" s="863"/>
      <c r="T270" s="706"/>
      <c r="U270" s="863"/>
      <c r="V270" s="706"/>
      <c r="W270" s="863"/>
      <c r="X270" s="706"/>
      <c r="Y270" s="706"/>
      <c r="Z270" s="727"/>
      <c r="AA270" s="706"/>
      <c r="AB270" s="727"/>
      <c r="AC270" s="706"/>
      <c r="AD270" s="727"/>
      <c r="AE270" s="706"/>
      <c r="AF270" s="727"/>
      <c r="AG270" s="706"/>
      <c r="AH270" s="727"/>
      <c r="AI270" s="706"/>
      <c r="AJ270" s="706"/>
      <c r="AK270" s="727"/>
      <c r="AL270" s="706"/>
      <c r="AM270" s="727"/>
      <c r="AN270" s="706"/>
      <c r="AO270" s="727"/>
      <c r="AP270" s="706"/>
      <c r="AQ270" s="727"/>
      <c r="AR270" s="706"/>
      <c r="AS270" s="727"/>
      <c r="AT270" s="706"/>
      <c r="AU270" s="706"/>
      <c r="AV270" s="727"/>
      <c r="AW270" s="706"/>
      <c r="AX270" s="727"/>
      <c r="AY270" s="706"/>
      <c r="AZ270" s="727"/>
      <c r="BA270" s="706"/>
      <c r="BB270" s="727"/>
      <c r="BC270" s="706"/>
      <c r="BD270" s="727"/>
      <c r="BE270" s="706"/>
    </row>
    <row r="271" spans="1:57" s="48" customFormat="1">
      <c r="A271" s="827"/>
      <c r="B271" s="827"/>
      <c r="C271" s="893"/>
      <c r="D271" s="863"/>
      <c r="E271" s="706"/>
      <c r="F271" s="863"/>
      <c r="G271" s="706"/>
      <c r="H271" s="863"/>
      <c r="I271" s="706"/>
      <c r="J271" s="863"/>
      <c r="K271" s="706"/>
      <c r="L271" s="863"/>
      <c r="M271" s="706"/>
      <c r="N271" s="706"/>
      <c r="O271" s="863"/>
      <c r="P271" s="706"/>
      <c r="Q271" s="863"/>
      <c r="R271" s="706"/>
      <c r="S271" s="863"/>
      <c r="T271" s="706"/>
      <c r="U271" s="863"/>
      <c r="V271" s="706"/>
      <c r="W271" s="863"/>
      <c r="X271" s="706"/>
      <c r="Y271" s="706"/>
      <c r="Z271" s="727"/>
      <c r="AA271" s="706"/>
      <c r="AB271" s="727"/>
      <c r="AC271" s="706"/>
      <c r="AD271" s="727"/>
      <c r="AE271" s="706"/>
      <c r="AF271" s="727"/>
      <c r="AG271" s="706"/>
      <c r="AH271" s="727"/>
      <c r="AI271" s="706"/>
      <c r="AJ271" s="706"/>
      <c r="AK271" s="727"/>
      <c r="AL271" s="706"/>
      <c r="AM271" s="727"/>
      <c r="AN271" s="706"/>
      <c r="AO271" s="727"/>
      <c r="AP271" s="706"/>
      <c r="AQ271" s="727"/>
      <c r="AR271" s="706"/>
      <c r="AS271" s="727"/>
      <c r="AT271" s="706"/>
      <c r="AU271" s="706"/>
      <c r="AV271" s="727"/>
      <c r="AW271" s="706"/>
      <c r="AX271" s="727"/>
      <c r="AY271" s="706"/>
      <c r="AZ271" s="727"/>
      <c r="BA271" s="706"/>
      <c r="BB271" s="727"/>
      <c r="BC271" s="706"/>
      <c r="BD271" s="727"/>
      <c r="BE271" s="706"/>
    </row>
    <row r="272" spans="1:57" s="48" customFormat="1">
      <c r="A272" s="827"/>
      <c r="B272" s="827"/>
      <c r="C272" s="893"/>
      <c r="D272" s="863"/>
      <c r="E272" s="706"/>
      <c r="F272" s="863"/>
      <c r="G272" s="706"/>
      <c r="H272" s="863"/>
      <c r="I272" s="706"/>
      <c r="J272" s="863"/>
      <c r="K272" s="706"/>
      <c r="L272" s="863"/>
      <c r="M272" s="706"/>
      <c r="N272" s="706"/>
      <c r="O272" s="863"/>
      <c r="P272" s="706"/>
      <c r="Q272" s="863"/>
      <c r="R272" s="706"/>
      <c r="S272" s="863"/>
      <c r="T272" s="706"/>
      <c r="U272" s="863"/>
      <c r="V272" s="706"/>
      <c r="W272" s="863"/>
      <c r="X272" s="706"/>
      <c r="Y272" s="706"/>
      <c r="Z272" s="727"/>
      <c r="AA272" s="706"/>
      <c r="AB272" s="727"/>
      <c r="AC272" s="706"/>
      <c r="AD272" s="727"/>
      <c r="AE272" s="706"/>
      <c r="AF272" s="727"/>
      <c r="AG272" s="706"/>
      <c r="AH272" s="727"/>
      <c r="AI272" s="706"/>
      <c r="AJ272" s="706"/>
      <c r="AK272" s="727"/>
      <c r="AL272" s="706"/>
      <c r="AM272" s="727"/>
      <c r="AN272" s="706"/>
      <c r="AO272" s="727"/>
      <c r="AP272" s="706"/>
      <c r="AQ272" s="727"/>
      <c r="AR272" s="706"/>
      <c r="AS272" s="727"/>
      <c r="AT272" s="706"/>
      <c r="AU272" s="706"/>
      <c r="AV272" s="727"/>
      <c r="AW272" s="706"/>
      <c r="AX272" s="727"/>
      <c r="AY272" s="706"/>
      <c r="AZ272" s="727"/>
      <c r="BA272" s="706"/>
      <c r="BB272" s="727"/>
      <c r="BC272" s="706"/>
      <c r="BD272" s="727"/>
      <c r="BE272" s="706"/>
    </row>
    <row r="273" spans="1:57" s="48" customFormat="1">
      <c r="A273" s="827"/>
      <c r="B273" s="827"/>
      <c r="C273" s="893"/>
      <c r="D273" s="863"/>
      <c r="E273" s="706"/>
      <c r="F273" s="863"/>
      <c r="G273" s="706"/>
      <c r="H273" s="863"/>
      <c r="I273" s="706"/>
      <c r="J273" s="863"/>
      <c r="K273" s="706"/>
      <c r="L273" s="863"/>
      <c r="M273" s="706"/>
      <c r="N273" s="706"/>
      <c r="O273" s="863"/>
      <c r="P273" s="706"/>
      <c r="Q273" s="863"/>
      <c r="R273" s="706"/>
      <c r="S273" s="863"/>
      <c r="T273" s="706"/>
      <c r="U273" s="863"/>
      <c r="V273" s="706"/>
      <c r="W273" s="863"/>
      <c r="X273" s="706"/>
      <c r="Y273" s="706"/>
      <c r="Z273" s="727"/>
      <c r="AA273" s="706"/>
      <c r="AB273" s="727"/>
      <c r="AC273" s="706"/>
      <c r="AD273" s="727"/>
      <c r="AE273" s="706"/>
      <c r="AF273" s="727"/>
      <c r="AG273" s="706"/>
      <c r="AH273" s="727"/>
      <c r="AI273" s="706"/>
      <c r="AJ273" s="706"/>
      <c r="AK273" s="727"/>
      <c r="AL273" s="706"/>
      <c r="AM273" s="727"/>
      <c r="AN273" s="706"/>
      <c r="AO273" s="727"/>
      <c r="AP273" s="706"/>
      <c r="AQ273" s="727"/>
      <c r="AR273" s="706"/>
      <c r="AS273" s="727"/>
      <c r="AT273" s="706"/>
      <c r="AU273" s="706"/>
      <c r="AV273" s="727"/>
      <c r="AW273" s="706"/>
      <c r="AX273" s="727"/>
      <c r="AY273" s="706"/>
      <c r="AZ273" s="727"/>
      <c r="BA273" s="706"/>
      <c r="BB273" s="727"/>
      <c r="BC273" s="706"/>
      <c r="BD273" s="727"/>
      <c r="BE273" s="706"/>
    </row>
    <row r="274" spans="1:57" s="48" customFormat="1">
      <c r="A274" s="827"/>
      <c r="B274" s="827"/>
      <c r="C274" s="893"/>
      <c r="D274" s="863"/>
      <c r="E274" s="706"/>
      <c r="F274" s="863"/>
      <c r="G274" s="706"/>
      <c r="H274" s="863"/>
      <c r="I274" s="706"/>
      <c r="J274" s="863"/>
      <c r="K274" s="706"/>
      <c r="L274" s="863"/>
      <c r="M274" s="706"/>
      <c r="N274" s="706"/>
      <c r="O274" s="863"/>
      <c r="P274" s="706"/>
      <c r="Q274" s="863"/>
      <c r="R274" s="706"/>
      <c r="S274" s="863"/>
      <c r="T274" s="706"/>
      <c r="U274" s="863"/>
      <c r="V274" s="706"/>
      <c r="W274" s="863"/>
      <c r="X274" s="706"/>
      <c r="Y274" s="706"/>
      <c r="Z274" s="727"/>
      <c r="AA274" s="706"/>
      <c r="AB274" s="727"/>
      <c r="AC274" s="706"/>
      <c r="AD274" s="727"/>
      <c r="AE274" s="706"/>
      <c r="AF274" s="727"/>
      <c r="AG274" s="706"/>
      <c r="AH274" s="727"/>
      <c r="AI274" s="706"/>
      <c r="AJ274" s="706"/>
      <c r="AK274" s="727"/>
      <c r="AL274" s="706"/>
      <c r="AM274" s="727"/>
      <c r="AN274" s="706"/>
      <c r="AO274" s="727"/>
      <c r="AP274" s="706"/>
      <c r="AQ274" s="727"/>
      <c r="AR274" s="706"/>
      <c r="AS274" s="727"/>
      <c r="AT274" s="706"/>
      <c r="AU274" s="706"/>
      <c r="AV274" s="727"/>
      <c r="AW274" s="706"/>
      <c r="AX274" s="727"/>
      <c r="AY274" s="706"/>
      <c r="AZ274" s="727"/>
      <c r="BA274" s="706"/>
      <c r="BB274" s="727"/>
      <c r="BC274" s="706"/>
      <c r="BD274" s="727"/>
      <c r="BE274" s="706"/>
    </row>
    <row r="275" spans="1:57" s="48" customFormat="1">
      <c r="A275" s="827"/>
      <c r="B275" s="827"/>
      <c r="C275" s="893"/>
      <c r="D275" s="863"/>
      <c r="E275" s="706"/>
      <c r="F275" s="863"/>
      <c r="G275" s="706"/>
      <c r="H275" s="863"/>
      <c r="I275" s="706"/>
      <c r="J275" s="863"/>
      <c r="K275" s="706"/>
      <c r="L275" s="863"/>
      <c r="M275" s="706"/>
      <c r="N275" s="706"/>
      <c r="O275" s="863"/>
      <c r="P275" s="706"/>
      <c r="Q275" s="863"/>
      <c r="R275" s="706"/>
      <c r="S275" s="863"/>
      <c r="T275" s="706"/>
      <c r="U275" s="863"/>
      <c r="V275" s="706"/>
      <c r="W275" s="863"/>
      <c r="X275" s="706"/>
      <c r="Y275" s="706"/>
      <c r="Z275" s="727"/>
      <c r="AA275" s="706"/>
      <c r="AB275" s="727"/>
      <c r="AC275" s="706"/>
      <c r="AD275" s="727"/>
      <c r="AE275" s="706"/>
      <c r="AF275" s="727"/>
      <c r="AG275" s="706"/>
      <c r="AH275" s="727"/>
      <c r="AI275" s="706"/>
      <c r="AJ275" s="706"/>
      <c r="AK275" s="727"/>
      <c r="AL275" s="706"/>
      <c r="AM275" s="727"/>
      <c r="AN275" s="706"/>
      <c r="AO275" s="727"/>
      <c r="AP275" s="706"/>
      <c r="AQ275" s="727"/>
      <c r="AR275" s="706"/>
      <c r="AS275" s="727"/>
      <c r="AT275" s="706"/>
      <c r="AU275" s="706"/>
      <c r="AV275" s="727"/>
      <c r="AW275" s="706"/>
      <c r="AX275" s="727"/>
      <c r="AY275" s="706"/>
      <c r="AZ275" s="727"/>
      <c r="BA275" s="706"/>
      <c r="BB275" s="727"/>
      <c r="BC275" s="706"/>
      <c r="BD275" s="727"/>
      <c r="BE275" s="706"/>
    </row>
    <row r="276" spans="1:57" s="48" customFormat="1">
      <c r="A276" s="827"/>
      <c r="B276" s="827"/>
      <c r="C276" s="893"/>
      <c r="D276" s="863"/>
      <c r="E276" s="706"/>
      <c r="F276" s="863"/>
      <c r="G276" s="706"/>
      <c r="H276" s="863"/>
      <c r="I276" s="706"/>
      <c r="J276" s="863"/>
      <c r="K276" s="706"/>
      <c r="L276" s="863"/>
      <c r="M276" s="706"/>
      <c r="N276" s="706"/>
      <c r="O276" s="863"/>
      <c r="P276" s="706"/>
      <c r="Q276" s="863"/>
      <c r="R276" s="706"/>
      <c r="S276" s="863"/>
      <c r="T276" s="706"/>
      <c r="U276" s="863"/>
      <c r="V276" s="706"/>
      <c r="W276" s="863"/>
      <c r="X276" s="706"/>
      <c r="Y276" s="706"/>
      <c r="Z276" s="727"/>
      <c r="AA276" s="706"/>
      <c r="AB276" s="727"/>
      <c r="AC276" s="706"/>
      <c r="AD276" s="727"/>
      <c r="AE276" s="706"/>
      <c r="AF276" s="727"/>
      <c r="AG276" s="706"/>
      <c r="AH276" s="727"/>
      <c r="AI276" s="706"/>
      <c r="AJ276" s="706"/>
      <c r="AK276" s="727"/>
      <c r="AL276" s="706"/>
      <c r="AM276" s="727"/>
      <c r="AN276" s="706"/>
      <c r="AO276" s="727"/>
      <c r="AP276" s="706"/>
      <c r="AQ276" s="727"/>
      <c r="AR276" s="706"/>
      <c r="AS276" s="727"/>
      <c r="AT276" s="706"/>
      <c r="AU276" s="706"/>
      <c r="AV276" s="727"/>
      <c r="AW276" s="706"/>
      <c r="AX276" s="727"/>
      <c r="AY276" s="706"/>
      <c r="AZ276" s="727"/>
      <c r="BA276" s="706"/>
      <c r="BB276" s="727"/>
      <c r="BC276" s="706"/>
      <c r="BD276" s="727"/>
      <c r="BE276" s="706"/>
    </row>
    <row r="277" spans="1:57" s="48" customFormat="1">
      <c r="A277" s="827"/>
      <c r="B277" s="827"/>
      <c r="C277" s="893"/>
      <c r="D277" s="863"/>
      <c r="E277" s="706"/>
      <c r="F277" s="863"/>
      <c r="G277" s="706"/>
      <c r="H277" s="863"/>
      <c r="I277" s="706"/>
      <c r="J277" s="863"/>
      <c r="K277" s="706"/>
      <c r="L277" s="863"/>
      <c r="M277" s="706"/>
      <c r="N277" s="706"/>
      <c r="O277" s="863"/>
      <c r="P277" s="706"/>
      <c r="Q277" s="863"/>
      <c r="R277" s="706"/>
      <c r="S277" s="863"/>
      <c r="T277" s="706"/>
      <c r="U277" s="863"/>
      <c r="V277" s="706"/>
      <c r="W277" s="863"/>
      <c r="X277" s="706"/>
      <c r="Y277" s="706"/>
      <c r="Z277" s="727"/>
      <c r="AA277" s="706"/>
      <c r="AB277" s="727"/>
      <c r="AC277" s="706"/>
      <c r="AD277" s="727"/>
      <c r="AE277" s="706"/>
      <c r="AF277" s="727"/>
      <c r="AG277" s="706"/>
      <c r="AH277" s="727"/>
      <c r="AI277" s="706"/>
      <c r="AJ277" s="706"/>
      <c r="AK277" s="727"/>
      <c r="AL277" s="706"/>
      <c r="AM277" s="727"/>
      <c r="AN277" s="706"/>
      <c r="AO277" s="727"/>
      <c r="AP277" s="706"/>
      <c r="AQ277" s="727"/>
      <c r="AR277" s="706"/>
      <c r="AS277" s="727"/>
      <c r="AT277" s="706"/>
      <c r="AU277" s="706"/>
      <c r="AV277" s="727"/>
      <c r="AW277" s="706"/>
      <c r="AX277" s="727"/>
      <c r="AY277" s="706"/>
      <c r="AZ277" s="727"/>
      <c r="BA277" s="706"/>
      <c r="BB277" s="727"/>
      <c r="BC277" s="706"/>
      <c r="BD277" s="727"/>
      <c r="BE277" s="706"/>
    </row>
    <row r="278" spans="1:57" s="48" customFormat="1">
      <c r="A278" s="827"/>
      <c r="B278" s="827"/>
      <c r="C278" s="893"/>
      <c r="D278" s="863"/>
      <c r="E278" s="706"/>
      <c r="F278" s="863"/>
      <c r="G278" s="706"/>
      <c r="H278" s="863"/>
      <c r="I278" s="706"/>
      <c r="J278" s="863"/>
      <c r="K278" s="706"/>
      <c r="L278" s="863"/>
      <c r="M278" s="706"/>
      <c r="N278" s="706"/>
      <c r="O278" s="863"/>
      <c r="P278" s="706"/>
      <c r="Q278" s="863"/>
      <c r="R278" s="706"/>
      <c r="S278" s="863"/>
      <c r="T278" s="706"/>
      <c r="U278" s="863"/>
      <c r="V278" s="706"/>
      <c r="W278" s="863"/>
      <c r="X278" s="706"/>
      <c r="Y278" s="706"/>
      <c r="Z278" s="727"/>
      <c r="AA278" s="706"/>
      <c r="AB278" s="727"/>
      <c r="AC278" s="706"/>
      <c r="AD278" s="727"/>
      <c r="AE278" s="706"/>
      <c r="AF278" s="727"/>
      <c r="AG278" s="706"/>
      <c r="AH278" s="727"/>
      <c r="AI278" s="706"/>
      <c r="AJ278" s="706"/>
      <c r="AK278" s="727"/>
      <c r="AL278" s="706"/>
      <c r="AM278" s="727"/>
      <c r="AN278" s="706"/>
      <c r="AO278" s="727"/>
      <c r="AP278" s="706"/>
      <c r="AQ278" s="727"/>
      <c r="AR278" s="706"/>
      <c r="AS278" s="727"/>
      <c r="AT278" s="706"/>
      <c r="AU278" s="706"/>
      <c r="AV278" s="727"/>
      <c r="AW278" s="706"/>
      <c r="AX278" s="727"/>
      <c r="AY278" s="706"/>
      <c r="AZ278" s="727"/>
      <c r="BA278" s="706"/>
      <c r="BB278" s="727"/>
      <c r="BC278" s="706"/>
      <c r="BD278" s="727"/>
      <c r="BE278" s="706"/>
    </row>
    <row r="279" spans="1:57" s="48" customFormat="1">
      <c r="A279" s="827"/>
      <c r="B279" s="827"/>
      <c r="C279" s="893"/>
      <c r="D279" s="863"/>
      <c r="E279" s="706"/>
      <c r="F279" s="863"/>
      <c r="G279" s="706"/>
      <c r="H279" s="863"/>
      <c r="I279" s="706"/>
      <c r="J279" s="863"/>
      <c r="K279" s="706"/>
      <c r="L279" s="863"/>
      <c r="M279" s="706"/>
      <c r="N279" s="706"/>
      <c r="O279" s="863"/>
      <c r="P279" s="706"/>
      <c r="Q279" s="863"/>
      <c r="R279" s="706"/>
      <c r="S279" s="863"/>
      <c r="T279" s="706"/>
      <c r="U279" s="863"/>
      <c r="V279" s="706"/>
      <c r="W279" s="863"/>
      <c r="X279" s="706"/>
      <c r="Y279" s="706"/>
      <c r="Z279" s="727"/>
      <c r="AA279" s="706"/>
      <c r="AB279" s="727"/>
      <c r="AC279" s="706"/>
      <c r="AD279" s="727"/>
      <c r="AE279" s="706"/>
      <c r="AF279" s="727"/>
      <c r="AG279" s="706"/>
      <c r="AH279" s="727"/>
      <c r="AI279" s="706"/>
      <c r="AJ279" s="706"/>
      <c r="AK279" s="727"/>
      <c r="AL279" s="706"/>
      <c r="AM279" s="727"/>
      <c r="AN279" s="706"/>
      <c r="AO279" s="727"/>
      <c r="AP279" s="706"/>
      <c r="AQ279" s="727"/>
      <c r="AR279" s="706"/>
      <c r="AS279" s="727"/>
      <c r="AT279" s="706"/>
      <c r="AU279" s="706"/>
      <c r="AV279" s="727"/>
      <c r="AW279" s="706"/>
      <c r="AX279" s="727"/>
      <c r="AY279" s="706"/>
      <c r="AZ279" s="727"/>
      <c r="BA279" s="706"/>
      <c r="BB279" s="727"/>
      <c r="BC279" s="706"/>
      <c r="BD279" s="727"/>
      <c r="BE279" s="706"/>
    </row>
    <row r="280" spans="1:57" s="48" customFormat="1">
      <c r="A280" s="827"/>
      <c r="B280" s="827"/>
      <c r="C280" s="893"/>
      <c r="D280" s="863"/>
      <c r="E280" s="706"/>
      <c r="F280" s="863"/>
      <c r="G280" s="706"/>
      <c r="H280" s="863"/>
      <c r="I280" s="706"/>
      <c r="J280" s="863"/>
      <c r="K280" s="706"/>
      <c r="L280" s="863"/>
      <c r="M280" s="706"/>
      <c r="N280" s="706"/>
      <c r="O280" s="863"/>
      <c r="P280" s="706"/>
      <c r="Q280" s="863"/>
      <c r="R280" s="706"/>
      <c r="S280" s="863"/>
      <c r="T280" s="706"/>
      <c r="U280" s="863"/>
      <c r="V280" s="706"/>
      <c r="W280" s="863"/>
      <c r="X280" s="706"/>
      <c r="Y280" s="706"/>
      <c r="Z280" s="727"/>
      <c r="AA280" s="706"/>
      <c r="AB280" s="727"/>
      <c r="AC280" s="706"/>
      <c r="AD280" s="727"/>
      <c r="AE280" s="706"/>
      <c r="AF280" s="727"/>
      <c r="AG280" s="706"/>
      <c r="AH280" s="727"/>
      <c r="AI280" s="706"/>
      <c r="AJ280" s="706"/>
      <c r="AK280" s="727"/>
      <c r="AL280" s="706"/>
      <c r="AM280" s="727"/>
      <c r="AN280" s="706"/>
      <c r="AO280" s="727"/>
      <c r="AP280" s="706"/>
      <c r="AQ280" s="727"/>
      <c r="AR280" s="706"/>
      <c r="AS280" s="727"/>
      <c r="AT280" s="706"/>
      <c r="AU280" s="706"/>
      <c r="AV280" s="727"/>
      <c r="AW280" s="706"/>
      <c r="AX280" s="727"/>
      <c r="AY280" s="706"/>
      <c r="AZ280" s="727"/>
      <c r="BA280" s="706"/>
      <c r="BB280" s="727"/>
      <c r="BC280" s="706"/>
      <c r="BD280" s="727"/>
      <c r="BE280" s="706"/>
    </row>
    <row r="281" spans="1:57" s="48" customFormat="1">
      <c r="A281" s="827"/>
      <c r="B281" s="827"/>
      <c r="C281" s="893"/>
      <c r="D281" s="863"/>
      <c r="E281" s="706"/>
      <c r="F281" s="863"/>
      <c r="G281" s="706"/>
      <c r="H281" s="863"/>
      <c r="I281" s="706"/>
      <c r="J281" s="863"/>
      <c r="K281" s="706"/>
      <c r="L281" s="863"/>
      <c r="M281" s="706"/>
      <c r="N281" s="706"/>
      <c r="O281" s="863"/>
      <c r="P281" s="706"/>
      <c r="Q281" s="863"/>
      <c r="R281" s="706"/>
      <c r="S281" s="863"/>
      <c r="T281" s="706"/>
      <c r="U281" s="863"/>
      <c r="V281" s="706"/>
      <c r="W281" s="863"/>
      <c r="X281" s="706"/>
      <c r="Y281" s="706"/>
      <c r="Z281" s="727"/>
      <c r="AA281" s="706"/>
      <c r="AB281" s="727"/>
      <c r="AC281" s="706"/>
      <c r="AD281" s="727"/>
      <c r="AE281" s="706"/>
      <c r="AF281" s="727"/>
      <c r="AG281" s="706"/>
      <c r="AH281" s="727"/>
      <c r="AI281" s="706"/>
      <c r="AJ281" s="706"/>
      <c r="AK281" s="727"/>
      <c r="AL281" s="706"/>
      <c r="AM281" s="727"/>
      <c r="AN281" s="706"/>
      <c r="AO281" s="727"/>
      <c r="AP281" s="706"/>
      <c r="AQ281" s="727"/>
      <c r="AR281" s="706"/>
      <c r="AS281" s="727"/>
      <c r="AT281" s="706"/>
      <c r="AU281" s="706"/>
      <c r="AV281" s="727"/>
      <c r="AW281" s="706"/>
      <c r="AX281" s="727"/>
      <c r="AY281" s="706"/>
      <c r="AZ281" s="727"/>
      <c r="BA281" s="706"/>
      <c r="BB281" s="727"/>
      <c r="BC281" s="706"/>
      <c r="BD281" s="727"/>
      <c r="BE281" s="706"/>
    </row>
    <row r="282" spans="1:57" s="48" customFormat="1">
      <c r="A282" s="827"/>
      <c r="B282" s="827"/>
      <c r="C282" s="893"/>
      <c r="D282" s="863"/>
      <c r="E282" s="706"/>
      <c r="F282" s="863"/>
      <c r="G282" s="706"/>
      <c r="H282" s="863"/>
      <c r="I282" s="706"/>
      <c r="J282" s="863"/>
      <c r="K282" s="706"/>
      <c r="L282" s="863"/>
      <c r="M282" s="706"/>
      <c r="N282" s="706"/>
      <c r="O282" s="863"/>
      <c r="P282" s="706"/>
      <c r="Q282" s="863"/>
      <c r="R282" s="706"/>
      <c r="S282" s="863"/>
      <c r="T282" s="706"/>
      <c r="U282" s="863"/>
      <c r="V282" s="706"/>
      <c r="W282" s="863"/>
      <c r="X282" s="706"/>
      <c r="Y282" s="706"/>
      <c r="Z282" s="727"/>
      <c r="AA282" s="706"/>
      <c r="AB282" s="727"/>
      <c r="AC282" s="706"/>
      <c r="AD282" s="727"/>
      <c r="AE282" s="706"/>
      <c r="AF282" s="727"/>
      <c r="AG282" s="706"/>
      <c r="AH282" s="727"/>
      <c r="AI282" s="706"/>
      <c r="AJ282" s="706"/>
      <c r="AK282" s="727"/>
      <c r="AL282" s="706"/>
      <c r="AM282" s="727"/>
      <c r="AN282" s="706"/>
      <c r="AO282" s="727"/>
      <c r="AP282" s="706"/>
      <c r="AQ282" s="727"/>
      <c r="AR282" s="706"/>
      <c r="AS282" s="727"/>
      <c r="AT282" s="706"/>
      <c r="AU282" s="706"/>
      <c r="AV282" s="727"/>
      <c r="AW282" s="706"/>
      <c r="AX282" s="727"/>
      <c r="AY282" s="706"/>
      <c r="AZ282" s="727"/>
      <c r="BA282" s="706"/>
      <c r="BB282" s="727"/>
      <c r="BC282" s="706"/>
      <c r="BD282" s="727"/>
      <c r="BE282" s="706"/>
    </row>
    <row r="283" spans="1:57" s="48" customFormat="1">
      <c r="A283" s="827"/>
      <c r="B283" s="827"/>
      <c r="C283" s="893"/>
      <c r="D283" s="863"/>
      <c r="E283" s="706"/>
      <c r="F283" s="863"/>
      <c r="G283" s="706"/>
      <c r="H283" s="863"/>
      <c r="I283" s="706"/>
      <c r="J283" s="863"/>
      <c r="K283" s="706"/>
      <c r="L283" s="863"/>
      <c r="M283" s="706"/>
      <c r="N283" s="706"/>
      <c r="O283" s="863"/>
      <c r="P283" s="706"/>
      <c r="Q283" s="863"/>
      <c r="R283" s="706"/>
      <c r="S283" s="863"/>
      <c r="T283" s="706"/>
      <c r="U283" s="863"/>
      <c r="V283" s="706"/>
      <c r="W283" s="863"/>
      <c r="X283" s="706"/>
      <c r="Y283" s="706"/>
      <c r="Z283" s="727"/>
      <c r="AA283" s="706"/>
      <c r="AB283" s="727"/>
      <c r="AC283" s="706"/>
      <c r="AD283" s="727"/>
      <c r="AE283" s="706"/>
      <c r="AF283" s="727"/>
      <c r="AG283" s="706"/>
      <c r="AH283" s="727"/>
      <c r="AI283" s="706"/>
      <c r="AJ283" s="706"/>
      <c r="AK283" s="727"/>
      <c r="AL283" s="706"/>
      <c r="AM283" s="727"/>
      <c r="AN283" s="706"/>
      <c r="AO283" s="727"/>
      <c r="AP283" s="706"/>
      <c r="AQ283" s="727"/>
      <c r="AR283" s="706"/>
      <c r="AS283" s="727"/>
      <c r="AT283" s="706"/>
      <c r="AU283" s="706"/>
      <c r="AV283" s="727"/>
      <c r="AW283" s="706"/>
      <c r="AX283" s="727"/>
      <c r="AY283" s="706"/>
      <c r="AZ283" s="727"/>
      <c r="BA283" s="706"/>
      <c r="BB283" s="727"/>
      <c r="BC283" s="706"/>
      <c r="BD283" s="727"/>
      <c r="BE283" s="706"/>
    </row>
    <row r="284" spans="1:57" s="48" customFormat="1">
      <c r="A284" s="827"/>
      <c r="B284" s="827"/>
      <c r="C284" s="893"/>
      <c r="D284" s="863"/>
      <c r="E284" s="706"/>
      <c r="F284" s="863"/>
      <c r="G284" s="706"/>
      <c r="H284" s="863"/>
      <c r="I284" s="706"/>
      <c r="J284" s="863"/>
      <c r="K284" s="706"/>
      <c r="L284" s="863"/>
      <c r="M284" s="706"/>
      <c r="N284" s="706"/>
      <c r="O284" s="863"/>
      <c r="P284" s="706"/>
      <c r="Q284" s="863"/>
      <c r="R284" s="706"/>
      <c r="S284" s="863"/>
      <c r="T284" s="706"/>
      <c r="U284" s="863"/>
      <c r="V284" s="706"/>
      <c r="W284" s="863"/>
      <c r="X284" s="706"/>
      <c r="Y284" s="706"/>
      <c r="Z284" s="727"/>
      <c r="AA284" s="706"/>
      <c r="AB284" s="727"/>
      <c r="AC284" s="706"/>
      <c r="AD284" s="727"/>
      <c r="AE284" s="706"/>
      <c r="AF284" s="727"/>
      <c r="AG284" s="706"/>
      <c r="AH284" s="727"/>
      <c r="AI284" s="706"/>
      <c r="AJ284" s="706"/>
      <c r="AK284" s="727"/>
      <c r="AL284" s="706"/>
      <c r="AM284" s="727"/>
      <c r="AN284" s="706"/>
      <c r="AO284" s="727"/>
      <c r="AP284" s="706"/>
      <c r="AQ284" s="727"/>
      <c r="AR284" s="706"/>
      <c r="AS284" s="727"/>
      <c r="AT284" s="706"/>
      <c r="AU284" s="706"/>
      <c r="AV284" s="727"/>
      <c r="AW284" s="706"/>
      <c r="AX284" s="727"/>
      <c r="AY284" s="706"/>
      <c r="AZ284" s="727"/>
      <c r="BA284" s="706"/>
      <c r="BB284" s="727"/>
      <c r="BC284" s="706"/>
      <c r="BD284" s="727"/>
      <c r="BE284" s="706"/>
    </row>
    <row r="285" spans="1:57" s="48" customFormat="1">
      <c r="A285" s="827"/>
      <c r="B285" s="827"/>
      <c r="C285" s="893"/>
      <c r="D285" s="863"/>
      <c r="E285" s="706"/>
      <c r="F285" s="863"/>
      <c r="G285" s="706"/>
      <c r="H285" s="863"/>
      <c r="I285" s="706"/>
      <c r="J285" s="863"/>
      <c r="K285" s="706"/>
      <c r="L285" s="863"/>
      <c r="M285" s="706"/>
      <c r="N285" s="706"/>
      <c r="O285" s="863"/>
      <c r="P285" s="706"/>
      <c r="Q285" s="863"/>
      <c r="R285" s="706"/>
      <c r="S285" s="863"/>
      <c r="T285" s="706"/>
      <c r="U285" s="863"/>
      <c r="V285" s="706"/>
      <c r="W285" s="863"/>
      <c r="X285" s="706"/>
      <c r="Y285" s="706"/>
      <c r="Z285" s="727"/>
      <c r="AA285" s="706"/>
      <c r="AB285" s="727"/>
      <c r="AC285" s="706"/>
      <c r="AD285" s="727"/>
      <c r="AE285" s="706"/>
      <c r="AF285" s="727"/>
      <c r="AG285" s="706"/>
      <c r="AH285" s="727"/>
      <c r="AI285" s="706"/>
      <c r="AJ285" s="706"/>
      <c r="AK285" s="727"/>
      <c r="AL285" s="706"/>
      <c r="AM285" s="727"/>
      <c r="AN285" s="706"/>
      <c r="AO285" s="727"/>
      <c r="AP285" s="706"/>
      <c r="AQ285" s="727"/>
      <c r="AR285" s="706"/>
      <c r="AS285" s="727"/>
      <c r="AT285" s="706"/>
      <c r="AU285" s="706"/>
      <c r="AV285" s="727"/>
      <c r="AW285" s="706"/>
      <c r="AX285" s="727"/>
      <c r="AY285" s="706"/>
      <c r="AZ285" s="727"/>
      <c r="BA285" s="706"/>
      <c r="BB285" s="727"/>
      <c r="BC285" s="706"/>
      <c r="BD285" s="727"/>
      <c r="BE285" s="706"/>
    </row>
    <row r="286" spans="1:57" s="48" customFormat="1">
      <c r="A286" s="827"/>
      <c r="B286" s="827"/>
      <c r="C286" s="893"/>
      <c r="D286" s="863"/>
      <c r="E286" s="706"/>
      <c r="F286" s="863"/>
      <c r="G286" s="706"/>
      <c r="H286" s="863"/>
      <c r="I286" s="706"/>
      <c r="J286" s="863"/>
      <c r="K286" s="706"/>
      <c r="L286" s="863"/>
      <c r="M286" s="706"/>
      <c r="N286" s="706"/>
      <c r="O286" s="863"/>
      <c r="P286" s="706"/>
      <c r="Q286" s="863"/>
      <c r="R286" s="706"/>
      <c r="S286" s="863"/>
      <c r="T286" s="706"/>
      <c r="U286" s="863"/>
      <c r="V286" s="706"/>
      <c r="W286" s="863"/>
      <c r="X286" s="706"/>
      <c r="Y286" s="706"/>
      <c r="Z286" s="727"/>
      <c r="AA286" s="706"/>
      <c r="AB286" s="727"/>
      <c r="AC286" s="706"/>
      <c r="AD286" s="727"/>
      <c r="AE286" s="706"/>
      <c r="AF286" s="727"/>
      <c r="AG286" s="706"/>
      <c r="AH286" s="727"/>
      <c r="AI286" s="706"/>
      <c r="AJ286" s="706"/>
      <c r="AK286" s="727"/>
      <c r="AL286" s="706"/>
      <c r="AM286" s="727"/>
      <c r="AN286" s="706"/>
      <c r="AO286" s="727"/>
      <c r="AP286" s="706"/>
      <c r="AQ286" s="727"/>
      <c r="AR286" s="706"/>
      <c r="AS286" s="727"/>
      <c r="AT286" s="706"/>
      <c r="AU286" s="706"/>
      <c r="AV286" s="727"/>
      <c r="AW286" s="706"/>
      <c r="AX286" s="727"/>
      <c r="AY286" s="706"/>
      <c r="AZ286" s="727"/>
      <c r="BA286" s="706"/>
      <c r="BB286" s="727"/>
      <c r="BC286" s="706"/>
      <c r="BD286" s="727"/>
      <c r="BE286" s="706"/>
    </row>
    <row r="287" spans="1:57" s="48" customFormat="1">
      <c r="A287" s="827"/>
      <c r="B287" s="827"/>
      <c r="C287" s="893"/>
      <c r="D287" s="863"/>
      <c r="E287" s="706"/>
      <c r="F287" s="863"/>
      <c r="G287" s="706"/>
      <c r="H287" s="863"/>
      <c r="I287" s="706"/>
      <c r="J287" s="863"/>
      <c r="K287" s="706"/>
      <c r="L287" s="863"/>
      <c r="M287" s="706"/>
      <c r="N287" s="706"/>
      <c r="O287" s="863"/>
      <c r="P287" s="706"/>
      <c r="Q287" s="863"/>
      <c r="R287" s="706"/>
      <c r="S287" s="863"/>
      <c r="T287" s="706"/>
      <c r="U287" s="863"/>
      <c r="V287" s="706"/>
      <c r="W287" s="863"/>
      <c r="X287" s="706"/>
      <c r="Y287" s="706"/>
      <c r="Z287" s="727"/>
      <c r="AA287" s="706"/>
      <c r="AB287" s="727"/>
      <c r="AC287" s="706"/>
      <c r="AD287" s="727"/>
      <c r="AE287" s="706"/>
      <c r="AF287" s="727"/>
      <c r="AG287" s="706"/>
      <c r="AH287" s="727"/>
      <c r="AI287" s="706"/>
      <c r="AJ287" s="706"/>
      <c r="AK287" s="727"/>
      <c r="AL287" s="706"/>
      <c r="AM287" s="727"/>
      <c r="AN287" s="706"/>
      <c r="AO287" s="727"/>
      <c r="AP287" s="706"/>
      <c r="AQ287" s="727"/>
      <c r="AR287" s="706"/>
      <c r="AS287" s="727"/>
      <c r="AT287" s="706"/>
      <c r="AU287" s="706"/>
      <c r="AV287" s="727"/>
      <c r="AW287" s="706"/>
      <c r="AX287" s="727"/>
      <c r="AY287" s="706"/>
      <c r="AZ287" s="727"/>
      <c r="BA287" s="706"/>
      <c r="BB287" s="727"/>
      <c r="BC287" s="706"/>
      <c r="BD287" s="727"/>
      <c r="BE287" s="706"/>
    </row>
    <row r="288" spans="1:57" s="48" customFormat="1">
      <c r="A288" s="827"/>
      <c r="B288" s="827"/>
      <c r="C288" s="893"/>
      <c r="D288" s="863"/>
      <c r="E288" s="706"/>
      <c r="F288" s="863"/>
      <c r="G288" s="706"/>
      <c r="H288" s="863"/>
      <c r="I288" s="706"/>
      <c r="J288" s="863"/>
      <c r="K288" s="706"/>
      <c r="L288" s="863"/>
      <c r="M288" s="706"/>
      <c r="N288" s="706"/>
      <c r="O288" s="863"/>
      <c r="P288" s="706"/>
      <c r="Q288" s="863"/>
      <c r="R288" s="706"/>
      <c r="S288" s="863"/>
      <c r="T288" s="706"/>
      <c r="U288" s="863"/>
      <c r="V288" s="706"/>
      <c r="W288" s="863"/>
      <c r="X288" s="706"/>
      <c r="Y288" s="706"/>
      <c r="Z288" s="727"/>
      <c r="AA288" s="706"/>
      <c r="AB288" s="727"/>
      <c r="AC288" s="706"/>
      <c r="AD288" s="727"/>
      <c r="AE288" s="706"/>
      <c r="AF288" s="727"/>
      <c r="AG288" s="706"/>
      <c r="AH288" s="727"/>
      <c r="AI288" s="706"/>
      <c r="AJ288" s="706"/>
      <c r="AK288" s="727"/>
      <c r="AL288" s="706"/>
      <c r="AM288" s="727"/>
      <c r="AN288" s="706"/>
      <c r="AO288" s="727"/>
      <c r="AP288" s="706"/>
      <c r="AQ288" s="727"/>
      <c r="AR288" s="706"/>
      <c r="AS288" s="727"/>
      <c r="AT288" s="706"/>
      <c r="AU288" s="706"/>
      <c r="AV288" s="727"/>
      <c r="AW288" s="706"/>
      <c r="AX288" s="727"/>
      <c r="AY288" s="706"/>
      <c r="AZ288" s="727"/>
      <c r="BA288" s="706"/>
      <c r="BB288" s="727"/>
      <c r="BC288" s="706"/>
      <c r="BD288" s="727"/>
      <c r="BE288" s="706"/>
    </row>
    <row r="289" spans="1:57" s="48" customFormat="1">
      <c r="A289" s="827"/>
      <c r="B289" s="827"/>
      <c r="C289" s="893"/>
      <c r="D289" s="863"/>
      <c r="E289" s="706"/>
      <c r="F289" s="863"/>
      <c r="G289" s="706"/>
      <c r="H289" s="863"/>
      <c r="I289" s="706"/>
      <c r="J289" s="863"/>
      <c r="K289" s="706"/>
      <c r="L289" s="863"/>
      <c r="M289" s="706"/>
      <c r="N289" s="706"/>
      <c r="O289" s="863"/>
      <c r="P289" s="706"/>
      <c r="Q289" s="863"/>
      <c r="R289" s="706"/>
      <c r="S289" s="863"/>
      <c r="T289" s="706"/>
      <c r="U289" s="863"/>
      <c r="V289" s="706"/>
      <c r="W289" s="863"/>
      <c r="X289" s="706"/>
      <c r="Y289" s="706"/>
      <c r="Z289" s="727"/>
      <c r="AA289" s="706"/>
      <c r="AB289" s="727"/>
      <c r="AC289" s="706"/>
      <c r="AD289" s="727"/>
      <c r="AE289" s="706"/>
      <c r="AF289" s="727"/>
      <c r="AG289" s="706"/>
      <c r="AH289" s="727"/>
      <c r="AI289" s="706"/>
      <c r="AJ289" s="706"/>
      <c r="AK289" s="727"/>
      <c r="AL289" s="706"/>
      <c r="AM289" s="727"/>
      <c r="AN289" s="706"/>
      <c r="AO289" s="727"/>
      <c r="AP289" s="706"/>
      <c r="AQ289" s="727"/>
      <c r="AR289" s="706"/>
      <c r="AS289" s="727"/>
      <c r="AT289" s="706"/>
      <c r="AU289" s="706"/>
      <c r="AV289" s="727"/>
      <c r="AW289" s="706"/>
      <c r="AX289" s="727"/>
      <c r="AY289" s="706"/>
      <c r="AZ289" s="727"/>
      <c r="BA289" s="706"/>
      <c r="BB289" s="727"/>
      <c r="BC289" s="706"/>
      <c r="BD289" s="727"/>
      <c r="BE289" s="706"/>
    </row>
    <row r="290" spans="1:57" s="48" customFormat="1">
      <c r="A290" s="827"/>
      <c r="B290" s="827"/>
      <c r="C290" s="893"/>
      <c r="D290" s="863"/>
      <c r="E290" s="706"/>
      <c r="F290" s="863"/>
      <c r="G290" s="706"/>
      <c r="H290" s="863"/>
      <c r="I290" s="706"/>
      <c r="J290" s="863"/>
      <c r="K290" s="706"/>
      <c r="L290" s="863"/>
      <c r="M290" s="706"/>
      <c r="N290" s="706"/>
      <c r="O290" s="863"/>
      <c r="P290" s="706"/>
      <c r="Q290" s="863"/>
      <c r="R290" s="706"/>
      <c r="S290" s="863"/>
      <c r="T290" s="706"/>
      <c r="U290" s="863"/>
      <c r="V290" s="706"/>
      <c r="W290" s="863"/>
      <c r="X290" s="706"/>
      <c r="Y290" s="706"/>
      <c r="Z290" s="727"/>
      <c r="AA290" s="706"/>
      <c r="AB290" s="727"/>
      <c r="AC290" s="706"/>
      <c r="AD290" s="727"/>
      <c r="AE290" s="706"/>
      <c r="AF290" s="727"/>
      <c r="AG290" s="706"/>
      <c r="AH290" s="727"/>
      <c r="AI290" s="706"/>
      <c r="AJ290" s="706"/>
      <c r="AK290" s="727"/>
      <c r="AL290" s="706"/>
      <c r="AM290" s="727"/>
      <c r="AN290" s="706"/>
      <c r="AO290" s="727"/>
      <c r="AP290" s="706"/>
      <c r="AQ290" s="727"/>
      <c r="AR290" s="706"/>
      <c r="AS290" s="727"/>
      <c r="AT290" s="706"/>
      <c r="AU290" s="706"/>
      <c r="AV290" s="727"/>
      <c r="AW290" s="706"/>
      <c r="AX290" s="727"/>
      <c r="AY290" s="706"/>
      <c r="AZ290" s="727"/>
      <c r="BA290" s="706"/>
      <c r="BB290" s="727"/>
      <c r="BC290" s="706"/>
      <c r="BD290" s="727"/>
      <c r="BE290" s="706"/>
    </row>
    <row r="291" spans="1:57" s="48" customFormat="1">
      <c r="A291" s="827"/>
      <c r="B291" s="827"/>
      <c r="C291" s="893"/>
      <c r="D291" s="863"/>
      <c r="E291" s="706"/>
      <c r="F291" s="863"/>
      <c r="G291" s="706"/>
      <c r="H291" s="863"/>
      <c r="I291" s="706"/>
      <c r="J291" s="863"/>
      <c r="K291" s="706"/>
      <c r="L291" s="863"/>
      <c r="M291" s="706"/>
      <c r="N291" s="706"/>
      <c r="O291" s="863"/>
      <c r="P291" s="706"/>
      <c r="Q291" s="863"/>
      <c r="R291" s="706"/>
      <c r="S291" s="863"/>
      <c r="T291" s="706"/>
      <c r="U291" s="863"/>
      <c r="V291" s="706"/>
      <c r="W291" s="863"/>
      <c r="X291" s="706"/>
      <c r="Y291" s="706"/>
      <c r="Z291" s="727"/>
      <c r="AA291" s="706"/>
      <c r="AB291" s="727"/>
      <c r="AC291" s="706"/>
      <c r="AD291" s="727"/>
      <c r="AE291" s="706"/>
      <c r="AF291" s="727"/>
      <c r="AG291" s="706"/>
      <c r="AH291" s="727"/>
      <c r="AI291" s="706"/>
      <c r="AJ291" s="706"/>
      <c r="AK291" s="727"/>
      <c r="AL291" s="706"/>
      <c r="AM291" s="727"/>
      <c r="AN291" s="706"/>
      <c r="AO291" s="727"/>
      <c r="AP291" s="706"/>
      <c r="AQ291" s="727"/>
      <c r="AR291" s="706"/>
      <c r="AS291" s="727"/>
      <c r="AT291" s="706"/>
      <c r="AU291" s="706"/>
      <c r="AV291" s="727"/>
      <c r="AW291" s="706"/>
      <c r="AX291" s="727"/>
      <c r="AY291" s="706"/>
      <c r="AZ291" s="727"/>
      <c r="BA291" s="706"/>
      <c r="BB291" s="727"/>
      <c r="BC291" s="706"/>
      <c r="BD291" s="727"/>
      <c r="BE291" s="706"/>
    </row>
    <row r="292" spans="1:57" s="48" customFormat="1">
      <c r="A292" s="827"/>
      <c r="B292" s="827"/>
      <c r="C292" s="893"/>
      <c r="D292" s="863"/>
      <c r="E292" s="706"/>
      <c r="F292" s="863"/>
      <c r="G292" s="706"/>
      <c r="H292" s="863"/>
      <c r="I292" s="706"/>
      <c r="J292" s="863"/>
      <c r="K292" s="706"/>
      <c r="L292" s="863"/>
      <c r="M292" s="706"/>
      <c r="N292" s="706"/>
      <c r="O292" s="863"/>
      <c r="P292" s="706"/>
      <c r="Q292" s="863"/>
      <c r="R292" s="706"/>
      <c r="S292" s="863"/>
      <c r="T292" s="706"/>
      <c r="U292" s="863"/>
      <c r="V292" s="706"/>
      <c r="W292" s="863"/>
      <c r="X292" s="706"/>
      <c r="Y292" s="706"/>
      <c r="Z292" s="727"/>
      <c r="AA292" s="706"/>
      <c r="AB292" s="727"/>
      <c r="AC292" s="706"/>
      <c r="AD292" s="727"/>
      <c r="AE292" s="706"/>
      <c r="AF292" s="727"/>
      <c r="AG292" s="706"/>
      <c r="AH292" s="727"/>
      <c r="AI292" s="706"/>
      <c r="AJ292" s="706"/>
      <c r="AK292" s="727"/>
      <c r="AL292" s="706"/>
      <c r="AM292" s="727"/>
      <c r="AN292" s="706"/>
      <c r="AO292" s="727"/>
      <c r="AP292" s="706"/>
      <c r="AQ292" s="727"/>
      <c r="AR292" s="706"/>
      <c r="AS292" s="727"/>
      <c r="AT292" s="706"/>
      <c r="AU292" s="706"/>
      <c r="AV292" s="727"/>
      <c r="AW292" s="706"/>
      <c r="AX292" s="727"/>
      <c r="AY292" s="706"/>
      <c r="AZ292" s="727"/>
      <c r="BA292" s="706"/>
      <c r="BB292" s="727"/>
      <c r="BC292" s="706"/>
      <c r="BD292" s="727"/>
      <c r="BE292" s="706"/>
    </row>
    <row r="293" spans="1:57" s="48" customFormat="1">
      <c r="A293" s="827"/>
      <c r="B293" s="827"/>
      <c r="C293" s="893"/>
      <c r="D293" s="863"/>
      <c r="E293" s="706"/>
      <c r="F293" s="863"/>
      <c r="G293" s="706"/>
      <c r="H293" s="863"/>
      <c r="I293" s="706"/>
      <c r="J293" s="863"/>
      <c r="K293" s="706"/>
      <c r="L293" s="863"/>
      <c r="M293" s="706"/>
      <c r="N293" s="706"/>
      <c r="O293" s="863"/>
      <c r="P293" s="706"/>
      <c r="Q293" s="863"/>
      <c r="R293" s="706"/>
      <c r="S293" s="863"/>
      <c r="T293" s="706"/>
      <c r="U293" s="863"/>
      <c r="V293" s="706"/>
      <c r="W293" s="863"/>
      <c r="X293" s="706"/>
      <c r="Y293" s="706"/>
      <c r="Z293" s="727"/>
      <c r="AA293" s="706"/>
      <c r="AB293" s="727"/>
      <c r="AC293" s="706"/>
      <c r="AD293" s="727"/>
      <c r="AE293" s="706"/>
      <c r="AF293" s="727"/>
      <c r="AG293" s="706"/>
      <c r="AH293" s="727"/>
      <c r="AI293" s="706"/>
      <c r="AJ293" s="706"/>
      <c r="AK293" s="727"/>
      <c r="AL293" s="706"/>
      <c r="AM293" s="727"/>
      <c r="AN293" s="706"/>
      <c r="AO293" s="727"/>
      <c r="AP293" s="706"/>
      <c r="AQ293" s="727"/>
      <c r="AR293" s="706"/>
      <c r="AS293" s="727"/>
      <c r="AT293" s="706"/>
      <c r="AU293" s="706"/>
      <c r="AV293" s="727"/>
      <c r="AW293" s="706"/>
      <c r="AX293" s="727"/>
      <c r="AY293" s="706"/>
      <c r="AZ293" s="727"/>
      <c r="BA293" s="706"/>
      <c r="BB293" s="727"/>
      <c r="BC293" s="706"/>
      <c r="BD293" s="727"/>
      <c r="BE293" s="706"/>
    </row>
    <row r="294" spans="1:57" s="48" customFormat="1">
      <c r="A294" s="827"/>
      <c r="B294" s="827"/>
      <c r="C294" s="893"/>
      <c r="D294" s="863"/>
      <c r="E294" s="706"/>
      <c r="F294" s="863"/>
      <c r="G294" s="706"/>
      <c r="H294" s="863"/>
      <c r="I294" s="706"/>
      <c r="J294" s="863"/>
      <c r="K294" s="706"/>
      <c r="L294" s="863"/>
      <c r="M294" s="706"/>
      <c r="N294" s="706"/>
      <c r="O294" s="863"/>
      <c r="P294" s="706"/>
      <c r="Q294" s="863"/>
      <c r="R294" s="706"/>
      <c r="S294" s="863"/>
      <c r="T294" s="706"/>
      <c r="U294" s="863"/>
      <c r="V294" s="706"/>
      <c r="W294" s="863"/>
      <c r="X294" s="706"/>
      <c r="Y294" s="706"/>
      <c r="Z294" s="727"/>
      <c r="AA294" s="706"/>
      <c r="AB294" s="727"/>
      <c r="AC294" s="706"/>
      <c r="AD294" s="727"/>
      <c r="AE294" s="706"/>
      <c r="AF294" s="727"/>
      <c r="AG294" s="706"/>
      <c r="AH294" s="727"/>
      <c r="AI294" s="706"/>
      <c r="AJ294" s="706"/>
      <c r="AK294" s="727"/>
      <c r="AL294" s="706"/>
      <c r="AM294" s="727"/>
      <c r="AN294" s="706"/>
      <c r="AO294" s="727"/>
      <c r="AP294" s="706"/>
      <c r="AQ294" s="727"/>
      <c r="AR294" s="706"/>
      <c r="AS294" s="727"/>
      <c r="AT294" s="706"/>
      <c r="AU294" s="706"/>
      <c r="AV294" s="727"/>
      <c r="AW294" s="706"/>
      <c r="AX294" s="727"/>
      <c r="AY294" s="706"/>
      <c r="AZ294" s="727"/>
      <c r="BA294" s="706"/>
      <c r="BB294" s="727"/>
      <c r="BC294" s="706"/>
      <c r="BD294" s="727"/>
      <c r="BE294" s="706"/>
    </row>
    <row r="295" spans="1:57" s="48" customFormat="1">
      <c r="A295" s="827"/>
      <c r="B295" s="827"/>
      <c r="C295" s="893"/>
      <c r="D295" s="863"/>
      <c r="E295" s="706"/>
      <c r="F295" s="863"/>
      <c r="G295" s="706"/>
      <c r="H295" s="863"/>
      <c r="I295" s="706"/>
      <c r="J295" s="863"/>
      <c r="K295" s="706"/>
      <c r="L295" s="863"/>
      <c r="M295" s="706"/>
      <c r="N295" s="706"/>
      <c r="O295" s="863"/>
      <c r="P295" s="706"/>
      <c r="Q295" s="863"/>
      <c r="R295" s="706"/>
      <c r="S295" s="863"/>
      <c r="T295" s="706"/>
      <c r="U295" s="863"/>
      <c r="V295" s="706"/>
      <c r="W295" s="863"/>
      <c r="X295" s="706"/>
      <c r="Y295" s="706"/>
      <c r="Z295" s="727"/>
      <c r="AA295" s="706"/>
      <c r="AB295" s="727"/>
      <c r="AC295" s="706"/>
      <c r="AD295" s="727"/>
      <c r="AE295" s="706"/>
      <c r="AF295" s="727"/>
      <c r="AG295" s="706"/>
      <c r="AH295" s="727"/>
      <c r="AI295" s="706"/>
      <c r="AJ295" s="706"/>
      <c r="AK295" s="727"/>
      <c r="AL295" s="706"/>
      <c r="AM295" s="727"/>
      <c r="AN295" s="706"/>
      <c r="AO295" s="727"/>
      <c r="AP295" s="706"/>
      <c r="AQ295" s="727"/>
      <c r="AR295" s="706"/>
      <c r="AS295" s="727"/>
      <c r="AT295" s="706"/>
      <c r="AU295" s="706"/>
      <c r="AV295" s="727"/>
      <c r="AW295" s="706"/>
      <c r="AX295" s="727"/>
      <c r="AY295" s="706"/>
      <c r="AZ295" s="727"/>
      <c r="BA295" s="706"/>
      <c r="BB295" s="727"/>
      <c r="BC295" s="706"/>
      <c r="BD295" s="727"/>
      <c r="BE295" s="706"/>
    </row>
    <row r="296" spans="1:57" s="48" customFormat="1">
      <c r="A296" s="827"/>
      <c r="B296" s="827"/>
      <c r="C296" s="893"/>
      <c r="D296" s="863"/>
      <c r="E296" s="706"/>
      <c r="F296" s="863"/>
      <c r="G296" s="706"/>
      <c r="H296" s="863"/>
      <c r="I296" s="706"/>
      <c r="J296" s="863"/>
      <c r="K296" s="706"/>
      <c r="L296" s="863"/>
      <c r="M296" s="706"/>
      <c r="N296" s="706"/>
      <c r="O296" s="863"/>
      <c r="P296" s="706"/>
      <c r="Q296" s="863"/>
      <c r="R296" s="706"/>
      <c r="S296" s="863"/>
      <c r="T296" s="706"/>
      <c r="U296" s="863"/>
      <c r="V296" s="706"/>
      <c r="W296" s="863"/>
      <c r="X296" s="706"/>
      <c r="Y296" s="706"/>
      <c r="Z296" s="727"/>
      <c r="AA296" s="706"/>
      <c r="AB296" s="727"/>
      <c r="AC296" s="706"/>
      <c r="AD296" s="727"/>
      <c r="AE296" s="706"/>
      <c r="AF296" s="727"/>
      <c r="AG296" s="706"/>
      <c r="AH296" s="727"/>
      <c r="AI296" s="706"/>
      <c r="AJ296" s="706"/>
      <c r="AK296" s="727"/>
      <c r="AL296" s="706"/>
      <c r="AM296" s="727"/>
      <c r="AN296" s="706"/>
      <c r="AO296" s="727"/>
      <c r="AP296" s="706"/>
      <c r="AQ296" s="727"/>
      <c r="AR296" s="706"/>
      <c r="AS296" s="727"/>
      <c r="AT296" s="706"/>
      <c r="AU296" s="706"/>
      <c r="AV296" s="727"/>
      <c r="AW296" s="706"/>
      <c r="AX296" s="727"/>
      <c r="AY296" s="706"/>
      <c r="AZ296" s="727"/>
      <c r="BA296" s="706"/>
      <c r="BB296" s="727"/>
      <c r="BC296" s="706"/>
      <c r="BD296" s="727"/>
      <c r="BE296" s="706"/>
    </row>
    <row r="297" spans="1:57" s="48" customFormat="1">
      <c r="A297" s="827"/>
      <c r="B297" s="827"/>
      <c r="C297" s="893"/>
      <c r="D297" s="863"/>
      <c r="E297" s="706"/>
      <c r="F297" s="863"/>
      <c r="G297" s="706"/>
      <c r="H297" s="863"/>
      <c r="I297" s="706"/>
      <c r="J297" s="863"/>
      <c r="K297" s="706"/>
      <c r="L297" s="863"/>
      <c r="M297" s="706"/>
      <c r="N297" s="706"/>
      <c r="O297" s="863"/>
      <c r="P297" s="706"/>
      <c r="Q297" s="863"/>
      <c r="R297" s="706"/>
      <c r="S297" s="863"/>
      <c r="T297" s="706"/>
      <c r="U297" s="863"/>
      <c r="V297" s="706"/>
      <c r="W297" s="863"/>
      <c r="X297" s="706"/>
      <c r="Y297" s="706"/>
      <c r="Z297" s="727"/>
      <c r="AA297" s="706"/>
      <c r="AB297" s="727"/>
      <c r="AC297" s="706"/>
      <c r="AD297" s="727"/>
      <c r="AE297" s="706"/>
      <c r="AF297" s="727"/>
      <c r="AG297" s="706"/>
      <c r="AH297" s="727"/>
      <c r="AI297" s="706"/>
      <c r="AJ297" s="706"/>
      <c r="AK297" s="727"/>
      <c r="AL297" s="706"/>
      <c r="AM297" s="727"/>
      <c r="AN297" s="706"/>
      <c r="AO297" s="727"/>
      <c r="AP297" s="706"/>
      <c r="AQ297" s="727"/>
      <c r="AR297" s="706"/>
      <c r="AS297" s="727"/>
      <c r="AT297" s="706"/>
      <c r="AU297" s="706"/>
      <c r="AV297" s="727"/>
      <c r="AW297" s="706"/>
      <c r="AX297" s="727"/>
      <c r="AY297" s="706"/>
      <c r="AZ297" s="727"/>
      <c r="BA297" s="706"/>
      <c r="BB297" s="727"/>
      <c r="BC297" s="706"/>
      <c r="BD297" s="727"/>
      <c r="BE297" s="706"/>
    </row>
    <row r="298" spans="1:57" s="48" customFormat="1">
      <c r="A298" s="827"/>
      <c r="B298" s="827"/>
      <c r="C298" s="893"/>
      <c r="D298" s="863"/>
      <c r="E298" s="706"/>
      <c r="F298" s="863"/>
      <c r="G298" s="706"/>
      <c r="H298" s="863"/>
      <c r="I298" s="706"/>
      <c r="J298" s="863"/>
      <c r="K298" s="706"/>
      <c r="L298" s="863"/>
      <c r="M298" s="706"/>
      <c r="N298" s="706"/>
      <c r="O298" s="863"/>
      <c r="P298" s="706"/>
      <c r="Q298" s="863"/>
      <c r="R298" s="706"/>
      <c r="S298" s="863"/>
      <c r="T298" s="706"/>
      <c r="U298" s="863"/>
      <c r="V298" s="706"/>
      <c r="W298" s="863"/>
      <c r="X298" s="706"/>
      <c r="Y298" s="706"/>
      <c r="Z298" s="727"/>
      <c r="AA298" s="706"/>
      <c r="AB298" s="727"/>
      <c r="AC298" s="706"/>
      <c r="AD298" s="727"/>
      <c r="AE298" s="706"/>
      <c r="AF298" s="727"/>
      <c r="AG298" s="706"/>
      <c r="AH298" s="727"/>
      <c r="AI298" s="706"/>
      <c r="AJ298" s="706"/>
      <c r="AK298" s="727"/>
      <c r="AL298" s="706"/>
      <c r="AM298" s="727"/>
      <c r="AN298" s="706"/>
      <c r="AO298" s="727"/>
      <c r="AP298" s="706"/>
      <c r="AQ298" s="727"/>
      <c r="AR298" s="706"/>
      <c r="AS298" s="727"/>
      <c r="AT298" s="706"/>
      <c r="AU298" s="706"/>
      <c r="AV298" s="727"/>
      <c r="AW298" s="706"/>
      <c r="AX298" s="727"/>
      <c r="AY298" s="706"/>
      <c r="AZ298" s="727"/>
      <c r="BA298" s="706"/>
      <c r="BB298" s="727"/>
      <c r="BC298" s="706"/>
      <c r="BD298" s="727"/>
      <c r="BE298" s="706"/>
    </row>
    <row r="299" spans="1:57" s="48" customFormat="1">
      <c r="A299" s="827"/>
      <c r="B299" s="827"/>
      <c r="C299" s="893"/>
      <c r="D299" s="863"/>
      <c r="E299" s="706"/>
      <c r="F299" s="863"/>
      <c r="G299" s="706"/>
      <c r="H299" s="863"/>
      <c r="I299" s="706"/>
      <c r="J299" s="863"/>
      <c r="K299" s="706"/>
      <c r="L299" s="863"/>
      <c r="M299" s="706"/>
      <c r="N299" s="706"/>
      <c r="O299" s="863"/>
      <c r="P299" s="706"/>
      <c r="Q299" s="863"/>
      <c r="R299" s="706"/>
      <c r="S299" s="863"/>
      <c r="T299" s="706"/>
      <c r="U299" s="863"/>
      <c r="V299" s="706"/>
      <c r="W299" s="863"/>
      <c r="X299" s="706"/>
      <c r="Y299" s="706"/>
      <c r="Z299" s="727"/>
      <c r="AA299" s="706"/>
      <c r="AB299" s="727"/>
      <c r="AC299" s="706"/>
      <c r="AD299" s="727"/>
      <c r="AE299" s="706"/>
      <c r="AF299" s="727"/>
      <c r="AG299" s="706"/>
      <c r="AH299" s="727"/>
      <c r="AI299" s="706"/>
      <c r="AJ299" s="706"/>
      <c r="AK299" s="727"/>
      <c r="AL299" s="706"/>
      <c r="AM299" s="727"/>
      <c r="AN299" s="706"/>
      <c r="AO299" s="727"/>
      <c r="AP299" s="706"/>
      <c r="AQ299" s="727"/>
      <c r="AR299" s="706"/>
      <c r="AS299" s="727"/>
      <c r="AT299" s="706"/>
      <c r="AU299" s="706"/>
      <c r="AV299" s="727"/>
      <c r="AW299" s="706"/>
      <c r="AX299" s="727"/>
      <c r="AY299" s="706"/>
      <c r="AZ299" s="727"/>
      <c r="BA299" s="706"/>
      <c r="BB299" s="727"/>
      <c r="BC299" s="706"/>
      <c r="BD299" s="727"/>
      <c r="BE299" s="706"/>
    </row>
    <row r="300" spans="1:57" s="48" customFormat="1">
      <c r="A300" s="827"/>
      <c r="B300" s="827"/>
      <c r="C300" s="893"/>
      <c r="D300" s="863"/>
      <c r="E300" s="706"/>
      <c r="F300" s="863"/>
      <c r="G300" s="706"/>
      <c r="H300" s="863"/>
      <c r="I300" s="706"/>
      <c r="J300" s="863"/>
      <c r="K300" s="706"/>
      <c r="L300" s="863"/>
      <c r="M300" s="706"/>
      <c r="N300" s="706"/>
      <c r="O300" s="863"/>
      <c r="P300" s="706"/>
      <c r="Q300" s="863"/>
      <c r="R300" s="706"/>
      <c r="S300" s="863"/>
      <c r="T300" s="706"/>
      <c r="U300" s="863"/>
      <c r="V300" s="706"/>
      <c r="W300" s="863"/>
      <c r="X300" s="706"/>
      <c r="Y300" s="706"/>
      <c r="Z300" s="727"/>
      <c r="AA300" s="706"/>
      <c r="AB300" s="727"/>
      <c r="AC300" s="706"/>
      <c r="AD300" s="727"/>
      <c r="AE300" s="706"/>
      <c r="AF300" s="727"/>
      <c r="AG300" s="706"/>
      <c r="AH300" s="727"/>
      <c r="AI300" s="706"/>
      <c r="AJ300" s="706"/>
      <c r="AK300" s="727"/>
      <c r="AL300" s="706"/>
      <c r="AM300" s="727"/>
      <c r="AN300" s="706"/>
      <c r="AO300" s="727"/>
      <c r="AP300" s="706"/>
      <c r="AQ300" s="727"/>
      <c r="AR300" s="706"/>
      <c r="AS300" s="727"/>
      <c r="AT300" s="706"/>
      <c r="AU300" s="706"/>
      <c r="AV300" s="727"/>
      <c r="AW300" s="706"/>
      <c r="AX300" s="727"/>
      <c r="AY300" s="706"/>
      <c r="AZ300" s="727"/>
      <c r="BA300" s="706"/>
      <c r="BB300" s="727"/>
      <c r="BC300" s="706"/>
      <c r="BD300" s="727"/>
      <c r="BE300" s="706"/>
    </row>
    <row r="301" spans="1:57" s="48" customFormat="1">
      <c r="A301" s="827"/>
      <c r="B301" s="827"/>
      <c r="C301" s="893"/>
      <c r="D301" s="863"/>
      <c r="E301" s="706"/>
      <c r="F301" s="863"/>
      <c r="G301" s="706"/>
      <c r="H301" s="863"/>
      <c r="I301" s="706"/>
      <c r="J301" s="863"/>
      <c r="K301" s="706"/>
      <c r="L301" s="863"/>
      <c r="M301" s="706"/>
      <c r="N301" s="706"/>
      <c r="O301" s="863"/>
      <c r="P301" s="706"/>
      <c r="Q301" s="863"/>
      <c r="R301" s="706"/>
      <c r="S301" s="863"/>
      <c r="T301" s="706"/>
      <c r="U301" s="863"/>
      <c r="V301" s="706"/>
      <c r="W301" s="863"/>
      <c r="X301" s="706"/>
      <c r="Y301" s="706"/>
      <c r="Z301" s="727"/>
      <c r="AA301" s="706"/>
      <c r="AB301" s="727"/>
      <c r="AC301" s="706"/>
      <c r="AD301" s="727"/>
      <c r="AE301" s="706"/>
      <c r="AF301" s="727"/>
      <c r="AG301" s="706"/>
      <c r="AH301" s="727"/>
      <c r="AI301" s="706"/>
      <c r="AJ301" s="706"/>
      <c r="AK301" s="727"/>
      <c r="AL301" s="706"/>
      <c r="AM301" s="727"/>
      <c r="AN301" s="706"/>
      <c r="AO301" s="727"/>
      <c r="AP301" s="706"/>
      <c r="AQ301" s="727"/>
      <c r="AR301" s="706"/>
      <c r="AS301" s="727"/>
      <c r="AT301" s="706"/>
      <c r="AU301" s="706"/>
      <c r="AV301" s="727"/>
      <c r="AW301" s="706"/>
      <c r="AX301" s="727"/>
      <c r="AY301" s="706"/>
      <c r="AZ301" s="727"/>
      <c r="BA301" s="706"/>
      <c r="BB301" s="727"/>
      <c r="BC301" s="706"/>
      <c r="BD301" s="727"/>
      <c r="BE301" s="706"/>
    </row>
    <row r="302" spans="1:57" s="48" customFormat="1">
      <c r="A302" s="827"/>
      <c r="B302" s="827"/>
      <c r="C302" s="893"/>
      <c r="D302" s="863"/>
      <c r="E302" s="706"/>
      <c r="F302" s="863"/>
      <c r="G302" s="706"/>
      <c r="H302" s="863"/>
      <c r="I302" s="706"/>
      <c r="J302" s="863"/>
      <c r="K302" s="706"/>
      <c r="L302" s="863"/>
      <c r="M302" s="706"/>
      <c r="N302" s="706"/>
      <c r="O302" s="863"/>
      <c r="P302" s="706"/>
      <c r="Q302" s="863"/>
      <c r="R302" s="706"/>
      <c r="S302" s="863"/>
      <c r="T302" s="706"/>
      <c r="U302" s="863"/>
      <c r="V302" s="706"/>
      <c r="W302" s="863"/>
      <c r="X302" s="706"/>
      <c r="Y302" s="706"/>
      <c r="Z302" s="727"/>
      <c r="AA302" s="706"/>
      <c r="AB302" s="727"/>
      <c r="AC302" s="706"/>
      <c r="AD302" s="727"/>
      <c r="AE302" s="706"/>
      <c r="AF302" s="727"/>
      <c r="AG302" s="706"/>
      <c r="AH302" s="727"/>
      <c r="AI302" s="706"/>
      <c r="AJ302" s="706"/>
      <c r="AK302" s="727"/>
      <c r="AL302" s="706"/>
      <c r="AM302" s="727"/>
      <c r="AN302" s="706"/>
      <c r="AO302" s="727"/>
      <c r="AP302" s="706"/>
      <c r="AQ302" s="727"/>
      <c r="AR302" s="706"/>
      <c r="AS302" s="727"/>
      <c r="AT302" s="706"/>
      <c r="AU302" s="706"/>
      <c r="AV302" s="727"/>
      <c r="AW302" s="706"/>
      <c r="AX302" s="727"/>
      <c r="AY302" s="706"/>
      <c r="AZ302" s="727"/>
      <c r="BA302" s="706"/>
      <c r="BB302" s="727"/>
      <c r="BC302" s="706"/>
      <c r="BD302" s="727"/>
      <c r="BE302" s="706"/>
    </row>
    <row r="303" spans="1:57" s="48" customFormat="1">
      <c r="A303" s="827"/>
      <c r="B303" s="827"/>
      <c r="C303" s="893"/>
      <c r="D303" s="863"/>
      <c r="E303" s="706"/>
      <c r="F303" s="863"/>
      <c r="G303" s="706"/>
      <c r="H303" s="863"/>
      <c r="I303" s="706"/>
      <c r="J303" s="863"/>
      <c r="K303" s="706"/>
      <c r="L303" s="863"/>
      <c r="M303" s="706"/>
      <c r="N303" s="706"/>
      <c r="O303" s="863"/>
      <c r="P303" s="706"/>
      <c r="Q303" s="863"/>
      <c r="R303" s="706"/>
      <c r="S303" s="863"/>
      <c r="T303" s="706"/>
      <c r="U303" s="863"/>
      <c r="V303" s="706"/>
      <c r="W303" s="863"/>
      <c r="X303" s="706"/>
      <c r="Y303" s="706"/>
      <c r="Z303" s="727"/>
      <c r="AA303" s="706"/>
      <c r="AB303" s="727"/>
      <c r="AC303" s="706"/>
      <c r="AD303" s="727"/>
      <c r="AE303" s="706"/>
      <c r="AF303" s="727"/>
      <c r="AG303" s="706"/>
      <c r="AH303" s="727"/>
      <c r="AI303" s="706"/>
      <c r="AJ303" s="706"/>
      <c r="AK303" s="727"/>
      <c r="AL303" s="706"/>
      <c r="AM303" s="727"/>
      <c r="AN303" s="706"/>
      <c r="AO303" s="727"/>
      <c r="AP303" s="706"/>
      <c r="AQ303" s="727"/>
      <c r="AR303" s="706"/>
      <c r="AS303" s="727"/>
      <c r="AT303" s="706"/>
      <c r="AU303" s="706"/>
      <c r="AV303" s="727"/>
      <c r="AW303" s="706"/>
      <c r="AX303" s="727"/>
      <c r="AY303" s="706"/>
      <c r="AZ303" s="727"/>
      <c r="BA303" s="706"/>
      <c r="BB303" s="727"/>
      <c r="BC303" s="706"/>
      <c r="BD303" s="727"/>
      <c r="BE303" s="706"/>
    </row>
    <row r="304" spans="1:57" s="48" customFormat="1">
      <c r="A304" s="827"/>
      <c r="B304" s="827"/>
      <c r="C304" s="893"/>
      <c r="D304" s="863"/>
      <c r="E304" s="706"/>
      <c r="F304" s="863"/>
      <c r="G304" s="706"/>
      <c r="H304" s="863"/>
      <c r="I304" s="706"/>
      <c r="J304" s="863"/>
      <c r="K304" s="706"/>
      <c r="L304" s="863"/>
      <c r="M304" s="706"/>
      <c r="N304" s="706"/>
      <c r="O304" s="863"/>
      <c r="P304" s="706"/>
      <c r="Q304" s="863"/>
      <c r="R304" s="706"/>
      <c r="S304" s="863"/>
      <c r="T304" s="706"/>
      <c r="U304" s="863"/>
      <c r="V304" s="706"/>
      <c r="W304" s="863"/>
      <c r="X304" s="706"/>
      <c r="Y304" s="706"/>
      <c r="Z304" s="727"/>
      <c r="AA304" s="706"/>
      <c r="AB304" s="727"/>
      <c r="AC304" s="706"/>
      <c r="AD304" s="727"/>
      <c r="AE304" s="706"/>
      <c r="AF304" s="727"/>
      <c r="AG304" s="706"/>
      <c r="AH304" s="727"/>
      <c r="AI304" s="706"/>
      <c r="AJ304" s="706"/>
      <c r="AK304" s="727"/>
      <c r="AL304" s="706"/>
      <c r="AM304" s="727"/>
      <c r="AN304" s="706"/>
      <c r="AO304" s="727"/>
      <c r="AP304" s="706"/>
      <c r="AQ304" s="727"/>
      <c r="AR304" s="706"/>
      <c r="AS304" s="727"/>
      <c r="AT304" s="706"/>
      <c r="AU304" s="706"/>
      <c r="AV304" s="727"/>
      <c r="AW304" s="706"/>
      <c r="AX304" s="727"/>
      <c r="AY304" s="706"/>
      <c r="AZ304" s="727"/>
      <c r="BA304" s="706"/>
      <c r="BB304" s="727"/>
      <c r="BC304" s="706"/>
      <c r="BD304" s="727"/>
      <c r="BE304" s="706"/>
    </row>
    <row r="305" spans="1:57" s="48" customFormat="1">
      <c r="A305" s="827"/>
      <c r="B305" s="827"/>
      <c r="C305" s="893"/>
      <c r="D305" s="863"/>
      <c r="E305" s="706"/>
      <c r="F305" s="863"/>
      <c r="G305" s="706"/>
      <c r="H305" s="863"/>
      <c r="I305" s="706"/>
      <c r="J305" s="863"/>
      <c r="K305" s="706"/>
      <c r="L305" s="863"/>
      <c r="M305" s="706"/>
      <c r="N305" s="706"/>
      <c r="O305" s="863"/>
      <c r="P305" s="706"/>
      <c r="Q305" s="863"/>
      <c r="R305" s="706"/>
      <c r="S305" s="863"/>
      <c r="T305" s="706"/>
      <c r="U305" s="863"/>
      <c r="V305" s="706"/>
      <c r="W305" s="863"/>
      <c r="X305" s="706"/>
      <c r="Y305" s="706"/>
      <c r="Z305" s="727"/>
      <c r="AA305" s="706"/>
      <c r="AB305" s="727"/>
      <c r="AC305" s="706"/>
      <c r="AD305" s="727"/>
      <c r="AE305" s="706"/>
      <c r="AF305" s="727"/>
      <c r="AG305" s="706"/>
      <c r="AH305" s="727"/>
      <c r="AI305" s="706"/>
      <c r="AJ305" s="706"/>
      <c r="AK305" s="727"/>
      <c r="AL305" s="706"/>
      <c r="AM305" s="727"/>
      <c r="AN305" s="706"/>
      <c r="AO305" s="727"/>
      <c r="AP305" s="706"/>
      <c r="AQ305" s="727"/>
      <c r="AR305" s="706"/>
      <c r="AS305" s="727"/>
      <c r="AT305" s="706"/>
      <c r="AU305" s="706"/>
      <c r="AV305" s="727"/>
      <c r="AW305" s="706"/>
      <c r="AX305" s="727"/>
      <c r="AY305" s="706"/>
      <c r="AZ305" s="727"/>
      <c r="BA305" s="706"/>
      <c r="BB305" s="727"/>
      <c r="BC305" s="706"/>
      <c r="BD305" s="727"/>
      <c r="BE305" s="706"/>
    </row>
    <row r="306" spans="1:57" s="48" customFormat="1">
      <c r="A306" s="827"/>
      <c r="B306" s="827"/>
      <c r="C306" s="893"/>
      <c r="D306" s="863"/>
      <c r="E306" s="706"/>
      <c r="F306" s="863"/>
      <c r="G306" s="706"/>
      <c r="H306" s="863"/>
      <c r="I306" s="706"/>
      <c r="J306" s="863"/>
      <c r="K306" s="706"/>
      <c r="L306" s="863"/>
      <c r="M306" s="706"/>
      <c r="N306" s="706"/>
      <c r="O306" s="863"/>
      <c r="P306" s="706"/>
      <c r="Q306" s="863"/>
      <c r="R306" s="706"/>
      <c r="S306" s="863"/>
      <c r="T306" s="706"/>
      <c r="U306" s="863"/>
      <c r="V306" s="706"/>
      <c r="W306" s="863"/>
      <c r="X306" s="706"/>
      <c r="Y306" s="706"/>
      <c r="Z306" s="727"/>
      <c r="AA306" s="706"/>
      <c r="AB306" s="727"/>
      <c r="AC306" s="706"/>
      <c r="AD306" s="727"/>
      <c r="AE306" s="706"/>
      <c r="AF306" s="727"/>
      <c r="AG306" s="706"/>
      <c r="AH306" s="727"/>
      <c r="AI306" s="706"/>
      <c r="AJ306" s="706"/>
      <c r="AK306" s="727"/>
      <c r="AL306" s="706"/>
      <c r="AM306" s="727"/>
      <c r="AN306" s="706"/>
      <c r="AO306" s="727"/>
      <c r="AP306" s="706"/>
      <c r="AQ306" s="727"/>
      <c r="AR306" s="706"/>
      <c r="AS306" s="727"/>
      <c r="AT306" s="706"/>
      <c r="AU306" s="706"/>
      <c r="AV306" s="727"/>
      <c r="AW306" s="706"/>
      <c r="AX306" s="727"/>
      <c r="AY306" s="706"/>
      <c r="AZ306" s="727"/>
      <c r="BA306" s="706"/>
      <c r="BB306" s="727"/>
      <c r="BC306" s="706"/>
      <c r="BD306" s="727"/>
      <c r="BE306" s="706"/>
    </row>
    <row r="307" spans="1:57" s="48" customFormat="1">
      <c r="A307" s="827"/>
      <c r="B307" s="827"/>
      <c r="C307" s="893"/>
      <c r="D307" s="863"/>
      <c r="E307" s="706"/>
      <c r="F307" s="863"/>
      <c r="G307" s="706"/>
      <c r="H307" s="863"/>
      <c r="I307" s="706"/>
      <c r="J307" s="863"/>
      <c r="K307" s="706"/>
      <c r="L307" s="863"/>
      <c r="M307" s="706"/>
      <c r="N307" s="706"/>
      <c r="O307" s="863"/>
      <c r="P307" s="706"/>
      <c r="Q307" s="863"/>
      <c r="R307" s="706"/>
      <c r="S307" s="863"/>
      <c r="T307" s="706"/>
      <c r="U307" s="863"/>
      <c r="V307" s="706"/>
      <c r="W307" s="863"/>
      <c r="X307" s="706"/>
      <c r="Y307" s="706"/>
      <c r="Z307" s="727"/>
      <c r="AA307" s="706"/>
      <c r="AB307" s="727"/>
      <c r="AC307" s="706"/>
      <c r="AD307" s="727"/>
      <c r="AE307" s="706"/>
      <c r="AF307" s="727"/>
      <c r="AG307" s="706"/>
      <c r="AH307" s="727"/>
      <c r="AI307" s="706"/>
      <c r="AJ307" s="706"/>
      <c r="AK307" s="727"/>
      <c r="AL307" s="706"/>
      <c r="AM307" s="727"/>
      <c r="AN307" s="706"/>
      <c r="AO307" s="727"/>
      <c r="AP307" s="706"/>
      <c r="AQ307" s="727"/>
      <c r="AR307" s="706"/>
      <c r="AS307" s="727"/>
      <c r="AT307" s="706"/>
      <c r="AU307" s="706"/>
      <c r="AV307" s="727"/>
      <c r="AW307" s="706"/>
      <c r="AX307" s="727"/>
      <c r="AY307" s="706"/>
      <c r="AZ307" s="727"/>
      <c r="BA307" s="706"/>
      <c r="BB307" s="727"/>
      <c r="BC307" s="706"/>
      <c r="BD307" s="727"/>
      <c r="BE307" s="706"/>
    </row>
    <row r="308" spans="1:57" s="48" customFormat="1">
      <c r="A308" s="827"/>
      <c r="B308" s="827"/>
      <c r="C308" s="893"/>
      <c r="D308" s="863"/>
      <c r="E308" s="706"/>
      <c r="F308" s="863"/>
      <c r="G308" s="706"/>
      <c r="H308" s="863"/>
      <c r="I308" s="706"/>
      <c r="J308" s="863"/>
      <c r="K308" s="706"/>
      <c r="L308" s="863"/>
      <c r="M308" s="706"/>
      <c r="N308" s="706"/>
      <c r="O308" s="863"/>
      <c r="P308" s="706"/>
      <c r="Q308" s="863"/>
      <c r="R308" s="706"/>
      <c r="S308" s="863"/>
      <c r="T308" s="706"/>
      <c r="U308" s="863"/>
      <c r="V308" s="706"/>
      <c r="W308" s="863"/>
      <c r="X308" s="706"/>
      <c r="Y308" s="706"/>
      <c r="Z308" s="727"/>
      <c r="AA308" s="706"/>
      <c r="AB308" s="727"/>
      <c r="AC308" s="706"/>
      <c r="AD308" s="727"/>
      <c r="AE308" s="706"/>
      <c r="AF308" s="727"/>
      <c r="AG308" s="706"/>
      <c r="AH308" s="727"/>
      <c r="AI308" s="706"/>
      <c r="AJ308" s="706"/>
      <c r="AK308" s="727"/>
      <c r="AL308" s="706"/>
      <c r="AM308" s="727"/>
      <c r="AN308" s="706"/>
      <c r="AO308" s="727"/>
      <c r="AP308" s="706"/>
      <c r="AQ308" s="727"/>
      <c r="AR308" s="706"/>
      <c r="AS308" s="727"/>
      <c r="AT308" s="706"/>
      <c r="AU308" s="706"/>
      <c r="AV308" s="727"/>
      <c r="AW308" s="706"/>
      <c r="AX308" s="727"/>
      <c r="AY308" s="706"/>
      <c r="AZ308" s="727"/>
      <c r="BA308" s="706"/>
      <c r="BB308" s="727"/>
      <c r="BC308" s="706"/>
      <c r="BD308" s="727"/>
      <c r="BE308" s="706"/>
    </row>
    <row r="309" spans="1:57" s="48" customFormat="1">
      <c r="A309" s="827"/>
      <c r="B309" s="827"/>
      <c r="C309" s="893"/>
      <c r="D309" s="863"/>
      <c r="E309" s="706"/>
      <c r="F309" s="863"/>
      <c r="G309" s="706"/>
      <c r="H309" s="863"/>
      <c r="I309" s="706"/>
      <c r="J309" s="863"/>
      <c r="K309" s="706"/>
      <c r="L309" s="863"/>
      <c r="M309" s="706"/>
      <c r="N309" s="706"/>
      <c r="O309" s="863"/>
      <c r="P309" s="706"/>
      <c r="Q309" s="863"/>
      <c r="R309" s="706"/>
      <c r="S309" s="863"/>
      <c r="T309" s="706"/>
      <c r="U309" s="863"/>
      <c r="V309" s="706"/>
      <c r="W309" s="863"/>
      <c r="X309" s="706"/>
      <c r="Y309" s="706"/>
      <c r="Z309" s="727"/>
      <c r="AA309" s="706"/>
      <c r="AB309" s="727"/>
      <c r="AC309" s="706"/>
      <c r="AD309" s="727"/>
      <c r="AE309" s="706"/>
      <c r="AF309" s="727"/>
      <c r="AG309" s="706"/>
      <c r="AH309" s="727"/>
      <c r="AI309" s="706"/>
      <c r="AJ309" s="706"/>
      <c r="AK309" s="727"/>
      <c r="AL309" s="706"/>
      <c r="AM309" s="727"/>
      <c r="AN309" s="706"/>
      <c r="AO309" s="727"/>
      <c r="AP309" s="706"/>
      <c r="AQ309" s="727"/>
      <c r="AR309" s="706"/>
      <c r="AS309" s="727"/>
      <c r="AT309" s="706"/>
      <c r="AU309" s="706"/>
      <c r="AV309" s="727"/>
      <c r="AW309" s="706"/>
      <c r="AX309" s="727"/>
      <c r="AY309" s="706"/>
      <c r="AZ309" s="727"/>
      <c r="BA309" s="706"/>
      <c r="BB309" s="727"/>
      <c r="BC309" s="706"/>
      <c r="BD309" s="727"/>
      <c r="BE309" s="706"/>
    </row>
    <row r="310" spans="1:57" s="48" customFormat="1">
      <c r="A310" s="827"/>
      <c r="B310" s="827"/>
      <c r="C310" s="893"/>
      <c r="D310" s="863"/>
      <c r="E310" s="706"/>
      <c r="F310" s="863"/>
      <c r="G310" s="706"/>
      <c r="H310" s="863"/>
      <c r="I310" s="706"/>
      <c r="J310" s="863"/>
      <c r="K310" s="706"/>
      <c r="L310" s="863"/>
      <c r="M310" s="706"/>
      <c r="N310" s="706"/>
      <c r="O310" s="863"/>
      <c r="P310" s="706"/>
      <c r="Q310" s="863"/>
      <c r="R310" s="706"/>
      <c r="S310" s="863"/>
      <c r="T310" s="706"/>
      <c r="U310" s="863"/>
      <c r="V310" s="706"/>
      <c r="W310" s="863"/>
      <c r="X310" s="706"/>
      <c r="Y310" s="706"/>
      <c r="Z310" s="727"/>
      <c r="AA310" s="706"/>
      <c r="AB310" s="727"/>
      <c r="AC310" s="706"/>
      <c r="AD310" s="727"/>
      <c r="AE310" s="706"/>
      <c r="AF310" s="727"/>
      <c r="AG310" s="706"/>
      <c r="AH310" s="727"/>
      <c r="AI310" s="706"/>
      <c r="AJ310" s="706"/>
      <c r="AK310" s="727"/>
      <c r="AL310" s="706"/>
      <c r="AM310" s="727"/>
      <c r="AN310" s="706"/>
      <c r="AO310" s="727"/>
      <c r="AP310" s="706"/>
      <c r="AQ310" s="727"/>
      <c r="AR310" s="706"/>
      <c r="AS310" s="727"/>
      <c r="AT310" s="706"/>
      <c r="AU310" s="706"/>
      <c r="AV310" s="727"/>
      <c r="AW310" s="706"/>
      <c r="AX310" s="727"/>
      <c r="AY310" s="706"/>
      <c r="AZ310" s="727"/>
      <c r="BA310" s="706"/>
      <c r="BB310" s="727"/>
      <c r="BC310" s="706"/>
      <c r="BD310" s="727"/>
      <c r="BE310" s="706"/>
    </row>
    <row r="311" spans="1:57" s="48" customFormat="1">
      <c r="A311" s="827"/>
      <c r="B311" s="827"/>
      <c r="C311" s="893"/>
      <c r="D311" s="863"/>
      <c r="E311" s="706"/>
      <c r="F311" s="863"/>
      <c r="G311" s="706"/>
      <c r="H311" s="863"/>
      <c r="I311" s="706"/>
      <c r="J311" s="863"/>
      <c r="K311" s="706"/>
      <c r="L311" s="863"/>
      <c r="M311" s="706"/>
      <c r="N311" s="706"/>
      <c r="O311" s="863"/>
      <c r="P311" s="706"/>
      <c r="Q311" s="863"/>
      <c r="R311" s="706"/>
      <c r="S311" s="863"/>
      <c r="T311" s="706"/>
      <c r="U311" s="863"/>
      <c r="V311" s="706"/>
      <c r="W311" s="863"/>
      <c r="X311" s="706"/>
      <c r="Y311" s="706"/>
      <c r="Z311" s="727"/>
      <c r="AA311" s="706"/>
      <c r="AB311" s="727"/>
      <c r="AC311" s="706"/>
      <c r="AD311" s="727"/>
      <c r="AE311" s="706"/>
      <c r="AF311" s="727"/>
      <c r="AG311" s="706"/>
      <c r="AH311" s="727"/>
      <c r="AI311" s="706"/>
      <c r="AJ311" s="706"/>
      <c r="AK311" s="727"/>
      <c r="AL311" s="706"/>
      <c r="AM311" s="727"/>
      <c r="AN311" s="706"/>
      <c r="AO311" s="727"/>
      <c r="AP311" s="706"/>
      <c r="AQ311" s="727"/>
      <c r="AR311" s="706"/>
      <c r="AS311" s="727"/>
      <c r="AT311" s="706"/>
      <c r="AU311" s="706"/>
      <c r="AV311" s="727"/>
      <c r="AW311" s="706"/>
      <c r="AX311" s="727"/>
      <c r="AY311" s="706"/>
      <c r="AZ311" s="727"/>
      <c r="BA311" s="706"/>
      <c r="BB311" s="727"/>
      <c r="BC311" s="706"/>
      <c r="BD311" s="727"/>
      <c r="BE311" s="706"/>
    </row>
    <row r="312" spans="1:57" s="48" customFormat="1">
      <c r="A312" s="827"/>
      <c r="B312" s="827"/>
      <c r="C312" s="893"/>
      <c r="D312" s="863"/>
      <c r="E312" s="706"/>
      <c r="F312" s="863"/>
      <c r="G312" s="706"/>
      <c r="H312" s="863"/>
      <c r="I312" s="706"/>
      <c r="J312" s="863"/>
      <c r="K312" s="706"/>
      <c r="L312" s="863"/>
      <c r="M312" s="706"/>
      <c r="N312" s="706"/>
      <c r="O312" s="863"/>
      <c r="P312" s="706"/>
      <c r="Q312" s="863"/>
      <c r="R312" s="706"/>
      <c r="S312" s="863"/>
      <c r="T312" s="706"/>
      <c r="U312" s="863"/>
      <c r="V312" s="706"/>
      <c r="W312" s="863"/>
      <c r="X312" s="706"/>
      <c r="Y312" s="706"/>
      <c r="Z312" s="727"/>
      <c r="AA312" s="706"/>
      <c r="AB312" s="727"/>
      <c r="AC312" s="706"/>
      <c r="AD312" s="727"/>
      <c r="AE312" s="706"/>
      <c r="AF312" s="727"/>
      <c r="AG312" s="706"/>
      <c r="AH312" s="727"/>
      <c r="AI312" s="706"/>
      <c r="AJ312" s="706"/>
      <c r="AK312" s="727"/>
      <c r="AL312" s="706"/>
      <c r="AM312" s="727"/>
      <c r="AN312" s="706"/>
      <c r="AO312" s="727"/>
      <c r="AP312" s="706"/>
      <c r="AQ312" s="727"/>
      <c r="AR312" s="706"/>
      <c r="AS312" s="727"/>
      <c r="AT312" s="706"/>
      <c r="AU312" s="706"/>
      <c r="AV312" s="727"/>
      <c r="AW312" s="706"/>
      <c r="AX312" s="727"/>
      <c r="AY312" s="706"/>
      <c r="AZ312" s="727"/>
      <c r="BA312" s="706"/>
      <c r="BB312" s="727"/>
      <c r="BC312" s="706"/>
      <c r="BD312" s="727"/>
      <c r="BE312" s="706"/>
    </row>
    <row r="313" spans="1:57" s="48" customFormat="1">
      <c r="A313" s="827"/>
      <c r="B313" s="827"/>
      <c r="C313" s="893"/>
      <c r="D313" s="863"/>
      <c r="E313" s="706"/>
      <c r="F313" s="863"/>
      <c r="G313" s="706"/>
      <c r="H313" s="863"/>
      <c r="I313" s="706"/>
      <c r="J313" s="863"/>
      <c r="K313" s="706"/>
      <c r="L313" s="863"/>
      <c r="M313" s="706"/>
      <c r="N313" s="706"/>
      <c r="O313" s="863"/>
      <c r="P313" s="706"/>
      <c r="Q313" s="863"/>
      <c r="R313" s="706"/>
      <c r="S313" s="863"/>
      <c r="T313" s="706"/>
      <c r="U313" s="863"/>
      <c r="V313" s="706"/>
      <c r="W313" s="863"/>
      <c r="X313" s="706"/>
      <c r="Y313" s="706"/>
      <c r="Z313" s="727"/>
      <c r="AA313" s="706"/>
      <c r="AB313" s="727"/>
      <c r="AC313" s="706"/>
      <c r="AD313" s="727"/>
      <c r="AE313" s="706"/>
      <c r="AF313" s="727"/>
      <c r="AG313" s="706"/>
      <c r="AH313" s="727"/>
      <c r="AI313" s="706"/>
      <c r="AJ313" s="706"/>
      <c r="AK313" s="727"/>
      <c r="AL313" s="706"/>
      <c r="AM313" s="727"/>
      <c r="AN313" s="706"/>
      <c r="AO313" s="727"/>
      <c r="AP313" s="706"/>
      <c r="AQ313" s="727"/>
      <c r="AR313" s="706"/>
      <c r="AS313" s="727"/>
      <c r="AT313" s="706"/>
      <c r="AU313" s="706"/>
      <c r="AV313" s="727"/>
      <c r="AW313" s="706"/>
      <c r="AX313" s="727"/>
      <c r="AY313" s="706"/>
      <c r="AZ313" s="727"/>
      <c r="BA313" s="706"/>
      <c r="BB313" s="727"/>
      <c r="BC313" s="706"/>
      <c r="BD313" s="727"/>
      <c r="BE313" s="706"/>
    </row>
    <row r="314" spans="1:57" s="48" customFormat="1">
      <c r="A314" s="827"/>
      <c r="B314" s="827"/>
      <c r="C314" s="893"/>
      <c r="D314" s="863"/>
      <c r="E314" s="706"/>
      <c r="F314" s="863"/>
      <c r="G314" s="706"/>
      <c r="H314" s="863"/>
      <c r="I314" s="706"/>
      <c r="J314" s="863"/>
      <c r="K314" s="706"/>
      <c r="L314" s="863"/>
      <c r="M314" s="706"/>
      <c r="N314" s="706"/>
      <c r="O314" s="863"/>
      <c r="P314" s="706"/>
      <c r="Q314" s="863"/>
      <c r="R314" s="706"/>
      <c r="S314" s="863"/>
      <c r="T314" s="706"/>
      <c r="U314" s="863"/>
      <c r="V314" s="706"/>
      <c r="W314" s="863"/>
      <c r="X314" s="706"/>
      <c r="Y314" s="706"/>
      <c r="Z314" s="727"/>
      <c r="AA314" s="706"/>
      <c r="AB314" s="727"/>
      <c r="AC314" s="706"/>
      <c r="AD314" s="727"/>
      <c r="AE314" s="706"/>
      <c r="AF314" s="727"/>
      <c r="AG314" s="706"/>
      <c r="AH314" s="727"/>
      <c r="AI314" s="706"/>
      <c r="AJ314" s="706"/>
      <c r="AK314" s="727"/>
      <c r="AL314" s="706"/>
      <c r="AM314" s="727"/>
      <c r="AN314" s="706"/>
      <c r="AO314" s="727"/>
      <c r="AP314" s="706"/>
      <c r="AQ314" s="727"/>
      <c r="AR314" s="706"/>
      <c r="AS314" s="727"/>
      <c r="AT314" s="706"/>
      <c r="AU314" s="706"/>
      <c r="AV314" s="727"/>
      <c r="AW314" s="706"/>
      <c r="AX314" s="727"/>
      <c r="AY314" s="706"/>
      <c r="AZ314" s="727"/>
      <c r="BA314" s="706"/>
      <c r="BB314" s="727"/>
      <c r="BC314" s="706"/>
      <c r="BD314" s="727"/>
      <c r="BE314" s="706"/>
    </row>
    <row r="315" spans="1:57" s="48" customFormat="1">
      <c r="A315" s="827"/>
      <c r="B315" s="827"/>
      <c r="C315" s="893"/>
      <c r="D315" s="863"/>
      <c r="E315" s="706"/>
      <c r="F315" s="863"/>
      <c r="G315" s="706"/>
      <c r="H315" s="863"/>
      <c r="I315" s="706"/>
      <c r="J315" s="863"/>
      <c r="K315" s="706"/>
      <c r="L315" s="863"/>
      <c r="M315" s="706"/>
      <c r="N315" s="706"/>
      <c r="O315" s="863"/>
      <c r="P315" s="706"/>
      <c r="Q315" s="863"/>
      <c r="R315" s="706"/>
      <c r="S315" s="863"/>
      <c r="T315" s="706"/>
      <c r="U315" s="863"/>
      <c r="V315" s="706"/>
      <c r="W315" s="863"/>
      <c r="X315" s="706"/>
      <c r="Y315" s="706"/>
      <c r="Z315" s="727"/>
      <c r="AA315" s="706"/>
      <c r="AB315" s="727"/>
      <c r="AC315" s="706"/>
      <c r="AD315" s="727"/>
      <c r="AE315" s="706"/>
      <c r="AF315" s="727"/>
      <c r="AG315" s="706"/>
      <c r="AH315" s="727"/>
      <c r="AI315" s="706"/>
      <c r="AJ315" s="706"/>
      <c r="AK315" s="727"/>
      <c r="AL315" s="706"/>
      <c r="AM315" s="727"/>
      <c r="AN315" s="706"/>
      <c r="AO315" s="727"/>
      <c r="AP315" s="706"/>
      <c r="AQ315" s="727"/>
      <c r="AR315" s="706"/>
      <c r="AS315" s="727"/>
      <c r="AT315" s="706"/>
      <c r="AU315" s="706"/>
      <c r="AV315" s="727"/>
      <c r="AW315" s="706"/>
      <c r="AX315" s="727"/>
      <c r="AY315" s="706"/>
      <c r="AZ315" s="727"/>
      <c r="BA315" s="706"/>
      <c r="BB315" s="727"/>
      <c r="BC315" s="706"/>
      <c r="BD315" s="727"/>
      <c r="BE315" s="706"/>
    </row>
    <row r="316" spans="1:57" s="48" customFormat="1">
      <c r="A316" s="827"/>
      <c r="B316" s="827"/>
      <c r="C316" s="893"/>
      <c r="D316" s="863"/>
      <c r="E316" s="706"/>
      <c r="F316" s="863"/>
      <c r="G316" s="706"/>
      <c r="H316" s="863"/>
      <c r="I316" s="706"/>
      <c r="J316" s="863"/>
      <c r="K316" s="706"/>
      <c r="L316" s="863"/>
      <c r="M316" s="706"/>
      <c r="N316" s="706"/>
      <c r="O316" s="863"/>
      <c r="P316" s="706"/>
      <c r="Q316" s="863"/>
      <c r="R316" s="706"/>
      <c r="S316" s="863"/>
      <c r="T316" s="706"/>
      <c r="U316" s="863"/>
      <c r="V316" s="706"/>
      <c r="W316" s="863"/>
      <c r="X316" s="706"/>
      <c r="Y316" s="706"/>
      <c r="Z316" s="727"/>
      <c r="AA316" s="706"/>
      <c r="AB316" s="727"/>
      <c r="AC316" s="706"/>
      <c r="AD316" s="727"/>
      <c r="AE316" s="706"/>
      <c r="AF316" s="727"/>
      <c r="AG316" s="706"/>
      <c r="AH316" s="727"/>
      <c r="AI316" s="706"/>
      <c r="AJ316" s="706"/>
      <c r="AK316" s="727"/>
      <c r="AL316" s="706"/>
      <c r="AM316" s="727"/>
      <c r="AN316" s="706"/>
      <c r="AO316" s="727"/>
      <c r="AP316" s="706"/>
      <c r="AQ316" s="727"/>
      <c r="AR316" s="706"/>
      <c r="AS316" s="727"/>
      <c r="AT316" s="706"/>
      <c r="AU316" s="706"/>
      <c r="AV316" s="727"/>
      <c r="AW316" s="706"/>
      <c r="AX316" s="727"/>
      <c r="AY316" s="706"/>
      <c r="AZ316" s="727"/>
      <c r="BA316" s="706"/>
      <c r="BB316" s="727"/>
      <c r="BC316" s="706"/>
      <c r="BD316" s="727"/>
      <c r="BE316" s="706"/>
    </row>
    <row r="317" spans="1:57" s="48" customFormat="1">
      <c r="A317" s="827"/>
      <c r="B317" s="827"/>
      <c r="C317" s="893"/>
      <c r="D317" s="863"/>
      <c r="E317" s="706"/>
      <c r="F317" s="863"/>
      <c r="G317" s="706"/>
      <c r="H317" s="863"/>
      <c r="I317" s="706"/>
      <c r="J317" s="863"/>
      <c r="K317" s="706"/>
      <c r="L317" s="863"/>
      <c r="M317" s="706"/>
      <c r="N317" s="706"/>
      <c r="O317" s="863"/>
      <c r="P317" s="706"/>
      <c r="Q317" s="863"/>
      <c r="R317" s="706"/>
      <c r="S317" s="863"/>
      <c r="T317" s="706"/>
      <c r="U317" s="863"/>
      <c r="V317" s="706"/>
      <c r="W317" s="863"/>
      <c r="X317" s="706"/>
      <c r="Y317" s="706"/>
      <c r="Z317" s="727"/>
      <c r="AA317" s="706"/>
      <c r="AB317" s="727"/>
      <c r="AC317" s="706"/>
      <c r="AD317" s="727"/>
      <c r="AE317" s="706"/>
      <c r="AF317" s="727"/>
      <c r="AG317" s="706"/>
      <c r="AH317" s="727"/>
      <c r="AI317" s="706"/>
      <c r="AJ317" s="706"/>
      <c r="AK317" s="727"/>
      <c r="AL317" s="706"/>
      <c r="AM317" s="727"/>
      <c r="AN317" s="706"/>
      <c r="AO317" s="727"/>
      <c r="AP317" s="706"/>
      <c r="AQ317" s="727"/>
      <c r="AR317" s="706"/>
      <c r="AS317" s="727"/>
      <c r="AT317" s="706"/>
      <c r="AU317" s="706"/>
      <c r="AV317" s="727"/>
      <c r="AW317" s="706"/>
      <c r="AX317" s="727"/>
      <c r="AY317" s="706"/>
      <c r="AZ317" s="727"/>
      <c r="BA317" s="706"/>
      <c r="BB317" s="727"/>
      <c r="BC317" s="706"/>
      <c r="BD317" s="727"/>
      <c r="BE317" s="706"/>
    </row>
    <row r="318" spans="1:57" s="48" customFormat="1">
      <c r="A318" s="827"/>
      <c r="B318" s="827"/>
      <c r="C318" s="893"/>
      <c r="D318" s="863"/>
      <c r="E318" s="706"/>
      <c r="F318" s="863"/>
      <c r="G318" s="706"/>
      <c r="H318" s="863"/>
      <c r="I318" s="706"/>
      <c r="J318" s="863"/>
      <c r="K318" s="706"/>
      <c r="L318" s="863"/>
      <c r="M318" s="706"/>
      <c r="N318" s="706"/>
      <c r="O318" s="863"/>
      <c r="P318" s="706"/>
      <c r="Q318" s="863"/>
      <c r="R318" s="706"/>
      <c r="S318" s="863"/>
      <c r="T318" s="706"/>
      <c r="U318" s="863"/>
      <c r="V318" s="706"/>
      <c r="W318" s="863"/>
      <c r="X318" s="706"/>
      <c r="Y318" s="706"/>
      <c r="Z318" s="727"/>
      <c r="AA318" s="706"/>
      <c r="AB318" s="727"/>
      <c r="AC318" s="706"/>
      <c r="AD318" s="727"/>
      <c r="AE318" s="706"/>
      <c r="AF318" s="727"/>
      <c r="AG318" s="706"/>
      <c r="AH318" s="727"/>
      <c r="AI318" s="706"/>
      <c r="AJ318" s="706"/>
      <c r="AK318" s="727"/>
      <c r="AL318" s="706"/>
      <c r="AM318" s="727"/>
      <c r="AN318" s="706"/>
      <c r="AO318" s="727"/>
      <c r="AP318" s="706"/>
      <c r="AQ318" s="727"/>
      <c r="AR318" s="706"/>
      <c r="AS318" s="727"/>
      <c r="AT318" s="706"/>
      <c r="AU318" s="706"/>
      <c r="AV318" s="727"/>
      <c r="AW318" s="706"/>
      <c r="AX318" s="727"/>
      <c r="AY318" s="706"/>
      <c r="AZ318" s="727"/>
      <c r="BA318" s="706"/>
      <c r="BB318" s="727"/>
      <c r="BC318" s="706"/>
      <c r="BD318" s="727"/>
      <c r="BE318" s="706"/>
    </row>
    <row r="319" spans="1:57" s="48" customFormat="1">
      <c r="A319" s="827"/>
      <c r="B319" s="827"/>
      <c r="C319" s="893"/>
      <c r="D319" s="863"/>
      <c r="E319" s="706"/>
      <c r="F319" s="863"/>
      <c r="G319" s="706"/>
      <c r="H319" s="863"/>
      <c r="I319" s="706"/>
      <c r="J319" s="863"/>
      <c r="K319" s="706"/>
      <c r="L319" s="863"/>
      <c r="M319" s="706"/>
      <c r="N319" s="706"/>
      <c r="O319" s="863"/>
      <c r="P319" s="706"/>
      <c r="Q319" s="863"/>
      <c r="R319" s="706"/>
      <c r="S319" s="863"/>
      <c r="T319" s="706"/>
      <c r="U319" s="863"/>
      <c r="V319" s="706"/>
      <c r="W319" s="863"/>
      <c r="X319" s="706"/>
      <c r="Y319" s="706"/>
      <c r="Z319" s="727"/>
      <c r="AA319" s="706"/>
      <c r="AB319" s="727"/>
      <c r="AC319" s="706"/>
      <c r="AD319" s="727"/>
      <c r="AE319" s="706"/>
      <c r="AF319" s="727"/>
      <c r="AG319" s="706"/>
      <c r="AH319" s="727"/>
      <c r="AI319" s="706"/>
      <c r="AJ319" s="706"/>
      <c r="AK319" s="727"/>
      <c r="AL319" s="706"/>
      <c r="AM319" s="727"/>
      <c r="AN319" s="706"/>
      <c r="AO319" s="727"/>
      <c r="AP319" s="706"/>
      <c r="AQ319" s="727"/>
      <c r="AR319" s="706"/>
      <c r="AS319" s="727"/>
      <c r="AT319" s="706"/>
      <c r="AU319" s="706"/>
      <c r="AV319" s="727"/>
      <c r="AW319" s="706"/>
      <c r="AX319" s="727"/>
      <c r="AY319" s="706"/>
      <c r="AZ319" s="727"/>
      <c r="BA319" s="706"/>
      <c r="BB319" s="727"/>
      <c r="BC319" s="706"/>
      <c r="BD319" s="727"/>
      <c r="BE319" s="706"/>
    </row>
    <row r="320" spans="1:57" s="48" customFormat="1">
      <c r="A320" s="827"/>
      <c r="B320" s="827"/>
      <c r="C320" s="893"/>
      <c r="D320" s="863"/>
      <c r="E320" s="706"/>
      <c r="F320" s="863"/>
      <c r="G320" s="706"/>
      <c r="H320" s="863"/>
      <c r="I320" s="706"/>
      <c r="J320" s="863"/>
      <c r="K320" s="706"/>
      <c r="L320" s="863"/>
      <c r="M320" s="706"/>
      <c r="N320" s="706"/>
      <c r="O320" s="863"/>
      <c r="P320" s="706"/>
      <c r="Q320" s="863"/>
      <c r="R320" s="706"/>
      <c r="S320" s="863"/>
      <c r="T320" s="706"/>
      <c r="U320" s="863"/>
      <c r="V320" s="706"/>
      <c r="W320" s="863"/>
      <c r="X320" s="706"/>
      <c r="Y320" s="706"/>
      <c r="Z320" s="727"/>
      <c r="AA320" s="706"/>
      <c r="AB320" s="727"/>
      <c r="AC320" s="706"/>
      <c r="AD320" s="727"/>
      <c r="AE320" s="706"/>
      <c r="AF320" s="727"/>
      <c r="AG320" s="706"/>
      <c r="AH320" s="727"/>
      <c r="AI320" s="706"/>
      <c r="AJ320" s="706"/>
      <c r="AK320" s="727"/>
      <c r="AL320" s="706"/>
      <c r="AM320" s="727"/>
      <c r="AN320" s="706"/>
      <c r="AO320" s="727"/>
      <c r="AP320" s="706"/>
      <c r="AQ320" s="727"/>
      <c r="AR320" s="706"/>
      <c r="AS320" s="727"/>
      <c r="AT320" s="706"/>
      <c r="AU320" s="706"/>
      <c r="AV320" s="727"/>
      <c r="AW320" s="706"/>
      <c r="AX320" s="727"/>
      <c r="AY320" s="706"/>
      <c r="AZ320" s="727"/>
      <c r="BA320" s="706"/>
      <c r="BB320" s="727"/>
      <c r="BC320" s="706"/>
      <c r="BD320" s="727"/>
      <c r="BE320" s="706"/>
    </row>
    <row r="321" spans="1:57" s="48" customFormat="1">
      <c r="A321" s="827"/>
      <c r="B321" s="827"/>
      <c r="C321" s="893"/>
      <c r="D321" s="863"/>
      <c r="E321" s="706"/>
      <c r="F321" s="863"/>
      <c r="G321" s="706"/>
      <c r="H321" s="863"/>
      <c r="I321" s="706"/>
      <c r="J321" s="863"/>
      <c r="K321" s="706"/>
      <c r="L321" s="863"/>
      <c r="M321" s="706"/>
      <c r="N321" s="706"/>
      <c r="O321" s="863"/>
      <c r="P321" s="706"/>
      <c r="Q321" s="863"/>
      <c r="R321" s="706"/>
      <c r="S321" s="863"/>
      <c r="T321" s="706"/>
      <c r="U321" s="863"/>
      <c r="V321" s="706"/>
      <c r="W321" s="863"/>
      <c r="X321" s="706"/>
      <c r="Y321" s="706"/>
      <c r="Z321" s="727"/>
      <c r="AA321" s="706"/>
      <c r="AB321" s="727"/>
      <c r="AC321" s="706"/>
      <c r="AD321" s="727"/>
      <c r="AE321" s="706"/>
      <c r="AF321" s="727"/>
      <c r="AG321" s="706"/>
      <c r="AH321" s="727"/>
      <c r="AI321" s="706"/>
      <c r="AJ321" s="706"/>
      <c r="AK321" s="727"/>
      <c r="AL321" s="706"/>
      <c r="AM321" s="727"/>
      <c r="AN321" s="706"/>
      <c r="AO321" s="727"/>
      <c r="AP321" s="706"/>
      <c r="AQ321" s="727"/>
      <c r="AR321" s="706"/>
      <c r="AS321" s="727"/>
      <c r="AT321" s="706"/>
      <c r="AU321" s="706"/>
      <c r="AV321" s="727"/>
      <c r="AW321" s="706"/>
      <c r="AX321" s="727"/>
      <c r="AY321" s="706"/>
      <c r="AZ321" s="727"/>
      <c r="BA321" s="706"/>
      <c r="BB321" s="727"/>
      <c r="BC321" s="706"/>
      <c r="BD321" s="727"/>
      <c r="BE321" s="706"/>
    </row>
    <row r="322" spans="1:57" s="48" customFormat="1">
      <c r="A322" s="827"/>
      <c r="B322" s="827"/>
      <c r="C322" s="893"/>
      <c r="D322" s="863"/>
      <c r="E322" s="706"/>
      <c r="F322" s="863"/>
      <c r="G322" s="706"/>
      <c r="H322" s="863"/>
      <c r="I322" s="706"/>
      <c r="J322" s="863"/>
      <c r="K322" s="706"/>
      <c r="L322" s="863"/>
      <c r="M322" s="706"/>
      <c r="N322" s="706"/>
      <c r="O322" s="863"/>
      <c r="P322" s="706"/>
      <c r="Q322" s="863"/>
      <c r="R322" s="706"/>
      <c r="S322" s="863"/>
      <c r="T322" s="706"/>
      <c r="U322" s="863"/>
      <c r="V322" s="706"/>
      <c r="W322" s="863"/>
      <c r="X322" s="706"/>
      <c r="Y322" s="706"/>
      <c r="Z322" s="727"/>
      <c r="AA322" s="706"/>
      <c r="AB322" s="727"/>
      <c r="AC322" s="706"/>
      <c r="AD322" s="727"/>
      <c r="AE322" s="706"/>
      <c r="AF322" s="727"/>
      <c r="AG322" s="706"/>
      <c r="AH322" s="727"/>
      <c r="AI322" s="706"/>
      <c r="AJ322" s="706"/>
      <c r="AK322" s="727"/>
      <c r="AL322" s="706"/>
      <c r="AM322" s="727"/>
      <c r="AN322" s="706"/>
      <c r="AO322" s="727"/>
      <c r="AP322" s="706"/>
      <c r="AQ322" s="727"/>
      <c r="AR322" s="706"/>
      <c r="AS322" s="727"/>
      <c r="AT322" s="706"/>
      <c r="AU322" s="706"/>
      <c r="AV322" s="727"/>
      <c r="AW322" s="706"/>
      <c r="AX322" s="727"/>
      <c r="AY322" s="706"/>
      <c r="AZ322" s="727"/>
      <c r="BA322" s="706"/>
      <c r="BB322" s="727"/>
      <c r="BC322" s="706"/>
      <c r="BD322" s="727"/>
      <c r="BE322" s="706"/>
    </row>
    <row r="323" spans="1:57" s="48" customFormat="1">
      <c r="A323" s="827"/>
      <c r="B323" s="827"/>
      <c r="C323" s="893"/>
      <c r="D323" s="863"/>
      <c r="E323" s="706"/>
      <c r="F323" s="863"/>
      <c r="G323" s="706"/>
      <c r="H323" s="863"/>
      <c r="I323" s="706"/>
      <c r="J323" s="863"/>
      <c r="K323" s="706"/>
      <c r="L323" s="863"/>
      <c r="M323" s="706"/>
      <c r="N323" s="706"/>
      <c r="O323" s="863"/>
      <c r="P323" s="706"/>
      <c r="Q323" s="863"/>
      <c r="R323" s="706"/>
      <c r="S323" s="863"/>
      <c r="T323" s="706"/>
      <c r="U323" s="863"/>
      <c r="V323" s="706"/>
      <c r="W323" s="863"/>
      <c r="X323" s="706"/>
      <c r="Y323" s="706"/>
      <c r="Z323" s="727"/>
      <c r="AA323" s="706"/>
      <c r="AB323" s="727"/>
      <c r="AC323" s="706"/>
      <c r="AD323" s="727"/>
      <c r="AE323" s="706"/>
      <c r="AF323" s="727"/>
      <c r="AG323" s="706"/>
      <c r="AH323" s="727"/>
      <c r="AI323" s="706"/>
      <c r="AJ323" s="706"/>
      <c r="AK323" s="727"/>
      <c r="AL323" s="706"/>
      <c r="AM323" s="727"/>
      <c r="AN323" s="706"/>
      <c r="AO323" s="727"/>
      <c r="AP323" s="706"/>
      <c r="AQ323" s="727"/>
      <c r="AR323" s="706"/>
      <c r="AS323" s="727"/>
      <c r="AT323" s="706"/>
      <c r="AU323" s="706"/>
      <c r="AV323" s="727"/>
      <c r="AW323" s="706"/>
      <c r="AX323" s="727"/>
      <c r="AY323" s="706"/>
      <c r="AZ323" s="727"/>
      <c r="BA323" s="706"/>
      <c r="BB323" s="727"/>
      <c r="BC323" s="706"/>
      <c r="BD323" s="727"/>
      <c r="BE323" s="706"/>
    </row>
    <row r="324" spans="1:57" s="48" customFormat="1">
      <c r="A324" s="827"/>
      <c r="B324" s="827"/>
      <c r="C324" s="893"/>
      <c r="D324" s="863"/>
      <c r="E324" s="706"/>
      <c r="F324" s="863"/>
      <c r="G324" s="706"/>
      <c r="H324" s="863"/>
      <c r="I324" s="706"/>
      <c r="J324" s="863"/>
      <c r="K324" s="706"/>
      <c r="L324" s="863"/>
      <c r="M324" s="706"/>
      <c r="N324" s="706"/>
      <c r="O324" s="863"/>
      <c r="P324" s="706"/>
      <c r="Q324" s="863"/>
      <c r="R324" s="706"/>
      <c r="S324" s="863"/>
      <c r="T324" s="706"/>
      <c r="U324" s="863"/>
      <c r="V324" s="706"/>
      <c r="W324" s="863"/>
      <c r="X324" s="706"/>
      <c r="Y324" s="706"/>
      <c r="Z324" s="727"/>
      <c r="AA324" s="706"/>
      <c r="AB324" s="727"/>
      <c r="AC324" s="706"/>
      <c r="AD324" s="727"/>
      <c r="AE324" s="706"/>
      <c r="AF324" s="727"/>
      <c r="AG324" s="706"/>
      <c r="AH324" s="727"/>
      <c r="AI324" s="706"/>
      <c r="AJ324" s="706"/>
      <c r="AK324" s="727"/>
      <c r="AL324" s="706"/>
      <c r="AM324" s="727"/>
      <c r="AN324" s="706"/>
      <c r="AO324" s="727"/>
      <c r="AP324" s="706"/>
      <c r="AQ324" s="727"/>
      <c r="AR324" s="706"/>
      <c r="AS324" s="727"/>
      <c r="AT324" s="706"/>
      <c r="AU324" s="706"/>
      <c r="AV324" s="727"/>
      <c r="AW324" s="706"/>
      <c r="AX324" s="727"/>
      <c r="AY324" s="706"/>
      <c r="AZ324" s="727"/>
      <c r="BA324" s="706"/>
      <c r="BB324" s="727"/>
      <c r="BC324" s="706"/>
      <c r="BD324" s="727"/>
      <c r="BE324" s="706"/>
    </row>
    <row r="325" spans="1:57" s="48" customFormat="1">
      <c r="A325" s="827"/>
      <c r="B325" s="827"/>
      <c r="C325" s="893"/>
      <c r="D325" s="863"/>
      <c r="E325" s="706"/>
      <c r="F325" s="863"/>
      <c r="G325" s="706"/>
      <c r="H325" s="863"/>
      <c r="I325" s="706"/>
      <c r="J325" s="863"/>
      <c r="K325" s="706"/>
      <c r="L325" s="863"/>
      <c r="M325" s="706"/>
      <c r="N325" s="706"/>
      <c r="O325" s="863"/>
      <c r="P325" s="706"/>
      <c r="Q325" s="863"/>
      <c r="R325" s="706"/>
      <c r="S325" s="863"/>
      <c r="T325" s="706"/>
      <c r="U325" s="863"/>
      <c r="V325" s="706"/>
      <c r="W325" s="863"/>
      <c r="X325" s="706"/>
      <c r="Y325" s="706"/>
      <c r="Z325" s="727"/>
      <c r="AA325" s="706"/>
      <c r="AB325" s="727"/>
      <c r="AC325" s="706"/>
      <c r="AD325" s="727"/>
      <c r="AE325" s="706"/>
      <c r="AF325" s="727"/>
      <c r="AG325" s="706"/>
      <c r="AH325" s="727"/>
      <c r="AI325" s="706"/>
      <c r="AJ325" s="706"/>
      <c r="AK325" s="727"/>
      <c r="AL325" s="706"/>
      <c r="AM325" s="727"/>
      <c r="AN325" s="706"/>
      <c r="AO325" s="727"/>
      <c r="AP325" s="706"/>
      <c r="AQ325" s="727"/>
      <c r="AR325" s="706"/>
      <c r="AS325" s="727"/>
      <c r="AT325" s="706"/>
      <c r="AU325" s="706"/>
      <c r="AV325" s="727"/>
      <c r="AW325" s="706"/>
      <c r="AX325" s="727"/>
      <c r="AY325" s="706"/>
      <c r="AZ325" s="727"/>
      <c r="BA325" s="706"/>
      <c r="BB325" s="727"/>
      <c r="BC325" s="706"/>
      <c r="BD325" s="727"/>
      <c r="BE325" s="706"/>
    </row>
    <row r="326" spans="1:57" s="48" customFormat="1">
      <c r="A326" s="827"/>
      <c r="B326" s="827"/>
      <c r="C326" s="893"/>
      <c r="D326" s="863"/>
      <c r="E326" s="706"/>
      <c r="F326" s="863"/>
      <c r="G326" s="706"/>
      <c r="H326" s="863"/>
      <c r="I326" s="706"/>
      <c r="J326" s="863"/>
      <c r="K326" s="706"/>
      <c r="L326" s="863"/>
      <c r="M326" s="706"/>
      <c r="N326" s="706"/>
      <c r="O326" s="863"/>
      <c r="P326" s="706"/>
      <c r="Q326" s="863"/>
      <c r="R326" s="706"/>
      <c r="S326" s="863"/>
      <c r="T326" s="706"/>
      <c r="U326" s="863"/>
      <c r="V326" s="706"/>
      <c r="W326" s="863"/>
      <c r="X326" s="706"/>
      <c r="Y326" s="706"/>
      <c r="Z326" s="727"/>
      <c r="AA326" s="706"/>
      <c r="AB326" s="727"/>
      <c r="AC326" s="706"/>
      <c r="AD326" s="727"/>
      <c r="AE326" s="706"/>
      <c r="AF326" s="727"/>
      <c r="AG326" s="706"/>
      <c r="AH326" s="727"/>
      <c r="AI326" s="706"/>
      <c r="AJ326" s="706"/>
      <c r="AK326" s="727"/>
      <c r="AL326" s="706"/>
      <c r="AM326" s="727"/>
      <c r="AN326" s="706"/>
      <c r="AO326" s="727"/>
      <c r="AP326" s="706"/>
      <c r="AQ326" s="727"/>
      <c r="AR326" s="706"/>
      <c r="AS326" s="727"/>
      <c r="AT326" s="706"/>
      <c r="AU326" s="706"/>
      <c r="AV326" s="727"/>
      <c r="AW326" s="706"/>
      <c r="AX326" s="727"/>
      <c r="AY326" s="706"/>
      <c r="AZ326" s="727"/>
      <c r="BA326" s="706"/>
      <c r="BB326" s="727"/>
      <c r="BC326" s="706"/>
      <c r="BD326" s="727"/>
      <c r="BE326" s="706"/>
    </row>
    <row r="327" spans="1:57" s="48" customFormat="1">
      <c r="A327" s="827"/>
      <c r="B327" s="827"/>
      <c r="C327" s="893"/>
      <c r="D327" s="863"/>
      <c r="E327" s="706"/>
      <c r="F327" s="863"/>
      <c r="G327" s="706"/>
      <c r="H327" s="863"/>
      <c r="I327" s="706"/>
      <c r="J327" s="863"/>
      <c r="K327" s="706"/>
      <c r="L327" s="863"/>
      <c r="M327" s="706"/>
      <c r="N327" s="706"/>
      <c r="O327" s="863"/>
      <c r="P327" s="706"/>
      <c r="Q327" s="863"/>
      <c r="R327" s="706"/>
      <c r="S327" s="863"/>
      <c r="T327" s="706"/>
      <c r="U327" s="863"/>
      <c r="V327" s="706"/>
      <c r="W327" s="863"/>
      <c r="X327" s="706"/>
      <c r="Y327" s="706"/>
      <c r="Z327" s="727"/>
      <c r="AA327" s="706"/>
      <c r="AB327" s="727"/>
      <c r="AC327" s="706"/>
      <c r="AD327" s="727"/>
      <c r="AE327" s="706"/>
      <c r="AF327" s="727"/>
      <c r="AG327" s="706"/>
      <c r="AH327" s="727"/>
      <c r="AI327" s="706"/>
      <c r="AJ327" s="706"/>
      <c r="AK327" s="727"/>
      <c r="AL327" s="706"/>
      <c r="AM327" s="727"/>
      <c r="AN327" s="706"/>
      <c r="AO327" s="727"/>
      <c r="AP327" s="706"/>
      <c r="AQ327" s="727"/>
      <c r="AR327" s="706"/>
      <c r="AS327" s="727"/>
      <c r="AT327" s="706"/>
      <c r="AU327" s="706"/>
      <c r="AV327" s="727"/>
      <c r="AW327" s="706"/>
      <c r="AX327" s="727"/>
      <c r="AY327" s="706"/>
      <c r="AZ327" s="727"/>
      <c r="BA327" s="706"/>
      <c r="BB327" s="727"/>
      <c r="BC327" s="706"/>
      <c r="BD327" s="727"/>
      <c r="BE327" s="706"/>
    </row>
    <row r="328" spans="1:57" s="48" customFormat="1">
      <c r="A328" s="827"/>
      <c r="B328" s="827"/>
      <c r="C328" s="893"/>
      <c r="D328" s="863"/>
      <c r="E328" s="706"/>
      <c r="F328" s="863"/>
      <c r="G328" s="706"/>
      <c r="H328" s="863"/>
      <c r="I328" s="706"/>
      <c r="J328" s="863"/>
      <c r="K328" s="706"/>
      <c r="L328" s="863"/>
      <c r="M328" s="706"/>
      <c r="N328" s="706"/>
      <c r="O328" s="863"/>
      <c r="P328" s="706"/>
      <c r="Q328" s="863"/>
      <c r="R328" s="706"/>
      <c r="S328" s="863"/>
      <c r="T328" s="706"/>
      <c r="U328" s="863"/>
      <c r="V328" s="706"/>
      <c r="W328" s="863"/>
      <c r="X328" s="706"/>
      <c r="Y328" s="706"/>
      <c r="Z328" s="727"/>
      <c r="AA328" s="706"/>
      <c r="AB328" s="727"/>
      <c r="AC328" s="706"/>
      <c r="AD328" s="727"/>
      <c r="AE328" s="706"/>
      <c r="AF328" s="727"/>
      <c r="AG328" s="706"/>
      <c r="AH328" s="727"/>
      <c r="AI328" s="706"/>
      <c r="AJ328" s="706"/>
      <c r="AK328" s="727"/>
      <c r="AL328" s="706"/>
      <c r="AM328" s="727"/>
      <c r="AN328" s="706"/>
      <c r="AO328" s="727"/>
      <c r="AP328" s="706"/>
      <c r="AQ328" s="727"/>
      <c r="AR328" s="706"/>
      <c r="AS328" s="727"/>
      <c r="AT328" s="706"/>
      <c r="AU328" s="706"/>
      <c r="AV328" s="727"/>
      <c r="AW328" s="706"/>
      <c r="AX328" s="727"/>
      <c r="AY328" s="706"/>
      <c r="AZ328" s="727"/>
      <c r="BA328" s="706"/>
      <c r="BB328" s="727"/>
      <c r="BC328" s="706"/>
      <c r="BD328" s="727"/>
      <c r="BE328" s="706"/>
    </row>
    <row r="329" spans="1:57" s="48" customFormat="1">
      <c r="A329" s="827"/>
      <c r="B329" s="827"/>
      <c r="C329" s="893"/>
      <c r="D329" s="863"/>
      <c r="E329" s="706"/>
      <c r="F329" s="863"/>
      <c r="G329" s="706"/>
      <c r="H329" s="863"/>
      <c r="I329" s="706"/>
      <c r="J329" s="863"/>
      <c r="K329" s="706"/>
      <c r="L329" s="863"/>
      <c r="M329" s="706"/>
      <c r="N329" s="706"/>
      <c r="O329" s="863"/>
      <c r="P329" s="706"/>
      <c r="Q329" s="863"/>
      <c r="R329" s="706"/>
      <c r="S329" s="863"/>
      <c r="T329" s="706"/>
      <c r="U329" s="863"/>
      <c r="V329" s="706"/>
      <c r="W329" s="863"/>
      <c r="X329" s="706"/>
      <c r="Y329" s="706"/>
      <c r="Z329" s="727"/>
      <c r="AA329" s="706"/>
      <c r="AB329" s="727"/>
      <c r="AC329" s="706"/>
      <c r="AD329" s="727"/>
      <c r="AE329" s="706"/>
      <c r="AF329" s="727"/>
      <c r="AG329" s="706"/>
      <c r="AH329" s="727"/>
      <c r="AI329" s="706"/>
      <c r="AJ329" s="706"/>
      <c r="AK329" s="727"/>
      <c r="AL329" s="706"/>
      <c r="AM329" s="727"/>
      <c r="AN329" s="706"/>
      <c r="AO329" s="727"/>
      <c r="AP329" s="706"/>
      <c r="AQ329" s="727"/>
      <c r="AR329" s="706"/>
      <c r="AS329" s="727"/>
      <c r="AT329" s="706"/>
      <c r="AU329" s="706"/>
      <c r="AV329" s="727"/>
      <c r="AW329" s="706"/>
      <c r="AX329" s="727"/>
      <c r="AY329" s="706"/>
      <c r="AZ329" s="727"/>
      <c r="BA329" s="706"/>
      <c r="BB329" s="727"/>
      <c r="BC329" s="706"/>
      <c r="BD329" s="727"/>
      <c r="BE329" s="706"/>
    </row>
    <row r="330" spans="1:57" s="48" customFormat="1">
      <c r="A330" s="827"/>
      <c r="B330" s="827"/>
      <c r="C330" s="893"/>
      <c r="D330" s="863"/>
      <c r="E330" s="706"/>
      <c r="F330" s="863"/>
      <c r="G330" s="706"/>
      <c r="H330" s="863"/>
      <c r="I330" s="706"/>
      <c r="J330" s="863"/>
      <c r="K330" s="706"/>
      <c r="L330" s="863"/>
      <c r="M330" s="706"/>
      <c r="N330" s="706"/>
      <c r="O330" s="863"/>
      <c r="P330" s="706"/>
      <c r="Q330" s="863"/>
      <c r="R330" s="706"/>
      <c r="S330" s="863"/>
      <c r="T330" s="706"/>
      <c r="U330" s="863"/>
      <c r="V330" s="706"/>
      <c r="W330" s="863"/>
      <c r="X330" s="706"/>
      <c r="Y330" s="706"/>
      <c r="Z330" s="727"/>
      <c r="AA330" s="706"/>
      <c r="AB330" s="727"/>
      <c r="AC330" s="706"/>
      <c r="AD330" s="727"/>
      <c r="AE330" s="706"/>
      <c r="AF330" s="727"/>
      <c r="AG330" s="706"/>
      <c r="AH330" s="727"/>
      <c r="AI330" s="706"/>
      <c r="AJ330" s="706"/>
      <c r="AK330" s="727"/>
      <c r="AL330" s="706"/>
      <c r="AM330" s="727"/>
      <c r="AN330" s="706"/>
      <c r="AO330" s="727"/>
      <c r="AP330" s="706"/>
      <c r="AQ330" s="727"/>
      <c r="AR330" s="706"/>
      <c r="AS330" s="727"/>
      <c r="AT330" s="706"/>
      <c r="AU330" s="706"/>
      <c r="AV330" s="727"/>
      <c r="AW330" s="706"/>
      <c r="AX330" s="727"/>
      <c r="AY330" s="706"/>
      <c r="AZ330" s="727"/>
      <c r="BA330" s="706"/>
      <c r="BB330" s="727"/>
      <c r="BC330" s="706"/>
      <c r="BD330" s="727"/>
      <c r="BE330" s="706"/>
    </row>
    <row r="331" spans="1:57" s="48" customFormat="1">
      <c r="A331" s="827"/>
      <c r="B331" s="827"/>
      <c r="C331" s="893"/>
      <c r="D331" s="863"/>
      <c r="E331" s="706"/>
      <c r="F331" s="863"/>
      <c r="G331" s="706"/>
      <c r="H331" s="863"/>
      <c r="I331" s="706"/>
      <c r="J331" s="863"/>
      <c r="K331" s="706"/>
      <c r="L331" s="863"/>
      <c r="M331" s="706"/>
      <c r="N331" s="706"/>
      <c r="O331" s="863"/>
      <c r="P331" s="706"/>
      <c r="Q331" s="863"/>
      <c r="R331" s="706"/>
      <c r="S331" s="863"/>
      <c r="T331" s="706"/>
      <c r="U331" s="863"/>
      <c r="V331" s="706"/>
      <c r="W331" s="863"/>
      <c r="X331" s="706"/>
      <c r="Y331" s="706"/>
      <c r="Z331" s="727"/>
      <c r="AA331" s="706"/>
      <c r="AB331" s="727"/>
      <c r="AC331" s="706"/>
      <c r="AD331" s="727"/>
      <c r="AE331" s="706"/>
      <c r="AF331" s="727"/>
      <c r="AG331" s="706"/>
      <c r="AH331" s="727"/>
      <c r="AI331" s="706"/>
      <c r="AJ331" s="706"/>
      <c r="AK331" s="727"/>
      <c r="AL331" s="706"/>
      <c r="AM331" s="727"/>
      <c r="AN331" s="706"/>
      <c r="AO331" s="727"/>
      <c r="AP331" s="706"/>
      <c r="AQ331" s="727"/>
      <c r="AR331" s="706"/>
      <c r="AS331" s="727"/>
      <c r="AT331" s="706"/>
      <c r="AU331" s="706"/>
      <c r="AV331" s="727"/>
      <c r="AW331" s="706"/>
      <c r="AX331" s="727"/>
      <c r="AY331" s="706"/>
      <c r="AZ331" s="727"/>
      <c r="BA331" s="706"/>
      <c r="BB331" s="727"/>
      <c r="BC331" s="706"/>
      <c r="BD331" s="727"/>
      <c r="BE331" s="706"/>
    </row>
    <row r="332" spans="1:57" s="48" customFormat="1">
      <c r="A332" s="827"/>
      <c r="B332" s="827"/>
      <c r="C332" s="893"/>
      <c r="D332" s="863"/>
      <c r="E332" s="706"/>
      <c r="F332" s="863"/>
      <c r="G332" s="706"/>
      <c r="H332" s="863"/>
      <c r="I332" s="706"/>
      <c r="J332" s="863"/>
      <c r="K332" s="706"/>
      <c r="L332" s="863"/>
      <c r="M332" s="706"/>
      <c r="N332" s="706"/>
      <c r="O332" s="863"/>
      <c r="P332" s="706"/>
      <c r="Q332" s="863"/>
      <c r="R332" s="706"/>
      <c r="S332" s="863"/>
      <c r="T332" s="706"/>
      <c r="U332" s="863"/>
      <c r="V332" s="706"/>
      <c r="W332" s="863"/>
      <c r="X332" s="706"/>
      <c r="Y332" s="706"/>
      <c r="Z332" s="727"/>
      <c r="AA332" s="706"/>
      <c r="AB332" s="727"/>
      <c r="AC332" s="706"/>
      <c r="AD332" s="727"/>
      <c r="AE332" s="706"/>
      <c r="AF332" s="727"/>
      <c r="AG332" s="706"/>
      <c r="AH332" s="727"/>
      <c r="AI332" s="706"/>
      <c r="AJ332" s="706"/>
      <c r="AK332" s="727"/>
      <c r="AL332" s="706"/>
      <c r="AM332" s="727"/>
      <c r="AN332" s="706"/>
      <c r="AO332" s="727"/>
      <c r="AP332" s="706"/>
      <c r="AQ332" s="727"/>
      <c r="AR332" s="706"/>
      <c r="AS332" s="727"/>
      <c r="AT332" s="706"/>
      <c r="AU332" s="706"/>
      <c r="AV332" s="727"/>
      <c r="AW332" s="706"/>
      <c r="AX332" s="727"/>
      <c r="AY332" s="706"/>
      <c r="AZ332" s="727"/>
      <c r="BA332" s="706"/>
      <c r="BB332" s="727"/>
      <c r="BC332" s="706"/>
      <c r="BD332" s="727"/>
      <c r="BE332" s="706"/>
    </row>
    <row r="333" spans="1:57" s="48" customFormat="1">
      <c r="A333" s="827"/>
      <c r="B333" s="827"/>
      <c r="C333" s="893"/>
      <c r="D333" s="863"/>
      <c r="E333" s="706"/>
      <c r="F333" s="863"/>
      <c r="G333" s="706"/>
      <c r="H333" s="863"/>
      <c r="I333" s="706"/>
      <c r="J333" s="863"/>
      <c r="K333" s="706"/>
      <c r="L333" s="863"/>
      <c r="M333" s="706"/>
      <c r="N333" s="706"/>
      <c r="O333" s="863"/>
      <c r="P333" s="706"/>
      <c r="Q333" s="863"/>
      <c r="R333" s="706"/>
      <c r="S333" s="863"/>
      <c r="T333" s="706"/>
      <c r="U333" s="863"/>
      <c r="V333" s="706"/>
      <c r="W333" s="863"/>
      <c r="X333" s="706"/>
      <c r="Y333" s="706"/>
      <c r="Z333" s="727"/>
      <c r="AA333" s="706"/>
      <c r="AB333" s="727"/>
      <c r="AC333" s="706"/>
      <c r="AD333" s="727"/>
      <c r="AE333" s="706"/>
      <c r="AF333" s="727"/>
      <c r="AG333" s="706"/>
      <c r="AH333" s="727"/>
      <c r="AI333" s="706"/>
      <c r="AJ333" s="706"/>
      <c r="AK333" s="727"/>
      <c r="AL333" s="706"/>
      <c r="AM333" s="727"/>
      <c r="AN333" s="706"/>
      <c r="AO333" s="727"/>
      <c r="AP333" s="706"/>
      <c r="AQ333" s="727"/>
      <c r="AR333" s="706"/>
      <c r="AS333" s="727"/>
      <c r="AT333" s="706"/>
      <c r="AU333" s="706"/>
      <c r="AV333" s="727"/>
      <c r="AW333" s="706"/>
      <c r="AX333" s="727"/>
      <c r="AY333" s="706"/>
      <c r="AZ333" s="727"/>
      <c r="BA333" s="706"/>
      <c r="BB333" s="727"/>
      <c r="BC333" s="706"/>
      <c r="BD333" s="727"/>
      <c r="BE333" s="706"/>
    </row>
    <row r="334" spans="1:57" s="48" customFormat="1">
      <c r="A334" s="827"/>
      <c r="B334" s="827"/>
      <c r="C334" s="893"/>
      <c r="D334" s="863"/>
      <c r="E334" s="706"/>
      <c r="F334" s="863"/>
      <c r="G334" s="706"/>
      <c r="H334" s="863"/>
      <c r="I334" s="706"/>
      <c r="J334" s="863"/>
      <c r="K334" s="706"/>
      <c r="L334" s="863"/>
      <c r="M334" s="706"/>
      <c r="N334" s="706"/>
      <c r="O334" s="863"/>
      <c r="P334" s="706"/>
      <c r="Q334" s="863"/>
      <c r="R334" s="706"/>
      <c r="S334" s="863"/>
      <c r="T334" s="706"/>
      <c r="U334" s="863"/>
      <c r="V334" s="706"/>
      <c r="W334" s="863"/>
      <c r="X334" s="706"/>
      <c r="Y334" s="706"/>
      <c r="Z334" s="727"/>
      <c r="AA334" s="706"/>
      <c r="AB334" s="727"/>
      <c r="AC334" s="706"/>
      <c r="AD334" s="727"/>
      <c r="AE334" s="706"/>
      <c r="AF334" s="727"/>
      <c r="AG334" s="706"/>
      <c r="AH334" s="727"/>
      <c r="AI334" s="706"/>
      <c r="AJ334" s="706"/>
      <c r="AK334" s="727"/>
      <c r="AL334" s="706"/>
      <c r="AM334" s="727"/>
      <c r="AN334" s="706"/>
      <c r="AO334" s="727"/>
      <c r="AP334" s="706"/>
      <c r="AQ334" s="727"/>
      <c r="AR334" s="706"/>
      <c r="AS334" s="727"/>
      <c r="AT334" s="706"/>
      <c r="AU334" s="706"/>
      <c r="AV334" s="727"/>
      <c r="AW334" s="706"/>
      <c r="AX334" s="727"/>
      <c r="AY334" s="706"/>
      <c r="AZ334" s="727"/>
      <c r="BA334" s="706"/>
      <c r="BB334" s="727"/>
      <c r="BC334" s="706"/>
      <c r="BD334" s="727"/>
      <c r="BE334" s="706"/>
    </row>
    <row r="335" spans="1:57" s="48" customFormat="1">
      <c r="A335" s="827"/>
      <c r="B335" s="827"/>
      <c r="C335" s="893"/>
      <c r="D335" s="863"/>
      <c r="E335" s="706"/>
      <c r="F335" s="863"/>
      <c r="G335" s="706"/>
      <c r="H335" s="863"/>
      <c r="I335" s="706"/>
      <c r="J335" s="863"/>
      <c r="K335" s="706"/>
      <c r="L335" s="863"/>
      <c r="M335" s="706"/>
      <c r="N335" s="706"/>
      <c r="O335" s="863"/>
      <c r="P335" s="706"/>
      <c r="Q335" s="863"/>
      <c r="R335" s="706"/>
      <c r="S335" s="863"/>
      <c r="T335" s="706"/>
      <c r="U335" s="863"/>
      <c r="V335" s="706"/>
      <c r="W335" s="863"/>
      <c r="X335" s="706"/>
      <c r="Y335" s="706"/>
      <c r="Z335" s="727"/>
      <c r="AA335" s="706"/>
      <c r="AB335" s="727"/>
      <c r="AC335" s="706"/>
      <c r="AD335" s="727"/>
      <c r="AE335" s="706"/>
      <c r="AF335" s="727"/>
      <c r="AG335" s="706"/>
      <c r="AH335" s="727"/>
      <c r="AI335" s="706"/>
      <c r="AJ335" s="706"/>
      <c r="AK335" s="727"/>
      <c r="AL335" s="706"/>
      <c r="AM335" s="727"/>
      <c r="AN335" s="706"/>
      <c r="AO335" s="727"/>
      <c r="AP335" s="706"/>
      <c r="AQ335" s="727"/>
      <c r="AR335" s="706"/>
      <c r="AS335" s="727"/>
      <c r="AT335" s="706"/>
      <c r="AU335" s="706"/>
      <c r="AV335" s="727"/>
      <c r="AW335" s="706"/>
      <c r="AX335" s="727"/>
      <c r="AY335" s="706"/>
      <c r="AZ335" s="727"/>
      <c r="BA335" s="706"/>
      <c r="BB335" s="727"/>
      <c r="BC335" s="706"/>
      <c r="BD335" s="727"/>
      <c r="BE335" s="706"/>
    </row>
    <row r="336" spans="1:57" s="48" customFormat="1">
      <c r="A336" s="827"/>
      <c r="B336" s="827"/>
      <c r="C336" s="893"/>
      <c r="D336" s="863"/>
      <c r="E336" s="706"/>
      <c r="F336" s="863"/>
      <c r="G336" s="706"/>
      <c r="H336" s="863"/>
      <c r="I336" s="706"/>
      <c r="J336" s="863"/>
      <c r="K336" s="706"/>
      <c r="L336" s="863"/>
      <c r="M336" s="706"/>
      <c r="N336" s="706"/>
      <c r="O336" s="863"/>
      <c r="P336" s="706"/>
      <c r="Q336" s="863"/>
      <c r="R336" s="706"/>
      <c r="S336" s="863"/>
      <c r="T336" s="706"/>
      <c r="U336" s="863"/>
      <c r="V336" s="706"/>
      <c r="W336" s="863"/>
      <c r="X336" s="706"/>
      <c r="Y336" s="706"/>
      <c r="Z336" s="727"/>
      <c r="AA336" s="706"/>
      <c r="AB336" s="727"/>
      <c r="AC336" s="706"/>
      <c r="AD336" s="727"/>
      <c r="AE336" s="706"/>
      <c r="AF336" s="727"/>
      <c r="AG336" s="706"/>
      <c r="AH336" s="727"/>
      <c r="AI336" s="706"/>
      <c r="AJ336" s="706"/>
      <c r="AK336" s="727"/>
      <c r="AL336" s="706"/>
      <c r="AM336" s="727"/>
      <c r="AN336" s="706"/>
      <c r="AO336" s="727"/>
      <c r="AP336" s="706"/>
      <c r="AQ336" s="727"/>
      <c r="AR336" s="706"/>
      <c r="AS336" s="727"/>
      <c r="AT336" s="706"/>
      <c r="AU336" s="706"/>
      <c r="AV336" s="727"/>
      <c r="AW336" s="706"/>
      <c r="AX336" s="727"/>
      <c r="AY336" s="706"/>
      <c r="AZ336" s="727"/>
      <c r="BA336" s="706"/>
      <c r="BB336" s="727"/>
      <c r="BC336" s="706"/>
      <c r="BD336" s="727"/>
      <c r="BE336" s="706"/>
    </row>
    <row r="337" spans="1:57" s="48" customFormat="1">
      <c r="A337" s="827"/>
      <c r="B337" s="827"/>
      <c r="C337" s="893"/>
      <c r="D337" s="863"/>
      <c r="E337" s="706"/>
      <c r="F337" s="863"/>
      <c r="G337" s="706"/>
      <c r="H337" s="863"/>
      <c r="I337" s="706"/>
      <c r="J337" s="863"/>
      <c r="K337" s="706"/>
      <c r="L337" s="863"/>
      <c r="M337" s="706"/>
      <c r="N337" s="706"/>
      <c r="O337" s="863"/>
      <c r="P337" s="706"/>
      <c r="Q337" s="863"/>
      <c r="R337" s="706"/>
      <c r="S337" s="863"/>
      <c r="T337" s="706"/>
      <c r="U337" s="863"/>
      <c r="V337" s="706"/>
      <c r="W337" s="863"/>
      <c r="X337" s="706"/>
      <c r="Y337" s="706"/>
      <c r="Z337" s="727"/>
      <c r="AA337" s="706"/>
      <c r="AB337" s="727"/>
      <c r="AC337" s="706"/>
      <c r="AD337" s="727"/>
      <c r="AE337" s="706"/>
      <c r="AF337" s="727"/>
      <c r="AG337" s="706"/>
      <c r="AH337" s="727"/>
      <c r="AI337" s="706"/>
      <c r="AJ337" s="706"/>
      <c r="AK337" s="727"/>
      <c r="AL337" s="706"/>
      <c r="AM337" s="727"/>
      <c r="AN337" s="706"/>
      <c r="AO337" s="727"/>
      <c r="AP337" s="706"/>
      <c r="AQ337" s="727"/>
      <c r="AR337" s="706"/>
      <c r="AS337" s="727"/>
      <c r="AT337" s="706"/>
      <c r="AU337" s="706"/>
      <c r="AV337" s="727"/>
      <c r="AW337" s="706"/>
      <c r="AX337" s="727"/>
      <c r="AY337" s="706"/>
      <c r="AZ337" s="727"/>
      <c r="BA337" s="706"/>
      <c r="BB337" s="727"/>
      <c r="BC337" s="706"/>
      <c r="BD337" s="727"/>
      <c r="BE337" s="706"/>
    </row>
    <row r="338" spans="1:57" s="48" customFormat="1">
      <c r="A338" s="827"/>
      <c r="B338" s="827"/>
      <c r="C338" s="893"/>
      <c r="D338" s="863"/>
      <c r="E338" s="706"/>
      <c r="F338" s="863"/>
      <c r="G338" s="706"/>
      <c r="H338" s="863"/>
      <c r="I338" s="706"/>
      <c r="J338" s="863"/>
      <c r="K338" s="706"/>
      <c r="L338" s="863"/>
      <c r="M338" s="706"/>
      <c r="N338" s="706"/>
      <c r="O338" s="863"/>
      <c r="P338" s="706"/>
      <c r="Q338" s="863"/>
      <c r="R338" s="706"/>
      <c r="S338" s="863"/>
      <c r="T338" s="706"/>
      <c r="U338" s="863"/>
      <c r="V338" s="706"/>
      <c r="W338" s="863"/>
      <c r="X338" s="706"/>
      <c r="Y338" s="706"/>
      <c r="Z338" s="727"/>
      <c r="AA338" s="706"/>
      <c r="AB338" s="727"/>
      <c r="AC338" s="706"/>
      <c r="AD338" s="727"/>
      <c r="AE338" s="706"/>
      <c r="AF338" s="727"/>
      <c r="AG338" s="706"/>
      <c r="AH338" s="727"/>
      <c r="AI338" s="706"/>
      <c r="AJ338" s="706"/>
      <c r="AK338" s="727"/>
      <c r="AL338" s="706"/>
      <c r="AM338" s="727"/>
      <c r="AN338" s="706"/>
      <c r="AO338" s="727"/>
      <c r="AP338" s="706"/>
      <c r="AQ338" s="727"/>
      <c r="AR338" s="706"/>
      <c r="AS338" s="727"/>
      <c r="AT338" s="706"/>
      <c r="AU338" s="706"/>
      <c r="AV338" s="727"/>
      <c r="AW338" s="706"/>
      <c r="AX338" s="727"/>
      <c r="AY338" s="706"/>
      <c r="AZ338" s="727"/>
      <c r="BA338" s="706"/>
      <c r="BB338" s="727"/>
      <c r="BC338" s="706"/>
      <c r="BD338" s="727"/>
      <c r="BE338" s="706"/>
    </row>
    <row r="339" spans="1:57" s="48" customFormat="1">
      <c r="A339" s="827"/>
      <c r="B339" s="827"/>
      <c r="C339" s="893"/>
      <c r="D339" s="863"/>
      <c r="E339" s="706"/>
      <c r="F339" s="863"/>
      <c r="G339" s="706"/>
      <c r="H339" s="863"/>
      <c r="I339" s="706"/>
      <c r="J339" s="863"/>
      <c r="K339" s="706"/>
      <c r="L339" s="863"/>
      <c r="M339" s="706"/>
      <c r="N339" s="706"/>
      <c r="O339" s="863"/>
      <c r="P339" s="706"/>
      <c r="Q339" s="863"/>
      <c r="R339" s="706"/>
      <c r="S339" s="863"/>
      <c r="T339" s="706"/>
      <c r="U339" s="863"/>
      <c r="V339" s="706"/>
      <c r="W339" s="863"/>
      <c r="X339" s="706"/>
      <c r="Y339" s="706"/>
      <c r="Z339" s="727"/>
      <c r="AA339" s="706"/>
      <c r="AB339" s="727"/>
      <c r="AC339" s="706"/>
      <c r="AD339" s="727"/>
      <c r="AE339" s="706"/>
      <c r="AF339" s="727"/>
      <c r="AG339" s="706"/>
      <c r="AH339" s="727"/>
      <c r="AI339" s="706"/>
      <c r="AJ339" s="706"/>
      <c r="AK339" s="727"/>
      <c r="AL339" s="706"/>
      <c r="AM339" s="727"/>
      <c r="AN339" s="706"/>
      <c r="AO339" s="727"/>
      <c r="AP339" s="706"/>
      <c r="AQ339" s="727"/>
      <c r="AR339" s="706"/>
      <c r="AS339" s="727"/>
      <c r="AT339" s="706"/>
      <c r="AU339" s="706"/>
      <c r="AV339" s="727"/>
      <c r="AW339" s="706"/>
      <c r="AX339" s="727"/>
      <c r="AY339" s="706"/>
      <c r="AZ339" s="727"/>
      <c r="BA339" s="706"/>
      <c r="BB339" s="727"/>
      <c r="BC339" s="706"/>
      <c r="BD339" s="727"/>
      <c r="BE339" s="706"/>
    </row>
    <row r="340" spans="1:57" s="48" customFormat="1">
      <c r="A340" s="827"/>
      <c r="B340" s="827"/>
      <c r="C340" s="893"/>
      <c r="D340" s="863"/>
      <c r="E340" s="706"/>
      <c r="F340" s="863"/>
      <c r="G340" s="706"/>
      <c r="H340" s="863"/>
      <c r="I340" s="706"/>
      <c r="J340" s="863"/>
      <c r="K340" s="706"/>
      <c r="L340" s="863"/>
      <c r="M340" s="706"/>
      <c r="N340" s="706"/>
      <c r="O340" s="863"/>
      <c r="P340" s="706"/>
      <c r="Q340" s="863"/>
      <c r="R340" s="706"/>
      <c r="S340" s="863"/>
      <c r="T340" s="706"/>
      <c r="U340" s="863"/>
      <c r="V340" s="706"/>
      <c r="W340" s="863"/>
      <c r="X340" s="706"/>
      <c r="Y340" s="706"/>
      <c r="Z340" s="727"/>
      <c r="AA340" s="706"/>
      <c r="AB340" s="727"/>
      <c r="AC340" s="706"/>
      <c r="AD340" s="727"/>
      <c r="AE340" s="706"/>
      <c r="AF340" s="727"/>
      <c r="AG340" s="706"/>
      <c r="AH340" s="727"/>
      <c r="AI340" s="706"/>
      <c r="AJ340" s="706"/>
      <c r="AK340" s="727"/>
      <c r="AL340" s="706"/>
      <c r="AM340" s="727"/>
      <c r="AN340" s="706"/>
      <c r="AO340" s="727"/>
      <c r="AP340" s="706"/>
      <c r="AQ340" s="727"/>
      <c r="AR340" s="706"/>
      <c r="AS340" s="727"/>
      <c r="AT340" s="706"/>
      <c r="AU340" s="706"/>
      <c r="AV340" s="727"/>
      <c r="AW340" s="706"/>
      <c r="AX340" s="727"/>
      <c r="AY340" s="706"/>
      <c r="AZ340" s="727"/>
      <c r="BA340" s="706"/>
      <c r="BB340" s="727"/>
      <c r="BC340" s="706"/>
      <c r="BD340" s="727"/>
      <c r="BE340" s="706"/>
    </row>
    <row r="341" spans="1:57" s="48" customFormat="1">
      <c r="A341" s="827"/>
      <c r="B341" s="827"/>
      <c r="C341" s="893"/>
      <c r="D341" s="863"/>
      <c r="E341" s="706"/>
      <c r="F341" s="863"/>
      <c r="G341" s="706"/>
      <c r="H341" s="863"/>
      <c r="I341" s="706"/>
      <c r="J341" s="863"/>
      <c r="K341" s="706"/>
      <c r="L341" s="863"/>
      <c r="M341" s="706"/>
      <c r="N341" s="706"/>
      <c r="O341" s="863"/>
      <c r="P341" s="706"/>
      <c r="Q341" s="863"/>
      <c r="R341" s="706"/>
      <c r="S341" s="863"/>
      <c r="T341" s="706"/>
      <c r="U341" s="863"/>
      <c r="V341" s="706"/>
      <c r="W341" s="863"/>
      <c r="X341" s="706"/>
      <c r="Y341" s="706"/>
      <c r="Z341" s="727"/>
      <c r="AA341" s="706"/>
      <c r="AB341" s="727"/>
      <c r="AC341" s="706"/>
      <c r="AD341" s="727"/>
      <c r="AE341" s="706"/>
      <c r="AF341" s="727"/>
      <c r="AG341" s="706"/>
      <c r="AH341" s="727"/>
      <c r="AI341" s="706"/>
      <c r="AJ341" s="706"/>
      <c r="AK341" s="727"/>
      <c r="AL341" s="706"/>
      <c r="AM341" s="727"/>
      <c r="AN341" s="706"/>
      <c r="AO341" s="727"/>
      <c r="AP341" s="706"/>
      <c r="AQ341" s="727"/>
      <c r="AR341" s="706"/>
      <c r="AS341" s="727"/>
      <c r="AT341" s="706"/>
      <c r="AU341" s="706"/>
      <c r="AV341" s="727"/>
      <c r="AW341" s="706"/>
      <c r="AX341" s="727"/>
      <c r="AY341" s="706"/>
      <c r="AZ341" s="727"/>
      <c r="BA341" s="706"/>
      <c r="BB341" s="727"/>
      <c r="BC341" s="706"/>
      <c r="BD341" s="727"/>
      <c r="BE341" s="706"/>
    </row>
    <row r="342" spans="1:57" s="48" customFormat="1">
      <c r="A342" s="827"/>
      <c r="B342" s="827"/>
      <c r="C342" s="893"/>
      <c r="D342" s="863"/>
      <c r="E342" s="706"/>
      <c r="F342" s="863"/>
      <c r="G342" s="706"/>
      <c r="H342" s="863"/>
      <c r="I342" s="706"/>
      <c r="J342" s="863"/>
      <c r="K342" s="706"/>
      <c r="L342" s="863"/>
      <c r="M342" s="706"/>
      <c r="N342" s="706"/>
      <c r="O342" s="863"/>
      <c r="P342" s="706"/>
      <c r="Q342" s="863"/>
      <c r="R342" s="706"/>
      <c r="S342" s="863"/>
      <c r="T342" s="706"/>
      <c r="U342" s="863"/>
      <c r="V342" s="706"/>
      <c r="W342" s="863"/>
      <c r="X342" s="706"/>
      <c r="Y342" s="706"/>
      <c r="Z342" s="727"/>
      <c r="AA342" s="706"/>
      <c r="AB342" s="727"/>
      <c r="AC342" s="706"/>
      <c r="AD342" s="727"/>
      <c r="AE342" s="706"/>
      <c r="AF342" s="727"/>
      <c r="AG342" s="706"/>
      <c r="AH342" s="727"/>
      <c r="AI342" s="706"/>
      <c r="AJ342" s="706"/>
      <c r="AK342" s="727"/>
      <c r="AL342" s="706"/>
      <c r="AM342" s="727"/>
      <c r="AN342" s="706"/>
      <c r="AO342" s="727"/>
      <c r="AP342" s="706"/>
      <c r="AQ342" s="727"/>
      <c r="AR342" s="706"/>
      <c r="AS342" s="727"/>
      <c r="AT342" s="706"/>
      <c r="AU342" s="706"/>
      <c r="AV342" s="727"/>
      <c r="AW342" s="706"/>
      <c r="AX342" s="727"/>
      <c r="AY342" s="706"/>
      <c r="AZ342" s="727"/>
      <c r="BA342" s="706"/>
      <c r="BB342" s="727"/>
      <c r="BC342" s="706"/>
      <c r="BD342" s="727"/>
      <c r="BE342" s="706"/>
    </row>
    <row r="343" spans="1:57" s="48" customFormat="1">
      <c r="A343" s="827"/>
      <c r="B343" s="827"/>
      <c r="C343" s="893"/>
      <c r="D343" s="863"/>
      <c r="E343" s="706"/>
      <c r="F343" s="863"/>
      <c r="G343" s="706"/>
      <c r="H343" s="863"/>
      <c r="I343" s="706"/>
      <c r="J343" s="863"/>
      <c r="K343" s="706"/>
      <c r="L343" s="863"/>
      <c r="M343" s="706"/>
      <c r="N343" s="706"/>
      <c r="O343" s="863"/>
      <c r="P343" s="706"/>
      <c r="Q343" s="863"/>
      <c r="R343" s="706"/>
      <c r="S343" s="863"/>
      <c r="T343" s="706"/>
      <c r="U343" s="863"/>
      <c r="V343" s="706"/>
      <c r="W343" s="863"/>
      <c r="X343" s="706"/>
      <c r="Y343" s="706"/>
      <c r="Z343" s="727"/>
      <c r="AA343" s="706"/>
      <c r="AB343" s="727"/>
      <c r="AC343" s="706"/>
      <c r="AD343" s="727"/>
      <c r="AE343" s="706"/>
      <c r="AF343" s="727"/>
      <c r="AG343" s="706"/>
      <c r="AH343" s="727"/>
      <c r="AI343" s="706"/>
      <c r="AJ343" s="706"/>
      <c r="AK343" s="727"/>
      <c r="AL343" s="706"/>
      <c r="AM343" s="727"/>
      <c r="AN343" s="706"/>
      <c r="AO343" s="727"/>
      <c r="AP343" s="706"/>
      <c r="AQ343" s="727"/>
      <c r="AR343" s="706"/>
      <c r="AS343" s="727"/>
      <c r="AT343" s="706"/>
      <c r="AU343" s="706"/>
      <c r="AV343" s="727"/>
      <c r="AW343" s="706"/>
      <c r="AX343" s="727"/>
      <c r="AY343" s="706"/>
      <c r="AZ343" s="727"/>
      <c r="BA343" s="706"/>
      <c r="BB343" s="727"/>
      <c r="BC343" s="706"/>
      <c r="BD343" s="727"/>
      <c r="BE343" s="706"/>
    </row>
    <row r="344" spans="1:57" s="48" customFormat="1">
      <c r="A344" s="827"/>
      <c r="B344" s="827"/>
      <c r="C344" s="893"/>
      <c r="D344" s="863"/>
      <c r="E344" s="706"/>
      <c r="F344" s="863"/>
      <c r="G344" s="706"/>
      <c r="H344" s="863"/>
      <c r="I344" s="706"/>
      <c r="J344" s="863"/>
      <c r="K344" s="706"/>
      <c r="L344" s="863"/>
      <c r="M344" s="706"/>
      <c r="N344" s="706"/>
      <c r="O344" s="863"/>
      <c r="P344" s="706"/>
      <c r="Q344" s="863"/>
      <c r="R344" s="706"/>
      <c r="S344" s="863"/>
      <c r="T344" s="706"/>
      <c r="U344" s="863"/>
      <c r="V344" s="706"/>
      <c r="W344" s="863"/>
      <c r="X344" s="706"/>
      <c r="Y344" s="706"/>
      <c r="Z344" s="727"/>
      <c r="AA344" s="706"/>
      <c r="AB344" s="727"/>
      <c r="AC344" s="706"/>
      <c r="AD344" s="727"/>
      <c r="AE344" s="706"/>
      <c r="AF344" s="727"/>
      <c r="AG344" s="706"/>
      <c r="AH344" s="727"/>
      <c r="AI344" s="706"/>
      <c r="AJ344" s="706"/>
      <c r="AK344" s="727"/>
      <c r="AL344" s="706"/>
      <c r="AM344" s="727"/>
      <c r="AN344" s="706"/>
      <c r="AO344" s="727"/>
      <c r="AP344" s="706"/>
      <c r="AQ344" s="727"/>
      <c r="AR344" s="706"/>
      <c r="AS344" s="727"/>
      <c r="AT344" s="706"/>
      <c r="AU344" s="706"/>
      <c r="AV344" s="727"/>
      <c r="AW344" s="706"/>
      <c r="AX344" s="727"/>
      <c r="AY344" s="706"/>
      <c r="AZ344" s="727"/>
      <c r="BA344" s="706"/>
      <c r="BB344" s="727"/>
      <c r="BC344" s="706"/>
      <c r="BD344" s="727"/>
      <c r="BE344" s="706"/>
    </row>
    <row r="345" spans="1:57" s="48" customFormat="1">
      <c r="A345" s="827"/>
      <c r="B345" s="827"/>
      <c r="C345" s="893"/>
      <c r="D345" s="863"/>
      <c r="E345" s="706"/>
      <c r="F345" s="863"/>
      <c r="G345" s="706"/>
      <c r="H345" s="863"/>
      <c r="I345" s="706"/>
      <c r="J345" s="863"/>
      <c r="K345" s="706"/>
      <c r="L345" s="863"/>
      <c r="M345" s="706"/>
      <c r="N345" s="706"/>
      <c r="O345" s="863"/>
      <c r="P345" s="706"/>
      <c r="Q345" s="863"/>
      <c r="R345" s="706"/>
      <c r="S345" s="863"/>
      <c r="T345" s="706"/>
      <c r="U345" s="863"/>
      <c r="V345" s="706"/>
      <c r="W345" s="863"/>
      <c r="X345" s="706"/>
      <c r="Y345" s="706"/>
      <c r="Z345" s="727"/>
      <c r="AA345" s="706"/>
      <c r="AB345" s="727"/>
      <c r="AC345" s="706"/>
      <c r="AD345" s="727"/>
      <c r="AE345" s="706"/>
      <c r="AF345" s="727"/>
      <c r="AG345" s="706"/>
      <c r="AH345" s="727"/>
      <c r="AI345" s="706"/>
      <c r="AJ345" s="706"/>
      <c r="AK345" s="727"/>
      <c r="AL345" s="706"/>
      <c r="AM345" s="727"/>
      <c r="AN345" s="706"/>
      <c r="AO345" s="727"/>
      <c r="AP345" s="706"/>
      <c r="AQ345" s="727"/>
      <c r="AR345" s="706"/>
      <c r="AS345" s="727"/>
      <c r="AT345" s="706"/>
      <c r="AU345" s="706"/>
      <c r="AV345" s="727"/>
      <c r="AW345" s="706"/>
      <c r="AX345" s="727"/>
      <c r="AY345" s="706"/>
      <c r="AZ345" s="727"/>
      <c r="BA345" s="706"/>
      <c r="BB345" s="727"/>
      <c r="BC345" s="706"/>
      <c r="BD345" s="727"/>
      <c r="BE345" s="706"/>
    </row>
    <row r="346" spans="1:57" s="48" customFormat="1">
      <c r="A346" s="827"/>
      <c r="B346" s="827"/>
      <c r="C346" s="893"/>
      <c r="D346" s="863"/>
      <c r="E346" s="706"/>
      <c r="F346" s="863"/>
      <c r="G346" s="706"/>
      <c r="H346" s="863"/>
      <c r="I346" s="706"/>
      <c r="J346" s="863"/>
      <c r="K346" s="706"/>
      <c r="L346" s="863"/>
      <c r="M346" s="706"/>
      <c r="N346" s="706"/>
      <c r="O346" s="863"/>
      <c r="P346" s="706"/>
      <c r="Q346" s="863"/>
      <c r="R346" s="706"/>
      <c r="S346" s="863"/>
      <c r="T346" s="706"/>
      <c r="U346" s="863"/>
      <c r="V346" s="706"/>
      <c r="W346" s="863"/>
      <c r="X346" s="706"/>
      <c r="Y346" s="706"/>
      <c r="Z346" s="727"/>
      <c r="AA346" s="706"/>
      <c r="AB346" s="727"/>
      <c r="AC346" s="706"/>
      <c r="AD346" s="727"/>
      <c r="AE346" s="706"/>
      <c r="AF346" s="727"/>
      <c r="AG346" s="706"/>
      <c r="AH346" s="727"/>
      <c r="AI346" s="706"/>
      <c r="AJ346" s="706"/>
      <c r="AK346" s="727"/>
      <c r="AL346" s="706"/>
      <c r="AM346" s="727"/>
      <c r="AN346" s="706"/>
      <c r="AO346" s="727"/>
      <c r="AP346" s="706"/>
      <c r="AQ346" s="727"/>
      <c r="AR346" s="706"/>
      <c r="AS346" s="727"/>
      <c r="AT346" s="706"/>
      <c r="AU346" s="706"/>
      <c r="AV346" s="727"/>
      <c r="AW346" s="706"/>
      <c r="AX346" s="727"/>
      <c r="AY346" s="706"/>
      <c r="AZ346" s="727"/>
      <c r="BA346" s="706"/>
      <c r="BB346" s="727"/>
      <c r="BC346" s="706"/>
      <c r="BD346" s="727"/>
      <c r="BE346" s="706"/>
    </row>
    <row r="347" spans="1:57" s="48" customFormat="1">
      <c r="A347" s="827"/>
      <c r="B347" s="827"/>
      <c r="C347" s="893"/>
      <c r="D347" s="863"/>
      <c r="E347" s="706"/>
      <c r="F347" s="863"/>
      <c r="G347" s="706"/>
      <c r="H347" s="863"/>
      <c r="I347" s="706"/>
      <c r="J347" s="863"/>
      <c r="K347" s="706"/>
      <c r="L347" s="863"/>
      <c r="M347" s="706"/>
      <c r="N347" s="706"/>
      <c r="O347" s="863"/>
      <c r="P347" s="706"/>
      <c r="Q347" s="863"/>
      <c r="R347" s="706"/>
      <c r="S347" s="863"/>
      <c r="T347" s="706"/>
      <c r="U347" s="863"/>
      <c r="V347" s="706"/>
      <c r="W347" s="863"/>
      <c r="X347" s="706"/>
      <c r="Y347" s="706"/>
      <c r="Z347" s="727"/>
      <c r="AA347" s="706"/>
      <c r="AB347" s="727"/>
      <c r="AC347" s="706"/>
      <c r="AD347" s="727"/>
      <c r="AE347" s="706"/>
      <c r="AF347" s="727"/>
      <c r="AG347" s="706"/>
      <c r="AH347" s="727"/>
      <c r="AI347" s="706"/>
      <c r="AJ347" s="706"/>
      <c r="AK347" s="727"/>
      <c r="AL347" s="706"/>
      <c r="AM347" s="727"/>
      <c r="AN347" s="706"/>
      <c r="AO347" s="727"/>
      <c r="AP347" s="706"/>
      <c r="AQ347" s="727"/>
      <c r="AR347" s="706"/>
      <c r="AS347" s="727"/>
      <c r="AT347" s="706"/>
      <c r="AU347" s="706"/>
      <c r="AV347" s="727"/>
      <c r="AW347" s="706"/>
      <c r="AX347" s="727"/>
      <c r="AY347" s="706"/>
      <c r="AZ347" s="727"/>
      <c r="BA347" s="706"/>
      <c r="BB347" s="727"/>
      <c r="BC347" s="706"/>
      <c r="BD347" s="727"/>
      <c r="BE347" s="706"/>
    </row>
    <row r="348" spans="1:57" s="48" customFormat="1">
      <c r="A348" s="827"/>
      <c r="B348" s="827"/>
      <c r="C348" s="893"/>
      <c r="D348" s="863"/>
      <c r="E348" s="706"/>
      <c r="F348" s="863"/>
      <c r="G348" s="706"/>
      <c r="H348" s="863"/>
      <c r="I348" s="706"/>
      <c r="J348" s="863"/>
      <c r="K348" s="706"/>
      <c r="L348" s="863"/>
      <c r="M348" s="706"/>
      <c r="N348" s="706"/>
      <c r="O348" s="863"/>
      <c r="P348" s="706"/>
      <c r="Q348" s="863"/>
      <c r="R348" s="706"/>
      <c r="S348" s="863"/>
      <c r="T348" s="706"/>
      <c r="U348" s="863"/>
      <c r="V348" s="706"/>
      <c r="W348" s="863"/>
      <c r="X348" s="706"/>
      <c r="Y348" s="706"/>
      <c r="Z348" s="727"/>
      <c r="AA348" s="706"/>
      <c r="AB348" s="727"/>
      <c r="AC348" s="706"/>
      <c r="AD348" s="727"/>
      <c r="AE348" s="706"/>
      <c r="AF348" s="727"/>
      <c r="AG348" s="706"/>
      <c r="AH348" s="727"/>
      <c r="AI348" s="706"/>
      <c r="AJ348" s="706"/>
      <c r="AK348" s="727"/>
      <c r="AL348" s="706"/>
      <c r="AM348" s="727"/>
      <c r="AN348" s="706"/>
      <c r="AO348" s="727"/>
      <c r="AP348" s="706"/>
      <c r="AQ348" s="727"/>
      <c r="AR348" s="706"/>
      <c r="AS348" s="727"/>
      <c r="AT348" s="706"/>
      <c r="AU348" s="706"/>
      <c r="AV348" s="727"/>
      <c r="AW348" s="706"/>
      <c r="AX348" s="727"/>
      <c r="AY348" s="706"/>
      <c r="AZ348" s="727"/>
      <c r="BA348" s="706"/>
      <c r="BB348" s="727"/>
      <c r="BC348" s="706"/>
      <c r="BD348" s="727"/>
      <c r="BE348" s="706"/>
    </row>
    <row r="349" spans="1:57" s="48" customFormat="1">
      <c r="A349" s="827"/>
      <c r="B349" s="827"/>
      <c r="C349" s="893"/>
      <c r="D349" s="863"/>
      <c r="E349" s="706"/>
      <c r="F349" s="863"/>
      <c r="G349" s="706"/>
      <c r="H349" s="863"/>
      <c r="I349" s="706"/>
      <c r="J349" s="863"/>
      <c r="K349" s="706"/>
      <c r="L349" s="863"/>
      <c r="M349" s="706"/>
      <c r="N349" s="706"/>
      <c r="O349" s="863"/>
      <c r="P349" s="706"/>
      <c r="Q349" s="863"/>
      <c r="R349" s="706"/>
      <c r="S349" s="863"/>
      <c r="T349" s="706"/>
      <c r="U349" s="863"/>
      <c r="V349" s="706"/>
      <c r="W349" s="863"/>
      <c r="X349" s="706"/>
      <c r="Y349" s="706"/>
      <c r="Z349" s="727"/>
      <c r="AA349" s="706"/>
      <c r="AB349" s="727"/>
      <c r="AC349" s="706"/>
      <c r="AD349" s="727"/>
      <c r="AE349" s="706"/>
      <c r="AF349" s="727"/>
      <c r="AG349" s="706"/>
      <c r="AH349" s="727"/>
      <c r="AI349" s="706"/>
      <c r="AJ349" s="706"/>
      <c r="AK349" s="727"/>
      <c r="AL349" s="706"/>
      <c r="AM349" s="727"/>
      <c r="AN349" s="706"/>
      <c r="AO349" s="727"/>
      <c r="AP349" s="706"/>
      <c r="AQ349" s="727"/>
      <c r="AR349" s="706"/>
      <c r="AS349" s="727"/>
      <c r="AT349" s="706"/>
      <c r="AU349" s="706"/>
      <c r="AV349" s="727"/>
      <c r="AW349" s="706"/>
      <c r="AX349" s="727"/>
      <c r="AY349" s="706"/>
      <c r="AZ349" s="727"/>
      <c r="BA349" s="706"/>
      <c r="BB349" s="727"/>
      <c r="BC349" s="706"/>
      <c r="BD349" s="727"/>
      <c r="BE349" s="706"/>
    </row>
    <row r="350" spans="1:57" s="48" customFormat="1">
      <c r="A350" s="827"/>
      <c r="B350" s="827"/>
      <c r="C350" s="893"/>
      <c r="D350" s="863"/>
      <c r="E350" s="706"/>
      <c r="F350" s="863"/>
      <c r="G350" s="706"/>
      <c r="H350" s="863"/>
      <c r="I350" s="706"/>
      <c r="J350" s="863"/>
      <c r="K350" s="706"/>
      <c r="L350" s="863"/>
      <c r="M350" s="706"/>
      <c r="N350" s="706"/>
      <c r="O350" s="863"/>
      <c r="P350" s="706"/>
      <c r="Q350" s="863"/>
      <c r="R350" s="706"/>
      <c r="S350" s="863"/>
      <c r="T350" s="706"/>
      <c r="U350" s="863"/>
      <c r="V350" s="706"/>
      <c r="W350" s="863"/>
      <c r="X350" s="706"/>
      <c r="Y350" s="706"/>
      <c r="Z350" s="727"/>
      <c r="AA350" s="706"/>
      <c r="AB350" s="727"/>
      <c r="AC350" s="706"/>
      <c r="AD350" s="727"/>
      <c r="AE350" s="706"/>
      <c r="AF350" s="727"/>
      <c r="AG350" s="706"/>
      <c r="AH350" s="727"/>
      <c r="AI350" s="706"/>
      <c r="AJ350" s="706"/>
      <c r="AK350" s="727"/>
      <c r="AL350" s="706"/>
      <c r="AM350" s="727"/>
      <c r="AN350" s="706"/>
      <c r="AO350" s="727"/>
      <c r="AP350" s="706"/>
      <c r="AQ350" s="727"/>
      <c r="AR350" s="706"/>
      <c r="AS350" s="727"/>
      <c r="AT350" s="706"/>
      <c r="AU350" s="706"/>
      <c r="AV350" s="727"/>
      <c r="AW350" s="706"/>
      <c r="AX350" s="727"/>
      <c r="AY350" s="706"/>
      <c r="AZ350" s="727"/>
      <c r="BA350" s="706"/>
      <c r="BB350" s="727"/>
      <c r="BC350" s="706"/>
      <c r="BD350" s="727"/>
      <c r="BE350" s="706"/>
    </row>
    <row r="351" spans="1:57" s="48" customFormat="1">
      <c r="A351" s="827"/>
      <c r="B351" s="827"/>
      <c r="C351" s="893"/>
      <c r="D351" s="863"/>
      <c r="E351" s="706"/>
      <c r="F351" s="863"/>
      <c r="G351" s="706"/>
      <c r="H351" s="863"/>
      <c r="I351" s="706"/>
      <c r="J351" s="863"/>
      <c r="K351" s="706"/>
      <c r="L351" s="863"/>
      <c r="M351" s="706"/>
      <c r="N351" s="706"/>
      <c r="O351" s="863"/>
      <c r="P351" s="706"/>
      <c r="Q351" s="863"/>
      <c r="R351" s="706"/>
      <c r="S351" s="863"/>
      <c r="T351" s="706"/>
      <c r="U351" s="863"/>
      <c r="V351" s="706"/>
      <c r="W351" s="863"/>
      <c r="X351" s="706"/>
      <c r="Y351" s="706"/>
      <c r="Z351" s="727"/>
      <c r="AA351" s="706"/>
      <c r="AB351" s="727"/>
      <c r="AC351" s="706"/>
      <c r="AD351" s="727"/>
      <c r="AE351" s="706"/>
      <c r="AF351" s="727"/>
      <c r="AG351" s="706"/>
      <c r="AH351" s="727"/>
      <c r="AI351" s="706"/>
      <c r="AJ351" s="706"/>
      <c r="AK351" s="727"/>
      <c r="AL351" s="706"/>
      <c r="AM351" s="727"/>
      <c r="AN351" s="706"/>
      <c r="AO351" s="727"/>
      <c r="AP351" s="706"/>
      <c r="AQ351" s="727"/>
      <c r="AR351" s="706"/>
      <c r="AS351" s="727"/>
      <c r="AT351" s="706"/>
      <c r="AU351" s="706"/>
      <c r="AV351" s="727"/>
      <c r="AW351" s="706"/>
      <c r="AX351" s="727"/>
      <c r="AY351" s="706"/>
      <c r="AZ351" s="727"/>
      <c r="BA351" s="706"/>
      <c r="BB351" s="727"/>
      <c r="BC351" s="706"/>
      <c r="BD351" s="727"/>
      <c r="BE351" s="706"/>
    </row>
    <row r="352" spans="1:57" s="48" customFormat="1">
      <c r="A352" s="827"/>
      <c r="B352" s="827"/>
      <c r="C352" s="893"/>
      <c r="D352" s="863"/>
      <c r="E352" s="706"/>
      <c r="F352" s="863"/>
      <c r="G352" s="706"/>
      <c r="H352" s="863"/>
      <c r="I352" s="706"/>
      <c r="J352" s="863"/>
      <c r="K352" s="706"/>
      <c r="L352" s="863"/>
      <c r="M352" s="706"/>
      <c r="N352" s="706"/>
      <c r="O352" s="863"/>
      <c r="P352" s="706"/>
      <c r="Q352" s="863"/>
      <c r="R352" s="706"/>
      <c r="S352" s="863"/>
      <c r="T352" s="706"/>
      <c r="U352" s="863"/>
      <c r="V352" s="706"/>
      <c r="W352" s="863"/>
      <c r="X352" s="706"/>
      <c r="Y352" s="706"/>
      <c r="Z352" s="727"/>
      <c r="AA352" s="706"/>
      <c r="AB352" s="727"/>
      <c r="AC352" s="706"/>
      <c r="AD352" s="727"/>
      <c r="AE352" s="706"/>
      <c r="AF352" s="727"/>
      <c r="AG352" s="706"/>
      <c r="AH352" s="727"/>
      <c r="AI352" s="706"/>
      <c r="AJ352" s="706"/>
      <c r="AK352" s="727"/>
      <c r="AL352" s="706"/>
      <c r="AM352" s="727"/>
      <c r="AN352" s="706"/>
      <c r="AO352" s="727"/>
      <c r="AP352" s="706"/>
      <c r="AQ352" s="727"/>
      <c r="AR352" s="706"/>
      <c r="AS352" s="727"/>
      <c r="AT352" s="706"/>
      <c r="AU352" s="706"/>
      <c r="AV352" s="727"/>
      <c r="AW352" s="706"/>
      <c r="AX352" s="727"/>
      <c r="AY352" s="706"/>
      <c r="AZ352" s="727"/>
      <c r="BA352" s="706"/>
      <c r="BB352" s="727"/>
      <c r="BC352" s="706"/>
      <c r="BD352" s="727"/>
      <c r="BE352" s="706"/>
    </row>
    <row r="353" spans="1:57" s="48" customFormat="1">
      <c r="A353" s="827"/>
      <c r="B353" s="827"/>
      <c r="C353" s="893"/>
      <c r="D353" s="863"/>
      <c r="E353" s="706"/>
      <c r="F353" s="863"/>
      <c r="G353" s="706"/>
      <c r="H353" s="863"/>
      <c r="I353" s="706"/>
      <c r="J353" s="863"/>
      <c r="K353" s="706"/>
      <c r="L353" s="863"/>
      <c r="M353" s="706"/>
      <c r="N353" s="706"/>
      <c r="O353" s="863"/>
      <c r="P353" s="706"/>
      <c r="Q353" s="863"/>
      <c r="R353" s="706"/>
      <c r="S353" s="863"/>
      <c r="T353" s="706"/>
      <c r="U353" s="863"/>
      <c r="V353" s="706"/>
      <c r="W353" s="863"/>
      <c r="X353" s="706"/>
      <c r="Y353" s="706"/>
      <c r="Z353" s="727"/>
      <c r="AA353" s="706"/>
      <c r="AB353" s="727"/>
      <c r="AC353" s="706"/>
      <c r="AD353" s="727"/>
      <c r="AE353" s="706"/>
      <c r="AF353" s="727"/>
      <c r="AG353" s="706"/>
      <c r="AH353" s="727"/>
      <c r="AI353" s="706"/>
      <c r="AJ353" s="706"/>
      <c r="AK353" s="727"/>
      <c r="AL353" s="706"/>
      <c r="AM353" s="727"/>
      <c r="AN353" s="706"/>
      <c r="AO353" s="727"/>
      <c r="AP353" s="706"/>
      <c r="AQ353" s="727"/>
      <c r="AR353" s="706"/>
      <c r="AS353" s="727"/>
      <c r="AT353" s="706"/>
      <c r="AU353" s="706"/>
      <c r="AV353" s="727"/>
      <c r="AW353" s="706"/>
      <c r="AX353" s="727"/>
      <c r="AY353" s="706"/>
      <c r="AZ353" s="727"/>
      <c r="BA353" s="706"/>
      <c r="BB353" s="727"/>
      <c r="BC353" s="706"/>
      <c r="BD353" s="727"/>
      <c r="BE353" s="706"/>
    </row>
    <row r="354" spans="1:57" s="48" customFormat="1">
      <c r="A354" s="827"/>
      <c r="B354" s="827"/>
      <c r="C354" s="893"/>
      <c r="D354" s="863"/>
      <c r="E354" s="706"/>
      <c r="F354" s="863"/>
      <c r="G354" s="706"/>
      <c r="H354" s="863"/>
      <c r="I354" s="706"/>
      <c r="J354" s="863"/>
      <c r="K354" s="706"/>
      <c r="L354" s="863"/>
      <c r="M354" s="706"/>
      <c r="N354" s="706"/>
      <c r="O354" s="863"/>
      <c r="P354" s="706"/>
      <c r="Q354" s="863"/>
      <c r="R354" s="706"/>
      <c r="S354" s="863"/>
      <c r="T354" s="706"/>
      <c r="U354" s="863"/>
      <c r="V354" s="706"/>
      <c r="W354" s="863"/>
      <c r="X354" s="706"/>
      <c r="Y354" s="706"/>
      <c r="Z354" s="727"/>
      <c r="AA354" s="706"/>
      <c r="AB354" s="727"/>
      <c r="AC354" s="706"/>
      <c r="AD354" s="727"/>
      <c r="AE354" s="706"/>
      <c r="AF354" s="727"/>
      <c r="AG354" s="706"/>
      <c r="AH354" s="727"/>
      <c r="AI354" s="706"/>
      <c r="AJ354" s="706"/>
      <c r="AK354" s="727"/>
      <c r="AL354" s="706"/>
      <c r="AM354" s="727"/>
      <c r="AN354" s="706"/>
      <c r="AO354" s="727"/>
      <c r="AP354" s="706"/>
      <c r="AQ354" s="727"/>
      <c r="AR354" s="706"/>
      <c r="AS354" s="727"/>
      <c r="AT354" s="706"/>
      <c r="AU354" s="706"/>
      <c r="AV354" s="727"/>
      <c r="AW354" s="706"/>
      <c r="AX354" s="727"/>
      <c r="AY354" s="706"/>
      <c r="AZ354" s="727"/>
      <c r="BA354" s="706"/>
      <c r="BB354" s="727"/>
      <c r="BC354" s="706"/>
      <c r="BD354" s="727"/>
      <c r="BE354" s="706"/>
    </row>
    <row r="355" spans="1:57" s="48" customFormat="1">
      <c r="A355" s="827"/>
      <c r="B355" s="827"/>
      <c r="C355" s="893"/>
      <c r="D355" s="863"/>
      <c r="E355" s="706"/>
      <c r="F355" s="863"/>
      <c r="G355" s="706"/>
      <c r="H355" s="863"/>
      <c r="I355" s="706"/>
      <c r="J355" s="863"/>
      <c r="K355" s="706"/>
      <c r="L355" s="863"/>
      <c r="M355" s="706"/>
      <c r="N355" s="706"/>
      <c r="O355" s="863"/>
      <c r="P355" s="706"/>
      <c r="Q355" s="863"/>
      <c r="R355" s="706"/>
      <c r="S355" s="863"/>
      <c r="T355" s="706"/>
      <c r="U355" s="863"/>
      <c r="V355" s="706"/>
      <c r="W355" s="863"/>
      <c r="X355" s="706"/>
      <c r="Y355" s="706"/>
      <c r="Z355" s="727"/>
      <c r="AA355" s="706"/>
      <c r="AB355" s="727"/>
      <c r="AC355" s="706"/>
      <c r="AD355" s="727"/>
      <c r="AE355" s="706"/>
      <c r="AF355" s="727"/>
      <c r="AG355" s="706"/>
      <c r="AH355" s="727"/>
      <c r="AI355" s="706"/>
      <c r="AJ355" s="706"/>
      <c r="AK355" s="727"/>
      <c r="AL355" s="706"/>
      <c r="AM355" s="727"/>
      <c r="AN355" s="706"/>
      <c r="AO355" s="727"/>
      <c r="AP355" s="706"/>
      <c r="AQ355" s="727"/>
      <c r="AR355" s="706"/>
      <c r="AS355" s="727"/>
      <c r="AT355" s="706"/>
      <c r="AU355" s="706"/>
      <c r="AV355" s="727"/>
      <c r="AW355" s="706"/>
      <c r="AX355" s="727"/>
      <c r="AY355" s="706"/>
      <c r="AZ355" s="727"/>
      <c r="BA355" s="706"/>
      <c r="BB355" s="727"/>
      <c r="BC355" s="706"/>
      <c r="BD355" s="727"/>
      <c r="BE355" s="706"/>
    </row>
    <row r="356" spans="1:57" s="48" customFormat="1">
      <c r="A356" s="827"/>
      <c r="B356" s="827"/>
      <c r="C356" s="893"/>
      <c r="D356" s="863"/>
      <c r="E356" s="706"/>
      <c r="F356" s="863"/>
      <c r="G356" s="706"/>
      <c r="H356" s="863"/>
      <c r="I356" s="706"/>
      <c r="J356" s="863"/>
      <c r="K356" s="706"/>
      <c r="L356" s="863"/>
      <c r="M356" s="706"/>
      <c r="N356" s="706"/>
      <c r="O356" s="863"/>
      <c r="P356" s="706"/>
      <c r="Q356" s="863"/>
      <c r="R356" s="706"/>
      <c r="S356" s="863"/>
      <c r="T356" s="706"/>
      <c r="U356" s="863"/>
      <c r="V356" s="706"/>
      <c r="W356" s="863"/>
      <c r="X356" s="706"/>
      <c r="Y356" s="706"/>
      <c r="Z356" s="727"/>
      <c r="AA356" s="706"/>
      <c r="AB356" s="727"/>
      <c r="AC356" s="706"/>
      <c r="AD356" s="727"/>
      <c r="AE356" s="706"/>
      <c r="AF356" s="727"/>
      <c r="AG356" s="706"/>
      <c r="AH356" s="727"/>
      <c r="AI356" s="706"/>
      <c r="AJ356" s="706"/>
      <c r="AK356" s="727"/>
      <c r="AL356" s="706"/>
      <c r="AM356" s="727"/>
      <c r="AN356" s="706"/>
      <c r="AO356" s="727"/>
      <c r="AP356" s="706"/>
      <c r="AQ356" s="727"/>
      <c r="AR356" s="706"/>
      <c r="AS356" s="727"/>
      <c r="AT356" s="706"/>
      <c r="AU356" s="706"/>
      <c r="AV356" s="727"/>
      <c r="AW356" s="706"/>
      <c r="AX356" s="727"/>
      <c r="AY356" s="706"/>
      <c r="AZ356" s="727"/>
      <c r="BA356" s="706"/>
      <c r="BB356" s="727"/>
      <c r="BC356" s="706"/>
      <c r="BD356" s="727"/>
      <c r="BE356" s="706"/>
    </row>
    <row r="357" spans="1:57" s="48" customFormat="1">
      <c r="A357" s="827"/>
      <c r="B357" s="827"/>
      <c r="C357" s="893"/>
      <c r="D357" s="863"/>
      <c r="E357" s="706"/>
      <c r="F357" s="863"/>
      <c r="G357" s="706"/>
      <c r="H357" s="863"/>
      <c r="I357" s="706"/>
      <c r="J357" s="863"/>
      <c r="K357" s="706"/>
      <c r="L357" s="863"/>
      <c r="M357" s="706"/>
      <c r="N357" s="706"/>
      <c r="O357" s="863"/>
      <c r="P357" s="706"/>
      <c r="Q357" s="863"/>
      <c r="R357" s="706"/>
      <c r="S357" s="863"/>
      <c r="T357" s="706"/>
      <c r="U357" s="863"/>
      <c r="V357" s="706"/>
      <c r="W357" s="863"/>
      <c r="X357" s="706"/>
      <c r="Y357" s="706"/>
      <c r="Z357" s="727"/>
      <c r="AA357" s="706"/>
      <c r="AB357" s="727"/>
      <c r="AC357" s="706"/>
      <c r="AD357" s="727"/>
      <c r="AE357" s="706"/>
      <c r="AF357" s="727"/>
      <c r="AG357" s="706"/>
      <c r="AH357" s="727"/>
      <c r="AI357" s="706"/>
      <c r="AJ357" s="706"/>
      <c r="AK357" s="727"/>
      <c r="AL357" s="706"/>
      <c r="AM357" s="727"/>
      <c r="AN357" s="706"/>
      <c r="AO357" s="727"/>
      <c r="AP357" s="706"/>
      <c r="AQ357" s="727"/>
      <c r="AR357" s="706"/>
      <c r="AS357" s="727"/>
      <c r="AT357" s="706"/>
      <c r="AU357" s="706"/>
      <c r="AV357" s="727"/>
      <c r="AW357" s="706"/>
      <c r="AX357" s="727"/>
      <c r="AY357" s="706"/>
      <c r="AZ357" s="727"/>
      <c r="BA357" s="706"/>
      <c r="BB357" s="727"/>
      <c r="BC357" s="706"/>
      <c r="BD357" s="727"/>
      <c r="BE357" s="706"/>
    </row>
    <row r="358" spans="1:57" s="48" customFormat="1">
      <c r="A358" s="827"/>
      <c r="B358" s="827"/>
      <c r="C358" s="893"/>
      <c r="D358" s="863"/>
      <c r="E358" s="706"/>
      <c r="F358" s="863"/>
      <c r="G358" s="706"/>
      <c r="H358" s="863"/>
      <c r="I358" s="706"/>
      <c r="J358" s="863"/>
      <c r="K358" s="706"/>
      <c r="L358" s="863"/>
      <c r="M358" s="706"/>
      <c r="N358" s="706"/>
      <c r="O358" s="863"/>
      <c r="P358" s="706"/>
      <c r="Q358" s="863"/>
      <c r="R358" s="706"/>
      <c r="S358" s="863"/>
      <c r="T358" s="706"/>
      <c r="U358" s="863"/>
      <c r="V358" s="706"/>
      <c r="W358" s="863"/>
      <c r="X358" s="706"/>
      <c r="Y358" s="706"/>
      <c r="Z358" s="727"/>
      <c r="AA358" s="706"/>
      <c r="AB358" s="727"/>
      <c r="AC358" s="706"/>
      <c r="AD358" s="727"/>
      <c r="AE358" s="706"/>
      <c r="AF358" s="727"/>
      <c r="AG358" s="706"/>
      <c r="AH358" s="727"/>
      <c r="AI358" s="706"/>
      <c r="AJ358" s="706"/>
      <c r="AK358" s="727"/>
      <c r="AL358" s="706"/>
      <c r="AM358" s="727"/>
      <c r="AN358" s="706"/>
      <c r="AO358" s="727"/>
      <c r="AP358" s="706"/>
      <c r="AQ358" s="727"/>
      <c r="AR358" s="706"/>
      <c r="AS358" s="727"/>
      <c r="AT358" s="706"/>
      <c r="AU358" s="706"/>
      <c r="AV358" s="727"/>
      <c r="AW358" s="706"/>
      <c r="AX358" s="727"/>
      <c r="AY358" s="706"/>
      <c r="AZ358" s="727"/>
      <c r="BA358" s="706"/>
      <c r="BB358" s="727"/>
      <c r="BC358" s="706"/>
      <c r="BD358" s="727"/>
      <c r="BE358" s="706"/>
    </row>
    <row r="359" spans="1:57" s="48" customFormat="1">
      <c r="A359" s="827"/>
      <c r="B359" s="827"/>
      <c r="C359" s="893"/>
      <c r="D359" s="863"/>
      <c r="E359" s="706"/>
      <c r="F359" s="863"/>
      <c r="G359" s="706"/>
      <c r="H359" s="863"/>
      <c r="I359" s="706"/>
      <c r="J359" s="863"/>
      <c r="K359" s="706"/>
      <c r="L359" s="863"/>
      <c r="M359" s="706"/>
      <c r="N359" s="706"/>
      <c r="O359" s="863"/>
      <c r="P359" s="706"/>
      <c r="Q359" s="863"/>
      <c r="R359" s="706"/>
      <c r="S359" s="863"/>
      <c r="T359" s="706"/>
      <c r="U359" s="863"/>
      <c r="V359" s="706"/>
      <c r="W359" s="863"/>
      <c r="X359" s="706"/>
      <c r="Y359" s="706"/>
      <c r="Z359" s="727"/>
      <c r="AA359" s="706"/>
      <c r="AB359" s="727"/>
      <c r="AC359" s="706"/>
      <c r="AD359" s="727"/>
      <c r="AE359" s="706"/>
      <c r="AF359" s="727"/>
      <c r="AG359" s="706"/>
      <c r="AH359" s="727"/>
      <c r="AI359" s="706"/>
      <c r="AJ359" s="706"/>
      <c r="AK359" s="727"/>
      <c r="AL359" s="706"/>
      <c r="AM359" s="727"/>
      <c r="AN359" s="706"/>
      <c r="AO359" s="727"/>
      <c r="AP359" s="706"/>
      <c r="AQ359" s="727"/>
      <c r="AR359" s="706"/>
      <c r="AS359" s="727"/>
      <c r="AT359" s="706"/>
      <c r="AU359" s="706"/>
      <c r="AV359" s="727"/>
      <c r="AW359" s="706"/>
      <c r="AX359" s="727"/>
      <c r="AY359" s="706"/>
      <c r="AZ359" s="727"/>
      <c r="BA359" s="706"/>
      <c r="BB359" s="727"/>
      <c r="BC359" s="706"/>
      <c r="BD359" s="727"/>
      <c r="BE359" s="706"/>
    </row>
    <row r="360" spans="1:57" s="48" customFormat="1">
      <c r="A360" s="827"/>
      <c r="B360" s="827"/>
      <c r="C360" s="893"/>
      <c r="D360" s="863"/>
      <c r="E360" s="706"/>
      <c r="F360" s="863"/>
      <c r="G360" s="706"/>
      <c r="H360" s="863"/>
      <c r="I360" s="706"/>
      <c r="J360" s="863"/>
      <c r="K360" s="706"/>
      <c r="L360" s="863"/>
      <c r="M360" s="706"/>
      <c r="N360" s="706"/>
      <c r="O360" s="863"/>
      <c r="P360" s="706"/>
      <c r="Q360" s="863"/>
      <c r="R360" s="706"/>
      <c r="S360" s="863"/>
      <c r="T360" s="706"/>
      <c r="U360" s="863"/>
      <c r="V360" s="706"/>
      <c r="W360" s="863"/>
      <c r="X360" s="706"/>
      <c r="Y360" s="706"/>
      <c r="Z360" s="727"/>
      <c r="AA360" s="706"/>
      <c r="AB360" s="727"/>
      <c r="AC360" s="706"/>
      <c r="AD360" s="727"/>
      <c r="AE360" s="706"/>
      <c r="AF360" s="727"/>
      <c r="AG360" s="706"/>
      <c r="AH360" s="727"/>
      <c r="AI360" s="706"/>
      <c r="AJ360" s="706"/>
      <c r="AK360" s="727"/>
      <c r="AL360" s="706"/>
      <c r="AM360" s="727"/>
      <c r="AN360" s="706"/>
      <c r="AO360" s="727"/>
      <c r="AP360" s="706"/>
      <c r="AQ360" s="727"/>
      <c r="AR360" s="706"/>
      <c r="AS360" s="727"/>
      <c r="AT360" s="706"/>
      <c r="AU360" s="706"/>
      <c r="AV360" s="727"/>
      <c r="AW360" s="706"/>
      <c r="AX360" s="727"/>
      <c r="AY360" s="706"/>
      <c r="AZ360" s="727"/>
      <c r="BA360" s="706"/>
      <c r="BB360" s="727"/>
      <c r="BC360" s="706"/>
      <c r="BD360" s="727"/>
      <c r="BE360" s="706"/>
    </row>
    <row r="361" spans="1:57" s="48" customFormat="1">
      <c r="A361" s="827"/>
      <c r="B361" s="827"/>
      <c r="C361" s="893"/>
      <c r="D361" s="863"/>
      <c r="E361" s="706"/>
      <c r="F361" s="863"/>
      <c r="G361" s="706"/>
      <c r="H361" s="863"/>
      <c r="I361" s="706"/>
      <c r="J361" s="863"/>
      <c r="K361" s="706"/>
      <c r="L361" s="863"/>
      <c r="M361" s="706"/>
      <c r="N361" s="706"/>
      <c r="O361" s="863"/>
      <c r="P361" s="706"/>
      <c r="Q361" s="863"/>
      <c r="R361" s="706"/>
      <c r="S361" s="863"/>
      <c r="T361" s="706"/>
      <c r="U361" s="863"/>
      <c r="V361" s="706"/>
      <c r="W361" s="863"/>
      <c r="X361" s="706"/>
      <c r="Y361" s="706"/>
      <c r="Z361" s="727"/>
      <c r="AA361" s="706"/>
      <c r="AB361" s="727"/>
      <c r="AC361" s="706"/>
      <c r="AD361" s="727"/>
      <c r="AE361" s="706"/>
      <c r="AF361" s="727"/>
      <c r="AG361" s="706"/>
      <c r="AH361" s="727"/>
      <c r="AI361" s="706"/>
      <c r="AJ361" s="706"/>
      <c r="AK361" s="727"/>
      <c r="AL361" s="706"/>
      <c r="AM361" s="727"/>
      <c r="AN361" s="706"/>
      <c r="AO361" s="727"/>
      <c r="AP361" s="706"/>
      <c r="AQ361" s="727"/>
      <c r="AR361" s="706"/>
      <c r="AS361" s="727"/>
      <c r="AT361" s="706"/>
      <c r="AU361" s="706"/>
      <c r="AV361" s="727"/>
      <c r="AW361" s="706"/>
      <c r="AX361" s="727"/>
      <c r="AY361" s="706"/>
      <c r="AZ361" s="727"/>
      <c r="BA361" s="706"/>
      <c r="BB361" s="727"/>
      <c r="BC361" s="706"/>
      <c r="BD361" s="727"/>
      <c r="BE361" s="706"/>
    </row>
    <row r="362" spans="1:57" s="48" customFormat="1">
      <c r="A362" s="827"/>
      <c r="B362" s="827"/>
      <c r="C362" s="893"/>
      <c r="D362" s="863"/>
      <c r="E362" s="706"/>
      <c r="F362" s="863"/>
      <c r="G362" s="706"/>
      <c r="H362" s="863"/>
      <c r="I362" s="706"/>
      <c r="J362" s="863"/>
      <c r="K362" s="706"/>
      <c r="L362" s="863"/>
      <c r="M362" s="706"/>
      <c r="N362" s="706"/>
      <c r="O362" s="863"/>
      <c r="P362" s="706"/>
      <c r="Q362" s="863"/>
      <c r="R362" s="706"/>
      <c r="S362" s="863"/>
      <c r="T362" s="706"/>
      <c r="U362" s="863"/>
      <c r="V362" s="706"/>
      <c r="W362" s="863"/>
      <c r="X362" s="706"/>
      <c r="Y362" s="706"/>
      <c r="Z362" s="727"/>
      <c r="AA362" s="706"/>
      <c r="AB362" s="727"/>
      <c r="AC362" s="706"/>
      <c r="AD362" s="727"/>
      <c r="AE362" s="706"/>
      <c r="AF362" s="727"/>
      <c r="AG362" s="706"/>
      <c r="AH362" s="727"/>
      <c r="AI362" s="706"/>
      <c r="AJ362" s="706"/>
      <c r="AK362" s="727"/>
      <c r="AL362" s="706"/>
      <c r="AM362" s="727"/>
      <c r="AN362" s="706"/>
      <c r="AO362" s="727"/>
      <c r="AP362" s="706"/>
      <c r="AQ362" s="727"/>
      <c r="AR362" s="706"/>
      <c r="AS362" s="727"/>
      <c r="AT362" s="706"/>
      <c r="AU362" s="706"/>
      <c r="AV362" s="727"/>
      <c r="AW362" s="706"/>
      <c r="AX362" s="727"/>
      <c r="AY362" s="706"/>
      <c r="AZ362" s="727"/>
      <c r="BA362" s="706"/>
      <c r="BB362" s="727"/>
      <c r="BC362" s="706"/>
      <c r="BD362" s="727"/>
      <c r="BE362" s="706"/>
    </row>
    <row r="363" spans="1:57" s="48" customFormat="1">
      <c r="A363" s="827"/>
      <c r="B363" s="827"/>
      <c r="C363" s="893"/>
      <c r="D363" s="863"/>
      <c r="E363" s="706"/>
      <c r="F363" s="863"/>
      <c r="G363" s="706"/>
      <c r="H363" s="863"/>
      <c r="I363" s="706"/>
      <c r="J363" s="863"/>
      <c r="K363" s="706"/>
      <c r="L363" s="863"/>
      <c r="M363" s="706"/>
      <c r="N363" s="706"/>
      <c r="O363" s="863"/>
      <c r="P363" s="706"/>
      <c r="Q363" s="863"/>
      <c r="R363" s="706"/>
      <c r="S363" s="863"/>
      <c r="T363" s="706"/>
      <c r="U363" s="863"/>
      <c r="V363" s="706"/>
      <c r="W363" s="863"/>
      <c r="X363" s="706"/>
      <c r="Y363" s="706"/>
      <c r="Z363" s="727"/>
      <c r="AA363" s="706"/>
      <c r="AB363" s="727"/>
      <c r="AC363" s="706"/>
      <c r="AD363" s="727"/>
      <c r="AE363" s="706"/>
      <c r="AF363" s="727"/>
      <c r="AG363" s="706"/>
      <c r="AH363" s="727"/>
      <c r="AI363" s="706"/>
      <c r="AJ363" s="706"/>
      <c r="AK363" s="727"/>
      <c r="AL363" s="706"/>
      <c r="AM363" s="727"/>
      <c r="AN363" s="706"/>
      <c r="AO363" s="727"/>
      <c r="AP363" s="706"/>
      <c r="AQ363" s="727"/>
      <c r="AR363" s="706"/>
      <c r="AS363" s="727"/>
      <c r="AT363" s="706"/>
      <c r="AU363" s="706"/>
      <c r="AV363" s="727"/>
      <c r="AW363" s="706"/>
      <c r="AX363" s="727"/>
      <c r="AY363" s="706"/>
      <c r="AZ363" s="727"/>
      <c r="BA363" s="706"/>
      <c r="BB363" s="727"/>
      <c r="BC363" s="706"/>
      <c r="BD363" s="727"/>
      <c r="BE363" s="706"/>
    </row>
    <row r="364" spans="1:57" s="48" customFormat="1">
      <c r="A364" s="827"/>
      <c r="B364" s="827"/>
      <c r="C364" s="893"/>
      <c r="D364" s="863"/>
      <c r="E364" s="706"/>
      <c r="F364" s="863"/>
      <c r="G364" s="706"/>
      <c r="H364" s="863"/>
      <c r="I364" s="706"/>
      <c r="J364" s="863"/>
      <c r="K364" s="706"/>
      <c r="L364" s="863"/>
      <c r="M364" s="706"/>
      <c r="N364" s="706"/>
      <c r="O364" s="863"/>
      <c r="P364" s="706"/>
      <c r="Q364" s="863"/>
      <c r="R364" s="706"/>
      <c r="S364" s="863"/>
      <c r="T364" s="706"/>
      <c r="U364" s="863"/>
      <c r="V364" s="706"/>
      <c r="W364" s="863"/>
      <c r="X364" s="706"/>
      <c r="Y364" s="706"/>
      <c r="Z364" s="727"/>
      <c r="AA364" s="706"/>
      <c r="AB364" s="727"/>
      <c r="AC364" s="706"/>
      <c r="AD364" s="727"/>
      <c r="AE364" s="706"/>
      <c r="AF364" s="727"/>
      <c r="AG364" s="706"/>
      <c r="AH364" s="727"/>
      <c r="AI364" s="706"/>
      <c r="AJ364" s="706"/>
      <c r="AK364" s="727"/>
      <c r="AL364" s="706"/>
      <c r="AM364" s="727"/>
      <c r="AN364" s="706"/>
      <c r="AO364" s="727"/>
      <c r="AP364" s="706"/>
      <c r="AQ364" s="727"/>
      <c r="AR364" s="706"/>
      <c r="AS364" s="727"/>
      <c r="AT364" s="706"/>
      <c r="AU364" s="706"/>
      <c r="AV364" s="727"/>
      <c r="AW364" s="706"/>
      <c r="AX364" s="727"/>
      <c r="AY364" s="706"/>
      <c r="AZ364" s="727"/>
      <c r="BA364" s="706"/>
      <c r="BB364" s="727"/>
      <c r="BC364" s="706"/>
      <c r="BD364" s="727"/>
      <c r="BE364" s="706"/>
    </row>
    <row r="365" spans="1:57" s="48" customFormat="1">
      <c r="A365" s="827"/>
      <c r="B365" s="827"/>
      <c r="C365" s="893"/>
      <c r="D365" s="863"/>
      <c r="E365" s="706"/>
      <c r="F365" s="863"/>
      <c r="G365" s="706"/>
      <c r="H365" s="863"/>
      <c r="I365" s="706"/>
      <c r="J365" s="863"/>
      <c r="K365" s="706"/>
      <c r="L365" s="863"/>
      <c r="M365" s="706"/>
      <c r="N365" s="706"/>
      <c r="O365" s="863"/>
      <c r="P365" s="706"/>
      <c r="Q365" s="863"/>
      <c r="R365" s="706"/>
      <c r="S365" s="863"/>
      <c r="T365" s="706"/>
      <c r="U365" s="863"/>
      <c r="V365" s="706"/>
      <c r="W365" s="863"/>
      <c r="X365" s="706"/>
      <c r="Y365" s="706"/>
      <c r="Z365" s="727"/>
      <c r="AA365" s="706"/>
      <c r="AB365" s="727"/>
      <c r="AC365" s="706"/>
      <c r="AD365" s="727"/>
      <c r="AE365" s="706"/>
      <c r="AF365" s="727"/>
      <c r="AG365" s="706"/>
      <c r="AH365" s="727"/>
      <c r="AI365" s="706"/>
      <c r="AJ365" s="706"/>
      <c r="AK365" s="727"/>
      <c r="AL365" s="706"/>
      <c r="AM365" s="727"/>
      <c r="AN365" s="706"/>
      <c r="AO365" s="727"/>
      <c r="AP365" s="706"/>
      <c r="AQ365" s="727"/>
      <c r="AR365" s="706"/>
      <c r="AS365" s="727"/>
      <c r="AT365" s="706"/>
      <c r="AU365" s="706"/>
      <c r="AV365" s="727"/>
      <c r="AW365" s="706"/>
      <c r="AX365" s="727"/>
      <c r="AY365" s="706"/>
      <c r="AZ365" s="727"/>
      <c r="BA365" s="706"/>
      <c r="BB365" s="727"/>
      <c r="BC365" s="706"/>
      <c r="BD365" s="727"/>
      <c r="BE365" s="706"/>
    </row>
    <row r="366" spans="1:57" s="48" customFormat="1">
      <c r="A366" s="827"/>
      <c r="B366" s="827"/>
      <c r="C366" s="893"/>
      <c r="D366" s="863"/>
      <c r="E366" s="706"/>
      <c r="F366" s="863"/>
      <c r="G366" s="706"/>
      <c r="H366" s="863"/>
      <c r="I366" s="706"/>
      <c r="J366" s="863"/>
      <c r="K366" s="706"/>
      <c r="L366" s="863"/>
      <c r="M366" s="706"/>
      <c r="N366" s="706"/>
      <c r="O366" s="863"/>
      <c r="P366" s="706"/>
      <c r="Q366" s="863"/>
      <c r="R366" s="706"/>
      <c r="S366" s="863"/>
      <c r="T366" s="706"/>
      <c r="U366" s="863"/>
      <c r="V366" s="706"/>
      <c r="W366" s="863"/>
      <c r="X366" s="706"/>
      <c r="Y366" s="706"/>
      <c r="Z366" s="727"/>
      <c r="AA366" s="706"/>
      <c r="AB366" s="727"/>
      <c r="AC366" s="706"/>
      <c r="AD366" s="727"/>
      <c r="AE366" s="706"/>
      <c r="AF366" s="727"/>
      <c r="AG366" s="706"/>
      <c r="AH366" s="727"/>
      <c r="AI366" s="706"/>
      <c r="AJ366" s="706"/>
      <c r="AK366" s="727"/>
      <c r="AL366" s="706"/>
      <c r="AM366" s="727"/>
      <c r="AN366" s="706"/>
      <c r="AO366" s="727"/>
      <c r="AP366" s="706"/>
      <c r="AQ366" s="727"/>
      <c r="AR366" s="706"/>
      <c r="AS366" s="727"/>
      <c r="AT366" s="706"/>
      <c r="AU366" s="706"/>
      <c r="AV366" s="727"/>
      <c r="AW366" s="706"/>
      <c r="AX366" s="727"/>
      <c r="AY366" s="706"/>
      <c r="AZ366" s="727"/>
      <c r="BA366" s="706"/>
      <c r="BB366" s="727"/>
      <c r="BC366" s="706"/>
      <c r="BD366" s="727"/>
      <c r="BE366" s="706"/>
    </row>
    <row r="367" spans="1:57" s="48" customFormat="1">
      <c r="A367" s="827"/>
      <c r="B367" s="827"/>
      <c r="C367" s="893"/>
      <c r="D367" s="863"/>
      <c r="E367" s="706"/>
      <c r="F367" s="863"/>
      <c r="G367" s="706"/>
      <c r="H367" s="863"/>
      <c r="I367" s="706"/>
      <c r="J367" s="863"/>
      <c r="K367" s="706"/>
      <c r="L367" s="863"/>
      <c r="M367" s="706"/>
      <c r="N367" s="706"/>
      <c r="O367" s="863"/>
      <c r="P367" s="706"/>
      <c r="Q367" s="863"/>
      <c r="R367" s="706"/>
      <c r="S367" s="863"/>
      <c r="T367" s="706"/>
      <c r="U367" s="863"/>
      <c r="V367" s="706"/>
      <c r="W367" s="863"/>
      <c r="X367" s="706"/>
      <c r="Y367" s="706"/>
      <c r="Z367" s="727"/>
      <c r="AA367" s="706"/>
      <c r="AB367" s="727"/>
      <c r="AC367" s="706"/>
      <c r="AD367" s="727"/>
      <c r="AE367" s="706"/>
      <c r="AF367" s="727"/>
      <c r="AG367" s="706"/>
      <c r="AH367" s="727"/>
      <c r="AI367" s="706"/>
      <c r="AJ367" s="706"/>
      <c r="AK367" s="727"/>
      <c r="AL367" s="706"/>
      <c r="AM367" s="727"/>
      <c r="AN367" s="706"/>
      <c r="AO367" s="727"/>
      <c r="AP367" s="706"/>
      <c r="AQ367" s="727"/>
      <c r="AR367" s="706"/>
      <c r="AS367" s="727"/>
      <c r="AT367" s="706"/>
      <c r="AU367" s="706"/>
      <c r="AV367" s="727"/>
      <c r="AW367" s="706"/>
      <c r="AX367" s="727"/>
      <c r="AY367" s="706"/>
      <c r="AZ367" s="727"/>
      <c r="BA367" s="706"/>
      <c r="BB367" s="727"/>
      <c r="BC367" s="706"/>
      <c r="BD367" s="727"/>
      <c r="BE367" s="706"/>
    </row>
    <row r="368" spans="1:57" s="48" customFormat="1">
      <c r="A368" s="827"/>
      <c r="B368" s="827"/>
      <c r="C368" s="893"/>
      <c r="D368" s="863"/>
      <c r="E368" s="706"/>
      <c r="F368" s="863"/>
      <c r="G368" s="706"/>
      <c r="H368" s="863"/>
      <c r="I368" s="706"/>
      <c r="J368" s="863"/>
      <c r="K368" s="706"/>
      <c r="L368" s="863"/>
      <c r="M368" s="706"/>
      <c r="N368" s="706"/>
      <c r="O368" s="863"/>
      <c r="P368" s="706"/>
      <c r="Q368" s="863"/>
      <c r="R368" s="706"/>
      <c r="S368" s="863"/>
      <c r="T368" s="706"/>
      <c r="U368" s="863"/>
      <c r="V368" s="706"/>
      <c r="W368" s="863"/>
      <c r="X368" s="706"/>
      <c r="Y368" s="706"/>
      <c r="Z368" s="727"/>
      <c r="AA368" s="706"/>
      <c r="AB368" s="727"/>
      <c r="AC368" s="706"/>
      <c r="AD368" s="727"/>
      <c r="AE368" s="706"/>
      <c r="AF368" s="727"/>
      <c r="AG368" s="706"/>
      <c r="AH368" s="727"/>
      <c r="AI368" s="706"/>
      <c r="AJ368" s="706"/>
      <c r="AK368" s="727"/>
      <c r="AL368" s="706"/>
      <c r="AM368" s="727"/>
      <c r="AN368" s="706"/>
      <c r="AO368" s="727"/>
      <c r="AP368" s="706"/>
      <c r="AQ368" s="727"/>
      <c r="AR368" s="706"/>
      <c r="AS368" s="727"/>
      <c r="AT368" s="706"/>
      <c r="AU368" s="706"/>
      <c r="AV368" s="727"/>
      <c r="AW368" s="706"/>
      <c r="AX368" s="727"/>
      <c r="AY368" s="706"/>
      <c r="AZ368" s="727"/>
      <c r="BA368" s="706"/>
      <c r="BB368" s="727"/>
      <c r="BC368" s="706"/>
      <c r="BD368" s="727"/>
      <c r="BE368" s="706"/>
    </row>
    <row r="369" spans="1:57" s="48" customFormat="1">
      <c r="A369" s="827"/>
      <c r="B369" s="827"/>
      <c r="C369" s="893"/>
      <c r="D369" s="863"/>
      <c r="E369" s="706"/>
      <c r="F369" s="863"/>
      <c r="G369" s="706"/>
      <c r="H369" s="863"/>
      <c r="I369" s="706"/>
      <c r="J369" s="863"/>
      <c r="K369" s="706"/>
      <c r="L369" s="863"/>
      <c r="M369" s="706"/>
      <c r="N369" s="706"/>
      <c r="O369" s="863"/>
      <c r="P369" s="706"/>
      <c r="Q369" s="863"/>
      <c r="R369" s="706"/>
      <c r="S369" s="863"/>
      <c r="T369" s="706"/>
      <c r="U369" s="863"/>
      <c r="V369" s="706"/>
      <c r="W369" s="863"/>
      <c r="X369" s="706"/>
      <c r="Y369" s="706"/>
      <c r="Z369" s="727"/>
      <c r="AA369" s="706"/>
      <c r="AB369" s="727"/>
      <c r="AC369" s="706"/>
      <c r="AD369" s="727"/>
      <c r="AE369" s="706"/>
      <c r="AF369" s="727"/>
      <c r="AG369" s="706"/>
      <c r="AH369" s="727"/>
      <c r="AI369" s="706"/>
      <c r="AJ369" s="706"/>
      <c r="AK369" s="727"/>
      <c r="AL369" s="706"/>
      <c r="AM369" s="727"/>
      <c r="AN369" s="706"/>
      <c r="AO369" s="727"/>
      <c r="AP369" s="706"/>
      <c r="AQ369" s="727"/>
      <c r="AR369" s="706"/>
      <c r="AS369" s="727"/>
      <c r="AT369" s="706"/>
      <c r="AU369" s="706"/>
      <c r="AV369" s="727"/>
      <c r="AW369" s="706"/>
      <c r="AX369" s="727"/>
      <c r="AY369" s="706"/>
      <c r="AZ369" s="727"/>
      <c r="BA369" s="706"/>
      <c r="BB369" s="727"/>
      <c r="BC369" s="706"/>
      <c r="BD369" s="727"/>
      <c r="BE369" s="706"/>
    </row>
    <row r="370" spans="1:57" s="48" customFormat="1">
      <c r="A370" s="827"/>
      <c r="B370" s="827"/>
      <c r="C370" s="893"/>
      <c r="D370" s="863"/>
      <c r="E370" s="706"/>
      <c r="F370" s="863"/>
      <c r="G370" s="706"/>
      <c r="H370" s="863"/>
      <c r="I370" s="706"/>
      <c r="J370" s="863"/>
      <c r="K370" s="706"/>
      <c r="L370" s="863"/>
      <c r="M370" s="706"/>
      <c r="N370" s="706"/>
      <c r="O370" s="863"/>
      <c r="P370" s="706"/>
      <c r="Q370" s="863"/>
      <c r="R370" s="706"/>
      <c r="S370" s="863"/>
      <c r="T370" s="706"/>
      <c r="U370" s="863"/>
      <c r="V370" s="706"/>
      <c r="W370" s="863"/>
      <c r="X370" s="706"/>
      <c r="Y370" s="706"/>
      <c r="Z370" s="727"/>
      <c r="AA370" s="706"/>
      <c r="AB370" s="727"/>
      <c r="AC370" s="706"/>
      <c r="AD370" s="727"/>
      <c r="AE370" s="706"/>
      <c r="AF370" s="727"/>
      <c r="AG370" s="706"/>
      <c r="AH370" s="727"/>
      <c r="AI370" s="706"/>
      <c r="AJ370" s="706"/>
      <c r="AK370" s="727"/>
      <c r="AL370" s="706"/>
      <c r="AM370" s="727"/>
      <c r="AN370" s="706"/>
      <c r="AO370" s="727"/>
      <c r="AP370" s="706"/>
      <c r="AQ370" s="727"/>
      <c r="AR370" s="706"/>
      <c r="AS370" s="727"/>
      <c r="AT370" s="706"/>
      <c r="AU370" s="706"/>
      <c r="AV370" s="727"/>
      <c r="AW370" s="706"/>
      <c r="AX370" s="727"/>
      <c r="AY370" s="706"/>
      <c r="AZ370" s="727"/>
      <c r="BA370" s="706"/>
      <c r="BB370" s="727"/>
      <c r="BC370" s="706"/>
      <c r="BD370" s="727"/>
      <c r="BE370" s="706"/>
    </row>
    <row r="371" spans="1:57" s="48" customFormat="1">
      <c r="A371" s="827"/>
      <c r="B371" s="827"/>
      <c r="C371" s="893"/>
      <c r="D371" s="863"/>
      <c r="E371" s="706"/>
      <c r="F371" s="863"/>
      <c r="G371" s="706"/>
      <c r="H371" s="863"/>
      <c r="I371" s="706"/>
      <c r="J371" s="863"/>
      <c r="K371" s="706"/>
      <c r="L371" s="863"/>
      <c r="M371" s="706"/>
      <c r="N371" s="706"/>
      <c r="O371" s="863"/>
      <c r="P371" s="706"/>
      <c r="Q371" s="863"/>
      <c r="R371" s="706"/>
      <c r="S371" s="863"/>
      <c r="T371" s="706"/>
      <c r="U371" s="863"/>
      <c r="V371" s="706"/>
      <c r="W371" s="863"/>
      <c r="X371" s="706"/>
      <c r="Y371" s="706"/>
      <c r="Z371" s="727"/>
      <c r="AA371" s="706"/>
      <c r="AB371" s="727"/>
      <c r="AC371" s="706"/>
      <c r="AD371" s="727"/>
      <c r="AE371" s="706"/>
      <c r="AF371" s="727"/>
      <c r="AG371" s="706"/>
      <c r="AH371" s="727"/>
      <c r="AI371" s="706"/>
      <c r="AJ371" s="706"/>
      <c r="AK371" s="727"/>
      <c r="AL371" s="706"/>
      <c r="AM371" s="727"/>
      <c r="AN371" s="706"/>
      <c r="AO371" s="727"/>
      <c r="AP371" s="706"/>
      <c r="AQ371" s="727"/>
      <c r="AR371" s="706"/>
      <c r="AS371" s="727"/>
      <c r="AT371" s="706"/>
      <c r="AU371" s="706"/>
      <c r="AV371" s="727"/>
      <c r="AW371" s="706"/>
      <c r="AX371" s="727"/>
      <c r="AY371" s="706"/>
      <c r="AZ371" s="727"/>
      <c r="BA371" s="706"/>
      <c r="BB371" s="727"/>
      <c r="BC371" s="706"/>
      <c r="BD371" s="727"/>
      <c r="BE371" s="706"/>
    </row>
    <row r="372" spans="1:57" s="48" customFormat="1">
      <c r="A372" s="827"/>
      <c r="B372" s="827"/>
      <c r="C372" s="893"/>
      <c r="D372" s="863"/>
      <c r="E372" s="706"/>
      <c r="F372" s="863"/>
      <c r="G372" s="706"/>
      <c r="H372" s="863"/>
      <c r="I372" s="706"/>
      <c r="J372" s="863"/>
      <c r="K372" s="706"/>
      <c r="L372" s="863"/>
      <c r="M372" s="706"/>
      <c r="N372" s="706"/>
      <c r="O372" s="863"/>
      <c r="P372" s="706"/>
      <c r="Q372" s="863"/>
      <c r="R372" s="706"/>
      <c r="S372" s="863"/>
      <c r="T372" s="706"/>
      <c r="U372" s="863"/>
      <c r="V372" s="706"/>
      <c r="W372" s="863"/>
      <c r="X372" s="706"/>
      <c r="Y372" s="706"/>
      <c r="Z372" s="727"/>
      <c r="AA372" s="706"/>
      <c r="AB372" s="727"/>
      <c r="AC372" s="706"/>
      <c r="AD372" s="727"/>
      <c r="AE372" s="706"/>
      <c r="AF372" s="727"/>
      <c r="AG372" s="706"/>
      <c r="AH372" s="727"/>
      <c r="AI372" s="706"/>
      <c r="AJ372" s="706"/>
      <c r="AK372" s="727"/>
      <c r="AL372" s="706"/>
      <c r="AM372" s="727"/>
      <c r="AN372" s="706"/>
      <c r="AO372" s="727"/>
      <c r="AP372" s="706"/>
      <c r="AQ372" s="727"/>
      <c r="AR372" s="706"/>
      <c r="AS372" s="727"/>
      <c r="AT372" s="706"/>
      <c r="AU372" s="706"/>
      <c r="AV372" s="727"/>
      <c r="AW372" s="706"/>
      <c r="AX372" s="727"/>
      <c r="AY372" s="706"/>
      <c r="AZ372" s="727"/>
      <c r="BA372" s="706"/>
      <c r="BB372" s="727"/>
      <c r="BC372" s="706"/>
      <c r="BD372" s="727"/>
      <c r="BE372" s="706"/>
    </row>
    <row r="373" spans="1:57" s="48" customFormat="1">
      <c r="A373" s="827"/>
      <c r="B373" s="827"/>
      <c r="C373" s="893"/>
      <c r="D373" s="863"/>
      <c r="E373" s="706"/>
      <c r="F373" s="863"/>
      <c r="G373" s="706"/>
      <c r="H373" s="863"/>
      <c r="I373" s="706"/>
      <c r="J373" s="863"/>
      <c r="K373" s="706"/>
      <c r="L373" s="863"/>
      <c r="M373" s="706"/>
      <c r="N373" s="706"/>
      <c r="O373" s="863"/>
      <c r="P373" s="706"/>
      <c r="Q373" s="863"/>
      <c r="R373" s="706"/>
      <c r="S373" s="863"/>
      <c r="T373" s="706"/>
      <c r="U373" s="863"/>
      <c r="V373" s="706"/>
      <c r="W373" s="863"/>
      <c r="X373" s="706"/>
      <c r="Y373" s="706"/>
      <c r="Z373" s="727"/>
      <c r="AA373" s="706"/>
      <c r="AB373" s="727"/>
      <c r="AC373" s="706"/>
      <c r="AD373" s="727"/>
      <c r="AE373" s="706"/>
      <c r="AF373" s="727"/>
      <c r="AG373" s="706"/>
      <c r="AH373" s="727"/>
      <c r="AI373" s="706"/>
      <c r="AJ373" s="706"/>
      <c r="AK373" s="727"/>
      <c r="AL373" s="706"/>
      <c r="AM373" s="727"/>
      <c r="AN373" s="706"/>
      <c r="AO373" s="727"/>
      <c r="AP373" s="706"/>
      <c r="AQ373" s="727"/>
      <c r="AR373" s="706"/>
      <c r="AS373" s="727"/>
      <c r="AT373" s="706"/>
      <c r="AU373" s="706"/>
      <c r="AV373" s="727"/>
      <c r="AW373" s="706"/>
      <c r="AX373" s="727"/>
      <c r="AY373" s="706"/>
      <c r="AZ373" s="727"/>
      <c r="BA373" s="706"/>
      <c r="BB373" s="727"/>
      <c r="BC373" s="706"/>
      <c r="BD373" s="727"/>
      <c r="BE373" s="706"/>
    </row>
    <row r="374" spans="1:57" s="48" customFormat="1">
      <c r="A374" s="827"/>
      <c r="B374" s="827"/>
      <c r="C374" s="893"/>
      <c r="D374" s="863"/>
      <c r="E374" s="706"/>
      <c r="F374" s="863"/>
      <c r="G374" s="706"/>
      <c r="H374" s="863"/>
      <c r="I374" s="706"/>
      <c r="J374" s="863"/>
      <c r="K374" s="706"/>
      <c r="L374" s="863"/>
      <c r="M374" s="706"/>
      <c r="N374" s="706"/>
      <c r="O374" s="863"/>
      <c r="P374" s="706"/>
      <c r="Q374" s="863"/>
      <c r="R374" s="706"/>
      <c r="S374" s="863"/>
      <c r="T374" s="706"/>
      <c r="U374" s="863"/>
      <c r="V374" s="706"/>
      <c r="W374" s="863"/>
      <c r="X374" s="706"/>
      <c r="Y374" s="706"/>
      <c r="Z374" s="727"/>
      <c r="AA374" s="706"/>
      <c r="AB374" s="727"/>
      <c r="AC374" s="706"/>
      <c r="AD374" s="727"/>
      <c r="AE374" s="706"/>
      <c r="AF374" s="727"/>
      <c r="AG374" s="706"/>
      <c r="AH374" s="727"/>
      <c r="AI374" s="706"/>
      <c r="AJ374" s="706"/>
      <c r="AK374" s="727"/>
      <c r="AL374" s="706"/>
      <c r="AM374" s="727"/>
      <c r="AN374" s="706"/>
      <c r="AO374" s="727"/>
      <c r="AP374" s="706"/>
      <c r="AQ374" s="727"/>
      <c r="AR374" s="706"/>
      <c r="AS374" s="727"/>
      <c r="AT374" s="706"/>
      <c r="AU374" s="706"/>
      <c r="AV374" s="727"/>
      <c r="AW374" s="706"/>
      <c r="AX374" s="727"/>
      <c r="AY374" s="706"/>
      <c r="AZ374" s="727"/>
      <c r="BA374" s="706"/>
      <c r="BB374" s="727"/>
      <c r="BC374" s="706"/>
      <c r="BD374" s="727"/>
      <c r="BE374" s="706"/>
    </row>
    <row r="375" spans="1:57" s="48" customFormat="1">
      <c r="A375" s="827"/>
      <c r="B375" s="827"/>
      <c r="C375" s="893"/>
      <c r="D375" s="863"/>
      <c r="E375" s="706"/>
      <c r="F375" s="863"/>
      <c r="G375" s="706"/>
      <c r="H375" s="863"/>
      <c r="I375" s="706"/>
      <c r="J375" s="863"/>
      <c r="K375" s="706"/>
      <c r="L375" s="863"/>
      <c r="M375" s="706"/>
      <c r="N375" s="706"/>
      <c r="O375" s="863"/>
      <c r="P375" s="706"/>
      <c r="Q375" s="863"/>
      <c r="R375" s="706"/>
      <c r="S375" s="863"/>
      <c r="T375" s="706"/>
      <c r="U375" s="863"/>
      <c r="V375" s="706"/>
      <c r="W375" s="863"/>
      <c r="X375" s="706"/>
      <c r="Y375" s="706"/>
      <c r="Z375" s="727"/>
      <c r="AA375" s="706"/>
      <c r="AB375" s="727"/>
      <c r="AC375" s="706"/>
      <c r="AD375" s="727"/>
      <c r="AE375" s="706"/>
      <c r="AF375" s="727"/>
      <c r="AG375" s="706"/>
      <c r="AH375" s="727"/>
      <c r="AI375" s="706"/>
      <c r="AJ375" s="706"/>
      <c r="AK375" s="727"/>
      <c r="AL375" s="706"/>
      <c r="AM375" s="727"/>
      <c r="AN375" s="706"/>
      <c r="AO375" s="727"/>
      <c r="AP375" s="706"/>
      <c r="AQ375" s="727"/>
      <c r="AR375" s="706"/>
      <c r="AS375" s="727"/>
      <c r="AT375" s="706"/>
      <c r="AU375" s="706"/>
      <c r="AV375" s="727"/>
      <c r="AW375" s="706"/>
      <c r="AX375" s="727"/>
      <c r="AY375" s="706"/>
      <c r="AZ375" s="727"/>
      <c r="BA375" s="706"/>
      <c r="BB375" s="727"/>
      <c r="BC375" s="706"/>
      <c r="BD375" s="727"/>
      <c r="BE375" s="706"/>
    </row>
    <row r="376" spans="1:57" s="48" customFormat="1">
      <c r="A376" s="827"/>
      <c r="B376" s="827"/>
      <c r="C376" s="893"/>
      <c r="D376" s="863"/>
      <c r="E376" s="706"/>
      <c r="F376" s="863"/>
      <c r="G376" s="706"/>
      <c r="H376" s="863"/>
      <c r="I376" s="706"/>
      <c r="J376" s="863"/>
      <c r="K376" s="706"/>
      <c r="L376" s="863"/>
      <c r="M376" s="706"/>
      <c r="N376" s="706"/>
      <c r="O376" s="863"/>
      <c r="P376" s="706"/>
      <c r="Q376" s="863"/>
      <c r="R376" s="706"/>
      <c r="S376" s="863"/>
      <c r="T376" s="706"/>
      <c r="U376" s="863"/>
      <c r="V376" s="706"/>
      <c r="W376" s="863"/>
      <c r="X376" s="706"/>
      <c r="Y376" s="706"/>
      <c r="Z376" s="727"/>
      <c r="AA376" s="706"/>
      <c r="AB376" s="727"/>
      <c r="AC376" s="706"/>
      <c r="AD376" s="727"/>
      <c r="AE376" s="706"/>
      <c r="AF376" s="727"/>
      <c r="AG376" s="706"/>
      <c r="AH376" s="727"/>
      <c r="AI376" s="706"/>
      <c r="AJ376" s="706"/>
      <c r="AK376" s="727"/>
      <c r="AL376" s="706"/>
      <c r="AM376" s="727"/>
      <c r="AN376" s="706"/>
      <c r="AO376" s="727"/>
      <c r="AP376" s="706"/>
      <c r="AQ376" s="727"/>
      <c r="AR376" s="706"/>
      <c r="AS376" s="727"/>
      <c r="AT376" s="706"/>
      <c r="AU376" s="706"/>
      <c r="AV376" s="727"/>
      <c r="AW376" s="706"/>
      <c r="AX376" s="727"/>
      <c r="AY376" s="706"/>
      <c r="AZ376" s="727"/>
      <c r="BA376" s="706"/>
      <c r="BB376" s="727"/>
      <c r="BC376" s="706"/>
      <c r="BD376" s="727"/>
      <c r="BE376" s="706"/>
    </row>
    <row r="377" spans="1:57" s="48" customFormat="1">
      <c r="A377" s="827"/>
      <c r="B377" s="827"/>
      <c r="C377" s="893"/>
      <c r="D377" s="863"/>
      <c r="E377" s="706"/>
      <c r="F377" s="863"/>
      <c r="G377" s="706"/>
      <c r="H377" s="863"/>
      <c r="I377" s="706"/>
      <c r="J377" s="863"/>
      <c r="K377" s="706"/>
      <c r="L377" s="863"/>
      <c r="M377" s="706"/>
      <c r="N377" s="706"/>
      <c r="O377" s="863"/>
      <c r="P377" s="706"/>
      <c r="Q377" s="863"/>
      <c r="R377" s="706"/>
      <c r="S377" s="863"/>
      <c r="T377" s="706"/>
      <c r="U377" s="863"/>
      <c r="V377" s="706"/>
      <c r="W377" s="863"/>
      <c r="X377" s="706"/>
      <c r="Y377" s="706"/>
      <c r="Z377" s="727"/>
      <c r="AA377" s="706"/>
      <c r="AB377" s="727"/>
      <c r="AC377" s="706"/>
      <c r="AD377" s="727"/>
      <c r="AE377" s="706"/>
      <c r="AF377" s="727"/>
      <c r="AG377" s="706"/>
      <c r="AH377" s="727"/>
      <c r="AI377" s="706"/>
      <c r="AJ377" s="706"/>
      <c r="AK377" s="727"/>
      <c r="AL377" s="706"/>
      <c r="AM377" s="727"/>
      <c r="AN377" s="706"/>
      <c r="AO377" s="727"/>
      <c r="AP377" s="706"/>
      <c r="AQ377" s="727"/>
      <c r="AR377" s="706"/>
      <c r="AS377" s="727"/>
      <c r="AT377" s="706"/>
      <c r="AU377" s="706"/>
      <c r="AV377" s="727"/>
      <c r="AW377" s="706"/>
      <c r="AX377" s="727"/>
      <c r="AY377" s="706"/>
      <c r="AZ377" s="727"/>
      <c r="BA377" s="706"/>
      <c r="BB377" s="727"/>
      <c r="BC377" s="706"/>
      <c r="BD377" s="727"/>
      <c r="BE377" s="706"/>
    </row>
    <row r="378" spans="1:57" s="48" customFormat="1">
      <c r="A378" s="827"/>
      <c r="B378" s="827"/>
      <c r="C378" s="893"/>
      <c r="D378" s="863"/>
      <c r="E378" s="706"/>
      <c r="F378" s="863"/>
      <c r="G378" s="706"/>
      <c r="H378" s="863"/>
      <c r="I378" s="706"/>
      <c r="J378" s="863"/>
      <c r="K378" s="706"/>
      <c r="L378" s="863"/>
      <c r="M378" s="706"/>
      <c r="N378" s="706"/>
      <c r="O378" s="863"/>
      <c r="P378" s="706"/>
      <c r="Q378" s="863"/>
      <c r="R378" s="706"/>
      <c r="S378" s="863"/>
      <c r="T378" s="706"/>
      <c r="U378" s="863"/>
      <c r="V378" s="706"/>
      <c r="W378" s="863"/>
      <c r="X378" s="706"/>
      <c r="Y378" s="706"/>
      <c r="Z378" s="727"/>
      <c r="AA378" s="706"/>
      <c r="AB378" s="727"/>
      <c r="AC378" s="706"/>
      <c r="AD378" s="727"/>
      <c r="AE378" s="706"/>
      <c r="AF378" s="727"/>
      <c r="AG378" s="706"/>
      <c r="AH378" s="727"/>
      <c r="AI378" s="706"/>
      <c r="AJ378" s="706"/>
      <c r="AK378" s="727"/>
      <c r="AL378" s="706"/>
      <c r="AM378" s="727"/>
      <c r="AN378" s="706"/>
      <c r="AO378" s="727"/>
      <c r="AP378" s="706"/>
      <c r="AQ378" s="727"/>
      <c r="AR378" s="706"/>
      <c r="AS378" s="727"/>
      <c r="AT378" s="706"/>
      <c r="AU378" s="706"/>
      <c r="AV378" s="727"/>
      <c r="AW378" s="706"/>
      <c r="AX378" s="727"/>
      <c r="AY378" s="706"/>
      <c r="AZ378" s="727"/>
      <c r="BA378" s="706"/>
      <c r="BB378" s="727"/>
      <c r="BC378" s="706"/>
      <c r="BD378" s="727"/>
      <c r="BE378" s="706"/>
    </row>
    <row r="379" spans="1:57" s="48" customFormat="1">
      <c r="A379" s="827"/>
      <c r="B379" s="827"/>
      <c r="C379" s="893"/>
      <c r="D379" s="863"/>
      <c r="E379" s="706"/>
      <c r="F379" s="863"/>
      <c r="G379" s="706"/>
      <c r="H379" s="863"/>
      <c r="I379" s="706"/>
      <c r="J379" s="863"/>
      <c r="K379" s="706"/>
      <c r="L379" s="863"/>
      <c r="M379" s="706"/>
      <c r="N379" s="706"/>
      <c r="O379" s="863"/>
      <c r="P379" s="706"/>
      <c r="Q379" s="863"/>
      <c r="R379" s="706"/>
      <c r="S379" s="863"/>
      <c r="T379" s="706"/>
      <c r="U379" s="863"/>
      <c r="V379" s="706"/>
      <c r="W379" s="863"/>
      <c r="X379" s="706"/>
      <c r="Y379" s="706"/>
      <c r="Z379" s="727"/>
      <c r="AA379" s="706"/>
      <c r="AB379" s="727"/>
      <c r="AC379" s="706"/>
      <c r="AD379" s="727"/>
      <c r="AE379" s="706"/>
      <c r="AF379" s="727"/>
      <c r="AG379" s="706"/>
      <c r="AH379" s="727"/>
      <c r="AI379" s="706"/>
      <c r="AJ379" s="706"/>
      <c r="AK379" s="727"/>
      <c r="AL379" s="706"/>
      <c r="AM379" s="727"/>
      <c r="AN379" s="706"/>
      <c r="AO379" s="727"/>
      <c r="AP379" s="706"/>
      <c r="AQ379" s="727"/>
      <c r="AR379" s="706"/>
      <c r="AS379" s="727"/>
      <c r="AT379" s="706"/>
      <c r="AU379" s="706"/>
      <c r="AV379" s="727"/>
      <c r="AW379" s="706"/>
      <c r="AX379" s="727"/>
      <c r="AY379" s="706"/>
      <c r="AZ379" s="727"/>
      <c r="BA379" s="706"/>
      <c r="BB379" s="727"/>
      <c r="BC379" s="706"/>
      <c r="BD379" s="727"/>
      <c r="BE379" s="706"/>
    </row>
    <row r="380" spans="1:57" s="48" customFormat="1">
      <c r="A380" s="827"/>
      <c r="B380" s="827"/>
      <c r="C380" s="893"/>
      <c r="D380" s="863"/>
      <c r="E380" s="706"/>
      <c r="F380" s="863"/>
      <c r="G380" s="706"/>
      <c r="H380" s="863"/>
      <c r="I380" s="706"/>
      <c r="J380" s="863"/>
      <c r="K380" s="706"/>
      <c r="L380" s="863"/>
      <c r="M380" s="706"/>
      <c r="N380" s="706"/>
      <c r="O380" s="863"/>
      <c r="P380" s="706"/>
      <c r="Q380" s="863"/>
      <c r="R380" s="706"/>
      <c r="S380" s="863"/>
      <c r="T380" s="706"/>
      <c r="U380" s="863"/>
      <c r="V380" s="706"/>
      <c r="W380" s="863"/>
      <c r="X380" s="706"/>
      <c r="Y380" s="706"/>
      <c r="Z380" s="727"/>
      <c r="AA380" s="706"/>
      <c r="AB380" s="727"/>
      <c r="AC380" s="706"/>
      <c r="AD380" s="727"/>
      <c r="AE380" s="706"/>
      <c r="AF380" s="727"/>
      <c r="AG380" s="706"/>
      <c r="AH380" s="727"/>
      <c r="AI380" s="706"/>
      <c r="AJ380" s="706"/>
      <c r="AK380" s="727"/>
      <c r="AL380" s="706"/>
      <c r="AM380" s="727"/>
      <c r="AN380" s="706"/>
      <c r="AO380" s="727"/>
      <c r="AP380" s="706"/>
      <c r="AQ380" s="727"/>
      <c r="AR380" s="706"/>
      <c r="AS380" s="727"/>
      <c r="AT380" s="706"/>
      <c r="AU380" s="706"/>
      <c r="AV380" s="727"/>
      <c r="AW380" s="706"/>
      <c r="AX380" s="727"/>
      <c r="AY380" s="706"/>
      <c r="AZ380" s="727"/>
      <c r="BA380" s="706"/>
      <c r="BB380" s="727"/>
      <c r="BC380" s="706"/>
      <c r="BD380" s="727"/>
      <c r="BE380" s="706"/>
    </row>
    <row r="381" spans="1:57" s="48" customFormat="1">
      <c r="A381" s="827"/>
      <c r="B381" s="827"/>
      <c r="C381" s="893"/>
      <c r="D381" s="863"/>
      <c r="E381" s="706"/>
      <c r="F381" s="863"/>
      <c r="G381" s="706"/>
      <c r="H381" s="863"/>
      <c r="I381" s="706"/>
      <c r="J381" s="863"/>
      <c r="K381" s="706"/>
      <c r="L381" s="863"/>
      <c r="M381" s="706"/>
      <c r="N381" s="706"/>
      <c r="O381" s="863"/>
      <c r="P381" s="706"/>
      <c r="Q381" s="863"/>
      <c r="R381" s="706"/>
      <c r="S381" s="863"/>
      <c r="T381" s="706"/>
      <c r="U381" s="863"/>
      <c r="V381" s="706"/>
      <c r="W381" s="863"/>
      <c r="X381" s="706"/>
      <c r="Y381" s="706"/>
      <c r="Z381" s="727"/>
      <c r="AA381" s="706"/>
      <c r="AB381" s="727"/>
      <c r="AC381" s="706"/>
      <c r="AD381" s="727"/>
      <c r="AE381" s="706"/>
      <c r="AF381" s="727"/>
      <c r="AG381" s="706"/>
      <c r="AH381" s="727"/>
      <c r="AI381" s="706"/>
      <c r="AJ381" s="706"/>
      <c r="AK381" s="727"/>
      <c r="AL381" s="706"/>
      <c r="AM381" s="727"/>
      <c r="AN381" s="706"/>
      <c r="AO381" s="727"/>
      <c r="AP381" s="706"/>
      <c r="AQ381" s="727"/>
      <c r="AR381" s="706"/>
      <c r="AS381" s="727"/>
      <c r="AT381" s="706"/>
      <c r="AU381" s="706"/>
      <c r="AV381" s="727"/>
      <c r="AW381" s="706"/>
      <c r="AX381" s="727"/>
      <c r="AY381" s="706"/>
      <c r="AZ381" s="727"/>
      <c r="BA381" s="706"/>
      <c r="BB381" s="727"/>
      <c r="BC381" s="706"/>
      <c r="BD381" s="727"/>
      <c r="BE381" s="706"/>
    </row>
    <row r="382" spans="1:57" s="48" customFormat="1">
      <c r="A382" s="827"/>
      <c r="B382" s="827"/>
      <c r="C382" s="893"/>
      <c r="D382" s="863"/>
      <c r="E382" s="706"/>
      <c r="F382" s="863"/>
      <c r="G382" s="706"/>
      <c r="H382" s="863"/>
      <c r="I382" s="706"/>
      <c r="J382" s="863"/>
      <c r="K382" s="706"/>
      <c r="L382" s="863"/>
      <c r="M382" s="706"/>
      <c r="N382" s="706"/>
      <c r="O382" s="863"/>
      <c r="P382" s="706"/>
      <c r="Q382" s="863"/>
      <c r="R382" s="706"/>
      <c r="S382" s="863"/>
      <c r="T382" s="706"/>
      <c r="U382" s="863"/>
      <c r="V382" s="706"/>
      <c r="W382" s="863"/>
      <c r="X382" s="706"/>
      <c r="Y382" s="706"/>
      <c r="Z382" s="727"/>
      <c r="AA382" s="706"/>
      <c r="AB382" s="727"/>
      <c r="AC382" s="706"/>
      <c r="AD382" s="727"/>
      <c r="AE382" s="706"/>
      <c r="AF382" s="727"/>
      <c r="AG382" s="706"/>
      <c r="AH382" s="727"/>
      <c r="AI382" s="706"/>
      <c r="AJ382" s="706"/>
      <c r="AK382" s="727"/>
      <c r="AL382" s="706"/>
      <c r="AM382" s="727"/>
      <c r="AN382" s="706"/>
      <c r="AO382" s="727"/>
      <c r="AP382" s="706"/>
      <c r="AQ382" s="727"/>
      <c r="AR382" s="706"/>
      <c r="AS382" s="727"/>
      <c r="AT382" s="706"/>
      <c r="AU382" s="706"/>
      <c r="AV382" s="727"/>
      <c r="AW382" s="706"/>
      <c r="AX382" s="727"/>
      <c r="AY382" s="706"/>
      <c r="AZ382" s="727"/>
      <c r="BA382" s="706"/>
      <c r="BB382" s="727"/>
      <c r="BC382" s="706"/>
      <c r="BD382" s="727"/>
      <c r="BE382" s="706"/>
    </row>
    <row r="383" spans="1:57" s="48" customFormat="1">
      <c r="A383" s="827"/>
      <c r="B383" s="827"/>
      <c r="C383" s="893"/>
      <c r="D383" s="863"/>
      <c r="E383" s="706"/>
      <c r="F383" s="863"/>
      <c r="G383" s="706"/>
      <c r="H383" s="863"/>
      <c r="I383" s="706"/>
      <c r="J383" s="863"/>
      <c r="K383" s="706"/>
      <c r="L383" s="863"/>
      <c r="M383" s="706"/>
      <c r="N383" s="706"/>
      <c r="O383" s="863"/>
      <c r="P383" s="706"/>
      <c r="Q383" s="863"/>
      <c r="R383" s="706"/>
      <c r="S383" s="863"/>
      <c r="T383" s="706"/>
      <c r="U383" s="863"/>
      <c r="V383" s="706"/>
      <c r="W383" s="863"/>
      <c r="X383" s="706"/>
      <c r="Y383" s="706"/>
      <c r="Z383" s="727"/>
      <c r="AA383" s="706"/>
      <c r="AB383" s="727"/>
      <c r="AC383" s="706"/>
      <c r="AD383" s="727"/>
      <c r="AE383" s="706"/>
      <c r="AF383" s="727"/>
      <c r="AG383" s="706"/>
      <c r="AH383" s="727"/>
      <c r="AI383" s="706"/>
      <c r="AJ383" s="706"/>
      <c r="AK383" s="727"/>
      <c r="AL383" s="706"/>
      <c r="AM383" s="727"/>
      <c r="AN383" s="706"/>
      <c r="AO383" s="727"/>
      <c r="AP383" s="706"/>
      <c r="AQ383" s="727"/>
      <c r="AR383" s="706"/>
      <c r="AS383" s="727"/>
      <c r="AT383" s="706"/>
      <c r="AU383" s="706"/>
      <c r="AV383" s="727"/>
      <c r="AW383" s="706"/>
      <c r="AX383" s="727"/>
      <c r="AY383" s="706"/>
      <c r="AZ383" s="727"/>
      <c r="BA383" s="706"/>
      <c r="BB383" s="727"/>
      <c r="BC383" s="706"/>
      <c r="BD383" s="727"/>
      <c r="BE383" s="706"/>
    </row>
    <row r="384" spans="1:57" s="48" customFormat="1">
      <c r="A384" s="827"/>
      <c r="B384" s="827"/>
      <c r="C384" s="893"/>
      <c r="D384" s="863"/>
      <c r="E384" s="706"/>
      <c r="F384" s="863"/>
      <c r="G384" s="706"/>
      <c r="H384" s="863"/>
      <c r="I384" s="706"/>
      <c r="J384" s="863"/>
      <c r="K384" s="706"/>
      <c r="L384" s="863"/>
      <c r="M384" s="706"/>
      <c r="N384" s="706"/>
      <c r="O384" s="863"/>
      <c r="P384" s="706"/>
      <c r="Q384" s="863"/>
      <c r="R384" s="706"/>
      <c r="S384" s="863"/>
      <c r="T384" s="706"/>
      <c r="U384" s="863"/>
      <c r="V384" s="706"/>
      <c r="W384" s="863"/>
      <c r="X384" s="706"/>
      <c r="Y384" s="706"/>
      <c r="Z384" s="727"/>
      <c r="AA384" s="706"/>
      <c r="AB384" s="727"/>
      <c r="AC384" s="706"/>
      <c r="AD384" s="727"/>
      <c r="AE384" s="706"/>
      <c r="AF384" s="727"/>
      <c r="AG384" s="706"/>
      <c r="AH384" s="727"/>
      <c r="AI384" s="706"/>
      <c r="AJ384" s="706"/>
      <c r="AK384" s="727"/>
      <c r="AL384" s="706"/>
      <c r="AM384" s="727"/>
      <c r="AN384" s="706"/>
      <c r="AO384" s="727"/>
      <c r="AP384" s="706"/>
      <c r="AQ384" s="727"/>
      <c r="AR384" s="706"/>
      <c r="AS384" s="727"/>
      <c r="AT384" s="706"/>
      <c r="AU384" s="706"/>
      <c r="AV384" s="727"/>
      <c r="AW384" s="706"/>
      <c r="AX384" s="727"/>
      <c r="AY384" s="706"/>
      <c r="AZ384" s="727"/>
      <c r="BA384" s="706"/>
      <c r="BB384" s="727"/>
      <c r="BC384" s="706"/>
      <c r="BD384" s="727"/>
      <c r="BE384" s="706"/>
    </row>
    <row r="385" spans="1:57" s="48" customFormat="1">
      <c r="A385" s="827"/>
      <c r="B385" s="827"/>
      <c r="C385" s="893"/>
      <c r="D385" s="863"/>
      <c r="E385" s="706"/>
      <c r="F385" s="863"/>
      <c r="G385" s="706"/>
      <c r="H385" s="863"/>
      <c r="I385" s="706"/>
      <c r="J385" s="863"/>
      <c r="K385" s="706"/>
      <c r="L385" s="863"/>
      <c r="M385" s="706"/>
      <c r="N385" s="706"/>
      <c r="O385" s="863"/>
      <c r="P385" s="706"/>
      <c r="Q385" s="863"/>
      <c r="R385" s="706"/>
      <c r="S385" s="863"/>
      <c r="T385" s="706"/>
      <c r="U385" s="863"/>
      <c r="V385" s="706"/>
      <c r="W385" s="863"/>
      <c r="X385" s="706"/>
      <c r="Y385" s="706"/>
      <c r="Z385" s="727"/>
      <c r="AA385" s="706"/>
      <c r="AB385" s="727"/>
      <c r="AC385" s="706"/>
      <c r="AD385" s="727"/>
      <c r="AE385" s="706"/>
      <c r="AF385" s="727"/>
      <c r="AG385" s="706"/>
      <c r="AH385" s="727"/>
      <c r="AI385" s="706"/>
      <c r="AJ385" s="706"/>
      <c r="AK385" s="727"/>
      <c r="AL385" s="706"/>
      <c r="AM385" s="727"/>
      <c r="AN385" s="706"/>
      <c r="AO385" s="727"/>
      <c r="AP385" s="706"/>
      <c r="AQ385" s="727"/>
      <c r="AR385" s="706"/>
      <c r="AS385" s="727"/>
      <c r="AT385" s="706"/>
      <c r="AU385" s="706"/>
      <c r="AV385" s="727"/>
      <c r="AW385" s="706"/>
      <c r="AX385" s="727"/>
      <c r="AY385" s="706"/>
      <c r="AZ385" s="727"/>
      <c r="BA385" s="706"/>
      <c r="BB385" s="727"/>
      <c r="BC385" s="706"/>
      <c r="BD385" s="727"/>
      <c r="BE385" s="706"/>
    </row>
    <row r="386" spans="1:57" s="48" customFormat="1">
      <c r="A386" s="827"/>
      <c r="B386" s="827"/>
      <c r="C386" s="893"/>
      <c r="D386" s="863"/>
      <c r="E386" s="706"/>
      <c r="F386" s="863"/>
      <c r="G386" s="706"/>
      <c r="H386" s="863"/>
      <c r="I386" s="706"/>
      <c r="J386" s="863"/>
      <c r="K386" s="706"/>
      <c r="L386" s="863"/>
      <c r="M386" s="706"/>
      <c r="N386" s="706"/>
      <c r="O386" s="863"/>
      <c r="P386" s="706"/>
      <c r="Q386" s="863"/>
      <c r="R386" s="706"/>
      <c r="S386" s="863"/>
      <c r="T386" s="706"/>
      <c r="U386" s="863"/>
      <c r="V386" s="706"/>
      <c r="W386" s="863"/>
      <c r="X386" s="706"/>
      <c r="Y386" s="706"/>
      <c r="Z386" s="727"/>
      <c r="AA386" s="706"/>
      <c r="AB386" s="727"/>
      <c r="AC386" s="706"/>
      <c r="AD386" s="727"/>
      <c r="AE386" s="706"/>
      <c r="AF386" s="727"/>
      <c r="AG386" s="706"/>
      <c r="AH386" s="727"/>
      <c r="AI386" s="706"/>
      <c r="AJ386" s="706"/>
      <c r="AK386" s="727"/>
      <c r="AL386" s="706"/>
      <c r="AM386" s="727"/>
      <c r="AN386" s="706"/>
      <c r="AO386" s="727"/>
      <c r="AP386" s="706"/>
      <c r="AQ386" s="727"/>
      <c r="AR386" s="706"/>
      <c r="AS386" s="727"/>
      <c r="AT386" s="706"/>
      <c r="AU386" s="706"/>
      <c r="AV386" s="727"/>
      <c r="AW386" s="706"/>
      <c r="AX386" s="727"/>
      <c r="AY386" s="706"/>
      <c r="AZ386" s="727"/>
      <c r="BA386" s="706"/>
      <c r="BB386" s="727"/>
      <c r="BC386" s="706"/>
      <c r="BD386" s="727"/>
      <c r="BE386" s="706"/>
    </row>
    <row r="387" spans="1:57" s="48" customFormat="1">
      <c r="A387" s="827"/>
      <c r="B387" s="827"/>
      <c r="C387" s="893"/>
      <c r="D387" s="863"/>
      <c r="E387" s="706"/>
      <c r="F387" s="863"/>
      <c r="G387" s="706"/>
      <c r="H387" s="863"/>
      <c r="I387" s="706"/>
      <c r="J387" s="863"/>
      <c r="K387" s="706"/>
      <c r="L387" s="863"/>
      <c r="M387" s="706"/>
      <c r="N387" s="706"/>
      <c r="O387" s="863"/>
      <c r="P387" s="706"/>
      <c r="Q387" s="863"/>
      <c r="R387" s="706"/>
      <c r="S387" s="863"/>
      <c r="T387" s="706"/>
      <c r="U387" s="863"/>
      <c r="V387" s="706"/>
      <c r="W387" s="863"/>
      <c r="X387" s="706"/>
      <c r="Y387" s="706"/>
      <c r="Z387" s="727"/>
      <c r="AA387" s="706"/>
      <c r="AB387" s="727"/>
      <c r="AC387" s="706"/>
      <c r="AD387" s="727"/>
      <c r="AE387" s="706"/>
      <c r="AF387" s="727"/>
      <c r="AG387" s="706"/>
      <c r="AH387" s="727"/>
      <c r="AI387" s="706"/>
      <c r="AJ387" s="706"/>
      <c r="AK387" s="727"/>
      <c r="AL387" s="706"/>
      <c r="AM387" s="727"/>
      <c r="AN387" s="706"/>
      <c r="AO387" s="727"/>
      <c r="AP387" s="706"/>
      <c r="AQ387" s="727"/>
      <c r="AR387" s="706"/>
      <c r="AS387" s="727"/>
      <c r="AT387" s="706"/>
      <c r="AU387" s="706"/>
      <c r="AV387" s="727"/>
      <c r="AW387" s="706"/>
      <c r="AX387" s="727"/>
      <c r="AY387" s="706"/>
      <c r="AZ387" s="727"/>
      <c r="BA387" s="706"/>
      <c r="BB387" s="727"/>
      <c r="BC387" s="706"/>
      <c r="BD387" s="727"/>
      <c r="BE387" s="706"/>
    </row>
    <row r="388" spans="1:57" s="48" customFormat="1">
      <c r="A388" s="827"/>
      <c r="B388" s="827"/>
      <c r="C388" s="893"/>
      <c r="D388" s="863"/>
      <c r="E388" s="706"/>
      <c r="F388" s="863"/>
      <c r="G388" s="706"/>
      <c r="H388" s="863"/>
      <c r="I388" s="706"/>
      <c r="J388" s="863"/>
      <c r="K388" s="706"/>
      <c r="L388" s="863"/>
      <c r="M388" s="706"/>
      <c r="N388" s="706"/>
      <c r="O388" s="863"/>
      <c r="P388" s="706"/>
      <c r="Q388" s="863"/>
      <c r="R388" s="706"/>
      <c r="S388" s="863"/>
      <c r="T388" s="706"/>
      <c r="U388" s="863"/>
      <c r="V388" s="706"/>
      <c r="W388" s="863"/>
      <c r="X388" s="706"/>
      <c r="Y388" s="706"/>
      <c r="Z388" s="727"/>
      <c r="AA388" s="706"/>
      <c r="AB388" s="727"/>
      <c r="AC388" s="706"/>
      <c r="AD388" s="727"/>
      <c r="AE388" s="706"/>
      <c r="AF388" s="727"/>
      <c r="AG388" s="706"/>
      <c r="AH388" s="727"/>
      <c r="AI388" s="706"/>
      <c r="AJ388" s="706"/>
      <c r="AK388" s="727"/>
      <c r="AL388" s="706"/>
      <c r="AM388" s="727"/>
      <c r="AN388" s="706"/>
      <c r="AO388" s="727"/>
      <c r="AP388" s="706"/>
      <c r="AQ388" s="727"/>
      <c r="AR388" s="706"/>
      <c r="AS388" s="727"/>
      <c r="AT388" s="706"/>
      <c r="AU388" s="706"/>
      <c r="AV388" s="727"/>
      <c r="AW388" s="706"/>
      <c r="AX388" s="727"/>
      <c r="AY388" s="706"/>
      <c r="AZ388" s="727"/>
      <c r="BA388" s="706"/>
      <c r="BB388" s="727"/>
      <c r="BC388" s="706"/>
      <c r="BD388" s="727"/>
      <c r="BE388" s="706"/>
    </row>
    <row r="389" spans="1:57" s="48" customFormat="1">
      <c r="A389" s="827"/>
      <c r="B389" s="827"/>
      <c r="C389" s="893"/>
      <c r="D389" s="863"/>
      <c r="E389" s="706"/>
      <c r="F389" s="863"/>
      <c r="G389" s="706"/>
      <c r="H389" s="863"/>
      <c r="I389" s="706"/>
      <c r="J389" s="863"/>
      <c r="K389" s="706"/>
      <c r="L389" s="863"/>
      <c r="M389" s="706"/>
      <c r="N389" s="706"/>
      <c r="O389" s="863"/>
      <c r="P389" s="706"/>
      <c r="Q389" s="863"/>
      <c r="R389" s="706"/>
      <c r="S389" s="863"/>
      <c r="T389" s="706"/>
      <c r="U389" s="863"/>
      <c r="V389" s="706"/>
      <c r="W389" s="863"/>
      <c r="X389" s="706"/>
      <c r="Y389" s="706"/>
      <c r="Z389" s="727"/>
      <c r="AA389" s="706"/>
      <c r="AB389" s="727"/>
      <c r="AC389" s="706"/>
      <c r="AD389" s="727"/>
      <c r="AE389" s="706"/>
      <c r="AF389" s="727"/>
      <c r="AG389" s="706"/>
      <c r="AH389" s="727"/>
      <c r="AI389" s="706"/>
      <c r="AJ389" s="706"/>
      <c r="AK389" s="727"/>
      <c r="AL389" s="706"/>
      <c r="AM389" s="727"/>
      <c r="AN389" s="706"/>
      <c r="AO389" s="727"/>
      <c r="AP389" s="706"/>
      <c r="AQ389" s="727"/>
      <c r="AR389" s="706"/>
      <c r="AS389" s="727"/>
      <c r="AT389" s="706"/>
      <c r="AU389" s="706"/>
      <c r="AV389" s="727"/>
      <c r="AW389" s="706"/>
      <c r="AX389" s="727"/>
      <c r="AY389" s="706"/>
      <c r="AZ389" s="727"/>
      <c r="BA389" s="706"/>
      <c r="BB389" s="727"/>
      <c r="BC389" s="706"/>
      <c r="BD389" s="727"/>
      <c r="BE389" s="706"/>
    </row>
    <row r="390" spans="1:57" s="48" customFormat="1">
      <c r="A390" s="827"/>
      <c r="B390" s="827"/>
      <c r="C390" s="893"/>
      <c r="D390" s="863"/>
      <c r="E390" s="706"/>
      <c r="F390" s="863"/>
      <c r="G390" s="706"/>
      <c r="H390" s="863"/>
      <c r="I390" s="706"/>
      <c r="J390" s="863"/>
      <c r="K390" s="706"/>
      <c r="L390" s="863"/>
      <c r="M390" s="706"/>
      <c r="N390" s="706"/>
      <c r="O390" s="863"/>
      <c r="P390" s="706"/>
      <c r="Q390" s="863"/>
      <c r="R390" s="706"/>
      <c r="S390" s="863"/>
      <c r="T390" s="706"/>
      <c r="U390" s="863"/>
      <c r="V390" s="706"/>
      <c r="W390" s="863"/>
      <c r="X390" s="706"/>
      <c r="Y390" s="706"/>
      <c r="Z390" s="727"/>
      <c r="AA390" s="706"/>
      <c r="AB390" s="727"/>
      <c r="AC390" s="706"/>
      <c r="AD390" s="727"/>
      <c r="AE390" s="706"/>
      <c r="AF390" s="727"/>
      <c r="AG390" s="706"/>
      <c r="AH390" s="727"/>
      <c r="AI390" s="706"/>
      <c r="AJ390" s="706"/>
      <c r="AK390" s="727"/>
      <c r="AL390" s="706"/>
      <c r="AM390" s="727"/>
      <c r="AN390" s="706"/>
      <c r="AO390" s="727"/>
      <c r="AP390" s="706"/>
      <c r="AQ390" s="727"/>
      <c r="AR390" s="706"/>
      <c r="AS390" s="727"/>
      <c r="AT390" s="706"/>
      <c r="AU390" s="706"/>
      <c r="AV390" s="727"/>
      <c r="AW390" s="706"/>
      <c r="AX390" s="727"/>
      <c r="AY390" s="706"/>
      <c r="AZ390" s="727"/>
      <c r="BA390" s="706"/>
      <c r="BB390" s="727"/>
      <c r="BC390" s="706"/>
      <c r="BD390" s="727"/>
      <c r="BE390" s="706"/>
    </row>
    <row r="391" spans="1:57" s="48" customFormat="1">
      <c r="A391" s="827"/>
      <c r="B391" s="827"/>
      <c r="C391" s="893"/>
      <c r="D391" s="863"/>
      <c r="E391" s="706"/>
      <c r="F391" s="863"/>
      <c r="G391" s="706"/>
      <c r="H391" s="863"/>
      <c r="I391" s="706"/>
      <c r="J391" s="863"/>
      <c r="K391" s="706"/>
      <c r="L391" s="863"/>
      <c r="M391" s="706"/>
      <c r="N391" s="706"/>
      <c r="O391" s="863"/>
      <c r="P391" s="706"/>
      <c r="Q391" s="863"/>
      <c r="R391" s="706"/>
      <c r="S391" s="863"/>
      <c r="T391" s="706"/>
      <c r="U391" s="863"/>
      <c r="V391" s="706"/>
      <c r="W391" s="863"/>
      <c r="X391" s="706"/>
      <c r="Y391" s="706"/>
      <c r="Z391" s="727"/>
      <c r="AA391" s="706"/>
      <c r="AB391" s="727"/>
      <c r="AC391" s="706"/>
      <c r="AD391" s="727"/>
      <c r="AE391" s="706"/>
      <c r="AF391" s="727"/>
      <c r="AG391" s="706"/>
      <c r="AH391" s="727"/>
      <c r="AI391" s="706"/>
      <c r="AJ391" s="706"/>
      <c r="AK391" s="727"/>
      <c r="AL391" s="706"/>
      <c r="AM391" s="727"/>
      <c r="AN391" s="706"/>
      <c r="AO391" s="727"/>
      <c r="AP391" s="706"/>
      <c r="AQ391" s="727"/>
      <c r="AR391" s="706"/>
      <c r="AS391" s="727"/>
      <c r="AT391" s="706"/>
      <c r="AU391" s="706"/>
      <c r="AV391" s="727"/>
      <c r="AW391" s="706"/>
      <c r="AX391" s="727"/>
      <c r="AY391" s="706"/>
      <c r="AZ391" s="727"/>
      <c r="BA391" s="706"/>
      <c r="BB391" s="727"/>
      <c r="BC391" s="706"/>
      <c r="BD391" s="727"/>
      <c r="BE391" s="706"/>
    </row>
    <row r="392" spans="1:57" s="48" customFormat="1">
      <c r="A392" s="827"/>
      <c r="B392" s="827"/>
      <c r="C392" s="893"/>
      <c r="D392" s="863"/>
      <c r="E392" s="706"/>
      <c r="F392" s="863"/>
      <c r="G392" s="706"/>
      <c r="H392" s="863"/>
      <c r="I392" s="706"/>
      <c r="J392" s="863"/>
      <c r="K392" s="706"/>
      <c r="L392" s="863"/>
      <c r="M392" s="706"/>
      <c r="N392" s="706"/>
      <c r="O392" s="863"/>
      <c r="P392" s="706"/>
      <c r="Q392" s="863"/>
      <c r="R392" s="706"/>
      <c r="S392" s="863"/>
      <c r="T392" s="706"/>
      <c r="U392" s="863"/>
      <c r="V392" s="706"/>
      <c r="W392" s="863"/>
      <c r="X392" s="706"/>
      <c r="Y392" s="706"/>
      <c r="Z392" s="727"/>
      <c r="AA392" s="706"/>
      <c r="AB392" s="727"/>
      <c r="AC392" s="706"/>
      <c r="AD392" s="727"/>
      <c r="AE392" s="706"/>
      <c r="AF392" s="727"/>
      <c r="AG392" s="706"/>
      <c r="AH392" s="727"/>
      <c r="AI392" s="706"/>
      <c r="AJ392" s="706"/>
      <c r="AK392" s="727"/>
      <c r="AL392" s="706"/>
      <c r="AM392" s="727"/>
      <c r="AN392" s="706"/>
      <c r="AO392" s="727"/>
      <c r="AP392" s="706"/>
      <c r="AQ392" s="727"/>
      <c r="AR392" s="706"/>
      <c r="AS392" s="727"/>
      <c r="AT392" s="706"/>
      <c r="AU392" s="706"/>
      <c r="AV392" s="727"/>
      <c r="AW392" s="706"/>
      <c r="AX392" s="727"/>
      <c r="AY392" s="706"/>
      <c r="AZ392" s="727"/>
      <c r="BA392" s="706"/>
      <c r="BB392" s="727"/>
      <c r="BC392" s="706"/>
      <c r="BD392" s="727"/>
      <c r="BE392" s="706"/>
    </row>
    <row r="393" spans="1:57" s="48" customFormat="1">
      <c r="A393" s="827"/>
      <c r="B393" s="827"/>
      <c r="C393" s="893"/>
      <c r="D393" s="863"/>
      <c r="E393" s="706"/>
      <c r="F393" s="863"/>
      <c r="G393" s="706"/>
      <c r="H393" s="863"/>
      <c r="I393" s="706"/>
      <c r="J393" s="863"/>
      <c r="K393" s="706"/>
      <c r="L393" s="863"/>
      <c r="M393" s="706"/>
      <c r="N393" s="706"/>
      <c r="O393" s="863"/>
      <c r="P393" s="706"/>
      <c r="Q393" s="863"/>
      <c r="R393" s="706"/>
      <c r="S393" s="863"/>
      <c r="T393" s="706"/>
      <c r="U393" s="863"/>
      <c r="V393" s="706"/>
      <c r="W393" s="863"/>
      <c r="X393" s="706"/>
      <c r="Y393" s="706"/>
      <c r="Z393" s="727"/>
      <c r="AA393" s="706"/>
      <c r="AB393" s="727"/>
      <c r="AC393" s="706"/>
      <c r="AD393" s="727"/>
      <c r="AE393" s="706"/>
      <c r="AF393" s="727"/>
      <c r="AG393" s="706"/>
      <c r="AH393" s="727"/>
      <c r="AI393" s="706"/>
      <c r="AJ393" s="706"/>
      <c r="AK393" s="727"/>
      <c r="AL393" s="706"/>
      <c r="AM393" s="727"/>
      <c r="AN393" s="706"/>
      <c r="AO393" s="727"/>
      <c r="AP393" s="706"/>
      <c r="AQ393" s="727"/>
      <c r="AR393" s="706"/>
      <c r="AS393" s="727"/>
      <c r="AT393" s="706"/>
      <c r="AU393" s="706"/>
      <c r="AV393" s="727"/>
      <c r="AW393" s="706"/>
      <c r="AX393" s="727"/>
      <c r="AY393" s="706"/>
      <c r="AZ393" s="727"/>
      <c r="BA393" s="706"/>
      <c r="BB393" s="727"/>
      <c r="BC393" s="706"/>
      <c r="BD393" s="727"/>
      <c r="BE393" s="706"/>
    </row>
    <row r="394" spans="1:57" s="48" customFormat="1">
      <c r="A394" s="827"/>
      <c r="B394" s="827"/>
      <c r="C394" s="893"/>
      <c r="D394" s="863"/>
      <c r="E394" s="706"/>
      <c r="F394" s="863"/>
      <c r="G394" s="706"/>
      <c r="H394" s="863"/>
      <c r="I394" s="706"/>
      <c r="J394" s="863"/>
      <c r="K394" s="706"/>
      <c r="L394" s="863"/>
      <c r="M394" s="706"/>
      <c r="N394" s="706"/>
      <c r="O394" s="863"/>
      <c r="P394" s="706"/>
      <c r="Q394" s="863"/>
      <c r="R394" s="706"/>
      <c r="S394" s="863"/>
      <c r="T394" s="706"/>
      <c r="U394" s="863"/>
      <c r="V394" s="706"/>
      <c r="W394" s="863"/>
      <c r="X394" s="706"/>
      <c r="Y394" s="706"/>
      <c r="Z394" s="727"/>
      <c r="AA394" s="706"/>
      <c r="AB394" s="727"/>
      <c r="AC394" s="706"/>
      <c r="AD394" s="727"/>
      <c r="AE394" s="706"/>
      <c r="AF394" s="727"/>
      <c r="AG394" s="706"/>
      <c r="AH394" s="727"/>
      <c r="AI394" s="706"/>
      <c r="AJ394" s="706"/>
      <c r="AK394" s="727"/>
      <c r="AL394" s="706"/>
      <c r="AM394" s="727"/>
      <c r="AN394" s="706"/>
      <c r="AO394" s="727"/>
      <c r="AP394" s="706"/>
      <c r="AQ394" s="727"/>
      <c r="AR394" s="706"/>
      <c r="AS394" s="727"/>
      <c r="AT394" s="706"/>
      <c r="AU394" s="706"/>
      <c r="AV394" s="727"/>
      <c r="AW394" s="706"/>
      <c r="AX394" s="727"/>
      <c r="AY394" s="706"/>
      <c r="AZ394" s="727"/>
      <c r="BA394" s="706"/>
      <c r="BB394" s="727"/>
      <c r="BC394" s="706"/>
      <c r="BD394" s="727"/>
      <c r="BE394" s="706"/>
    </row>
    <row r="395" spans="1:57" s="48" customFormat="1">
      <c r="A395" s="827"/>
      <c r="B395" s="827"/>
      <c r="C395" s="893"/>
      <c r="D395" s="863"/>
      <c r="E395" s="706"/>
      <c r="F395" s="863"/>
      <c r="G395" s="706"/>
      <c r="H395" s="863"/>
      <c r="I395" s="706"/>
      <c r="J395" s="863"/>
      <c r="K395" s="706"/>
      <c r="L395" s="863"/>
      <c r="M395" s="706"/>
      <c r="N395" s="706"/>
      <c r="O395" s="863"/>
      <c r="P395" s="706"/>
      <c r="Q395" s="863"/>
      <c r="R395" s="706"/>
      <c r="S395" s="863"/>
      <c r="T395" s="706"/>
      <c r="U395" s="863"/>
      <c r="V395" s="706"/>
      <c r="W395" s="863"/>
      <c r="X395" s="706"/>
      <c r="Y395" s="706"/>
      <c r="Z395" s="727"/>
      <c r="AA395" s="706"/>
      <c r="AB395" s="727"/>
      <c r="AC395" s="706"/>
      <c r="AD395" s="727"/>
      <c r="AE395" s="706"/>
      <c r="AF395" s="727"/>
      <c r="AG395" s="706"/>
      <c r="AH395" s="727"/>
      <c r="AI395" s="706"/>
      <c r="AJ395" s="706"/>
      <c r="AK395" s="727"/>
      <c r="AL395" s="706"/>
      <c r="AM395" s="727"/>
      <c r="AN395" s="706"/>
      <c r="AO395" s="727"/>
      <c r="AP395" s="706"/>
      <c r="AQ395" s="727"/>
      <c r="AR395" s="706"/>
      <c r="AS395" s="727"/>
      <c r="AT395" s="706"/>
      <c r="AU395" s="706"/>
      <c r="AV395" s="727"/>
      <c r="AW395" s="706"/>
      <c r="AX395" s="727"/>
      <c r="AY395" s="706"/>
      <c r="AZ395" s="727"/>
      <c r="BA395" s="706"/>
      <c r="BB395" s="727"/>
      <c r="BC395" s="706"/>
      <c r="BD395" s="727"/>
      <c r="BE395" s="706"/>
    </row>
    <row r="396" spans="1:57" s="48" customFormat="1">
      <c r="A396" s="827"/>
      <c r="B396" s="827"/>
      <c r="C396" s="893"/>
      <c r="D396" s="863"/>
      <c r="E396" s="706"/>
      <c r="F396" s="863"/>
      <c r="G396" s="706"/>
      <c r="H396" s="863"/>
      <c r="I396" s="706"/>
      <c r="J396" s="863"/>
      <c r="K396" s="706"/>
      <c r="L396" s="863"/>
      <c r="M396" s="706"/>
      <c r="N396" s="706"/>
      <c r="O396" s="863"/>
      <c r="P396" s="706"/>
      <c r="Q396" s="863"/>
      <c r="R396" s="706"/>
      <c r="S396" s="863"/>
      <c r="T396" s="706"/>
      <c r="U396" s="863"/>
      <c r="V396" s="706"/>
      <c r="W396" s="863"/>
      <c r="X396" s="706"/>
      <c r="Y396" s="706"/>
      <c r="Z396" s="727"/>
      <c r="AA396" s="706"/>
      <c r="AB396" s="727"/>
      <c r="AC396" s="706"/>
      <c r="AD396" s="727"/>
      <c r="AE396" s="706"/>
      <c r="AF396" s="727"/>
      <c r="AG396" s="706"/>
      <c r="AH396" s="727"/>
      <c r="AI396" s="706"/>
      <c r="AJ396" s="706"/>
      <c r="AK396" s="727"/>
      <c r="AL396" s="706"/>
      <c r="AM396" s="727"/>
      <c r="AN396" s="706"/>
      <c r="AO396" s="727"/>
      <c r="AP396" s="706"/>
      <c r="AQ396" s="727"/>
      <c r="AR396" s="706"/>
      <c r="AS396" s="727"/>
      <c r="AT396" s="706"/>
      <c r="AU396" s="706"/>
      <c r="AV396" s="727"/>
      <c r="AW396" s="706"/>
      <c r="AX396" s="727"/>
      <c r="AY396" s="706"/>
      <c r="AZ396" s="727"/>
      <c r="BA396" s="706"/>
      <c r="BB396" s="727"/>
      <c r="BC396" s="706"/>
      <c r="BD396" s="727"/>
      <c r="BE396" s="706"/>
    </row>
    <row r="397" spans="1:57" s="48" customFormat="1">
      <c r="A397" s="827"/>
      <c r="B397" s="827"/>
      <c r="C397" s="893"/>
      <c r="D397" s="863"/>
      <c r="E397" s="706"/>
      <c r="F397" s="863"/>
      <c r="G397" s="706"/>
      <c r="H397" s="863"/>
      <c r="I397" s="706"/>
      <c r="J397" s="863"/>
      <c r="K397" s="706"/>
      <c r="L397" s="863"/>
      <c r="M397" s="706"/>
      <c r="N397" s="706"/>
      <c r="O397" s="863"/>
      <c r="P397" s="706"/>
      <c r="Q397" s="863"/>
      <c r="R397" s="706"/>
      <c r="S397" s="863"/>
      <c r="T397" s="706"/>
      <c r="U397" s="863"/>
      <c r="V397" s="706"/>
      <c r="W397" s="863"/>
      <c r="X397" s="706"/>
      <c r="Y397" s="706"/>
      <c r="Z397" s="727"/>
      <c r="AA397" s="706"/>
      <c r="AB397" s="727"/>
      <c r="AC397" s="706"/>
      <c r="AD397" s="727"/>
      <c r="AE397" s="706"/>
      <c r="AF397" s="727"/>
      <c r="AG397" s="706"/>
      <c r="AH397" s="727"/>
      <c r="AI397" s="706"/>
      <c r="AJ397" s="706"/>
      <c r="AK397" s="727"/>
      <c r="AL397" s="706"/>
      <c r="AM397" s="727"/>
      <c r="AN397" s="706"/>
      <c r="AO397" s="727"/>
      <c r="AP397" s="706"/>
      <c r="AQ397" s="727"/>
      <c r="AR397" s="706"/>
      <c r="AS397" s="727"/>
      <c r="AT397" s="706"/>
      <c r="AU397" s="706"/>
      <c r="AV397" s="727"/>
      <c r="AW397" s="706"/>
      <c r="AX397" s="727"/>
      <c r="AY397" s="706"/>
      <c r="AZ397" s="727"/>
      <c r="BA397" s="706"/>
      <c r="BB397" s="727"/>
      <c r="BC397" s="706"/>
      <c r="BD397" s="727"/>
      <c r="BE397" s="706"/>
    </row>
    <row r="398" spans="1:57" s="48" customFormat="1">
      <c r="A398" s="827"/>
      <c r="B398" s="827"/>
      <c r="C398" s="893"/>
      <c r="D398" s="863"/>
      <c r="E398" s="706"/>
      <c r="F398" s="863"/>
      <c r="G398" s="706"/>
      <c r="H398" s="863"/>
      <c r="I398" s="706"/>
      <c r="J398" s="863"/>
      <c r="K398" s="706"/>
      <c r="L398" s="863"/>
      <c r="M398" s="706"/>
      <c r="N398" s="706"/>
      <c r="O398" s="863"/>
      <c r="P398" s="706"/>
      <c r="Q398" s="863"/>
      <c r="R398" s="706"/>
      <c r="S398" s="863"/>
      <c r="T398" s="706"/>
      <c r="U398" s="863"/>
      <c r="V398" s="706"/>
      <c r="W398" s="863"/>
      <c r="X398" s="706"/>
      <c r="Y398" s="706"/>
      <c r="Z398" s="727"/>
      <c r="AA398" s="706"/>
      <c r="AB398" s="727"/>
      <c r="AC398" s="706"/>
      <c r="AD398" s="727"/>
      <c r="AE398" s="706"/>
      <c r="AF398" s="727"/>
      <c r="AG398" s="706"/>
      <c r="AH398" s="727"/>
      <c r="AI398" s="706"/>
      <c r="AJ398" s="706"/>
      <c r="AK398" s="727"/>
      <c r="AL398" s="706"/>
      <c r="AM398" s="727"/>
      <c r="AN398" s="706"/>
      <c r="AO398" s="727"/>
      <c r="AP398" s="706"/>
      <c r="AQ398" s="727"/>
      <c r="AR398" s="706"/>
      <c r="AS398" s="727"/>
      <c r="AT398" s="706"/>
      <c r="AU398" s="706"/>
      <c r="AV398" s="727"/>
      <c r="AW398" s="706"/>
      <c r="AX398" s="727"/>
      <c r="AY398" s="706"/>
      <c r="AZ398" s="727"/>
      <c r="BA398" s="706"/>
      <c r="BB398" s="727"/>
      <c r="BC398" s="706"/>
      <c r="BD398" s="727"/>
      <c r="BE398" s="706"/>
    </row>
    <row r="399" spans="1:57" s="48" customFormat="1">
      <c r="A399" s="827"/>
      <c r="B399" s="827"/>
      <c r="C399" s="893"/>
      <c r="D399" s="863"/>
      <c r="E399" s="706"/>
      <c r="F399" s="863"/>
      <c r="G399" s="706"/>
      <c r="H399" s="863"/>
      <c r="I399" s="706"/>
      <c r="J399" s="863"/>
      <c r="K399" s="706"/>
      <c r="L399" s="863"/>
      <c r="M399" s="706"/>
      <c r="N399" s="706"/>
      <c r="O399" s="863"/>
      <c r="P399" s="706"/>
      <c r="Q399" s="863"/>
      <c r="R399" s="706"/>
      <c r="S399" s="863"/>
      <c r="T399" s="706"/>
      <c r="U399" s="863"/>
      <c r="V399" s="706"/>
      <c r="W399" s="863"/>
      <c r="X399" s="706"/>
      <c r="Y399" s="706"/>
      <c r="Z399" s="727"/>
      <c r="AA399" s="706"/>
      <c r="AB399" s="727"/>
      <c r="AC399" s="706"/>
      <c r="AD399" s="727"/>
      <c r="AE399" s="706"/>
      <c r="AF399" s="727"/>
      <c r="AG399" s="706"/>
      <c r="AH399" s="727"/>
      <c r="AI399" s="706"/>
      <c r="AJ399" s="706"/>
      <c r="AK399" s="727"/>
      <c r="AL399" s="706"/>
      <c r="AM399" s="727"/>
      <c r="AN399" s="706"/>
      <c r="AO399" s="727"/>
      <c r="AP399" s="706"/>
      <c r="AQ399" s="727"/>
      <c r="AR399" s="706"/>
      <c r="AS399" s="727"/>
      <c r="AT399" s="706"/>
      <c r="AU399" s="706"/>
      <c r="AV399" s="727"/>
      <c r="AW399" s="706"/>
      <c r="AX399" s="727"/>
      <c r="AY399" s="706"/>
      <c r="AZ399" s="727"/>
      <c r="BA399" s="706"/>
      <c r="BB399" s="727"/>
      <c r="BC399" s="706"/>
      <c r="BD399" s="727"/>
      <c r="BE399" s="706"/>
    </row>
    <row r="400" spans="1:57" s="48" customFormat="1">
      <c r="A400" s="827"/>
      <c r="B400" s="827"/>
      <c r="C400" s="893"/>
      <c r="D400" s="863"/>
      <c r="E400" s="706"/>
      <c r="F400" s="863"/>
      <c r="G400" s="706"/>
      <c r="H400" s="863"/>
      <c r="I400" s="706"/>
      <c r="J400" s="863"/>
      <c r="K400" s="706"/>
      <c r="L400" s="863"/>
      <c r="M400" s="706"/>
      <c r="N400" s="706"/>
      <c r="O400" s="863"/>
      <c r="P400" s="706"/>
      <c r="Q400" s="863"/>
      <c r="R400" s="706"/>
      <c r="S400" s="863"/>
      <c r="T400" s="706"/>
      <c r="U400" s="863"/>
      <c r="V400" s="706"/>
      <c r="W400" s="863"/>
      <c r="X400" s="706"/>
      <c r="Y400" s="706"/>
      <c r="Z400" s="727"/>
      <c r="AA400" s="706"/>
      <c r="AB400" s="727"/>
      <c r="AC400" s="706"/>
      <c r="AD400" s="727"/>
      <c r="AE400" s="706"/>
      <c r="AF400" s="727"/>
      <c r="AG400" s="706"/>
      <c r="AH400" s="727"/>
      <c r="AI400" s="706"/>
      <c r="AJ400" s="706"/>
      <c r="AK400" s="727"/>
      <c r="AL400" s="706"/>
      <c r="AM400" s="727"/>
      <c r="AN400" s="706"/>
      <c r="AO400" s="727"/>
      <c r="AP400" s="706"/>
      <c r="AQ400" s="727"/>
      <c r="AR400" s="706"/>
      <c r="AS400" s="727"/>
      <c r="AT400" s="706"/>
      <c r="AU400" s="706"/>
      <c r="AV400" s="727"/>
      <c r="AW400" s="706"/>
      <c r="AX400" s="727"/>
      <c r="AY400" s="706"/>
      <c r="AZ400" s="727"/>
      <c r="BA400" s="706"/>
      <c r="BB400" s="727"/>
      <c r="BC400" s="706"/>
      <c r="BD400" s="727"/>
      <c r="BE400" s="706"/>
    </row>
    <row r="401" spans="1:57" s="48" customFormat="1">
      <c r="A401" s="827"/>
      <c r="B401" s="827"/>
      <c r="C401" s="893"/>
      <c r="D401" s="863"/>
      <c r="E401" s="706"/>
      <c r="F401" s="863"/>
      <c r="G401" s="706"/>
      <c r="H401" s="863"/>
      <c r="I401" s="706"/>
      <c r="J401" s="863"/>
      <c r="K401" s="706"/>
      <c r="L401" s="863"/>
      <c r="M401" s="706"/>
      <c r="N401" s="706"/>
      <c r="O401" s="863"/>
      <c r="P401" s="706"/>
      <c r="Q401" s="863"/>
      <c r="R401" s="706"/>
      <c r="S401" s="863"/>
      <c r="T401" s="706"/>
      <c r="U401" s="863"/>
      <c r="V401" s="706"/>
      <c r="W401" s="863"/>
      <c r="X401" s="706"/>
      <c r="Y401" s="706"/>
      <c r="Z401" s="727"/>
      <c r="AA401" s="706"/>
      <c r="AB401" s="727"/>
      <c r="AC401" s="706"/>
      <c r="AD401" s="727"/>
      <c r="AE401" s="706"/>
      <c r="AF401" s="727"/>
      <c r="AG401" s="706"/>
      <c r="AH401" s="727"/>
      <c r="AI401" s="706"/>
      <c r="AJ401" s="706"/>
      <c r="AK401" s="727"/>
      <c r="AL401" s="706"/>
      <c r="AM401" s="727"/>
      <c r="AN401" s="706"/>
      <c r="AO401" s="727"/>
      <c r="AP401" s="706"/>
      <c r="AQ401" s="727"/>
      <c r="AR401" s="706"/>
      <c r="AS401" s="727"/>
      <c r="AT401" s="706"/>
      <c r="AU401" s="706"/>
      <c r="AV401" s="727"/>
      <c r="AW401" s="706"/>
      <c r="AX401" s="727"/>
      <c r="AY401" s="706"/>
      <c r="AZ401" s="727"/>
      <c r="BA401" s="706"/>
      <c r="BB401" s="727"/>
      <c r="BC401" s="706"/>
      <c r="BD401" s="727"/>
      <c r="BE401" s="706"/>
    </row>
    <row r="402" spans="1:57" s="48" customFormat="1">
      <c r="A402" s="827"/>
      <c r="B402" s="827"/>
      <c r="C402" s="893"/>
      <c r="D402" s="863"/>
      <c r="E402" s="706"/>
      <c r="F402" s="863"/>
      <c r="G402" s="706"/>
      <c r="H402" s="863"/>
      <c r="I402" s="706"/>
      <c r="J402" s="863"/>
      <c r="K402" s="706"/>
      <c r="L402" s="863"/>
      <c r="M402" s="706"/>
      <c r="N402" s="706"/>
      <c r="O402" s="863"/>
      <c r="P402" s="706"/>
      <c r="Q402" s="863"/>
      <c r="R402" s="706"/>
      <c r="S402" s="863"/>
      <c r="T402" s="706"/>
      <c r="U402" s="863"/>
      <c r="V402" s="706"/>
      <c r="W402" s="863"/>
      <c r="X402" s="706"/>
      <c r="Y402" s="706"/>
      <c r="Z402" s="727"/>
      <c r="AA402" s="706"/>
      <c r="AB402" s="727"/>
      <c r="AC402" s="706"/>
      <c r="AD402" s="727"/>
      <c r="AE402" s="706"/>
      <c r="AF402" s="727"/>
      <c r="AG402" s="706"/>
      <c r="AH402" s="727"/>
      <c r="AI402" s="706"/>
      <c r="AJ402" s="706"/>
      <c r="AK402" s="727"/>
      <c r="AL402" s="706"/>
      <c r="AM402" s="727"/>
      <c r="AN402" s="706"/>
      <c r="AO402" s="727"/>
      <c r="AP402" s="706"/>
      <c r="AQ402" s="727"/>
      <c r="AR402" s="706"/>
      <c r="AS402" s="727"/>
      <c r="AT402" s="706"/>
      <c r="AU402" s="706"/>
      <c r="AV402" s="727"/>
      <c r="AW402" s="706"/>
      <c r="AX402" s="727"/>
      <c r="AY402" s="706"/>
      <c r="AZ402" s="727"/>
      <c r="BA402" s="706"/>
      <c r="BB402" s="727"/>
      <c r="BC402" s="706"/>
      <c r="BD402" s="727"/>
      <c r="BE402" s="706"/>
    </row>
    <row r="403" spans="1:57" s="48" customFormat="1">
      <c r="A403" s="827"/>
      <c r="B403" s="827"/>
      <c r="C403" s="893"/>
      <c r="D403" s="863"/>
      <c r="E403" s="706"/>
      <c r="F403" s="863"/>
      <c r="G403" s="706"/>
      <c r="H403" s="863"/>
      <c r="I403" s="706"/>
      <c r="J403" s="863"/>
      <c r="K403" s="706"/>
      <c r="L403" s="863"/>
      <c r="M403" s="706"/>
      <c r="N403" s="706"/>
      <c r="O403" s="863"/>
      <c r="P403" s="706"/>
      <c r="Q403" s="863"/>
      <c r="R403" s="706"/>
      <c r="S403" s="863"/>
      <c r="T403" s="706"/>
      <c r="U403" s="863"/>
      <c r="V403" s="706"/>
      <c r="W403" s="863"/>
      <c r="X403" s="706"/>
      <c r="Y403" s="706"/>
      <c r="Z403" s="727"/>
      <c r="AA403" s="706"/>
      <c r="AB403" s="727"/>
      <c r="AC403" s="706"/>
      <c r="AD403" s="727"/>
      <c r="AE403" s="706"/>
      <c r="AF403" s="727"/>
      <c r="AG403" s="706"/>
      <c r="AH403" s="727"/>
      <c r="AI403" s="706"/>
      <c r="AJ403" s="706"/>
      <c r="AK403" s="727"/>
      <c r="AL403" s="706"/>
      <c r="AM403" s="727"/>
      <c r="AN403" s="706"/>
      <c r="AO403" s="727"/>
      <c r="AP403" s="706"/>
      <c r="AQ403" s="727"/>
      <c r="AR403" s="706"/>
      <c r="AS403" s="727"/>
      <c r="AT403" s="706"/>
      <c r="AU403" s="706"/>
      <c r="AV403" s="727"/>
      <c r="AW403" s="706"/>
      <c r="AX403" s="727"/>
      <c r="AY403" s="706"/>
      <c r="AZ403" s="727"/>
      <c r="BA403" s="706"/>
      <c r="BB403" s="727"/>
      <c r="BC403" s="706"/>
      <c r="BD403" s="727"/>
      <c r="BE403" s="706"/>
    </row>
    <row r="404" spans="1:57" s="48" customFormat="1">
      <c r="A404" s="827"/>
      <c r="B404" s="827"/>
      <c r="C404" s="893"/>
      <c r="D404" s="863"/>
      <c r="E404" s="706"/>
      <c r="F404" s="863"/>
      <c r="G404" s="706"/>
      <c r="H404" s="863"/>
      <c r="I404" s="706"/>
      <c r="J404" s="863"/>
      <c r="K404" s="706"/>
      <c r="L404" s="863"/>
      <c r="M404" s="706"/>
      <c r="N404" s="706"/>
      <c r="O404" s="863"/>
      <c r="P404" s="706"/>
      <c r="Q404" s="863"/>
      <c r="R404" s="706"/>
      <c r="S404" s="863"/>
      <c r="T404" s="706"/>
      <c r="U404" s="863"/>
      <c r="V404" s="706"/>
      <c r="W404" s="863"/>
      <c r="X404" s="706"/>
      <c r="Y404" s="706"/>
      <c r="Z404" s="727"/>
      <c r="AA404" s="706"/>
      <c r="AB404" s="727"/>
      <c r="AC404" s="706"/>
      <c r="AD404" s="727"/>
      <c r="AE404" s="706"/>
      <c r="AF404" s="727"/>
      <c r="AG404" s="706"/>
      <c r="AH404" s="727"/>
      <c r="AI404" s="706"/>
      <c r="AJ404" s="706"/>
      <c r="AK404" s="727"/>
      <c r="AL404" s="706"/>
      <c r="AM404" s="727"/>
      <c r="AN404" s="706"/>
      <c r="AO404" s="727"/>
      <c r="AP404" s="706"/>
      <c r="AQ404" s="727"/>
      <c r="AR404" s="706"/>
      <c r="AS404" s="727"/>
      <c r="AT404" s="706"/>
      <c r="AU404" s="706"/>
      <c r="AV404" s="727"/>
      <c r="AW404" s="706"/>
      <c r="AX404" s="727"/>
      <c r="AY404" s="706"/>
      <c r="AZ404" s="727"/>
      <c r="BA404" s="706"/>
      <c r="BB404" s="727"/>
      <c r="BC404" s="706"/>
      <c r="BD404" s="727"/>
      <c r="BE404" s="706"/>
    </row>
    <row r="405" spans="1:57" s="48" customFormat="1">
      <c r="A405" s="827"/>
      <c r="B405" s="827"/>
      <c r="C405" s="893"/>
      <c r="D405" s="863"/>
      <c r="E405" s="706"/>
      <c r="F405" s="863"/>
      <c r="G405" s="706"/>
      <c r="H405" s="863"/>
      <c r="I405" s="706"/>
      <c r="J405" s="863"/>
      <c r="K405" s="706"/>
      <c r="L405" s="863"/>
      <c r="M405" s="706"/>
      <c r="N405" s="706"/>
      <c r="O405" s="863"/>
      <c r="P405" s="706"/>
      <c r="Q405" s="863"/>
      <c r="R405" s="706"/>
      <c r="S405" s="863"/>
      <c r="T405" s="706"/>
      <c r="U405" s="863"/>
      <c r="V405" s="706"/>
      <c r="W405" s="863"/>
      <c r="X405" s="706"/>
      <c r="Y405" s="706"/>
      <c r="Z405" s="727"/>
      <c r="AA405" s="706"/>
      <c r="AB405" s="727"/>
      <c r="AC405" s="706"/>
      <c r="AD405" s="727"/>
      <c r="AE405" s="706"/>
      <c r="AF405" s="727"/>
      <c r="AG405" s="706"/>
      <c r="AH405" s="727"/>
      <c r="AI405" s="706"/>
      <c r="AJ405" s="706"/>
      <c r="AK405" s="727"/>
      <c r="AL405" s="706"/>
      <c r="AM405" s="727"/>
      <c r="AN405" s="706"/>
      <c r="AO405" s="727"/>
      <c r="AP405" s="706"/>
      <c r="AQ405" s="727"/>
      <c r="AR405" s="706"/>
      <c r="AS405" s="727"/>
      <c r="AT405" s="706"/>
      <c r="AU405" s="706"/>
      <c r="AV405" s="727"/>
      <c r="AW405" s="706"/>
      <c r="AX405" s="727"/>
      <c r="AY405" s="706"/>
      <c r="AZ405" s="727"/>
      <c r="BA405" s="706"/>
      <c r="BB405" s="727"/>
      <c r="BC405" s="706"/>
      <c r="BD405" s="727"/>
      <c r="BE405" s="706"/>
    </row>
    <row r="406" spans="1:57" s="48" customFormat="1">
      <c r="A406" s="827"/>
      <c r="B406" s="827"/>
      <c r="C406" s="893"/>
      <c r="D406" s="863"/>
      <c r="E406" s="706"/>
      <c r="F406" s="863"/>
      <c r="G406" s="706"/>
      <c r="H406" s="863"/>
      <c r="I406" s="706"/>
      <c r="J406" s="863"/>
      <c r="K406" s="706"/>
      <c r="L406" s="863"/>
      <c r="M406" s="706"/>
      <c r="N406" s="706"/>
      <c r="O406" s="863"/>
      <c r="P406" s="706"/>
      <c r="Q406" s="863"/>
      <c r="R406" s="706"/>
      <c r="S406" s="863"/>
      <c r="T406" s="706"/>
      <c r="U406" s="863"/>
      <c r="V406" s="706"/>
      <c r="W406" s="863"/>
      <c r="X406" s="706"/>
      <c r="Y406" s="706"/>
      <c r="Z406" s="727"/>
      <c r="AA406" s="706"/>
      <c r="AB406" s="727"/>
      <c r="AC406" s="706"/>
      <c r="AD406" s="727"/>
      <c r="AE406" s="706"/>
      <c r="AF406" s="727"/>
      <c r="AG406" s="706"/>
      <c r="AH406" s="727"/>
      <c r="AI406" s="706"/>
      <c r="AJ406" s="706"/>
      <c r="AK406" s="727"/>
      <c r="AL406" s="706"/>
      <c r="AM406" s="727"/>
      <c r="AN406" s="706"/>
      <c r="AO406" s="727"/>
      <c r="AP406" s="706"/>
      <c r="AQ406" s="727"/>
      <c r="AR406" s="706"/>
      <c r="AS406" s="727"/>
      <c r="AT406" s="706"/>
      <c r="AU406" s="706"/>
      <c r="AV406" s="727"/>
      <c r="AW406" s="706"/>
      <c r="AX406" s="727"/>
      <c r="AY406" s="706"/>
      <c r="AZ406" s="727"/>
      <c r="BA406" s="706"/>
      <c r="BB406" s="727"/>
      <c r="BC406" s="706"/>
      <c r="BD406" s="727"/>
      <c r="BE406" s="706"/>
    </row>
    <row r="407" spans="1:57" s="48" customFormat="1">
      <c r="A407" s="827"/>
      <c r="B407" s="827"/>
      <c r="C407" s="893"/>
      <c r="D407" s="863"/>
      <c r="E407" s="706"/>
      <c r="F407" s="863"/>
      <c r="G407" s="706"/>
      <c r="H407" s="863"/>
      <c r="I407" s="706"/>
      <c r="J407" s="863"/>
      <c r="K407" s="706"/>
      <c r="L407" s="863"/>
      <c r="M407" s="706"/>
      <c r="N407" s="706"/>
      <c r="O407" s="863"/>
      <c r="P407" s="706"/>
      <c r="Q407" s="863"/>
      <c r="R407" s="706"/>
      <c r="S407" s="863"/>
      <c r="T407" s="706"/>
      <c r="U407" s="863"/>
      <c r="V407" s="706"/>
      <c r="W407" s="863"/>
      <c r="X407" s="706"/>
      <c r="Y407" s="706"/>
      <c r="Z407" s="727"/>
      <c r="AA407" s="706"/>
      <c r="AB407" s="727"/>
      <c r="AC407" s="706"/>
      <c r="AD407" s="727"/>
      <c r="AE407" s="706"/>
      <c r="AF407" s="727"/>
      <c r="AG407" s="706"/>
      <c r="AH407" s="727"/>
      <c r="AI407" s="706"/>
      <c r="AJ407" s="706"/>
      <c r="AK407" s="727"/>
      <c r="AL407" s="706"/>
      <c r="AM407" s="727"/>
      <c r="AN407" s="706"/>
      <c r="AO407" s="727"/>
      <c r="AP407" s="706"/>
      <c r="AQ407" s="727"/>
      <c r="AR407" s="706"/>
      <c r="AS407" s="727"/>
      <c r="AT407" s="706"/>
      <c r="AU407" s="706"/>
      <c r="AV407" s="727"/>
      <c r="AW407" s="706"/>
      <c r="AX407" s="727"/>
      <c r="AY407" s="706"/>
      <c r="AZ407" s="727"/>
      <c r="BA407" s="706"/>
      <c r="BB407" s="727"/>
      <c r="BC407" s="706"/>
      <c r="BD407" s="727"/>
      <c r="BE407" s="706"/>
    </row>
    <row r="408" spans="1:57" s="48" customFormat="1">
      <c r="A408" s="827"/>
      <c r="B408" s="827"/>
      <c r="C408" s="893"/>
      <c r="D408" s="863"/>
      <c r="E408" s="706"/>
      <c r="F408" s="863"/>
      <c r="G408" s="706"/>
      <c r="H408" s="863"/>
      <c r="I408" s="706"/>
      <c r="J408" s="863"/>
      <c r="K408" s="706"/>
      <c r="L408" s="863"/>
      <c r="M408" s="706"/>
      <c r="N408" s="706"/>
      <c r="O408" s="863"/>
      <c r="P408" s="706"/>
      <c r="Q408" s="863"/>
      <c r="R408" s="706"/>
      <c r="S408" s="863"/>
      <c r="T408" s="706"/>
      <c r="U408" s="863"/>
      <c r="V408" s="706"/>
      <c r="W408" s="863"/>
      <c r="X408" s="706"/>
      <c r="Y408" s="706"/>
      <c r="Z408" s="727"/>
      <c r="AA408" s="706"/>
      <c r="AB408" s="727"/>
      <c r="AC408" s="706"/>
      <c r="AD408" s="727"/>
      <c r="AE408" s="706"/>
      <c r="AF408" s="727"/>
      <c r="AG408" s="706"/>
      <c r="AH408" s="727"/>
      <c r="AI408" s="706"/>
      <c r="AJ408" s="706"/>
      <c r="AK408" s="727"/>
      <c r="AL408" s="706"/>
      <c r="AM408" s="727"/>
      <c r="AN408" s="706"/>
      <c r="AO408" s="727"/>
      <c r="AP408" s="706"/>
      <c r="AQ408" s="727"/>
      <c r="AR408" s="706"/>
      <c r="AS408" s="727"/>
      <c r="AT408" s="706"/>
      <c r="AU408" s="706"/>
      <c r="AV408" s="727"/>
      <c r="AW408" s="706"/>
      <c r="AX408" s="727"/>
      <c r="AY408" s="706"/>
      <c r="AZ408" s="727"/>
      <c r="BA408" s="706"/>
      <c r="BB408" s="727"/>
      <c r="BC408" s="706"/>
      <c r="BD408" s="727"/>
      <c r="BE408" s="706"/>
    </row>
    <row r="409" spans="1:57" s="48" customFormat="1">
      <c r="A409" s="712"/>
      <c r="B409" s="712"/>
      <c r="C409" s="712"/>
      <c r="D409" s="863"/>
      <c r="E409" s="706"/>
      <c r="F409" s="863"/>
      <c r="G409" s="706"/>
      <c r="H409" s="863"/>
      <c r="I409" s="706"/>
      <c r="J409" s="863"/>
      <c r="K409" s="706"/>
      <c r="L409" s="863"/>
      <c r="M409" s="706"/>
      <c r="N409" s="706"/>
      <c r="O409" s="863"/>
      <c r="P409" s="706"/>
      <c r="Q409" s="863"/>
      <c r="R409" s="706"/>
      <c r="S409" s="863"/>
      <c r="T409" s="706"/>
      <c r="U409" s="863"/>
      <c r="V409" s="706"/>
      <c r="W409" s="863"/>
      <c r="X409" s="706"/>
      <c r="Y409" s="706"/>
      <c r="Z409" s="727"/>
      <c r="AA409" s="706"/>
      <c r="AB409" s="727"/>
      <c r="AC409" s="706"/>
      <c r="AD409" s="727"/>
      <c r="AE409" s="706"/>
      <c r="AF409" s="727"/>
      <c r="AG409" s="706"/>
      <c r="AH409" s="727"/>
      <c r="AI409" s="706"/>
      <c r="AJ409" s="706"/>
      <c r="AK409" s="727"/>
      <c r="AL409" s="706"/>
      <c r="AM409" s="727"/>
      <c r="AN409" s="706"/>
      <c r="AO409" s="727"/>
      <c r="AP409" s="706"/>
      <c r="AQ409" s="727"/>
      <c r="AR409" s="706"/>
      <c r="AS409" s="727"/>
      <c r="AT409" s="706"/>
      <c r="AU409" s="706"/>
      <c r="AV409" s="727"/>
      <c r="AW409" s="706"/>
      <c r="AX409" s="727"/>
      <c r="AY409" s="706"/>
      <c r="AZ409" s="727"/>
      <c r="BA409" s="706"/>
      <c r="BB409" s="727"/>
      <c r="BC409" s="706"/>
      <c r="BD409" s="727"/>
      <c r="BE409" s="706"/>
    </row>
    <row r="410" spans="1:57" s="48" customFormat="1">
      <c r="A410" s="712"/>
      <c r="B410" s="712"/>
      <c r="C410" s="712"/>
      <c r="D410" s="863"/>
      <c r="E410" s="706"/>
      <c r="F410" s="863"/>
      <c r="G410" s="706"/>
      <c r="H410" s="863"/>
      <c r="I410" s="706"/>
      <c r="J410" s="863"/>
      <c r="K410" s="706"/>
      <c r="L410" s="863"/>
      <c r="M410" s="706"/>
      <c r="N410" s="706"/>
      <c r="O410" s="863"/>
      <c r="P410" s="706"/>
      <c r="Q410" s="863"/>
      <c r="R410" s="706"/>
      <c r="S410" s="863"/>
      <c r="T410" s="706"/>
      <c r="U410" s="863"/>
      <c r="V410" s="706"/>
      <c r="W410" s="863"/>
      <c r="X410" s="706"/>
      <c r="Y410" s="706"/>
      <c r="Z410" s="727"/>
      <c r="AA410" s="706"/>
      <c r="AB410" s="727"/>
      <c r="AC410" s="706"/>
      <c r="AD410" s="727"/>
      <c r="AE410" s="706"/>
      <c r="AF410" s="727"/>
      <c r="AG410" s="706"/>
      <c r="AH410" s="727"/>
      <c r="AI410" s="706"/>
      <c r="AJ410" s="706"/>
      <c r="AK410" s="727"/>
      <c r="AL410" s="706"/>
      <c r="AM410" s="727"/>
      <c r="AN410" s="706"/>
      <c r="AO410" s="727"/>
      <c r="AP410" s="706"/>
      <c r="AQ410" s="727"/>
      <c r="AR410" s="706"/>
      <c r="AS410" s="727"/>
      <c r="AT410" s="706"/>
      <c r="AU410" s="706"/>
      <c r="AV410" s="727"/>
      <c r="AW410" s="706"/>
      <c r="AX410" s="727"/>
      <c r="AY410" s="706"/>
      <c r="AZ410" s="727"/>
      <c r="BA410" s="706"/>
      <c r="BB410" s="727"/>
      <c r="BC410" s="706"/>
      <c r="BD410" s="727"/>
      <c r="BE410" s="706"/>
    </row>
    <row r="411" spans="1:57" s="48" customFormat="1">
      <c r="A411" s="712"/>
      <c r="B411" s="712"/>
      <c r="C411" s="712"/>
      <c r="D411" s="863"/>
      <c r="E411" s="706"/>
      <c r="F411" s="863"/>
      <c r="G411" s="706"/>
      <c r="H411" s="863"/>
      <c r="I411" s="706"/>
      <c r="J411" s="863"/>
      <c r="K411" s="706"/>
      <c r="L411" s="863"/>
      <c r="M411" s="706"/>
      <c r="N411" s="706"/>
      <c r="O411" s="863"/>
      <c r="P411" s="706"/>
      <c r="Q411" s="863"/>
      <c r="R411" s="706"/>
      <c r="S411" s="863"/>
      <c r="T411" s="706"/>
      <c r="U411" s="863"/>
      <c r="V411" s="706"/>
      <c r="W411" s="863"/>
      <c r="X411" s="706"/>
      <c r="Y411" s="706"/>
      <c r="Z411" s="727"/>
      <c r="AA411" s="706"/>
      <c r="AB411" s="727"/>
      <c r="AC411" s="706"/>
      <c r="AD411" s="727"/>
      <c r="AE411" s="706"/>
      <c r="AF411" s="727"/>
      <c r="AG411" s="706"/>
      <c r="AH411" s="727"/>
      <c r="AI411" s="706"/>
      <c r="AJ411" s="706"/>
      <c r="AK411" s="727"/>
      <c r="AL411" s="706"/>
      <c r="AM411" s="727"/>
      <c r="AN411" s="706"/>
      <c r="AO411" s="727"/>
      <c r="AP411" s="706"/>
      <c r="AQ411" s="727"/>
      <c r="AR411" s="706"/>
      <c r="AS411" s="727"/>
      <c r="AT411" s="706"/>
      <c r="AU411" s="706"/>
      <c r="AV411" s="727"/>
      <c r="AW411" s="706"/>
      <c r="AX411" s="727"/>
      <c r="AY411" s="706"/>
      <c r="AZ411" s="727"/>
      <c r="BA411" s="706"/>
      <c r="BB411" s="727"/>
      <c r="BC411" s="706"/>
      <c r="BD411" s="727"/>
      <c r="BE411" s="706"/>
    </row>
    <row r="412" spans="1:57" s="48" customFormat="1">
      <c r="A412" s="712"/>
      <c r="B412" s="712"/>
      <c r="C412" s="712"/>
      <c r="D412" s="863"/>
      <c r="E412" s="706"/>
      <c r="F412" s="863"/>
      <c r="G412" s="706"/>
      <c r="H412" s="863"/>
      <c r="I412" s="706"/>
      <c r="J412" s="863"/>
      <c r="K412" s="706"/>
      <c r="L412" s="863"/>
      <c r="M412" s="706"/>
      <c r="N412" s="706"/>
      <c r="O412" s="863"/>
      <c r="P412" s="706"/>
      <c r="Q412" s="863"/>
      <c r="R412" s="706"/>
      <c r="S412" s="863"/>
      <c r="T412" s="706"/>
      <c r="U412" s="863"/>
      <c r="V412" s="706"/>
      <c r="W412" s="863"/>
      <c r="X412" s="706"/>
      <c r="Y412" s="706"/>
      <c r="Z412" s="727"/>
      <c r="AA412" s="706"/>
      <c r="AB412" s="727"/>
      <c r="AC412" s="706"/>
      <c r="AD412" s="727"/>
      <c r="AE412" s="706"/>
      <c r="AF412" s="727"/>
      <c r="AG412" s="706"/>
      <c r="AH412" s="727"/>
      <c r="AI412" s="706"/>
      <c r="AJ412" s="706"/>
      <c r="AK412" s="727"/>
      <c r="AL412" s="706"/>
      <c r="AM412" s="727"/>
      <c r="AN412" s="706"/>
      <c r="AO412" s="727"/>
      <c r="AP412" s="706"/>
      <c r="AQ412" s="727"/>
      <c r="AR412" s="706"/>
      <c r="AS412" s="727"/>
      <c r="AT412" s="706"/>
      <c r="AU412" s="706"/>
      <c r="AV412" s="727"/>
      <c r="AW412" s="706"/>
      <c r="AX412" s="727"/>
      <c r="AY412" s="706"/>
      <c r="AZ412" s="727"/>
      <c r="BA412" s="706"/>
      <c r="BB412" s="727"/>
      <c r="BC412" s="706"/>
      <c r="BD412" s="727"/>
      <c r="BE412" s="706"/>
    </row>
    <row r="413" spans="1:57" s="48" customFormat="1">
      <c r="A413" s="712"/>
      <c r="B413" s="712"/>
      <c r="C413" s="712"/>
      <c r="D413" s="863"/>
      <c r="E413" s="706"/>
      <c r="F413" s="863"/>
      <c r="G413" s="706"/>
      <c r="H413" s="863"/>
      <c r="I413" s="706"/>
      <c r="J413" s="863"/>
      <c r="K413" s="706"/>
      <c r="L413" s="863"/>
      <c r="M413" s="706"/>
      <c r="N413" s="706"/>
      <c r="O413" s="863"/>
      <c r="P413" s="706"/>
      <c r="Q413" s="863"/>
      <c r="R413" s="706"/>
      <c r="S413" s="863"/>
      <c r="T413" s="706"/>
      <c r="U413" s="863"/>
      <c r="V413" s="706"/>
      <c r="W413" s="863"/>
      <c r="X413" s="706"/>
      <c r="Y413" s="706"/>
      <c r="Z413" s="727"/>
      <c r="AA413" s="706"/>
      <c r="AB413" s="727"/>
      <c r="AC413" s="706"/>
      <c r="AD413" s="727"/>
      <c r="AE413" s="706"/>
      <c r="AF413" s="727"/>
      <c r="AG413" s="706"/>
      <c r="AH413" s="727"/>
      <c r="AI413" s="706"/>
      <c r="AJ413" s="706"/>
      <c r="AK413" s="727"/>
      <c r="AL413" s="706"/>
      <c r="AM413" s="727"/>
      <c r="AN413" s="706"/>
      <c r="AO413" s="727"/>
      <c r="AP413" s="706"/>
      <c r="AQ413" s="727"/>
      <c r="AR413" s="706"/>
      <c r="AS413" s="727"/>
      <c r="AT413" s="706"/>
      <c r="AU413" s="706"/>
      <c r="AV413" s="727"/>
      <c r="AW413" s="706"/>
      <c r="AX413" s="727"/>
      <c r="AY413" s="706"/>
      <c r="AZ413" s="727"/>
      <c r="BA413" s="706"/>
      <c r="BB413" s="727"/>
      <c r="BC413" s="706"/>
      <c r="BD413" s="727"/>
      <c r="BE413" s="706"/>
    </row>
    <row r="414" spans="1:57" s="48" customFormat="1">
      <c r="A414" s="712"/>
      <c r="B414" s="712"/>
      <c r="C414" s="712"/>
      <c r="D414" s="863"/>
      <c r="E414" s="706"/>
      <c r="F414" s="863"/>
      <c r="G414" s="706"/>
      <c r="H414" s="863"/>
      <c r="I414" s="706"/>
      <c r="J414" s="863"/>
      <c r="K414" s="706"/>
      <c r="L414" s="863"/>
      <c r="M414" s="706"/>
      <c r="N414" s="706"/>
      <c r="O414" s="863"/>
      <c r="P414" s="706"/>
      <c r="Q414" s="863"/>
      <c r="R414" s="706"/>
      <c r="S414" s="863"/>
      <c r="T414" s="706"/>
      <c r="U414" s="863"/>
      <c r="V414" s="706"/>
      <c r="W414" s="863"/>
      <c r="X414" s="706"/>
      <c r="Y414" s="706"/>
      <c r="Z414" s="727"/>
      <c r="AA414" s="706"/>
      <c r="AB414" s="727"/>
      <c r="AC414" s="706"/>
      <c r="AD414" s="727"/>
      <c r="AE414" s="706"/>
      <c r="AF414" s="727"/>
      <c r="AG414" s="706"/>
      <c r="AH414" s="727"/>
      <c r="AI414" s="706"/>
      <c r="AJ414" s="706"/>
      <c r="AK414" s="727"/>
      <c r="AL414" s="706"/>
      <c r="AM414" s="727"/>
      <c r="AN414" s="706"/>
      <c r="AO414" s="727"/>
      <c r="AP414" s="706"/>
      <c r="AQ414" s="727"/>
      <c r="AR414" s="706"/>
      <c r="AS414" s="727"/>
      <c r="AT414" s="706"/>
      <c r="AU414" s="706"/>
      <c r="AV414" s="727"/>
      <c r="AW414" s="706"/>
      <c r="AX414" s="727"/>
      <c r="AY414" s="706"/>
      <c r="AZ414" s="727"/>
      <c r="BA414" s="706"/>
      <c r="BB414" s="727"/>
      <c r="BC414" s="706"/>
      <c r="BD414" s="727"/>
      <c r="BE414" s="706"/>
    </row>
    <row r="415" spans="1:57" s="48" customFormat="1">
      <c r="A415" s="712"/>
      <c r="B415" s="712"/>
      <c r="C415" s="712"/>
      <c r="D415" s="863"/>
      <c r="E415" s="706"/>
      <c r="F415" s="863"/>
      <c r="G415" s="706"/>
      <c r="H415" s="863"/>
      <c r="I415" s="706"/>
      <c r="J415" s="863"/>
      <c r="K415" s="706"/>
      <c r="L415" s="863"/>
      <c r="M415" s="706"/>
      <c r="N415" s="706"/>
      <c r="O415" s="863"/>
      <c r="P415" s="706"/>
      <c r="Q415" s="863"/>
      <c r="R415" s="706"/>
      <c r="S415" s="863"/>
      <c r="T415" s="706"/>
      <c r="U415" s="863"/>
      <c r="V415" s="706"/>
      <c r="W415" s="863"/>
      <c r="X415" s="706"/>
      <c r="Y415" s="706"/>
      <c r="Z415" s="727"/>
      <c r="AA415" s="706"/>
      <c r="AB415" s="727"/>
      <c r="AC415" s="706"/>
      <c r="AD415" s="727"/>
      <c r="AE415" s="706"/>
      <c r="AF415" s="727"/>
      <c r="AG415" s="706"/>
      <c r="AH415" s="727"/>
      <c r="AI415" s="706"/>
      <c r="AJ415" s="706"/>
      <c r="AK415" s="727"/>
      <c r="AL415" s="706"/>
      <c r="AM415" s="727"/>
      <c r="AN415" s="706"/>
      <c r="AO415" s="727"/>
      <c r="AP415" s="706"/>
      <c r="AQ415" s="727"/>
      <c r="AR415" s="706"/>
      <c r="AS415" s="727"/>
      <c r="AT415" s="706"/>
      <c r="AU415" s="706"/>
      <c r="AV415" s="727"/>
      <c r="AW415" s="706"/>
      <c r="AX415" s="727"/>
      <c r="AY415" s="706"/>
      <c r="AZ415" s="727"/>
      <c r="BA415" s="706"/>
      <c r="BB415" s="727"/>
      <c r="BC415" s="706"/>
      <c r="BD415" s="727"/>
      <c r="BE415" s="706"/>
    </row>
    <row r="416" spans="1:57" s="48" customFormat="1">
      <c r="A416" s="712"/>
      <c r="B416" s="712"/>
      <c r="C416" s="712"/>
      <c r="D416" s="863"/>
      <c r="E416" s="706"/>
      <c r="F416" s="863"/>
      <c r="G416" s="706"/>
      <c r="H416" s="863"/>
      <c r="I416" s="706"/>
      <c r="J416" s="863"/>
      <c r="K416" s="706"/>
      <c r="L416" s="863"/>
      <c r="M416" s="706"/>
      <c r="N416" s="706"/>
      <c r="O416" s="863"/>
      <c r="P416" s="706"/>
      <c r="Q416" s="863"/>
      <c r="R416" s="706"/>
      <c r="S416" s="863"/>
      <c r="T416" s="706"/>
      <c r="U416" s="863"/>
      <c r="V416" s="706"/>
      <c r="W416" s="863"/>
      <c r="X416" s="706"/>
      <c r="Y416" s="706"/>
      <c r="Z416" s="727"/>
      <c r="AA416" s="706"/>
      <c r="AB416" s="727"/>
      <c r="AC416" s="706"/>
      <c r="AD416" s="727"/>
      <c r="AE416" s="706"/>
      <c r="AF416" s="727"/>
      <c r="AG416" s="706"/>
      <c r="AH416" s="727"/>
      <c r="AI416" s="706"/>
      <c r="AJ416" s="706"/>
      <c r="AK416" s="727"/>
      <c r="AL416" s="706"/>
      <c r="AM416" s="727"/>
      <c r="AN416" s="706"/>
      <c r="AO416" s="727"/>
      <c r="AP416" s="706"/>
      <c r="AQ416" s="727"/>
      <c r="AR416" s="706"/>
      <c r="AS416" s="727"/>
      <c r="AT416" s="706"/>
      <c r="AU416" s="706"/>
      <c r="AV416" s="727"/>
      <c r="AW416" s="706"/>
      <c r="AX416" s="727"/>
      <c r="AY416" s="706"/>
      <c r="AZ416" s="727"/>
      <c r="BA416" s="706"/>
      <c r="BB416" s="727"/>
      <c r="BC416" s="706"/>
      <c r="BD416" s="727"/>
      <c r="BE416" s="706"/>
    </row>
    <row r="417" spans="1:57" s="48" customFormat="1">
      <c r="A417" s="712"/>
      <c r="B417" s="712"/>
      <c r="C417" s="712"/>
      <c r="D417" s="863"/>
      <c r="E417" s="706"/>
      <c r="F417" s="863"/>
      <c r="G417" s="706"/>
      <c r="H417" s="863"/>
      <c r="I417" s="706"/>
      <c r="J417" s="863"/>
      <c r="K417" s="706"/>
      <c r="L417" s="863"/>
      <c r="M417" s="706"/>
      <c r="N417" s="706"/>
      <c r="O417" s="863"/>
      <c r="P417" s="706"/>
      <c r="Q417" s="863"/>
      <c r="R417" s="706"/>
      <c r="S417" s="863"/>
      <c r="T417" s="706"/>
      <c r="U417" s="863"/>
      <c r="V417" s="706"/>
      <c r="W417" s="863"/>
      <c r="X417" s="706"/>
      <c r="Y417" s="706"/>
      <c r="Z417" s="727"/>
      <c r="AA417" s="706"/>
      <c r="AB417" s="727"/>
      <c r="AC417" s="706"/>
      <c r="AD417" s="727"/>
      <c r="AE417" s="706"/>
      <c r="AF417" s="727"/>
      <c r="AG417" s="706"/>
      <c r="AH417" s="727"/>
      <c r="AI417" s="706"/>
      <c r="AJ417" s="706"/>
      <c r="AK417" s="727"/>
      <c r="AL417" s="706"/>
      <c r="AM417" s="727"/>
      <c r="AN417" s="706"/>
      <c r="AO417" s="727"/>
      <c r="AP417" s="706"/>
      <c r="AQ417" s="727"/>
      <c r="AR417" s="706"/>
      <c r="AS417" s="727"/>
      <c r="AT417" s="706"/>
      <c r="AU417" s="706"/>
      <c r="AV417" s="727"/>
      <c r="AW417" s="706"/>
      <c r="AX417" s="727"/>
      <c r="AY417" s="706"/>
      <c r="AZ417" s="727"/>
      <c r="BA417" s="706"/>
      <c r="BB417" s="727"/>
      <c r="BC417" s="706"/>
      <c r="BD417" s="727"/>
      <c r="BE417" s="706"/>
    </row>
    <row r="418" spans="1:57" s="48" customFormat="1">
      <c r="A418" s="712"/>
      <c r="B418" s="712"/>
      <c r="C418" s="712"/>
      <c r="D418" s="863"/>
      <c r="E418" s="706"/>
      <c r="F418" s="863"/>
      <c r="G418" s="706"/>
      <c r="H418" s="863"/>
      <c r="I418" s="706"/>
      <c r="J418" s="863"/>
      <c r="K418" s="706"/>
      <c r="L418" s="863"/>
      <c r="M418" s="706"/>
      <c r="N418" s="706"/>
      <c r="O418" s="863"/>
      <c r="P418" s="706"/>
      <c r="Q418" s="863"/>
      <c r="R418" s="706"/>
      <c r="S418" s="863"/>
      <c r="T418" s="706"/>
      <c r="U418" s="863"/>
      <c r="V418" s="706"/>
      <c r="W418" s="863"/>
      <c r="X418" s="706"/>
      <c r="Y418" s="706"/>
      <c r="Z418" s="727"/>
      <c r="AA418" s="706"/>
      <c r="AB418" s="727"/>
      <c r="AC418" s="706"/>
      <c r="AD418" s="727"/>
      <c r="AE418" s="706"/>
      <c r="AF418" s="727"/>
      <c r="AG418" s="706"/>
      <c r="AH418" s="727"/>
      <c r="AI418" s="706"/>
      <c r="AJ418" s="706"/>
      <c r="AK418" s="727"/>
      <c r="AL418" s="706"/>
      <c r="AM418" s="727"/>
      <c r="AN418" s="706"/>
      <c r="AO418" s="727"/>
      <c r="AP418" s="706"/>
      <c r="AQ418" s="727"/>
      <c r="AR418" s="706"/>
      <c r="AS418" s="727"/>
      <c r="AT418" s="706"/>
      <c r="AU418" s="706"/>
      <c r="AV418" s="727"/>
      <c r="AW418" s="706"/>
      <c r="AX418" s="727"/>
      <c r="AY418" s="706"/>
      <c r="AZ418" s="727"/>
      <c r="BA418" s="706"/>
      <c r="BB418" s="727"/>
      <c r="BC418" s="706"/>
      <c r="BD418" s="727"/>
      <c r="BE418" s="706"/>
    </row>
    <row r="419" spans="1:57" s="48" customFormat="1">
      <c r="A419" s="712"/>
      <c r="B419" s="712"/>
      <c r="C419" s="712"/>
      <c r="D419" s="863"/>
      <c r="E419" s="706"/>
      <c r="F419" s="863"/>
      <c r="G419" s="706"/>
      <c r="H419" s="863"/>
      <c r="I419" s="706"/>
      <c r="J419" s="863"/>
      <c r="K419" s="706"/>
      <c r="L419" s="863"/>
      <c r="M419" s="706"/>
      <c r="N419" s="706"/>
      <c r="O419" s="863"/>
      <c r="P419" s="706"/>
      <c r="Q419" s="863"/>
      <c r="R419" s="706"/>
      <c r="S419" s="863"/>
      <c r="T419" s="706"/>
      <c r="U419" s="863"/>
      <c r="V419" s="706"/>
      <c r="W419" s="863"/>
      <c r="X419" s="706"/>
      <c r="Y419" s="706"/>
      <c r="Z419" s="727"/>
      <c r="AA419" s="706"/>
      <c r="AB419" s="727"/>
      <c r="AC419" s="706"/>
      <c r="AD419" s="727"/>
      <c r="AE419" s="706"/>
      <c r="AF419" s="727"/>
      <c r="AG419" s="706"/>
      <c r="AH419" s="727"/>
      <c r="AI419" s="706"/>
      <c r="AJ419" s="706"/>
      <c r="AK419" s="727"/>
      <c r="AL419" s="706"/>
      <c r="AM419" s="727"/>
      <c r="AN419" s="706"/>
      <c r="AO419" s="727"/>
      <c r="AP419" s="706"/>
      <c r="AQ419" s="727"/>
      <c r="AR419" s="706"/>
      <c r="AS419" s="727"/>
      <c r="AT419" s="706"/>
      <c r="AU419" s="706"/>
      <c r="AV419" s="727"/>
      <c r="AW419" s="706"/>
      <c r="AX419" s="727"/>
      <c r="AY419" s="706"/>
      <c r="AZ419" s="727"/>
      <c r="BA419" s="706"/>
      <c r="BB419" s="727"/>
      <c r="BC419" s="706"/>
      <c r="BD419" s="727"/>
      <c r="BE419" s="706"/>
    </row>
    <row r="420" spans="1:57" s="48" customFormat="1">
      <c r="A420" s="712"/>
      <c r="B420" s="712"/>
      <c r="C420" s="712"/>
      <c r="D420" s="863"/>
      <c r="E420" s="706"/>
      <c r="F420" s="863"/>
      <c r="G420" s="706"/>
      <c r="H420" s="863"/>
      <c r="I420" s="706"/>
      <c r="J420" s="863"/>
      <c r="K420" s="706"/>
      <c r="L420" s="863"/>
      <c r="M420" s="706"/>
      <c r="N420" s="706"/>
      <c r="O420" s="863"/>
      <c r="P420" s="706"/>
      <c r="Q420" s="863"/>
      <c r="R420" s="706"/>
      <c r="S420" s="863"/>
      <c r="T420" s="706"/>
      <c r="U420" s="863"/>
      <c r="V420" s="706"/>
      <c r="W420" s="863"/>
      <c r="X420" s="706"/>
      <c r="Y420" s="706"/>
      <c r="Z420" s="727"/>
      <c r="AA420" s="706"/>
      <c r="AB420" s="727"/>
      <c r="AC420" s="706"/>
      <c r="AD420" s="727"/>
      <c r="AE420" s="706"/>
      <c r="AF420" s="727"/>
      <c r="AG420" s="706"/>
      <c r="AH420" s="727"/>
      <c r="AI420" s="706"/>
      <c r="AJ420" s="706"/>
      <c r="AK420" s="727"/>
      <c r="AL420" s="706"/>
      <c r="AM420" s="727"/>
      <c r="AN420" s="706"/>
      <c r="AO420" s="727"/>
      <c r="AP420" s="706"/>
      <c r="AQ420" s="727"/>
      <c r="AR420" s="706"/>
      <c r="AS420" s="727"/>
      <c r="AT420" s="706"/>
      <c r="AU420" s="706"/>
      <c r="AV420" s="727"/>
      <c r="AW420" s="706"/>
      <c r="AX420" s="727"/>
      <c r="AY420" s="706"/>
      <c r="AZ420" s="727"/>
      <c r="BA420" s="706"/>
      <c r="BB420" s="727"/>
      <c r="BC420" s="706"/>
      <c r="BD420" s="727"/>
      <c r="BE420" s="706"/>
    </row>
    <row r="421" spans="1:57" s="48" customFormat="1">
      <c r="A421" s="712"/>
      <c r="B421" s="712"/>
      <c r="C421" s="712"/>
      <c r="D421" s="863"/>
      <c r="E421" s="706"/>
      <c r="F421" s="863"/>
      <c r="G421" s="706"/>
      <c r="H421" s="863"/>
      <c r="I421" s="706"/>
      <c r="J421" s="863"/>
      <c r="K421" s="706"/>
      <c r="L421" s="863"/>
      <c r="M421" s="706"/>
      <c r="N421" s="706"/>
      <c r="O421" s="863"/>
      <c r="P421" s="706"/>
      <c r="Q421" s="863"/>
      <c r="R421" s="706"/>
      <c r="S421" s="863"/>
      <c r="T421" s="706"/>
      <c r="U421" s="863"/>
      <c r="V421" s="706"/>
      <c r="W421" s="863"/>
      <c r="X421" s="706"/>
      <c r="Y421" s="706"/>
      <c r="Z421" s="727"/>
      <c r="AA421" s="706"/>
      <c r="AB421" s="727"/>
      <c r="AC421" s="706"/>
      <c r="AD421" s="727"/>
      <c r="AE421" s="706"/>
      <c r="AF421" s="727"/>
      <c r="AG421" s="706"/>
      <c r="AH421" s="727"/>
      <c r="AI421" s="706"/>
      <c r="AJ421" s="706"/>
      <c r="AK421" s="727"/>
      <c r="AL421" s="706"/>
      <c r="AM421" s="727"/>
      <c r="AN421" s="706"/>
      <c r="AO421" s="727"/>
      <c r="AP421" s="706"/>
      <c r="AQ421" s="727"/>
      <c r="AR421" s="706"/>
      <c r="AS421" s="727"/>
      <c r="AT421" s="706"/>
      <c r="AU421" s="706"/>
      <c r="AV421" s="727"/>
      <c r="AW421" s="706"/>
      <c r="AX421" s="727"/>
      <c r="AY421" s="706"/>
      <c r="AZ421" s="727"/>
      <c r="BA421" s="706"/>
      <c r="BB421" s="727"/>
      <c r="BC421" s="706"/>
      <c r="BD421" s="727"/>
      <c r="BE421" s="706"/>
    </row>
    <row r="422" spans="1:57" s="48" customFormat="1">
      <c r="D422" s="863"/>
      <c r="E422" s="706"/>
      <c r="F422" s="863"/>
      <c r="G422" s="706"/>
      <c r="H422" s="863"/>
      <c r="I422" s="706"/>
      <c r="J422" s="863"/>
      <c r="K422" s="706"/>
      <c r="L422" s="863"/>
      <c r="M422" s="706"/>
      <c r="N422" s="706"/>
      <c r="O422" s="863"/>
      <c r="P422" s="706"/>
      <c r="Q422" s="863"/>
      <c r="R422" s="706"/>
      <c r="S422" s="863"/>
      <c r="T422" s="706"/>
      <c r="U422" s="863"/>
      <c r="V422" s="706"/>
      <c r="W422" s="863"/>
      <c r="X422" s="706"/>
      <c r="Y422" s="706"/>
      <c r="Z422" s="727"/>
      <c r="AA422" s="706"/>
      <c r="AB422" s="727"/>
      <c r="AC422" s="706"/>
      <c r="AD422" s="727"/>
      <c r="AE422" s="706"/>
      <c r="AF422" s="727"/>
      <c r="AG422" s="706"/>
      <c r="AH422" s="727"/>
      <c r="AI422" s="706"/>
      <c r="AJ422" s="706"/>
      <c r="AK422" s="727"/>
      <c r="AL422" s="706"/>
      <c r="AM422" s="727"/>
      <c r="AN422" s="706"/>
      <c r="AO422" s="727"/>
      <c r="AP422" s="706"/>
      <c r="AQ422" s="727"/>
      <c r="AR422" s="706"/>
      <c r="AS422" s="727"/>
      <c r="AT422" s="706"/>
      <c r="AU422" s="706"/>
      <c r="AV422" s="727"/>
      <c r="AW422" s="706"/>
      <c r="AX422" s="727"/>
      <c r="AY422" s="706"/>
      <c r="AZ422" s="727"/>
      <c r="BA422" s="706"/>
      <c r="BB422" s="727"/>
      <c r="BC422" s="706"/>
      <c r="BD422" s="727"/>
      <c r="BE422" s="706"/>
    </row>
    <row r="423" spans="1:57" s="48" customFormat="1">
      <c r="D423" s="863"/>
      <c r="E423" s="706"/>
      <c r="F423" s="863"/>
      <c r="G423" s="706"/>
      <c r="H423" s="863"/>
      <c r="I423" s="706"/>
      <c r="J423" s="863"/>
      <c r="K423" s="706"/>
      <c r="L423" s="863"/>
      <c r="M423" s="706"/>
      <c r="N423" s="706"/>
      <c r="O423" s="863"/>
      <c r="P423" s="706"/>
      <c r="Q423" s="863"/>
      <c r="R423" s="706"/>
      <c r="S423" s="863"/>
      <c r="T423" s="706"/>
      <c r="U423" s="863"/>
      <c r="V423" s="706"/>
      <c r="W423" s="863"/>
      <c r="X423" s="706"/>
      <c r="Y423" s="706"/>
      <c r="Z423" s="727"/>
      <c r="AA423" s="706"/>
      <c r="AB423" s="727"/>
      <c r="AC423" s="706"/>
      <c r="AD423" s="727"/>
      <c r="AE423" s="706"/>
      <c r="AF423" s="727"/>
      <c r="AG423" s="706"/>
      <c r="AH423" s="727"/>
      <c r="AI423" s="706"/>
      <c r="AJ423" s="706"/>
      <c r="AK423" s="727"/>
      <c r="AL423" s="706"/>
      <c r="AM423" s="727"/>
      <c r="AN423" s="706"/>
      <c r="AO423" s="727"/>
      <c r="AP423" s="706"/>
      <c r="AQ423" s="727"/>
      <c r="AR423" s="706"/>
      <c r="AS423" s="727"/>
      <c r="AT423" s="706"/>
      <c r="AU423" s="706"/>
      <c r="AV423" s="727"/>
      <c r="AW423" s="706"/>
      <c r="AX423" s="727"/>
      <c r="AY423" s="706"/>
      <c r="AZ423" s="727"/>
      <c r="BA423" s="706"/>
      <c r="BB423" s="727"/>
      <c r="BC423" s="706"/>
      <c r="BD423" s="727"/>
      <c r="BE423" s="706"/>
    </row>
    <row r="424" spans="1:57" s="48" customFormat="1">
      <c r="D424" s="863"/>
      <c r="E424" s="706"/>
      <c r="F424" s="863"/>
      <c r="G424" s="706"/>
      <c r="H424" s="863"/>
      <c r="I424" s="706"/>
      <c r="J424" s="863"/>
      <c r="K424" s="706"/>
      <c r="L424" s="863"/>
      <c r="M424" s="706"/>
      <c r="N424" s="706"/>
      <c r="O424" s="863"/>
      <c r="P424" s="706"/>
      <c r="Q424" s="863"/>
      <c r="R424" s="706"/>
      <c r="S424" s="863"/>
      <c r="T424" s="706"/>
      <c r="U424" s="863"/>
      <c r="V424" s="706"/>
      <c r="W424" s="863"/>
      <c r="X424" s="706"/>
      <c r="Y424" s="706"/>
      <c r="Z424" s="727"/>
      <c r="AA424" s="706"/>
      <c r="AB424" s="727"/>
      <c r="AC424" s="706"/>
      <c r="AD424" s="727"/>
      <c r="AE424" s="706"/>
      <c r="AF424" s="727"/>
      <c r="AG424" s="706"/>
      <c r="AH424" s="727"/>
      <c r="AI424" s="706"/>
      <c r="AJ424" s="706"/>
      <c r="AK424" s="727"/>
      <c r="AL424" s="706"/>
      <c r="AM424" s="727"/>
      <c r="AN424" s="706"/>
      <c r="AO424" s="727"/>
      <c r="AP424" s="706"/>
      <c r="AQ424" s="727"/>
      <c r="AR424" s="706"/>
      <c r="AS424" s="727"/>
      <c r="AT424" s="706"/>
      <c r="AU424" s="706"/>
      <c r="AV424" s="727"/>
      <c r="AW424" s="706"/>
      <c r="AX424" s="727"/>
      <c r="AY424" s="706"/>
      <c r="AZ424" s="727"/>
      <c r="BA424" s="706"/>
      <c r="BB424" s="727"/>
      <c r="BC424" s="706"/>
      <c r="BD424" s="727"/>
      <c r="BE424" s="706"/>
    </row>
    <row r="425" spans="1:57" s="48" customFormat="1">
      <c r="D425" s="863"/>
      <c r="E425" s="706"/>
      <c r="F425" s="863"/>
      <c r="G425" s="706"/>
      <c r="H425" s="863"/>
      <c r="I425" s="706"/>
      <c r="J425" s="863"/>
      <c r="K425" s="706"/>
      <c r="L425" s="863"/>
      <c r="M425" s="706"/>
      <c r="N425" s="706"/>
      <c r="O425" s="863"/>
      <c r="P425" s="706"/>
      <c r="Q425" s="863"/>
      <c r="R425" s="706"/>
      <c r="S425" s="863"/>
      <c r="T425" s="706"/>
      <c r="U425" s="863"/>
      <c r="V425" s="706"/>
      <c r="W425" s="863"/>
      <c r="X425" s="706"/>
      <c r="Y425" s="706"/>
      <c r="Z425" s="727"/>
      <c r="AA425" s="706"/>
      <c r="AB425" s="727"/>
      <c r="AC425" s="706"/>
      <c r="AD425" s="727"/>
      <c r="AE425" s="706"/>
      <c r="AF425" s="727"/>
      <c r="AG425" s="706"/>
      <c r="AH425" s="727"/>
      <c r="AI425" s="706"/>
      <c r="AJ425" s="706"/>
      <c r="AK425" s="727"/>
      <c r="AL425" s="706"/>
      <c r="AM425" s="727"/>
      <c r="AN425" s="706"/>
      <c r="AO425" s="727"/>
      <c r="AP425" s="706"/>
      <c r="AQ425" s="727"/>
      <c r="AR425" s="706"/>
      <c r="AS425" s="727"/>
      <c r="AT425" s="706"/>
      <c r="AU425" s="706"/>
      <c r="AV425" s="727"/>
      <c r="AW425" s="706"/>
      <c r="AX425" s="727"/>
      <c r="AY425" s="706"/>
      <c r="AZ425" s="727"/>
      <c r="BA425" s="706"/>
      <c r="BB425" s="727"/>
      <c r="BC425" s="706"/>
      <c r="BD425" s="727"/>
      <c r="BE425" s="706"/>
    </row>
    <row r="426" spans="1:57" s="48" customFormat="1">
      <c r="D426" s="863"/>
      <c r="E426" s="706"/>
      <c r="F426" s="863"/>
      <c r="G426" s="706"/>
      <c r="H426" s="863"/>
      <c r="I426" s="706"/>
      <c r="J426" s="863"/>
      <c r="K426" s="706"/>
      <c r="L426" s="863"/>
      <c r="M426" s="706"/>
      <c r="N426" s="706"/>
      <c r="O426" s="863"/>
      <c r="P426" s="706"/>
      <c r="Q426" s="863"/>
      <c r="R426" s="706"/>
      <c r="S426" s="863"/>
      <c r="T426" s="706"/>
      <c r="U426" s="863"/>
      <c r="V426" s="706"/>
      <c r="W426" s="863"/>
      <c r="X426" s="706"/>
      <c r="Y426" s="706"/>
      <c r="Z426" s="727"/>
      <c r="AA426" s="706"/>
      <c r="AB426" s="727"/>
      <c r="AC426" s="706"/>
      <c r="AD426" s="727"/>
      <c r="AE426" s="706"/>
      <c r="AF426" s="727"/>
      <c r="AG426" s="706"/>
      <c r="AH426" s="727"/>
      <c r="AI426" s="706"/>
      <c r="AJ426" s="706"/>
      <c r="AK426" s="727"/>
      <c r="AL426" s="706"/>
      <c r="AM426" s="727"/>
      <c r="AN426" s="706"/>
      <c r="AO426" s="727"/>
      <c r="AP426" s="706"/>
      <c r="AQ426" s="727"/>
      <c r="AR426" s="706"/>
      <c r="AS426" s="727"/>
      <c r="AT426" s="706"/>
      <c r="AU426" s="706"/>
      <c r="AV426" s="727"/>
      <c r="AW426" s="706"/>
      <c r="AX426" s="727"/>
      <c r="AY426" s="706"/>
      <c r="AZ426" s="727"/>
      <c r="BA426" s="706"/>
      <c r="BB426" s="727"/>
      <c r="BC426" s="706"/>
      <c r="BD426" s="727"/>
      <c r="BE426" s="706"/>
    </row>
    <row r="427" spans="1:57" s="48" customFormat="1">
      <c r="D427" s="863"/>
      <c r="E427" s="706"/>
      <c r="F427" s="863"/>
      <c r="G427" s="706"/>
      <c r="H427" s="863"/>
      <c r="I427" s="706"/>
      <c r="J427" s="863"/>
      <c r="K427" s="706"/>
      <c r="L427" s="863"/>
      <c r="M427" s="706"/>
      <c r="N427" s="706"/>
      <c r="O427" s="863"/>
      <c r="P427" s="706"/>
      <c r="Q427" s="863"/>
      <c r="R427" s="706"/>
      <c r="S427" s="863"/>
      <c r="T427" s="706"/>
      <c r="U427" s="863"/>
      <c r="V427" s="706"/>
      <c r="W427" s="863"/>
      <c r="X427" s="706"/>
      <c r="Y427" s="706"/>
      <c r="Z427" s="727"/>
      <c r="AA427" s="706"/>
      <c r="AB427" s="727"/>
      <c r="AC427" s="706"/>
      <c r="AD427" s="727"/>
      <c r="AE427" s="706"/>
      <c r="AF427" s="727"/>
      <c r="AG427" s="706"/>
      <c r="AH427" s="727"/>
      <c r="AI427" s="706"/>
      <c r="AJ427" s="706"/>
      <c r="AK427" s="727"/>
      <c r="AL427" s="706"/>
      <c r="AM427" s="727"/>
      <c r="AN427" s="706"/>
      <c r="AO427" s="727"/>
      <c r="AP427" s="706"/>
      <c r="AQ427" s="727"/>
      <c r="AR427" s="706"/>
      <c r="AS427" s="727"/>
      <c r="AT427" s="706"/>
      <c r="AU427" s="706"/>
      <c r="AV427" s="727"/>
      <c r="AW427" s="706"/>
      <c r="AX427" s="727"/>
      <c r="AY427" s="706"/>
      <c r="AZ427" s="727"/>
      <c r="BA427" s="706"/>
      <c r="BB427" s="727"/>
      <c r="BC427" s="706"/>
      <c r="BD427" s="727"/>
      <c r="BE427" s="706"/>
    </row>
    <row r="428" spans="1:57" s="48" customFormat="1">
      <c r="D428" s="863"/>
      <c r="E428" s="706"/>
      <c r="F428" s="863"/>
      <c r="G428" s="706"/>
      <c r="H428" s="863"/>
      <c r="I428" s="706"/>
      <c r="J428" s="863"/>
      <c r="K428" s="706"/>
      <c r="L428" s="863"/>
      <c r="M428" s="706"/>
      <c r="N428" s="706"/>
      <c r="O428" s="863"/>
      <c r="P428" s="706"/>
      <c r="Q428" s="863"/>
      <c r="R428" s="706"/>
      <c r="S428" s="863"/>
      <c r="T428" s="706"/>
      <c r="U428" s="863"/>
      <c r="V428" s="706"/>
      <c r="W428" s="863"/>
      <c r="X428" s="706"/>
      <c r="Y428" s="706"/>
      <c r="Z428" s="727"/>
      <c r="AA428" s="706"/>
      <c r="AB428" s="727"/>
      <c r="AC428" s="706"/>
      <c r="AD428" s="727"/>
      <c r="AE428" s="706"/>
      <c r="AF428" s="727"/>
      <c r="AG428" s="706"/>
      <c r="AH428" s="727"/>
      <c r="AI428" s="706"/>
      <c r="AJ428" s="706"/>
      <c r="AK428" s="727"/>
      <c r="AL428" s="706"/>
      <c r="AM428" s="727"/>
      <c r="AN428" s="706"/>
      <c r="AO428" s="727"/>
      <c r="AP428" s="706"/>
      <c r="AQ428" s="727"/>
      <c r="AR428" s="706"/>
      <c r="AS428" s="727"/>
      <c r="AT428" s="706"/>
      <c r="AU428" s="706"/>
      <c r="AV428" s="727"/>
      <c r="AW428" s="706"/>
      <c r="AX428" s="727"/>
      <c r="AY428" s="706"/>
      <c r="AZ428" s="727"/>
      <c r="BA428" s="706"/>
      <c r="BB428" s="727"/>
      <c r="BC428" s="706"/>
      <c r="BD428" s="727"/>
      <c r="BE428" s="706"/>
    </row>
    <row r="429" spans="1:57" s="48" customFormat="1">
      <c r="D429" s="863"/>
      <c r="E429" s="706"/>
      <c r="F429" s="863"/>
      <c r="G429" s="706"/>
      <c r="H429" s="863"/>
      <c r="I429" s="706"/>
      <c r="J429" s="863"/>
      <c r="K429" s="706"/>
      <c r="L429" s="863"/>
      <c r="M429" s="706"/>
      <c r="N429" s="706"/>
      <c r="O429" s="863"/>
      <c r="P429" s="706"/>
      <c r="Q429" s="863"/>
      <c r="R429" s="706"/>
      <c r="S429" s="863"/>
      <c r="T429" s="706"/>
      <c r="U429" s="863"/>
      <c r="V429" s="706"/>
      <c r="W429" s="863"/>
      <c r="X429" s="706"/>
      <c r="Y429" s="706"/>
      <c r="Z429" s="727"/>
      <c r="AA429" s="706"/>
      <c r="AB429" s="727"/>
      <c r="AC429" s="706"/>
      <c r="AD429" s="727"/>
      <c r="AE429" s="706"/>
      <c r="AF429" s="727"/>
      <c r="AG429" s="706"/>
      <c r="AH429" s="727"/>
      <c r="AI429" s="706"/>
      <c r="AJ429" s="706"/>
      <c r="AK429" s="727"/>
      <c r="AL429" s="706"/>
      <c r="AM429" s="727"/>
      <c r="AN429" s="706"/>
      <c r="AO429" s="727"/>
      <c r="AP429" s="706"/>
      <c r="AQ429" s="727"/>
      <c r="AR429" s="706"/>
      <c r="AS429" s="727"/>
      <c r="AT429" s="706"/>
      <c r="AU429" s="706"/>
      <c r="AV429" s="727"/>
      <c r="AW429" s="706"/>
      <c r="AX429" s="727"/>
      <c r="AY429" s="706"/>
      <c r="AZ429" s="727"/>
      <c r="BA429" s="706"/>
      <c r="BB429" s="727"/>
      <c r="BC429" s="706"/>
      <c r="BD429" s="727"/>
      <c r="BE429" s="706"/>
    </row>
    <row r="430" spans="1:57" s="48" customFormat="1">
      <c r="D430" s="863"/>
      <c r="E430" s="706"/>
      <c r="F430" s="863"/>
      <c r="G430" s="706"/>
      <c r="H430" s="863"/>
      <c r="I430" s="706"/>
      <c r="J430" s="863"/>
      <c r="K430" s="706"/>
      <c r="L430" s="863"/>
      <c r="M430" s="706"/>
      <c r="N430" s="706"/>
      <c r="O430" s="863"/>
      <c r="P430" s="706"/>
      <c r="Q430" s="863"/>
      <c r="R430" s="706"/>
      <c r="S430" s="863"/>
      <c r="T430" s="706"/>
      <c r="U430" s="863"/>
      <c r="V430" s="706"/>
      <c r="W430" s="863"/>
      <c r="X430" s="706"/>
      <c r="Y430" s="706"/>
      <c r="Z430" s="727"/>
      <c r="AA430" s="706"/>
      <c r="AB430" s="727"/>
      <c r="AC430" s="706"/>
      <c r="AD430" s="727"/>
      <c r="AE430" s="706"/>
      <c r="AF430" s="727"/>
      <c r="AG430" s="706"/>
      <c r="AH430" s="727"/>
      <c r="AI430" s="706"/>
      <c r="AJ430" s="706"/>
      <c r="AK430" s="727"/>
      <c r="AL430" s="706"/>
      <c r="AM430" s="727"/>
      <c r="AN430" s="706"/>
      <c r="AO430" s="727"/>
      <c r="AP430" s="706"/>
      <c r="AQ430" s="727"/>
      <c r="AR430" s="706"/>
      <c r="AS430" s="727"/>
      <c r="AT430" s="706"/>
      <c r="AU430" s="706"/>
      <c r="AV430" s="727"/>
      <c r="AW430" s="706"/>
      <c r="AX430" s="727"/>
      <c r="AY430" s="706"/>
      <c r="AZ430" s="727"/>
      <c r="BA430" s="706"/>
      <c r="BB430" s="727"/>
      <c r="BC430" s="706"/>
      <c r="BD430" s="727"/>
      <c r="BE430" s="706"/>
    </row>
    <row r="431" spans="1:57" s="48" customFormat="1">
      <c r="D431" s="863"/>
      <c r="E431" s="706"/>
      <c r="F431" s="863"/>
      <c r="G431" s="706"/>
      <c r="H431" s="863"/>
      <c r="I431" s="706"/>
      <c r="J431" s="863"/>
      <c r="K431" s="706"/>
      <c r="L431" s="863"/>
      <c r="M431" s="706"/>
      <c r="N431" s="706"/>
      <c r="O431" s="863"/>
      <c r="P431" s="706"/>
      <c r="Q431" s="863"/>
      <c r="R431" s="706"/>
      <c r="S431" s="863"/>
      <c r="T431" s="706"/>
      <c r="U431" s="863"/>
      <c r="V431" s="706"/>
      <c r="W431" s="863"/>
      <c r="X431" s="706"/>
      <c r="Y431" s="706"/>
      <c r="Z431" s="727"/>
      <c r="AA431" s="706"/>
      <c r="AB431" s="727"/>
      <c r="AC431" s="706"/>
      <c r="AD431" s="727"/>
      <c r="AE431" s="706"/>
      <c r="AF431" s="727"/>
      <c r="AG431" s="706"/>
      <c r="AH431" s="727"/>
      <c r="AI431" s="706"/>
      <c r="AJ431" s="706"/>
      <c r="AK431" s="727"/>
      <c r="AL431" s="706"/>
      <c r="AM431" s="727"/>
      <c r="AN431" s="706"/>
      <c r="AO431" s="727"/>
      <c r="AP431" s="706"/>
      <c r="AQ431" s="727"/>
      <c r="AR431" s="706"/>
      <c r="AS431" s="727"/>
      <c r="AT431" s="706"/>
      <c r="AU431" s="706"/>
      <c r="AV431" s="727"/>
      <c r="AW431" s="706"/>
      <c r="AX431" s="727"/>
      <c r="AY431" s="706"/>
      <c r="AZ431" s="727"/>
      <c r="BA431" s="706"/>
      <c r="BB431" s="727"/>
      <c r="BC431" s="706"/>
      <c r="BD431" s="727"/>
      <c r="BE431" s="706"/>
    </row>
    <row r="432" spans="1:57" s="48" customFormat="1">
      <c r="D432" s="863"/>
      <c r="E432" s="706"/>
      <c r="F432" s="863"/>
      <c r="G432" s="706"/>
      <c r="H432" s="863"/>
      <c r="I432" s="706"/>
      <c r="J432" s="863"/>
      <c r="K432" s="706"/>
      <c r="L432" s="863"/>
      <c r="M432" s="706"/>
      <c r="N432" s="706"/>
      <c r="O432" s="863"/>
      <c r="P432" s="706"/>
      <c r="Q432" s="863"/>
      <c r="R432" s="706"/>
      <c r="S432" s="863"/>
      <c r="T432" s="706"/>
      <c r="U432" s="863"/>
      <c r="V432" s="706"/>
      <c r="W432" s="863"/>
      <c r="X432" s="706"/>
      <c r="Y432" s="706"/>
      <c r="Z432" s="727"/>
      <c r="AA432" s="706"/>
      <c r="AB432" s="727"/>
      <c r="AC432" s="706"/>
      <c r="AD432" s="727"/>
      <c r="AE432" s="706"/>
      <c r="AF432" s="727"/>
      <c r="AG432" s="706"/>
      <c r="AH432" s="727"/>
      <c r="AI432" s="706"/>
      <c r="AJ432" s="706"/>
      <c r="AK432" s="727"/>
      <c r="AL432" s="706"/>
      <c r="AM432" s="727"/>
      <c r="AN432" s="706"/>
      <c r="AO432" s="727"/>
      <c r="AP432" s="706"/>
      <c r="AQ432" s="727"/>
      <c r="AR432" s="706"/>
      <c r="AS432" s="727"/>
      <c r="AT432" s="706"/>
      <c r="AU432" s="706"/>
      <c r="AV432" s="727"/>
      <c r="AW432" s="706"/>
      <c r="AX432" s="727"/>
      <c r="AY432" s="706"/>
      <c r="AZ432" s="727"/>
      <c r="BA432" s="706"/>
      <c r="BB432" s="727"/>
      <c r="BC432" s="706"/>
      <c r="BD432" s="727"/>
      <c r="BE432" s="706"/>
    </row>
    <row r="433" spans="4:57" s="48" customFormat="1">
      <c r="D433" s="863"/>
      <c r="E433" s="706"/>
      <c r="F433" s="863"/>
      <c r="G433" s="706"/>
      <c r="H433" s="863"/>
      <c r="I433" s="706"/>
      <c r="J433" s="863"/>
      <c r="K433" s="706"/>
      <c r="L433" s="863"/>
      <c r="M433" s="706"/>
      <c r="N433" s="706"/>
      <c r="O433" s="863"/>
      <c r="P433" s="706"/>
      <c r="Q433" s="863"/>
      <c r="R433" s="706"/>
      <c r="S433" s="863"/>
      <c r="T433" s="706"/>
      <c r="U433" s="863"/>
      <c r="V433" s="706"/>
      <c r="W433" s="863"/>
      <c r="X433" s="706"/>
      <c r="Y433" s="706"/>
      <c r="Z433" s="727"/>
      <c r="AA433" s="706"/>
      <c r="AB433" s="727"/>
      <c r="AC433" s="706"/>
      <c r="AD433" s="727"/>
      <c r="AE433" s="706"/>
      <c r="AF433" s="727"/>
      <c r="AG433" s="706"/>
      <c r="AH433" s="727"/>
      <c r="AI433" s="706"/>
      <c r="AJ433" s="706"/>
      <c r="AK433" s="727"/>
      <c r="AL433" s="706"/>
      <c r="AM433" s="727"/>
      <c r="AN433" s="706"/>
      <c r="AO433" s="727"/>
      <c r="AP433" s="706"/>
      <c r="AQ433" s="727"/>
      <c r="AR433" s="706"/>
      <c r="AS433" s="727"/>
      <c r="AT433" s="706"/>
      <c r="AU433" s="706"/>
      <c r="AV433" s="727"/>
      <c r="AW433" s="706"/>
      <c r="AX433" s="727"/>
      <c r="AY433" s="706"/>
      <c r="AZ433" s="727"/>
      <c r="BA433" s="706"/>
      <c r="BB433" s="727"/>
      <c r="BC433" s="706"/>
      <c r="BD433" s="727"/>
      <c r="BE433" s="706"/>
    </row>
    <row r="434" spans="4:57" s="48" customFormat="1">
      <c r="D434" s="863"/>
      <c r="E434" s="706"/>
      <c r="F434" s="863"/>
      <c r="G434" s="706"/>
      <c r="H434" s="863"/>
      <c r="I434" s="706"/>
      <c r="J434" s="863"/>
      <c r="K434" s="706"/>
      <c r="L434" s="863"/>
      <c r="M434" s="706"/>
      <c r="N434" s="706"/>
      <c r="O434" s="863"/>
      <c r="P434" s="706"/>
      <c r="Q434" s="863"/>
      <c r="R434" s="706"/>
      <c r="S434" s="863"/>
      <c r="T434" s="706"/>
      <c r="U434" s="863"/>
      <c r="V434" s="706"/>
      <c r="W434" s="863"/>
      <c r="X434" s="706"/>
      <c r="Y434" s="706"/>
      <c r="Z434" s="727"/>
      <c r="AA434" s="706"/>
      <c r="AB434" s="727"/>
      <c r="AC434" s="706"/>
      <c r="AD434" s="727"/>
      <c r="AE434" s="706"/>
      <c r="AF434" s="727"/>
      <c r="AG434" s="706"/>
      <c r="AH434" s="727"/>
      <c r="AI434" s="706"/>
      <c r="AJ434" s="706"/>
      <c r="AK434" s="727"/>
      <c r="AL434" s="706"/>
      <c r="AM434" s="727"/>
      <c r="AN434" s="706"/>
      <c r="AO434" s="727"/>
      <c r="AP434" s="706"/>
      <c r="AQ434" s="727"/>
      <c r="AR434" s="706"/>
      <c r="AS434" s="727"/>
      <c r="AT434" s="706"/>
      <c r="AU434" s="706"/>
      <c r="AV434" s="727"/>
      <c r="AW434" s="706"/>
      <c r="AX434" s="727"/>
      <c r="AY434" s="706"/>
      <c r="AZ434" s="727"/>
      <c r="BA434" s="706"/>
      <c r="BB434" s="727"/>
      <c r="BC434" s="706"/>
      <c r="BD434" s="727"/>
      <c r="BE434" s="706"/>
    </row>
    <row r="435" spans="4:57" s="48" customFormat="1">
      <c r="D435" s="863"/>
      <c r="E435" s="706"/>
      <c r="F435" s="863"/>
      <c r="G435" s="706"/>
      <c r="H435" s="863"/>
      <c r="I435" s="706"/>
      <c r="J435" s="863"/>
      <c r="K435" s="706"/>
      <c r="L435" s="863"/>
      <c r="M435" s="706"/>
      <c r="N435" s="706"/>
      <c r="O435" s="863"/>
      <c r="P435" s="706"/>
      <c r="Q435" s="863"/>
      <c r="R435" s="706"/>
      <c r="S435" s="863"/>
      <c r="T435" s="706"/>
      <c r="U435" s="863"/>
      <c r="V435" s="706"/>
      <c r="W435" s="863"/>
      <c r="X435" s="706"/>
      <c r="Y435" s="706"/>
      <c r="Z435" s="727"/>
      <c r="AA435" s="706"/>
      <c r="AB435" s="727"/>
      <c r="AC435" s="706"/>
      <c r="AD435" s="727"/>
      <c r="AE435" s="706"/>
      <c r="AF435" s="727"/>
      <c r="AG435" s="706"/>
      <c r="AH435" s="727"/>
      <c r="AI435" s="706"/>
      <c r="AJ435" s="706"/>
      <c r="AK435" s="727"/>
      <c r="AL435" s="706"/>
      <c r="AM435" s="727"/>
      <c r="AN435" s="706"/>
      <c r="AO435" s="727"/>
      <c r="AP435" s="706"/>
      <c r="AQ435" s="727"/>
      <c r="AR435" s="706"/>
      <c r="AS435" s="727"/>
      <c r="AT435" s="706"/>
      <c r="AU435" s="706"/>
      <c r="AV435" s="727"/>
      <c r="AW435" s="706"/>
      <c r="AX435" s="727"/>
      <c r="AY435" s="706"/>
      <c r="AZ435" s="727"/>
      <c r="BA435" s="706"/>
      <c r="BB435" s="727"/>
      <c r="BC435" s="706"/>
      <c r="BD435" s="727"/>
      <c r="BE435" s="706"/>
    </row>
    <row r="436" spans="4:57" s="48" customFormat="1">
      <c r="D436" s="863"/>
      <c r="E436" s="706"/>
      <c r="F436" s="863"/>
      <c r="G436" s="706"/>
      <c r="H436" s="863"/>
      <c r="I436" s="706"/>
      <c r="J436" s="863"/>
      <c r="K436" s="706"/>
      <c r="L436" s="863"/>
      <c r="M436" s="706"/>
      <c r="N436" s="706"/>
      <c r="O436" s="863"/>
      <c r="P436" s="706"/>
      <c r="Q436" s="863"/>
      <c r="R436" s="706"/>
      <c r="S436" s="863"/>
      <c r="T436" s="706"/>
      <c r="U436" s="863"/>
      <c r="V436" s="706"/>
      <c r="W436" s="863"/>
      <c r="X436" s="706"/>
      <c r="Y436" s="706"/>
      <c r="Z436" s="727"/>
      <c r="AA436" s="706"/>
      <c r="AB436" s="727"/>
      <c r="AC436" s="706"/>
      <c r="AD436" s="727"/>
      <c r="AE436" s="706"/>
      <c r="AF436" s="727"/>
      <c r="AG436" s="706"/>
      <c r="AH436" s="727"/>
      <c r="AI436" s="706"/>
      <c r="AJ436" s="706"/>
      <c r="AK436" s="727"/>
      <c r="AL436" s="706"/>
      <c r="AM436" s="727"/>
      <c r="AN436" s="706"/>
      <c r="AO436" s="727"/>
      <c r="AP436" s="706"/>
      <c r="AQ436" s="727"/>
      <c r="AR436" s="706"/>
      <c r="AS436" s="727"/>
      <c r="AT436" s="706"/>
      <c r="AU436" s="706"/>
      <c r="AV436" s="727"/>
      <c r="AW436" s="706"/>
      <c r="AX436" s="727"/>
      <c r="AY436" s="706"/>
      <c r="AZ436" s="727"/>
      <c r="BA436" s="706"/>
      <c r="BB436" s="727"/>
      <c r="BC436" s="706"/>
      <c r="BD436" s="727"/>
      <c r="BE436" s="706"/>
    </row>
    <row r="437" spans="4:57" s="48" customFormat="1">
      <c r="D437" s="863"/>
      <c r="E437" s="706"/>
      <c r="F437" s="863"/>
      <c r="G437" s="706"/>
      <c r="H437" s="863"/>
      <c r="I437" s="706"/>
      <c r="J437" s="863"/>
      <c r="K437" s="706"/>
      <c r="L437" s="863"/>
      <c r="M437" s="706"/>
      <c r="N437" s="706"/>
      <c r="O437" s="863"/>
      <c r="P437" s="706"/>
      <c r="Q437" s="863"/>
      <c r="R437" s="706"/>
      <c r="S437" s="863"/>
      <c r="T437" s="706"/>
      <c r="U437" s="863"/>
      <c r="V437" s="706"/>
      <c r="W437" s="863"/>
      <c r="X437" s="706"/>
      <c r="Y437" s="706"/>
      <c r="Z437" s="727"/>
      <c r="AA437" s="706"/>
      <c r="AB437" s="727"/>
      <c r="AC437" s="706"/>
      <c r="AD437" s="727"/>
      <c r="AE437" s="706"/>
      <c r="AF437" s="727"/>
      <c r="AG437" s="706"/>
      <c r="AH437" s="727"/>
      <c r="AI437" s="706"/>
      <c r="AJ437" s="706"/>
      <c r="AK437" s="727"/>
      <c r="AL437" s="706"/>
      <c r="AM437" s="727"/>
      <c r="AN437" s="706"/>
      <c r="AO437" s="727"/>
      <c r="AP437" s="706"/>
      <c r="AQ437" s="727"/>
      <c r="AR437" s="706"/>
      <c r="AS437" s="727"/>
      <c r="AT437" s="706"/>
      <c r="AU437" s="706"/>
      <c r="AV437" s="727"/>
      <c r="AW437" s="706"/>
      <c r="AX437" s="727"/>
      <c r="AY437" s="706"/>
      <c r="AZ437" s="727"/>
      <c r="BA437" s="706"/>
      <c r="BB437" s="727"/>
      <c r="BC437" s="706"/>
      <c r="BD437" s="727"/>
      <c r="BE437" s="706"/>
    </row>
    <row r="438" spans="4:57" s="48" customFormat="1">
      <c r="D438" s="863"/>
      <c r="E438" s="706"/>
      <c r="F438" s="863"/>
      <c r="G438" s="706"/>
      <c r="H438" s="863"/>
      <c r="I438" s="706"/>
      <c r="J438" s="863"/>
      <c r="K438" s="706"/>
      <c r="L438" s="863"/>
      <c r="M438" s="706"/>
      <c r="N438" s="706"/>
      <c r="O438" s="863"/>
      <c r="P438" s="706"/>
      <c r="Q438" s="863"/>
      <c r="R438" s="706"/>
      <c r="S438" s="863"/>
      <c r="T438" s="706"/>
      <c r="U438" s="863"/>
      <c r="V438" s="706"/>
      <c r="W438" s="863"/>
      <c r="X438" s="706"/>
      <c r="Y438" s="706"/>
      <c r="Z438" s="727"/>
      <c r="AA438" s="706"/>
      <c r="AB438" s="727"/>
      <c r="AC438" s="706"/>
      <c r="AD438" s="727"/>
      <c r="AE438" s="706"/>
      <c r="AF438" s="727"/>
      <c r="AG438" s="706"/>
      <c r="AH438" s="727"/>
      <c r="AI438" s="706"/>
      <c r="AJ438" s="706"/>
      <c r="AK438" s="727"/>
      <c r="AL438" s="706"/>
      <c r="AM438" s="727"/>
      <c r="AN438" s="706"/>
      <c r="AO438" s="727"/>
      <c r="AP438" s="706"/>
      <c r="AQ438" s="727"/>
      <c r="AR438" s="706"/>
      <c r="AS438" s="727"/>
      <c r="AT438" s="706"/>
      <c r="AU438" s="706"/>
      <c r="AV438" s="727"/>
      <c r="AW438" s="706"/>
      <c r="AX438" s="727"/>
      <c r="AY438" s="706"/>
      <c r="AZ438" s="727"/>
      <c r="BA438" s="706"/>
      <c r="BB438" s="727"/>
      <c r="BC438" s="706"/>
      <c r="BD438" s="727"/>
      <c r="BE438" s="706"/>
    </row>
    <row r="439" spans="4:57" s="48" customFormat="1">
      <c r="D439" s="863"/>
      <c r="E439" s="706"/>
      <c r="F439" s="863"/>
      <c r="G439" s="706"/>
      <c r="H439" s="863"/>
      <c r="I439" s="706"/>
      <c r="J439" s="863"/>
      <c r="K439" s="706"/>
      <c r="L439" s="863"/>
      <c r="M439" s="706"/>
      <c r="N439" s="706"/>
      <c r="O439" s="863"/>
      <c r="P439" s="706"/>
      <c r="Q439" s="863"/>
      <c r="R439" s="706"/>
      <c r="S439" s="863"/>
      <c r="T439" s="706"/>
      <c r="U439" s="863"/>
      <c r="V439" s="706"/>
      <c r="W439" s="863"/>
      <c r="X439" s="706"/>
      <c r="Y439" s="706"/>
      <c r="Z439" s="727"/>
      <c r="AA439" s="706"/>
      <c r="AB439" s="727"/>
      <c r="AC439" s="706"/>
      <c r="AD439" s="727"/>
      <c r="AE439" s="706"/>
      <c r="AF439" s="727"/>
      <c r="AG439" s="706"/>
      <c r="AH439" s="727"/>
      <c r="AI439" s="706"/>
      <c r="AJ439" s="706"/>
      <c r="AK439" s="727"/>
      <c r="AL439" s="706"/>
      <c r="AM439" s="727"/>
      <c r="AN439" s="706"/>
      <c r="AO439" s="727"/>
      <c r="AP439" s="706"/>
      <c r="AQ439" s="727"/>
      <c r="AR439" s="706"/>
      <c r="AS439" s="727"/>
      <c r="AT439" s="706"/>
      <c r="AU439" s="706"/>
      <c r="AV439" s="727"/>
      <c r="AW439" s="706"/>
      <c r="AX439" s="727"/>
      <c r="AY439" s="706"/>
      <c r="AZ439" s="727"/>
      <c r="BA439" s="706"/>
      <c r="BB439" s="727"/>
      <c r="BC439" s="706"/>
      <c r="BD439" s="727"/>
      <c r="BE439" s="706"/>
    </row>
    <row r="440" spans="4:57" s="48" customFormat="1">
      <c r="D440" s="863"/>
      <c r="E440" s="706"/>
      <c r="F440" s="863"/>
      <c r="G440" s="706"/>
      <c r="H440" s="863"/>
      <c r="I440" s="706"/>
      <c r="J440" s="863"/>
      <c r="K440" s="706"/>
      <c r="L440" s="863"/>
      <c r="M440" s="706"/>
      <c r="N440" s="706"/>
      <c r="O440" s="863"/>
      <c r="P440" s="706"/>
      <c r="Q440" s="863"/>
      <c r="R440" s="706"/>
      <c r="S440" s="863"/>
      <c r="T440" s="706"/>
      <c r="U440" s="863"/>
      <c r="V440" s="706"/>
      <c r="W440" s="863"/>
      <c r="X440" s="706"/>
      <c r="Y440" s="706"/>
      <c r="Z440" s="727"/>
      <c r="AA440" s="706"/>
      <c r="AB440" s="727"/>
      <c r="AC440" s="706"/>
      <c r="AD440" s="727"/>
      <c r="AE440" s="706"/>
      <c r="AF440" s="727"/>
      <c r="AG440" s="706"/>
      <c r="AH440" s="727"/>
      <c r="AI440" s="706"/>
      <c r="AJ440" s="706"/>
      <c r="AK440" s="727"/>
      <c r="AL440" s="706"/>
      <c r="AM440" s="727"/>
      <c r="AN440" s="706"/>
      <c r="AO440" s="727"/>
      <c r="AP440" s="706"/>
      <c r="AQ440" s="727"/>
      <c r="AR440" s="706"/>
      <c r="AS440" s="727"/>
      <c r="AT440" s="706"/>
      <c r="AU440" s="706"/>
      <c r="AV440" s="727"/>
      <c r="AW440" s="706"/>
      <c r="AX440" s="727"/>
      <c r="AY440" s="706"/>
      <c r="AZ440" s="727"/>
      <c r="BA440" s="706"/>
      <c r="BB440" s="727"/>
      <c r="BC440" s="706"/>
      <c r="BD440" s="727"/>
      <c r="BE440" s="706"/>
    </row>
    <row r="441" spans="4:57" s="48" customFormat="1">
      <c r="D441" s="863"/>
      <c r="E441" s="706"/>
      <c r="F441" s="863"/>
      <c r="G441" s="706"/>
      <c r="H441" s="863"/>
      <c r="I441" s="706"/>
      <c r="J441" s="863"/>
      <c r="K441" s="706"/>
      <c r="L441" s="863"/>
      <c r="M441" s="706"/>
      <c r="N441" s="706"/>
      <c r="O441" s="863"/>
      <c r="P441" s="706"/>
      <c r="Q441" s="863"/>
      <c r="R441" s="706"/>
      <c r="S441" s="863"/>
      <c r="T441" s="706"/>
      <c r="U441" s="863"/>
      <c r="V441" s="706"/>
      <c r="W441" s="863"/>
      <c r="X441" s="706"/>
      <c r="Y441" s="706"/>
      <c r="Z441" s="727"/>
      <c r="AA441" s="706"/>
      <c r="AB441" s="727"/>
      <c r="AC441" s="706"/>
      <c r="AD441" s="727"/>
      <c r="AE441" s="706"/>
      <c r="AF441" s="727"/>
      <c r="AG441" s="706"/>
      <c r="AH441" s="727"/>
      <c r="AI441" s="706"/>
      <c r="AJ441" s="706"/>
      <c r="AK441" s="727"/>
      <c r="AL441" s="706"/>
      <c r="AM441" s="727"/>
      <c r="AN441" s="706"/>
      <c r="AO441" s="727"/>
      <c r="AP441" s="706"/>
      <c r="AQ441" s="727"/>
      <c r="AR441" s="706"/>
      <c r="AS441" s="727"/>
      <c r="AT441" s="706"/>
      <c r="AU441" s="706"/>
      <c r="AV441" s="727"/>
      <c r="AW441" s="706"/>
      <c r="AX441" s="727"/>
      <c r="AY441" s="706"/>
      <c r="AZ441" s="727"/>
      <c r="BA441" s="706"/>
      <c r="BB441" s="727"/>
      <c r="BC441" s="706"/>
      <c r="BD441" s="727"/>
      <c r="BE441" s="706"/>
    </row>
    <row r="442" spans="4:57" s="48" customFormat="1">
      <c r="D442" s="863"/>
      <c r="E442" s="706"/>
      <c r="F442" s="863"/>
      <c r="G442" s="706"/>
      <c r="H442" s="863"/>
      <c r="I442" s="706"/>
      <c r="J442" s="863"/>
      <c r="K442" s="706"/>
      <c r="L442" s="863"/>
      <c r="M442" s="706"/>
      <c r="N442" s="706"/>
      <c r="O442" s="863"/>
      <c r="P442" s="706"/>
      <c r="Q442" s="863"/>
      <c r="R442" s="706"/>
      <c r="S442" s="863"/>
      <c r="T442" s="706"/>
      <c r="U442" s="863"/>
      <c r="V442" s="706"/>
      <c r="W442" s="863"/>
      <c r="X442" s="706"/>
      <c r="Y442" s="706"/>
      <c r="Z442" s="727"/>
      <c r="AA442" s="706"/>
      <c r="AB442" s="727"/>
      <c r="AC442" s="706"/>
      <c r="AD442" s="727"/>
      <c r="AE442" s="706"/>
      <c r="AF442" s="727"/>
      <c r="AG442" s="706"/>
      <c r="AH442" s="727"/>
      <c r="AI442" s="706"/>
      <c r="AJ442" s="706"/>
      <c r="AK442" s="727"/>
      <c r="AL442" s="706"/>
      <c r="AM442" s="727"/>
      <c r="AN442" s="706"/>
      <c r="AO442" s="727"/>
      <c r="AP442" s="706"/>
      <c r="AQ442" s="727"/>
      <c r="AR442" s="706"/>
      <c r="AS442" s="727"/>
      <c r="AT442" s="706"/>
      <c r="AU442" s="706"/>
      <c r="AV442" s="727"/>
      <c r="AW442" s="706"/>
      <c r="AX442" s="727"/>
      <c r="AY442" s="706"/>
      <c r="AZ442" s="727"/>
      <c r="BA442" s="706"/>
      <c r="BB442" s="727"/>
      <c r="BC442" s="706"/>
      <c r="BD442" s="727"/>
      <c r="BE442" s="706"/>
    </row>
    <row r="443" spans="4:57" s="48" customFormat="1">
      <c r="D443" s="863"/>
      <c r="E443" s="706"/>
      <c r="F443" s="863"/>
      <c r="G443" s="706"/>
      <c r="H443" s="863"/>
      <c r="I443" s="706"/>
      <c r="J443" s="863"/>
      <c r="K443" s="706"/>
      <c r="L443" s="863"/>
      <c r="M443" s="706"/>
      <c r="N443" s="706"/>
      <c r="O443" s="863"/>
      <c r="P443" s="706"/>
      <c r="Q443" s="863"/>
      <c r="R443" s="706"/>
      <c r="S443" s="863"/>
      <c r="T443" s="706"/>
      <c r="U443" s="863"/>
      <c r="V443" s="706"/>
      <c r="W443" s="863"/>
      <c r="X443" s="706"/>
      <c r="Y443" s="706"/>
      <c r="Z443" s="727"/>
      <c r="AA443" s="706"/>
      <c r="AB443" s="727"/>
      <c r="AC443" s="706"/>
      <c r="AD443" s="727"/>
      <c r="AE443" s="706"/>
      <c r="AF443" s="727"/>
      <c r="AG443" s="706"/>
      <c r="AH443" s="727"/>
      <c r="AI443" s="706"/>
      <c r="AJ443" s="706"/>
      <c r="AK443" s="727"/>
      <c r="AL443" s="706"/>
      <c r="AM443" s="727"/>
      <c r="AN443" s="706"/>
      <c r="AO443" s="727"/>
      <c r="AP443" s="706"/>
      <c r="AQ443" s="727"/>
      <c r="AR443" s="706"/>
      <c r="AS443" s="727"/>
      <c r="AT443" s="706"/>
      <c r="AU443" s="706"/>
      <c r="AV443" s="727"/>
      <c r="AW443" s="706"/>
      <c r="AX443" s="727"/>
      <c r="AY443" s="706"/>
      <c r="AZ443" s="727"/>
      <c r="BA443" s="706"/>
      <c r="BB443" s="727"/>
      <c r="BC443" s="706"/>
      <c r="BD443" s="727"/>
      <c r="BE443" s="706"/>
    </row>
    <row r="444" spans="4:57" s="48" customFormat="1">
      <c r="D444" s="863"/>
      <c r="E444" s="706"/>
      <c r="F444" s="863"/>
      <c r="G444" s="706"/>
      <c r="H444" s="863"/>
      <c r="I444" s="706"/>
      <c r="J444" s="863"/>
      <c r="K444" s="706"/>
      <c r="L444" s="863"/>
      <c r="M444" s="706"/>
      <c r="N444" s="706"/>
      <c r="O444" s="863"/>
      <c r="P444" s="706"/>
      <c r="Q444" s="863"/>
      <c r="R444" s="706"/>
      <c r="S444" s="863"/>
      <c r="T444" s="706"/>
      <c r="U444" s="863"/>
      <c r="V444" s="706"/>
      <c r="W444" s="863"/>
      <c r="X444" s="706"/>
      <c r="Y444" s="706"/>
      <c r="Z444" s="727"/>
      <c r="AA444" s="706"/>
      <c r="AB444" s="727"/>
      <c r="AC444" s="706"/>
      <c r="AD444" s="727"/>
      <c r="AE444" s="706"/>
      <c r="AF444" s="727"/>
      <c r="AG444" s="706"/>
      <c r="AH444" s="727"/>
      <c r="AI444" s="706"/>
      <c r="AJ444" s="706"/>
      <c r="AK444" s="727"/>
      <c r="AL444" s="706"/>
      <c r="AM444" s="727"/>
      <c r="AN444" s="706"/>
      <c r="AO444" s="727"/>
      <c r="AP444" s="706"/>
      <c r="AQ444" s="727"/>
      <c r="AR444" s="706"/>
      <c r="AS444" s="727"/>
      <c r="AT444" s="706"/>
      <c r="AU444" s="706"/>
      <c r="AV444" s="727"/>
      <c r="AW444" s="706"/>
      <c r="AX444" s="727"/>
      <c r="AY444" s="706"/>
      <c r="AZ444" s="727"/>
      <c r="BA444" s="706"/>
      <c r="BB444" s="727"/>
      <c r="BC444" s="706"/>
      <c r="BD444" s="727"/>
      <c r="BE444" s="706"/>
    </row>
    <row r="445" spans="4:57" s="48" customFormat="1">
      <c r="D445" s="863"/>
      <c r="E445" s="706"/>
      <c r="F445" s="863"/>
      <c r="G445" s="706"/>
      <c r="H445" s="863"/>
      <c r="I445" s="706"/>
      <c r="J445" s="863"/>
      <c r="K445" s="706"/>
      <c r="L445" s="863"/>
      <c r="M445" s="706"/>
      <c r="N445" s="706"/>
      <c r="O445" s="863"/>
      <c r="P445" s="706"/>
      <c r="Q445" s="863"/>
      <c r="R445" s="706"/>
      <c r="S445" s="863"/>
      <c r="T445" s="706"/>
      <c r="U445" s="863"/>
      <c r="V445" s="706"/>
      <c r="W445" s="863"/>
      <c r="X445" s="706"/>
      <c r="Y445" s="706"/>
      <c r="Z445" s="727"/>
      <c r="AA445" s="706"/>
      <c r="AB445" s="727"/>
      <c r="AC445" s="706"/>
      <c r="AD445" s="727"/>
      <c r="AE445" s="706"/>
      <c r="AF445" s="727"/>
      <c r="AG445" s="706"/>
      <c r="AH445" s="727"/>
      <c r="AI445" s="706"/>
      <c r="AJ445" s="706"/>
      <c r="AK445" s="727"/>
      <c r="AL445" s="706"/>
      <c r="AM445" s="727"/>
      <c r="AN445" s="706"/>
      <c r="AO445" s="727"/>
      <c r="AP445" s="706"/>
      <c r="AQ445" s="727"/>
      <c r="AR445" s="706"/>
      <c r="AS445" s="727"/>
      <c r="AT445" s="706"/>
      <c r="AU445" s="706"/>
      <c r="AV445" s="727"/>
      <c r="AW445" s="706"/>
      <c r="AX445" s="727"/>
      <c r="AY445" s="706"/>
      <c r="AZ445" s="727"/>
      <c r="BA445" s="706"/>
      <c r="BB445" s="727"/>
      <c r="BC445" s="706"/>
      <c r="BD445" s="727"/>
      <c r="BE445" s="706"/>
    </row>
    <row r="446" spans="4:57" s="48" customFormat="1">
      <c r="D446" s="863"/>
      <c r="E446" s="706"/>
      <c r="F446" s="863"/>
      <c r="G446" s="706"/>
      <c r="H446" s="863"/>
      <c r="I446" s="706"/>
      <c r="J446" s="863"/>
      <c r="K446" s="706"/>
      <c r="L446" s="863"/>
      <c r="M446" s="706"/>
      <c r="N446" s="706"/>
      <c r="O446" s="863"/>
      <c r="P446" s="706"/>
      <c r="Q446" s="863"/>
      <c r="R446" s="706"/>
      <c r="S446" s="863"/>
      <c r="T446" s="706"/>
      <c r="U446" s="863"/>
      <c r="V446" s="706"/>
      <c r="W446" s="863"/>
      <c r="X446" s="706"/>
      <c r="Y446" s="706"/>
      <c r="Z446" s="727"/>
      <c r="AA446" s="706"/>
      <c r="AB446" s="727"/>
      <c r="AC446" s="706"/>
      <c r="AD446" s="727"/>
      <c r="AE446" s="706"/>
      <c r="AF446" s="727"/>
      <c r="AG446" s="706"/>
      <c r="AH446" s="727"/>
      <c r="AI446" s="706"/>
      <c r="AJ446" s="706"/>
      <c r="AK446" s="727"/>
      <c r="AL446" s="706"/>
      <c r="AM446" s="727"/>
      <c r="AN446" s="706"/>
      <c r="AO446" s="727"/>
      <c r="AP446" s="706"/>
      <c r="AQ446" s="727"/>
      <c r="AR446" s="706"/>
      <c r="AS446" s="727"/>
      <c r="AT446" s="706"/>
      <c r="AU446" s="706"/>
      <c r="AV446" s="727"/>
      <c r="AW446" s="706"/>
      <c r="AX446" s="727"/>
      <c r="AY446" s="706"/>
      <c r="AZ446" s="727"/>
      <c r="BA446" s="706"/>
      <c r="BB446" s="727"/>
      <c r="BC446" s="706"/>
      <c r="BD446" s="727"/>
      <c r="BE446" s="706"/>
    </row>
    <row r="447" spans="4:57" s="48" customFormat="1">
      <c r="D447" s="863"/>
      <c r="E447" s="706"/>
      <c r="F447" s="863"/>
      <c r="G447" s="706"/>
      <c r="H447" s="863"/>
      <c r="I447" s="706"/>
      <c r="J447" s="863"/>
      <c r="K447" s="706"/>
      <c r="L447" s="863"/>
      <c r="M447" s="706"/>
      <c r="N447" s="706"/>
      <c r="O447" s="863"/>
      <c r="P447" s="706"/>
      <c r="Q447" s="863"/>
      <c r="R447" s="706"/>
      <c r="S447" s="863"/>
      <c r="T447" s="706"/>
      <c r="U447" s="863"/>
      <c r="V447" s="706"/>
      <c r="W447" s="863"/>
      <c r="X447" s="706"/>
      <c r="Y447" s="706"/>
      <c r="Z447" s="727"/>
      <c r="AA447" s="706"/>
      <c r="AB447" s="727"/>
      <c r="AC447" s="706"/>
      <c r="AD447" s="727"/>
      <c r="AE447" s="706"/>
      <c r="AF447" s="727"/>
      <c r="AG447" s="706"/>
      <c r="AH447" s="727"/>
      <c r="AI447" s="706"/>
      <c r="AJ447" s="706"/>
      <c r="AK447" s="727"/>
      <c r="AL447" s="706"/>
      <c r="AM447" s="727"/>
      <c r="AN447" s="706"/>
      <c r="AO447" s="727"/>
      <c r="AP447" s="706"/>
      <c r="AQ447" s="727"/>
      <c r="AR447" s="706"/>
      <c r="AS447" s="727"/>
      <c r="AT447" s="706"/>
      <c r="AU447" s="706"/>
      <c r="AV447" s="727"/>
      <c r="AW447" s="706"/>
      <c r="AX447" s="727"/>
      <c r="AY447" s="706"/>
      <c r="AZ447" s="727"/>
      <c r="BA447" s="706"/>
      <c r="BB447" s="727"/>
      <c r="BC447" s="706"/>
      <c r="BD447" s="727"/>
      <c r="BE447" s="706"/>
    </row>
    <row r="448" spans="4:57" s="48" customFormat="1">
      <c r="D448" s="863"/>
      <c r="E448" s="706"/>
      <c r="F448" s="863"/>
      <c r="G448" s="706"/>
      <c r="H448" s="863"/>
      <c r="I448" s="706"/>
      <c r="J448" s="863"/>
      <c r="K448" s="706"/>
      <c r="L448" s="863"/>
      <c r="M448" s="706"/>
      <c r="N448" s="706"/>
      <c r="O448" s="863"/>
      <c r="P448" s="706"/>
      <c r="Q448" s="863"/>
      <c r="R448" s="706"/>
      <c r="S448" s="863"/>
      <c r="T448" s="706"/>
      <c r="U448" s="863"/>
      <c r="V448" s="706"/>
      <c r="W448" s="863"/>
      <c r="X448" s="706"/>
      <c r="Y448" s="706"/>
      <c r="Z448" s="727"/>
      <c r="AA448" s="706"/>
      <c r="AB448" s="727"/>
      <c r="AC448" s="706"/>
      <c r="AD448" s="727"/>
      <c r="AE448" s="706"/>
      <c r="AF448" s="727"/>
      <c r="AG448" s="706"/>
      <c r="AH448" s="727"/>
      <c r="AI448" s="706"/>
      <c r="AJ448" s="706"/>
      <c r="AK448" s="727"/>
      <c r="AL448" s="706"/>
      <c r="AM448" s="727"/>
      <c r="AN448" s="706"/>
      <c r="AO448" s="727"/>
      <c r="AP448" s="706"/>
      <c r="AQ448" s="727"/>
      <c r="AR448" s="706"/>
      <c r="AS448" s="727"/>
      <c r="AT448" s="706"/>
      <c r="AU448" s="706"/>
      <c r="AV448" s="727"/>
      <c r="AW448" s="706"/>
      <c r="AX448" s="727"/>
      <c r="AY448" s="706"/>
      <c r="AZ448" s="727"/>
      <c r="BA448" s="706"/>
      <c r="BB448" s="727"/>
      <c r="BC448" s="706"/>
      <c r="BD448" s="727"/>
      <c r="BE448" s="706"/>
    </row>
    <row r="449" spans="4:57" s="48" customFormat="1">
      <c r="D449" s="863"/>
      <c r="E449" s="706"/>
      <c r="F449" s="863"/>
      <c r="G449" s="706"/>
      <c r="H449" s="863"/>
      <c r="I449" s="706"/>
      <c r="J449" s="863"/>
      <c r="K449" s="706"/>
      <c r="L449" s="863"/>
      <c r="M449" s="706"/>
      <c r="N449" s="706"/>
      <c r="O449" s="863"/>
      <c r="P449" s="706"/>
      <c r="Q449" s="863"/>
      <c r="R449" s="706"/>
      <c r="S449" s="863"/>
      <c r="T449" s="706"/>
      <c r="U449" s="863"/>
      <c r="V449" s="706"/>
      <c r="W449" s="863"/>
      <c r="X449" s="706"/>
      <c r="Y449" s="706"/>
      <c r="Z449" s="727"/>
      <c r="AA449" s="706"/>
      <c r="AB449" s="727"/>
      <c r="AC449" s="706"/>
      <c r="AD449" s="727"/>
      <c r="AE449" s="706"/>
      <c r="AF449" s="727"/>
      <c r="AG449" s="706"/>
      <c r="AH449" s="727"/>
      <c r="AI449" s="706"/>
      <c r="AJ449" s="706"/>
      <c r="AK449" s="727"/>
      <c r="AL449" s="706"/>
      <c r="AM449" s="727"/>
      <c r="AN449" s="706"/>
      <c r="AO449" s="727"/>
      <c r="AP449" s="706"/>
      <c r="AQ449" s="727"/>
      <c r="AR449" s="706"/>
      <c r="AS449" s="727"/>
      <c r="AT449" s="706"/>
      <c r="AU449" s="706"/>
      <c r="AV449" s="727"/>
      <c r="AW449" s="706"/>
      <c r="AX449" s="727"/>
      <c r="AY449" s="706"/>
      <c r="AZ449" s="727"/>
      <c r="BA449" s="706"/>
      <c r="BB449" s="727"/>
      <c r="BC449" s="706"/>
      <c r="BD449" s="727"/>
      <c r="BE449" s="706"/>
    </row>
    <row r="450" spans="4:57" s="48" customFormat="1">
      <c r="D450" s="863"/>
      <c r="E450" s="706"/>
      <c r="F450" s="863"/>
      <c r="G450" s="706"/>
      <c r="H450" s="863"/>
      <c r="I450" s="706"/>
      <c r="J450" s="863"/>
      <c r="K450" s="706"/>
      <c r="L450" s="863"/>
      <c r="M450" s="706"/>
      <c r="N450" s="706"/>
      <c r="O450" s="863"/>
      <c r="P450" s="706"/>
      <c r="Q450" s="863"/>
      <c r="R450" s="706"/>
      <c r="S450" s="863"/>
      <c r="T450" s="706"/>
      <c r="U450" s="863"/>
      <c r="V450" s="706"/>
      <c r="W450" s="863"/>
      <c r="X450" s="706"/>
      <c r="Y450" s="706"/>
      <c r="Z450" s="727"/>
      <c r="AA450" s="706"/>
      <c r="AB450" s="727"/>
      <c r="AC450" s="706"/>
      <c r="AD450" s="727"/>
      <c r="AE450" s="706"/>
      <c r="AF450" s="727"/>
      <c r="AG450" s="706"/>
      <c r="AH450" s="727"/>
      <c r="AI450" s="706"/>
      <c r="AJ450" s="706"/>
      <c r="AK450" s="727"/>
      <c r="AL450" s="706"/>
      <c r="AM450" s="727"/>
      <c r="AN450" s="706"/>
      <c r="AO450" s="727"/>
      <c r="AP450" s="706"/>
      <c r="AQ450" s="727"/>
      <c r="AR450" s="706"/>
      <c r="AS450" s="727"/>
      <c r="AT450" s="706"/>
      <c r="AU450" s="706"/>
      <c r="AV450" s="727"/>
      <c r="AW450" s="706"/>
      <c r="AX450" s="727"/>
      <c r="AY450" s="706"/>
      <c r="AZ450" s="727"/>
      <c r="BA450" s="706"/>
      <c r="BB450" s="727"/>
      <c r="BC450" s="706"/>
      <c r="BD450" s="727"/>
      <c r="BE450" s="706"/>
    </row>
    <row r="451" spans="4:57" s="48" customFormat="1">
      <c r="D451" s="863"/>
      <c r="E451" s="706"/>
      <c r="F451" s="863"/>
      <c r="G451" s="706"/>
      <c r="H451" s="863"/>
      <c r="I451" s="706"/>
      <c r="J451" s="863"/>
      <c r="K451" s="706"/>
      <c r="L451" s="863"/>
      <c r="M451" s="706"/>
      <c r="N451" s="706"/>
      <c r="O451" s="863"/>
      <c r="P451" s="706"/>
      <c r="Q451" s="863"/>
      <c r="R451" s="706"/>
      <c r="S451" s="863"/>
      <c r="T451" s="706"/>
      <c r="U451" s="863"/>
      <c r="V451" s="706"/>
      <c r="W451" s="863"/>
      <c r="X451" s="706"/>
      <c r="Y451" s="706"/>
      <c r="Z451" s="727"/>
      <c r="AA451" s="706"/>
      <c r="AB451" s="727"/>
      <c r="AC451" s="706"/>
      <c r="AD451" s="727"/>
      <c r="AE451" s="706"/>
      <c r="AF451" s="727"/>
      <c r="AG451" s="706"/>
      <c r="AH451" s="727"/>
      <c r="AI451" s="706"/>
      <c r="AJ451" s="706"/>
      <c r="AK451" s="727"/>
      <c r="AL451" s="706"/>
      <c r="AM451" s="727"/>
      <c r="AN451" s="706"/>
      <c r="AO451" s="727"/>
      <c r="AP451" s="706"/>
      <c r="AQ451" s="727"/>
      <c r="AR451" s="706"/>
      <c r="AS451" s="727"/>
      <c r="AT451" s="706"/>
      <c r="AU451" s="706"/>
      <c r="AV451" s="727"/>
      <c r="AW451" s="706"/>
      <c r="AX451" s="727"/>
      <c r="AY451" s="706"/>
      <c r="AZ451" s="727"/>
      <c r="BA451" s="706"/>
      <c r="BB451" s="727"/>
      <c r="BC451" s="706"/>
      <c r="BD451" s="727"/>
      <c r="BE451" s="706"/>
    </row>
    <row r="452" spans="4:57" s="48" customFormat="1">
      <c r="D452" s="863"/>
      <c r="E452" s="706"/>
      <c r="F452" s="863"/>
      <c r="G452" s="706"/>
      <c r="H452" s="863"/>
      <c r="I452" s="706"/>
      <c r="J452" s="863"/>
      <c r="K452" s="706"/>
      <c r="L452" s="863"/>
      <c r="M452" s="706"/>
      <c r="N452" s="706"/>
      <c r="O452" s="863"/>
      <c r="P452" s="706"/>
      <c r="Q452" s="863"/>
      <c r="R452" s="706"/>
      <c r="S452" s="863"/>
      <c r="T452" s="706"/>
      <c r="U452" s="863"/>
      <c r="V452" s="706"/>
      <c r="W452" s="863"/>
      <c r="X452" s="706"/>
      <c r="Y452" s="706"/>
      <c r="Z452" s="727"/>
      <c r="AA452" s="706"/>
      <c r="AB452" s="727"/>
      <c r="AC452" s="706"/>
      <c r="AD452" s="727"/>
      <c r="AE452" s="706"/>
      <c r="AF452" s="727"/>
      <c r="AG452" s="706"/>
      <c r="AH452" s="727"/>
      <c r="AI452" s="706"/>
      <c r="AJ452" s="706"/>
      <c r="AK452" s="727"/>
      <c r="AL452" s="706"/>
      <c r="AM452" s="727"/>
      <c r="AN452" s="706"/>
      <c r="AO452" s="727"/>
      <c r="AP452" s="706"/>
      <c r="AQ452" s="727"/>
      <c r="AR452" s="706"/>
      <c r="AS452" s="727"/>
      <c r="AT452" s="706"/>
      <c r="AU452" s="706"/>
      <c r="AV452" s="727"/>
      <c r="AW452" s="706"/>
      <c r="AX452" s="727"/>
      <c r="AY452" s="706"/>
      <c r="AZ452" s="727"/>
      <c r="BA452" s="706"/>
      <c r="BB452" s="727"/>
      <c r="BC452" s="706"/>
      <c r="BD452" s="727"/>
      <c r="BE452" s="706"/>
    </row>
    <row r="453" spans="4:57" s="48" customFormat="1">
      <c r="D453" s="863"/>
      <c r="E453" s="706"/>
      <c r="F453" s="863"/>
      <c r="G453" s="706"/>
      <c r="H453" s="863"/>
      <c r="I453" s="706"/>
      <c r="J453" s="863"/>
      <c r="K453" s="706"/>
      <c r="L453" s="863"/>
      <c r="M453" s="706"/>
      <c r="N453" s="706"/>
      <c r="O453" s="863"/>
      <c r="P453" s="706"/>
      <c r="Q453" s="863"/>
      <c r="R453" s="706"/>
      <c r="S453" s="863"/>
      <c r="T453" s="706"/>
      <c r="U453" s="863"/>
      <c r="V453" s="706"/>
      <c r="W453" s="863"/>
      <c r="X453" s="706"/>
      <c r="Y453" s="706"/>
      <c r="Z453" s="727"/>
      <c r="AA453" s="706"/>
      <c r="AB453" s="727"/>
      <c r="AC453" s="706"/>
      <c r="AD453" s="727"/>
      <c r="AE453" s="706"/>
      <c r="AF453" s="727"/>
      <c r="AG453" s="706"/>
      <c r="AH453" s="727"/>
      <c r="AI453" s="706"/>
      <c r="AJ453" s="706"/>
      <c r="AK453" s="727"/>
      <c r="AL453" s="706"/>
      <c r="AM453" s="727"/>
      <c r="AN453" s="706"/>
      <c r="AO453" s="727"/>
      <c r="AP453" s="706"/>
      <c r="AQ453" s="727"/>
      <c r="AR453" s="706"/>
      <c r="AS453" s="727"/>
      <c r="AT453" s="706"/>
      <c r="AU453" s="706"/>
      <c r="AV453" s="727"/>
      <c r="AW453" s="706"/>
      <c r="AX453" s="727"/>
      <c r="AY453" s="706"/>
      <c r="AZ453" s="727"/>
      <c r="BA453" s="706"/>
      <c r="BB453" s="727"/>
      <c r="BC453" s="706"/>
      <c r="BD453" s="727"/>
      <c r="BE453" s="706"/>
    </row>
    <row r="454" spans="4:57" s="48" customFormat="1">
      <c r="D454" s="863"/>
      <c r="E454" s="706"/>
      <c r="F454" s="863"/>
      <c r="G454" s="706"/>
      <c r="H454" s="863"/>
      <c r="I454" s="706"/>
      <c r="J454" s="863"/>
      <c r="K454" s="706"/>
      <c r="L454" s="863"/>
      <c r="M454" s="706"/>
      <c r="N454" s="706"/>
      <c r="O454" s="863"/>
      <c r="P454" s="706"/>
      <c r="Q454" s="863"/>
      <c r="R454" s="706"/>
      <c r="S454" s="863"/>
      <c r="T454" s="706"/>
      <c r="U454" s="863"/>
      <c r="V454" s="706"/>
      <c r="W454" s="863"/>
      <c r="X454" s="706"/>
      <c r="Y454" s="706"/>
      <c r="Z454" s="727"/>
      <c r="AA454" s="706"/>
      <c r="AB454" s="727"/>
      <c r="AC454" s="706"/>
      <c r="AD454" s="727"/>
      <c r="AE454" s="706"/>
      <c r="AF454" s="727"/>
      <c r="AG454" s="706"/>
      <c r="AH454" s="727"/>
      <c r="AI454" s="706"/>
      <c r="AJ454" s="706"/>
      <c r="AK454" s="727"/>
      <c r="AL454" s="706"/>
      <c r="AM454" s="727"/>
      <c r="AN454" s="706"/>
      <c r="AO454" s="727"/>
      <c r="AP454" s="706"/>
      <c r="AQ454" s="727"/>
      <c r="AR454" s="706"/>
      <c r="AS454" s="727"/>
      <c r="AT454" s="706"/>
      <c r="AU454" s="706"/>
      <c r="AV454" s="727"/>
      <c r="AW454" s="706"/>
      <c r="AX454" s="727"/>
      <c r="AY454" s="706"/>
      <c r="AZ454" s="727"/>
      <c r="BA454" s="706"/>
      <c r="BB454" s="727"/>
      <c r="BC454" s="706"/>
      <c r="BD454" s="727"/>
      <c r="BE454" s="706"/>
    </row>
    <row r="455" spans="4:57" s="48" customFormat="1">
      <c r="D455" s="863"/>
      <c r="E455" s="706"/>
      <c r="F455" s="863"/>
      <c r="G455" s="706"/>
      <c r="H455" s="863"/>
      <c r="I455" s="706"/>
      <c r="J455" s="863"/>
      <c r="K455" s="706"/>
      <c r="L455" s="863"/>
      <c r="M455" s="706"/>
      <c r="N455" s="706"/>
      <c r="O455" s="863"/>
      <c r="P455" s="706"/>
      <c r="Q455" s="863"/>
      <c r="R455" s="706"/>
      <c r="S455" s="863"/>
      <c r="T455" s="706"/>
      <c r="U455" s="863"/>
      <c r="V455" s="706"/>
      <c r="W455" s="863"/>
      <c r="X455" s="706"/>
      <c r="Y455" s="706"/>
      <c r="Z455" s="727"/>
      <c r="AA455" s="706"/>
      <c r="AB455" s="727"/>
      <c r="AC455" s="706"/>
      <c r="AD455" s="727"/>
      <c r="AE455" s="706"/>
      <c r="AF455" s="727"/>
      <c r="AG455" s="706"/>
      <c r="AH455" s="727"/>
      <c r="AI455" s="706"/>
      <c r="AJ455" s="706"/>
      <c r="AK455" s="727"/>
      <c r="AL455" s="706"/>
      <c r="AM455" s="727"/>
      <c r="AN455" s="706"/>
      <c r="AO455" s="727"/>
      <c r="AP455" s="706"/>
      <c r="AQ455" s="727"/>
      <c r="AR455" s="706"/>
      <c r="AS455" s="727"/>
      <c r="AT455" s="706"/>
      <c r="AU455" s="706"/>
      <c r="AV455" s="727"/>
      <c r="AW455" s="706"/>
      <c r="AX455" s="727"/>
      <c r="AY455" s="706"/>
      <c r="AZ455" s="727"/>
      <c r="BA455" s="706"/>
      <c r="BB455" s="727"/>
      <c r="BC455" s="706"/>
      <c r="BD455" s="727"/>
      <c r="BE455" s="706"/>
    </row>
    <row r="456" spans="4:57" s="48" customFormat="1">
      <c r="D456" s="863"/>
      <c r="E456" s="706"/>
      <c r="F456" s="863"/>
      <c r="G456" s="706"/>
      <c r="H456" s="863"/>
      <c r="I456" s="706"/>
      <c r="J456" s="863"/>
      <c r="K456" s="706"/>
      <c r="L456" s="863"/>
      <c r="M456" s="706"/>
      <c r="N456" s="706"/>
      <c r="O456" s="863"/>
      <c r="P456" s="706"/>
      <c r="Q456" s="863"/>
      <c r="R456" s="706"/>
      <c r="S456" s="863"/>
      <c r="T456" s="706"/>
      <c r="U456" s="863"/>
      <c r="V456" s="706"/>
      <c r="W456" s="863"/>
      <c r="X456" s="706"/>
      <c r="Y456" s="706"/>
      <c r="Z456" s="727"/>
      <c r="AA456" s="706"/>
      <c r="AB456" s="727"/>
      <c r="AC456" s="706"/>
      <c r="AD456" s="727"/>
      <c r="AE456" s="706"/>
      <c r="AF456" s="727"/>
      <c r="AG456" s="706"/>
      <c r="AH456" s="727"/>
      <c r="AI456" s="706"/>
      <c r="AJ456" s="706"/>
      <c r="AK456" s="727"/>
      <c r="AL456" s="706"/>
      <c r="AM456" s="727"/>
      <c r="AN456" s="706"/>
      <c r="AO456" s="727"/>
      <c r="AP456" s="706"/>
      <c r="AQ456" s="727"/>
      <c r="AR456" s="706"/>
      <c r="AS456" s="727"/>
      <c r="AT456" s="706"/>
      <c r="AU456" s="706"/>
      <c r="AV456" s="727"/>
      <c r="AW456" s="706"/>
      <c r="AX456" s="727"/>
      <c r="AY456" s="706"/>
      <c r="AZ456" s="727"/>
      <c r="BA456" s="706"/>
      <c r="BB456" s="727"/>
      <c r="BC456" s="706"/>
      <c r="BD456" s="727"/>
      <c r="BE456" s="706"/>
    </row>
    <row r="457" spans="4:57" s="48" customFormat="1">
      <c r="D457" s="863"/>
      <c r="E457" s="706"/>
      <c r="F457" s="863"/>
      <c r="G457" s="706"/>
      <c r="H457" s="863"/>
      <c r="I457" s="706"/>
      <c r="J457" s="863"/>
      <c r="K457" s="706"/>
      <c r="L457" s="863"/>
      <c r="M457" s="706"/>
      <c r="N457" s="706"/>
      <c r="O457" s="863"/>
      <c r="P457" s="706"/>
      <c r="Q457" s="863"/>
      <c r="R457" s="706"/>
      <c r="S457" s="863"/>
      <c r="T457" s="706"/>
      <c r="U457" s="863"/>
      <c r="V457" s="706"/>
      <c r="W457" s="863"/>
      <c r="X457" s="706"/>
      <c r="Y457" s="706"/>
      <c r="Z457" s="727"/>
      <c r="AA457" s="706"/>
      <c r="AB457" s="727"/>
      <c r="AC457" s="706"/>
      <c r="AD457" s="727"/>
      <c r="AE457" s="706"/>
      <c r="AF457" s="727"/>
      <c r="AG457" s="706"/>
      <c r="AH457" s="727"/>
      <c r="AI457" s="706"/>
      <c r="AJ457" s="706"/>
      <c r="AK457" s="727"/>
      <c r="AL457" s="706"/>
      <c r="AM457" s="727"/>
      <c r="AN457" s="706"/>
      <c r="AO457" s="727"/>
      <c r="AP457" s="706"/>
      <c r="AQ457" s="727"/>
      <c r="AR457" s="706"/>
      <c r="AS457" s="727"/>
      <c r="AT457" s="706"/>
      <c r="AU457" s="706"/>
      <c r="AV457" s="727"/>
      <c r="AW457" s="706"/>
      <c r="AX457" s="727"/>
      <c r="AY457" s="706"/>
      <c r="AZ457" s="727"/>
      <c r="BA457" s="706"/>
      <c r="BB457" s="727"/>
      <c r="BC457" s="706"/>
      <c r="BD457" s="727"/>
      <c r="BE457" s="706"/>
    </row>
    <row r="458" spans="4:57" s="48" customFormat="1">
      <c r="D458" s="863"/>
      <c r="E458" s="706"/>
      <c r="F458" s="863"/>
      <c r="G458" s="706"/>
      <c r="H458" s="863"/>
      <c r="I458" s="706"/>
      <c r="J458" s="863"/>
      <c r="K458" s="706"/>
      <c r="L458" s="863"/>
      <c r="M458" s="706"/>
      <c r="N458" s="706"/>
      <c r="O458" s="863"/>
      <c r="P458" s="706"/>
      <c r="Q458" s="863"/>
      <c r="R458" s="706"/>
      <c r="S458" s="863"/>
      <c r="T458" s="706"/>
      <c r="U458" s="863"/>
      <c r="V458" s="706"/>
      <c r="W458" s="863"/>
      <c r="X458" s="706"/>
      <c r="Y458" s="706"/>
      <c r="Z458" s="727"/>
      <c r="AA458" s="706"/>
      <c r="AB458" s="727"/>
      <c r="AC458" s="706"/>
      <c r="AD458" s="727"/>
      <c r="AE458" s="706"/>
      <c r="AF458" s="727"/>
      <c r="AG458" s="706"/>
      <c r="AH458" s="727"/>
      <c r="AI458" s="706"/>
      <c r="AJ458" s="706"/>
      <c r="AK458" s="727"/>
      <c r="AL458" s="706"/>
      <c r="AM458" s="727"/>
      <c r="AN458" s="706"/>
      <c r="AO458" s="727"/>
      <c r="AP458" s="706"/>
      <c r="AQ458" s="727"/>
      <c r="AR458" s="706"/>
      <c r="AS458" s="727"/>
      <c r="AT458" s="706"/>
      <c r="AU458" s="706"/>
      <c r="AV458" s="727"/>
      <c r="AW458" s="706"/>
      <c r="AX458" s="727"/>
      <c r="AY458" s="706"/>
      <c r="AZ458" s="727"/>
      <c r="BA458" s="706"/>
      <c r="BB458" s="727"/>
      <c r="BC458" s="706"/>
      <c r="BD458" s="727"/>
      <c r="BE458" s="706"/>
    </row>
    <row r="459" spans="4:57" s="48" customFormat="1">
      <c r="D459" s="863"/>
      <c r="E459" s="706"/>
      <c r="F459" s="863"/>
      <c r="G459" s="706"/>
      <c r="H459" s="863"/>
      <c r="I459" s="706"/>
      <c r="J459" s="863"/>
      <c r="K459" s="706"/>
      <c r="L459" s="863"/>
      <c r="M459" s="706"/>
      <c r="N459" s="706"/>
      <c r="O459" s="863"/>
      <c r="P459" s="706"/>
      <c r="Q459" s="863"/>
      <c r="R459" s="706"/>
      <c r="S459" s="863"/>
      <c r="T459" s="706"/>
      <c r="U459" s="863"/>
      <c r="V459" s="706"/>
      <c r="W459" s="863"/>
      <c r="X459" s="706"/>
      <c r="Y459" s="706"/>
      <c r="Z459" s="727"/>
      <c r="AA459" s="706"/>
      <c r="AB459" s="727"/>
      <c r="AC459" s="706"/>
      <c r="AD459" s="727"/>
      <c r="AE459" s="706"/>
      <c r="AF459" s="727"/>
      <c r="AG459" s="706"/>
      <c r="AH459" s="727"/>
      <c r="AI459" s="706"/>
      <c r="AJ459" s="706"/>
      <c r="AK459" s="727"/>
      <c r="AL459" s="706"/>
      <c r="AM459" s="727"/>
      <c r="AN459" s="706"/>
      <c r="AO459" s="727"/>
      <c r="AP459" s="706"/>
      <c r="AQ459" s="727"/>
      <c r="AR459" s="706"/>
      <c r="AS459" s="727"/>
      <c r="AT459" s="706"/>
      <c r="AU459" s="706"/>
      <c r="AV459" s="727"/>
      <c r="AW459" s="706"/>
      <c r="AX459" s="727"/>
      <c r="AY459" s="706"/>
      <c r="AZ459" s="727"/>
      <c r="BA459" s="706"/>
      <c r="BB459" s="727"/>
      <c r="BC459" s="706"/>
      <c r="BD459" s="727"/>
      <c r="BE459" s="706"/>
    </row>
    <row r="460" spans="4:57" s="48" customFormat="1">
      <c r="D460" s="863"/>
      <c r="E460" s="706"/>
      <c r="F460" s="863"/>
      <c r="G460" s="706"/>
      <c r="H460" s="863"/>
      <c r="I460" s="706"/>
      <c r="J460" s="863"/>
      <c r="K460" s="706"/>
      <c r="L460" s="863"/>
      <c r="M460" s="706"/>
      <c r="N460" s="706"/>
      <c r="O460" s="863"/>
      <c r="P460" s="706"/>
      <c r="Q460" s="863"/>
      <c r="R460" s="706"/>
      <c r="S460" s="863"/>
      <c r="T460" s="706"/>
      <c r="U460" s="863"/>
      <c r="V460" s="706"/>
      <c r="W460" s="863"/>
      <c r="X460" s="706"/>
      <c r="Y460" s="706"/>
      <c r="Z460" s="727"/>
      <c r="AA460" s="706"/>
      <c r="AB460" s="727"/>
      <c r="AC460" s="706"/>
      <c r="AD460" s="727"/>
      <c r="AE460" s="706"/>
      <c r="AF460" s="727"/>
      <c r="AG460" s="706"/>
      <c r="AH460" s="727"/>
      <c r="AI460" s="706"/>
      <c r="AJ460" s="706"/>
      <c r="AK460" s="727"/>
      <c r="AL460" s="706"/>
      <c r="AM460" s="727"/>
      <c r="AN460" s="706"/>
      <c r="AO460" s="727"/>
      <c r="AP460" s="706"/>
      <c r="AQ460" s="727"/>
      <c r="AR460" s="706"/>
      <c r="AS460" s="727"/>
      <c r="AT460" s="706"/>
      <c r="AU460" s="706"/>
      <c r="AV460" s="727"/>
      <c r="AW460" s="706"/>
      <c r="AX460" s="727"/>
      <c r="AY460" s="706"/>
      <c r="AZ460" s="727"/>
      <c r="BA460" s="706"/>
      <c r="BB460" s="727"/>
      <c r="BC460" s="706"/>
      <c r="BD460" s="727"/>
      <c r="BE460" s="706"/>
    </row>
    <row r="461" spans="4:57" s="48" customFormat="1">
      <c r="D461" s="863"/>
      <c r="E461" s="706"/>
      <c r="F461" s="863"/>
      <c r="G461" s="706"/>
      <c r="H461" s="863"/>
      <c r="I461" s="706"/>
      <c r="J461" s="863"/>
      <c r="K461" s="706"/>
      <c r="L461" s="863"/>
      <c r="M461" s="706"/>
      <c r="N461" s="706"/>
      <c r="O461" s="863"/>
      <c r="P461" s="706"/>
      <c r="Q461" s="863"/>
      <c r="R461" s="706"/>
      <c r="S461" s="863"/>
      <c r="T461" s="706"/>
      <c r="U461" s="863"/>
      <c r="V461" s="706"/>
      <c r="W461" s="863"/>
      <c r="X461" s="706"/>
      <c r="Y461" s="706"/>
      <c r="Z461" s="727"/>
      <c r="AA461" s="706"/>
      <c r="AB461" s="727"/>
      <c r="AC461" s="706"/>
      <c r="AD461" s="727"/>
      <c r="AE461" s="706"/>
      <c r="AF461" s="727"/>
      <c r="AG461" s="706"/>
      <c r="AH461" s="727"/>
      <c r="AI461" s="706"/>
      <c r="AJ461" s="706"/>
      <c r="AK461" s="727"/>
      <c r="AL461" s="706"/>
      <c r="AM461" s="727"/>
      <c r="AN461" s="706"/>
      <c r="AO461" s="727"/>
      <c r="AP461" s="706"/>
      <c r="AQ461" s="727"/>
      <c r="AR461" s="706"/>
      <c r="AS461" s="727"/>
      <c r="AT461" s="706"/>
      <c r="AU461" s="706"/>
      <c r="AV461" s="727"/>
      <c r="AW461" s="706"/>
      <c r="AX461" s="727"/>
      <c r="AY461" s="706"/>
      <c r="AZ461" s="727"/>
      <c r="BA461" s="706"/>
      <c r="BB461" s="727"/>
      <c r="BC461" s="706"/>
      <c r="BD461" s="727"/>
      <c r="BE461" s="706"/>
    </row>
    <row r="462" spans="4:57" s="48" customFormat="1">
      <c r="D462" s="863"/>
      <c r="E462" s="706"/>
      <c r="F462" s="863"/>
      <c r="G462" s="706"/>
      <c r="H462" s="863"/>
      <c r="I462" s="706"/>
      <c r="J462" s="863"/>
      <c r="K462" s="706"/>
      <c r="L462" s="863"/>
      <c r="M462" s="706"/>
      <c r="N462" s="706"/>
      <c r="O462" s="863"/>
      <c r="P462" s="706"/>
      <c r="Q462" s="863"/>
      <c r="R462" s="706"/>
      <c r="S462" s="863"/>
      <c r="T462" s="706"/>
      <c r="U462" s="863"/>
      <c r="V462" s="706"/>
      <c r="W462" s="863"/>
      <c r="X462" s="706"/>
      <c r="Y462" s="706"/>
      <c r="Z462" s="727"/>
      <c r="AA462" s="706"/>
      <c r="AB462" s="727"/>
      <c r="AC462" s="706"/>
      <c r="AD462" s="727"/>
      <c r="AE462" s="706"/>
      <c r="AF462" s="727"/>
      <c r="AG462" s="706"/>
      <c r="AH462" s="727"/>
      <c r="AI462" s="706"/>
      <c r="AJ462" s="706"/>
      <c r="AK462" s="727"/>
      <c r="AL462" s="706"/>
      <c r="AM462" s="727"/>
      <c r="AN462" s="706"/>
      <c r="AO462" s="727"/>
      <c r="AP462" s="706"/>
      <c r="AQ462" s="727"/>
      <c r="AR462" s="706"/>
      <c r="AS462" s="727"/>
      <c r="AT462" s="706"/>
      <c r="AU462" s="706"/>
      <c r="AV462" s="727"/>
      <c r="AW462" s="706"/>
      <c r="AX462" s="727"/>
      <c r="AY462" s="706"/>
      <c r="AZ462" s="727"/>
      <c r="BA462" s="706"/>
      <c r="BB462" s="727"/>
      <c r="BC462" s="706"/>
      <c r="BD462" s="727"/>
      <c r="BE462" s="706"/>
    </row>
    <row r="463" spans="4:57" s="48" customFormat="1">
      <c r="D463" s="863"/>
      <c r="E463" s="706"/>
      <c r="F463" s="863"/>
      <c r="G463" s="706"/>
      <c r="H463" s="863"/>
      <c r="I463" s="706"/>
      <c r="J463" s="863"/>
      <c r="K463" s="706"/>
      <c r="L463" s="863"/>
      <c r="M463" s="706"/>
      <c r="N463" s="706"/>
      <c r="O463" s="863"/>
      <c r="P463" s="706"/>
      <c r="Q463" s="863"/>
      <c r="R463" s="706"/>
      <c r="S463" s="863"/>
      <c r="T463" s="706"/>
      <c r="U463" s="863"/>
      <c r="V463" s="706"/>
      <c r="W463" s="863"/>
      <c r="X463" s="706"/>
      <c r="Y463" s="706"/>
      <c r="Z463" s="727"/>
      <c r="AA463" s="706"/>
      <c r="AB463" s="727"/>
      <c r="AC463" s="706"/>
      <c r="AD463" s="727"/>
      <c r="AE463" s="706"/>
      <c r="AF463" s="727"/>
      <c r="AG463" s="706"/>
      <c r="AH463" s="727"/>
      <c r="AI463" s="706"/>
      <c r="AJ463" s="706"/>
      <c r="AK463" s="727"/>
      <c r="AL463" s="706"/>
      <c r="AM463" s="727"/>
      <c r="AN463" s="706"/>
      <c r="AO463" s="727"/>
      <c r="AP463" s="706"/>
      <c r="AQ463" s="727"/>
      <c r="AR463" s="706"/>
      <c r="AS463" s="727"/>
      <c r="AT463" s="706"/>
      <c r="AU463" s="706"/>
      <c r="AV463" s="727"/>
      <c r="AW463" s="706"/>
      <c r="AX463" s="727"/>
      <c r="AY463" s="706"/>
      <c r="AZ463" s="727"/>
      <c r="BA463" s="706"/>
      <c r="BB463" s="727"/>
      <c r="BC463" s="706"/>
      <c r="BD463" s="727"/>
      <c r="BE463" s="706"/>
    </row>
    <row r="464" spans="4:57" s="48" customFormat="1">
      <c r="D464" s="863"/>
      <c r="E464" s="706"/>
      <c r="F464" s="863"/>
      <c r="G464" s="706"/>
      <c r="H464" s="863"/>
      <c r="I464" s="706"/>
      <c r="J464" s="863"/>
      <c r="K464" s="706"/>
      <c r="L464" s="863"/>
      <c r="M464" s="706"/>
      <c r="N464" s="706"/>
      <c r="O464" s="863"/>
      <c r="P464" s="706"/>
      <c r="Q464" s="863"/>
      <c r="R464" s="706"/>
      <c r="S464" s="863"/>
      <c r="T464" s="706"/>
      <c r="U464" s="863"/>
      <c r="V464" s="706"/>
      <c r="W464" s="863"/>
      <c r="X464" s="706"/>
      <c r="Y464" s="706"/>
      <c r="Z464" s="727"/>
      <c r="AA464" s="706"/>
      <c r="AB464" s="727"/>
      <c r="AC464" s="706"/>
      <c r="AD464" s="727"/>
      <c r="AE464" s="706"/>
      <c r="AF464" s="727"/>
      <c r="AG464" s="706"/>
      <c r="AH464" s="727"/>
      <c r="AI464" s="706"/>
      <c r="AJ464" s="706"/>
      <c r="AK464" s="727"/>
      <c r="AL464" s="706"/>
      <c r="AM464" s="727"/>
      <c r="AN464" s="706"/>
      <c r="AO464" s="727"/>
      <c r="AP464" s="706"/>
      <c r="AQ464" s="727"/>
      <c r="AR464" s="706"/>
      <c r="AS464" s="727"/>
      <c r="AT464" s="706"/>
      <c r="AU464" s="706"/>
      <c r="AV464" s="727"/>
      <c r="AW464" s="706"/>
      <c r="AX464" s="727"/>
      <c r="AY464" s="706"/>
      <c r="AZ464" s="727"/>
      <c r="BA464" s="706"/>
      <c r="BB464" s="727"/>
      <c r="BC464" s="706"/>
      <c r="BD464" s="727"/>
      <c r="BE464" s="706"/>
    </row>
    <row r="465" spans="4:57" s="48" customFormat="1">
      <c r="D465" s="863"/>
      <c r="E465" s="706"/>
      <c r="F465" s="863"/>
      <c r="G465" s="706"/>
      <c r="H465" s="863"/>
      <c r="I465" s="706"/>
      <c r="J465" s="863"/>
      <c r="K465" s="706"/>
      <c r="L465" s="863"/>
      <c r="M465" s="706"/>
      <c r="N465" s="706"/>
      <c r="O465" s="863"/>
      <c r="P465" s="706"/>
      <c r="Q465" s="863"/>
      <c r="R465" s="706"/>
      <c r="S465" s="863"/>
      <c r="T465" s="706"/>
      <c r="U465" s="863"/>
      <c r="V465" s="706"/>
      <c r="W465" s="863"/>
      <c r="X465" s="706"/>
      <c r="Y465" s="706"/>
      <c r="Z465" s="727"/>
      <c r="AA465" s="706"/>
      <c r="AB465" s="727"/>
      <c r="AC465" s="706"/>
      <c r="AD465" s="727"/>
      <c r="AE465" s="706"/>
      <c r="AF465" s="727"/>
      <c r="AG465" s="706"/>
      <c r="AH465" s="727"/>
      <c r="AI465" s="706"/>
      <c r="AJ465" s="706"/>
      <c r="AK465" s="727"/>
      <c r="AL465" s="706"/>
      <c r="AM465" s="727"/>
      <c r="AN465" s="706"/>
      <c r="AO465" s="727"/>
      <c r="AP465" s="706"/>
      <c r="AQ465" s="727"/>
      <c r="AR465" s="706"/>
      <c r="AS465" s="727"/>
      <c r="AT465" s="706"/>
      <c r="AU465" s="706"/>
      <c r="AV465" s="727"/>
      <c r="AW465" s="706"/>
      <c r="AX465" s="727"/>
      <c r="AY465" s="706"/>
      <c r="AZ465" s="727"/>
      <c r="BA465" s="706"/>
      <c r="BB465" s="727"/>
      <c r="BC465" s="706"/>
      <c r="BD465" s="727"/>
      <c r="BE465" s="706"/>
    </row>
    <row r="466" spans="4:57" s="48" customFormat="1">
      <c r="D466" s="863"/>
      <c r="E466" s="706"/>
      <c r="F466" s="863"/>
      <c r="G466" s="706"/>
      <c r="H466" s="863"/>
      <c r="I466" s="706"/>
      <c r="J466" s="863"/>
      <c r="K466" s="706"/>
      <c r="L466" s="863"/>
      <c r="M466" s="706"/>
      <c r="N466" s="706"/>
      <c r="O466" s="863"/>
      <c r="P466" s="706"/>
      <c r="Q466" s="863"/>
      <c r="R466" s="706"/>
      <c r="S466" s="863"/>
      <c r="T466" s="706"/>
      <c r="U466" s="863"/>
      <c r="V466" s="706"/>
      <c r="W466" s="863"/>
      <c r="X466" s="706"/>
      <c r="Y466" s="706"/>
      <c r="Z466" s="727"/>
      <c r="AA466" s="706"/>
      <c r="AB466" s="727"/>
      <c r="AC466" s="706"/>
      <c r="AD466" s="727"/>
      <c r="AE466" s="706"/>
      <c r="AF466" s="727"/>
      <c r="AG466" s="706"/>
      <c r="AH466" s="727"/>
      <c r="AI466" s="706"/>
      <c r="AJ466" s="706"/>
      <c r="AK466" s="727"/>
      <c r="AL466" s="706"/>
      <c r="AM466" s="727"/>
      <c r="AN466" s="706"/>
      <c r="AO466" s="727"/>
      <c r="AP466" s="706"/>
      <c r="AQ466" s="727"/>
      <c r="AR466" s="706"/>
      <c r="AS466" s="727"/>
      <c r="AT466" s="706"/>
      <c r="AU466" s="706"/>
      <c r="AV466" s="727"/>
      <c r="AW466" s="706"/>
      <c r="AX466" s="727"/>
      <c r="AY466" s="706"/>
      <c r="AZ466" s="727"/>
      <c r="BA466" s="706"/>
      <c r="BB466" s="727"/>
      <c r="BC466" s="706"/>
      <c r="BD466" s="727"/>
      <c r="BE466" s="706"/>
    </row>
    <row r="467" spans="4:57" s="48" customFormat="1">
      <c r="D467" s="863"/>
      <c r="E467" s="706"/>
      <c r="F467" s="863"/>
      <c r="G467" s="706"/>
      <c r="H467" s="863"/>
      <c r="I467" s="706"/>
      <c r="J467" s="863"/>
      <c r="K467" s="706"/>
      <c r="L467" s="863"/>
      <c r="M467" s="706"/>
      <c r="N467" s="706"/>
      <c r="O467" s="863"/>
      <c r="P467" s="706"/>
      <c r="Q467" s="863"/>
      <c r="R467" s="706"/>
      <c r="S467" s="863"/>
      <c r="T467" s="706"/>
      <c r="U467" s="863"/>
      <c r="V467" s="706"/>
      <c r="W467" s="863"/>
      <c r="X467" s="706"/>
      <c r="Y467" s="706"/>
      <c r="Z467" s="727"/>
      <c r="AA467" s="706"/>
      <c r="AB467" s="727"/>
      <c r="AC467" s="706"/>
      <c r="AD467" s="727"/>
      <c r="AE467" s="706"/>
      <c r="AF467" s="727"/>
      <c r="AG467" s="706"/>
      <c r="AH467" s="727"/>
      <c r="AI467" s="706"/>
      <c r="AJ467" s="706"/>
      <c r="AK467" s="727"/>
      <c r="AL467" s="706"/>
      <c r="AM467" s="727"/>
      <c r="AN467" s="706"/>
      <c r="AO467" s="727"/>
      <c r="AP467" s="706"/>
      <c r="AQ467" s="727"/>
      <c r="AR467" s="706"/>
      <c r="AS467" s="727"/>
      <c r="AT467" s="706"/>
      <c r="AU467" s="706"/>
      <c r="AV467" s="727"/>
      <c r="AW467" s="706"/>
      <c r="AX467" s="727"/>
      <c r="AY467" s="706"/>
      <c r="AZ467" s="727"/>
      <c r="BA467" s="706"/>
      <c r="BB467" s="727"/>
      <c r="BC467" s="706"/>
      <c r="BD467" s="727"/>
      <c r="BE467" s="706"/>
    </row>
    <row r="468" spans="4:57" s="48" customFormat="1">
      <c r="D468" s="863"/>
      <c r="E468" s="706"/>
      <c r="F468" s="863"/>
      <c r="G468" s="706"/>
      <c r="H468" s="863"/>
      <c r="I468" s="706"/>
      <c r="J468" s="863"/>
      <c r="K468" s="706"/>
      <c r="L468" s="863"/>
      <c r="M468" s="706"/>
      <c r="N468" s="706"/>
      <c r="O468" s="863"/>
      <c r="P468" s="706"/>
      <c r="Q468" s="863"/>
      <c r="R468" s="706"/>
      <c r="S468" s="863"/>
      <c r="T468" s="706"/>
      <c r="U468" s="863"/>
      <c r="V468" s="706"/>
      <c r="W468" s="863"/>
      <c r="X468" s="706"/>
      <c r="Y468" s="706"/>
      <c r="Z468" s="727"/>
      <c r="AA468" s="706"/>
      <c r="AB468" s="727"/>
      <c r="AC468" s="706"/>
      <c r="AD468" s="727"/>
      <c r="AE468" s="706"/>
      <c r="AF468" s="727"/>
      <c r="AG468" s="706"/>
      <c r="AH468" s="727"/>
      <c r="AI468" s="706"/>
      <c r="AJ468" s="706"/>
      <c r="AK468" s="727"/>
      <c r="AL468" s="706"/>
      <c r="AM468" s="727"/>
      <c r="AN468" s="706"/>
      <c r="AO468" s="727"/>
      <c r="AP468" s="706"/>
      <c r="AQ468" s="727"/>
      <c r="AR468" s="706"/>
      <c r="AS468" s="727"/>
      <c r="AT468" s="706"/>
      <c r="AU468" s="706"/>
      <c r="AV468" s="727"/>
      <c r="AW468" s="706"/>
      <c r="AX468" s="727"/>
      <c r="AY468" s="706"/>
      <c r="AZ468" s="727"/>
      <c r="BA468" s="706"/>
      <c r="BB468" s="727"/>
      <c r="BC468" s="706"/>
      <c r="BD468" s="727"/>
      <c r="BE468" s="706"/>
    </row>
    <row r="469" spans="4:57" s="48" customFormat="1">
      <c r="D469" s="863"/>
      <c r="E469" s="706"/>
      <c r="F469" s="863"/>
      <c r="G469" s="706"/>
      <c r="H469" s="863"/>
      <c r="I469" s="706"/>
      <c r="J469" s="863"/>
      <c r="K469" s="706"/>
      <c r="L469" s="863"/>
      <c r="M469" s="706"/>
      <c r="N469" s="706"/>
      <c r="O469" s="863"/>
      <c r="P469" s="706"/>
      <c r="Q469" s="863"/>
      <c r="R469" s="706"/>
      <c r="S469" s="863"/>
      <c r="T469" s="706"/>
      <c r="U469" s="863"/>
      <c r="V469" s="706"/>
      <c r="W469" s="863"/>
      <c r="X469" s="706"/>
      <c r="Y469" s="706"/>
      <c r="Z469" s="727"/>
      <c r="AA469" s="706"/>
      <c r="AB469" s="727"/>
      <c r="AC469" s="706"/>
      <c r="AD469" s="727"/>
      <c r="AE469" s="706"/>
      <c r="AF469" s="727"/>
      <c r="AG469" s="706"/>
      <c r="AH469" s="727"/>
      <c r="AI469" s="706"/>
      <c r="AJ469" s="706"/>
      <c r="AK469" s="727"/>
      <c r="AL469" s="706"/>
      <c r="AM469" s="727"/>
      <c r="AN469" s="706"/>
      <c r="AO469" s="727"/>
      <c r="AP469" s="706"/>
      <c r="AQ469" s="727"/>
      <c r="AR469" s="706"/>
      <c r="AS469" s="727"/>
      <c r="AT469" s="706"/>
      <c r="AU469" s="706"/>
      <c r="AV469" s="727"/>
      <c r="AW469" s="706"/>
      <c r="AX469" s="727"/>
      <c r="AY469" s="706"/>
      <c r="AZ469" s="727"/>
      <c r="BA469" s="706"/>
      <c r="BB469" s="727"/>
      <c r="BC469" s="706"/>
      <c r="BD469" s="727"/>
      <c r="BE469" s="706"/>
    </row>
    <row r="470" spans="4:57" s="48" customFormat="1">
      <c r="D470" s="863"/>
      <c r="E470" s="706"/>
      <c r="F470" s="863"/>
      <c r="G470" s="706"/>
      <c r="H470" s="863"/>
      <c r="I470" s="706"/>
      <c r="J470" s="863"/>
      <c r="K470" s="706"/>
      <c r="L470" s="863"/>
      <c r="M470" s="706"/>
      <c r="N470" s="706"/>
      <c r="O470" s="863"/>
      <c r="P470" s="706"/>
      <c r="Q470" s="863"/>
      <c r="R470" s="706"/>
      <c r="S470" s="863"/>
      <c r="T470" s="706"/>
      <c r="U470" s="863"/>
      <c r="V470" s="706"/>
      <c r="W470" s="863"/>
      <c r="X470" s="706"/>
      <c r="Y470" s="706"/>
      <c r="Z470" s="727"/>
      <c r="AA470" s="706"/>
      <c r="AB470" s="727"/>
      <c r="AC470" s="706"/>
      <c r="AD470" s="727"/>
      <c r="AE470" s="706"/>
      <c r="AF470" s="727"/>
      <c r="AG470" s="706"/>
      <c r="AH470" s="727"/>
      <c r="AI470" s="706"/>
      <c r="AJ470" s="706"/>
      <c r="AK470" s="727"/>
      <c r="AL470" s="706"/>
      <c r="AM470" s="727"/>
      <c r="AN470" s="706"/>
      <c r="AO470" s="727"/>
      <c r="AP470" s="706"/>
      <c r="AQ470" s="727"/>
      <c r="AR470" s="706"/>
      <c r="AS470" s="727"/>
      <c r="AT470" s="706"/>
      <c r="AU470" s="706"/>
      <c r="AV470" s="727"/>
      <c r="AW470" s="706"/>
      <c r="AX470" s="727"/>
      <c r="AY470" s="706"/>
      <c r="AZ470" s="727"/>
      <c r="BA470" s="706"/>
      <c r="BB470" s="727"/>
      <c r="BC470" s="706"/>
      <c r="BD470" s="727"/>
      <c r="BE470" s="706"/>
    </row>
    <row r="471" spans="4:57" s="48" customFormat="1">
      <c r="D471" s="863"/>
      <c r="E471" s="706"/>
      <c r="F471" s="863"/>
      <c r="G471" s="706"/>
      <c r="H471" s="863"/>
      <c r="I471" s="706"/>
      <c r="J471" s="863"/>
      <c r="K471" s="706"/>
      <c r="L471" s="863"/>
      <c r="M471" s="706"/>
      <c r="N471" s="706"/>
      <c r="O471" s="863"/>
      <c r="P471" s="706"/>
      <c r="Q471" s="863"/>
      <c r="R471" s="706"/>
      <c r="S471" s="863"/>
      <c r="T471" s="706"/>
      <c r="U471" s="863"/>
      <c r="V471" s="706"/>
      <c r="W471" s="863"/>
      <c r="X471" s="706"/>
      <c r="Y471" s="706"/>
      <c r="Z471" s="727"/>
      <c r="AA471" s="706"/>
      <c r="AB471" s="727"/>
      <c r="AC471" s="706"/>
      <c r="AD471" s="727"/>
      <c r="AE471" s="706"/>
      <c r="AF471" s="727"/>
      <c r="AG471" s="706"/>
      <c r="AH471" s="727"/>
      <c r="AI471" s="706"/>
      <c r="AJ471" s="706"/>
      <c r="AK471" s="727"/>
      <c r="AL471" s="706"/>
      <c r="AM471" s="727"/>
      <c r="AN471" s="706"/>
      <c r="AO471" s="727"/>
      <c r="AP471" s="706"/>
      <c r="AQ471" s="727"/>
      <c r="AR471" s="706"/>
      <c r="AS471" s="727"/>
      <c r="AT471" s="706"/>
      <c r="AU471" s="706"/>
      <c r="AV471" s="727"/>
      <c r="AW471" s="706"/>
      <c r="AX471" s="727"/>
      <c r="AY471" s="706"/>
      <c r="AZ471" s="727"/>
      <c r="BA471" s="706"/>
      <c r="BB471" s="727"/>
      <c r="BC471" s="706"/>
      <c r="BD471" s="727"/>
      <c r="BE471" s="706"/>
    </row>
    <row r="472" spans="4:57" s="48" customFormat="1">
      <c r="D472" s="863"/>
      <c r="E472" s="706"/>
      <c r="F472" s="863"/>
      <c r="G472" s="706"/>
      <c r="H472" s="863"/>
      <c r="I472" s="706"/>
      <c r="J472" s="863"/>
      <c r="K472" s="706"/>
      <c r="L472" s="863"/>
      <c r="M472" s="706"/>
      <c r="N472" s="706"/>
      <c r="O472" s="863"/>
      <c r="P472" s="706"/>
      <c r="Q472" s="863"/>
      <c r="R472" s="706"/>
      <c r="S472" s="863"/>
      <c r="T472" s="706"/>
      <c r="U472" s="863"/>
      <c r="V472" s="706"/>
      <c r="W472" s="863"/>
      <c r="X472" s="706"/>
      <c r="Y472" s="706"/>
      <c r="Z472" s="727"/>
      <c r="AA472" s="706"/>
      <c r="AB472" s="727"/>
      <c r="AC472" s="706"/>
      <c r="AD472" s="727"/>
      <c r="AE472" s="706"/>
      <c r="AF472" s="727"/>
      <c r="AG472" s="706"/>
      <c r="AH472" s="727"/>
      <c r="AI472" s="706"/>
      <c r="AJ472" s="706"/>
      <c r="AK472" s="727"/>
      <c r="AL472" s="706"/>
      <c r="AM472" s="727"/>
      <c r="AN472" s="706"/>
      <c r="AO472" s="727"/>
      <c r="AP472" s="706"/>
      <c r="AQ472" s="727"/>
      <c r="AR472" s="706"/>
      <c r="AS472" s="727"/>
      <c r="AT472" s="706"/>
      <c r="AU472" s="706"/>
      <c r="AV472" s="727"/>
      <c r="AW472" s="706"/>
      <c r="AX472" s="727"/>
      <c r="AY472" s="706"/>
      <c r="AZ472" s="727"/>
      <c r="BA472" s="706"/>
      <c r="BB472" s="727"/>
      <c r="BC472" s="706"/>
      <c r="BD472" s="727"/>
      <c r="BE472" s="706"/>
    </row>
    <row r="473" spans="4:57" s="48" customFormat="1">
      <c r="D473" s="863"/>
      <c r="E473" s="706"/>
      <c r="F473" s="863"/>
      <c r="G473" s="706"/>
      <c r="H473" s="863"/>
      <c r="I473" s="706"/>
      <c r="J473" s="863"/>
      <c r="K473" s="706"/>
      <c r="L473" s="863"/>
      <c r="M473" s="706"/>
      <c r="N473" s="706"/>
      <c r="O473" s="863"/>
      <c r="P473" s="706"/>
      <c r="Q473" s="863"/>
      <c r="R473" s="706"/>
      <c r="S473" s="863"/>
      <c r="T473" s="706"/>
      <c r="U473" s="863"/>
      <c r="V473" s="706"/>
      <c r="W473" s="863"/>
      <c r="X473" s="706"/>
      <c r="Y473" s="706"/>
      <c r="Z473" s="727"/>
      <c r="AA473" s="706"/>
      <c r="AB473" s="727"/>
      <c r="AC473" s="706"/>
      <c r="AD473" s="727"/>
      <c r="AE473" s="706"/>
      <c r="AF473" s="727"/>
      <c r="AG473" s="706"/>
      <c r="AH473" s="727"/>
      <c r="AI473" s="706"/>
      <c r="AJ473" s="706"/>
      <c r="AK473" s="727"/>
      <c r="AL473" s="706"/>
      <c r="AM473" s="727"/>
      <c r="AN473" s="706"/>
      <c r="AO473" s="727"/>
      <c r="AP473" s="706"/>
      <c r="AQ473" s="727"/>
      <c r="AR473" s="706"/>
      <c r="AS473" s="727"/>
      <c r="AT473" s="706"/>
      <c r="AU473" s="706"/>
      <c r="AV473" s="727"/>
      <c r="AW473" s="706"/>
      <c r="AX473" s="727"/>
      <c r="AY473" s="706"/>
      <c r="AZ473" s="727"/>
      <c r="BA473" s="706"/>
      <c r="BB473" s="727"/>
      <c r="BC473" s="706"/>
      <c r="BD473" s="727"/>
      <c r="BE473" s="706"/>
    </row>
    <row r="474" spans="4:57" s="48" customFormat="1">
      <c r="D474" s="863"/>
      <c r="E474" s="706"/>
      <c r="F474" s="863"/>
      <c r="G474" s="706"/>
      <c r="H474" s="863"/>
      <c r="I474" s="706"/>
      <c r="J474" s="863"/>
      <c r="K474" s="706"/>
      <c r="L474" s="863"/>
      <c r="M474" s="706"/>
      <c r="N474" s="706"/>
      <c r="O474" s="863"/>
      <c r="P474" s="706"/>
      <c r="Q474" s="863"/>
      <c r="R474" s="706"/>
      <c r="S474" s="863"/>
      <c r="T474" s="706"/>
      <c r="U474" s="863"/>
      <c r="V474" s="706"/>
      <c r="W474" s="863"/>
      <c r="X474" s="706"/>
      <c r="Y474" s="706"/>
      <c r="Z474" s="727"/>
      <c r="AA474" s="706"/>
      <c r="AB474" s="727"/>
      <c r="AC474" s="706"/>
      <c r="AD474" s="727"/>
      <c r="AE474" s="706"/>
      <c r="AF474" s="727"/>
      <c r="AG474" s="706"/>
      <c r="AH474" s="727"/>
      <c r="AI474" s="706"/>
      <c r="AJ474" s="706"/>
      <c r="AK474" s="727"/>
      <c r="AL474" s="706"/>
      <c r="AM474" s="727"/>
      <c r="AN474" s="706"/>
      <c r="AO474" s="727"/>
      <c r="AP474" s="706"/>
      <c r="AQ474" s="727"/>
      <c r="AR474" s="706"/>
      <c r="AS474" s="727"/>
      <c r="AT474" s="706"/>
      <c r="AU474" s="706"/>
      <c r="AV474" s="727"/>
      <c r="AW474" s="706"/>
      <c r="AX474" s="727"/>
      <c r="AY474" s="706"/>
      <c r="AZ474" s="727"/>
      <c r="BA474" s="706"/>
      <c r="BB474" s="727"/>
      <c r="BC474" s="706"/>
      <c r="BD474" s="727"/>
      <c r="BE474" s="706"/>
    </row>
    <row r="475" spans="4:57" s="48" customFormat="1">
      <c r="D475" s="863"/>
      <c r="E475" s="706"/>
      <c r="F475" s="863"/>
      <c r="G475" s="706"/>
      <c r="H475" s="863"/>
      <c r="I475" s="706"/>
      <c r="J475" s="863"/>
      <c r="K475" s="706"/>
      <c r="L475" s="863"/>
      <c r="M475" s="706"/>
      <c r="N475" s="706"/>
      <c r="O475" s="863"/>
      <c r="P475" s="706"/>
      <c r="Q475" s="863"/>
      <c r="R475" s="706"/>
      <c r="S475" s="863"/>
      <c r="T475" s="706"/>
      <c r="U475" s="863"/>
      <c r="V475" s="706"/>
      <c r="W475" s="863"/>
      <c r="X475" s="706"/>
      <c r="Y475" s="706"/>
      <c r="Z475" s="727"/>
      <c r="AA475" s="706"/>
      <c r="AB475" s="727"/>
      <c r="AC475" s="706"/>
      <c r="AD475" s="727"/>
      <c r="AE475" s="706"/>
      <c r="AF475" s="727"/>
      <c r="AG475" s="706"/>
      <c r="AH475" s="727"/>
      <c r="AI475" s="706"/>
      <c r="AJ475" s="706"/>
      <c r="AK475" s="727"/>
      <c r="AL475" s="706"/>
      <c r="AM475" s="727"/>
      <c r="AN475" s="706"/>
      <c r="AO475" s="727"/>
      <c r="AP475" s="706"/>
      <c r="AQ475" s="727"/>
      <c r="AR475" s="706"/>
      <c r="AS475" s="727"/>
      <c r="AT475" s="706"/>
      <c r="AU475" s="706"/>
      <c r="AV475" s="727"/>
      <c r="AW475" s="706"/>
      <c r="AX475" s="727"/>
      <c r="AY475" s="706"/>
      <c r="AZ475" s="727"/>
      <c r="BA475" s="706"/>
      <c r="BB475" s="727"/>
      <c r="BC475" s="706"/>
      <c r="BD475" s="727"/>
      <c r="BE475" s="706"/>
    </row>
    <row r="476" spans="4:57" s="48" customFormat="1">
      <c r="D476" s="863"/>
      <c r="E476" s="706"/>
      <c r="F476" s="863"/>
      <c r="G476" s="706"/>
      <c r="H476" s="863"/>
      <c r="I476" s="706"/>
      <c r="J476" s="863"/>
      <c r="K476" s="706"/>
      <c r="L476" s="863"/>
      <c r="M476" s="706"/>
      <c r="N476" s="706"/>
      <c r="O476" s="863"/>
      <c r="P476" s="706"/>
      <c r="Q476" s="863"/>
      <c r="R476" s="706"/>
      <c r="S476" s="863"/>
      <c r="T476" s="706"/>
      <c r="U476" s="863"/>
      <c r="V476" s="706"/>
      <c r="W476" s="863"/>
      <c r="X476" s="706"/>
      <c r="Y476" s="706"/>
      <c r="Z476" s="727"/>
      <c r="AA476" s="706"/>
      <c r="AB476" s="727"/>
      <c r="AC476" s="706"/>
      <c r="AD476" s="727"/>
      <c r="AE476" s="706"/>
      <c r="AF476" s="727"/>
      <c r="AG476" s="706"/>
      <c r="AH476" s="727"/>
      <c r="AI476" s="706"/>
      <c r="AJ476" s="706"/>
      <c r="AK476" s="727"/>
      <c r="AL476" s="706"/>
      <c r="AM476" s="727"/>
      <c r="AN476" s="706"/>
      <c r="AO476" s="727"/>
      <c r="AP476" s="706"/>
      <c r="AQ476" s="727"/>
      <c r="AR476" s="706"/>
      <c r="AS476" s="727"/>
      <c r="AT476" s="706"/>
      <c r="AU476" s="706"/>
      <c r="AV476" s="727"/>
      <c r="AW476" s="706"/>
      <c r="AX476" s="727"/>
      <c r="AY476" s="706"/>
      <c r="AZ476" s="727"/>
      <c r="BA476" s="706"/>
      <c r="BB476" s="727"/>
      <c r="BC476" s="706"/>
      <c r="BD476" s="727"/>
      <c r="BE476" s="706"/>
    </row>
    <row r="477" spans="4:57" s="48" customFormat="1">
      <c r="D477" s="863"/>
      <c r="E477" s="706"/>
      <c r="F477" s="863"/>
      <c r="G477" s="706"/>
      <c r="H477" s="863"/>
      <c r="I477" s="706"/>
      <c r="J477" s="863"/>
      <c r="K477" s="706"/>
      <c r="L477" s="863"/>
      <c r="M477" s="706"/>
      <c r="N477" s="706"/>
      <c r="O477" s="863"/>
      <c r="P477" s="706"/>
      <c r="Q477" s="863"/>
      <c r="R477" s="706"/>
      <c r="S477" s="863"/>
      <c r="T477" s="706"/>
      <c r="U477" s="863"/>
      <c r="V477" s="706"/>
      <c r="W477" s="863"/>
      <c r="X477" s="706"/>
      <c r="Y477" s="706"/>
      <c r="Z477" s="727"/>
      <c r="AA477" s="706"/>
      <c r="AB477" s="727"/>
      <c r="AC477" s="706"/>
      <c r="AD477" s="727"/>
      <c r="AE477" s="706"/>
      <c r="AF477" s="727"/>
      <c r="AG477" s="706"/>
      <c r="AH477" s="727"/>
      <c r="AI477" s="706"/>
      <c r="AJ477" s="706"/>
      <c r="AK477" s="727"/>
      <c r="AL477" s="706"/>
      <c r="AM477" s="727"/>
      <c r="AN477" s="706"/>
      <c r="AO477" s="727"/>
      <c r="AP477" s="706"/>
      <c r="AQ477" s="727"/>
      <c r="AR477" s="706"/>
      <c r="AS477" s="727"/>
      <c r="AT477" s="706"/>
      <c r="AU477" s="706"/>
      <c r="AV477" s="727"/>
      <c r="AW477" s="706"/>
      <c r="AX477" s="727"/>
      <c r="AY477" s="706"/>
      <c r="AZ477" s="727"/>
      <c r="BA477" s="706"/>
      <c r="BB477" s="727"/>
      <c r="BC477" s="706"/>
      <c r="BD477" s="727"/>
      <c r="BE477" s="706"/>
    </row>
    <row r="478" spans="4:57" s="48" customFormat="1">
      <c r="D478" s="863"/>
      <c r="E478" s="706"/>
      <c r="F478" s="863"/>
      <c r="G478" s="706"/>
      <c r="H478" s="863"/>
      <c r="I478" s="706"/>
      <c r="J478" s="863"/>
      <c r="K478" s="706"/>
      <c r="L478" s="863"/>
      <c r="M478" s="706"/>
      <c r="N478" s="706"/>
      <c r="O478" s="863"/>
      <c r="P478" s="706"/>
      <c r="Q478" s="863"/>
      <c r="R478" s="706"/>
      <c r="S478" s="863"/>
      <c r="T478" s="706"/>
      <c r="U478" s="863"/>
      <c r="V478" s="706"/>
      <c r="W478" s="863"/>
      <c r="X478" s="706"/>
      <c r="Y478" s="706"/>
      <c r="Z478" s="727"/>
      <c r="AA478" s="706"/>
      <c r="AB478" s="727"/>
      <c r="AC478" s="706"/>
      <c r="AD478" s="727"/>
      <c r="AE478" s="706"/>
      <c r="AF478" s="727"/>
      <c r="AG478" s="706"/>
      <c r="AH478" s="727"/>
      <c r="AI478" s="706"/>
      <c r="AJ478" s="706"/>
      <c r="AK478" s="727"/>
      <c r="AL478" s="706"/>
      <c r="AM478" s="727"/>
      <c r="AN478" s="706"/>
      <c r="AO478" s="727"/>
      <c r="AP478" s="706"/>
      <c r="AQ478" s="727"/>
      <c r="AR478" s="706"/>
      <c r="AS478" s="727"/>
      <c r="AT478" s="706"/>
      <c r="AU478" s="706"/>
      <c r="AV478" s="727"/>
      <c r="AW478" s="706"/>
      <c r="AX478" s="727"/>
      <c r="AY478" s="706"/>
      <c r="AZ478" s="727"/>
      <c r="BA478" s="706"/>
      <c r="BB478" s="727"/>
      <c r="BC478" s="706"/>
      <c r="BD478" s="727"/>
      <c r="BE478" s="706"/>
    </row>
    <row r="479" spans="4:57" s="48" customFormat="1">
      <c r="D479" s="863"/>
      <c r="E479" s="706"/>
      <c r="F479" s="863"/>
      <c r="G479" s="706"/>
      <c r="H479" s="863"/>
      <c r="I479" s="706"/>
      <c r="J479" s="863"/>
      <c r="K479" s="706"/>
      <c r="L479" s="863"/>
      <c r="M479" s="706"/>
      <c r="N479" s="706"/>
      <c r="O479" s="863"/>
      <c r="P479" s="706"/>
      <c r="Q479" s="863"/>
      <c r="R479" s="706"/>
      <c r="S479" s="863"/>
      <c r="T479" s="706"/>
      <c r="U479" s="863"/>
      <c r="V479" s="706"/>
      <c r="W479" s="863"/>
      <c r="X479" s="706"/>
      <c r="Y479" s="706"/>
      <c r="Z479" s="727"/>
      <c r="AA479" s="706"/>
      <c r="AB479" s="727"/>
      <c r="AC479" s="706"/>
      <c r="AD479" s="727"/>
      <c r="AE479" s="706"/>
      <c r="AF479" s="727"/>
      <c r="AG479" s="706"/>
      <c r="AH479" s="727"/>
      <c r="AI479" s="706"/>
      <c r="AJ479" s="706"/>
      <c r="AK479" s="727"/>
      <c r="AL479" s="706"/>
      <c r="AM479" s="727"/>
      <c r="AN479" s="706"/>
      <c r="AO479" s="727"/>
      <c r="AP479" s="706"/>
      <c r="AQ479" s="727"/>
      <c r="AR479" s="706"/>
      <c r="AS479" s="727"/>
      <c r="AT479" s="706"/>
      <c r="AU479" s="706"/>
      <c r="AV479" s="727"/>
      <c r="AW479" s="706"/>
      <c r="AX479" s="727"/>
      <c r="AY479" s="706"/>
      <c r="AZ479" s="727"/>
      <c r="BA479" s="706"/>
      <c r="BB479" s="727"/>
      <c r="BC479" s="706"/>
      <c r="BD479" s="727"/>
      <c r="BE479" s="706"/>
    </row>
  </sheetData>
  <sheetProtection algorithmName="SHA-512" hashValue="W9NIKA8jjibe4CUCkgZBZe20za1rW7FhiHw5PMcq17m3wMMTmUEYH78tp5Ic9Ct9p9wTmSBMySi1JD31cQWuoQ==" saltValue="u70LZ5m/jozJeoIkcVsPXw==" spinCount="100000" sheet="1" formatCells="0" formatColumns="0" formatRows="0"/>
  <mergeCells count="67">
    <mergeCell ref="A1:C1"/>
    <mergeCell ref="D1:E1"/>
    <mergeCell ref="BG8:BL8"/>
    <mergeCell ref="BM8:BR8"/>
    <mergeCell ref="BS8:BX8"/>
    <mergeCell ref="BG7:CJ7"/>
    <mergeCell ref="A2:X2"/>
    <mergeCell ref="A3:X3"/>
    <mergeCell ref="A4:X4"/>
    <mergeCell ref="A5:X5"/>
    <mergeCell ref="N8:X8"/>
    <mergeCell ref="Y8:AI8"/>
    <mergeCell ref="AJ8:AT8"/>
    <mergeCell ref="AU8:BE8"/>
    <mergeCell ref="AD98:AE98"/>
    <mergeCell ref="AF98:AG98"/>
    <mergeCell ref="AH98:AI98"/>
    <mergeCell ref="BY8:CD8"/>
    <mergeCell ref="CE8:CJ8"/>
    <mergeCell ref="Y97:AI97"/>
    <mergeCell ref="Z98:AA98"/>
    <mergeCell ref="AB98:AC98"/>
    <mergeCell ref="AV9:AW9"/>
    <mergeCell ref="AO9:AP9"/>
    <mergeCell ref="AM9:AN9"/>
    <mergeCell ref="BD9:BE9"/>
    <mergeCell ref="AD9:AE9"/>
    <mergeCell ref="AF9:AG9"/>
    <mergeCell ref="Z9:AA9"/>
    <mergeCell ref="AB9:AC9"/>
    <mergeCell ref="A100:A106"/>
    <mergeCell ref="D98:E98"/>
    <mergeCell ref="F98:G98"/>
    <mergeCell ref="H98:I98"/>
    <mergeCell ref="J98:K98"/>
    <mergeCell ref="A97:B99"/>
    <mergeCell ref="AZ9:BA9"/>
    <mergeCell ref="BB9:BC9"/>
    <mergeCell ref="AX9:AY9"/>
    <mergeCell ref="AQ9:AR9"/>
    <mergeCell ref="A88:B88"/>
    <mergeCell ref="A7:A10"/>
    <mergeCell ref="B7:B10"/>
    <mergeCell ref="F9:G9"/>
    <mergeCell ref="H9:I9"/>
    <mergeCell ref="Q9:R9"/>
    <mergeCell ref="W9:X9"/>
    <mergeCell ref="AS9:AT9"/>
    <mergeCell ref="AK9:AL9"/>
    <mergeCell ref="AH9:AI9"/>
    <mergeCell ref="C7:BD7"/>
    <mergeCell ref="C8:M8"/>
    <mergeCell ref="C112:X112"/>
    <mergeCell ref="J9:K9"/>
    <mergeCell ref="L9:M9"/>
    <mergeCell ref="O9:P9"/>
    <mergeCell ref="O98:P98"/>
    <mergeCell ref="Q98:R98"/>
    <mergeCell ref="S98:T98"/>
    <mergeCell ref="U98:V98"/>
    <mergeCell ref="W98:X98"/>
    <mergeCell ref="L98:M98"/>
    <mergeCell ref="C97:M97"/>
    <mergeCell ref="N97:X97"/>
    <mergeCell ref="S9:T9"/>
    <mergeCell ref="U9:V9"/>
    <mergeCell ref="D9:E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6" priority="13" operator="lessThan">
      <formula>0</formula>
    </cfRule>
    <cfRule type="cellIs" dxfId="15" priority="14" operator="greaterThan">
      <formula>0.1</formula>
    </cfRule>
  </conditionalFormatting>
  <conditionalFormatting sqref="D100:M110 O100:X110 Z100:AI110">
    <cfRule type="cellIs" dxfId="14" priority="11" operator="lessThan">
      <formula>0</formula>
    </cfRule>
    <cfRule type="cellIs" dxfId="13" priority="12" operator="greaterThan">
      <formula>0</formula>
    </cfRule>
  </conditionalFormatting>
  <conditionalFormatting sqref="AL93:AL94 AN93:AN94 AP93:AP94 AR93:AR94 AT93:AT94">
    <cfRule type="cellIs" dxfId="12" priority="5" operator="lessThan">
      <formula>0</formula>
    </cfRule>
    <cfRule type="cellIs" dxfId="11" priority="6" operator="greaterThan">
      <formula>0.1</formula>
    </cfRule>
  </conditionalFormatting>
  <conditionalFormatting sqref="AW93:AW94 AY93:AY94 BA93:BA94 BC93:BC94 BE93:BE94">
    <cfRule type="cellIs" dxfId="10" priority="3" operator="lessThan">
      <formula>0</formula>
    </cfRule>
    <cfRule type="cellIs" dxfId="9"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0"/>
  <sheetViews>
    <sheetView view="pageBreakPreview" topLeftCell="A28" zoomScaleNormal="90" zoomScaleSheetLayoutView="100" workbookViewId="0">
      <selection activeCell="I38" sqref="I38"/>
    </sheetView>
  </sheetViews>
  <sheetFormatPr defaultRowHeight="12.75"/>
  <cols>
    <col min="1" max="1" width="8.140625" style="1662" customWidth="1"/>
    <col min="2" max="2" width="40" style="1662" customWidth="1"/>
    <col min="3" max="3" width="42" style="1662" customWidth="1"/>
    <col min="4" max="4" width="22" style="1662" customWidth="1"/>
    <col min="5" max="250" width="9.140625" style="1662"/>
    <col min="251" max="251" width="5.42578125" style="1662" customWidth="1"/>
    <col min="252" max="252" width="7.7109375" style="1662" customWidth="1"/>
    <col min="253" max="254" width="6.140625" style="1662" customWidth="1"/>
    <col min="255" max="255" width="6.42578125" style="1662" customWidth="1"/>
    <col min="256" max="256" width="6.85546875" style="1662" customWidth="1"/>
    <col min="257" max="257" width="12.5703125" style="1662" customWidth="1"/>
    <col min="258" max="258" width="12" style="1662" customWidth="1"/>
    <col min="259" max="259" width="12.140625" style="1662" customWidth="1"/>
    <col min="260" max="260" width="14.28515625" style="1662" customWidth="1"/>
    <col min="261" max="506" width="9.140625" style="1662"/>
    <col min="507" max="507" width="5.42578125" style="1662" customWidth="1"/>
    <col min="508" max="508" width="7.7109375" style="1662" customWidth="1"/>
    <col min="509" max="510" width="6.140625" style="1662" customWidth="1"/>
    <col min="511" max="511" width="6.42578125" style="1662" customWidth="1"/>
    <col min="512" max="512" width="6.85546875" style="1662" customWidth="1"/>
    <col min="513" max="513" width="12.5703125" style="1662" customWidth="1"/>
    <col min="514" max="514" width="12" style="1662" customWidth="1"/>
    <col min="515" max="515" width="12.140625" style="1662" customWidth="1"/>
    <col min="516" max="516" width="14.28515625" style="1662" customWidth="1"/>
    <col min="517" max="762" width="9.140625" style="1662"/>
    <col min="763" max="763" width="5.42578125" style="1662" customWidth="1"/>
    <col min="764" max="764" width="7.7109375" style="1662" customWidth="1"/>
    <col min="765" max="766" width="6.140625" style="1662" customWidth="1"/>
    <col min="767" max="767" width="6.42578125" style="1662" customWidth="1"/>
    <col min="768" max="768" width="6.85546875" style="1662" customWidth="1"/>
    <col min="769" max="769" width="12.5703125" style="1662" customWidth="1"/>
    <col min="770" max="770" width="12" style="1662" customWidth="1"/>
    <col min="771" max="771" width="12.140625" style="1662" customWidth="1"/>
    <col min="772" max="772" width="14.28515625" style="1662" customWidth="1"/>
    <col min="773" max="1018" width="9.140625" style="1662"/>
    <col min="1019" max="1019" width="5.42578125" style="1662" customWidth="1"/>
    <col min="1020" max="1020" width="7.7109375" style="1662" customWidth="1"/>
    <col min="1021" max="1022" width="6.140625" style="1662" customWidth="1"/>
    <col min="1023" max="1023" width="6.42578125" style="1662" customWidth="1"/>
    <col min="1024" max="1024" width="6.85546875" style="1662" customWidth="1"/>
    <col min="1025" max="1025" width="12.5703125" style="1662" customWidth="1"/>
    <col min="1026" max="1026" width="12" style="1662" customWidth="1"/>
    <col min="1027" max="1027" width="12.140625" style="1662" customWidth="1"/>
    <col min="1028" max="1028" width="14.28515625" style="1662" customWidth="1"/>
    <col min="1029" max="1274" width="9.140625" style="1662"/>
    <col min="1275" max="1275" width="5.42578125" style="1662" customWidth="1"/>
    <col min="1276" max="1276" width="7.7109375" style="1662" customWidth="1"/>
    <col min="1277" max="1278" width="6.140625" style="1662" customWidth="1"/>
    <col min="1279" max="1279" width="6.42578125" style="1662" customWidth="1"/>
    <col min="1280" max="1280" width="6.85546875" style="1662" customWidth="1"/>
    <col min="1281" max="1281" width="12.5703125" style="1662" customWidth="1"/>
    <col min="1282" max="1282" width="12" style="1662" customWidth="1"/>
    <col min="1283" max="1283" width="12.140625" style="1662" customWidth="1"/>
    <col min="1284" max="1284" width="14.28515625" style="1662" customWidth="1"/>
    <col min="1285" max="1530" width="9.140625" style="1662"/>
    <col min="1531" max="1531" width="5.42578125" style="1662" customWidth="1"/>
    <col min="1532" max="1532" width="7.7109375" style="1662" customWidth="1"/>
    <col min="1533" max="1534" width="6.140625" style="1662" customWidth="1"/>
    <col min="1535" max="1535" width="6.42578125" style="1662" customWidth="1"/>
    <col min="1536" max="1536" width="6.85546875" style="1662" customWidth="1"/>
    <col min="1537" max="1537" width="12.5703125" style="1662" customWidth="1"/>
    <col min="1538" max="1538" width="12" style="1662" customWidth="1"/>
    <col min="1539" max="1539" width="12.140625" style="1662" customWidth="1"/>
    <col min="1540" max="1540" width="14.28515625" style="1662" customWidth="1"/>
    <col min="1541" max="1786" width="9.140625" style="1662"/>
    <col min="1787" max="1787" width="5.42578125" style="1662" customWidth="1"/>
    <col min="1788" max="1788" width="7.7109375" style="1662" customWidth="1"/>
    <col min="1789" max="1790" width="6.140625" style="1662" customWidth="1"/>
    <col min="1791" max="1791" width="6.42578125" style="1662" customWidth="1"/>
    <col min="1792" max="1792" width="6.85546875" style="1662" customWidth="1"/>
    <col min="1793" max="1793" width="12.5703125" style="1662" customWidth="1"/>
    <col min="1794" max="1794" width="12" style="1662" customWidth="1"/>
    <col min="1795" max="1795" width="12.140625" style="1662" customWidth="1"/>
    <col min="1796" max="1796" width="14.28515625" style="1662" customWidth="1"/>
    <col min="1797" max="2042" width="9.140625" style="1662"/>
    <col min="2043" max="2043" width="5.42578125" style="1662" customWidth="1"/>
    <col min="2044" max="2044" width="7.7109375" style="1662" customWidth="1"/>
    <col min="2045" max="2046" width="6.140625" style="1662" customWidth="1"/>
    <col min="2047" max="2047" width="6.42578125" style="1662" customWidth="1"/>
    <col min="2048" max="2048" width="6.85546875" style="1662" customWidth="1"/>
    <col min="2049" max="2049" width="12.5703125" style="1662" customWidth="1"/>
    <col min="2050" max="2050" width="12" style="1662" customWidth="1"/>
    <col min="2051" max="2051" width="12.140625" style="1662" customWidth="1"/>
    <col min="2052" max="2052" width="14.28515625" style="1662" customWidth="1"/>
    <col min="2053" max="2298" width="9.140625" style="1662"/>
    <col min="2299" max="2299" width="5.42578125" style="1662" customWidth="1"/>
    <col min="2300" max="2300" width="7.7109375" style="1662" customWidth="1"/>
    <col min="2301" max="2302" width="6.140625" style="1662" customWidth="1"/>
    <col min="2303" max="2303" width="6.42578125" style="1662" customWidth="1"/>
    <col min="2304" max="2304" width="6.85546875" style="1662" customWidth="1"/>
    <col min="2305" max="2305" width="12.5703125" style="1662" customWidth="1"/>
    <col min="2306" max="2306" width="12" style="1662" customWidth="1"/>
    <col min="2307" max="2307" width="12.140625" style="1662" customWidth="1"/>
    <col min="2308" max="2308" width="14.28515625" style="1662" customWidth="1"/>
    <col min="2309" max="2554" width="9.140625" style="1662"/>
    <col min="2555" max="2555" width="5.42578125" style="1662" customWidth="1"/>
    <col min="2556" max="2556" width="7.7109375" style="1662" customWidth="1"/>
    <col min="2557" max="2558" width="6.140625" style="1662" customWidth="1"/>
    <col min="2559" max="2559" width="6.42578125" style="1662" customWidth="1"/>
    <col min="2560" max="2560" width="6.85546875" style="1662" customWidth="1"/>
    <col min="2561" max="2561" width="12.5703125" style="1662" customWidth="1"/>
    <col min="2562" max="2562" width="12" style="1662" customWidth="1"/>
    <col min="2563" max="2563" width="12.140625" style="1662" customWidth="1"/>
    <col min="2564" max="2564" width="14.28515625" style="1662" customWidth="1"/>
    <col min="2565" max="2810" width="9.140625" style="1662"/>
    <col min="2811" max="2811" width="5.42578125" style="1662" customWidth="1"/>
    <col min="2812" max="2812" width="7.7109375" style="1662" customWidth="1"/>
    <col min="2813" max="2814" width="6.140625" style="1662" customWidth="1"/>
    <col min="2815" max="2815" width="6.42578125" style="1662" customWidth="1"/>
    <col min="2816" max="2816" width="6.85546875" style="1662" customWidth="1"/>
    <col min="2817" max="2817" width="12.5703125" style="1662" customWidth="1"/>
    <col min="2818" max="2818" width="12" style="1662" customWidth="1"/>
    <col min="2819" max="2819" width="12.140625" style="1662" customWidth="1"/>
    <col min="2820" max="2820" width="14.28515625" style="1662" customWidth="1"/>
    <col min="2821" max="3066" width="9.140625" style="1662"/>
    <col min="3067" max="3067" width="5.42578125" style="1662" customWidth="1"/>
    <col min="3068" max="3068" width="7.7109375" style="1662" customWidth="1"/>
    <col min="3069" max="3070" width="6.140625" style="1662" customWidth="1"/>
    <col min="3071" max="3071" width="6.42578125" style="1662" customWidth="1"/>
    <col min="3072" max="3072" width="6.85546875" style="1662" customWidth="1"/>
    <col min="3073" max="3073" width="12.5703125" style="1662" customWidth="1"/>
    <col min="3074" max="3074" width="12" style="1662" customWidth="1"/>
    <col min="3075" max="3075" width="12.140625" style="1662" customWidth="1"/>
    <col min="3076" max="3076" width="14.28515625" style="1662" customWidth="1"/>
    <col min="3077" max="3322" width="9.140625" style="1662"/>
    <col min="3323" max="3323" width="5.42578125" style="1662" customWidth="1"/>
    <col min="3324" max="3324" width="7.7109375" style="1662" customWidth="1"/>
    <col min="3325" max="3326" width="6.140625" style="1662" customWidth="1"/>
    <col min="3327" max="3327" width="6.42578125" style="1662" customWidth="1"/>
    <col min="3328" max="3328" width="6.85546875" style="1662" customWidth="1"/>
    <col min="3329" max="3329" width="12.5703125" style="1662" customWidth="1"/>
    <col min="3330" max="3330" width="12" style="1662" customWidth="1"/>
    <col min="3331" max="3331" width="12.140625" style="1662" customWidth="1"/>
    <col min="3332" max="3332" width="14.28515625" style="1662" customWidth="1"/>
    <col min="3333" max="3578" width="9.140625" style="1662"/>
    <col min="3579" max="3579" width="5.42578125" style="1662" customWidth="1"/>
    <col min="3580" max="3580" width="7.7109375" style="1662" customWidth="1"/>
    <col min="3581" max="3582" width="6.140625" style="1662" customWidth="1"/>
    <col min="3583" max="3583" width="6.42578125" style="1662" customWidth="1"/>
    <col min="3584" max="3584" width="6.85546875" style="1662" customWidth="1"/>
    <col min="3585" max="3585" width="12.5703125" style="1662" customWidth="1"/>
    <col min="3586" max="3586" width="12" style="1662" customWidth="1"/>
    <col min="3587" max="3587" width="12.140625" style="1662" customWidth="1"/>
    <col min="3588" max="3588" width="14.28515625" style="1662" customWidth="1"/>
    <col min="3589" max="3834" width="9.140625" style="1662"/>
    <col min="3835" max="3835" width="5.42578125" style="1662" customWidth="1"/>
    <col min="3836" max="3836" width="7.7109375" style="1662" customWidth="1"/>
    <col min="3837" max="3838" width="6.140625" style="1662" customWidth="1"/>
    <col min="3839" max="3839" width="6.42578125" style="1662" customWidth="1"/>
    <col min="3840" max="3840" width="6.85546875" style="1662" customWidth="1"/>
    <col min="3841" max="3841" width="12.5703125" style="1662" customWidth="1"/>
    <col min="3842" max="3842" width="12" style="1662" customWidth="1"/>
    <col min="3843" max="3843" width="12.140625" style="1662" customWidth="1"/>
    <col min="3844" max="3844" width="14.28515625" style="1662" customWidth="1"/>
    <col min="3845" max="4090" width="9.140625" style="1662"/>
    <col min="4091" max="4091" width="5.42578125" style="1662" customWidth="1"/>
    <col min="4092" max="4092" width="7.7109375" style="1662" customWidth="1"/>
    <col min="4093" max="4094" width="6.140625" style="1662" customWidth="1"/>
    <col min="4095" max="4095" width="6.42578125" style="1662" customWidth="1"/>
    <col min="4096" max="4096" width="6.85546875" style="1662" customWidth="1"/>
    <col min="4097" max="4097" width="12.5703125" style="1662" customWidth="1"/>
    <col min="4098" max="4098" width="12" style="1662" customWidth="1"/>
    <col min="4099" max="4099" width="12.140625" style="1662" customWidth="1"/>
    <col min="4100" max="4100" width="14.28515625" style="1662" customWidth="1"/>
    <col min="4101" max="4346" width="9.140625" style="1662"/>
    <col min="4347" max="4347" width="5.42578125" style="1662" customWidth="1"/>
    <col min="4348" max="4348" width="7.7109375" style="1662" customWidth="1"/>
    <col min="4349" max="4350" width="6.140625" style="1662" customWidth="1"/>
    <col min="4351" max="4351" width="6.42578125" style="1662" customWidth="1"/>
    <col min="4352" max="4352" width="6.85546875" style="1662" customWidth="1"/>
    <col min="4353" max="4353" width="12.5703125" style="1662" customWidth="1"/>
    <col min="4354" max="4354" width="12" style="1662" customWidth="1"/>
    <col min="4355" max="4355" width="12.140625" style="1662" customWidth="1"/>
    <col min="4356" max="4356" width="14.28515625" style="1662" customWidth="1"/>
    <col min="4357" max="4602" width="9.140625" style="1662"/>
    <col min="4603" max="4603" width="5.42578125" style="1662" customWidth="1"/>
    <col min="4604" max="4604" width="7.7109375" style="1662" customWidth="1"/>
    <col min="4605" max="4606" width="6.140625" style="1662" customWidth="1"/>
    <col min="4607" max="4607" width="6.42578125" style="1662" customWidth="1"/>
    <col min="4608" max="4608" width="6.85546875" style="1662" customWidth="1"/>
    <col min="4609" max="4609" width="12.5703125" style="1662" customWidth="1"/>
    <col min="4610" max="4610" width="12" style="1662" customWidth="1"/>
    <col min="4611" max="4611" width="12.140625" style="1662" customWidth="1"/>
    <col min="4612" max="4612" width="14.28515625" style="1662" customWidth="1"/>
    <col min="4613" max="4858" width="9.140625" style="1662"/>
    <col min="4859" max="4859" width="5.42578125" style="1662" customWidth="1"/>
    <col min="4860" max="4860" width="7.7109375" style="1662" customWidth="1"/>
    <col min="4861" max="4862" width="6.140625" style="1662" customWidth="1"/>
    <col min="4863" max="4863" width="6.42578125" style="1662" customWidth="1"/>
    <col min="4864" max="4864" width="6.85546875" style="1662" customWidth="1"/>
    <col min="4865" max="4865" width="12.5703125" style="1662" customWidth="1"/>
    <col min="4866" max="4866" width="12" style="1662" customWidth="1"/>
    <col min="4867" max="4867" width="12.140625" style="1662" customWidth="1"/>
    <col min="4868" max="4868" width="14.28515625" style="1662" customWidth="1"/>
    <col min="4869" max="5114" width="9.140625" style="1662"/>
    <col min="5115" max="5115" width="5.42578125" style="1662" customWidth="1"/>
    <col min="5116" max="5116" width="7.7109375" style="1662" customWidth="1"/>
    <col min="5117" max="5118" width="6.140625" style="1662" customWidth="1"/>
    <col min="5119" max="5119" width="6.42578125" style="1662" customWidth="1"/>
    <col min="5120" max="5120" width="6.85546875" style="1662" customWidth="1"/>
    <col min="5121" max="5121" width="12.5703125" style="1662" customWidth="1"/>
    <col min="5122" max="5122" width="12" style="1662" customWidth="1"/>
    <col min="5123" max="5123" width="12.140625" style="1662" customWidth="1"/>
    <col min="5124" max="5124" width="14.28515625" style="1662" customWidth="1"/>
    <col min="5125" max="5370" width="9.140625" style="1662"/>
    <col min="5371" max="5371" width="5.42578125" style="1662" customWidth="1"/>
    <col min="5372" max="5372" width="7.7109375" style="1662" customWidth="1"/>
    <col min="5373" max="5374" width="6.140625" style="1662" customWidth="1"/>
    <col min="5375" max="5375" width="6.42578125" style="1662" customWidth="1"/>
    <col min="5376" max="5376" width="6.85546875" style="1662" customWidth="1"/>
    <col min="5377" max="5377" width="12.5703125" style="1662" customWidth="1"/>
    <col min="5378" max="5378" width="12" style="1662" customWidth="1"/>
    <col min="5379" max="5379" width="12.140625" style="1662" customWidth="1"/>
    <col min="5380" max="5380" width="14.28515625" style="1662" customWidth="1"/>
    <col min="5381" max="5626" width="9.140625" style="1662"/>
    <col min="5627" max="5627" width="5.42578125" style="1662" customWidth="1"/>
    <col min="5628" max="5628" width="7.7109375" style="1662" customWidth="1"/>
    <col min="5629" max="5630" width="6.140625" style="1662" customWidth="1"/>
    <col min="5631" max="5631" width="6.42578125" style="1662" customWidth="1"/>
    <col min="5632" max="5632" width="6.85546875" style="1662" customWidth="1"/>
    <col min="5633" max="5633" width="12.5703125" style="1662" customWidth="1"/>
    <col min="5634" max="5634" width="12" style="1662" customWidth="1"/>
    <col min="5635" max="5635" width="12.140625" style="1662" customWidth="1"/>
    <col min="5636" max="5636" width="14.28515625" style="1662" customWidth="1"/>
    <col min="5637" max="5882" width="9.140625" style="1662"/>
    <col min="5883" max="5883" width="5.42578125" style="1662" customWidth="1"/>
    <col min="5884" max="5884" width="7.7109375" style="1662" customWidth="1"/>
    <col min="5885" max="5886" width="6.140625" style="1662" customWidth="1"/>
    <col min="5887" max="5887" width="6.42578125" style="1662" customWidth="1"/>
    <col min="5888" max="5888" width="6.85546875" style="1662" customWidth="1"/>
    <col min="5889" max="5889" width="12.5703125" style="1662" customWidth="1"/>
    <col min="5890" max="5890" width="12" style="1662" customWidth="1"/>
    <col min="5891" max="5891" width="12.140625" style="1662" customWidth="1"/>
    <col min="5892" max="5892" width="14.28515625" style="1662" customWidth="1"/>
    <col min="5893" max="6138" width="9.140625" style="1662"/>
    <col min="6139" max="6139" width="5.42578125" style="1662" customWidth="1"/>
    <col min="6140" max="6140" width="7.7109375" style="1662" customWidth="1"/>
    <col min="6141" max="6142" width="6.140625" style="1662" customWidth="1"/>
    <col min="6143" max="6143" width="6.42578125" style="1662" customWidth="1"/>
    <col min="6144" max="6144" width="6.85546875" style="1662" customWidth="1"/>
    <col min="6145" max="6145" width="12.5703125" style="1662" customWidth="1"/>
    <col min="6146" max="6146" width="12" style="1662" customWidth="1"/>
    <col min="6147" max="6147" width="12.140625" style="1662" customWidth="1"/>
    <col min="6148" max="6148" width="14.28515625" style="1662" customWidth="1"/>
    <col min="6149" max="6394" width="9.140625" style="1662"/>
    <col min="6395" max="6395" width="5.42578125" style="1662" customWidth="1"/>
    <col min="6396" max="6396" width="7.7109375" style="1662" customWidth="1"/>
    <col min="6397" max="6398" width="6.140625" style="1662" customWidth="1"/>
    <col min="6399" max="6399" width="6.42578125" style="1662" customWidth="1"/>
    <col min="6400" max="6400" width="6.85546875" style="1662" customWidth="1"/>
    <col min="6401" max="6401" width="12.5703125" style="1662" customWidth="1"/>
    <col min="6402" max="6402" width="12" style="1662" customWidth="1"/>
    <col min="6403" max="6403" width="12.140625" style="1662" customWidth="1"/>
    <col min="6404" max="6404" width="14.28515625" style="1662" customWidth="1"/>
    <col min="6405" max="6650" width="9.140625" style="1662"/>
    <col min="6651" max="6651" width="5.42578125" style="1662" customWidth="1"/>
    <col min="6652" max="6652" width="7.7109375" style="1662" customWidth="1"/>
    <col min="6653" max="6654" width="6.140625" style="1662" customWidth="1"/>
    <col min="6655" max="6655" width="6.42578125" style="1662" customWidth="1"/>
    <col min="6656" max="6656" width="6.85546875" style="1662" customWidth="1"/>
    <col min="6657" max="6657" width="12.5703125" style="1662" customWidth="1"/>
    <col min="6658" max="6658" width="12" style="1662" customWidth="1"/>
    <col min="6659" max="6659" width="12.140625" style="1662" customWidth="1"/>
    <col min="6660" max="6660" width="14.28515625" style="1662" customWidth="1"/>
    <col min="6661" max="6906" width="9.140625" style="1662"/>
    <col min="6907" max="6907" width="5.42578125" style="1662" customWidth="1"/>
    <col min="6908" max="6908" width="7.7109375" style="1662" customWidth="1"/>
    <col min="6909" max="6910" width="6.140625" style="1662" customWidth="1"/>
    <col min="6911" max="6911" width="6.42578125" style="1662" customWidth="1"/>
    <col min="6912" max="6912" width="6.85546875" style="1662" customWidth="1"/>
    <col min="6913" max="6913" width="12.5703125" style="1662" customWidth="1"/>
    <col min="6914" max="6914" width="12" style="1662" customWidth="1"/>
    <col min="6915" max="6915" width="12.140625" style="1662" customWidth="1"/>
    <col min="6916" max="6916" width="14.28515625" style="1662" customWidth="1"/>
    <col min="6917" max="7162" width="9.140625" style="1662"/>
    <col min="7163" max="7163" width="5.42578125" style="1662" customWidth="1"/>
    <col min="7164" max="7164" width="7.7109375" style="1662" customWidth="1"/>
    <col min="7165" max="7166" width="6.140625" style="1662" customWidth="1"/>
    <col min="7167" max="7167" width="6.42578125" style="1662" customWidth="1"/>
    <col min="7168" max="7168" width="6.85546875" style="1662" customWidth="1"/>
    <col min="7169" max="7169" width="12.5703125" style="1662" customWidth="1"/>
    <col min="7170" max="7170" width="12" style="1662" customWidth="1"/>
    <col min="7171" max="7171" width="12.140625" style="1662" customWidth="1"/>
    <col min="7172" max="7172" width="14.28515625" style="1662" customWidth="1"/>
    <col min="7173" max="7418" width="9.140625" style="1662"/>
    <col min="7419" max="7419" width="5.42578125" style="1662" customWidth="1"/>
    <col min="7420" max="7420" width="7.7109375" style="1662" customWidth="1"/>
    <col min="7421" max="7422" width="6.140625" style="1662" customWidth="1"/>
    <col min="7423" max="7423" width="6.42578125" style="1662" customWidth="1"/>
    <col min="7424" max="7424" width="6.85546875" style="1662" customWidth="1"/>
    <col min="7425" max="7425" width="12.5703125" style="1662" customWidth="1"/>
    <col min="7426" max="7426" width="12" style="1662" customWidth="1"/>
    <col min="7427" max="7427" width="12.140625" style="1662" customWidth="1"/>
    <col min="7428" max="7428" width="14.28515625" style="1662" customWidth="1"/>
    <col min="7429" max="7674" width="9.140625" style="1662"/>
    <col min="7675" max="7675" width="5.42578125" style="1662" customWidth="1"/>
    <col min="7676" max="7676" width="7.7109375" style="1662" customWidth="1"/>
    <col min="7677" max="7678" width="6.140625" style="1662" customWidth="1"/>
    <col min="7679" max="7679" width="6.42578125" style="1662" customWidth="1"/>
    <col min="7680" max="7680" width="6.85546875" style="1662" customWidth="1"/>
    <col min="7681" max="7681" width="12.5703125" style="1662" customWidth="1"/>
    <col min="7682" max="7682" width="12" style="1662" customWidth="1"/>
    <col min="7683" max="7683" width="12.140625" style="1662" customWidth="1"/>
    <col min="7684" max="7684" width="14.28515625" style="1662" customWidth="1"/>
    <col min="7685" max="7930" width="9.140625" style="1662"/>
    <col min="7931" max="7931" width="5.42578125" style="1662" customWidth="1"/>
    <col min="7932" max="7932" width="7.7109375" style="1662" customWidth="1"/>
    <col min="7933" max="7934" width="6.140625" style="1662" customWidth="1"/>
    <col min="7935" max="7935" width="6.42578125" style="1662" customWidth="1"/>
    <col min="7936" max="7936" width="6.85546875" style="1662" customWidth="1"/>
    <col min="7937" max="7937" width="12.5703125" style="1662" customWidth="1"/>
    <col min="7938" max="7938" width="12" style="1662" customWidth="1"/>
    <col min="7939" max="7939" width="12.140625" style="1662" customWidth="1"/>
    <col min="7940" max="7940" width="14.28515625" style="1662" customWidth="1"/>
    <col min="7941" max="8186" width="9.140625" style="1662"/>
    <col min="8187" max="8187" width="5.42578125" style="1662" customWidth="1"/>
    <col min="8188" max="8188" width="7.7109375" style="1662" customWidth="1"/>
    <col min="8189" max="8190" width="6.140625" style="1662" customWidth="1"/>
    <col min="8191" max="8191" width="6.42578125" style="1662" customWidth="1"/>
    <col min="8192" max="8192" width="6.85546875" style="1662" customWidth="1"/>
    <col min="8193" max="8193" width="12.5703125" style="1662" customWidth="1"/>
    <col min="8194" max="8194" width="12" style="1662" customWidth="1"/>
    <col min="8195" max="8195" width="12.140625" style="1662" customWidth="1"/>
    <col min="8196" max="8196" width="14.28515625" style="1662" customWidth="1"/>
    <col min="8197" max="8442" width="9.140625" style="1662"/>
    <col min="8443" max="8443" width="5.42578125" style="1662" customWidth="1"/>
    <col min="8444" max="8444" width="7.7109375" style="1662" customWidth="1"/>
    <col min="8445" max="8446" width="6.140625" style="1662" customWidth="1"/>
    <col min="8447" max="8447" width="6.42578125" style="1662" customWidth="1"/>
    <col min="8448" max="8448" width="6.85546875" style="1662" customWidth="1"/>
    <col min="8449" max="8449" width="12.5703125" style="1662" customWidth="1"/>
    <col min="8450" max="8450" width="12" style="1662" customWidth="1"/>
    <col min="8451" max="8451" width="12.140625" style="1662" customWidth="1"/>
    <col min="8452" max="8452" width="14.28515625" style="1662" customWidth="1"/>
    <col min="8453" max="8698" width="9.140625" style="1662"/>
    <col min="8699" max="8699" width="5.42578125" style="1662" customWidth="1"/>
    <col min="8700" max="8700" width="7.7109375" style="1662" customWidth="1"/>
    <col min="8701" max="8702" width="6.140625" style="1662" customWidth="1"/>
    <col min="8703" max="8703" width="6.42578125" style="1662" customWidth="1"/>
    <col min="8704" max="8704" width="6.85546875" style="1662" customWidth="1"/>
    <col min="8705" max="8705" width="12.5703125" style="1662" customWidth="1"/>
    <col min="8706" max="8706" width="12" style="1662" customWidth="1"/>
    <col min="8707" max="8707" width="12.140625" style="1662" customWidth="1"/>
    <col min="8708" max="8708" width="14.28515625" style="1662" customWidth="1"/>
    <col min="8709" max="8954" width="9.140625" style="1662"/>
    <col min="8955" max="8955" width="5.42578125" style="1662" customWidth="1"/>
    <col min="8956" max="8956" width="7.7109375" style="1662" customWidth="1"/>
    <col min="8957" max="8958" width="6.140625" style="1662" customWidth="1"/>
    <col min="8959" max="8959" width="6.42578125" style="1662" customWidth="1"/>
    <col min="8960" max="8960" width="6.85546875" style="1662" customWidth="1"/>
    <col min="8961" max="8961" width="12.5703125" style="1662" customWidth="1"/>
    <col min="8962" max="8962" width="12" style="1662" customWidth="1"/>
    <col min="8963" max="8963" width="12.140625" style="1662" customWidth="1"/>
    <col min="8964" max="8964" width="14.28515625" style="1662" customWidth="1"/>
    <col min="8965" max="9210" width="9.140625" style="1662"/>
    <col min="9211" max="9211" width="5.42578125" style="1662" customWidth="1"/>
    <col min="9212" max="9212" width="7.7109375" style="1662" customWidth="1"/>
    <col min="9213" max="9214" width="6.140625" style="1662" customWidth="1"/>
    <col min="9215" max="9215" width="6.42578125" style="1662" customWidth="1"/>
    <col min="9216" max="9216" width="6.85546875" style="1662" customWidth="1"/>
    <col min="9217" max="9217" width="12.5703125" style="1662" customWidth="1"/>
    <col min="9218" max="9218" width="12" style="1662" customWidth="1"/>
    <col min="9219" max="9219" width="12.140625" style="1662" customWidth="1"/>
    <col min="9220" max="9220" width="14.28515625" style="1662" customWidth="1"/>
    <col min="9221" max="9466" width="9.140625" style="1662"/>
    <col min="9467" max="9467" width="5.42578125" style="1662" customWidth="1"/>
    <col min="9468" max="9468" width="7.7109375" style="1662" customWidth="1"/>
    <col min="9469" max="9470" width="6.140625" style="1662" customWidth="1"/>
    <col min="9471" max="9471" width="6.42578125" style="1662" customWidth="1"/>
    <col min="9472" max="9472" width="6.85546875" style="1662" customWidth="1"/>
    <col min="9473" max="9473" width="12.5703125" style="1662" customWidth="1"/>
    <col min="9474" max="9474" width="12" style="1662" customWidth="1"/>
    <col min="9475" max="9475" width="12.140625" style="1662" customWidth="1"/>
    <col min="9476" max="9476" width="14.28515625" style="1662" customWidth="1"/>
    <col min="9477" max="9722" width="9.140625" style="1662"/>
    <col min="9723" max="9723" width="5.42578125" style="1662" customWidth="1"/>
    <col min="9724" max="9724" width="7.7109375" style="1662" customWidth="1"/>
    <col min="9725" max="9726" width="6.140625" style="1662" customWidth="1"/>
    <col min="9727" max="9727" width="6.42578125" style="1662" customWidth="1"/>
    <col min="9728" max="9728" width="6.85546875" style="1662" customWidth="1"/>
    <col min="9729" max="9729" width="12.5703125" style="1662" customWidth="1"/>
    <col min="9730" max="9730" width="12" style="1662" customWidth="1"/>
    <col min="9731" max="9731" width="12.140625" style="1662" customWidth="1"/>
    <col min="9732" max="9732" width="14.28515625" style="1662" customWidth="1"/>
    <col min="9733" max="9978" width="9.140625" style="1662"/>
    <col min="9979" max="9979" width="5.42578125" style="1662" customWidth="1"/>
    <col min="9980" max="9980" width="7.7109375" style="1662" customWidth="1"/>
    <col min="9981" max="9982" width="6.140625" style="1662" customWidth="1"/>
    <col min="9983" max="9983" width="6.42578125" style="1662" customWidth="1"/>
    <col min="9984" max="9984" width="6.85546875" style="1662" customWidth="1"/>
    <col min="9985" max="9985" width="12.5703125" style="1662" customWidth="1"/>
    <col min="9986" max="9986" width="12" style="1662" customWidth="1"/>
    <col min="9987" max="9987" width="12.140625" style="1662" customWidth="1"/>
    <col min="9988" max="9988" width="14.28515625" style="1662" customWidth="1"/>
    <col min="9989" max="10234" width="9.140625" style="1662"/>
    <col min="10235" max="10235" width="5.42578125" style="1662" customWidth="1"/>
    <col min="10236" max="10236" width="7.7109375" style="1662" customWidth="1"/>
    <col min="10237" max="10238" width="6.140625" style="1662" customWidth="1"/>
    <col min="10239" max="10239" width="6.42578125" style="1662" customWidth="1"/>
    <col min="10240" max="10240" width="6.85546875" style="1662" customWidth="1"/>
    <col min="10241" max="10241" width="12.5703125" style="1662" customWidth="1"/>
    <col min="10242" max="10242" width="12" style="1662" customWidth="1"/>
    <col min="10243" max="10243" width="12.140625" style="1662" customWidth="1"/>
    <col min="10244" max="10244" width="14.28515625" style="1662" customWidth="1"/>
    <col min="10245" max="10490" width="9.140625" style="1662"/>
    <col min="10491" max="10491" width="5.42578125" style="1662" customWidth="1"/>
    <col min="10492" max="10492" width="7.7109375" style="1662" customWidth="1"/>
    <col min="10493" max="10494" width="6.140625" style="1662" customWidth="1"/>
    <col min="10495" max="10495" width="6.42578125" style="1662" customWidth="1"/>
    <col min="10496" max="10496" width="6.85546875" style="1662" customWidth="1"/>
    <col min="10497" max="10497" width="12.5703125" style="1662" customWidth="1"/>
    <col min="10498" max="10498" width="12" style="1662" customWidth="1"/>
    <col min="10499" max="10499" width="12.140625" style="1662" customWidth="1"/>
    <col min="10500" max="10500" width="14.28515625" style="1662" customWidth="1"/>
    <col min="10501" max="10746" width="9.140625" style="1662"/>
    <col min="10747" max="10747" width="5.42578125" style="1662" customWidth="1"/>
    <col min="10748" max="10748" width="7.7109375" style="1662" customWidth="1"/>
    <col min="10749" max="10750" width="6.140625" style="1662" customWidth="1"/>
    <col min="10751" max="10751" width="6.42578125" style="1662" customWidth="1"/>
    <col min="10752" max="10752" width="6.85546875" style="1662" customWidth="1"/>
    <col min="10753" max="10753" width="12.5703125" style="1662" customWidth="1"/>
    <col min="10754" max="10754" width="12" style="1662" customWidth="1"/>
    <col min="10755" max="10755" width="12.140625" style="1662" customWidth="1"/>
    <col min="10756" max="10756" width="14.28515625" style="1662" customWidth="1"/>
    <col min="10757" max="11002" width="9.140625" style="1662"/>
    <col min="11003" max="11003" width="5.42578125" style="1662" customWidth="1"/>
    <col min="11004" max="11004" width="7.7109375" style="1662" customWidth="1"/>
    <col min="11005" max="11006" width="6.140625" style="1662" customWidth="1"/>
    <col min="11007" max="11007" width="6.42578125" style="1662" customWidth="1"/>
    <col min="11008" max="11008" width="6.85546875" style="1662" customWidth="1"/>
    <col min="11009" max="11009" width="12.5703125" style="1662" customWidth="1"/>
    <col min="11010" max="11010" width="12" style="1662" customWidth="1"/>
    <col min="11011" max="11011" width="12.140625" style="1662" customWidth="1"/>
    <col min="11012" max="11012" width="14.28515625" style="1662" customWidth="1"/>
    <col min="11013" max="11258" width="9.140625" style="1662"/>
    <col min="11259" max="11259" width="5.42578125" style="1662" customWidth="1"/>
    <col min="11260" max="11260" width="7.7109375" style="1662" customWidth="1"/>
    <col min="11261" max="11262" width="6.140625" style="1662" customWidth="1"/>
    <col min="11263" max="11263" width="6.42578125" style="1662" customWidth="1"/>
    <col min="11264" max="11264" width="6.85546875" style="1662" customWidth="1"/>
    <col min="11265" max="11265" width="12.5703125" style="1662" customWidth="1"/>
    <col min="11266" max="11266" width="12" style="1662" customWidth="1"/>
    <col min="11267" max="11267" width="12.140625" style="1662" customWidth="1"/>
    <col min="11268" max="11268" width="14.28515625" style="1662" customWidth="1"/>
    <col min="11269" max="11514" width="9.140625" style="1662"/>
    <col min="11515" max="11515" width="5.42578125" style="1662" customWidth="1"/>
    <col min="11516" max="11516" width="7.7109375" style="1662" customWidth="1"/>
    <col min="11517" max="11518" width="6.140625" style="1662" customWidth="1"/>
    <col min="11519" max="11519" width="6.42578125" style="1662" customWidth="1"/>
    <col min="11520" max="11520" width="6.85546875" style="1662" customWidth="1"/>
    <col min="11521" max="11521" width="12.5703125" style="1662" customWidth="1"/>
    <col min="11522" max="11522" width="12" style="1662" customWidth="1"/>
    <col min="11523" max="11523" width="12.140625" style="1662" customWidth="1"/>
    <col min="11524" max="11524" width="14.28515625" style="1662" customWidth="1"/>
    <col min="11525" max="11770" width="9.140625" style="1662"/>
    <col min="11771" max="11771" width="5.42578125" style="1662" customWidth="1"/>
    <col min="11772" max="11772" width="7.7109375" style="1662" customWidth="1"/>
    <col min="11773" max="11774" width="6.140625" style="1662" customWidth="1"/>
    <col min="11775" max="11775" width="6.42578125" style="1662" customWidth="1"/>
    <col min="11776" max="11776" width="6.85546875" style="1662" customWidth="1"/>
    <col min="11777" max="11777" width="12.5703125" style="1662" customWidth="1"/>
    <col min="11778" max="11778" width="12" style="1662" customWidth="1"/>
    <col min="11779" max="11779" width="12.140625" style="1662" customWidth="1"/>
    <col min="11780" max="11780" width="14.28515625" style="1662" customWidth="1"/>
    <col min="11781" max="12026" width="9.140625" style="1662"/>
    <col min="12027" max="12027" width="5.42578125" style="1662" customWidth="1"/>
    <col min="12028" max="12028" width="7.7109375" style="1662" customWidth="1"/>
    <col min="12029" max="12030" width="6.140625" style="1662" customWidth="1"/>
    <col min="12031" max="12031" width="6.42578125" style="1662" customWidth="1"/>
    <col min="12032" max="12032" width="6.85546875" style="1662" customWidth="1"/>
    <col min="12033" max="12033" width="12.5703125" style="1662" customWidth="1"/>
    <col min="12034" max="12034" width="12" style="1662" customWidth="1"/>
    <col min="12035" max="12035" width="12.140625" style="1662" customWidth="1"/>
    <col min="12036" max="12036" width="14.28515625" style="1662" customWidth="1"/>
    <col min="12037" max="12282" width="9.140625" style="1662"/>
    <col min="12283" max="12283" width="5.42578125" style="1662" customWidth="1"/>
    <col min="12284" max="12284" width="7.7109375" style="1662" customWidth="1"/>
    <col min="12285" max="12286" width="6.140625" style="1662" customWidth="1"/>
    <col min="12287" max="12287" width="6.42578125" style="1662" customWidth="1"/>
    <col min="12288" max="12288" width="6.85546875" style="1662" customWidth="1"/>
    <col min="12289" max="12289" width="12.5703125" style="1662" customWidth="1"/>
    <col min="12290" max="12290" width="12" style="1662" customWidth="1"/>
    <col min="12291" max="12291" width="12.140625" style="1662" customWidth="1"/>
    <col min="12292" max="12292" width="14.28515625" style="1662" customWidth="1"/>
    <col min="12293" max="12538" width="9.140625" style="1662"/>
    <col min="12539" max="12539" width="5.42578125" style="1662" customWidth="1"/>
    <col min="12540" max="12540" width="7.7109375" style="1662" customWidth="1"/>
    <col min="12541" max="12542" width="6.140625" style="1662" customWidth="1"/>
    <col min="12543" max="12543" width="6.42578125" style="1662" customWidth="1"/>
    <col min="12544" max="12544" width="6.85546875" style="1662" customWidth="1"/>
    <col min="12545" max="12545" width="12.5703125" style="1662" customWidth="1"/>
    <col min="12546" max="12546" width="12" style="1662" customWidth="1"/>
    <col min="12547" max="12547" width="12.140625" style="1662" customWidth="1"/>
    <col min="12548" max="12548" width="14.28515625" style="1662" customWidth="1"/>
    <col min="12549" max="12794" width="9.140625" style="1662"/>
    <col min="12795" max="12795" width="5.42578125" style="1662" customWidth="1"/>
    <col min="12796" max="12796" width="7.7109375" style="1662" customWidth="1"/>
    <col min="12797" max="12798" width="6.140625" style="1662" customWidth="1"/>
    <col min="12799" max="12799" width="6.42578125" style="1662" customWidth="1"/>
    <col min="12800" max="12800" width="6.85546875" style="1662" customWidth="1"/>
    <col min="12801" max="12801" width="12.5703125" style="1662" customWidth="1"/>
    <col min="12802" max="12802" width="12" style="1662" customWidth="1"/>
    <col min="12803" max="12803" width="12.140625" style="1662" customWidth="1"/>
    <col min="12804" max="12804" width="14.28515625" style="1662" customWidth="1"/>
    <col min="12805" max="13050" width="9.140625" style="1662"/>
    <col min="13051" max="13051" width="5.42578125" style="1662" customWidth="1"/>
    <col min="13052" max="13052" width="7.7109375" style="1662" customWidth="1"/>
    <col min="13053" max="13054" width="6.140625" style="1662" customWidth="1"/>
    <col min="13055" max="13055" width="6.42578125" style="1662" customWidth="1"/>
    <col min="13056" max="13056" width="6.85546875" style="1662" customWidth="1"/>
    <col min="13057" max="13057" width="12.5703125" style="1662" customWidth="1"/>
    <col min="13058" max="13058" width="12" style="1662" customWidth="1"/>
    <col min="13059" max="13059" width="12.140625" style="1662" customWidth="1"/>
    <col min="13060" max="13060" width="14.28515625" style="1662" customWidth="1"/>
    <col min="13061" max="13306" width="9.140625" style="1662"/>
    <col min="13307" max="13307" width="5.42578125" style="1662" customWidth="1"/>
    <col min="13308" max="13308" width="7.7109375" style="1662" customWidth="1"/>
    <col min="13309" max="13310" width="6.140625" style="1662" customWidth="1"/>
    <col min="13311" max="13311" width="6.42578125" style="1662" customWidth="1"/>
    <col min="13312" max="13312" width="6.85546875" style="1662" customWidth="1"/>
    <col min="13313" max="13313" width="12.5703125" style="1662" customWidth="1"/>
    <col min="13314" max="13314" width="12" style="1662" customWidth="1"/>
    <col min="13315" max="13315" width="12.140625" style="1662" customWidth="1"/>
    <col min="13316" max="13316" width="14.28515625" style="1662" customWidth="1"/>
    <col min="13317" max="13562" width="9.140625" style="1662"/>
    <col min="13563" max="13563" width="5.42578125" style="1662" customWidth="1"/>
    <col min="13564" max="13564" width="7.7109375" style="1662" customWidth="1"/>
    <col min="13565" max="13566" width="6.140625" style="1662" customWidth="1"/>
    <col min="13567" max="13567" width="6.42578125" style="1662" customWidth="1"/>
    <col min="13568" max="13568" width="6.85546875" style="1662" customWidth="1"/>
    <col min="13569" max="13569" width="12.5703125" style="1662" customWidth="1"/>
    <col min="13570" max="13570" width="12" style="1662" customWidth="1"/>
    <col min="13571" max="13571" width="12.140625" style="1662" customWidth="1"/>
    <col min="13572" max="13572" width="14.28515625" style="1662" customWidth="1"/>
    <col min="13573" max="13818" width="9.140625" style="1662"/>
    <col min="13819" max="13819" width="5.42578125" style="1662" customWidth="1"/>
    <col min="13820" max="13820" width="7.7109375" style="1662" customWidth="1"/>
    <col min="13821" max="13822" width="6.140625" style="1662" customWidth="1"/>
    <col min="13823" max="13823" width="6.42578125" style="1662" customWidth="1"/>
    <col min="13824" max="13824" width="6.85546875" style="1662" customWidth="1"/>
    <col min="13825" max="13825" width="12.5703125" style="1662" customWidth="1"/>
    <col min="13826" max="13826" width="12" style="1662" customWidth="1"/>
    <col min="13827" max="13827" width="12.140625" style="1662" customWidth="1"/>
    <col min="13828" max="13828" width="14.28515625" style="1662" customWidth="1"/>
    <col min="13829" max="14074" width="9.140625" style="1662"/>
    <col min="14075" max="14075" width="5.42578125" style="1662" customWidth="1"/>
    <col min="14076" max="14076" width="7.7109375" style="1662" customWidth="1"/>
    <col min="14077" max="14078" width="6.140625" style="1662" customWidth="1"/>
    <col min="14079" max="14079" width="6.42578125" style="1662" customWidth="1"/>
    <col min="14080" max="14080" width="6.85546875" style="1662" customWidth="1"/>
    <col min="14081" max="14081" width="12.5703125" style="1662" customWidth="1"/>
    <col min="14082" max="14082" width="12" style="1662" customWidth="1"/>
    <col min="14083" max="14083" width="12.140625" style="1662" customWidth="1"/>
    <col min="14084" max="14084" width="14.28515625" style="1662" customWidth="1"/>
    <col min="14085" max="14330" width="9.140625" style="1662"/>
    <col min="14331" max="14331" width="5.42578125" style="1662" customWidth="1"/>
    <col min="14332" max="14332" width="7.7109375" style="1662" customWidth="1"/>
    <col min="14333" max="14334" width="6.140625" style="1662" customWidth="1"/>
    <col min="14335" max="14335" width="6.42578125" style="1662" customWidth="1"/>
    <col min="14336" max="14336" width="6.85546875" style="1662" customWidth="1"/>
    <col min="14337" max="14337" width="12.5703125" style="1662" customWidth="1"/>
    <col min="14338" max="14338" width="12" style="1662" customWidth="1"/>
    <col min="14339" max="14339" width="12.140625" style="1662" customWidth="1"/>
    <col min="14340" max="14340" width="14.28515625" style="1662" customWidth="1"/>
    <col min="14341" max="14586" width="9.140625" style="1662"/>
    <col min="14587" max="14587" width="5.42578125" style="1662" customWidth="1"/>
    <col min="14588" max="14588" width="7.7109375" style="1662" customWidth="1"/>
    <col min="14589" max="14590" width="6.140625" style="1662" customWidth="1"/>
    <col min="14591" max="14591" width="6.42578125" style="1662" customWidth="1"/>
    <col min="14592" max="14592" width="6.85546875" style="1662" customWidth="1"/>
    <col min="14593" max="14593" width="12.5703125" style="1662" customWidth="1"/>
    <col min="14594" max="14594" width="12" style="1662" customWidth="1"/>
    <col min="14595" max="14595" width="12.140625" style="1662" customWidth="1"/>
    <col min="14596" max="14596" width="14.28515625" style="1662" customWidth="1"/>
    <col min="14597" max="14842" width="9.140625" style="1662"/>
    <col min="14843" max="14843" width="5.42578125" style="1662" customWidth="1"/>
    <col min="14844" max="14844" width="7.7109375" style="1662" customWidth="1"/>
    <col min="14845" max="14846" width="6.140625" style="1662" customWidth="1"/>
    <col min="14847" max="14847" width="6.42578125" style="1662" customWidth="1"/>
    <col min="14848" max="14848" width="6.85546875" style="1662" customWidth="1"/>
    <col min="14849" max="14849" width="12.5703125" style="1662" customWidth="1"/>
    <col min="14850" max="14850" width="12" style="1662" customWidth="1"/>
    <col min="14851" max="14851" width="12.140625" style="1662" customWidth="1"/>
    <col min="14852" max="14852" width="14.28515625" style="1662" customWidth="1"/>
    <col min="14853" max="15098" width="9.140625" style="1662"/>
    <col min="15099" max="15099" width="5.42578125" style="1662" customWidth="1"/>
    <col min="15100" max="15100" width="7.7109375" style="1662" customWidth="1"/>
    <col min="15101" max="15102" width="6.140625" style="1662" customWidth="1"/>
    <col min="15103" max="15103" width="6.42578125" style="1662" customWidth="1"/>
    <col min="15104" max="15104" width="6.85546875" style="1662" customWidth="1"/>
    <col min="15105" max="15105" width="12.5703125" style="1662" customWidth="1"/>
    <col min="15106" max="15106" width="12" style="1662" customWidth="1"/>
    <col min="15107" max="15107" width="12.140625" style="1662" customWidth="1"/>
    <col min="15108" max="15108" width="14.28515625" style="1662" customWidth="1"/>
    <col min="15109" max="15354" width="9.140625" style="1662"/>
    <col min="15355" max="15355" width="5.42578125" style="1662" customWidth="1"/>
    <col min="15356" max="15356" width="7.7109375" style="1662" customWidth="1"/>
    <col min="15357" max="15358" width="6.140625" style="1662" customWidth="1"/>
    <col min="15359" max="15359" width="6.42578125" style="1662" customWidth="1"/>
    <col min="15360" max="15360" width="6.85546875" style="1662" customWidth="1"/>
    <col min="15361" max="15361" width="12.5703125" style="1662" customWidth="1"/>
    <col min="15362" max="15362" width="12" style="1662" customWidth="1"/>
    <col min="15363" max="15363" width="12.140625" style="1662" customWidth="1"/>
    <col min="15364" max="15364" width="14.28515625" style="1662" customWidth="1"/>
    <col min="15365" max="15610" width="9.140625" style="1662"/>
    <col min="15611" max="15611" width="5.42578125" style="1662" customWidth="1"/>
    <col min="15612" max="15612" width="7.7109375" style="1662" customWidth="1"/>
    <col min="15613" max="15614" width="6.140625" style="1662" customWidth="1"/>
    <col min="15615" max="15615" width="6.42578125" style="1662" customWidth="1"/>
    <col min="15616" max="15616" width="6.85546875" style="1662" customWidth="1"/>
    <col min="15617" max="15617" width="12.5703125" style="1662" customWidth="1"/>
    <col min="15618" max="15618" width="12" style="1662" customWidth="1"/>
    <col min="15619" max="15619" width="12.140625" style="1662" customWidth="1"/>
    <col min="15620" max="15620" width="14.28515625" style="1662" customWidth="1"/>
    <col min="15621" max="15866" width="9.140625" style="1662"/>
    <col min="15867" max="15867" width="5.42578125" style="1662" customWidth="1"/>
    <col min="15868" max="15868" width="7.7109375" style="1662" customWidth="1"/>
    <col min="15869" max="15870" width="6.140625" style="1662" customWidth="1"/>
    <col min="15871" max="15871" width="6.42578125" style="1662" customWidth="1"/>
    <col min="15872" max="15872" width="6.85546875" style="1662" customWidth="1"/>
    <col min="15873" max="15873" width="12.5703125" style="1662" customWidth="1"/>
    <col min="15874" max="15874" width="12" style="1662" customWidth="1"/>
    <col min="15875" max="15875" width="12.140625" style="1662" customWidth="1"/>
    <col min="15876" max="15876" width="14.28515625" style="1662" customWidth="1"/>
    <col min="15877" max="16122" width="9.140625" style="1662"/>
    <col min="16123" max="16123" width="5.42578125" style="1662" customWidth="1"/>
    <col min="16124" max="16124" width="7.7109375" style="1662" customWidth="1"/>
    <col min="16125" max="16126" width="6.140625" style="1662" customWidth="1"/>
    <col min="16127" max="16127" width="6.42578125" style="1662" customWidth="1"/>
    <col min="16128" max="16128" width="6.85546875" style="1662" customWidth="1"/>
    <col min="16129" max="16129" width="12.5703125" style="1662" customWidth="1"/>
    <col min="16130" max="16130" width="12" style="1662" customWidth="1"/>
    <col min="16131" max="16131" width="12.140625" style="1662" customWidth="1"/>
    <col min="16132" max="16132" width="14.28515625" style="1662" customWidth="1"/>
    <col min="16133" max="16384" width="9.140625" style="1662"/>
  </cols>
  <sheetData>
    <row r="1" spans="1:4" ht="16.5" customHeight="1">
      <c r="D1" s="1663" t="s">
        <v>140</v>
      </c>
    </row>
    <row r="2" spans="1:4" ht="23.25" customHeight="1">
      <c r="A2" s="4985" t="s">
        <v>1289</v>
      </c>
      <c r="B2" s="4986"/>
      <c r="C2" s="4986"/>
      <c r="D2" s="4986"/>
    </row>
    <row r="3" spans="1:4" ht="21" customHeight="1">
      <c r="A3" s="4985" t="s">
        <v>1175</v>
      </c>
      <c r="B3" s="4985"/>
      <c r="C3" s="4985"/>
      <c r="D3" s="4985"/>
    </row>
    <row r="4" spans="1:4" ht="23.25" customHeight="1">
      <c r="A4" s="4987" t="str">
        <f>'Приложение '!A3:D3</f>
        <v>на "ВОДОСНАБДЯВАНЕ И КАНАЛИЗАЦИЯ" ЕООД, гр. БЛАГОЕВГРАД</v>
      </c>
      <c r="B4" s="4987"/>
      <c r="C4" s="4987"/>
      <c r="D4" s="4987"/>
    </row>
    <row r="5" spans="1:4" ht="18" customHeight="1">
      <c r="A5" s="4987" t="str">
        <f>'Приложение '!A4:D4</f>
        <v>ЕИК по БУЛСТАТ: 811047831</v>
      </c>
      <c r="B5" s="4987"/>
      <c r="C5" s="4987"/>
      <c r="D5" s="4987"/>
    </row>
    <row r="6" spans="1:4" ht="13.5" thickBot="1"/>
    <row r="7" spans="1:4" ht="15.75">
      <c r="A7" s="4988" t="s">
        <v>1</v>
      </c>
      <c r="B7" s="4990" t="s">
        <v>86</v>
      </c>
      <c r="C7" s="4991"/>
      <c r="D7" s="4992"/>
    </row>
    <row r="8" spans="1:4" ht="16.5" thickBot="1">
      <c r="A8" s="4989"/>
      <c r="B8" s="1664" t="s">
        <v>87</v>
      </c>
      <c r="C8" s="4993" t="s">
        <v>88</v>
      </c>
      <c r="D8" s="4994"/>
    </row>
    <row r="9" spans="1:4" ht="16.5" thickBot="1">
      <c r="A9" s="1665" t="s">
        <v>141</v>
      </c>
      <c r="B9" s="1666" t="s">
        <v>142</v>
      </c>
      <c r="C9" s="4995"/>
      <c r="D9" s="4996"/>
    </row>
    <row r="10" spans="1:4" ht="15.75">
      <c r="A10" s="1667" t="s">
        <v>90</v>
      </c>
      <c r="B10" s="1668" t="s">
        <v>143</v>
      </c>
      <c r="C10" s="354" t="str">
        <f>'Приложение '!C8&amp;", "&amp;'Приложение '!C9:D9</f>
        <v>"ВОДОСНАБДЯВАНЕ И КАНАЛИЗАЦИЯ" ЕООД, БЛАГОЕВГРАД</v>
      </c>
      <c r="D10" s="355"/>
    </row>
    <row r="11" spans="1:4" ht="15.75">
      <c r="A11" s="1667"/>
      <c r="B11" s="1669" t="s">
        <v>94</v>
      </c>
      <c r="C11" s="3959" t="str">
        <f>'Приложение '!C10</f>
        <v>811047831</v>
      </c>
      <c r="D11" s="356"/>
    </row>
    <row r="12" spans="1:4" ht="15.75">
      <c r="A12" s="1670" t="s">
        <v>93</v>
      </c>
      <c r="B12" s="1669" t="s">
        <v>144</v>
      </c>
      <c r="C12" s="4997" t="s">
        <v>1985</v>
      </c>
      <c r="D12" s="4998"/>
    </row>
    <row r="13" spans="1:4" ht="15.75">
      <c r="A13" s="1670" t="s">
        <v>145</v>
      </c>
      <c r="B13" s="1669" t="s">
        <v>146</v>
      </c>
      <c r="C13" s="4997" t="s">
        <v>1985</v>
      </c>
      <c r="D13" s="4998"/>
    </row>
    <row r="14" spans="1:4" ht="15.75">
      <c r="A14" s="1670"/>
      <c r="B14" s="1669" t="s">
        <v>1768</v>
      </c>
      <c r="C14" s="4905" t="s">
        <v>1986</v>
      </c>
      <c r="D14" s="3925"/>
    </row>
    <row r="15" spans="1:4" ht="15.75">
      <c r="A15" s="1670" t="s">
        <v>147</v>
      </c>
      <c r="B15" s="1669" t="s">
        <v>148</v>
      </c>
      <c r="C15" s="4997" t="s">
        <v>1947</v>
      </c>
      <c r="D15" s="4998"/>
    </row>
    <row r="16" spans="1:4" ht="15.75">
      <c r="A16" s="1670" t="s">
        <v>149</v>
      </c>
      <c r="B16" s="1669" t="s">
        <v>150</v>
      </c>
      <c r="C16" s="4997" t="s">
        <v>1987</v>
      </c>
      <c r="D16" s="4998"/>
    </row>
    <row r="17" spans="1:4" ht="15.75">
      <c r="A17" s="1670" t="s">
        <v>151</v>
      </c>
      <c r="B17" s="1669" t="s">
        <v>152</v>
      </c>
      <c r="C17" s="4997" t="s">
        <v>1988</v>
      </c>
      <c r="D17" s="4998"/>
    </row>
    <row r="18" spans="1:4" ht="15.75">
      <c r="A18" s="1670" t="s">
        <v>153</v>
      </c>
      <c r="B18" s="1669" t="s">
        <v>154</v>
      </c>
      <c r="C18" s="4997" t="s">
        <v>1989</v>
      </c>
      <c r="D18" s="4998"/>
    </row>
    <row r="19" spans="1:4" ht="15.75">
      <c r="A19" s="1670" t="s">
        <v>155</v>
      </c>
      <c r="B19" s="1669" t="s">
        <v>156</v>
      </c>
      <c r="C19" s="4997"/>
      <c r="D19" s="4998"/>
    </row>
    <row r="20" spans="1:4" ht="15.75">
      <c r="A20" s="1670"/>
      <c r="B20" s="1669"/>
      <c r="C20" s="4930"/>
      <c r="D20" s="4931"/>
    </row>
    <row r="21" spans="1:4" ht="15.75">
      <c r="A21" s="1670"/>
      <c r="B21" s="1669"/>
      <c r="C21" s="4930"/>
      <c r="D21" s="4931"/>
    </row>
    <row r="22" spans="1:4" ht="15.75">
      <c r="A22" s="1670"/>
      <c r="B22" s="1669"/>
      <c r="C22" s="4930"/>
      <c r="D22" s="4931"/>
    </row>
    <row r="23" spans="1:4" ht="15.75">
      <c r="A23" s="1670"/>
      <c r="B23" s="1669"/>
      <c r="C23" s="4930"/>
      <c r="D23" s="4931"/>
    </row>
    <row r="24" spans="1:4" ht="15.75">
      <c r="A24" s="1670"/>
      <c r="B24" s="1669"/>
      <c r="C24" s="4930"/>
      <c r="D24" s="4931"/>
    </row>
    <row r="25" spans="1:4" ht="16.5" thickBot="1">
      <c r="A25" s="1671"/>
      <c r="B25" s="1672"/>
      <c r="C25" s="4983" t="s">
        <v>1114</v>
      </c>
      <c r="D25" s="4984"/>
    </row>
    <row r="26" spans="1:4" s="3960" customFormat="1" ht="16.5" thickBot="1">
      <c r="A26" s="1673" t="s">
        <v>95</v>
      </c>
      <c r="B26" s="1674" t="s">
        <v>1175</v>
      </c>
      <c r="C26" s="4999"/>
      <c r="D26" s="5000"/>
    </row>
    <row r="27" spans="1:4" s="3960" customFormat="1" ht="19.5" customHeight="1">
      <c r="A27" s="1675" t="s">
        <v>96</v>
      </c>
      <c r="B27" s="1676" t="s">
        <v>1176</v>
      </c>
      <c r="C27" s="5001"/>
      <c r="D27" s="5002"/>
    </row>
    <row r="28" spans="1:4" s="3960" customFormat="1" ht="15.75">
      <c r="A28" s="3917" t="s">
        <v>573</v>
      </c>
      <c r="B28" s="3918" t="s">
        <v>1177</v>
      </c>
      <c r="C28" s="4973" t="str">
        <f>IF('4. Отчет и прогн. потребление'!D9&gt;0,"Да","Не")</f>
        <v>Да</v>
      </c>
      <c r="D28" s="4974"/>
    </row>
    <row r="29" spans="1:4" s="3960" customFormat="1" ht="15.75">
      <c r="A29" s="3917" t="s">
        <v>577</v>
      </c>
      <c r="B29" s="3918" t="s">
        <v>1178</v>
      </c>
      <c r="C29" s="4973" t="str">
        <f>IF('4. Отчет и прогн. потребление'!D48&gt;0,"Да","Не")</f>
        <v>Да</v>
      </c>
      <c r="D29" s="4974"/>
    </row>
    <row r="30" spans="1:4" s="3960" customFormat="1" ht="15.75">
      <c r="A30" s="3917" t="s">
        <v>1179</v>
      </c>
      <c r="B30" s="3918" t="s">
        <v>1180</v>
      </c>
      <c r="C30" s="4973" t="str">
        <f>IF('4. Отчет и прогн. потребление'!D53&gt;0,"Да","Не")</f>
        <v>Да</v>
      </c>
      <c r="D30" s="4974"/>
    </row>
    <row r="31" spans="1:4" s="3960" customFormat="1" ht="15.75">
      <c r="A31" s="1675" t="s">
        <v>1181</v>
      </c>
      <c r="B31" s="1677" t="s">
        <v>1029</v>
      </c>
      <c r="C31" s="4973" t="str">
        <f>IF('4. Отчет и прогн. потребление'!D62&gt;0,"Да","Не")</f>
        <v>Не</v>
      </c>
      <c r="D31" s="4974"/>
    </row>
    <row r="32" spans="1:4" s="3960" customFormat="1" ht="15.75">
      <c r="A32" s="1675" t="s">
        <v>1182</v>
      </c>
      <c r="B32" s="1677" t="s">
        <v>1183</v>
      </c>
      <c r="C32" s="4973" t="str">
        <f>IF(OR(C33="Да",C34="Да",C35="Да"),"Да","Не")</f>
        <v>Не</v>
      </c>
      <c r="D32" s="4974"/>
    </row>
    <row r="33" spans="1:5" s="3960" customFormat="1" ht="15.75">
      <c r="A33" s="1675" t="s">
        <v>1184</v>
      </c>
      <c r="B33" s="608"/>
      <c r="C33" s="4973" t="str">
        <f>IF('4.2. Продад. и закупени кол-ва'!D10&gt;0,"Да","Не")</f>
        <v>Не</v>
      </c>
      <c r="D33" s="4974"/>
    </row>
    <row r="34" spans="1:5" s="3960" customFormat="1" ht="15.75">
      <c r="A34" s="1675" t="s">
        <v>1185</v>
      </c>
      <c r="B34" s="608"/>
      <c r="C34" s="4973" t="str">
        <f>IF('4.2. Продад. и закупени кол-ва'!D29&gt;0,"Да","Не")</f>
        <v>Не</v>
      </c>
      <c r="D34" s="4974"/>
    </row>
    <row r="35" spans="1:5" s="3960" customFormat="1" ht="16.5" thickBot="1">
      <c r="A35" s="1675" t="s">
        <v>1186</v>
      </c>
      <c r="B35" s="608"/>
      <c r="C35" s="4973" t="str">
        <f>IF('4.2. Продад. и закупени кол-ва'!D48&gt;0,"Да","Не")</f>
        <v>Не</v>
      </c>
      <c r="D35" s="4974"/>
    </row>
    <row r="36" spans="1:5" s="3960" customFormat="1" ht="16.5" thickBot="1">
      <c r="A36" s="1673" t="s">
        <v>99</v>
      </c>
      <c r="B36" s="1674" t="s">
        <v>1187</v>
      </c>
      <c r="C36" s="3961"/>
      <c r="D36" s="3962"/>
    </row>
    <row r="37" spans="1:5" s="3960" customFormat="1" ht="36.75" customHeight="1">
      <c r="A37" s="1678"/>
      <c r="B37" s="1679" t="s">
        <v>1188</v>
      </c>
      <c r="C37" s="4975" t="s">
        <v>1990</v>
      </c>
      <c r="D37" s="4976"/>
    </row>
    <row r="38" spans="1:5" s="3960" customFormat="1" ht="39.75" customHeight="1">
      <c r="A38" s="1678"/>
      <c r="B38" s="1679" t="s">
        <v>1189</v>
      </c>
      <c r="C38" s="4977" t="s">
        <v>1990</v>
      </c>
      <c r="D38" s="4978"/>
    </row>
    <row r="39" spans="1:5" s="3960" customFormat="1" ht="39.75" customHeight="1" thickBot="1">
      <c r="A39" s="1680"/>
      <c r="B39" s="1681" t="s">
        <v>1190</v>
      </c>
      <c r="C39" s="4971" t="s">
        <v>1990</v>
      </c>
      <c r="D39" s="4972"/>
    </row>
    <row r="40" spans="1:5" s="3960" customFormat="1" ht="15.75">
      <c r="A40" s="4771" t="s">
        <v>100</v>
      </c>
      <c r="B40" s="4772" t="s">
        <v>1875</v>
      </c>
      <c r="C40" s="4979">
        <v>1.95583</v>
      </c>
      <c r="D40" s="4980"/>
    </row>
    <row r="41" spans="1:5" ht="13.5" thickBot="1">
      <c r="A41" s="4774"/>
      <c r="B41" s="4773" t="s">
        <v>1872</v>
      </c>
      <c r="C41" s="4981" t="s">
        <v>1899</v>
      </c>
      <c r="D41" s="4982"/>
    </row>
    <row r="42" spans="1:5" ht="22.5" customHeight="1">
      <c r="B42" s="4770"/>
    </row>
    <row r="43" spans="1:5">
      <c r="B43" s="1682" t="str">
        <f>'Приложение '!B82</f>
        <v>Дата: 15.04.2026 г.</v>
      </c>
      <c r="C43" s="1683"/>
      <c r="D43" s="1684"/>
      <c r="E43" s="3963"/>
    </row>
    <row r="44" spans="1:5">
      <c r="C44" s="1685"/>
      <c r="D44" s="1686"/>
    </row>
    <row r="45" spans="1:5">
      <c r="B45" s="1682"/>
      <c r="C45" s="1685"/>
      <c r="D45" s="1687"/>
    </row>
    <row r="46" spans="1:5" ht="15.75">
      <c r="A46" s="1685" t="s">
        <v>555</v>
      </c>
      <c r="B46" s="1688"/>
      <c r="C46" s="1689"/>
      <c r="D46" s="1686"/>
      <c r="E46" s="1689"/>
    </row>
    <row r="47" spans="1:5">
      <c r="A47" s="3934" t="s">
        <v>188</v>
      </c>
      <c r="B47" s="1690"/>
      <c r="C47" s="1689"/>
      <c r="D47" s="1691"/>
      <c r="E47" s="3964"/>
    </row>
    <row r="48" spans="1:5" s="1688" customFormat="1" ht="15.75">
      <c r="A48" s="3934" t="s">
        <v>1438</v>
      </c>
      <c r="C48" s="1692"/>
      <c r="D48" s="1693"/>
    </row>
    <row r="49" spans="1:4" s="1694" customFormat="1" ht="27" customHeight="1">
      <c r="A49" s="4970" t="s">
        <v>1470</v>
      </c>
      <c r="B49" s="4970"/>
      <c r="C49" s="4970"/>
      <c r="D49" s="4970"/>
    </row>
    <row r="50" spans="1:4">
      <c r="C50" s="1695"/>
      <c r="D50" s="1696"/>
    </row>
  </sheetData>
  <sheetProtection algorithmName="SHA-512" hashValue="LBslglHkdTMI3E5LYeaFgCKPcWi0dIYwLlVmXD4SiM/YTuOey/neUtYVOnZuS59yLXTqHxa9imkzKDa+xHRwOA==" saltValue="Eb7X0KgLSUaN2VKFd3zH0A==" spinCount="100000" sheet="1" formatCells="0" formatColumns="0" insertRows="0"/>
  <mergeCells count="37">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49:D49"/>
    <mergeCell ref="C39:D39"/>
    <mergeCell ref="C31:D31"/>
    <mergeCell ref="C34:D34"/>
    <mergeCell ref="C35:D35"/>
    <mergeCell ref="C37:D37"/>
    <mergeCell ref="C38:D38"/>
    <mergeCell ref="C32:D32"/>
    <mergeCell ref="C33:D33"/>
    <mergeCell ref="C40:D40"/>
    <mergeCell ref="C41:D41"/>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I156"/>
  <sheetViews>
    <sheetView showGridLines="0" zoomScale="80" zoomScaleNormal="80" zoomScaleSheetLayoutView="70" workbookViewId="0">
      <pane xSplit="2" ySplit="6" topLeftCell="C7" activePane="bottomRight" state="frozen"/>
      <selection pane="topRight" activeCell="C1" sqref="C1"/>
      <selection pane="bottomLeft" activeCell="A7" sqref="A7"/>
      <selection pane="bottomRight" activeCell="A18" sqref="A18:B18"/>
    </sheetView>
  </sheetViews>
  <sheetFormatPr defaultColWidth="9.140625" defaultRowHeight="12.75"/>
  <cols>
    <col min="1" max="1" width="14.42578125" style="3324" customWidth="1"/>
    <col min="2" max="2" width="61" style="3324" customWidth="1"/>
    <col min="3" max="27" width="9.140625" style="3324"/>
    <col min="28" max="28" width="3.5703125" style="3324" customWidth="1"/>
    <col min="29" max="16384" width="9.140625" style="3324"/>
  </cols>
  <sheetData>
    <row r="1" spans="1:53" ht="19.5" thickBot="1">
      <c r="A1" s="5338" t="str">
        <f>+'1. Обща информация'!B40</f>
        <v>Фиксиран курс на лева към 1 евро</v>
      </c>
      <c r="B1" s="5339"/>
      <c r="C1" s="5340"/>
      <c r="D1" s="5455">
        <f>+'1. Обща информация'!$C$40</f>
        <v>1.95583</v>
      </c>
      <c r="E1" s="5456"/>
      <c r="F1" s="1288"/>
      <c r="G1" s="1288"/>
      <c r="H1" s="1288"/>
      <c r="I1" s="1288"/>
      <c r="J1" s="1288"/>
      <c r="K1" s="1288"/>
      <c r="L1" s="1288"/>
      <c r="M1" s="1288"/>
      <c r="N1" s="1288"/>
      <c r="O1" s="1288"/>
      <c r="P1" s="1288"/>
      <c r="Q1" s="3290" t="s">
        <v>189</v>
      </c>
      <c r="R1" s="5532"/>
      <c r="S1" s="5532"/>
      <c r="T1" s="5532"/>
      <c r="U1" s="5532"/>
      <c r="V1" s="5532"/>
      <c r="W1" s="5532"/>
      <c r="X1" s="5532"/>
      <c r="Y1" s="3323"/>
      <c r="Z1" s="3323"/>
      <c r="AA1" s="3323"/>
      <c r="AC1" s="4826"/>
      <c r="AD1" s="4828"/>
      <c r="AE1" s="4828"/>
      <c r="AF1" s="4827"/>
      <c r="AG1" s="4827"/>
      <c r="AH1" s="4827"/>
      <c r="AI1" s="4827"/>
      <c r="AJ1" s="4827"/>
      <c r="AK1" s="4827"/>
      <c r="AL1" s="4827"/>
      <c r="AM1" s="1288"/>
      <c r="AN1" s="1288"/>
      <c r="AO1" s="1288"/>
      <c r="AP1" s="1288"/>
      <c r="AQ1" s="3290"/>
      <c r="AR1" s="5532"/>
      <c r="AS1" s="5532"/>
      <c r="AT1" s="5532"/>
      <c r="AU1" s="5532"/>
      <c r="AV1" s="5532"/>
      <c r="AW1" s="5532"/>
      <c r="AX1" s="5532"/>
      <c r="AY1" s="3323"/>
      <c r="AZ1" s="3323"/>
      <c r="BA1" s="3323"/>
    </row>
    <row r="2" spans="1:53" ht="18.75" customHeight="1">
      <c r="A2" s="5532" t="s">
        <v>1474</v>
      </c>
      <c r="B2" s="5532"/>
      <c r="C2" s="5532"/>
      <c r="D2" s="5532"/>
      <c r="E2" s="5532"/>
      <c r="F2" s="5532"/>
      <c r="G2" s="5532"/>
      <c r="H2" s="5532"/>
      <c r="I2" s="5532"/>
      <c r="J2" s="5532"/>
      <c r="K2" s="5532"/>
      <c r="L2" s="5532"/>
      <c r="M2" s="5532"/>
      <c r="N2" s="5532"/>
      <c r="O2" s="5532"/>
      <c r="P2" s="5532"/>
      <c r="Q2" s="5532"/>
      <c r="R2" s="5532"/>
      <c r="S2" s="5532"/>
      <c r="T2" s="5532"/>
      <c r="U2" s="5532"/>
      <c r="V2" s="5532"/>
      <c r="W2" s="5532"/>
      <c r="X2" s="5532"/>
      <c r="Y2" s="3323"/>
      <c r="Z2" s="3323"/>
      <c r="AA2" s="3323"/>
      <c r="AC2" s="4826"/>
      <c r="AD2" s="4826"/>
      <c r="AE2" s="4826"/>
      <c r="AF2" s="4826"/>
      <c r="AG2" s="4826"/>
      <c r="AH2" s="4826"/>
      <c r="AI2" s="4826"/>
      <c r="AJ2" s="4826"/>
      <c r="AK2" s="4826"/>
      <c r="AL2" s="4826"/>
      <c r="AR2" s="5532"/>
      <c r="AS2" s="5532"/>
      <c r="AT2" s="5532"/>
      <c r="AU2" s="5532"/>
      <c r="AV2" s="5532"/>
      <c r="AW2" s="5532"/>
      <c r="AX2" s="5532"/>
      <c r="AY2" s="3323"/>
      <c r="AZ2" s="3323"/>
      <c r="BA2" s="3323"/>
    </row>
    <row r="3" spans="1:53" ht="45" customHeight="1">
      <c r="C3" s="5532" t="s">
        <v>1870</v>
      </c>
      <c r="D3" s="5532"/>
      <c r="E3" s="5532"/>
      <c r="F3" s="5532"/>
      <c r="G3" s="5532"/>
      <c r="H3" s="5532"/>
      <c r="I3" s="5532"/>
      <c r="J3" s="5532"/>
      <c r="K3" s="5532"/>
      <c r="L3" s="5532"/>
      <c r="M3" s="1288"/>
      <c r="N3" s="1288"/>
      <c r="O3" s="1288"/>
      <c r="P3" s="1288"/>
      <c r="Q3" s="1288"/>
      <c r="R3" s="1288"/>
      <c r="S3" s="1288"/>
      <c r="T3" s="1288"/>
      <c r="U3" s="1288"/>
      <c r="V3" s="1288"/>
      <c r="W3" s="1288"/>
      <c r="X3" s="1288"/>
      <c r="Y3" s="3323"/>
      <c r="Z3" s="3323"/>
      <c r="AA3" s="3323"/>
      <c r="AC3" s="4827"/>
      <c r="AD3" s="4827"/>
      <c r="AE3" s="4827"/>
      <c r="AF3" s="4827"/>
      <c r="AG3" s="4827"/>
      <c r="AH3" s="4827"/>
      <c r="AI3" s="4827"/>
      <c r="AJ3" s="4827"/>
      <c r="AK3" s="4827"/>
      <c r="AL3" s="4827"/>
      <c r="AM3" s="1288"/>
      <c r="AN3" s="1288"/>
      <c r="AO3" s="1288"/>
      <c r="AP3" s="1288"/>
      <c r="AQ3" s="1288"/>
      <c r="AR3" s="1288"/>
      <c r="AS3" s="1288"/>
      <c r="AT3" s="1288"/>
      <c r="AU3" s="1288"/>
      <c r="AV3" s="1288"/>
      <c r="AW3" s="1288"/>
      <c r="AX3" s="1288"/>
      <c r="AY3" s="3323"/>
      <c r="AZ3" s="3323"/>
      <c r="BA3" s="3323"/>
    </row>
    <row r="4" spans="1:53" ht="18.75">
      <c r="A4" s="5533" t="str">
        <f>'1. Обща информация'!A4:D4</f>
        <v>на "ВОДОСНАБДЯВАНЕ И КАНАЛИЗАЦИЯ" ЕООД, гр. БЛАГОЕВГРАД</v>
      </c>
      <c r="B4" s="5533"/>
      <c r="C4" s="5533"/>
      <c r="D4" s="5533"/>
      <c r="E4" s="5533"/>
      <c r="F4" s="5533"/>
      <c r="G4" s="5533"/>
      <c r="H4" s="5533"/>
      <c r="I4" s="5533"/>
      <c r="J4" s="5533"/>
      <c r="K4" s="5533"/>
      <c r="L4" s="5533"/>
      <c r="M4" s="5533"/>
      <c r="N4" s="5533"/>
      <c r="O4" s="5533"/>
      <c r="P4" s="5533"/>
      <c r="Q4" s="5533"/>
      <c r="S4" s="3325"/>
      <c r="T4" s="3325"/>
      <c r="U4" s="3325"/>
      <c r="V4" s="3325"/>
      <c r="W4" s="3325"/>
      <c r="X4" s="3325"/>
      <c r="Y4" s="3323"/>
      <c r="Z4" s="3323"/>
      <c r="AA4" s="3323"/>
      <c r="AC4" s="4826"/>
      <c r="AD4" s="4826"/>
      <c r="AE4" s="4826"/>
      <c r="AF4" s="4826"/>
      <c r="AG4" s="4826"/>
      <c r="AH4" s="4826"/>
      <c r="AI4" s="4826"/>
      <c r="AJ4" s="4826"/>
      <c r="AK4" s="4826"/>
      <c r="AL4" s="4826"/>
      <c r="AS4" s="3325"/>
      <c r="AT4" s="3325"/>
      <c r="AU4" s="3325"/>
      <c r="AV4" s="3325"/>
      <c r="AW4" s="3325"/>
      <c r="AX4" s="3325"/>
      <c r="AY4" s="3323"/>
      <c r="AZ4" s="3323"/>
      <c r="BA4" s="3323"/>
    </row>
    <row r="5" spans="1:53" ht="18.75">
      <c r="A5" s="5533" t="str">
        <f>'1. Обща информация'!A5:D5</f>
        <v>ЕИК по БУЛСТАТ: 811047831</v>
      </c>
      <c r="B5" s="5533"/>
      <c r="C5" s="5533"/>
      <c r="D5" s="5533"/>
      <c r="E5" s="5533"/>
      <c r="F5" s="5533"/>
      <c r="G5" s="5533"/>
      <c r="H5" s="5533"/>
      <c r="I5" s="5533"/>
      <c r="J5" s="5533"/>
      <c r="K5" s="5533"/>
      <c r="L5" s="5533"/>
      <c r="M5" s="5533"/>
      <c r="N5" s="5533"/>
      <c r="O5" s="5533"/>
      <c r="P5" s="5533"/>
      <c r="Q5" s="5533"/>
      <c r="R5" s="3325"/>
      <c r="S5" s="3325"/>
      <c r="T5" s="3325"/>
      <c r="U5" s="3325"/>
      <c r="V5" s="3325"/>
      <c r="W5" s="3325"/>
      <c r="X5" s="3325"/>
      <c r="Y5" s="3323"/>
      <c r="Z5" s="3323"/>
      <c r="AA5" s="3323"/>
      <c r="AC5" s="4826"/>
      <c r="AD5" s="4826"/>
      <c r="AE5" s="4826"/>
      <c r="AF5" s="4826"/>
      <c r="AG5" s="4826"/>
      <c r="AH5" s="4826"/>
      <c r="AI5" s="4826"/>
      <c r="AJ5" s="4826"/>
      <c r="AK5" s="4826"/>
      <c r="AL5" s="4826"/>
      <c r="AR5" s="3325"/>
      <c r="AS5" s="3325"/>
      <c r="AT5" s="3325"/>
      <c r="AU5" s="3325"/>
      <c r="AV5" s="3325"/>
      <c r="AW5" s="3325"/>
      <c r="AX5" s="3325"/>
      <c r="AY5" s="3323"/>
      <c r="AZ5" s="3323"/>
      <c r="BA5" s="3323"/>
    </row>
    <row r="6" spans="1:53" ht="22.9" customHeight="1">
      <c r="A6" s="3323"/>
      <c r="B6" s="3323"/>
      <c r="C6" s="3323"/>
      <c r="D6" s="3323"/>
      <c r="E6" s="3323"/>
      <c r="F6" s="3323"/>
      <c r="G6" s="3323"/>
      <c r="H6" s="3323"/>
      <c r="I6" s="3323"/>
      <c r="J6" s="3323"/>
      <c r="K6" s="3323"/>
      <c r="L6" s="3323"/>
      <c r="M6" s="3323"/>
      <c r="N6" s="3323"/>
      <c r="O6" s="3323"/>
      <c r="P6" s="3323"/>
      <c r="Q6" s="3323"/>
      <c r="R6" s="3323"/>
      <c r="S6" s="3323"/>
      <c r="T6" s="3323"/>
      <c r="U6" s="3323"/>
      <c r="V6" s="3323"/>
      <c r="W6" s="3323"/>
      <c r="X6" s="3323"/>
      <c r="Y6" s="3323"/>
      <c r="Z6" s="3323"/>
      <c r="AA6" s="3323"/>
      <c r="AC6" s="3323"/>
      <c r="AD6" s="3323"/>
      <c r="AE6" s="3323"/>
      <c r="AF6" s="3323"/>
      <c r="AG6" s="3323"/>
      <c r="AH6" s="3323"/>
      <c r="AI6" s="3323"/>
      <c r="AJ6" s="3323"/>
      <c r="AK6" s="3323"/>
      <c r="AL6" s="3323"/>
      <c r="AM6" s="3323"/>
      <c r="AN6" s="3323"/>
      <c r="AO6" s="3323"/>
      <c r="AP6" s="3323"/>
      <c r="AQ6" s="3323"/>
      <c r="AR6" s="3323"/>
      <c r="AS6" s="3323"/>
      <c r="AT6" s="3323"/>
      <c r="AU6" s="3323"/>
      <c r="AV6" s="3323"/>
      <c r="AW6" s="3323"/>
      <c r="AX6" s="3323"/>
      <c r="AY6" s="3323"/>
      <c r="AZ6" s="3323"/>
      <c r="BA6" s="3323"/>
    </row>
    <row r="7" spans="1:53" ht="16.149999999999999" customHeight="1" thickBot="1">
      <c r="A7" s="3323"/>
      <c r="B7" s="3323"/>
      <c r="C7" s="3323"/>
      <c r="D7" s="3323"/>
      <c r="E7" s="3323"/>
      <c r="F7" s="3323"/>
      <c r="G7" s="3323"/>
      <c r="H7" s="3323"/>
      <c r="I7" s="3323"/>
      <c r="J7" s="3323"/>
      <c r="K7" s="3323"/>
      <c r="L7" s="3323"/>
      <c r="M7" s="3323"/>
      <c r="N7" s="3323"/>
      <c r="O7" s="3323"/>
      <c r="P7" s="3323"/>
      <c r="Q7" s="3323"/>
      <c r="R7" s="3323"/>
      <c r="S7" s="3323"/>
      <c r="T7" s="3323"/>
      <c r="U7" s="3323"/>
      <c r="V7" s="3323"/>
      <c r="W7" s="3323"/>
      <c r="X7" s="3323"/>
      <c r="Y7" s="3323"/>
      <c r="Z7" s="3323"/>
      <c r="AA7" s="3323"/>
      <c r="AC7" s="3323"/>
      <c r="AD7" s="3323"/>
      <c r="AE7" s="3323"/>
      <c r="AF7" s="3323"/>
      <c r="AG7" s="3323"/>
      <c r="AH7" s="3323"/>
      <c r="AI7" s="3323"/>
      <c r="AJ7" s="3323"/>
      <c r="AK7" s="3323"/>
      <c r="AL7" s="3323"/>
      <c r="AM7" s="3323"/>
      <c r="AN7" s="3323"/>
      <c r="AO7" s="3323"/>
      <c r="AP7" s="3323"/>
      <c r="AQ7" s="3323"/>
      <c r="AR7" s="3323"/>
      <c r="AS7" s="3323"/>
      <c r="AT7" s="3323"/>
      <c r="AU7" s="3323"/>
      <c r="AV7" s="3323"/>
      <c r="AW7" s="3323"/>
      <c r="AX7" s="3323"/>
      <c r="AY7" s="3323"/>
      <c r="AZ7" s="3323"/>
      <c r="BA7" s="2558" t="s">
        <v>1891</v>
      </c>
    </row>
    <row r="8" spans="1:53" ht="21" customHeight="1" thickBot="1">
      <c r="A8" s="1551" t="s">
        <v>168</v>
      </c>
      <c r="B8" s="1552"/>
      <c r="C8" s="1552"/>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4775"/>
      <c r="AC8" s="5536" t="str">
        <f>+A8</f>
        <v>Доставяне на вода на потребители</v>
      </c>
      <c r="AD8" s="5537"/>
      <c r="AE8" s="5537"/>
      <c r="AF8" s="5537"/>
      <c r="AG8" s="5537"/>
      <c r="AH8" s="5537"/>
      <c r="AI8" s="5537"/>
      <c r="AJ8" s="5537"/>
      <c r="AK8" s="5537"/>
      <c r="AL8" s="5537"/>
      <c r="AM8" s="5537"/>
      <c r="AN8" s="5537"/>
      <c r="AO8" s="5537"/>
      <c r="AP8" s="5537"/>
      <c r="AQ8" s="5537"/>
      <c r="AR8" s="5537"/>
      <c r="AS8" s="5537"/>
      <c r="AT8" s="5537"/>
      <c r="AU8" s="5537"/>
      <c r="AV8" s="5537"/>
      <c r="AW8" s="5537"/>
      <c r="AX8" s="5537"/>
      <c r="AY8" s="5537"/>
      <c r="AZ8" s="5537"/>
      <c r="BA8" s="5538"/>
    </row>
    <row r="9" spans="1:53" ht="21" customHeight="1" thickBot="1">
      <c r="A9" s="5513" t="s">
        <v>1175</v>
      </c>
      <c r="B9" s="5514"/>
      <c r="C9" s="5513">
        <v>1</v>
      </c>
      <c r="D9" s="5534"/>
      <c r="E9" s="5534"/>
      <c r="F9" s="5534"/>
      <c r="G9" s="5534"/>
      <c r="H9" s="5513">
        <f>C9+1</f>
        <v>2</v>
      </c>
      <c r="I9" s="5534"/>
      <c r="J9" s="5534"/>
      <c r="K9" s="5534"/>
      <c r="L9" s="5534"/>
      <c r="M9" s="5513">
        <f>H9+1</f>
        <v>3</v>
      </c>
      <c r="N9" s="5534"/>
      <c r="O9" s="5534"/>
      <c r="P9" s="5534"/>
      <c r="Q9" s="5534"/>
      <c r="R9" s="5513">
        <f>M9+1</f>
        <v>4</v>
      </c>
      <c r="S9" s="5534"/>
      <c r="T9" s="5534"/>
      <c r="U9" s="5534"/>
      <c r="V9" s="5534"/>
      <c r="W9" s="5513">
        <f>R9+1</f>
        <v>5</v>
      </c>
      <c r="X9" s="5534"/>
      <c r="Y9" s="5534"/>
      <c r="Z9" s="5534"/>
      <c r="AA9" s="5534"/>
      <c r="AB9" s="4775"/>
      <c r="AC9" s="5368">
        <f>+C9</f>
        <v>1</v>
      </c>
      <c r="AD9" s="5368"/>
      <c r="AE9" s="5368"/>
      <c r="AF9" s="5368"/>
      <c r="AG9" s="5368"/>
      <c r="AH9" s="5368">
        <f>+H9</f>
        <v>2</v>
      </c>
      <c r="AI9" s="5368"/>
      <c r="AJ9" s="5368"/>
      <c r="AK9" s="5368"/>
      <c r="AL9" s="5368"/>
      <c r="AM9" s="5368">
        <f>+M9</f>
        <v>3</v>
      </c>
      <c r="AN9" s="5368"/>
      <c r="AO9" s="5368"/>
      <c r="AP9" s="5368"/>
      <c r="AQ9" s="5368"/>
      <c r="AR9" s="5368">
        <f>+R9</f>
        <v>4</v>
      </c>
      <c r="AS9" s="5368"/>
      <c r="AT9" s="5368"/>
      <c r="AU9" s="5368"/>
      <c r="AV9" s="5368"/>
      <c r="AW9" s="5368">
        <f>+W9</f>
        <v>5</v>
      </c>
      <c r="AX9" s="5368"/>
      <c r="AY9" s="5368"/>
      <c r="AZ9" s="5368"/>
      <c r="BA9" s="5368"/>
    </row>
    <row r="10" spans="1:53" ht="13.5" thickBot="1">
      <c r="A10" s="5510" t="s">
        <v>1297</v>
      </c>
      <c r="B10" s="3326" t="s">
        <v>1446</v>
      </c>
      <c r="C10" s="5506"/>
      <c r="D10" s="5507"/>
      <c r="E10" s="5507"/>
      <c r="F10" s="5507"/>
      <c r="G10" s="5507"/>
      <c r="H10" s="5506"/>
      <c r="I10" s="5507"/>
      <c r="J10" s="5507"/>
      <c r="K10" s="5507"/>
      <c r="L10" s="5507"/>
      <c r="M10" s="5506"/>
      <c r="N10" s="5507"/>
      <c r="O10" s="5507"/>
      <c r="P10" s="5507"/>
      <c r="Q10" s="5507"/>
      <c r="R10" s="5506"/>
      <c r="S10" s="5507"/>
      <c r="T10" s="5507"/>
      <c r="U10" s="5507"/>
      <c r="V10" s="5507"/>
      <c r="W10" s="5506"/>
      <c r="X10" s="5507"/>
      <c r="Y10" s="5507"/>
      <c r="Z10" s="5507"/>
      <c r="AA10" s="5507"/>
      <c r="AB10" s="4775"/>
      <c r="AC10" s="5535" t="str">
        <f>IF(C10=0,"",C10)</f>
        <v/>
      </c>
      <c r="AD10" s="5535"/>
      <c r="AE10" s="5535"/>
      <c r="AF10" s="5535"/>
      <c r="AG10" s="5535"/>
      <c r="AH10" s="5535" t="str">
        <f>IF(H10=0,"",H10)</f>
        <v/>
      </c>
      <c r="AI10" s="5535"/>
      <c r="AJ10" s="5535"/>
      <c r="AK10" s="5535"/>
      <c r="AL10" s="5535"/>
      <c r="AM10" s="5535" t="str">
        <f>IF(M10=0,"",M10)</f>
        <v/>
      </c>
      <c r="AN10" s="5535"/>
      <c r="AO10" s="5535"/>
      <c r="AP10" s="5535"/>
      <c r="AQ10" s="5535"/>
      <c r="AR10" s="5535" t="str">
        <f>IF(R10=0,"",R10)</f>
        <v/>
      </c>
      <c r="AS10" s="5535"/>
      <c r="AT10" s="5535"/>
      <c r="AU10" s="5535"/>
      <c r="AV10" s="5535"/>
      <c r="AW10" s="5535" t="str">
        <f>IF(W10=0,"",W10)</f>
        <v/>
      </c>
      <c r="AX10" s="5535"/>
      <c r="AY10" s="5535"/>
      <c r="AZ10" s="5535"/>
      <c r="BA10" s="5535"/>
    </row>
    <row r="11" spans="1:53" ht="13.5" thickBot="1">
      <c r="A11" s="5510"/>
      <c r="B11" s="3326" t="s">
        <v>1298</v>
      </c>
      <c r="C11" s="5506"/>
      <c r="D11" s="5507"/>
      <c r="E11" s="5507"/>
      <c r="F11" s="5507"/>
      <c r="G11" s="5507"/>
      <c r="H11" s="5506"/>
      <c r="I11" s="5507"/>
      <c r="J11" s="5507"/>
      <c r="K11" s="5507"/>
      <c r="L11" s="5507"/>
      <c r="M11" s="5506"/>
      <c r="N11" s="5507"/>
      <c r="O11" s="5507"/>
      <c r="P11" s="5507"/>
      <c r="Q11" s="5507"/>
      <c r="R11" s="5506"/>
      <c r="S11" s="5507"/>
      <c r="T11" s="5507"/>
      <c r="U11" s="5507"/>
      <c r="V11" s="5507"/>
      <c r="W11" s="5506"/>
      <c r="X11" s="5507"/>
      <c r="Y11" s="5507"/>
      <c r="Z11" s="5507"/>
      <c r="AA11" s="5507"/>
      <c r="AB11" s="4775"/>
      <c r="AC11" s="5535" t="str">
        <f t="shared" ref="AC11:AC15" si="0">IF(C11=0,"",C11)</f>
        <v/>
      </c>
      <c r="AD11" s="5535"/>
      <c r="AE11" s="5535"/>
      <c r="AF11" s="5535"/>
      <c r="AG11" s="5535"/>
      <c r="AH11" s="5535" t="str">
        <f t="shared" ref="AH11:AH15" si="1">IF(H11=0,"",H11)</f>
        <v/>
      </c>
      <c r="AI11" s="5535"/>
      <c r="AJ11" s="5535"/>
      <c r="AK11" s="5535"/>
      <c r="AL11" s="5535"/>
      <c r="AM11" s="5535" t="str">
        <f t="shared" ref="AM11:AM15" si="2">IF(M11=0,"",M11)</f>
        <v/>
      </c>
      <c r="AN11" s="5535"/>
      <c r="AO11" s="5535"/>
      <c r="AP11" s="5535"/>
      <c r="AQ11" s="5535"/>
      <c r="AR11" s="5535" t="str">
        <f t="shared" ref="AR11:AR15" si="3">IF(R11=0,"",R11)</f>
        <v/>
      </c>
      <c r="AS11" s="5535"/>
      <c r="AT11" s="5535"/>
      <c r="AU11" s="5535"/>
      <c r="AV11" s="5535"/>
      <c r="AW11" s="5535" t="str">
        <f t="shared" ref="AW11:AW15" si="4">IF(W11=0,"",W11)</f>
        <v/>
      </c>
      <c r="AX11" s="5535"/>
      <c r="AY11" s="5535"/>
      <c r="AZ11" s="5535"/>
      <c r="BA11" s="5535"/>
    </row>
    <row r="12" spans="1:53" ht="13.5" thickBot="1">
      <c r="A12" s="5496" t="s">
        <v>1299</v>
      </c>
      <c r="B12" s="3327" t="s">
        <v>1300</v>
      </c>
      <c r="C12" s="5506"/>
      <c r="D12" s="5507"/>
      <c r="E12" s="5507"/>
      <c r="F12" s="5507"/>
      <c r="G12" s="5507"/>
      <c r="H12" s="5506"/>
      <c r="I12" s="5507"/>
      <c r="J12" s="5507"/>
      <c r="K12" s="5507"/>
      <c r="L12" s="5507"/>
      <c r="M12" s="5506"/>
      <c r="N12" s="5507"/>
      <c r="O12" s="5507"/>
      <c r="P12" s="5507"/>
      <c r="Q12" s="5507"/>
      <c r="R12" s="5506"/>
      <c r="S12" s="5507"/>
      <c r="T12" s="5507"/>
      <c r="U12" s="5507"/>
      <c r="V12" s="5507"/>
      <c r="W12" s="5506"/>
      <c r="X12" s="5507"/>
      <c r="Y12" s="5507"/>
      <c r="Z12" s="5507"/>
      <c r="AA12" s="5507"/>
      <c r="AB12" s="4775"/>
      <c r="AC12" s="5535" t="str">
        <f t="shared" si="0"/>
        <v/>
      </c>
      <c r="AD12" s="5535"/>
      <c r="AE12" s="5535"/>
      <c r="AF12" s="5535"/>
      <c r="AG12" s="5535"/>
      <c r="AH12" s="5535" t="str">
        <f t="shared" si="1"/>
        <v/>
      </c>
      <c r="AI12" s="5535"/>
      <c r="AJ12" s="5535"/>
      <c r="AK12" s="5535"/>
      <c r="AL12" s="5535"/>
      <c r="AM12" s="5535" t="str">
        <f t="shared" si="2"/>
        <v/>
      </c>
      <c r="AN12" s="5535"/>
      <c r="AO12" s="5535"/>
      <c r="AP12" s="5535"/>
      <c r="AQ12" s="5535"/>
      <c r="AR12" s="5535" t="str">
        <f t="shared" si="3"/>
        <v/>
      </c>
      <c r="AS12" s="5535"/>
      <c r="AT12" s="5535"/>
      <c r="AU12" s="5535"/>
      <c r="AV12" s="5535"/>
      <c r="AW12" s="5535" t="str">
        <f t="shared" si="4"/>
        <v/>
      </c>
      <c r="AX12" s="5535"/>
      <c r="AY12" s="5535"/>
      <c r="AZ12" s="5535"/>
      <c r="BA12" s="5535"/>
    </row>
    <row r="13" spans="1:53" ht="13.5" thickBot="1">
      <c r="A13" s="5497"/>
      <c r="B13" s="3326" t="s">
        <v>1301</v>
      </c>
      <c r="C13" s="5506"/>
      <c r="D13" s="5507"/>
      <c r="E13" s="5507"/>
      <c r="F13" s="5507"/>
      <c r="G13" s="5507"/>
      <c r="H13" s="5506"/>
      <c r="I13" s="5507"/>
      <c r="J13" s="5507"/>
      <c r="K13" s="5507"/>
      <c r="L13" s="5507"/>
      <c r="M13" s="5506"/>
      <c r="N13" s="5507"/>
      <c r="O13" s="5507"/>
      <c r="P13" s="5507"/>
      <c r="Q13" s="5507"/>
      <c r="R13" s="5506"/>
      <c r="S13" s="5507"/>
      <c r="T13" s="5507"/>
      <c r="U13" s="5507"/>
      <c r="V13" s="5507"/>
      <c r="W13" s="5506"/>
      <c r="X13" s="5507"/>
      <c r="Y13" s="5507"/>
      <c r="Z13" s="5507"/>
      <c r="AA13" s="5507"/>
      <c r="AB13" s="4775"/>
      <c r="AC13" s="5535" t="str">
        <f t="shared" si="0"/>
        <v/>
      </c>
      <c r="AD13" s="5535"/>
      <c r="AE13" s="5535"/>
      <c r="AF13" s="5535"/>
      <c r="AG13" s="5535"/>
      <c r="AH13" s="5535" t="str">
        <f t="shared" si="1"/>
        <v/>
      </c>
      <c r="AI13" s="5535"/>
      <c r="AJ13" s="5535"/>
      <c r="AK13" s="5535"/>
      <c r="AL13" s="5535"/>
      <c r="AM13" s="5535" t="str">
        <f t="shared" si="2"/>
        <v/>
      </c>
      <c r="AN13" s="5535"/>
      <c r="AO13" s="5535"/>
      <c r="AP13" s="5535"/>
      <c r="AQ13" s="5535"/>
      <c r="AR13" s="5535" t="str">
        <f t="shared" si="3"/>
        <v/>
      </c>
      <c r="AS13" s="5535"/>
      <c r="AT13" s="5535"/>
      <c r="AU13" s="5535"/>
      <c r="AV13" s="5535"/>
      <c r="AW13" s="5535" t="str">
        <f t="shared" si="4"/>
        <v/>
      </c>
      <c r="AX13" s="5535"/>
      <c r="AY13" s="5535"/>
      <c r="AZ13" s="5535"/>
      <c r="BA13" s="5535"/>
    </row>
    <row r="14" spans="1:53" ht="26.25" thickBot="1">
      <c r="A14" s="4031" t="s">
        <v>1302</v>
      </c>
      <c r="B14" s="3326" t="s">
        <v>1303</v>
      </c>
      <c r="C14" s="5506"/>
      <c r="D14" s="5507"/>
      <c r="E14" s="5507"/>
      <c r="F14" s="5507"/>
      <c r="G14" s="5507"/>
      <c r="H14" s="5506"/>
      <c r="I14" s="5507"/>
      <c r="J14" s="5507"/>
      <c r="K14" s="5507"/>
      <c r="L14" s="5507"/>
      <c r="M14" s="5506"/>
      <c r="N14" s="5507"/>
      <c r="O14" s="5507"/>
      <c r="P14" s="5507"/>
      <c r="Q14" s="5507"/>
      <c r="R14" s="5506"/>
      <c r="S14" s="5507"/>
      <c r="T14" s="5507"/>
      <c r="U14" s="5507"/>
      <c r="V14" s="5507"/>
      <c r="W14" s="5506"/>
      <c r="X14" s="5507"/>
      <c r="Y14" s="5507"/>
      <c r="Z14" s="5507"/>
      <c r="AA14" s="5507"/>
      <c r="AB14" s="4775"/>
      <c r="AC14" s="5535" t="str">
        <f t="shared" si="0"/>
        <v/>
      </c>
      <c r="AD14" s="5535"/>
      <c r="AE14" s="5535"/>
      <c r="AF14" s="5535"/>
      <c r="AG14" s="5535"/>
      <c r="AH14" s="5535" t="str">
        <f t="shared" si="1"/>
        <v/>
      </c>
      <c r="AI14" s="5535"/>
      <c r="AJ14" s="5535"/>
      <c r="AK14" s="5535"/>
      <c r="AL14" s="5535"/>
      <c r="AM14" s="5535" t="str">
        <f t="shared" si="2"/>
        <v/>
      </c>
      <c r="AN14" s="5535"/>
      <c r="AO14" s="5535"/>
      <c r="AP14" s="5535"/>
      <c r="AQ14" s="5535"/>
      <c r="AR14" s="5535" t="str">
        <f t="shared" si="3"/>
        <v/>
      </c>
      <c r="AS14" s="5535"/>
      <c r="AT14" s="5535"/>
      <c r="AU14" s="5535"/>
      <c r="AV14" s="5535"/>
      <c r="AW14" s="5535" t="str">
        <f t="shared" si="4"/>
        <v/>
      </c>
      <c r="AX14" s="5535"/>
      <c r="AY14" s="5535"/>
      <c r="AZ14" s="5535"/>
      <c r="BA14" s="5535"/>
    </row>
    <row r="15" spans="1:53" ht="26.25" thickBot="1">
      <c r="A15" s="3328" t="s">
        <v>1304</v>
      </c>
      <c r="B15" s="3329" t="s">
        <v>1305</v>
      </c>
      <c r="C15" s="5517"/>
      <c r="D15" s="5518"/>
      <c r="E15" s="5518"/>
      <c r="F15" s="5518"/>
      <c r="G15" s="5518"/>
      <c r="H15" s="5517"/>
      <c r="I15" s="5518"/>
      <c r="J15" s="5518"/>
      <c r="K15" s="5518"/>
      <c r="L15" s="5518"/>
      <c r="M15" s="5517"/>
      <c r="N15" s="5518"/>
      <c r="O15" s="5518"/>
      <c r="P15" s="5518"/>
      <c r="Q15" s="5518"/>
      <c r="R15" s="5517"/>
      <c r="S15" s="5518"/>
      <c r="T15" s="5518"/>
      <c r="U15" s="5518"/>
      <c r="V15" s="5518"/>
      <c r="W15" s="5517"/>
      <c r="X15" s="5518"/>
      <c r="Y15" s="5518"/>
      <c r="Z15" s="5518"/>
      <c r="AA15" s="5518"/>
      <c r="AB15" s="4775"/>
      <c r="AC15" s="5535" t="str">
        <f t="shared" si="0"/>
        <v/>
      </c>
      <c r="AD15" s="5535"/>
      <c r="AE15" s="5535"/>
      <c r="AF15" s="5535"/>
      <c r="AG15" s="5535"/>
      <c r="AH15" s="5535" t="str">
        <f t="shared" si="1"/>
        <v/>
      </c>
      <c r="AI15" s="5535"/>
      <c r="AJ15" s="5535"/>
      <c r="AK15" s="5535"/>
      <c r="AL15" s="5535"/>
      <c r="AM15" s="5535" t="str">
        <f t="shared" si="2"/>
        <v/>
      </c>
      <c r="AN15" s="5535"/>
      <c r="AO15" s="5535"/>
      <c r="AP15" s="5535"/>
      <c r="AQ15" s="5535"/>
      <c r="AR15" s="5535" t="str">
        <f t="shared" si="3"/>
        <v/>
      </c>
      <c r="AS15" s="5535"/>
      <c r="AT15" s="5535"/>
      <c r="AU15" s="5535"/>
      <c r="AV15" s="5535"/>
      <c r="AW15" s="5535" t="str">
        <f t="shared" si="4"/>
        <v/>
      </c>
      <c r="AX15" s="5535"/>
      <c r="AY15" s="5535"/>
      <c r="AZ15" s="5535"/>
      <c r="BA15" s="5535"/>
    </row>
    <row r="16" spans="1:53" ht="13.5" thickBot="1">
      <c r="A16" s="5511" t="s">
        <v>1461</v>
      </c>
      <c r="B16" s="5512"/>
      <c r="C16" s="4516" t="str">
        <f>'Приложение '!$C$14</f>
        <v>2027 г.</v>
      </c>
      <c r="D16" s="4517" t="str">
        <f>'Приложение '!$C$15</f>
        <v>2028 г.</v>
      </c>
      <c r="E16" s="4517" t="str">
        <f>'Приложение '!$C$16</f>
        <v>2029 г.</v>
      </c>
      <c r="F16" s="4517" t="str">
        <f>'Приложение '!$C$17</f>
        <v>2030 г.</v>
      </c>
      <c r="G16" s="4517" t="str">
        <f>'Приложение '!$C$18</f>
        <v>2031 г.</v>
      </c>
      <c r="H16" s="4516" t="str">
        <f>'Приложение '!$C$14</f>
        <v>2027 г.</v>
      </c>
      <c r="I16" s="4517" t="str">
        <f>'Приложение '!$C$15</f>
        <v>2028 г.</v>
      </c>
      <c r="J16" s="4517" t="str">
        <f>'Приложение '!$C$16</f>
        <v>2029 г.</v>
      </c>
      <c r="K16" s="4517" t="str">
        <f>'Приложение '!$C$17</f>
        <v>2030 г.</v>
      </c>
      <c r="L16" s="4517" t="str">
        <f>'Приложение '!$C$18</f>
        <v>2031 г.</v>
      </c>
      <c r="M16" s="4516" t="str">
        <f>'Приложение '!$C$14</f>
        <v>2027 г.</v>
      </c>
      <c r="N16" s="4517" t="str">
        <f>'Приложение '!$C$15</f>
        <v>2028 г.</v>
      </c>
      <c r="O16" s="4517" t="str">
        <f>'Приложение '!$C$16</f>
        <v>2029 г.</v>
      </c>
      <c r="P16" s="4517" t="str">
        <f>'Приложение '!$C$17</f>
        <v>2030 г.</v>
      </c>
      <c r="Q16" s="4517" t="str">
        <f>'Приложение '!$C$18</f>
        <v>2031 г.</v>
      </c>
      <c r="R16" s="4516" t="str">
        <f>'Приложение '!$C$14</f>
        <v>2027 г.</v>
      </c>
      <c r="S16" s="4517" t="str">
        <f>'Приложение '!$C$15</f>
        <v>2028 г.</v>
      </c>
      <c r="T16" s="4517" t="str">
        <f>'Приложение '!$C$16</f>
        <v>2029 г.</v>
      </c>
      <c r="U16" s="4517" t="str">
        <f>'Приложение '!$C$17</f>
        <v>2030 г.</v>
      </c>
      <c r="V16" s="4517" t="str">
        <f>'Приложение '!$C$18</f>
        <v>2031 г.</v>
      </c>
      <c r="W16" s="4516" t="str">
        <f>'Приложение '!$C$14</f>
        <v>2027 г.</v>
      </c>
      <c r="X16" s="4517" t="str">
        <f>'Приложение '!$C$15</f>
        <v>2028 г.</v>
      </c>
      <c r="Y16" s="4517" t="str">
        <f>'Приложение '!$C$16</f>
        <v>2029 г.</v>
      </c>
      <c r="Z16" s="4517" t="str">
        <f>'Приложение '!$C$17</f>
        <v>2030 г.</v>
      </c>
      <c r="AA16" s="4517" t="str">
        <f>'Приложение '!$C$18</f>
        <v>2031 г.</v>
      </c>
      <c r="AB16" s="4775"/>
      <c r="AC16" s="4829" t="str">
        <f>'Приложение '!$C$14</f>
        <v>2027 г.</v>
      </c>
      <c r="AD16" s="4829" t="str">
        <f>'Приложение '!$C$15</f>
        <v>2028 г.</v>
      </c>
      <c r="AE16" s="4829" t="str">
        <f>'Приложение '!$C$16</f>
        <v>2029 г.</v>
      </c>
      <c r="AF16" s="4829" t="str">
        <f>'Приложение '!$C$17</f>
        <v>2030 г.</v>
      </c>
      <c r="AG16" s="4829" t="str">
        <f>'Приложение '!$C$18</f>
        <v>2031 г.</v>
      </c>
      <c r="AH16" s="4829" t="str">
        <f>'Приложение '!$C$14</f>
        <v>2027 г.</v>
      </c>
      <c r="AI16" s="4829" t="str">
        <f>'Приложение '!$C$15</f>
        <v>2028 г.</v>
      </c>
      <c r="AJ16" s="4829" t="str">
        <f>'Приложение '!$C$16</f>
        <v>2029 г.</v>
      </c>
      <c r="AK16" s="4829" t="str">
        <f>'Приложение '!$C$17</f>
        <v>2030 г.</v>
      </c>
      <c r="AL16" s="4829" t="str">
        <f>'Приложение '!$C$18</f>
        <v>2031 г.</v>
      </c>
      <c r="AM16" s="4829" t="str">
        <f>'Приложение '!$C$14</f>
        <v>2027 г.</v>
      </c>
      <c r="AN16" s="4829" t="str">
        <f>'Приложение '!$C$15</f>
        <v>2028 г.</v>
      </c>
      <c r="AO16" s="4829" t="str">
        <f>'Приложение '!$C$16</f>
        <v>2029 г.</v>
      </c>
      <c r="AP16" s="4829" t="str">
        <f>'Приложение '!$C$17</f>
        <v>2030 г.</v>
      </c>
      <c r="AQ16" s="4829" t="str">
        <f>'Приложение '!$C$18</f>
        <v>2031 г.</v>
      </c>
      <c r="AR16" s="4829" t="str">
        <f>'Приложение '!$C$14</f>
        <v>2027 г.</v>
      </c>
      <c r="AS16" s="4829" t="str">
        <f>'Приложение '!$C$15</f>
        <v>2028 г.</v>
      </c>
      <c r="AT16" s="4829" t="str">
        <f>'Приложение '!$C$16</f>
        <v>2029 г.</v>
      </c>
      <c r="AU16" s="4829" t="str">
        <f>'Приложение '!$C$17</f>
        <v>2030 г.</v>
      </c>
      <c r="AV16" s="4829" t="str">
        <f>'Приложение '!$C$18</f>
        <v>2031 г.</v>
      </c>
      <c r="AW16" s="4829" t="str">
        <f>'Приложение '!$C$14</f>
        <v>2027 г.</v>
      </c>
      <c r="AX16" s="4829" t="str">
        <f>'Приложение '!$C$15</f>
        <v>2028 г.</v>
      </c>
      <c r="AY16" s="4829" t="str">
        <f>'Приложение '!$C$16</f>
        <v>2029 г.</v>
      </c>
      <c r="AZ16" s="4829" t="str">
        <f>'Приложение '!$C$17</f>
        <v>2030 г.</v>
      </c>
      <c r="BA16" s="4829" t="str">
        <f>'Приложение '!$C$18</f>
        <v>2031 г.</v>
      </c>
    </row>
    <row r="17" spans="1:53">
      <c r="A17" s="5498" t="s">
        <v>1447</v>
      </c>
      <c r="B17" s="5499"/>
      <c r="C17" s="3330"/>
      <c r="D17" s="3331"/>
      <c r="E17" s="3331"/>
      <c r="F17" s="3331"/>
      <c r="G17" s="3331"/>
      <c r="H17" s="3330"/>
      <c r="I17" s="3331"/>
      <c r="J17" s="3331"/>
      <c r="K17" s="3331"/>
      <c r="L17" s="3331"/>
      <c r="M17" s="3330"/>
      <c r="N17" s="3331"/>
      <c r="O17" s="3331"/>
      <c r="P17" s="3331"/>
      <c r="Q17" s="3331"/>
      <c r="R17" s="3330"/>
      <c r="S17" s="3331"/>
      <c r="T17" s="3331"/>
      <c r="U17" s="3331"/>
      <c r="V17" s="3331"/>
      <c r="W17" s="3330"/>
      <c r="X17" s="3331"/>
      <c r="Y17" s="3331"/>
      <c r="Z17" s="3331"/>
      <c r="AA17" s="3331"/>
      <c r="AB17" s="4775"/>
      <c r="AC17" s="4832"/>
      <c r="AD17" s="4832"/>
      <c r="AE17" s="4832"/>
      <c r="AF17" s="4832"/>
      <c r="AG17" s="4832"/>
      <c r="AH17" s="4832"/>
      <c r="AI17" s="4832"/>
      <c r="AJ17" s="4832"/>
      <c r="AK17" s="4832"/>
      <c r="AL17" s="4832"/>
      <c r="AM17" s="4832"/>
      <c r="AN17" s="4832"/>
      <c r="AO17" s="4832"/>
      <c r="AP17" s="4832"/>
      <c r="AQ17" s="4832"/>
      <c r="AR17" s="4832"/>
      <c r="AS17" s="4832"/>
      <c r="AT17" s="4832"/>
      <c r="AU17" s="4832"/>
      <c r="AV17" s="4832"/>
      <c r="AW17" s="4832"/>
      <c r="AX17" s="4832"/>
      <c r="AY17" s="4832"/>
      <c r="AZ17" s="4832"/>
      <c r="BA17" s="4832"/>
    </row>
    <row r="18" spans="1:53">
      <c r="A18" s="5500" t="s">
        <v>1448</v>
      </c>
      <c r="B18" s="5501"/>
      <c r="C18" s="3332"/>
      <c r="D18" s="3333"/>
      <c r="E18" s="3333"/>
      <c r="F18" s="3333"/>
      <c r="G18" s="3333"/>
      <c r="H18" s="3332"/>
      <c r="I18" s="3333"/>
      <c r="J18" s="3333"/>
      <c r="K18" s="3333"/>
      <c r="L18" s="3333"/>
      <c r="M18" s="3332"/>
      <c r="N18" s="3333"/>
      <c r="O18" s="3333"/>
      <c r="P18" s="3333"/>
      <c r="Q18" s="3333"/>
      <c r="R18" s="3332"/>
      <c r="S18" s="3333"/>
      <c r="T18" s="3333"/>
      <c r="U18" s="3333"/>
      <c r="V18" s="3333"/>
      <c r="W18" s="3332"/>
      <c r="X18" s="3333"/>
      <c r="Y18" s="3333"/>
      <c r="Z18" s="3333"/>
      <c r="AA18" s="3333"/>
      <c r="AB18" s="4775"/>
      <c r="AC18" s="4833"/>
      <c r="AD18" s="4833"/>
      <c r="AE18" s="4833"/>
      <c r="AF18" s="4833"/>
      <c r="AG18" s="4833"/>
      <c r="AH18" s="4833"/>
      <c r="AI18" s="4833"/>
      <c r="AJ18" s="4833"/>
      <c r="AK18" s="4833"/>
      <c r="AL18" s="4833"/>
      <c r="AM18" s="4833"/>
      <c r="AN18" s="4833"/>
      <c r="AO18" s="4833"/>
      <c r="AP18" s="4833"/>
      <c r="AQ18" s="4833"/>
      <c r="AR18" s="4833"/>
      <c r="AS18" s="4833"/>
      <c r="AT18" s="4833"/>
      <c r="AU18" s="4833"/>
      <c r="AV18" s="4833"/>
      <c r="AW18" s="4833"/>
      <c r="AX18" s="4833"/>
      <c r="AY18" s="4833"/>
      <c r="AZ18" s="4833"/>
      <c r="BA18" s="4833"/>
    </row>
    <row r="19" spans="1:53">
      <c r="A19" s="5523" t="s">
        <v>1449</v>
      </c>
      <c r="B19" s="5524"/>
      <c r="C19" s="3334"/>
      <c r="D19" s="3335"/>
      <c r="E19" s="3335"/>
      <c r="F19" s="3335"/>
      <c r="G19" s="3335"/>
      <c r="H19" s="3334"/>
      <c r="I19" s="3335"/>
      <c r="J19" s="3335"/>
      <c r="K19" s="3335"/>
      <c r="L19" s="3335"/>
      <c r="M19" s="3334"/>
      <c r="N19" s="3335"/>
      <c r="O19" s="3335"/>
      <c r="P19" s="3335"/>
      <c r="Q19" s="3335"/>
      <c r="R19" s="3334"/>
      <c r="S19" s="3335"/>
      <c r="T19" s="3335"/>
      <c r="U19" s="3335"/>
      <c r="V19" s="3335"/>
      <c r="W19" s="3334"/>
      <c r="X19" s="3335"/>
      <c r="Y19" s="3335"/>
      <c r="Z19" s="3335"/>
      <c r="AA19" s="3335"/>
      <c r="AB19" s="4775"/>
      <c r="AC19" s="4833"/>
      <c r="AD19" s="4833"/>
      <c r="AE19" s="4833"/>
      <c r="AF19" s="4833"/>
      <c r="AG19" s="4833"/>
      <c r="AH19" s="4833"/>
      <c r="AI19" s="4833"/>
      <c r="AJ19" s="4833"/>
      <c r="AK19" s="4833"/>
      <c r="AL19" s="4833"/>
      <c r="AM19" s="4833"/>
      <c r="AN19" s="4833"/>
      <c r="AO19" s="4833"/>
      <c r="AP19" s="4833"/>
      <c r="AQ19" s="4833"/>
      <c r="AR19" s="4833"/>
      <c r="AS19" s="4833"/>
      <c r="AT19" s="4833"/>
      <c r="AU19" s="4833"/>
      <c r="AV19" s="4833"/>
      <c r="AW19" s="4833"/>
      <c r="AX19" s="4833"/>
      <c r="AY19" s="4833"/>
      <c r="AZ19" s="4833"/>
      <c r="BA19" s="4833"/>
    </row>
    <row r="20" spans="1:53" ht="13.5" thickBot="1">
      <c r="A20" s="5504" t="s">
        <v>1450</v>
      </c>
      <c r="B20" s="5505"/>
      <c r="C20" s="3336"/>
      <c r="D20" s="3337"/>
      <c r="E20" s="3337"/>
      <c r="F20" s="3337"/>
      <c r="G20" s="3337"/>
      <c r="H20" s="3336"/>
      <c r="I20" s="3337"/>
      <c r="J20" s="3337"/>
      <c r="K20" s="3337"/>
      <c r="L20" s="3337"/>
      <c r="M20" s="3336"/>
      <c r="N20" s="3337"/>
      <c r="O20" s="3337"/>
      <c r="P20" s="3337"/>
      <c r="Q20" s="3337"/>
      <c r="R20" s="3336"/>
      <c r="S20" s="3337"/>
      <c r="T20" s="3337"/>
      <c r="U20" s="3337"/>
      <c r="V20" s="3337"/>
      <c r="W20" s="3336"/>
      <c r="X20" s="3337"/>
      <c r="Y20" s="3337"/>
      <c r="Z20" s="3337"/>
      <c r="AA20" s="3337"/>
      <c r="AB20" s="4775"/>
      <c r="AC20" s="4834"/>
      <c r="AD20" s="4834"/>
      <c r="AE20" s="4834"/>
      <c r="AF20" s="4834"/>
      <c r="AG20" s="4834"/>
      <c r="AH20" s="4834"/>
      <c r="AI20" s="4834"/>
      <c r="AJ20" s="4834"/>
      <c r="AK20" s="4834"/>
      <c r="AL20" s="4834"/>
      <c r="AM20" s="4834"/>
      <c r="AN20" s="4834"/>
      <c r="AO20" s="4834"/>
      <c r="AP20" s="4834"/>
      <c r="AQ20" s="4834"/>
      <c r="AR20" s="4834"/>
      <c r="AS20" s="4834"/>
      <c r="AT20" s="4834"/>
      <c r="AU20" s="4834"/>
      <c r="AV20" s="4834"/>
      <c r="AW20" s="4834"/>
      <c r="AX20" s="4834"/>
      <c r="AY20" s="4834"/>
      <c r="AZ20" s="4834"/>
      <c r="BA20" s="4834"/>
    </row>
    <row r="21" spans="1:53" s="3759" customFormat="1" ht="25.5" customHeight="1" thickBot="1">
      <c r="A21" s="5525" t="s">
        <v>1452</v>
      </c>
      <c r="B21" s="5526"/>
      <c r="C21" s="3338">
        <f t="shared" ref="C21:AA21" si="5">SUM(C22,C27:C31)</f>
        <v>0</v>
      </c>
      <c r="D21" s="3339">
        <f t="shared" si="5"/>
        <v>0</v>
      </c>
      <c r="E21" s="3339">
        <f t="shared" si="5"/>
        <v>0</v>
      </c>
      <c r="F21" s="3339">
        <f t="shared" si="5"/>
        <v>0</v>
      </c>
      <c r="G21" s="3339">
        <f t="shared" si="5"/>
        <v>0</v>
      </c>
      <c r="H21" s="3338">
        <f t="shared" si="5"/>
        <v>0</v>
      </c>
      <c r="I21" s="3339">
        <f t="shared" si="5"/>
        <v>0</v>
      </c>
      <c r="J21" s="3339">
        <f t="shared" si="5"/>
        <v>0</v>
      </c>
      <c r="K21" s="3339">
        <f t="shared" si="5"/>
        <v>0</v>
      </c>
      <c r="L21" s="3339">
        <f t="shared" si="5"/>
        <v>0</v>
      </c>
      <c r="M21" s="3338">
        <f t="shared" si="5"/>
        <v>0</v>
      </c>
      <c r="N21" s="3339">
        <f t="shared" si="5"/>
        <v>0</v>
      </c>
      <c r="O21" s="3339">
        <f t="shared" si="5"/>
        <v>0</v>
      </c>
      <c r="P21" s="3339">
        <f t="shared" si="5"/>
        <v>0</v>
      </c>
      <c r="Q21" s="3339">
        <f t="shared" si="5"/>
        <v>0</v>
      </c>
      <c r="R21" s="3338">
        <f t="shared" si="5"/>
        <v>0</v>
      </c>
      <c r="S21" s="3339">
        <f t="shared" si="5"/>
        <v>0</v>
      </c>
      <c r="T21" s="3339">
        <f t="shared" si="5"/>
        <v>0</v>
      </c>
      <c r="U21" s="3339">
        <f t="shared" si="5"/>
        <v>0</v>
      </c>
      <c r="V21" s="3339">
        <f t="shared" si="5"/>
        <v>0</v>
      </c>
      <c r="W21" s="3338">
        <f t="shared" si="5"/>
        <v>0</v>
      </c>
      <c r="X21" s="3339">
        <f t="shared" si="5"/>
        <v>0</v>
      </c>
      <c r="Y21" s="3339">
        <f t="shared" si="5"/>
        <v>0</v>
      </c>
      <c r="Z21" s="3339">
        <f t="shared" si="5"/>
        <v>0</v>
      </c>
      <c r="AA21" s="3339">
        <f t="shared" si="5"/>
        <v>0</v>
      </c>
      <c r="AB21" s="4775"/>
      <c r="AC21" s="4830">
        <f>IFERROR(C21/$D$1,0)</f>
        <v>0</v>
      </c>
      <c r="AD21" s="4831">
        <f t="shared" ref="AD21:AD31" si="6">IFERROR(D21/$D$1,0)</f>
        <v>0</v>
      </c>
      <c r="AE21" s="4831">
        <f t="shared" ref="AE21:AE31" si="7">IFERROR(E21/$D$1,0)</f>
        <v>0</v>
      </c>
      <c r="AF21" s="4831">
        <f t="shared" ref="AF21:AF31" si="8">IFERROR(F21/$D$1,0)</f>
        <v>0</v>
      </c>
      <c r="AG21" s="4831">
        <f t="shared" ref="AG21:AG31" si="9">IFERROR(G21/$D$1,0)</f>
        <v>0</v>
      </c>
      <c r="AH21" s="4831">
        <f t="shared" ref="AH21:AH31" si="10">IFERROR(H21/$D$1,0)</f>
        <v>0</v>
      </c>
      <c r="AI21" s="4831">
        <f t="shared" ref="AI21:AI31" si="11">IFERROR(I21/$D$1,0)</f>
        <v>0</v>
      </c>
      <c r="AJ21" s="4831">
        <f t="shared" ref="AJ21:AJ31" si="12">IFERROR(J21/$D$1,0)</f>
        <v>0</v>
      </c>
      <c r="AK21" s="4831">
        <f t="shared" ref="AK21:AK31" si="13">IFERROR(K21/$D$1,0)</f>
        <v>0</v>
      </c>
      <c r="AL21" s="4831">
        <f t="shared" ref="AL21:AL31" si="14">IFERROR(L21/$D$1,0)</f>
        <v>0</v>
      </c>
      <c r="AM21" s="4831">
        <f t="shared" ref="AM21:AM31" si="15">IFERROR(M21/$D$1,0)</f>
        <v>0</v>
      </c>
      <c r="AN21" s="4831">
        <f t="shared" ref="AN21:AN31" si="16">IFERROR(N21/$D$1,0)</f>
        <v>0</v>
      </c>
      <c r="AO21" s="4831">
        <f t="shared" ref="AO21:AO31" si="17">IFERROR(O21/$D$1,0)</f>
        <v>0</v>
      </c>
      <c r="AP21" s="4831">
        <f t="shared" ref="AP21:AP31" si="18">IFERROR(P21/$D$1,0)</f>
        <v>0</v>
      </c>
      <c r="AQ21" s="4831">
        <f t="shared" ref="AQ21:AQ31" si="19">IFERROR(Q21/$D$1,0)</f>
        <v>0</v>
      </c>
      <c r="AR21" s="4831">
        <f t="shared" ref="AR21:AR31" si="20">IFERROR(R21/$D$1,0)</f>
        <v>0</v>
      </c>
      <c r="AS21" s="4831">
        <f t="shared" ref="AS21:AS31" si="21">IFERROR(S21/$D$1,0)</f>
        <v>0</v>
      </c>
      <c r="AT21" s="4831">
        <f t="shared" ref="AT21:AT31" si="22">IFERROR(T21/$D$1,0)</f>
        <v>0</v>
      </c>
      <c r="AU21" s="4831">
        <f t="shared" ref="AU21:AU31" si="23">IFERROR(U21/$D$1,0)</f>
        <v>0</v>
      </c>
      <c r="AV21" s="4831">
        <f t="shared" ref="AV21:AV31" si="24">IFERROR(V21/$D$1,0)</f>
        <v>0</v>
      </c>
      <c r="AW21" s="4831">
        <f t="shared" ref="AW21:AW31" si="25">IFERROR(W21/$D$1,0)</f>
        <v>0</v>
      </c>
      <c r="AX21" s="4831">
        <f t="shared" ref="AX21:AX31" si="26">IFERROR(X21/$D$1,0)</f>
        <v>0</v>
      </c>
      <c r="AY21" s="4831">
        <f t="shared" ref="AY21:AY31" si="27">IFERROR(Y21/$D$1,0)</f>
        <v>0</v>
      </c>
      <c r="AZ21" s="4831">
        <f t="shared" ref="AZ21:AZ31" si="28">IFERROR(Z21/$D$1,0)</f>
        <v>0</v>
      </c>
      <c r="BA21" s="4831">
        <f t="shared" ref="BA21:BA31" si="29">IFERROR(AA21/$D$1,0)</f>
        <v>0</v>
      </c>
    </row>
    <row r="22" spans="1:53" ht="13.5" thickBot="1">
      <c r="A22" s="5527" t="s">
        <v>1451</v>
      </c>
      <c r="B22" s="5528"/>
      <c r="C22" s="3332"/>
      <c r="D22" s="3333"/>
      <c r="E22" s="3333"/>
      <c r="F22" s="3333"/>
      <c r="G22" s="3333"/>
      <c r="H22" s="3332"/>
      <c r="I22" s="3333"/>
      <c r="J22" s="3333"/>
      <c r="K22" s="3333"/>
      <c r="L22" s="3333"/>
      <c r="M22" s="3332"/>
      <c r="N22" s="3333"/>
      <c r="O22" s="3333"/>
      <c r="P22" s="3333"/>
      <c r="Q22" s="3333"/>
      <c r="R22" s="3332"/>
      <c r="S22" s="3333"/>
      <c r="T22" s="3333"/>
      <c r="U22" s="3333"/>
      <c r="V22" s="3333"/>
      <c r="W22" s="3332"/>
      <c r="X22" s="3333"/>
      <c r="Y22" s="3333"/>
      <c r="Z22" s="3333"/>
      <c r="AA22" s="3333"/>
      <c r="AB22" s="4775"/>
      <c r="AC22" s="4835">
        <f t="shared" ref="AC22:AC31" si="30">IFERROR(C22/$D$1,0)</f>
        <v>0</v>
      </c>
      <c r="AD22" s="4835">
        <f t="shared" si="6"/>
        <v>0</v>
      </c>
      <c r="AE22" s="4835">
        <f t="shared" si="7"/>
        <v>0</v>
      </c>
      <c r="AF22" s="4835">
        <f t="shared" si="8"/>
        <v>0</v>
      </c>
      <c r="AG22" s="4835">
        <f t="shared" si="9"/>
        <v>0</v>
      </c>
      <c r="AH22" s="4835">
        <f t="shared" si="10"/>
        <v>0</v>
      </c>
      <c r="AI22" s="4835">
        <f t="shared" si="11"/>
        <v>0</v>
      </c>
      <c r="AJ22" s="4835">
        <f t="shared" si="12"/>
        <v>0</v>
      </c>
      <c r="AK22" s="4835">
        <f t="shared" si="13"/>
        <v>0</v>
      </c>
      <c r="AL22" s="4835">
        <f t="shared" si="14"/>
        <v>0</v>
      </c>
      <c r="AM22" s="4835">
        <f t="shared" si="15"/>
        <v>0</v>
      </c>
      <c r="AN22" s="4835">
        <f t="shared" si="16"/>
        <v>0</v>
      </c>
      <c r="AO22" s="4835">
        <f t="shared" si="17"/>
        <v>0</v>
      </c>
      <c r="AP22" s="4835">
        <f t="shared" si="18"/>
        <v>0</v>
      </c>
      <c r="AQ22" s="4835">
        <f t="shared" si="19"/>
        <v>0</v>
      </c>
      <c r="AR22" s="4835">
        <f t="shared" si="20"/>
        <v>0</v>
      </c>
      <c r="AS22" s="4835">
        <f t="shared" si="21"/>
        <v>0</v>
      </c>
      <c r="AT22" s="4835">
        <f t="shared" si="22"/>
        <v>0</v>
      </c>
      <c r="AU22" s="4835">
        <f t="shared" si="23"/>
        <v>0</v>
      </c>
      <c r="AV22" s="4835">
        <f t="shared" si="24"/>
        <v>0</v>
      </c>
      <c r="AW22" s="4835">
        <f t="shared" si="25"/>
        <v>0</v>
      </c>
      <c r="AX22" s="4835">
        <f t="shared" si="26"/>
        <v>0</v>
      </c>
      <c r="AY22" s="4835">
        <f t="shared" si="27"/>
        <v>0</v>
      </c>
      <c r="AZ22" s="4835">
        <f t="shared" si="28"/>
        <v>0</v>
      </c>
      <c r="BA22" s="4835">
        <f t="shared" si="29"/>
        <v>0</v>
      </c>
    </row>
    <row r="23" spans="1:53" ht="13.5" thickBot="1">
      <c r="A23" s="5529" t="s">
        <v>1463</v>
      </c>
      <c r="B23" s="5530"/>
      <c r="C23" s="3332"/>
      <c r="D23" s="3333"/>
      <c r="E23" s="3333"/>
      <c r="F23" s="3333"/>
      <c r="G23" s="3333"/>
      <c r="H23" s="3332"/>
      <c r="I23" s="3333"/>
      <c r="J23" s="3333"/>
      <c r="K23" s="3333"/>
      <c r="L23" s="3333"/>
      <c r="M23" s="3332"/>
      <c r="N23" s="3333"/>
      <c r="O23" s="3333"/>
      <c r="P23" s="3333"/>
      <c r="Q23" s="3333"/>
      <c r="R23" s="3332"/>
      <c r="S23" s="3333"/>
      <c r="T23" s="3333"/>
      <c r="U23" s="3333"/>
      <c r="V23" s="3333"/>
      <c r="W23" s="3332"/>
      <c r="X23" s="3333"/>
      <c r="Y23" s="3333"/>
      <c r="Z23" s="3333"/>
      <c r="AA23" s="3333"/>
      <c r="AB23" s="4775"/>
      <c r="AC23" s="4835">
        <f t="shared" si="30"/>
        <v>0</v>
      </c>
      <c r="AD23" s="4835">
        <f t="shared" si="6"/>
        <v>0</v>
      </c>
      <c r="AE23" s="4835">
        <f t="shared" si="7"/>
        <v>0</v>
      </c>
      <c r="AF23" s="4835">
        <f t="shared" si="8"/>
        <v>0</v>
      </c>
      <c r="AG23" s="4835">
        <f t="shared" si="9"/>
        <v>0</v>
      </c>
      <c r="AH23" s="4835">
        <f t="shared" si="10"/>
        <v>0</v>
      </c>
      <c r="AI23" s="4835">
        <f t="shared" si="11"/>
        <v>0</v>
      </c>
      <c r="AJ23" s="4835">
        <f t="shared" si="12"/>
        <v>0</v>
      </c>
      <c r="AK23" s="4835">
        <f t="shared" si="13"/>
        <v>0</v>
      </c>
      <c r="AL23" s="4835">
        <f t="shared" si="14"/>
        <v>0</v>
      </c>
      <c r="AM23" s="4835">
        <f t="shared" si="15"/>
        <v>0</v>
      </c>
      <c r="AN23" s="4835">
        <f t="shared" si="16"/>
        <v>0</v>
      </c>
      <c r="AO23" s="4835">
        <f t="shared" si="17"/>
        <v>0</v>
      </c>
      <c r="AP23" s="4835">
        <f t="shared" si="18"/>
        <v>0</v>
      </c>
      <c r="AQ23" s="4835">
        <f t="shared" si="19"/>
        <v>0</v>
      </c>
      <c r="AR23" s="4835">
        <f t="shared" si="20"/>
        <v>0</v>
      </c>
      <c r="AS23" s="4835">
        <f t="shared" si="21"/>
        <v>0</v>
      </c>
      <c r="AT23" s="4835">
        <f t="shared" si="22"/>
        <v>0</v>
      </c>
      <c r="AU23" s="4835">
        <f t="shared" si="23"/>
        <v>0</v>
      </c>
      <c r="AV23" s="4835">
        <f t="shared" si="24"/>
        <v>0</v>
      </c>
      <c r="AW23" s="4835">
        <f t="shared" si="25"/>
        <v>0</v>
      </c>
      <c r="AX23" s="4835">
        <f t="shared" si="26"/>
        <v>0</v>
      </c>
      <c r="AY23" s="4835">
        <f t="shared" si="27"/>
        <v>0</v>
      </c>
      <c r="AZ23" s="4835">
        <f t="shared" si="28"/>
        <v>0</v>
      </c>
      <c r="BA23" s="4835">
        <f t="shared" si="29"/>
        <v>0</v>
      </c>
    </row>
    <row r="24" spans="1:53" ht="13.5" thickBot="1">
      <c r="A24" s="5502" t="s">
        <v>1453</v>
      </c>
      <c r="B24" s="5503"/>
      <c r="C24" s="3332"/>
      <c r="D24" s="3333"/>
      <c r="E24" s="3333"/>
      <c r="F24" s="3333"/>
      <c r="G24" s="3333"/>
      <c r="H24" s="3332"/>
      <c r="I24" s="3333"/>
      <c r="J24" s="3333"/>
      <c r="K24" s="3333"/>
      <c r="L24" s="3333"/>
      <c r="M24" s="3332"/>
      <c r="N24" s="3333"/>
      <c r="O24" s="3333"/>
      <c r="P24" s="3333"/>
      <c r="Q24" s="3333"/>
      <c r="R24" s="3332"/>
      <c r="S24" s="3333"/>
      <c r="T24" s="3333"/>
      <c r="U24" s="3333"/>
      <c r="V24" s="3333"/>
      <c r="W24" s="3332"/>
      <c r="X24" s="3333"/>
      <c r="Y24" s="3333"/>
      <c r="Z24" s="3333"/>
      <c r="AA24" s="3333"/>
      <c r="AB24" s="4775"/>
      <c r="AC24" s="4835">
        <f t="shared" si="30"/>
        <v>0</v>
      </c>
      <c r="AD24" s="4835">
        <f t="shared" si="6"/>
        <v>0</v>
      </c>
      <c r="AE24" s="4835">
        <f t="shared" si="7"/>
        <v>0</v>
      </c>
      <c r="AF24" s="4835">
        <f t="shared" si="8"/>
        <v>0</v>
      </c>
      <c r="AG24" s="4835">
        <f t="shared" si="9"/>
        <v>0</v>
      </c>
      <c r="AH24" s="4835">
        <f t="shared" si="10"/>
        <v>0</v>
      </c>
      <c r="AI24" s="4835">
        <f t="shared" si="11"/>
        <v>0</v>
      </c>
      <c r="AJ24" s="4835">
        <f t="shared" si="12"/>
        <v>0</v>
      </c>
      <c r="AK24" s="4835">
        <f t="shared" si="13"/>
        <v>0</v>
      </c>
      <c r="AL24" s="4835">
        <f t="shared" si="14"/>
        <v>0</v>
      </c>
      <c r="AM24" s="4835">
        <f t="shared" si="15"/>
        <v>0</v>
      </c>
      <c r="AN24" s="4835">
        <f t="shared" si="16"/>
        <v>0</v>
      </c>
      <c r="AO24" s="4835">
        <f t="shared" si="17"/>
        <v>0</v>
      </c>
      <c r="AP24" s="4835">
        <f t="shared" si="18"/>
        <v>0</v>
      </c>
      <c r="AQ24" s="4835">
        <f t="shared" si="19"/>
        <v>0</v>
      </c>
      <c r="AR24" s="4835">
        <f t="shared" si="20"/>
        <v>0</v>
      </c>
      <c r="AS24" s="4835">
        <f t="shared" si="21"/>
        <v>0</v>
      </c>
      <c r="AT24" s="4835">
        <f t="shared" si="22"/>
        <v>0</v>
      </c>
      <c r="AU24" s="4835">
        <f t="shared" si="23"/>
        <v>0</v>
      </c>
      <c r="AV24" s="4835">
        <f t="shared" si="24"/>
        <v>0</v>
      </c>
      <c r="AW24" s="4835">
        <f t="shared" si="25"/>
        <v>0</v>
      </c>
      <c r="AX24" s="4835">
        <f t="shared" si="26"/>
        <v>0</v>
      </c>
      <c r="AY24" s="4835">
        <f t="shared" si="27"/>
        <v>0</v>
      </c>
      <c r="AZ24" s="4835">
        <f t="shared" si="28"/>
        <v>0</v>
      </c>
      <c r="BA24" s="4835">
        <f t="shared" si="29"/>
        <v>0</v>
      </c>
    </row>
    <row r="25" spans="1:53" ht="13.5" thickBot="1">
      <c r="A25" s="5502" t="s">
        <v>1454</v>
      </c>
      <c r="B25" s="5503"/>
      <c r="C25" s="3332"/>
      <c r="D25" s="3333"/>
      <c r="E25" s="3333"/>
      <c r="F25" s="3333"/>
      <c r="G25" s="3333"/>
      <c r="H25" s="3332"/>
      <c r="I25" s="3333"/>
      <c r="J25" s="3333"/>
      <c r="K25" s="3333"/>
      <c r="L25" s="3333"/>
      <c r="M25" s="3332"/>
      <c r="N25" s="3333"/>
      <c r="O25" s="3333"/>
      <c r="P25" s="3333"/>
      <c r="Q25" s="3333"/>
      <c r="R25" s="3332"/>
      <c r="S25" s="3333"/>
      <c r="T25" s="3333"/>
      <c r="U25" s="3333"/>
      <c r="V25" s="3333"/>
      <c r="W25" s="3332"/>
      <c r="X25" s="3333"/>
      <c r="Y25" s="3333"/>
      <c r="Z25" s="3333"/>
      <c r="AA25" s="3333"/>
      <c r="AB25" s="4775"/>
      <c r="AC25" s="4835">
        <f t="shared" si="30"/>
        <v>0</v>
      </c>
      <c r="AD25" s="4835">
        <f t="shared" si="6"/>
        <v>0</v>
      </c>
      <c r="AE25" s="4835">
        <f t="shared" si="7"/>
        <v>0</v>
      </c>
      <c r="AF25" s="4835">
        <f t="shared" si="8"/>
        <v>0</v>
      </c>
      <c r="AG25" s="4835">
        <f t="shared" si="9"/>
        <v>0</v>
      </c>
      <c r="AH25" s="4835">
        <f t="shared" si="10"/>
        <v>0</v>
      </c>
      <c r="AI25" s="4835">
        <f t="shared" si="11"/>
        <v>0</v>
      </c>
      <c r="AJ25" s="4835">
        <f t="shared" si="12"/>
        <v>0</v>
      </c>
      <c r="AK25" s="4835">
        <f t="shared" si="13"/>
        <v>0</v>
      </c>
      <c r="AL25" s="4835">
        <f t="shared" si="14"/>
        <v>0</v>
      </c>
      <c r="AM25" s="4835">
        <f t="shared" si="15"/>
        <v>0</v>
      </c>
      <c r="AN25" s="4835">
        <f t="shared" si="16"/>
        <v>0</v>
      </c>
      <c r="AO25" s="4835">
        <f t="shared" si="17"/>
        <v>0</v>
      </c>
      <c r="AP25" s="4835">
        <f t="shared" si="18"/>
        <v>0</v>
      </c>
      <c r="AQ25" s="4835">
        <f t="shared" si="19"/>
        <v>0</v>
      </c>
      <c r="AR25" s="4835">
        <f t="shared" si="20"/>
        <v>0</v>
      </c>
      <c r="AS25" s="4835">
        <f t="shared" si="21"/>
        <v>0</v>
      </c>
      <c r="AT25" s="4835">
        <f t="shared" si="22"/>
        <v>0</v>
      </c>
      <c r="AU25" s="4835">
        <f t="shared" si="23"/>
        <v>0</v>
      </c>
      <c r="AV25" s="4835">
        <f t="shared" si="24"/>
        <v>0</v>
      </c>
      <c r="AW25" s="4835">
        <f t="shared" si="25"/>
        <v>0</v>
      </c>
      <c r="AX25" s="4835">
        <f t="shared" si="26"/>
        <v>0</v>
      </c>
      <c r="AY25" s="4835">
        <f t="shared" si="27"/>
        <v>0</v>
      </c>
      <c r="AZ25" s="4835">
        <f t="shared" si="28"/>
        <v>0</v>
      </c>
      <c r="BA25" s="4835">
        <f t="shared" si="29"/>
        <v>0</v>
      </c>
    </row>
    <row r="26" spans="1:53" ht="13.5" thickBot="1">
      <c r="A26" s="5502" t="s">
        <v>1455</v>
      </c>
      <c r="B26" s="5503"/>
      <c r="C26" s="3332"/>
      <c r="D26" s="3333"/>
      <c r="E26" s="3333"/>
      <c r="F26" s="3333"/>
      <c r="G26" s="3333"/>
      <c r="H26" s="3332"/>
      <c r="I26" s="3333"/>
      <c r="J26" s="3333"/>
      <c r="K26" s="3333"/>
      <c r="L26" s="3333"/>
      <c r="M26" s="3332"/>
      <c r="N26" s="3333"/>
      <c r="O26" s="3333"/>
      <c r="P26" s="3333"/>
      <c r="Q26" s="3333"/>
      <c r="R26" s="3332"/>
      <c r="S26" s="3333"/>
      <c r="T26" s="3333"/>
      <c r="U26" s="3333"/>
      <c r="V26" s="3333"/>
      <c r="W26" s="3332"/>
      <c r="X26" s="3333"/>
      <c r="Y26" s="3333"/>
      <c r="Z26" s="3333"/>
      <c r="AA26" s="3333"/>
      <c r="AB26" s="4775"/>
      <c r="AC26" s="4835">
        <f t="shared" si="30"/>
        <v>0</v>
      </c>
      <c r="AD26" s="4835">
        <f t="shared" si="6"/>
        <v>0</v>
      </c>
      <c r="AE26" s="4835">
        <f t="shared" si="7"/>
        <v>0</v>
      </c>
      <c r="AF26" s="4835">
        <f t="shared" si="8"/>
        <v>0</v>
      </c>
      <c r="AG26" s="4835">
        <f t="shared" si="9"/>
        <v>0</v>
      </c>
      <c r="AH26" s="4835">
        <f t="shared" si="10"/>
        <v>0</v>
      </c>
      <c r="AI26" s="4835">
        <f t="shared" si="11"/>
        <v>0</v>
      </c>
      <c r="AJ26" s="4835">
        <f t="shared" si="12"/>
        <v>0</v>
      </c>
      <c r="AK26" s="4835">
        <f t="shared" si="13"/>
        <v>0</v>
      </c>
      <c r="AL26" s="4835">
        <f t="shared" si="14"/>
        <v>0</v>
      </c>
      <c r="AM26" s="4835">
        <f t="shared" si="15"/>
        <v>0</v>
      </c>
      <c r="AN26" s="4835">
        <f t="shared" si="16"/>
        <v>0</v>
      </c>
      <c r="AO26" s="4835">
        <f t="shared" si="17"/>
        <v>0</v>
      </c>
      <c r="AP26" s="4835">
        <f t="shared" si="18"/>
        <v>0</v>
      </c>
      <c r="AQ26" s="4835">
        <f t="shared" si="19"/>
        <v>0</v>
      </c>
      <c r="AR26" s="4835">
        <f t="shared" si="20"/>
        <v>0</v>
      </c>
      <c r="AS26" s="4835">
        <f t="shared" si="21"/>
        <v>0</v>
      </c>
      <c r="AT26" s="4835">
        <f t="shared" si="22"/>
        <v>0</v>
      </c>
      <c r="AU26" s="4835">
        <f t="shared" si="23"/>
        <v>0</v>
      </c>
      <c r="AV26" s="4835">
        <f t="shared" si="24"/>
        <v>0</v>
      </c>
      <c r="AW26" s="4835">
        <f t="shared" si="25"/>
        <v>0</v>
      </c>
      <c r="AX26" s="4835">
        <f t="shared" si="26"/>
        <v>0</v>
      </c>
      <c r="AY26" s="4835">
        <f t="shared" si="27"/>
        <v>0</v>
      </c>
      <c r="AZ26" s="4835">
        <f t="shared" si="28"/>
        <v>0</v>
      </c>
      <c r="BA26" s="4835">
        <f t="shared" si="29"/>
        <v>0</v>
      </c>
    </row>
    <row r="27" spans="1:53" ht="13.5" thickBot="1">
      <c r="A27" s="5508" t="s">
        <v>1456</v>
      </c>
      <c r="B27" s="5509"/>
      <c r="C27" s="3332"/>
      <c r="D27" s="3333"/>
      <c r="E27" s="3333"/>
      <c r="F27" s="3333"/>
      <c r="G27" s="3333"/>
      <c r="H27" s="3332"/>
      <c r="I27" s="3333"/>
      <c r="J27" s="3333"/>
      <c r="K27" s="3333"/>
      <c r="L27" s="3333"/>
      <c r="M27" s="3332"/>
      <c r="N27" s="3333"/>
      <c r="O27" s="3333"/>
      <c r="P27" s="3333"/>
      <c r="Q27" s="3333"/>
      <c r="R27" s="3332"/>
      <c r="S27" s="3333"/>
      <c r="T27" s="3333"/>
      <c r="U27" s="3333"/>
      <c r="V27" s="3333"/>
      <c r="W27" s="3332"/>
      <c r="X27" s="3333"/>
      <c r="Y27" s="3333"/>
      <c r="Z27" s="3333"/>
      <c r="AA27" s="3333"/>
      <c r="AB27" s="4775"/>
      <c r="AC27" s="4835">
        <f t="shared" si="30"/>
        <v>0</v>
      </c>
      <c r="AD27" s="4835">
        <f t="shared" si="6"/>
        <v>0</v>
      </c>
      <c r="AE27" s="4835">
        <f t="shared" si="7"/>
        <v>0</v>
      </c>
      <c r="AF27" s="4835">
        <f t="shared" si="8"/>
        <v>0</v>
      </c>
      <c r="AG27" s="4835">
        <f t="shared" si="9"/>
        <v>0</v>
      </c>
      <c r="AH27" s="4835">
        <f t="shared" si="10"/>
        <v>0</v>
      </c>
      <c r="AI27" s="4835">
        <f t="shared" si="11"/>
        <v>0</v>
      </c>
      <c r="AJ27" s="4835">
        <f t="shared" si="12"/>
        <v>0</v>
      </c>
      <c r="AK27" s="4835">
        <f t="shared" si="13"/>
        <v>0</v>
      </c>
      <c r="AL27" s="4835">
        <f t="shared" si="14"/>
        <v>0</v>
      </c>
      <c r="AM27" s="4835">
        <f t="shared" si="15"/>
        <v>0</v>
      </c>
      <c r="AN27" s="4835">
        <f t="shared" si="16"/>
        <v>0</v>
      </c>
      <c r="AO27" s="4835">
        <f t="shared" si="17"/>
        <v>0</v>
      </c>
      <c r="AP27" s="4835">
        <f t="shared" si="18"/>
        <v>0</v>
      </c>
      <c r="AQ27" s="4835">
        <f t="shared" si="19"/>
        <v>0</v>
      </c>
      <c r="AR27" s="4835">
        <f t="shared" si="20"/>
        <v>0</v>
      </c>
      <c r="AS27" s="4835">
        <f t="shared" si="21"/>
        <v>0</v>
      </c>
      <c r="AT27" s="4835">
        <f t="shared" si="22"/>
        <v>0</v>
      </c>
      <c r="AU27" s="4835">
        <f t="shared" si="23"/>
        <v>0</v>
      </c>
      <c r="AV27" s="4835">
        <f t="shared" si="24"/>
        <v>0</v>
      </c>
      <c r="AW27" s="4835">
        <f t="shared" si="25"/>
        <v>0</v>
      </c>
      <c r="AX27" s="4835">
        <f t="shared" si="26"/>
        <v>0</v>
      </c>
      <c r="AY27" s="4835">
        <f t="shared" si="27"/>
        <v>0</v>
      </c>
      <c r="AZ27" s="4835">
        <f t="shared" si="28"/>
        <v>0</v>
      </c>
      <c r="BA27" s="4835">
        <f t="shared" si="29"/>
        <v>0</v>
      </c>
    </row>
    <row r="28" spans="1:53" ht="13.5" thickBot="1">
      <c r="A28" s="5519" t="s">
        <v>1457</v>
      </c>
      <c r="B28" s="5520"/>
      <c r="C28" s="3332"/>
      <c r="D28" s="3333"/>
      <c r="E28" s="3333"/>
      <c r="F28" s="3333"/>
      <c r="G28" s="3333"/>
      <c r="H28" s="3332"/>
      <c r="I28" s="3333"/>
      <c r="J28" s="3333"/>
      <c r="K28" s="3333"/>
      <c r="L28" s="3333"/>
      <c r="M28" s="3332"/>
      <c r="N28" s="3333"/>
      <c r="O28" s="3333"/>
      <c r="P28" s="3333"/>
      <c r="Q28" s="3333"/>
      <c r="R28" s="3332"/>
      <c r="S28" s="3333"/>
      <c r="T28" s="3333"/>
      <c r="U28" s="3333"/>
      <c r="V28" s="3333"/>
      <c r="W28" s="3332"/>
      <c r="X28" s="3333"/>
      <c r="Y28" s="3333"/>
      <c r="Z28" s="3333"/>
      <c r="AA28" s="3333"/>
      <c r="AB28" s="4775"/>
      <c r="AC28" s="4835">
        <f t="shared" si="30"/>
        <v>0</v>
      </c>
      <c r="AD28" s="4835">
        <f t="shared" si="6"/>
        <v>0</v>
      </c>
      <c r="AE28" s="4835">
        <f t="shared" si="7"/>
        <v>0</v>
      </c>
      <c r="AF28" s="4835">
        <f t="shared" si="8"/>
        <v>0</v>
      </c>
      <c r="AG28" s="4835">
        <f t="shared" si="9"/>
        <v>0</v>
      </c>
      <c r="AH28" s="4835">
        <f t="shared" si="10"/>
        <v>0</v>
      </c>
      <c r="AI28" s="4835">
        <f t="shared" si="11"/>
        <v>0</v>
      </c>
      <c r="AJ28" s="4835">
        <f t="shared" si="12"/>
        <v>0</v>
      </c>
      <c r="AK28" s="4835">
        <f t="shared" si="13"/>
        <v>0</v>
      </c>
      <c r="AL28" s="4835">
        <f t="shared" si="14"/>
        <v>0</v>
      </c>
      <c r="AM28" s="4835">
        <f t="shared" si="15"/>
        <v>0</v>
      </c>
      <c r="AN28" s="4835">
        <f t="shared" si="16"/>
        <v>0</v>
      </c>
      <c r="AO28" s="4835">
        <f t="shared" si="17"/>
        <v>0</v>
      </c>
      <c r="AP28" s="4835">
        <f t="shared" si="18"/>
        <v>0</v>
      </c>
      <c r="AQ28" s="4835">
        <f t="shared" si="19"/>
        <v>0</v>
      </c>
      <c r="AR28" s="4835">
        <f t="shared" si="20"/>
        <v>0</v>
      </c>
      <c r="AS28" s="4835">
        <f t="shared" si="21"/>
        <v>0</v>
      </c>
      <c r="AT28" s="4835">
        <f t="shared" si="22"/>
        <v>0</v>
      </c>
      <c r="AU28" s="4835">
        <f t="shared" si="23"/>
        <v>0</v>
      </c>
      <c r="AV28" s="4835">
        <f t="shared" si="24"/>
        <v>0</v>
      </c>
      <c r="AW28" s="4835">
        <f t="shared" si="25"/>
        <v>0</v>
      </c>
      <c r="AX28" s="4835">
        <f t="shared" si="26"/>
        <v>0</v>
      </c>
      <c r="AY28" s="4835">
        <f t="shared" si="27"/>
        <v>0</v>
      </c>
      <c r="AZ28" s="4835">
        <f t="shared" si="28"/>
        <v>0</v>
      </c>
      <c r="BA28" s="4835">
        <f t="shared" si="29"/>
        <v>0</v>
      </c>
    </row>
    <row r="29" spans="1:53" ht="13.5" thickBot="1">
      <c r="A29" s="5519" t="s">
        <v>1458</v>
      </c>
      <c r="B29" s="5520"/>
      <c r="C29" s="3332"/>
      <c r="D29" s="3333"/>
      <c r="E29" s="3333"/>
      <c r="F29" s="3333"/>
      <c r="G29" s="3333"/>
      <c r="H29" s="3332"/>
      <c r="I29" s="3333"/>
      <c r="J29" s="3333"/>
      <c r="K29" s="3333"/>
      <c r="L29" s="3333"/>
      <c r="M29" s="3332"/>
      <c r="N29" s="3333"/>
      <c r="O29" s="3333"/>
      <c r="P29" s="3333"/>
      <c r="Q29" s="3333"/>
      <c r="R29" s="3332"/>
      <c r="S29" s="3333"/>
      <c r="T29" s="3333"/>
      <c r="U29" s="3333"/>
      <c r="V29" s="3333"/>
      <c r="W29" s="3332"/>
      <c r="X29" s="3333"/>
      <c r="Y29" s="3333"/>
      <c r="Z29" s="3333"/>
      <c r="AA29" s="3333"/>
      <c r="AB29" s="4775"/>
      <c r="AC29" s="4835">
        <f t="shared" si="30"/>
        <v>0</v>
      </c>
      <c r="AD29" s="4835">
        <f t="shared" si="6"/>
        <v>0</v>
      </c>
      <c r="AE29" s="4835">
        <f t="shared" si="7"/>
        <v>0</v>
      </c>
      <c r="AF29" s="4835">
        <f t="shared" si="8"/>
        <v>0</v>
      </c>
      <c r="AG29" s="4835">
        <f t="shared" si="9"/>
        <v>0</v>
      </c>
      <c r="AH29" s="4835">
        <f t="shared" si="10"/>
        <v>0</v>
      </c>
      <c r="AI29" s="4835">
        <f t="shared" si="11"/>
        <v>0</v>
      </c>
      <c r="AJ29" s="4835">
        <f t="shared" si="12"/>
        <v>0</v>
      </c>
      <c r="AK29" s="4835">
        <f t="shared" si="13"/>
        <v>0</v>
      </c>
      <c r="AL29" s="4835">
        <f t="shared" si="14"/>
        <v>0</v>
      </c>
      <c r="AM29" s="4835">
        <f t="shared" si="15"/>
        <v>0</v>
      </c>
      <c r="AN29" s="4835">
        <f t="shared" si="16"/>
        <v>0</v>
      </c>
      <c r="AO29" s="4835">
        <f t="shared" si="17"/>
        <v>0</v>
      </c>
      <c r="AP29" s="4835">
        <f t="shared" si="18"/>
        <v>0</v>
      </c>
      <c r="AQ29" s="4835">
        <f t="shared" si="19"/>
        <v>0</v>
      </c>
      <c r="AR29" s="4835">
        <f t="shared" si="20"/>
        <v>0</v>
      </c>
      <c r="AS29" s="4835">
        <f t="shared" si="21"/>
        <v>0</v>
      </c>
      <c r="AT29" s="4835">
        <f t="shared" si="22"/>
        <v>0</v>
      </c>
      <c r="AU29" s="4835">
        <f t="shared" si="23"/>
        <v>0</v>
      </c>
      <c r="AV29" s="4835">
        <f t="shared" si="24"/>
        <v>0</v>
      </c>
      <c r="AW29" s="4835">
        <f t="shared" si="25"/>
        <v>0</v>
      </c>
      <c r="AX29" s="4835">
        <f t="shared" si="26"/>
        <v>0</v>
      </c>
      <c r="AY29" s="4835">
        <f t="shared" si="27"/>
        <v>0</v>
      </c>
      <c r="AZ29" s="4835">
        <f t="shared" si="28"/>
        <v>0</v>
      </c>
      <c r="BA29" s="4835">
        <f t="shared" si="29"/>
        <v>0</v>
      </c>
    </row>
    <row r="30" spans="1:53" ht="13.5" thickBot="1">
      <c r="A30" s="5519" t="s">
        <v>1459</v>
      </c>
      <c r="B30" s="5520"/>
      <c r="C30" s="3332"/>
      <c r="D30" s="3333"/>
      <c r="E30" s="3333"/>
      <c r="F30" s="3333"/>
      <c r="G30" s="3333"/>
      <c r="H30" s="3332"/>
      <c r="I30" s="3333"/>
      <c r="J30" s="3333"/>
      <c r="K30" s="3333"/>
      <c r="L30" s="3333"/>
      <c r="M30" s="3332"/>
      <c r="N30" s="3333"/>
      <c r="O30" s="3333"/>
      <c r="P30" s="3333"/>
      <c r="Q30" s="3333"/>
      <c r="R30" s="3332"/>
      <c r="S30" s="3333"/>
      <c r="T30" s="3333"/>
      <c r="U30" s="3333"/>
      <c r="V30" s="3333"/>
      <c r="W30" s="3332"/>
      <c r="X30" s="3333"/>
      <c r="Y30" s="3333"/>
      <c r="Z30" s="3333"/>
      <c r="AA30" s="3333"/>
      <c r="AB30" s="4775"/>
      <c r="AC30" s="4835">
        <f t="shared" si="30"/>
        <v>0</v>
      </c>
      <c r="AD30" s="4835">
        <f t="shared" si="6"/>
        <v>0</v>
      </c>
      <c r="AE30" s="4835">
        <f t="shared" si="7"/>
        <v>0</v>
      </c>
      <c r="AF30" s="4835">
        <f t="shared" si="8"/>
        <v>0</v>
      </c>
      <c r="AG30" s="4835">
        <f t="shared" si="9"/>
        <v>0</v>
      </c>
      <c r="AH30" s="4835">
        <f t="shared" si="10"/>
        <v>0</v>
      </c>
      <c r="AI30" s="4835">
        <f t="shared" si="11"/>
        <v>0</v>
      </c>
      <c r="AJ30" s="4835">
        <f t="shared" si="12"/>
        <v>0</v>
      </c>
      <c r="AK30" s="4835">
        <f t="shared" si="13"/>
        <v>0</v>
      </c>
      <c r="AL30" s="4835">
        <f t="shared" si="14"/>
        <v>0</v>
      </c>
      <c r="AM30" s="4835">
        <f t="shared" si="15"/>
        <v>0</v>
      </c>
      <c r="AN30" s="4835">
        <f t="shared" si="16"/>
        <v>0</v>
      </c>
      <c r="AO30" s="4835">
        <f t="shared" si="17"/>
        <v>0</v>
      </c>
      <c r="AP30" s="4835">
        <f t="shared" si="18"/>
        <v>0</v>
      </c>
      <c r="AQ30" s="4835">
        <f t="shared" si="19"/>
        <v>0</v>
      </c>
      <c r="AR30" s="4835">
        <f t="shared" si="20"/>
        <v>0</v>
      </c>
      <c r="AS30" s="4835">
        <f t="shared" si="21"/>
        <v>0</v>
      </c>
      <c r="AT30" s="4835">
        <f t="shared" si="22"/>
        <v>0</v>
      </c>
      <c r="AU30" s="4835">
        <f t="shared" si="23"/>
        <v>0</v>
      </c>
      <c r="AV30" s="4835">
        <f t="shared" si="24"/>
        <v>0</v>
      </c>
      <c r="AW30" s="4835">
        <f t="shared" si="25"/>
        <v>0</v>
      </c>
      <c r="AX30" s="4835">
        <f t="shared" si="26"/>
        <v>0</v>
      </c>
      <c r="AY30" s="4835">
        <f t="shared" si="27"/>
        <v>0</v>
      </c>
      <c r="AZ30" s="4835">
        <f t="shared" si="28"/>
        <v>0</v>
      </c>
      <c r="BA30" s="4835">
        <f t="shared" si="29"/>
        <v>0</v>
      </c>
    </row>
    <row r="31" spans="1:53" ht="13.5" thickBot="1">
      <c r="A31" s="5521" t="s">
        <v>1460</v>
      </c>
      <c r="B31" s="5522"/>
      <c r="C31" s="3336"/>
      <c r="D31" s="3337"/>
      <c r="E31" s="3337"/>
      <c r="F31" s="3337"/>
      <c r="G31" s="3337"/>
      <c r="H31" s="3336"/>
      <c r="I31" s="3337"/>
      <c r="J31" s="3337"/>
      <c r="K31" s="3337"/>
      <c r="L31" s="3337"/>
      <c r="M31" s="3336"/>
      <c r="N31" s="3337"/>
      <c r="O31" s="3337"/>
      <c r="P31" s="3337"/>
      <c r="Q31" s="3337"/>
      <c r="R31" s="3336"/>
      <c r="S31" s="3337"/>
      <c r="T31" s="3337"/>
      <c r="U31" s="3337"/>
      <c r="V31" s="3337"/>
      <c r="W31" s="3336"/>
      <c r="X31" s="3337"/>
      <c r="Y31" s="3337"/>
      <c r="Z31" s="3337"/>
      <c r="AA31" s="3337"/>
      <c r="AB31" s="4775"/>
      <c r="AC31" s="4835">
        <f t="shared" si="30"/>
        <v>0</v>
      </c>
      <c r="AD31" s="4835">
        <f t="shared" si="6"/>
        <v>0</v>
      </c>
      <c r="AE31" s="4835">
        <f t="shared" si="7"/>
        <v>0</v>
      </c>
      <c r="AF31" s="4835">
        <f t="shared" si="8"/>
        <v>0</v>
      </c>
      <c r="AG31" s="4835">
        <f t="shared" si="9"/>
        <v>0</v>
      </c>
      <c r="AH31" s="4835">
        <f t="shared" si="10"/>
        <v>0</v>
      </c>
      <c r="AI31" s="4835">
        <f t="shared" si="11"/>
        <v>0</v>
      </c>
      <c r="AJ31" s="4835">
        <f t="shared" si="12"/>
        <v>0</v>
      </c>
      <c r="AK31" s="4835">
        <f t="shared" si="13"/>
        <v>0</v>
      </c>
      <c r="AL31" s="4835">
        <f t="shared" si="14"/>
        <v>0</v>
      </c>
      <c r="AM31" s="4835">
        <f t="shared" si="15"/>
        <v>0</v>
      </c>
      <c r="AN31" s="4835">
        <f t="shared" si="16"/>
        <v>0</v>
      </c>
      <c r="AO31" s="4835">
        <f t="shared" si="17"/>
        <v>0</v>
      </c>
      <c r="AP31" s="4835">
        <f t="shared" si="18"/>
        <v>0</v>
      </c>
      <c r="AQ31" s="4835">
        <f t="shared" si="19"/>
        <v>0</v>
      </c>
      <c r="AR31" s="4835">
        <f t="shared" si="20"/>
        <v>0</v>
      </c>
      <c r="AS31" s="4835">
        <f t="shared" si="21"/>
        <v>0</v>
      </c>
      <c r="AT31" s="4835">
        <f t="shared" si="22"/>
        <v>0</v>
      </c>
      <c r="AU31" s="4835">
        <f t="shared" si="23"/>
        <v>0</v>
      </c>
      <c r="AV31" s="4835">
        <f t="shared" si="24"/>
        <v>0</v>
      </c>
      <c r="AW31" s="4835">
        <f t="shared" si="25"/>
        <v>0</v>
      </c>
      <c r="AX31" s="4835">
        <f t="shared" si="26"/>
        <v>0</v>
      </c>
      <c r="AY31" s="4835">
        <f t="shared" si="27"/>
        <v>0</v>
      </c>
      <c r="AZ31" s="4835">
        <f t="shared" si="28"/>
        <v>0</v>
      </c>
      <c r="BA31" s="4835">
        <f t="shared" si="29"/>
        <v>0</v>
      </c>
    </row>
    <row r="32" spans="1:53" ht="20.25" customHeight="1" thickBot="1">
      <c r="A32" s="5513" t="s">
        <v>1175</v>
      </c>
      <c r="B32" s="5514"/>
      <c r="C32" s="5515">
        <v>6</v>
      </c>
      <c r="D32" s="5516"/>
      <c r="E32" s="5516"/>
      <c r="F32" s="5516"/>
      <c r="G32" s="5516"/>
      <c r="H32" s="5515">
        <f>C32+1</f>
        <v>7</v>
      </c>
      <c r="I32" s="5516"/>
      <c r="J32" s="5516"/>
      <c r="K32" s="5516"/>
      <c r="L32" s="5516"/>
      <c r="M32" s="5515">
        <f>H32+1</f>
        <v>8</v>
      </c>
      <c r="N32" s="5516"/>
      <c r="O32" s="5516"/>
      <c r="P32" s="5516"/>
      <c r="Q32" s="5516"/>
      <c r="R32" s="5515">
        <f>M32+1</f>
        <v>9</v>
      </c>
      <c r="S32" s="5516"/>
      <c r="T32" s="5516"/>
      <c r="U32" s="5516"/>
      <c r="V32" s="5516"/>
      <c r="W32" s="5515">
        <f>R32+1</f>
        <v>10</v>
      </c>
      <c r="X32" s="5516"/>
      <c r="Y32" s="5516"/>
      <c r="Z32" s="5516"/>
      <c r="AA32" s="5516"/>
      <c r="AB32" s="4775"/>
      <c r="AC32" s="5368">
        <f>+C32</f>
        <v>6</v>
      </c>
      <c r="AD32" s="5368"/>
      <c r="AE32" s="5368"/>
      <c r="AF32" s="5368"/>
      <c r="AG32" s="5368"/>
      <c r="AH32" s="5368">
        <f>+H32</f>
        <v>7</v>
      </c>
      <c r="AI32" s="5368"/>
      <c r="AJ32" s="5368"/>
      <c r="AK32" s="5368"/>
      <c r="AL32" s="5368"/>
      <c r="AM32" s="5368">
        <f>+M32</f>
        <v>8</v>
      </c>
      <c r="AN32" s="5368"/>
      <c r="AO32" s="5368"/>
      <c r="AP32" s="5368"/>
      <c r="AQ32" s="5368"/>
      <c r="AR32" s="5368">
        <f>+R32</f>
        <v>9</v>
      </c>
      <c r="AS32" s="5368"/>
      <c r="AT32" s="5368"/>
      <c r="AU32" s="5368"/>
      <c r="AV32" s="5368"/>
      <c r="AW32" s="5368">
        <f>+W32</f>
        <v>10</v>
      </c>
      <c r="AX32" s="5368"/>
      <c r="AY32" s="5368"/>
      <c r="AZ32" s="5368"/>
      <c r="BA32" s="5368"/>
    </row>
    <row r="33" spans="1:53" ht="12.75" customHeight="1" thickBot="1">
      <c r="A33" s="5510" t="s">
        <v>1297</v>
      </c>
      <c r="B33" s="3326" t="s">
        <v>1446</v>
      </c>
      <c r="C33" s="5506"/>
      <c r="D33" s="5507"/>
      <c r="E33" s="5507"/>
      <c r="F33" s="5507"/>
      <c r="G33" s="5507"/>
      <c r="H33" s="5506"/>
      <c r="I33" s="5507"/>
      <c r="J33" s="5507"/>
      <c r="K33" s="5507"/>
      <c r="L33" s="5507"/>
      <c r="M33" s="5506"/>
      <c r="N33" s="5507"/>
      <c r="O33" s="5507"/>
      <c r="P33" s="5507"/>
      <c r="Q33" s="5507"/>
      <c r="R33" s="5506"/>
      <c r="S33" s="5507"/>
      <c r="T33" s="5507"/>
      <c r="U33" s="5507"/>
      <c r="V33" s="5507"/>
      <c r="W33" s="5506"/>
      <c r="X33" s="5507"/>
      <c r="Y33" s="5507"/>
      <c r="Z33" s="5507"/>
      <c r="AA33" s="5507"/>
      <c r="AB33" s="4775"/>
      <c r="AC33" s="5535" t="str">
        <f>IF(C33=0,"",C33)</f>
        <v/>
      </c>
      <c r="AD33" s="5535"/>
      <c r="AE33" s="5535"/>
      <c r="AF33" s="5535"/>
      <c r="AG33" s="5535"/>
      <c r="AH33" s="5535" t="str">
        <f>IF(H33=0,"",H33)</f>
        <v/>
      </c>
      <c r="AI33" s="5535"/>
      <c r="AJ33" s="5535"/>
      <c r="AK33" s="5535"/>
      <c r="AL33" s="5535"/>
      <c r="AM33" s="5535" t="str">
        <f>IF(M33=0,"",M33)</f>
        <v/>
      </c>
      <c r="AN33" s="5535"/>
      <c r="AO33" s="5535"/>
      <c r="AP33" s="5535"/>
      <c r="AQ33" s="5535"/>
      <c r="AR33" s="5535" t="str">
        <f>IF(R33=0,"",R33)</f>
        <v/>
      </c>
      <c r="AS33" s="5535"/>
      <c r="AT33" s="5535"/>
      <c r="AU33" s="5535"/>
      <c r="AV33" s="5535"/>
      <c r="AW33" s="5535" t="str">
        <f>IF(W33=0,"",W33)</f>
        <v/>
      </c>
      <c r="AX33" s="5535"/>
      <c r="AY33" s="5535"/>
      <c r="AZ33" s="5535"/>
      <c r="BA33" s="5535"/>
    </row>
    <row r="34" spans="1:53" ht="13.5" thickBot="1">
      <c r="A34" s="5510"/>
      <c r="B34" s="3326" t="s">
        <v>1298</v>
      </c>
      <c r="C34" s="5506"/>
      <c r="D34" s="5507"/>
      <c r="E34" s="5507"/>
      <c r="F34" s="5507"/>
      <c r="G34" s="5507"/>
      <c r="H34" s="5506"/>
      <c r="I34" s="5507"/>
      <c r="J34" s="5507"/>
      <c r="K34" s="5507"/>
      <c r="L34" s="5507"/>
      <c r="M34" s="5506"/>
      <c r="N34" s="5507"/>
      <c r="O34" s="5507"/>
      <c r="P34" s="5507"/>
      <c r="Q34" s="5507"/>
      <c r="R34" s="5506"/>
      <c r="S34" s="5507"/>
      <c r="T34" s="5507"/>
      <c r="U34" s="5507"/>
      <c r="V34" s="5507"/>
      <c r="W34" s="5506"/>
      <c r="X34" s="5507"/>
      <c r="Y34" s="5507"/>
      <c r="Z34" s="5507"/>
      <c r="AA34" s="5507"/>
      <c r="AB34" s="4775"/>
      <c r="AC34" s="5535" t="str">
        <f t="shared" ref="AC34:AC38" si="31">IF(C34=0,"",C34)</f>
        <v/>
      </c>
      <c r="AD34" s="5535"/>
      <c r="AE34" s="5535"/>
      <c r="AF34" s="5535"/>
      <c r="AG34" s="5535"/>
      <c r="AH34" s="5535" t="str">
        <f t="shared" ref="AH34:AH38" si="32">IF(H34=0,"",H34)</f>
        <v/>
      </c>
      <c r="AI34" s="5535"/>
      <c r="AJ34" s="5535"/>
      <c r="AK34" s="5535"/>
      <c r="AL34" s="5535"/>
      <c r="AM34" s="5535" t="str">
        <f t="shared" ref="AM34:AM38" si="33">IF(M34=0,"",M34)</f>
        <v/>
      </c>
      <c r="AN34" s="5535"/>
      <c r="AO34" s="5535"/>
      <c r="AP34" s="5535"/>
      <c r="AQ34" s="5535"/>
      <c r="AR34" s="5535" t="str">
        <f t="shared" ref="AR34:AR38" si="34">IF(R34=0,"",R34)</f>
        <v/>
      </c>
      <c r="AS34" s="5535"/>
      <c r="AT34" s="5535"/>
      <c r="AU34" s="5535"/>
      <c r="AV34" s="5535"/>
      <c r="AW34" s="5535" t="str">
        <f t="shared" ref="AW34:AW38" si="35">IF(W34=0,"",W34)</f>
        <v/>
      </c>
      <c r="AX34" s="5535"/>
      <c r="AY34" s="5535"/>
      <c r="AZ34" s="5535"/>
      <c r="BA34" s="5535"/>
    </row>
    <row r="35" spans="1:53" ht="12.75" customHeight="1" thickBot="1">
      <c r="A35" s="5496" t="s">
        <v>1299</v>
      </c>
      <c r="B35" s="3327" t="s">
        <v>1300</v>
      </c>
      <c r="C35" s="5506"/>
      <c r="D35" s="5507"/>
      <c r="E35" s="5507"/>
      <c r="F35" s="5507"/>
      <c r="G35" s="5507"/>
      <c r="H35" s="5506"/>
      <c r="I35" s="5507"/>
      <c r="J35" s="5507"/>
      <c r="K35" s="5507"/>
      <c r="L35" s="5507"/>
      <c r="M35" s="5506"/>
      <c r="N35" s="5507"/>
      <c r="O35" s="5507"/>
      <c r="P35" s="5507"/>
      <c r="Q35" s="5507"/>
      <c r="R35" s="5506"/>
      <c r="S35" s="5507"/>
      <c r="T35" s="5507"/>
      <c r="U35" s="5507"/>
      <c r="V35" s="5507"/>
      <c r="W35" s="5506"/>
      <c r="X35" s="5507"/>
      <c r="Y35" s="5507"/>
      <c r="Z35" s="5507"/>
      <c r="AA35" s="5507"/>
      <c r="AB35" s="4775"/>
      <c r="AC35" s="5535" t="str">
        <f t="shared" si="31"/>
        <v/>
      </c>
      <c r="AD35" s="5535"/>
      <c r="AE35" s="5535"/>
      <c r="AF35" s="5535"/>
      <c r="AG35" s="5535"/>
      <c r="AH35" s="5535" t="str">
        <f t="shared" si="32"/>
        <v/>
      </c>
      <c r="AI35" s="5535"/>
      <c r="AJ35" s="5535"/>
      <c r="AK35" s="5535"/>
      <c r="AL35" s="5535"/>
      <c r="AM35" s="5535" t="str">
        <f t="shared" si="33"/>
        <v/>
      </c>
      <c r="AN35" s="5535"/>
      <c r="AO35" s="5535"/>
      <c r="AP35" s="5535"/>
      <c r="AQ35" s="5535"/>
      <c r="AR35" s="5535" t="str">
        <f t="shared" si="34"/>
        <v/>
      </c>
      <c r="AS35" s="5535"/>
      <c r="AT35" s="5535"/>
      <c r="AU35" s="5535"/>
      <c r="AV35" s="5535"/>
      <c r="AW35" s="5535" t="str">
        <f t="shared" si="35"/>
        <v/>
      </c>
      <c r="AX35" s="5535"/>
      <c r="AY35" s="5535"/>
      <c r="AZ35" s="5535"/>
      <c r="BA35" s="5535"/>
    </row>
    <row r="36" spans="1:53" ht="13.5" thickBot="1">
      <c r="A36" s="5497"/>
      <c r="B36" s="3326" t="s">
        <v>1301</v>
      </c>
      <c r="C36" s="5506"/>
      <c r="D36" s="5507"/>
      <c r="E36" s="5507"/>
      <c r="F36" s="5507"/>
      <c r="G36" s="5507"/>
      <c r="H36" s="5506"/>
      <c r="I36" s="5507"/>
      <c r="J36" s="5507"/>
      <c r="K36" s="5507"/>
      <c r="L36" s="5507"/>
      <c r="M36" s="5506"/>
      <c r="N36" s="5507"/>
      <c r="O36" s="5507"/>
      <c r="P36" s="5507"/>
      <c r="Q36" s="5507"/>
      <c r="R36" s="5506"/>
      <c r="S36" s="5507"/>
      <c r="T36" s="5507"/>
      <c r="U36" s="5507"/>
      <c r="V36" s="5507"/>
      <c r="W36" s="5506"/>
      <c r="X36" s="5507"/>
      <c r="Y36" s="5507"/>
      <c r="Z36" s="5507"/>
      <c r="AA36" s="5507"/>
      <c r="AB36" s="4775"/>
      <c r="AC36" s="5535" t="str">
        <f t="shared" si="31"/>
        <v/>
      </c>
      <c r="AD36" s="5535"/>
      <c r="AE36" s="5535"/>
      <c r="AF36" s="5535"/>
      <c r="AG36" s="5535"/>
      <c r="AH36" s="5535" t="str">
        <f t="shared" si="32"/>
        <v/>
      </c>
      <c r="AI36" s="5535"/>
      <c r="AJ36" s="5535"/>
      <c r="AK36" s="5535"/>
      <c r="AL36" s="5535"/>
      <c r="AM36" s="5535" t="str">
        <f t="shared" si="33"/>
        <v/>
      </c>
      <c r="AN36" s="5535"/>
      <c r="AO36" s="5535"/>
      <c r="AP36" s="5535"/>
      <c r="AQ36" s="5535"/>
      <c r="AR36" s="5535" t="str">
        <f t="shared" si="34"/>
        <v/>
      </c>
      <c r="AS36" s="5535"/>
      <c r="AT36" s="5535"/>
      <c r="AU36" s="5535"/>
      <c r="AV36" s="5535"/>
      <c r="AW36" s="5535" t="str">
        <f t="shared" si="35"/>
        <v/>
      </c>
      <c r="AX36" s="5535"/>
      <c r="AY36" s="5535"/>
      <c r="AZ36" s="5535"/>
      <c r="BA36" s="5535"/>
    </row>
    <row r="37" spans="1:53" ht="26.25" thickBot="1">
      <c r="A37" s="4031" t="s">
        <v>1302</v>
      </c>
      <c r="B37" s="3326" t="s">
        <v>1303</v>
      </c>
      <c r="C37" s="5506"/>
      <c r="D37" s="5507"/>
      <c r="E37" s="5507"/>
      <c r="F37" s="5507"/>
      <c r="G37" s="5507"/>
      <c r="H37" s="5506"/>
      <c r="I37" s="5507"/>
      <c r="J37" s="5507"/>
      <c r="K37" s="5507"/>
      <c r="L37" s="5507"/>
      <c r="M37" s="5506"/>
      <c r="N37" s="5507"/>
      <c r="O37" s="5507"/>
      <c r="P37" s="5507"/>
      <c r="Q37" s="5507"/>
      <c r="R37" s="5506"/>
      <c r="S37" s="5507"/>
      <c r="T37" s="5507"/>
      <c r="U37" s="5507"/>
      <c r="V37" s="5507"/>
      <c r="W37" s="5506"/>
      <c r="X37" s="5507"/>
      <c r="Y37" s="5507"/>
      <c r="Z37" s="5507"/>
      <c r="AA37" s="5507"/>
      <c r="AB37" s="4775"/>
      <c r="AC37" s="5535" t="str">
        <f t="shared" si="31"/>
        <v/>
      </c>
      <c r="AD37" s="5535"/>
      <c r="AE37" s="5535"/>
      <c r="AF37" s="5535"/>
      <c r="AG37" s="5535"/>
      <c r="AH37" s="5535" t="str">
        <f t="shared" si="32"/>
        <v/>
      </c>
      <c r="AI37" s="5535"/>
      <c r="AJ37" s="5535"/>
      <c r="AK37" s="5535"/>
      <c r="AL37" s="5535"/>
      <c r="AM37" s="5535" t="str">
        <f t="shared" si="33"/>
        <v/>
      </c>
      <c r="AN37" s="5535"/>
      <c r="AO37" s="5535"/>
      <c r="AP37" s="5535"/>
      <c r="AQ37" s="5535"/>
      <c r="AR37" s="5535" t="str">
        <f t="shared" si="34"/>
        <v/>
      </c>
      <c r="AS37" s="5535"/>
      <c r="AT37" s="5535"/>
      <c r="AU37" s="5535"/>
      <c r="AV37" s="5535"/>
      <c r="AW37" s="5535" t="str">
        <f t="shared" si="35"/>
        <v/>
      </c>
      <c r="AX37" s="5535"/>
      <c r="AY37" s="5535"/>
      <c r="AZ37" s="5535"/>
      <c r="BA37" s="5535"/>
    </row>
    <row r="38" spans="1:53" ht="26.25" thickBot="1">
      <c r="A38" s="3328" t="s">
        <v>1304</v>
      </c>
      <c r="B38" s="3329" t="s">
        <v>1305</v>
      </c>
      <c r="C38" s="5517"/>
      <c r="D38" s="5518"/>
      <c r="E38" s="5518"/>
      <c r="F38" s="5518"/>
      <c r="G38" s="5518"/>
      <c r="H38" s="5517"/>
      <c r="I38" s="5518"/>
      <c r="J38" s="5518"/>
      <c r="K38" s="5518"/>
      <c r="L38" s="5518"/>
      <c r="M38" s="5517"/>
      <c r="N38" s="5518"/>
      <c r="O38" s="5518"/>
      <c r="P38" s="5518"/>
      <c r="Q38" s="5518"/>
      <c r="R38" s="5517"/>
      <c r="S38" s="5518"/>
      <c r="T38" s="5518"/>
      <c r="U38" s="5518"/>
      <c r="V38" s="5518"/>
      <c r="W38" s="5517"/>
      <c r="X38" s="5518"/>
      <c r="Y38" s="5518"/>
      <c r="Z38" s="5518"/>
      <c r="AA38" s="5518"/>
      <c r="AB38" s="4775"/>
      <c r="AC38" s="5535" t="str">
        <f t="shared" si="31"/>
        <v/>
      </c>
      <c r="AD38" s="5535"/>
      <c r="AE38" s="5535"/>
      <c r="AF38" s="5535"/>
      <c r="AG38" s="5535"/>
      <c r="AH38" s="5535" t="str">
        <f t="shared" si="32"/>
        <v/>
      </c>
      <c r="AI38" s="5535"/>
      <c r="AJ38" s="5535"/>
      <c r="AK38" s="5535"/>
      <c r="AL38" s="5535"/>
      <c r="AM38" s="5535" t="str">
        <f t="shared" si="33"/>
        <v/>
      </c>
      <c r="AN38" s="5535"/>
      <c r="AO38" s="5535"/>
      <c r="AP38" s="5535"/>
      <c r="AQ38" s="5535"/>
      <c r="AR38" s="5535" t="str">
        <f t="shared" si="34"/>
        <v/>
      </c>
      <c r="AS38" s="5535"/>
      <c r="AT38" s="5535"/>
      <c r="AU38" s="5535"/>
      <c r="AV38" s="5535"/>
      <c r="AW38" s="5535" t="str">
        <f t="shared" si="35"/>
        <v/>
      </c>
      <c r="AX38" s="5535"/>
      <c r="AY38" s="5535"/>
      <c r="AZ38" s="5535"/>
      <c r="BA38" s="5535"/>
    </row>
    <row r="39" spans="1:53" ht="13.5" thickBot="1">
      <c r="A39" s="5511" t="s">
        <v>1461</v>
      </c>
      <c r="B39" s="5512"/>
      <c r="C39" s="4516" t="str">
        <f>'Приложение '!$C$14</f>
        <v>2027 г.</v>
      </c>
      <c r="D39" s="4517" t="str">
        <f>'Приложение '!$C$15</f>
        <v>2028 г.</v>
      </c>
      <c r="E39" s="4517" t="str">
        <f>'Приложение '!$C$16</f>
        <v>2029 г.</v>
      </c>
      <c r="F39" s="4517" t="str">
        <f>'Приложение '!$C$17</f>
        <v>2030 г.</v>
      </c>
      <c r="G39" s="4517" t="str">
        <f>'Приложение '!$C$18</f>
        <v>2031 г.</v>
      </c>
      <c r="H39" s="4516" t="str">
        <f>'Приложение '!$C$14</f>
        <v>2027 г.</v>
      </c>
      <c r="I39" s="4517" t="str">
        <f>'Приложение '!$C$15</f>
        <v>2028 г.</v>
      </c>
      <c r="J39" s="4517" t="str">
        <f>'Приложение '!$C$16</f>
        <v>2029 г.</v>
      </c>
      <c r="K39" s="4517" t="str">
        <f>'Приложение '!$C$17</f>
        <v>2030 г.</v>
      </c>
      <c r="L39" s="4517" t="str">
        <f>'Приложение '!$C$18</f>
        <v>2031 г.</v>
      </c>
      <c r="M39" s="4516" t="str">
        <f>'Приложение '!$C$14</f>
        <v>2027 г.</v>
      </c>
      <c r="N39" s="4517" t="str">
        <f>'Приложение '!$C$15</f>
        <v>2028 г.</v>
      </c>
      <c r="O39" s="4517" t="str">
        <f>'Приложение '!$C$16</f>
        <v>2029 г.</v>
      </c>
      <c r="P39" s="4517" t="str">
        <f>'Приложение '!$C$17</f>
        <v>2030 г.</v>
      </c>
      <c r="Q39" s="4517" t="str">
        <f>'Приложение '!$C$18</f>
        <v>2031 г.</v>
      </c>
      <c r="R39" s="4516" t="str">
        <f>'Приложение '!$C$14</f>
        <v>2027 г.</v>
      </c>
      <c r="S39" s="4517" t="str">
        <f>'Приложение '!$C$15</f>
        <v>2028 г.</v>
      </c>
      <c r="T39" s="4517" t="str">
        <f>'Приложение '!$C$16</f>
        <v>2029 г.</v>
      </c>
      <c r="U39" s="4517" t="str">
        <f>'Приложение '!$C$17</f>
        <v>2030 г.</v>
      </c>
      <c r="V39" s="4517" t="str">
        <f>'Приложение '!$C$18</f>
        <v>2031 г.</v>
      </c>
      <c r="W39" s="4516" t="str">
        <f>'Приложение '!$C$14</f>
        <v>2027 г.</v>
      </c>
      <c r="X39" s="4517" t="str">
        <f>'Приложение '!$C$15</f>
        <v>2028 г.</v>
      </c>
      <c r="Y39" s="4517" t="str">
        <f>'Приложение '!$C$16</f>
        <v>2029 г.</v>
      </c>
      <c r="Z39" s="4517" t="str">
        <f>'Приложение '!$C$17</f>
        <v>2030 г.</v>
      </c>
      <c r="AA39" s="4517" t="str">
        <f>'Приложение '!$C$18</f>
        <v>2031 г.</v>
      </c>
      <c r="AB39" s="4775"/>
      <c r="AC39" s="4829" t="str">
        <f>'Приложение '!$C$14</f>
        <v>2027 г.</v>
      </c>
      <c r="AD39" s="4829" t="str">
        <f>'Приложение '!$C$15</f>
        <v>2028 г.</v>
      </c>
      <c r="AE39" s="4829" t="str">
        <f>'Приложение '!$C$16</f>
        <v>2029 г.</v>
      </c>
      <c r="AF39" s="4829" t="str">
        <f>'Приложение '!$C$17</f>
        <v>2030 г.</v>
      </c>
      <c r="AG39" s="4829" t="str">
        <f>'Приложение '!$C$18</f>
        <v>2031 г.</v>
      </c>
      <c r="AH39" s="4829" t="str">
        <f>'Приложение '!$C$14</f>
        <v>2027 г.</v>
      </c>
      <c r="AI39" s="4829" t="str">
        <f>'Приложение '!$C$15</f>
        <v>2028 г.</v>
      </c>
      <c r="AJ39" s="4829" t="str">
        <f>'Приложение '!$C$16</f>
        <v>2029 г.</v>
      </c>
      <c r="AK39" s="4829" t="str">
        <f>'Приложение '!$C$17</f>
        <v>2030 г.</v>
      </c>
      <c r="AL39" s="4829" t="str">
        <f>'Приложение '!$C$18</f>
        <v>2031 г.</v>
      </c>
      <c r="AM39" s="4829" t="str">
        <f>'Приложение '!$C$14</f>
        <v>2027 г.</v>
      </c>
      <c r="AN39" s="4829" t="str">
        <f>'Приложение '!$C$15</f>
        <v>2028 г.</v>
      </c>
      <c r="AO39" s="4829" t="str">
        <f>'Приложение '!$C$16</f>
        <v>2029 г.</v>
      </c>
      <c r="AP39" s="4829" t="str">
        <f>'Приложение '!$C$17</f>
        <v>2030 г.</v>
      </c>
      <c r="AQ39" s="4829" t="str">
        <f>'Приложение '!$C$18</f>
        <v>2031 г.</v>
      </c>
      <c r="AR39" s="4829" t="str">
        <f>'Приложение '!$C$14</f>
        <v>2027 г.</v>
      </c>
      <c r="AS39" s="4829" t="str">
        <f>'Приложение '!$C$15</f>
        <v>2028 г.</v>
      </c>
      <c r="AT39" s="4829" t="str">
        <f>'Приложение '!$C$16</f>
        <v>2029 г.</v>
      </c>
      <c r="AU39" s="4829" t="str">
        <f>'Приложение '!$C$17</f>
        <v>2030 г.</v>
      </c>
      <c r="AV39" s="4829" t="str">
        <f>'Приложение '!$C$18</f>
        <v>2031 г.</v>
      </c>
      <c r="AW39" s="4829" t="str">
        <f>'Приложение '!$C$14</f>
        <v>2027 г.</v>
      </c>
      <c r="AX39" s="4829" t="str">
        <f>'Приложение '!$C$15</f>
        <v>2028 г.</v>
      </c>
      <c r="AY39" s="4829" t="str">
        <f>'Приложение '!$C$16</f>
        <v>2029 г.</v>
      </c>
      <c r="AZ39" s="4829" t="str">
        <f>'Приложение '!$C$17</f>
        <v>2030 г.</v>
      </c>
      <c r="BA39" s="4829" t="str">
        <f>'Приложение '!$C$18</f>
        <v>2031 г.</v>
      </c>
    </row>
    <row r="40" spans="1:53" ht="12.75" customHeight="1">
      <c r="A40" s="5498" t="s">
        <v>1447</v>
      </c>
      <c r="B40" s="5499"/>
      <c r="C40" s="3330"/>
      <c r="D40" s="3331"/>
      <c r="E40" s="3331"/>
      <c r="F40" s="3331"/>
      <c r="G40" s="3331"/>
      <c r="H40" s="3330"/>
      <c r="I40" s="3331"/>
      <c r="J40" s="3331"/>
      <c r="K40" s="3331"/>
      <c r="L40" s="3331"/>
      <c r="M40" s="3330"/>
      <c r="N40" s="3331"/>
      <c r="O40" s="3331"/>
      <c r="P40" s="3331"/>
      <c r="Q40" s="3331"/>
      <c r="R40" s="3330"/>
      <c r="S40" s="3331"/>
      <c r="T40" s="3331"/>
      <c r="U40" s="3331"/>
      <c r="V40" s="3331"/>
      <c r="W40" s="3330"/>
      <c r="X40" s="3331"/>
      <c r="Y40" s="3331"/>
      <c r="Z40" s="3331"/>
      <c r="AA40" s="3331"/>
      <c r="AB40" s="4775"/>
      <c r="AC40" s="4832"/>
      <c r="AD40" s="4832"/>
      <c r="AE40" s="4832"/>
      <c r="AF40" s="4832"/>
      <c r="AG40" s="4832"/>
      <c r="AH40" s="4832"/>
      <c r="AI40" s="4832"/>
      <c r="AJ40" s="4832"/>
      <c r="AK40" s="4832"/>
      <c r="AL40" s="4832"/>
      <c r="AM40" s="4832"/>
      <c r="AN40" s="4832"/>
      <c r="AO40" s="4832"/>
      <c r="AP40" s="4832"/>
      <c r="AQ40" s="4832"/>
      <c r="AR40" s="4832"/>
      <c r="AS40" s="4832"/>
      <c r="AT40" s="4832"/>
      <c r="AU40" s="4832"/>
      <c r="AV40" s="4832"/>
      <c r="AW40" s="4832"/>
      <c r="AX40" s="4832"/>
      <c r="AY40" s="4832"/>
      <c r="AZ40" s="4832"/>
      <c r="BA40" s="4832"/>
    </row>
    <row r="41" spans="1:53" ht="12.75" customHeight="1">
      <c r="A41" s="5500" t="s">
        <v>1448</v>
      </c>
      <c r="B41" s="5501"/>
      <c r="C41" s="3332"/>
      <c r="D41" s="3333"/>
      <c r="E41" s="3333"/>
      <c r="F41" s="3333"/>
      <c r="G41" s="3333"/>
      <c r="H41" s="3332"/>
      <c r="I41" s="3333"/>
      <c r="J41" s="3333"/>
      <c r="K41" s="3333"/>
      <c r="L41" s="3333"/>
      <c r="M41" s="3332"/>
      <c r="N41" s="3333"/>
      <c r="O41" s="3333"/>
      <c r="P41" s="3333"/>
      <c r="Q41" s="3333"/>
      <c r="R41" s="3332"/>
      <c r="S41" s="3333"/>
      <c r="T41" s="3333"/>
      <c r="U41" s="3333"/>
      <c r="V41" s="3333"/>
      <c r="W41" s="3332"/>
      <c r="X41" s="3333"/>
      <c r="Y41" s="3333"/>
      <c r="Z41" s="3333"/>
      <c r="AA41" s="3333"/>
      <c r="AB41" s="4775"/>
      <c r="AC41" s="4833"/>
      <c r="AD41" s="4833"/>
      <c r="AE41" s="4833"/>
      <c r="AF41" s="4833"/>
      <c r="AG41" s="4833"/>
      <c r="AH41" s="4833"/>
      <c r="AI41" s="4833"/>
      <c r="AJ41" s="4833"/>
      <c r="AK41" s="4833"/>
      <c r="AL41" s="4833"/>
      <c r="AM41" s="4833"/>
      <c r="AN41" s="4833"/>
      <c r="AO41" s="4833"/>
      <c r="AP41" s="4833"/>
      <c r="AQ41" s="4833"/>
      <c r="AR41" s="4833"/>
      <c r="AS41" s="4833"/>
      <c r="AT41" s="4833"/>
      <c r="AU41" s="4833"/>
      <c r="AV41" s="4833"/>
      <c r="AW41" s="4833"/>
      <c r="AX41" s="4833"/>
      <c r="AY41" s="4833"/>
      <c r="AZ41" s="4833"/>
      <c r="BA41" s="4833"/>
    </row>
    <row r="42" spans="1:53" ht="12.75" customHeight="1">
      <c r="A42" s="5523" t="s">
        <v>1449</v>
      </c>
      <c r="B42" s="5524"/>
      <c r="C42" s="3334"/>
      <c r="D42" s="3335"/>
      <c r="E42" s="3335"/>
      <c r="F42" s="3335"/>
      <c r="G42" s="3335"/>
      <c r="H42" s="3334"/>
      <c r="I42" s="3335"/>
      <c r="J42" s="3335"/>
      <c r="K42" s="3335"/>
      <c r="L42" s="3335"/>
      <c r="M42" s="3334"/>
      <c r="N42" s="3335"/>
      <c r="O42" s="3335"/>
      <c r="P42" s="3335"/>
      <c r="Q42" s="3335"/>
      <c r="R42" s="3334"/>
      <c r="S42" s="3335"/>
      <c r="T42" s="3335"/>
      <c r="U42" s="3335"/>
      <c r="V42" s="3335"/>
      <c r="W42" s="3334"/>
      <c r="X42" s="3335"/>
      <c r="Y42" s="3335"/>
      <c r="Z42" s="3335"/>
      <c r="AA42" s="3335"/>
      <c r="AB42" s="4775"/>
      <c r="AC42" s="4833"/>
      <c r="AD42" s="4833"/>
      <c r="AE42" s="4833"/>
      <c r="AF42" s="4833"/>
      <c r="AG42" s="4833"/>
      <c r="AH42" s="4833"/>
      <c r="AI42" s="4833"/>
      <c r="AJ42" s="4833"/>
      <c r="AK42" s="4833"/>
      <c r="AL42" s="4833"/>
      <c r="AM42" s="4833"/>
      <c r="AN42" s="4833"/>
      <c r="AO42" s="4833"/>
      <c r="AP42" s="4833"/>
      <c r="AQ42" s="4833"/>
      <c r="AR42" s="4833"/>
      <c r="AS42" s="4833"/>
      <c r="AT42" s="4833"/>
      <c r="AU42" s="4833"/>
      <c r="AV42" s="4833"/>
      <c r="AW42" s="4833"/>
      <c r="AX42" s="4833"/>
      <c r="AY42" s="4833"/>
      <c r="AZ42" s="4833"/>
      <c r="BA42" s="4833"/>
    </row>
    <row r="43" spans="1:53" ht="13.5" thickBot="1">
      <c r="A43" s="5504" t="s">
        <v>1450</v>
      </c>
      <c r="B43" s="5505"/>
      <c r="C43" s="3336"/>
      <c r="D43" s="3337"/>
      <c r="E43" s="3337"/>
      <c r="F43" s="3337"/>
      <c r="G43" s="3337"/>
      <c r="H43" s="3336"/>
      <c r="I43" s="3337"/>
      <c r="J43" s="3337"/>
      <c r="K43" s="3337"/>
      <c r="L43" s="3337"/>
      <c r="M43" s="3336"/>
      <c r="N43" s="3337"/>
      <c r="O43" s="3337"/>
      <c r="P43" s="3337"/>
      <c r="Q43" s="3337"/>
      <c r="R43" s="3336"/>
      <c r="S43" s="3337"/>
      <c r="T43" s="3337"/>
      <c r="U43" s="3337"/>
      <c r="V43" s="3337"/>
      <c r="W43" s="3336"/>
      <c r="X43" s="3337"/>
      <c r="Y43" s="3337"/>
      <c r="Z43" s="3337"/>
      <c r="AA43" s="3337"/>
      <c r="AB43" s="4775"/>
      <c r="AC43" s="4834"/>
      <c r="AD43" s="4834"/>
      <c r="AE43" s="4834"/>
      <c r="AF43" s="4834"/>
      <c r="AG43" s="4834"/>
      <c r="AH43" s="4834"/>
      <c r="AI43" s="4834"/>
      <c r="AJ43" s="4834"/>
      <c r="AK43" s="4834"/>
      <c r="AL43" s="4834"/>
      <c r="AM43" s="4834"/>
      <c r="AN43" s="4834"/>
      <c r="AO43" s="4834"/>
      <c r="AP43" s="4834"/>
      <c r="AQ43" s="4834"/>
      <c r="AR43" s="4834"/>
      <c r="AS43" s="4834"/>
      <c r="AT43" s="4834"/>
      <c r="AU43" s="4834"/>
      <c r="AV43" s="4834"/>
      <c r="AW43" s="4834"/>
      <c r="AX43" s="4834"/>
      <c r="AY43" s="4834"/>
      <c r="AZ43" s="4834"/>
      <c r="BA43" s="4834"/>
    </row>
    <row r="44" spans="1:53" s="3759" customFormat="1" ht="25.5" customHeight="1" thickBot="1">
      <c r="A44" s="5525" t="s">
        <v>1452</v>
      </c>
      <c r="B44" s="5526"/>
      <c r="C44" s="3338">
        <f t="shared" ref="C44:AA44" si="36">SUM(C45,C50:C54)</f>
        <v>0</v>
      </c>
      <c r="D44" s="3339">
        <f t="shared" si="36"/>
        <v>0</v>
      </c>
      <c r="E44" s="3339">
        <f t="shared" si="36"/>
        <v>0</v>
      </c>
      <c r="F44" s="3339">
        <f t="shared" si="36"/>
        <v>0</v>
      </c>
      <c r="G44" s="3339">
        <f t="shared" si="36"/>
        <v>0</v>
      </c>
      <c r="H44" s="3338">
        <f t="shared" si="36"/>
        <v>0</v>
      </c>
      <c r="I44" s="3339">
        <f t="shared" si="36"/>
        <v>0</v>
      </c>
      <c r="J44" s="3339">
        <f t="shared" si="36"/>
        <v>0</v>
      </c>
      <c r="K44" s="3339">
        <f t="shared" si="36"/>
        <v>0</v>
      </c>
      <c r="L44" s="3339">
        <f t="shared" si="36"/>
        <v>0</v>
      </c>
      <c r="M44" s="3338">
        <f t="shared" si="36"/>
        <v>0</v>
      </c>
      <c r="N44" s="3339">
        <f t="shared" si="36"/>
        <v>0</v>
      </c>
      <c r="O44" s="3339">
        <f t="shared" si="36"/>
        <v>0</v>
      </c>
      <c r="P44" s="3339">
        <f t="shared" si="36"/>
        <v>0</v>
      </c>
      <c r="Q44" s="3339">
        <f t="shared" si="36"/>
        <v>0</v>
      </c>
      <c r="R44" s="3338">
        <f t="shared" si="36"/>
        <v>0</v>
      </c>
      <c r="S44" s="3339">
        <f t="shared" si="36"/>
        <v>0</v>
      </c>
      <c r="T44" s="3339">
        <f t="shared" si="36"/>
        <v>0</v>
      </c>
      <c r="U44" s="3339">
        <f t="shared" si="36"/>
        <v>0</v>
      </c>
      <c r="V44" s="3339">
        <f t="shared" si="36"/>
        <v>0</v>
      </c>
      <c r="W44" s="3338">
        <f t="shared" si="36"/>
        <v>0</v>
      </c>
      <c r="X44" s="3339">
        <f t="shared" si="36"/>
        <v>0</v>
      </c>
      <c r="Y44" s="3339">
        <f t="shared" si="36"/>
        <v>0</v>
      </c>
      <c r="Z44" s="3339">
        <f t="shared" si="36"/>
        <v>0</v>
      </c>
      <c r="AA44" s="3339">
        <f t="shared" si="36"/>
        <v>0</v>
      </c>
      <c r="AB44" s="4775"/>
      <c r="AC44" s="4830">
        <f>IFERROR(C44/$D$1,0)</f>
        <v>0</v>
      </c>
      <c r="AD44" s="4831">
        <f t="shared" ref="AD44:AD54" si="37">IFERROR(D44/$D$1,0)</f>
        <v>0</v>
      </c>
      <c r="AE44" s="4831">
        <f t="shared" ref="AE44:AE54" si="38">IFERROR(E44/$D$1,0)</f>
        <v>0</v>
      </c>
      <c r="AF44" s="4831">
        <f t="shared" ref="AF44:AF54" si="39">IFERROR(F44/$D$1,0)</f>
        <v>0</v>
      </c>
      <c r="AG44" s="4831">
        <f t="shared" ref="AG44:AG54" si="40">IFERROR(G44/$D$1,0)</f>
        <v>0</v>
      </c>
      <c r="AH44" s="4831">
        <f t="shared" ref="AH44:AH54" si="41">IFERROR(H44/$D$1,0)</f>
        <v>0</v>
      </c>
      <c r="AI44" s="4831">
        <f t="shared" ref="AI44:AI54" si="42">IFERROR(I44/$D$1,0)</f>
        <v>0</v>
      </c>
      <c r="AJ44" s="4831">
        <f t="shared" ref="AJ44:AJ54" si="43">IFERROR(J44/$D$1,0)</f>
        <v>0</v>
      </c>
      <c r="AK44" s="4831">
        <f t="shared" ref="AK44:AK54" si="44">IFERROR(K44/$D$1,0)</f>
        <v>0</v>
      </c>
      <c r="AL44" s="4831">
        <f t="shared" ref="AL44:AL54" si="45">IFERROR(L44/$D$1,0)</f>
        <v>0</v>
      </c>
      <c r="AM44" s="4831">
        <f t="shared" ref="AM44:AM54" si="46">IFERROR(M44/$D$1,0)</f>
        <v>0</v>
      </c>
      <c r="AN44" s="4831">
        <f t="shared" ref="AN44:AN54" si="47">IFERROR(N44/$D$1,0)</f>
        <v>0</v>
      </c>
      <c r="AO44" s="4831">
        <f t="shared" ref="AO44:AO54" si="48">IFERROR(O44/$D$1,0)</f>
        <v>0</v>
      </c>
      <c r="AP44" s="4831">
        <f t="shared" ref="AP44:AP54" si="49">IFERROR(P44/$D$1,0)</f>
        <v>0</v>
      </c>
      <c r="AQ44" s="4831">
        <f t="shared" ref="AQ44:AQ54" si="50">IFERROR(Q44/$D$1,0)</f>
        <v>0</v>
      </c>
      <c r="AR44" s="4831">
        <f t="shared" ref="AR44:AR54" si="51">IFERROR(R44/$D$1,0)</f>
        <v>0</v>
      </c>
      <c r="AS44" s="4831">
        <f t="shared" ref="AS44:AS54" si="52">IFERROR(S44/$D$1,0)</f>
        <v>0</v>
      </c>
      <c r="AT44" s="4831">
        <f t="shared" ref="AT44:AT54" si="53">IFERROR(T44/$D$1,0)</f>
        <v>0</v>
      </c>
      <c r="AU44" s="4831">
        <f t="shared" ref="AU44:AU54" si="54">IFERROR(U44/$D$1,0)</f>
        <v>0</v>
      </c>
      <c r="AV44" s="4831">
        <f t="shared" ref="AV44:AV54" si="55">IFERROR(V44/$D$1,0)</f>
        <v>0</v>
      </c>
      <c r="AW44" s="4831">
        <f t="shared" ref="AW44:AW54" si="56">IFERROR(W44/$D$1,0)</f>
        <v>0</v>
      </c>
      <c r="AX44" s="4831">
        <f t="shared" ref="AX44:AX54" si="57">IFERROR(X44/$D$1,0)</f>
        <v>0</v>
      </c>
      <c r="AY44" s="4831">
        <f t="shared" ref="AY44:AY54" si="58">IFERROR(Y44/$D$1,0)</f>
        <v>0</v>
      </c>
      <c r="AZ44" s="4831">
        <f t="shared" ref="AZ44:AZ54" si="59">IFERROR(Z44/$D$1,0)</f>
        <v>0</v>
      </c>
      <c r="BA44" s="4831">
        <f t="shared" ref="BA44:BA54" si="60">IFERROR(AA44/$D$1,0)</f>
        <v>0</v>
      </c>
    </row>
    <row r="45" spans="1:53" ht="12.75" customHeight="1" thickBot="1">
      <c r="A45" s="5527" t="s">
        <v>1451</v>
      </c>
      <c r="B45" s="5528"/>
      <c r="C45" s="3332"/>
      <c r="D45" s="3333"/>
      <c r="E45" s="3333"/>
      <c r="F45" s="3333"/>
      <c r="G45" s="3333"/>
      <c r="H45" s="3332"/>
      <c r="I45" s="3333"/>
      <c r="J45" s="3333"/>
      <c r="K45" s="3333"/>
      <c r="L45" s="3333"/>
      <c r="M45" s="3332"/>
      <c r="N45" s="3333"/>
      <c r="O45" s="3333"/>
      <c r="P45" s="3333"/>
      <c r="Q45" s="3333"/>
      <c r="R45" s="3332"/>
      <c r="S45" s="3333"/>
      <c r="T45" s="3333"/>
      <c r="U45" s="3333"/>
      <c r="V45" s="3333"/>
      <c r="W45" s="3332"/>
      <c r="X45" s="3333"/>
      <c r="Y45" s="3333"/>
      <c r="Z45" s="3333"/>
      <c r="AA45" s="3333"/>
      <c r="AB45" s="4775"/>
      <c r="AC45" s="4835">
        <f t="shared" ref="AC45:AC54" si="61">IFERROR(C45/$D$1,0)</f>
        <v>0</v>
      </c>
      <c r="AD45" s="4835">
        <f t="shared" si="37"/>
        <v>0</v>
      </c>
      <c r="AE45" s="4835">
        <f t="shared" si="38"/>
        <v>0</v>
      </c>
      <c r="AF45" s="4835">
        <f t="shared" si="39"/>
        <v>0</v>
      </c>
      <c r="AG45" s="4835">
        <f t="shared" si="40"/>
        <v>0</v>
      </c>
      <c r="AH45" s="4835">
        <f t="shared" si="41"/>
        <v>0</v>
      </c>
      <c r="AI45" s="4835">
        <f t="shared" si="42"/>
        <v>0</v>
      </c>
      <c r="AJ45" s="4835">
        <f t="shared" si="43"/>
        <v>0</v>
      </c>
      <c r="AK45" s="4835">
        <f t="shared" si="44"/>
        <v>0</v>
      </c>
      <c r="AL45" s="4835">
        <f t="shared" si="45"/>
        <v>0</v>
      </c>
      <c r="AM45" s="4835">
        <f t="shared" si="46"/>
        <v>0</v>
      </c>
      <c r="AN45" s="4835">
        <f t="shared" si="47"/>
        <v>0</v>
      </c>
      <c r="AO45" s="4835">
        <f t="shared" si="48"/>
        <v>0</v>
      </c>
      <c r="AP45" s="4835">
        <f t="shared" si="49"/>
        <v>0</v>
      </c>
      <c r="AQ45" s="4835">
        <f t="shared" si="50"/>
        <v>0</v>
      </c>
      <c r="AR45" s="4835">
        <f t="shared" si="51"/>
        <v>0</v>
      </c>
      <c r="AS45" s="4835">
        <f t="shared" si="52"/>
        <v>0</v>
      </c>
      <c r="AT45" s="4835">
        <f t="shared" si="53"/>
        <v>0</v>
      </c>
      <c r="AU45" s="4835">
        <f t="shared" si="54"/>
        <v>0</v>
      </c>
      <c r="AV45" s="4835">
        <f t="shared" si="55"/>
        <v>0</v>
      </c>
      <c r="AW45" s="4835">
        <f t="shared" si="56"/>
        <v>0</v>
      </c>
      <c r="AX45" s="4835">
        <f t="shared" si="57"/>
        <v>0</v>
      </c>
      <c r="AY45" s="4835">
        <f t="shared" si="58"/>
        <v>0</v>
      </c>
      <c r="AZ45" s="4835">
        <f t="shared" si="59"/>
        <v>0</v>
      </c>
      <c r="BA45" s="4835">
        <f t="shared" si="60"/>
        <v>0</v>
      </c>
    </row>
    <row r="46" spans="1:53" ht="13.5" thickBot="1">
      <c r="A46" s="5529" t="s">
        <v>1463</v>
      </c>
      <c r="B46" s="5530"/>
      <c r="C46" s="3332"/>
      <c r="D46" s="3333"/>
      <c r="E46" s="3333"/>
      <c r="F46" s="3333"/>
      <c r="G46" s="3333"/>
      <c r="H46" s="3332"/>
      <c r="I46" s="3333"/>
      <c r="J46" s="3333"/>
      <c r="K46" s="3333"/>
      <c r="L46" s="3333"/>
      <c r="M46" s="3332"/>
      <c r="N46" s="3333"/>
      <c r="O46" s="3333"/>
      <c r="P46" s="3333"/>
      <c r="Q46" s="3333"/>
      <c r="R46" s="3332"/>
      <c r="S46" s="3333"/>
      <c r="T46" s="3333"/>
      <c r="U46" s="3333"/>
      <c r="V46" s="3333"/>
      <c r="W46" s="3332"/>
      <c r="X46" s="3333"/>
      <c r="Y46" s="3333"/>
      <c r="Z46" s="3333"/>
      <c r="AA46" s="3333"/>
      <c r="AB46" s="4775"/>
      <c r="AC46" s="4835">
        <f t="shared" si="61"/>
        <v>0</v>
      </c>
      <c r="AD46" s="4835">
        <f t="shared" si="37"/>
        <v>0</v>
      </c>
      <c r="AE46" s="4835">
        <f t="shared" si="38"/>
        <v>0</v>
      </c>
      <c r="AF46" s="4835">
        <f t="shared" si="39"/>
        <v>0</v>
      </c>
      <c r="AG46" s="4835">
        <f t="shared" si="40"/>
        <v>0</v>
      </c>
      <c r="AH46" s="4835">
        <f t="shared" si="41"/>
        <v>0</v>
      </c>
      <c r="AI46" s="4835">
        <f t="shared" si="42"/>
        <v>0</v>
      </c>
      <c r="AJ46" s="4835">
        <f t="shared" si="43"/>
        <v>0</v>
      </c>
      <c r="AK46" s="4835">
        <f t="shared" si="44"/>
        <v>0</v>
      </c>
      <c r="AL46" s="4835">
        <f t="shared" si="45"/>
        <v>0</v>
      </c>
      <c r="AM46" s="4835">
        <f t="shared" si="46"/>
        <v>0</v>
      </c>
      <c r="AN46" s="4835">
        <f t="shared" si="47"/>
        <v>0</v>
      </c>
      <c r="AO46" s="4835">
        <f t="shared" si="48"/>
        <v>0</v>
      </c>
      <c r="AP46" s="4835">
        <f t="shared" si="49"/>
        <v>0</v>
      </c>
      <c r="AQ46" s="4835">
        <f t="shared" si="50"/>
        <v>0</v>
      </c>
      <c r="AR46" s="4835">
        <f t="shared" si="51"/>
        <v>0</v>
      </c>
      <c r="AS46" s="4835">
        <f t="shared" si="52"/>
        <v>0</v>
      </c>
      <c r="AT46" s="4835">
        <f t="shared" si="53"/>
        <v>0</v>
      </c>
      <c r="AU46" s="4835">
        <f t="shared" si="54"/>
        <v>0</v>
      </c>
      <c r="AV46" s="4835">
        <f t="shared" si="55"/>
        <v>0</v>
      </c>
      <c r="AW46" s="4835">
        <f t="shared" si="56"/>
        <v>0</v>
      </c>
      <c r="AX46" s="4835">
        <f t="shared" si="57"/>
        <v>0</v>
      </c>
      <c r="AY46" s="4835">
        <f t="shared" si="58"/>
        <v>0</v>
      </c>
      <c r="AZ46" s="4835">
        <f t="shared" si="59"/>
        <v>0</v>
      </c>
      <c r="BA46" s="4835">
        <f t="shared" si="60"/>
        <v>0</v>
      </c>
    </row>
    <row r="47" spans="1:53" ht="12.75" customHeight="1" thickBot="1">
      <c r="A47" s="5502" t="s">
        <v>1453</v>
      </c>
      <c r="B47" s="5503"/>
      <c r="C47" s="3332"/>
      <c r="D47" s="3333"/>
      <c r="E47" s="3333"/>
      <c r="F47" s="3333"/>
      <c r="G47" s="3333"/>
      <c r="H47" s="3332"/>
      <c r="I47" s="3333"/>
      <c r="J47" s="3333"/>
      <c r="K47" s="3333"/>
      <c r="L47" s="3333"/>
      <c r="M47" s="3332"/>
      <c r="N47" s="3333"/>
      <c r="O47" s="3333"/>
      <c r="P47" s="3333"/>
      <c r="Q47" s="3333"/>
      <c r="R47" s="3332"/>
      <c r="S47" s="3333"/>
      <c r="T47" s="3333"/>
      <c r="U47" s="3333"/>
      <c r="V47" s="3333"/>
      <c r="W47" s="3332"/>
      <c r="X47" s="3333"/>
      <c r="Y47" s="3333"/>
      <c r="Z47" s="3333"/>
      <c r="AA47" s="3333"/>
      <c r="AB47" s="4775"/>
      <c r="AC47" s="4835">
        <f t="shared" si="61"/>
        <v>0</v>
      </c>
      <c r="AD47" s="4835">
        <f t="shared" si="37"/>
        <v>0</v>
      </c>
      <c r="AE47" s="4835">
        <f t="shared" si="38"/>
        <v>0</v>
      </c>
      <c r="AF47" s="4835">
        <f t="shared" si="39"/>
        <v>0</v>
      </c>
      <c r="AG47" s="4835">
        <f t="shared" si="40"/>
        <v>0</v>
      </c>
      <c r="AH47" s="4835">
        <f t="shared" si="41"/>
        <v>0</v>
      </c>
      <c r="AI47" s="4835">
        <f t="shared" si="42"/>
        <v>0</v>
      </c>
      <c r="AJ47" s="4835">
        <f t="shared" si="43"/>
        <v>0</v>
      </c>
      <c r="AK47" s="4835">
        <f t="shared" si="44"/>
        <v>0</v>
      </c>
      <c r="AL47" s="4835">
        <f t="shared" si="45"/>
        <v>0</v>
      </c>
      <c r="AM47" s="4835">
        <f t="shared" si="46"/>
        <v>0</v>
      </c>
      <c r="AN47" s="4835">
        <f t="shared" si="47"/>
        <v>0</v>
      </c>
      <c r="AO47" s="4835">
        <f t="shared" si="48"/>
        <v>0</v>
      </c>
      <c r="AP47" s="4835">
        <f t="shared" si="49"/>
        <v>0</v>
      </c>
      <c r="AQ47" s="4835">
        <f t="shared" si="50"/>
        <v>0</v>
      </c>
      <c r="AR47" s="4835">
        <f t="shared" si="51"/>
        <v>0</v>
      </c>
      <c r="AS47" s="4835">
        <f t="shared" si="52"/>
        <v>0</v>
      </c>
      <c r="AT47" s="4835">
        <f t="shared" si="53"/>
        <v>0</v>
      </c>
      <c r="AU47" s="4835">
        <f t="shared" si="54"/>
        <v>0</v>
      </c>
      <c r="AV47" s="4835">
        <f t="shared" si="55"/>
        <v>0</v>
      </c>
      <c r="AW47" s="4835">
        <f t="shared" si="56"/>
        <v>0</v>
      </c>
      <c r="AX47" s="4835">
        <f t="shared" si="57"/>
        <v>0</v>
      </c>
      <c r="AY47" s="4835">
        <f t="shared" si="58"/>
        <v>0</v>
      </c>
      <c r="AZ47" s="4835">
        <f t="shared" si="59"/>
        <v>0</v>
      </c>
      <c r="BA47" s="4835">
        <f t="shared" si="60"/>
        <v>0</v>
      </c>
    </row>
    <row r="48" spans="1:53" ht="12.75" customHeight="1" thickBot="1">
      <c r="A48" s="5502" t="s">
        <v>1454</v>
      </c>
      <c r="B48" s="5503"/>
      <c r="C48" s="3332"/>
      <c r="D48" s="3333"/>
      <c r="E48" s="3333"/>
      <c r="F48" s="3333"/>
      <c r="G48" s="3333"/>
      <c r="H48" s="3332"/>
      <c r="I48" s="3333"/>
      <c r="J48" s="3333"/>
      <c r="K48" s="3333"/>
      <c r="L48" s="3333"/>
      <c r="M48" s="3332"/>
      <c r="N48" s="3333"/>
      <c r="O48" s="3333"/>
      <c r="P48" s="3333"/>
      <c r="Q48" s="3333"/>
      <c r="R48" s="3332"/>
      <c r="S48" s="3333"/>
      <c r="T48" s="3333"/>
      <c r="U48" s="3333"/>
      <c r="V48" s="3333"/>
      <c r="W48" s="3332"/>
      <c r="X48" s="3333"/>
      <c r="Y48" s="3333"/>
      <c r="Z48" s="3333"/>
      <c r="AA48" s="3333"/>
      <c r="AB48" s="4775"/>
      <c r="AC48" s="4835">
        <f t="shared" si="61"/>
        <v>0</v>
      </c>
      <c r="AD48" s="4835">
        <f t="shared" si="37"/>
        <v>0</v>
      </c>
      <c r="AE48" s="4835">
        <f t="shared" si="38"/>
        <v>0</v>
      </c>
      <c r="AF48" s="4835">
        <f t="shared" si="39"/>
        <v>0</v>
      </c>
      <c r="AG48" s="4835">
        <f t="shared" si="40"/>
        <v>0</v>
      </c>
      <c r="AH48" s="4835">
        <f t="shared" si="41"/>
        <v>0</v>
      </c>
      <c r="AI48" s="4835">
        <f t="shared" si="42"/>
        <v>0</v>
      </c>
      <c r="AJ48" s="4835">
        <f t="shared" si="43"/>
        <v>0</v>
      </c>
      <c r="AK48" s="4835">
        <f t="shared" si="44"/>
        <v>0</v>
      </c>
      <c r="AL48" s="4835">
        <f t="shared" si="45"/>
        <v>0</v>
      </c>
      <c r="AM48" s="4835">
        <f t="shared" si="46"/>
        <v>0</v>
      </c>
      <c r="AN48" s="4835">
        <f t="shared" si="47"/>
        <v>0</v>
      </c>
      <c r="AO48" s="4835">
        <f t="shared" si="48"/>
        <v>0</v>
      </c>
      <c r="AP48" s="4835">
        <f t="shared" si="49"/>
        <v>0</v>
      </c>
      <c r="AQ48" s="4835">
        <f t="shared" si="50"/>
        <v>0</v>
      </c>
      <c r="AR48" s="4835">
        <f t="shared" si="51"/>
        <v>0</v>
      </c>
      <c r="AS48" s="4835">
        <f t="shared" si="52"/>
        <v>0</v>
      </c>
      <c r="AT48" s="4835">
        <f t="shared" si="53"/>
        <v>0</v>
      </c>
      <c r="AU48" s="4835">
        <f t="shared" si="54"/>
        <v>0</v>
      </c>
      <c r="AV48" s="4835">
        <f t="shared" si="55"/>
        <v>0</v>
      </c>
      <c r="AW48" s="4835">
        <f t="shared" si="56"/>
        <v>0</v>
      </c>
      <c r="AX48" s="4835">
        <f t="shared" si="57"/>
        <v>0</v>
      </c>
      <c r="AY48" s="4835">
        <f t="shared" si="58"/>
        <v>0</v>
      </c>
      <c r="AZ48" s="4835">
        <f t="shared" si="59"/>
        <v>0</v>
      </c>
      <c r="BA48" s="4835">
        <f t="shared" si="60"/>
        <v>0</v>
      </c>
    </row>
    <row r="49" spans="1:53" ht="12.75" customHeight="1" thickBot="1">
      <c r="A49" s="5502" t="s">
        <v>1455</v>
      </c>
      <c r="B49" s="5503"/>
      <c r="C49" s="3332"/>
      <c r="D49" s="3333"/>
      <c r="E49" s="3333"/>
      <c r="F49" s="3333"/>
      <c r="G49" s="3333"/>
      <c r="H49" s="3332"/>
      <c r="I49" s="3333"/>
      <c r="J49" s="3333"/>
      <c r="K49" s="3333"/>
      <c r="L49" s="3333"/>
      <c r="M49" s="3332"/>
      <c r="N49" s="3333"/>
      <c r="O49" s="3333"/>
      <c r="P49" s="3333"/>
      <c r="Q49" s="3333"/>
      <c r="R49" s="3332"/>
      <c r="S49" s="3333"/>
      <c r="T49" s="3333"/>
      <c r="U49" s="3333"/>
      <c r="V49" s="3333"/>
      <c r="W49" s="3332"/>
      <c r="X49" s="3333"/>
      <c r="Y49" s="3333"/>
      <c r="Z49" s="3333"/>
      <c r="AA49" s="3333"/>
      <c r="AB49" s="4775"/>
      <c r="AC49" s="4835">
        <f t="shared" si="61"/>
        <v>0</v>
      </c>
      <c r="AD49" s="4835">
        <f t="shared" si="37"/>
        <v>0</v>
      </c>
      <c r="AE49" s="4835">
        <f t="shared" si="38"/>
        <v>0</v>
      </c>
      <c r="AF49" s="4835">
        <f t="shared" si="39"/>
        <v>0</v>
      </c>
      <c r="AG49" s="4835">
        <f t="shared" si="40"/>
        <v>0</v>
      </c>
      <c r="AH49" s="4835">
        <f t="shared" si="41"/>
        <v>0</v>
      </c>
      <c r="AI49" s="4835">
        <f t="shared" si="42"/>
        <v>0</v>
      </c>
      <c r="AJ49" s="4835">
        <f t="shared" si="43"/>
        <v>0</v>
      </c>
      <c r="AK49" s="4835">
        <f t="shared" si="44"/>
        <v>0</v>
      </c>
      <c r="AL49" s="4835">
        <f t="shared" si="45"/>
        <v>0</v>
      </c>
      <c r="AM49" s="4835">
        <f t="shared" si="46"/>
        <v>0</v>
      </c>
      <c r="AN49" s="4835">
        <f t="shared" si="47"/>
        <v>0</v>
      </c>
      <c r="AO49" s="4835">
        <f t="shared" si="48"/>
        <v>0</v>
      </c>
      <c r="AP49" s="4835">
        <f t="shared" si="49"/>
        <v>0</v>
      </c>
      <c r="AQ49" s="4835">
        <f t="shared" si="50"/>
        <v>0</v>
      </c>
      <c r="AR49" s="4835">
        <f t="shared" si="51"/>
        <v>0</v>
      </c>
      <c r="AS49" s="4835">
        <f t="shared" si="52"/>
        <v>0</v>
      </c>
      <c r="AT49" s="4835">
        <f t="shared" si="53"/>
        <v>0</v>
      </c>
      <c r="AU49" s="4835">
        <f t="shared" si="54"/>
        <v>0</v>
      </c>
      <c r="AV49" s="4835">
        <f t="shared" si="55"/>
        <v>0</v>
      </c>
      <c r="AW49" s="4835">
        <f t="shared" si="56"/>
        <v>0</v>
      </c>
      <c r="AX49" s="4835">
        <f t="shared" si="57"/>
        <v>0</v>
      </c>
      <c r="AY49" s="4835">
        <f t="shared" si="58"/>
        <v>0</v>
      </c>
      <c r="AZ49" s="4835">
        <f t="shared" si="59"/>
        <v>0</v>
      </c>
      <c r="BA49" s="4835">
        <f t="shared" si="60"/>
        <v>0</v>
      </c>
    </row>
    <row r="50" spans="1:53" ht="13.5" thickBot="1">
      <c r="A50" s="5508" t="s">
        <v>1456</v>
      </c>
      <c r="B50" s="5509"/>
      <c r="C50" s="3332"/>
      <c r="D50" s="3333"/>
      <c r="E50" s="3333"/>
      <c r="F50" s="3333"/>
      <c r="G50" s="3333"/>
      <c r="H50" s="3332"/>
      <c r="I50" s="3333"/>
      <c r="J50" s="3333"/>
      <c r="K50" s="3333"/>
      <c r="L50" s="3333"/>
      <c r="M50" s="3332"/>
      <c r="N50" s="3333"/>
      <c r="O50" s="3333"/>
      <c r="P50" s="3333"/>
      <c r="Q50" s="3333"/>
      <c r="R50" s="3332"/>
      <c r="S50" s="3333"/>
      <c r="T50" s="3333"/>
      <c r="U50" s="3333"/>
      <c r="V50" s="3333"/>
      <c r="W50" s="3332"/>
      <c r="X50" s="3333"/>
      <c r="Y50" s="3333"/>
      <c r="Z50" s="3333"/>
      <c r="AA50" s="3333"/>
      <c r="AB50" s="4775"/>
      <c r="AC50" s="4835">
        <f t="shared" si="61"/>
        <v>0</v>
      </c>
      <c r="AD50" s="4835">
        <f t="shared" si="37"/>
        <v>0</v>
      </c>
      <c r="AE50" s="4835">
        <f t="shared" si="38"/>
        <v>0</v>
      </c>
      <c r="AF50" s="4835">
        <f t="shared" si="39"/>
        <v>0</v>
      </c>
      <c r="AG50" s="4835">
        <f t="shared" si="40"/>
        <v>0</v>
      </c>
      <c r="AH50" s="4835">
        <f t="shared" si="41"/>
        <v>0</v>
      </c>
      <c r="AI50" s="4835">
        <f t="shared" si="42"/>
        <v>0</v>
      </c>
      <c r="AJ50" s="4835">
        <f t="shared" si="43"/>
        <v>0</v>
      </c>
      <c r="AK50" s="4835">
        <f t="shared" si="44"/>
        <v>0</v>
      </c>
      <c r="AL50" s="4835">
        <f t="shared" si="45"/>
        <v>0</v>
      </c>
      <c r="AM50" s="4835">
        <f t="shared" si="46"/>
        <v>0</v>
      </c>
      <c r="AN50" s="4835">
        <f t="shared" si="47"/>
        <v>0</v>
      </c>
      <c r="AO50" s="4835">
        <f t="shared" si="48"/>
        <v>0</v>
      </c>
      <c r="AP50" s="4835">
        <f t="shared" si="49"/>
        <v>0</v>
      </c>
      <c r="AQ50" s="4835">
        <f t="shared" si="50"/>
        <v>0</v>
      </c>
      <c r="AR50" s="4835">
        <f t="shared" si="51"/>
        <v>0</v>
      </c>
      <c r="AS50" s="4835">
        <f t="shared" si="52"/>
        <v>0</v>
      </c>
      <c r="AT50" s="4835">
        <f t="shared" si="53"/>
        <v>0</v>
      </c>
      <c r="AU50" s="4835">
        <f t="shared" si="54"/>
        <v>0</v>
      </c>
      <c r="AV50" s="4835">
        <f t="shared" si="55"/>
        <v>0</v>
      </c>
      <c r="AW50" s="4835">
        <f t="shared" si="56"/>
        <v>0</v>
      </c>
      <c r="AX50" s="4835">
        <f t="shared" si="57"/>
        <v>0</v>
      </c>
      <c r="AY50" s="4835">
        <f t="shared" si="58"/>
        <v>0</v>
      </c>
      <c r="AZ50" s="4835">
        <f t="shared" si="59"/>
        <v>0</v>
      </c>
      <c r="BA50" s="4835">
        <f t="shared" si="60"/>
        <v>0</v>
      </c>
    </row>
    <row r="51" spans="1:53" ht="12.75" customHeight="1" thickBot="1">
      <c r="A51" s="5519" t="s">
        <v>1457</v>
      </c>
      <c r="B51" s="5520"/>
      <c r="C51" s="3332"/>
      <c r="D51" s="3333"/>
      <c r="E51" s="3333"/>
      <c r="F51" s="3333"/>
      <c r="G51" s="3333"/>
      <c r="H51" s="3332"/>
      <c r="I51" s="3333"/>
      <c r="J51" s="3333"/>
      <c r="K51" s="3333"/>
      <c r="L51" s="3333"/>
      <c r="M51" s="3332"/>
      <c r="N51" s="3333"/>
      <c r="O51" s="3333"/>
      <c r="P51" s="3333"/>
      <c r="Q51" s="3333"/>
      <c r="R51" s="3332"/>
      <c r="S51" s="3333"/>
      <c r="T51" s="3333"/>
      <c r="U51" s="3333"/>
      <c r="V51" s="3333"/>
      <c r="W51" s="3332"/>
      <c r="X51" s="3333"/>
      <c r="Y51" s="3333"/>
      <c r="Z51" s="3333"/>
      <c r="AA51" s="3333"/>
      <c r="AB51" s="4775"/>
      <c r="AC51" s="4835">
        <f t="shared" si="61"/>
        <v>0</v>
      </c>
      <c r="AD51" s="4835">
        <f t="shared" si="37"/>
        <v>0</v>
      </c>
      <c r="AE51" s="4835">
        <f t="shared" si="38"/>
        <v>0</v>
      </c>
      <c r="AF51" s="4835">
        <f t="shared" si="39"/>
        <v>0</v>
      </c>
      <c r="AG51" s="4835">
        <f t="shared" si="40"/>
        <v>0</v>
      </c>
      <c r="AH51" s="4835">
        <f t="shared" si="41"/>
        <v>0</v>
      </c>
      <c r="AI51" s="4835">
        <f t="shared" si="42"/>
        <v>0</v>
      </c>
      <c r="AJ51" s="4835">
        <f t="shared" si="43"/>
        <v>0</v>
      </c>
      <c r="AK51" s="4835">
        <f t="shared" si="44"/>
        <v>0</v>
      </c>
      <c r="AL51" s="4835">
        <f t="shared" si="45"/>
        <v>0</v>
      </c>
      <c r="AM51" s="4835">
        <f t="shared" si="46"/>
        <v>0</v>
      </c>
      <c r="AN51" s="4835">
        <f t="shared" si="47"/>
        <v>0</v>
      </c>
      <c r="AO51" s="4835">
        <f t="shared" si="48"/>
        <v>0</v>
      </c>
      <c r="AP51" s="4835">
        <f t="shared" si="49"/>
        <v>0</v>
      </c>
      <c r="AQ51" s="4835">
        <f t="shared" si="50"/>
        <v>0</v>
      </c>
      <c r="AR51" s="4835">
        <f t="shared" si="51"/>
        <v>0</v>
      </c>
      <c r="AS51" s="4835">
        <f t="shared" si="52"/>
        <v>0</v>
      </c>
      <c r="AT51" s="4835">
        <f t="shared" si="53"/>
        <v>0</v>
      </c>
      <c r="AU51" s="4835">
        <f t="shared" si="54"/>
        <v>0</v>
      </c>
      <c r="AV51" s="4835">
        <f t="shared" si="55"/>
        <v>0</v>
      </c>
      <c r="AW51" s="4835">
        <f t="shared" si="56"/>
        <v>0</v>
      </c>
      <c r="AX51" s="4835">
        <f t="shared" si="57"/>
        <v>0</v>
      </c>
      <c r="AY51" s="4835">
        <f t="shared" si="58"/>
        <v>0</v>
      </c>
      <c r="AZ51" s="4835">
        <f t="shared" si="59"/>
        <v>0</v>
      </c>
      <c r="BA51" s="4835">
        <f t="shared" si="60"/>
        <v>0</v>
      </c>
    </row>
    <row r="52" spans="1:53" ht="12.75" customHeight="1" thickBot="1">
      <c r="A52" s="5519" t="s">
        <v>1458</v>
      </c>
      <c r="B52" s="5520"/>
      <c r="C52" s="3332"/>
      <c r="D52" s="3333"/>
      <c r="E52" s="3333"/>
      <c r="F52" s="3333"/>
      <c r="G52" s="3333"/>
      <c r="H52" s="3332"/>
      <c r="I52" s="3333"/>
      <c r="J52" s="3333"/>
      <c r="K52" s="3333"/>
      <c r="L52" s="3333"/>
      <c r="M52" s="3332"/>
      <c r="N52" s="3333"/>
      <c r="O52" s="3333"/>
      <c r="P52" s="3333"/>
      <c r="Q52" s="3333"/>
      <c r="R52" s="3332"/>
      <c r="S52" s="3333"/>
      <c r="T52" s="3333"/>
      <c r="U52" s="3333"/>
      <c r="V52" s="3333"/>
      <c r="W52" s="3332"/>
      <c r="X52" s="3333"/>
      <c r="Y52" s="3333"/>
      <c r="Z52" s="3333"/>
      <c r="AA52" s="3333"/>
      <c r="AB52" s="4775"/>
      <c r="AC52" s="4835">
        <f t="shared" si="61"/>
        <v>0</v>
      </c>
      <c r="AD52" s="4835">
        <f t="shared" si="37"/>
        <v>0</v>
      </c>
      <c r="AE52" s="4835">
        <f t="shared" si="38"/>
        <v>0</v>
      </c>
      <c r="AF52" s="4835">
        <f t="shared" si="39"/>
        <v>0</v>
      </c>
      <c r="AG52" s="4835">
        <f t="shared" si="40"/>
        <v>0</v>
      </c>
      <c r="AH52" s="4835">
        <f t="shared" si="41"/>
        <v>0</v>
      </c>
      <c r="AI52" s="4835">
        <f t="shared" si="42"/>
        <v>0</v>
      </c>
      <c r="AJ52" s="4835">
        <f t="shared" si="43"/>
        <v>0</v>
      </c>
      <c r="AK52" s="4835">
        <f t="shared" si="44"/>
        <v>0</v>
      </c>
      <c r="AL52" s="4835">
        <f t="shared" si="45"/>
        <v>0</v>
      </c>
      <c r="AM52" s="4835">
        <f t="shared" si="46"/>
        <v>0</v>
      </c>
      <c r="AN52" s="4835">
        <f t="shared" si="47"/>
        <v>0</v>
      </c>
      <c r="AO52" s="4835">
        <f t="shared" si="48"/>
        <v>0</v>
      </c>
      <c r="AP52" s="4835">
        <f t="shared" si="49"/>
        <v>0</v>
      </c>
      <c r="AQ52" s="4835">
        <f t="shared" si="50"/>
        <v>0</v>
      </c>
      <c r="AR52" s="4835">
        <f t="shared" si="51"/>
        <v>0</v>
      </c>
      <c r="AS52" s="4835">
        <f t="shared" si="52"/>
        <v>0</v>
      </c>
      <c r="AT52" s="4835">
        <f t="shared" si="53"/>
        <v>0</v>
      </c>
      <c r="AU52" s="4835">
        <f t="shared" si="54"/>
        <v>0</v>
      </c>
      <c r="AV52" s="4835">
        <f t="shared" si="55"/>
        <v>0</v>
      </c>
      <c r="AW52" s="4835">
        <f t="shared" si="56"/>
        <v>0</v>
      </c>
      <c r="AX52" s="4835">
        <f t="shared" si="57"/>
        <v>0</v>
      </c>
      <c r="AY52" s="4835">
        <f t="shared" si="58"/>
        <v>0</v>
      </c>
      <c r="AZ52" s="4835">
        <f t="shared" si="59"/>
        <v>0</v>
      </c>
      <c r="BA52" s="4835">
        <f t="shared" si="60"/>
        <v>0</v>
      </c>
    </row>
    <row r="53" spans="1:53" ht="12.75" customHeight="1" thickBot="1">
      <c r="A53" s="5519" t="s">
        <v>1459</v>
      </c>
      <c r="B53" s="5520"/>
      <c r="C53" s="3332"/>
      <c r="D53" s="3333"/>
      <c r="E53" s="3333"/>
      <c r="F53" s="3333"/>
      <c r="G53" s="3333"/>
      <c r="H53" s="3332"/>
      <c r="I53" s="3333"/>
      <c r="J53" s="3333"/>
      <c r="K53" s="3333"/>
      <c r="L53" s="3333"/>
      <c r="M53" s="3332"/>
      <c r="N53" s="3333"/>
      <c r="O53" s="3333"/>
      <c r="P53" s="3333"/>
      <c r="Q53" s="3333"/>
      <c r="R53" s="3332"/>
      <c r="S53" s="3333"/>
      <c r="T53" s="3333"/>
      <c r="U53" s="3333"/>
      <c r="V53" s="3333"/>
      <c r="W53" s="3332"/>
      <c r="X53" s="3333"/>
      <c r="Y53" s="3333"/>
      <c r="Z53" s="3333"/>
      <c r="AA53" s="3333"/>
      <c r="AB53" s="4775"/>
      <c r="AC53" s="4835">
        <f t="shared" si="61"/>
        <v>0</v>
      </c>
      <c r="AD53" s="4835">
        <f t="shared" si="37"/>
        <v>0</v>
      </c>
      <c r="AE53" s="4835">
        <f t="shared" si="38"/>
        <v>0</v>
      </c>
      <c r="AF53" s="4835">
        <f t="shared" si="39"/>
        <v>0</v>
      </c>
      <c r="AG53" s="4835">
        <f t="shared" si="40"/>
        <v>0</v>
      </c>
      <c r="AH53" s="4835">
        <f t="shared" si="41"/>
        <v>0</v>
      </c>
      <c r="AI53" s="4835">
        <f t="shared" si="42"/>
        <v>0</v>
      </c>
      <c r="AJ53" s="4835">
        <f t="shared" si="43"/>
        <v>0</v>
      </c>
      <c r="AK53" s="4835">
        <f t="shared" si="44"/>
        <v>0</v>
      </c>
      <c r="AL53" s="4835">
        <f t="shared" si="45"/>
        <v>0</v>
      </c>
      <c r="AM53" s="4835">
        <f t="shared" si="46"/>
        <v>0</v>
      </c>
      <c r="AN53" s="4835">
        <f t="shared" si="47"/>
        <v>0</v>
      </c>
      <c r="AO53" s="4835">
        <f t="shared" si="48"/>
        <v>0</v>
      </c>
      <c r="AP53" s="4835">
        <f t="shared" si="49"/>
        <v>0</v>
      </c>
      <c r="AQ53" s="4835">
        <f t="shared" si="50"/>
        <v>0</v>
      </c>
      <c r="AR53" s="4835">
        <f t="shared" si="51"/>
        <v>0</v>
      </c>
      <c r="AS53" s="4835">
        <f t="shared" si="52"/>
        <v>0</v>
      </c>
      <c r="AT53" s="4835">
        <f t="shared" si="53"/>
        <v>0</v>
      </c>
      <c r="AU53" s="4835">
        <f t="shared" si="54"/>
        <v>0</v>
      </c>
      <c r="AV53" s="4835">
        <f t="shared" si="55"/>
        <v>0</v>
      </c>
      <c r="AW53" s="4835">
        <f t="shared" si="56"/>
        <v>0</v>
      </c>
      <c r="AX53" s="4835">
        <f t="shared" si="57"/>
        <v>0</v>
      </c>
      <c r="AY53" s="4835">
        <f t="shared" si="58"/>
        <v>0</v>
      </c>
      <c r="AZ53" s="4835">
        <f t="shared" si="59"/>
        <v>0</v>
      </c>
      <c r="BA53" s="4835">
        <f t="shared" si="60"/>
        <v>0</v>
      </c>
    </row>
    <row r="54" spans="1:53" ht="13.5" customHeight="1" thickBot="1">
      <c r="A54" s="5521" t="s">
        <v>1460</v>
      </c>
      <c r="B54" s="5522"/>
      <c r="C54" s="3336"/>
      <c r="D54" s="3337"/>
      <c r="E54" s="3337"/>
      <c r="F54" s="3337"/>
      <c r="G54" s="3337"/>
      <c r="H54" s="3336"/>
      <c r="I54" s="3337"/>
      <c r="J54" s="3337"/>
      <c r="K54" s="3337"/>
      <c r="L54" s="3337"/>
      <c r="M54" s="3336"/>
      <c r="N54" s="3337"/>
      <c r="O54" s="3337"/>
      <c r="P54" s="3337"/>
      <c r="Q54" s="3337"/>
      <c r="R54" s="3336"/>
      <c r="S54" s="3337"/>
      <c r="T54" s="3337"/>
      <c r="U54" s="3337"/>
      <c r="V54" s="3337"/>
      <c r="W54" s="3336"/>
      <c r="X54" s="3337"/>
      <c r="Y54" s="3337"/>
      <c r="Z54" s="3337"/>
      <c r="AA54" s="3337"/>
      <c r="AB54" s="4775"/>
      <c r="AC54" s="4835">
        <f t="shared" si="61"/>
        <v>0</v>
      </c>
      <c r="AD54" s="4835">
        <f t="shared" si="37"/>
        <v>0</v>
      </c>
      <c r="AE54" s="4835">
        <f t="shared" si="38"/>
        <v>0</v>
      </c>
      <c r="AF54" s="4835">
        <f t="shared" si="39"/>
        <v>0</v>
      </c>
      <c r="AG54" s="4835">
        <f t="shared" si="40"/>
        <v>0</v>
      </c>
      <c r="AH54" s="4835">
        <f t="shared" si="41"/>
        <v>0</v>
      </c>
      <c r="AI54" s="4835">
        <f t="shared" si="42"/>
        <v>0</v>
      </c>
      <c r="AJ54" s="4835">
        <f t="shared" si="43"/>
        <v>0</v>
      </c>
      <c r="AK54" s="4835">
        <f t="shared" si="44"/>
        <v>0</v>
      </c>
      <c r="AL54" s="4835">
        <f t="shared" si="45"/>
        <v>0</v>
      </c>
      <c r="AM54" s="4835">
        <f t="shared" si="46"/>
        <v>0</v>
      </c>
      <c r="AN54" s="4835">
        <f t="shared" si="47"/>
        <v>0</v>
      </c>
      <c r="AO54" s="4835">
        <f t="shared" si="48"/>
        <v>0</v>
      </c>
      <c r="AP54" s="4835">
        <f t="shared" si="49"/>
        <v>0</v>
      </c>
      <c r="AQ54" s="4835">
        <f t="shared" si="50"/>
        <v>0</v>
      </c>
      <c r="AR54" s="4835">
        <f t="shared" si="51"/>
        <v>0</v>
      </c>
      <c r="AS54" s="4835">
        <f t="shared" si="52"/>
        <v>0</v>
      </c>
      <c r="AT54" s="4835">
        <f t="shared" si="53"/>
        <v>0</v>
      </c>
      <c r="AU54" s="4835">
        <f t="shared" si="54"/>
        <v>0</v>
      </c>
      <c r="AV54" s="4835">
        <f t="shared" si="55"/>
        <v>0</v>
      </c>
      <c r="AW54" s="4835">
        <f t="shared" si="56"/>
        <v>0</v>
      </c>
      <c r="AX54" s="4835">
        <f t="shared" si="57"/>
        <v>0</v>
      </c>
      <c r="AY54" s="4835">
        <f t="shared" si="58"/>
        <v>0</v>
      </c>
      <c r="AZ54" s="4835">
        <f t="shared" si="59"/>
        <v>0</v>
      </c>
      <c r="BA54" s="4835">
        <f t="shared" si="60"/>
        <v>0</v>
      </c>
    </row>
    <row r="55" spans="1:53" ht="21.75" customHeight="1" thickBot="1">
      <c r="A55" s="1551" t="s">
        <v>174</v>
      </c>
      <c r="B55" s="1552"/>
      <c r="C55" s="3340"/>
      <c r="D55" s="3340"/>
      <c r="E55" s="3340"/>
      <c r="F55" s="3340"/>
      <c r="G55" s="3340"/>
      <c r="H55" s="3340"/>
      <c r="I55" s="3340"/>
      <c r="J55" s="3340"/>
      <c r="K55" s="3340"/>
      <c r="L55" s="3340"/>
      <c r="M55" s="3340"/>
      <c r="N55" s="3340"/>
      <c r="O55" s="3340"/>
      <c r="P55" s="3340"/>
      <c r="Q55" s="3340"/>
      <c r="R55" s="3340"/>
      <c r="S55" s="3340"/>
      <c r="T55" s="3340"/>
      <c r="U55" s="3340"/>
      <c r="V55" s="3340"/>
      <c r="W55" s="3340"/>
      <c r="X55" s="3340"/>
      <c r="Y55" s="3340"/>
      <c r="Z55" s="3340"/>
      <c r="AA55" s="3340"/>
      <c r="AB55" s="4775"/>
      <c r="AC55" s="5536" t="str">
        <f>+A55</f>
        <v>Отвеждане на отпадъчни води</v>
      </c>
      <c r="AD55" s="5537"/>
      <c r="AE55" s="5537"/>
      <c r="AF55" s="5537"/>
      <c r="AG55" s="5537"/>
      <c r="AH55" s="5537"/>
      <c r="AI55" s="5537"/>
      <c r="AJ55" s="5537"/>
      <c r="AK55" s="5537"/>
      <c r="AL55" s="5537"/>
      <c r="AM55" s="5537"/>
      <c r="AN55" s="5537"/>
      <c r="AO55" s="5537"/>
      <c r="AP55" s="5537"/>
      <c r="AQ55" s="5537"/>
      <c r="AR55" s="5537"/>
      <c r="AS55" s="5537"/>
      <c r="AT55" s="5537"/>
      <c r="AU55" s="5537"/>
      <c r="AV55" s="5537"/>
      <c r="AW55" s="5537"/>
      <c r="AX55" s="5537"/>
      <c r="AY55" s="5537"/>
      <c r="AZ55" s="5537"/>
      <c r="BA55" s="5538"/>
    </row>
    <row r="56" spans="1:53" ht="21" customHeight="1" thickBot="1">
      <c r="A56" s="5513" t="s">
        <v>1175</v>
      </c>
      <c r="B56" s="5514"/>
      <c r="C56" s="5515">
        <v>1</v>
      </c>
      <c r="D56" s="5516"/>
      <c r="E56" s="5516"/>
      <c r="F56" s="5516"/>
      <c r="G56" s="5516"/>
      <c r="H56" s="5515">
        <f>C56+1</f>
        <v>2</v>
      </c>
      <c r="I56" s="5516"/>
      <c r="J56" s="5516"/>
      <c r="K56" s="5516"/>
      <c r="L56" s="5516"/>
      <c r="M56" s="5515">
        <f>H56+1</f>
        <v>3</v>
      </c>
      <c r="N56" s="5516"/>
      <c r="O56" s="5516"/>
      <c r="P56" s="5516"/>
      <c r="Q56" s="5516"/>
      <c r="R56" s="5515">
        <f>M56+1</f>
        <v>4</v>
      </c>
      <c r="S56" s="5516"/>
      <c r="T56" s="5516"/>
      <c r="U56" s="5516"/>
      <c r="V56" s="5516"/>
      <c r="W56" s="5515">
        <f>R56+1</f>
        <v>5</v>
      </c>
      <c r="X56" s="5516"/>
      <c r="Y56" s="5516"/>
      <c r="Z56" s="5516"/>
      <c r="AA56" s="5516"/>
      <c r="AB56" s="4775"/>
      <c r="AC56" s="5368">
        <f>+C56</f>
        <v>1</v>
      </c>
      <c r="AD56" s="5368"/>
      <c r="AE56" s="5368"/>
      <c r="AF56" s="5368"/>
      <c r="AG56" s="5368"/>
      <c r="AH56" s="5368">
        <f>+H56</f>
        <v>2</v>
      </c>
      <c r="AI56" s="5368"/>
      <c r="AJ56" s="5368"/>
      <c r="AK56" s="5368"/>
      <c r="AL56" s="5368"/>
      <c r="AM56" s="5368">
        <f>+M56</f>
        <v>3</v>
      </c>
      <c r="AN56" s="5368"/>
      <c r="AO56" s="5368"/>
      <c r="AP56" s="5368"/>
      <c r="AQ56" s="5368"/>
      <c r="AR56" s="5368">
        <f>+R56</f>
        <v>4</v>
      </c>
      <c r="AS56" s="5368"/>
      <c r="AT56" s="5368"/>
      <c r="AU56" s="5368"/>
      <c r="AV56" s="5368"/>
      <c r="AW56" s="5368">
        <f>+W56</f>
        <v>5</v>
      </c>
      <c r="AX56" s="5368"/>
      <c r="AY56" s="5368"/>
      <c r="AZ56" s="5368"/>
      <c r="BA56" s="5368"/>
    </row>
    <row r="57" spans="1:53" ht="12.75" customHeight="1" thickBot="1">
      <c r="A57" s="5510" t="s">
        <v>1297</v>
      </c>
      <c r="B57" s="3326" t="s">
        <v>1446</v>
      </c>
      <c r="C57" s="5506"/>
      <c r="D57" s="5507"/>
      <c r="E57" s="5507"/>
      <c r="F57" s="5507"/>
      <c r="G57" s="5507"/>
      <c r="H57" s="5506"/>
      <c r="I57" s="5507"/>
      <c r="J57" s="5507"/>
      <c r="K57" s="5507"/>
      <c r="L57" s="5507"/>
      <c r="M57" s="5506"/>
      <c r="N57" s="5507"/>
      <c r="O57" s="5507"/>
      <c r="P57" s="5507"/>
      <c r="Q57" s="5507"/>
      <c r="R57" s="5506"/>
      <c r="S57" s="5507"/>
      <c r="T57" s="5507"/>
      <c r="U57" s="5507"/>
      <c r="V57" s="5507"/>
      <c r="W57" s="5506"/>
      <c r="X57" s="5507"/>
      <c r="Y57" s="5507"/>
      <c r="Z57" s="5507"/>
      <c r="AA57" s="5507"/>
      <c r="AB57" s="4775"/>
      <c r="AC57" s="5535" t="str">
        <f>IF(C57=0,"",C57)</f>
        <v/>
      </c>
      <c r="AD57" s="5535"/>
      <c r="AE57" s="5535"/>
      <c r="AF57" s="5535"/>
      <c r="AG57" s="5535"/>
      <c r="AH57" s="5535" t="str">
        <f>IF(H57=0,"",H57)</f>
        <v/>
      </c>
      <c r="AI57" s="5535"/>
      <c r="AJ57" s="5535"/>
      <c r="AK57" s="5535"/>
      <c r="AL57" s="5535"/>
      <c r="AM57" s="5535" t="str">
        <f>IF(M57=0,"",M57)</f>
        <v/>
      </c>
      <c r="AN57" s="5535"/>
      <c r="AO57" s="5535"/>
      <c r="AP57" s="5535"/>
      <c r="AQ57" s="5535"/>
      <c r="AR57" s="5535" t="str">
        <f>IF(R57=0,"",R57)</f>
        <v/>
      </c>
      <c r="AS57" s="5535"/>
      <c r="AT57" s="5535"/>
      <c r="AU57" s="5535"/>
      <c r="AV57" s="5535"/>
      <c r="AW57" s="5535" t="str">
        <f>IF(W57=0,"",W57)</f>
        <v/>
      </c>
      <c r="AX57" s="5535"/>
      <c r="AY57" s="5535"/>
      <c r="AZ57" s="5535"/>
      <c r="BA57" s="5535"/>
    </row>
    <row r="58" spans="1:53" ht="13.5" thickBot="1">
      <c r="A58" s="5510"/>
      <c r="B58" s="3326" t="s">
        <v>1298</v>
      </c>
      <c r="C58" s="5506"/>
      <c r="D58" s="5507"/>
      <c r="E58" s="5507"/>
      <c r="F58" s="5507"/>
      <c r="G58" s="5507"/>
      <c r="H58" s="5506"/>
      <c r="I58" s="5507"/>
      <c r="J58" s="5507"/>
      <c r="K58" s="5507"/>
      <c r="L58" s="5507"/>
      <c r="M58" s="5506"/>
      <c r="N58" s="5507"/>
      <c r="O58" s="5507"/>
      <c r="P58" s="5507"/>
      <c r="Q58" s="5507"/>
      <c r="R58" s="5506"/>
      <c r="S58" s="5507"/>
      <c r="T58" s="5507"/>
      <c r="U58" s="5507"/>
      <c r="V58" s="5507"/>
      <c r="W58" s="5506"/>
      <c r="X58" s="5507"/>
      <c r="Y58" s="5507"/>
      <c r="Z58" s="5507"/>
      <c r="AA58" s="5507"/>
      <c r="AB58" s="4775"/>
      <c r="AC58" s="5535" t="str">
        <f t="shared" ref="AC58:AC62" si="62">IF(C58=0,"",C58)</f>
        <v/>
      </c>
      <c r="AD58" s="5535"/>
      <c r="AE58" s="5535"/>
      <c r="AF58" s="5535"/>
      <c r="AG58" s="5535"/>
      <c r="AH58" s="5535" t="str">
        <f t="shared" ref="AH58:AH62" si="63">IF(H58=0,"",H58)</f>
        <v/>
      </c>
      <c r="AI58" s="5535"/>
      <c r="AJ58" s="5535"/>
      <c r="AK58" s="5535"/>
      <c r="AL58" s="5535"/>
      <c r="AM58" s="5535" t="str">
        <f t="shared" ref="AM58:AM62" si="64">IF(M58=0,"",M58)</f>
        <v/>
      </c>
      <c r="AN58" s="5535"/>
      <c r="AO58" s="5535"/>
      <c r="AP58" s="5535"/>
      <c r="AQ58" s="5535"/>
      <c r="AR58" s="5535" t="str">
        <f t="shared" ref="AR58:AR62" si="65">IF(R58=0,"",R58)</f>
        <v/>
      </c>
      <c r="AS58" s="5535"/>
      <c r="AT58" s="5535"/>
      <c r="AU58" s="5535"/>
      <c r="AV58" s="5535"/>
      <c r="AW58" s="5535" t="str">
        <f t="shared" ref="AW58:AW62" si="66">IF(W58=0,"",W58)</f>
        <v/>
      </c>
      <c r="AX58" s="5535"/>
      <c r="AY58" s="5535"/>
      <c r="AZ58" s="5535"/>
      <c r="BA58" s="5535"/>
    </row>
    <row r="59" spans="1:53" ht="12.75" customHeight="1" thickBot="1">
      <c r="A59" s="5496" t="s">
        <v>1299</v>
      </c>
      <c r="B59" s="3327" t="s">
        <v>1300</v>
      </c>
      <c r="C59" s="5506"/>
      <c r="D59" s="5507"/>
      <c r="E59" s="5507"/>
      <c r="F59" s="5507"/>
      <c r="G59" s="5507"/>
      <c r="H59" s="5506"/>
      <c r="I59" s="5507"/>
      <c r="J59" s="5507"/>
      <c r="K59" s="5507"/>
      <c r="L59" s="5507"/>
      <c r="M59" s="5506"/>
      <c r="N59" s="5507"/>
      <c r="O59" s="5507"/>
      <c r="P59" s="5507"/>
      <c r="Q59" s="5507"/>
      <c r="R59" s="5506"/>
      <c r="S59" s="5507"/>
      <c r="T59" s="5507"/>
      <c r="U59" s="5507"/>
      <c r="V59" s="5507"/>
      <c r="W59" s="5506"/>
      <c r="X59" s="5507"/>
      <c r="Y59" s="5507"/>
      <c r="Z59" s="5507"/>
      <c r="AA59" s="5507"/>
      <c r="AB59" s="4775"/>
      <c r="AC59" s="5535" t="str">
        <f t="shared" si="62"/>
        <v/>
      </c>
      <c r="AD59" s="5535"/>
      <c r="AE59" s="5535"/>
      <c r="AF59" s="5535"/>
      <c r="AG59" s="5535"/>
      <c r="AH59" s="5535" t="str">
        <f t="shared" si="63"/>
        <v/>
      </c>
      <c r="AI59" s="5535"/>
      <c r="AJ59" s="5535"/>
      <c r="AK59" s="5535"/>
      <c r="AL59" s="5535"/>
      <c r="AM59" s="5535" t="str">
        <f t="shared" si="64"/>
        <v/>
      </c>
      <c r="AN59" s="5535"/>
      <c r="AO59" s="5535"/>
      <c r="AP59" s="5535"/>
      <c r="AQ59" s="5535"/>
      <c r="AR59" s="5535" t="str">
        <f t="shared" si="65"/>
        <v/>
      </c>
      <c r="AS59" s="5535"/>
      <c r="AT59" s="5535"/>
      <c r="AU59" s="5535"/>
      <c r="AV59" s="5535"/>
      <c r="AW59" s="5535" t="str">
        <f t="shared" si="66"/>
        <v/>
      </c>
      <c r="AX59" s="5535"/>
      <c r="AY59" s="5535"/>
      <c r="AZ59" s="5535"/>
      <c r="BA59" s="5535"/>
    </row>
    <row r="60" spans="1:53" ht="13.5" thickBot="1">
      <c r="A60" s="5497"/>
      <c r="B60" s="3326" t="s">
        <v>1301</v>
      </c>
      <c r="C60" s="5506"/>
      <c r="D60" s="5507"/>
      <c r="E60" s="5507"/>
      <c r="F60" s="5507"/>
      <c r="G60" s="5507"/>
      <c r="H60" s="5506"/>
      <c r="I60" s="5507"/>
      <c r="J60" s="5507"/>
      <c r="K60" s="5507"/>
      <c r="L60" s="5507"/>
      <c r="M60" s="5506"/>
      <c r="N60" s="5507"/>
      <c r="O60" s="5507"/>
      <c r="P60" s="5507"/>
      <c r="Q60" s="5507"/>
      <c r="R60" s="5506"/>
      <c r="S60" s="5507"/>
      <c r="T60" s="5507"/>
      <c r="U60" s="5507"/>
      <c r="V60" s="5507"/>
      <c r="W60" s="5506"/>
      <c r="X60" s="5507"/>
      <c r="Y60" s="5507"/>
      <c r="Z60" s="5507"/>
      <c r="AA60" s="5507"/>
      <c r="AB60" s="4775"/>
      <c r="AC60" s="5535" t="str">
        <f t="shared" si="62"/>
        <v/>
      </c>
      <c r="AD60" s="5535"/>
      <c r="AE60" s="5535"/>
      <c r="AF60" s="5535"/>
      <c r="AG60" s="5535"/>
      <c r="AH60" s="5535" t="str">
        <f t="shared" si="63"/>
        <v/>
      </c>
      <c r="AI60" s="5535"/>
      <c r="AJ60" s="5535"/>
      <c r="AK60" s="5535"/>
      <c r="AL60" s="5535"/>
      <c r="AM60" s="5535" t="str">
        <f t="shared" si="64"/>
        <v/>
      </c>
      <c r="AN60" s="5535"/>
      <c r="AO60" s="5535"/>
      <c r="AP60" s="5535"/>
      <c r="AQ60" s="5535"/>
      <c r="AR60" s="5535" t="str">
        <f t="shared" si="65"/>
        <v/>
      </c>
      <c r="AS60" s="5535"/>
      <c r="AT60" s="5535"/>
      <c r="AU60" s="5535"/>
      <c r="AV60" s="5535"/>
      <c r="AW60" s="5535" t="str">
        <f t="shared" si="66"/>
        <v/>
      </c>
      <c r="AX60" s="5535"/>
      <c r="AY60" s="5535"/>
      <c r="AZ60" s="5535"/>
      <c r="BA60" s="5535"/>
    </row>
    <row r="61" spans="1:53" ht="26.25" thickBot="1">
      <c r="A61" s="4031" t="s">
        <v>1302</v>
      </c>
      <c r="B61" s="3326" t="s">
        <v>1303</v>
      </c>
      <c r="C61" s="5506"/>
      <c r="D61" s="5507"/>
      <c r="E61" s="5507"/>
      <c r="F61" s="5507"/>
      <c r="G61" s="5507"/>
      <c r="H61" s="5506"/>
      <c r="I61" s="5507"/>
      <c r="J61" s="5507"/>
      <c r="K61" s="5507"/>
      <c r="L61" s="5507"/>
      <c r="M61" s="5506"/>
      <c r="N61" s="5507"/>
      <c r="O61" s="5507"/>
      <c r="P61" s="5507"/>
      <c r="Q61" s="5507"/>
      <c r="R61" s="5506"/>
      <c r="S61" s="5507"/>
      <c r="T61" s="5507"/>
      <c r="U61" s="5507"/>
      <c r="V61" s="5507"/>
      <c r="W61" s="5506"/>
      <c r="X61" s="5507"/>
      <c r="Y61" s="5507"/>
      <c r="Z61" s="5507"/>
      <c r="AA61" s="5507"/>
      <c r="AB61" s="4775"/>
      <c r="AC61" s="5535" t="str">
        <f t="shared" si="62"/>
        <v/>
      </c>
      <c r="AD61" s="5535"/>
      <c r="AE61" s="5535"/>
      <c r="AF61" s="5535"/>
      <c r="AG61" s="5535"/>
      <c r="AH61" s="5535" t="str">
        <f t="shared" si="63"/>
        <v/>
      </c>
      <c r="AI61" s="5535"/>
      <c r="AJ61" s="5535"/>
      <c r="AK61" s="5535"/>
      <c r="AL61" s="5535"/>
      <c r="AM61" s="5535" t="str">
        <f t="shared" si="64"/>
        <v/>
      </c>
      <c r="AN61" s="5535"/>
      <c r="AO61" s="5535"/>
      <c r="AP61" s="5535"/>
      <c r="AQ61" s="5535"/>
      <c r="AR61" s="5535" t="str">
        <f t="shared" si="65"/>
        <v/>
      </c>
      <c r="AS61" s="5535"/>
      <c r="AT61" s="5535"/>
      <c r="AU61" s="5535"/>
      <c r="AV61" s="5535"/>
      <c r="AW61" s="5535" t="str">
        <f t="shared" si="66"/>
        <v/>
      </c>
      <c r="AX61" s="5535"/>
      <c r="AY61" s="5535"/>
      <c r="AZ61" s="5535"/>
      <c r="BA61" s="5535"/>
    </row>
    <row r="62" spans="1:53" ht="26.25" thickBot="1">
      <c r="A62" s="3328" t="s">
        <v>1304</v>
      </c>
      <c r="B62" s="3329" t="s">
        <v>1305</v>
      </c>
      <c r="C62" s="5517"/>
      <c r="D62" s="5518"/>
      <c r="E62" s="5518"/>
      <c r="F62" s="5518"/>
      <c r="G62" s="5518"/>
      <c r="H62" s="5517"/>
      <c r="I62" s="5518"/>
      <c r="J62" s="5518"/>
      <c r="K62" s="5518"/>
      <c r="L62" s="5518"/>
      <c r="M62" s="5517"/>
      <c r="N62" s="5518"/>
      <c r="O62" s="5518"/>
      <c r="P62" s="5518"/>
      <c r="Q62" s="5518"/>
      <c r="R62" s="5517"/>
      <c r="S62" s="5518"/>
      <c r="T62" s="5518"/>
      <c r="U62" s="5518"/>
      <c r="V62" s="5518"/>
      <c r="W62" s="5517"/>
      <c r="X62" s="5518"/>
      <c r="Y62" s="5518"/>
      <c r="Z62" s="5518"/>
      <c r="AA62" s="5518"/>
      <c r="AB62" s="4775"/>
      <c r="AC62" s="5535" t="str">
        <f t="shared" si="62"/>
        <v/>
      </c>
      <c r="AD62" s="5535"/>
      <c r="AE62" s="5535"/>
      <c r="AF62" s="5535"/>
      <c r="AG62" s="5535"/>
      <c r="AH62" s="5535" t="str">
        <f t="shared" si="63"/>
        <v/>
      </c>
      <c r="AI62" s="5535"/>
      <c r="AJ62" s="5535"/>
      <c r="AK62" s="5535"/>
      <c r="AL62" s="5535"/>
      <c r="AM62" s="5535" t="str">
        <f t="shared" si="64"/>
        <v/>
      </c>
      <c r="AN62" s="5535"/>
      <c r="AO62" s="5535"/>
      <c r="AP62" s="5535"/>
      <c r="AQ62" s="5535"/>
      <c r="AR62" s="5535" t="str">
        <f t="shared" si="65"/>
        <v/>
      </c>
      <c r="AS62" s="5535"/>
      <c r="AT62" s="5535"/>
      <c r="AU62" s="5535"/>
      <c r="AV62" s="5535"/>
      <c r="AW62" s="5535" t="str">
        <f t="shared" si="66"/>
        <v/>
      </c>
      <c r="AX62" s="5535"/>
      <c r="AY62" s="5535"/>
      <c r="AZ62" s="5535"/>
      <c r="BA62" s="5535"/>
    </row>
    <row r="63" spans="1:53" ht="13.5" thickBot="1">
      <c r="A63" s="5511" t="s">
        <v>1461</v>
      </c>
      <c r="B63" s="5512"/>
      <c r="C63" s="4516" t="str">
        <f>'Приложение '!$C$14</f>
        <v>2027 г.</v>
      </c>
      <c r="D63" s="4517" t="str">
        <f>'Приложение '!$C$15</f>
        <v>2028 г.</v>
      </c>
      <c r="E63" s="4517" t="str">
        <f>'Приложение '!$C$16</f>
        <v>2029 г.</v>
      </c>
      <c r="F63" s="4517" t="str">
        <f>'Приложение '!$C$17</f>
        <v>2030 г.</v>
      </c>
      <c r="G63" s="4517" t="str">
        <f>'Приложение '!$C$18</f>
        <v>2031 г.</v>
      </c>
      <c r="H63" s="4516" t="str">
        <f>'Приложение '!$C$14</f>
        <v>2027 г.</v>
      </c>
      <c r="I63" s="4517" t="str">
        <f>'Приложение '!$C$15</f>
        <v>2028 г.</v>
      </c>
      <c r="J63" s="4517" t="str">
        <f>'Приложение '!$C$16</f>
        <v>2029 г.</v>
      </c>
      <c r="K63" s="4517" t="str">
        <f>'Приложение '!$C$17</f>
        <v>2030 г.</v>
      </c>
      <c r="L63" s="4517" t="str">
        <f>'Приложение '!$C$18</f>
        <v>2031 г.</v>
      </c>
      <c r="M63" s="4516" t="str">
        <f>'Приложение '!$C$14</f>
        <v>2027 г.</v>
      </c>
      <c r="N63" s="4517" t="str">
        <f>'Приложение '!$C$15</f>
        <v>2028 г.</v>
      </c>
      <c r="O63" s="4517" t="str">
        <f>'Приложение '!$C$16</f>
        <v>2029 г.</v>
      </c>
      <c r="P63" s="4517" t="str">
        <f>'Приложение '!$C$17</f>
        <v>2030 г.</v>
      </c>
      <c r="Q63" s="4517" t="str">
        <f>'Приложение '!$C$18</f>
        <v>2031 г.</v>
      </c>
      <c r="R63" s="4516" t="str">
        <f>'Приложение '!$C$14</f>
        <v>2027 г.</v>
      </c>
      <c r="S63" s="4517" t="str">
        <f>'Приложение '!$C$15</f>
        <v>2028 г.</v>
      </c>
      <c r="T63" s="4517" t="str">
        <f>'Приложение '!$C$16</f>
        <v>2029 г.</v>
      </c>
      <c r="U63" s="4517" t="str">
        <f>'Приложение '!$C$17</f>
        <v>2030 г.</v>
      </c>
      <c r="V63" s="4517" t="str">
        <f>'Приложение '!$C$18</f>
        <v>2031 г.</v>
      </c>
      <c r="W63" s="4516" t="str">
        <f>'Приложение '!$C$14</f>
        <v>2027 г.</v>
      </c>
      <c r="X63" s="4517" t="str">
        <f>'Приложение '!$C$15</f>
        <v>2028 г.</v>
      </c>
      <c r="Y63" s="4517" t="str">
        <f>'Приложение '!$C$16</f>
        <v>2029 г.</v>
      </c>
      <c r="Z63" s="4517" t="str">
        <f>'Приложение '!$C$17</f>
        <v>2030 г.</v>
      </c>
      <c r="AA63" s="4517" t="str">
        <f>'Приложение '!$C$18</f>
        <v>2031 г.</v>
      </c>
      <c r="AB63" s="4775"/>
      <c r="AC63" s="4829" t="str">
        <f>'Приложение '!$C$14</f>
        <v>2027 г.</v>
      </c>
      <c r="AD63" s="4829" t="str">
        <f>'Приложение '!$C$15</f>
        <v>2028 г.</v>
      </c>
      <c r="AE63" s="4829" t="str">
        <f>'Приложение '!$C$16</f>
        <v>2029 г.</v>
      </c>
      <c r="AF63" s="4829" t="str">
        <f>'Приложение '!$C$17</f>
        <v>2030 г.</v>
      </c>
      <c r="AG63" s="4829" t="str">
        <f>'Приложение '!$C$18</f>
        <v>2031 г.</v>
      </c>
      <c r="AH63" s="4829" t="str">
        <f>'Приложение '!$C$14</f>
        <v>2027 г.</v>
      </c>
      <c r="AI63" s="4829" t="str">
        <f>'Приложение '!$C$15</f>
        <v>2028 г.</v>
      </c>
      <c r="AJ63" s="4829" t="str">
        <f>'Приложение '!$C$16</f>
        <v>2029 г.</v>
      </c>
      <c r="AK63" s="4829" t="str">
        <f>'Приложение '!$C$17</f>
        <v>2030 г.</v>
      </c>
      <c r="AL63" s="4829" t="str">
        <f>'Приложение '!$C$18</f>
        <v>2031 г.</v>
      </c>
      <c r="AM63" s="4829" t="str">
        <f>'Приложение '!$C$14</f>
        <v>2027 г.</v>
      </c>
      <c r="AN63" s="4829" t="str">
        <f>'Приложение '!$C$15</f>
        <v>2028 г.</v>
      </c>
      <c r="AO63" s="4829" t="str">
        <f>'Приложение '!$C$16</f>
        <v>2029 г.</v>
      </c>
      <c r="AP63" s="4829" t="str">
        <f>'Приложение '!$C$17</f>
        <v>2030 г.</v>
      </c>
      <c r="AQ63" s="4829" t="str">
        <f>'Приложение '!$C$18</f>
        <v>2031 г.</v>
      </c>
      <c r="AR63" s="4829" t="str">
        <f>'Приложение '!$C$14</f>
        <v>2027 г.</v>
      </c>
      <c r="AS63" s="4829" t="str">
        <f>'Приложение '!$C$15</f>
        <v>2028 г.</v>
      </c>
      <c r="AT63" s="4829" t="str">
        <f>'Приложение '!$C$16</f>
        <v>2029 г.</v>
      </c>
      <c r="AU63" s="4829" t="str">
        <f>'Приложение '!$C$17</f>
        <v>2030 г.</v>
      </c>
      <c r="AV63" s="4829" t="str">
        <f>'Приложение '!$C$18</f>
        <v>2031 г.</v>
      </c>
      <c r="AW63" s="4829" t="str">
        <f>'Приложение '!$C$14</f>
        <v>2027 г.</v>
      </c>
      <c r="AX63" s="4829" t="str">
        <f>'Приложение '!$C$15</f>
        <v>2028 г.</v>
      </c>
      <c r="AY63" s="4829" t="str">
        <f>'Приложение '!$C$16</f>
        <v>2029 г.</v>
      </c>
      <c r="AZ63" s="4829" t="str">
        <f>'Приложение '!$C$17</f>
        <v>2030 г.</v>
      </c>
      <c r="BA63" s="4829" t="str">
        <f>'Приложение '!$C$18</f>
        <v>2031 г.</v>
      </c>
    </row>
    <row r="64" spans="1:53" ht="12.75" customHeight="1">
      <c r="A64" s="5498" t="s">
        <v>1447</v>
      </c>
      <c r="B64" s="5499"/>
      <c r="C64" s="3330"/>
      <c r="D64" s="3331"/>
      <c r="E64" s="3331"/>
      <c r="F64" s="3331"/>
      <c r="G64" s="3331"/>
      <c r="H64" s="3330"/>
      <c r="I64" s="3331"/>
      <c r="J64" s="3331"/>
      <c r="K64" s="3331"/>
      <c r="L64" s="3331"/>
      <c r="M64" s="3330"/>
      <c r="N64" s="3331"/>
      <c r="O64" s="3331"/>
      <c r="P64" s="3331"/>
      <c r="Q64" s="3331"/>
      <c r="R64" s="3330"/>
      <c r="S64" s="3331"/>
      <c r="T64" s="3331"/>
      <c r="U64" s="3331"/>
      <c r="V64" s="3331"/>
      <c r="W64" s="3330"/>
      <c r="X64" s="3331"/>
      <c r="Y64" s="3331"/>
      <c r="Z64" s="3331"/>
      <c r="AA64" s="3331"/>
      <c r="AB64" s="4775"/>
      <c r="AC64" s="4832"/>
      <c r="AD64" s="4832"/>
      <c r="AE64" s="4832"/>
      <c r="AF64" s="4832"/>
      <c r="AG64" s="4832"/>
      <c r="AH64" s="4832"/>
      <c r="AI64" s="4832"/>
      <c r="AJ64" s="4832"/>
      <c r="AK64" s="4832"/>
      <c r="AL64" s="4832"/>
      <c r="AM64" s="4832"/>
      <c r="AN64" s="4832"/>
      <c r="AO64" s="4832"/>
      <c r="AP64" s="4832"/>
      <c r="AQ64" s="4832"/>
      <c r="AR64" s="4832"/>
      <c r="AS64" s="4832"/>
      <c r="AT64" s="4832"/>
      <c r="AU64" s="4832"/>
      <c r="AV64" s="4832"/>
      <c r="AW64" s="4832"/>
      <c r="AX64" s="4832"/>
      <c r="AY64" s="4832"/>
      <c r="AZ64" s="4832"/>
      <c r="BA64" s="4832"/>
    </row>
    <row r="65" spans="1:53" ht="12.75" customHeight="1">
      <c r="A65" s="5500" t="s">
        <v>1448</v>
      </c>
      <c r="B65" s="5501"/>
      <c r="C65" s="3332"/>
      <c r="D65" s="3333"/>
      <c r="E65" s="3333"/>
      <c r="F65" s="3333"/>
      <c r="G65" s="3333"/>
      <c r="H65" s="3332"/>
      <c r="I65" s="3333"/>
      <c r="J65" s="3333"/>
      <c r="K65" s="3333"/>
      <c r="L65" s="3333"/>
      <c r="M65" s="3332"/>
      <c r="N65" s="3333"/>
      <c r="O65" s="3333"/>
      <c r="P65" s="3333"/>
      <c r="Q65" s="3333"/>
      <c r="R65" s="3332"/>
      <c r="S65" s="3333"/>
      <c r="T65" s="3333"/>
      <c r="U65" s="3333"/>
      <c r="V65" s="3333"/>
      <c r="W65" s="3332"/>
      <c r="X65" s="3333"/>
      <c r="Y65" s="3333"/>
      <c r="Z65" s="3333"/>
      <c r="AA65" s="3333"/>
      <c r="AB65" s="4775"/>
      <c r="AC65" s="4833"/>
      <c r="AD65" s="4833"/>
      <c r="AE65" s="4833"/>
      <c r="AF65" s="4833"/>
      <c r="AG65" s="4833"/>
      <c r="AH65" s="4833"/>
      <c r="AI65" s="4833"/>
      <c r="AJ65" s="4833"/>
      <c r="AK65" s="4833"/>
      <c r="AL65" s="4833"/>
      <c r="AM65" s="4833"/>
      <c r="AN65" s="4833"/>
      <c r="AO65" s="4833"/>
      <c r="AP65" s="4833"/>
      <c r="AQ65" s="4833"/>
      <c r="AR65" s="4833"/>
      <c r="AS65" s="4833"/>
      <c r="AT65" s="4833"/>
      <c r="AU65" s="4833"/>
      <c r="AV65" s="4833"/>
      <c r="AW65" s="4833"/>
      <c r="AX65" s="4833"/>
      <c r="AY65" s="4833"/>
      <c r="AZ65" s="4833"/>
      <c r="BA65" s="4833"/>
    </row>
    <row r="66" spans="1:53" ht="12.75" customHeight="1">
      <c r="A66" s="5523" t="s">
        <v>1449</v>
      </c>
      <c r="B66" s="5524"/>
      <c r="C66" s="3334"/>
      <c r="D66" s="3335"/>
      <c r="E66" s="3335"/>
      <c r="F66" s="3335"/>
      <c r="G66" s="3335"/>
      <c r="H66" s="3334"/>
      <c r="I66" s="3335"/>
      <c r="J66" s="3335"/>
      <c r="K66" s="3335"/>
      <c r="L66" s="3335"/>
      <c r="M66" s="3334"/>
      <c r="N66" s="3335"/>
      <c r="O66" s="3335"/>
      <c r="P66" s="3335"/>
      <c r="Q66" s="3335"/>
      <c r="R66" s="3334"/>
      <c r="S66" s="3335"/>
      <c r="T66" s="3335"/>
      <c r="U66" s="3335"/>
      <c r="V66" s="3335"/>
      <c r="W66" s="3334"/>
      <c r="X66" s="3335"/>
      <c r="Y66" s="3335"/>
      <c r="Z66" s="3335"/>
      <c r="AA66" s="3335"/>
      <c r="AB66" s="4775"/>
      <c r="AC66" s="4833"/>
      <c r="AD66" s="4833"/>
      <c r="AE66" s="4833"/>
      <c r="AF66" s="4833"/>
      <c r="AG66" s="4833"/>
      <c r="AH66" s="4833"/>
      <c r="AI66" s="4833"/>
      <c r="AJ66" s="4833"/>
      <c r="AK66" s="4833"/>
      <c r="AL66" s="4833"/>
      <c r="AM66" s="4833"/>
      <c r="AN66" s="4833"/>
      <c r="AO66" s="4833"/>
      <c r="AP66" s="4833"/>
      <c r="AQ66" s="4833"/>
      <c r="AR66" s="4833"/>
      <c r="AS66" s="4833"/>
      <c r="AT66" s="4833"/>
      <c r="AU66" s="4833"/>
      <c r="AV66" s="4833"/>
      <c r="AW66" s="4833"/>
      <c r="AX66" s="4833"/>
      <c r="AY66" s="4833"/>
      <c r="AZ66" s="4833"/>
      <c r="BA66" s="4833"/>
    </row>
    <row r="67" spans="1:53" ht="13.5" thickBot="1">
      <c r="A67" s="5504" t="s">
        <v>1450</v>
      </c>
      <c r="B67" s="5505"/>
      <c r="C67" s="3336"/>
      <c r="D67" s="3337"/>
      <c r="E67" s="3337"/>
      <c r="F67" s="3337"/>
      <c r="G67" s="3337"/>
      <c r="H67" s="3336"/>
      <c r="I67" s="3337"/>
      <c r="J67" s="3337"/>
      <c r="K67" s="3337"/>
      <c r="L67" s="3337"/>
      <c r="M67" s="3336"/>
      <c r="N67" s="3337"/>
      <c r="O67" s="3337"/>
      <c r="P67" s="3337"/>
      <c r="Q67" s="3337"/>
      <c r="R67" s="3336"/>
      <c r="S67" s="3337"/>
      <c r="T67" s="3337"/>
      <c r="U67" s="3337"/>
      <c r="V67" s="3337"/>
      <c r="W67" s="3336"/>
      <c r="X67" s="3337"/>
      <c r="Y67" s="3337"/>
      <c r="Z67" s="3337"/>
      <c r="AA67" s="3337"/>
      <c r="AB67" s="4775"/>
      <c r="AC67" s="4834"/>
      <c r="AD67" s="4834"/>
      <c r="AE67" s="4834"/>
      <c r="AF67" s="4834"/>
      <c r="AG67" s="4834"/>
      <c r="AH67" s="4834"/>
      <c r="AI67" s="4834"/>
      <c r="AJ67" s="4834"/>
      <c r="AK67" s="4834"/>
      <c r="AL67" s="4834"/>
      <c r="AM67" s="4834"/>
      <c r="AN67" s="4834"/>
      <c r="AO67" s="4834"/>
      <c r="AP67" s="4834"/>
      <c r="AQ67" s="4834"/>
      <c r="AR67" s="4834"/>
      <c r="AS67" s="4834"/>
      <c r="AT67" s="4834"/>
      <c r="AU67" s="4834"/>
      <c r="AV67" s="4834"/>
      <c r="AW67" s="4834"/>
      <c r="AX67" s="4834"/>
      <c r="AY67" s="4834"/>
      <c r="AZ67" s="4834"/>
      <c r="BA67" s="4834"/>
    </row>
    <row r="68" spans="1:53" s="3759" customFormat="1" ht="27" customHeight="1" thickBot="1">
      <c r="A68" s="5525" t="s">
        <v>1452</v>
      </c>
      <c r="B68" s="5526"/>
      <c r="C68" s="3338">
        <f t="shared" ref="C68:AA68" si="67">SUM(C69,C74:C78)</f>
        <v>0</v>
      </c>
      <c r="D68" s="3339">
        <f t="shared" si="67"/>
        <v>0</v>
      </c>
      <c r="E68" s="3339">
        <f t="shared" si="67"/>
        <v>0</v>
      </c>
      <c r="F68" s="3339">
        <f t="shared" si="67"/>
        <v>0</v>
      </c>
      <c r="G68" s="3339">
        <f t="shared" si="67"/>
        <v>0</v>
      </c>
      <c r="H68" s="3338">
        <f t="shared" si="67"/>
        <v>0</v>
      </c>
      <c r="I68" s="3339">
        <f t="shared" si="67"/>
        <v>0</v>
      </c>
      <c r="J68" s="3339">
        <f t="shared" si="67"/>
        <v>0</v>
      </c>
      <c r="K68" s="3339">
        <f t="shared" si="67"/>
        <v>0</v>
      </c>
      <c r="L68" s="3339">
        <f t="shared" si="67"/>
        <v>0</v>
      </c>
      <c r="M68" s="3338">
        <f t="shared" si="67"/>
        <v>0</v>
      </c>
      <c r="N68" s="3339">
        <f t="shared" si="67"/>
        <v>0</v>
      </c>
      <c r="O68" s="3339">
        <f t="shared" si="67"/>
        <v>0</v>
      </c>
      <c r="P68" s="3339">
        <f t="shared" si="67"/>
        <v>0</v>
      </c>
      <c r="Q68" s="3339">
        <f t="shared" si="67"/>
        <v>0</v>
      </c>
      <c r="R68" s="3338">
        <f t="shared" si="67"/>
        <v>0</v>
      </c>
      <c r="S68" s="3339">
        <f t="shared" si="67"/>
        <v>0</v>
      </c>
      <c r="T68" s="3339">
        <f t="shared" si="67"/>
        <v>0</v>
      </c>
      <c r="U68" s="3339">
        <f t="shared" si="67"/>
        <v>0</v>
      </c>
      <c r="V68" s="3339">
        <f t="shared" si="67"/>
        <v>0</v>
      </c>
      <c r="W68" s="3338">
        <f t="shared" si="67"/>
        <v>0</v>
      </c>
      <c r="X68" s="3339">
        <f t="shared" si="67"/>
        <v>0</v>
      </c>
      <c r="Y68" s="3339">
        <f t="shared" si="67"/>
        <v>0</v>
      </c>
      <c r="Z68" s="3339">
        <f t="shared" si="67"/>
        <v>0</v>
      </c>
      <c r="AA68" s="3339">
        <f t="shared" si="67"/>
        <v>0</v>
      </c>
      <c r="AB68" s="4775"/>
      <c r="AC68" s="4830">
        <f>IFERROR(C68/$D$1,0)</f>
        <v>0</v>
      </c>
      <c r="AD68" s="4831">
        <f t="shared" ref="AD68:AD78" si="68">IFERROR(D68/$D$1,0)</f>
        <v>0</v>
      </c>
      <c r="AE68" s="4831">
        <f t="shared" ref="AE68:AE78" si="69">IFERROR(E68/$D$1,0)</f>
        <v>0</v>
      </c>
      <c r="AF68" s="4831">
        <f t="shared" ref="AF68:AF78" si="70">IFERROR(F68/$D$1,0)</f>
        <v>0</v>
      </c>
      <c r="AG68" s="4831">
        <f t="shared" ref="AG68:AG78" si="71">IFERROR(G68/$D$1,0)</f>
        <v>0</v>
      </c>
      <c r="AH68" s="4831">
        <f t="shared" ref="AH68:AH78" si="72">IFERROR(H68/$D$1,0)</f>
        <v>0</v>
      </c>
      <c r="AI68" s="4831">
        <f t="shared" ref="AI68:AI78" si="73">IFERROR(I68/$D$1,0)</f>
        <v>0</v>
      </c>
      <c r="AJ68" s="4831">
        <f t="shared" ref="AJ68:AJ78" si="74">IFERROR(J68/$D$1,0)</f>
        <v>0</v>
      </c>
      <c r="AK68" s="4831">
        <f t="shared" ref="AK68:AK78" si="75">IFERROR(K68/$D$1,0)</f>
        <v>0</v>
      </c>
      <c r="AL68" s="4831">
        <f t="shared" ref="AL68:AL78" si="76">IFERROR(L68/$D$1,0)</f>
        <v>0</v>
      </c>
      <c r="AM68" s="4831">
        <f t="shared" ref="AM68:AM78" si="77">IFERROR(M68/$D$1,0)</f>
        <v>0</v>
      </c>
      <c r="AN68" s="4831">
        <f t="shared" ref="AN68:AN78" si="78">IFERROR(N68/$D$1,0)</f>
        <v>0</v>
      </c>
      <c r="AO68" s="4831">
        <f t="shared" ref="AO68:AO78" si="79">IFERROR(O68/$D$1,0)</f>
        <v>0</v>
      </c>
      <c r="AP68" s="4831">
        <f t="shared" ref="AP68:AP78" si="80">IFERROR(P68/$D$1,0)</f>
        <v>0</v>
      </c>
      <c r="AQ68" s="4831">
        <f t="shared" ref="AQ68:AQ78" si="81">IFERROR(Q68/$D$1,0)</f>
        <v>0</v>
      </c>
      <c r="AR68" s="4831">
        <f t="shared" ref="AR68:AR78" si="82">IFERROR(R68/$D$1,0)</f>
        <v>0</v>
      </c>
      <c r="AS68" s="4831">
        <f t="shared" ref="AS68:AS78" si="83">IFERROR(S68/$D$1,0)</f>
        <v>0</v>
      </c>
      <c r="AT68" s="4831">
        <f t="shared" ref="AT68:AT78" si="84">IFERROR(T68/$D$1,0)</f>
        <v>0</v>
      </c>
      <c r="AU68" s="4831">
        <f t="shared" ref="AU68:AU78" si="85">IFERROR(U68/$D$1,0)</f>
        <v>0</v>
      </c>
      <c r="AV68" s="4831">
        <f t="shared" ref="AV68:AV78" si="86">IFERROR(V68/$D$1,0)</f>
        <v>0</v>
      </c>
      <c r="AW68" s="4831">
        <f t="shared" ref="AW68:AW78" si="87">IFERROR(W68/$D$1,0)</f>
        <v>0</v>
      </c>
      <c r="AX68" s="4831">
        <f t="shared" ref="AX68:AX78" si="88">IFERROR(X68/$D$1,0)</f>
        <v>0</v>
      </c>
      <c r="AY68" s="4831">
        <f t="shared" ref="AY68:AY78" si="89">IFERROR(Y68/$D$1,0)</f>
        <v>0</v>
      </c>
      <c r="AZ68" s="4831">
        <f t="shared" ref="AZ68:AZ78" si="90">IFERROR(Z68/$D$1,0)</f>
        <v>0</v>
      </c>
      <c r="BA68" s="4831">
        <f t="shared" ref="BA68:BA78" si="91">IFERROR(AA68/$D$1,0)</f>
        <v>0</v>
      </c>
    </row>
    <row r="69" spans="1:53" ht="12.75" customHeight="1" thickBot="1">
      <c r="A69" s="5527" t="s">
        <v>1451</v>
      </c>
      <c r="B69" s="5528"/>
      <c r="C69" s="3332"/>
      <c r="D69" s="3333"/>
      <c r="E69" s="3333"/>
      <c r="F69" s="3333"/>
      <c r="G69" s="3333"/>
      <c r="H69" s="3332"/>
      <c r="I69" s="3333"/>
      <c r="J69" s="3333"/>
      <c r="K69" s="3333"/>
      <c r="L69" s="3333"/>
      <c r="M69" s="3332"/>
      <c r="N69" s="3333"/>
      <c r="O69" s="3333"/>
      <c r="P69" s="3333"/>
      <c r="Q69" s="3333"/>
      <c r="R69" s="3332"/>
      <c r="S69" s="3333"/>
      <c r="T69" s="3333"/>
      <c r="U69" s="3333"/>
      <c r="V69" s="3333"/>
      <c r="W69" s="3332"/>
      <c r="X69" s="3333"/>
      <c r="Y69" s="3333"/>
      <c r="Z69" s="3333"/>
      <c r="AA69" s="3333"/>
      <c r="AB69" s="4775"/>
      <c r="AC69" s="4835">
        <f t="shared" ref="AC69:AC78" si="92">IFERROR(C69/$D$1,0)</f>
        <v>0</v>
      </c>
      <c r="AD69" s="4835">
        <f t="shared" si="68"/>
        <v>0</v>
      </c>
      <c r="AE69" s="4835">
        <f t="shared" si="69"/>
        <v>0</v>
      </c>
      <c r="AF69" s="4835">
        <f t="shared" si="70"/>
        <v>0</v>
      </c>
      <c r="AG69" s="4835">
        <f t="shared" si="71"/>
        <v>0</v>
      </c>
      <c r="AH69" s="4835">
        <f t="shared" si="72"/>
        <v>0</v>
      </c>
      <c r="AI69" s="4835">
        <f t="shared" si="73"/>
        <v>0</v>
      </c>
      <c r="AJ69" s="4835">
        <f t="shared" si="74"/>
        <v>0</v>
      </c>
      <c r="AK69" s="4835">
        <f t="shared" si="75"/>
        <v>0</v>
      </c>
      <c r="AL69" s="4835">
        <f t="shared" si="76"/>
        <v>0</v>
      </c>
      <c r="AM69" s="4835">
        <f t="shared" si="77"/>
        <v>0</v>
      </c>
      <c r="AN69" s="4835">
        <f t="shared" si="78"/>
        <v>0</v>
      </c>
      <c r="AO69" s="4835">
        <f t="shared" si="79"/>
        <v>0</v>
      </c>
      <c r="AP69" s="4835">
        <f t="shared" si="80"/>
        <v>0</v>
      </c>
      <c r="AQ69" s="4835">
        <f t="shared" si="81"/>
        <v>0</v>
      </c>
      <c r="AR69" s="4835">
        <f t="shared" si="82"/>
        <v>0</v>
      </c>
      <c r="AS69" s="4835">
        <f t="shared" si="83"/>
        <v>0</v>
      </c>
      <c r="AT69" s="4835">
        <f t="shared" si="84"/>
        <v>0</v>
      </c>
      <c r="AU69" s="4835">
        <f t="shared" si="85"/>
        <v>0</v>
      </c>
      <c r="AV69" s="4835">
        <f t="shared" si="86"/>
        <v>0</v>
      </c>
      <c r="AW69" s="4835">
        <f t="shared" si="87"/>
        <v>0</v>
      </c>
      <c r="AX69" s="4835">
        <f t="shared" si="88"/>
        <v>0</v>
      </c>
      <c r="AY69" s="4835">
        <f t="shared" si="89"/>
        <v>0</v>
      </c>
      <c r="AZ69" s="4835">
        <f t="shared" si="90"/>
        <v>0</v>
      </c>
      <c r="BA69" s="4835">
        <f t="shared" si="91"/>
        <v>0</v>
      </c>
    </row>
    <row r="70" spans="1:53" ht="13.5" thickBot="1">
      <c r="A70" s="5529" t="s">
        <v>1463</v>
      </c>
      <c r="B70" s="5530"/>
      <c r="C70" s="3332"/>
      <c r="D70" s="3333"/>
      <c r="E70" s="3333"/>
      <c r="F70" s="3333"/>
      <c r="G70" s="3333"/>
      <c r="H70" s="3332"/>
      <c r="I70" s="3333"/>
      <c r="J70" s="3333"/>
      <c r="K70" s="3333"/>
      <c r="L70" s="3333"/>
      <c r="M70" s="3332"/>
      <c r="N70" s="3333"/>
      <c r="O70" s="3333"/>
      <c r="P70" s="3333"/>
      <c r="Q70" s="3333"/>
      <c r="R70" s="3332"/>
      <c r="S70" s="3333"/>
      <c r="T70" s="3333"/>
      <c r="U70" s="3333"/>
      <c r="V70" s="3333"/>
      <c r="W70" s="3332"/>
      <c r="X70" s="3333"/>
      <c r="Y70" s="3333"/>
      <c r="Z70" s="3333"/>
      <c r="AA70" s="3333"/>
      <c r="AB70" s="4775"/>
      <c r="AC70" s="4835">
        <f t="shared" si="92"/>
        <v>0</v>
      </c>
      <c r="AD70" s="4835">
        <f t="shared" si="68"/>
        <v>0</v>
      </c>
      <c r="AE70" s="4835">
        <f t="shared" si="69"/>
        <v>0</v>
      </c>
      <c r="AF70" s="4835">
        <f t="shared" si="70"/>
        <v>0</v>
      </c>
      <c r="AG70" s="4835">
        <f t="shared" si="71"/>
        <v>0</v>
      </c>
      <c r="AH70" s="4835">
        <f t="shared" si="72"/>
        <v>0</v>
      </c>
      <c r="AI70" s="4835">
        <f t="shared" si="73"/>
        <v>0</v>
      </c>
      <c r="AJ70" s="4835">
        <f t="shared" si="74"/>
        <v>0</v>
      </c>
      <c r="AK70" s="4835">
        <f t="shared" si="75"/>
        <v>0</v>
      </c>
      <c r="AL70" s="4835">
        <f t="shared" si="76"/>
        <v>0</v>
      </c>
      <c r="AM70" s="4835">
        <f t="shared" si="77"/>
        <v>0</v>
      </c>
      <c r="AN70" s="4835">
        <f t="shared" si="78"/>
        <v>0</v>
      </c>
      <c r="AO70" s="4835">
        <f t="shared" si="79"/>
        <v>0</v>
      </c>
      <c r="AP70" s="4835">
        <f t="shared" si="80"/>
        <v>0</v>
      </c>
      <c r="AQ70" s="4835">
        <f t="shared" si="81"/>
        <v>0</v>
      </c>
      <c r="AR70" s="4835">
        <f t="shared" si="82"/>
        <v>0</v>
      </c>
      <c r="AS70" s="4835">
        <f t="shared" si="83"/>
        <v>0</v>
      </c>
      <c r="AT70" s="4835">
        <f t="shared" si="84"/>
        <v>0</v>
      </c>
      <c r="AU70" s="4835">
        <f t="shared" si="85"/>
        <v>0</v>
      </c>
      <c r="AV70" s="4835">
        <f t="shared" si="86"/>
        <v>0</v>
      </c>
      <c r="AW70" s="4835">
        <f t="shared" si="87"/>
        <v>0</v>
      </c>
      <c r="AX70" s="4835">
        <f t="shared" si="88"/>
        <v>0</v>
      </c>
      <c r="AY70" s="4835">
        <f t="shared" si="89"/>
        <v>0</v>
      </c>
      <c r="AZ70" s="4835">
        <f t="shared" si="90"/>
        <v>0</v>
      </c>
      <c r="BA70" s="4835">
        <f t="shared" si="91"/>
        <v>0</v>
      </c>
    </row>
    <row r="71" spans="1:53" ht="12.75" customHeight="1" thickBot="1">
      <c r="A71" s="5502" t="s">
        <v>1453</v>
      </c>
      <c r="B71" s="5503"/>
      <c r="C71" s="3332"/>
      <c r="D71" s="3333"/>
      <c r="E71" s="3333"/>
      <c r="F71" s="3333"/>
      <c r="G71" s="3333"/>
      <c r="H71" s="3332"/>
      <c r="I71" s="3333"/>
      <c r="J71" s="3333"/>
      <c r="K71" s="3333"/>
      <c r="L71" s="3333"/>
      <c r="M71" s="3332"/>
      <c r="N71" s="3333"/>
      <c r="O71" s="3333"/>
      <c r="P71" s="3333"/>
      <c r="Q71" s="3333"/>
      <c r="R71" s="3332"/>
      <c r="S71" s="3333"/>
      <c r="T71" s="3333"/>
      <c r="U71" s="3333"/>
      <c r="V71" s="3333"/>
      <c r="W71" s="3332"/>
      <c r="X71" s="3333"/>
      <c r="Y71" s="3333"/>
      <c r="Z71" s="3333"/>
      <c r="AA71" s="3333"/>
      <c r="AB71" s="4775"/>
      <c r="AC71" s="4835">
        <f t="shared" si="92"/>
        <v>0</v>
      </c>
      <c r="AD71" s="4835">
        <f t="shared" si="68"/>
        <v>0</v>
      </c>
      <c r="AE71" s="4835">
        <f t="shared" si="69"/>
        <v>0</v>
      </c>
      <c r="AF71" s="4835">
        <f t="shared" si="70"/>
        <v>0</v>
      </c>
      <c r="AG71" s="4835">
        <f t="shared" si="71"/>
        <v>0</v>
      </c>
      <c r="AH71" s="4835">
        <f t="shared" si="72"/>
        <v>0</v>
      </c>
      <c r="AI71" s="4835">
        <f t="shared" si="73"/>
        <v>0</v>
      </c>
      <c r="AJ71" s="4835">
        <f t="shared" si="74"/>
        <v>0</v>
      </c>
      <c r="AK71" s="4835">
        <f t="shared" si="75"/>
        <v>0</v>
      </c>
      <c r="AL71" s="4835">
        <f t="shared" si="76"/>
        <v>0</v>
      </c>
      <c r="AM71" s="4835">
        <f t="shared" si="77"/>
        <v>0</v>
      </c>
      <c r="AN71" s="4835">
        <f t="shared" si="78"/>
        <v>0</v>
      </c>
      <c r="AO71" s="4835">
        <f t="shared" si="79"/>
        <v>0</v>
      </c>
      <c r="AP71" s="4835">
        <f t="shared" si="80"/>
        <v>0</v>
      </c>
      <c r="AQ71" s="4835">
        <f t="shared" si="81"/>
        <v>0</v>
      </c>
      <c r="AR71" s="4835">
        <f t="shared" si="82"/>
        <v>0</v>
      </c>
      <c r="AS71" s="4835">
        <f t="shared" si="83"/>
        <v>0</v>
      </c>
      <c r="AT71" s="4835">
        <f t="shared" si="84"/>
        <v>0</v>
      </c>
      <c r="AU71" s="4835">
        <f t="shared" si="85"/>
        <v>0</v>
      </c>
      <c r="AV71" s="4835">
        <f t="shared" si="86"/>
        <v>0</v>
      </c>
      <c r="AW71" s="4835">
        <f t="shared" si="87"/>
        <v>0</v>
      </c>
      <c r="AX71" s="4835">
        <f t="shared" si="88"/>
        <v>0</v>
      </c>
      <c r="AY71" s="4835">
        <f t="shared" si="89"/>
        <v>0</v>
      </c>
      <c r="AZ71" s="4835">
        <f t="shared" si="90"/>
        <v>0</v>
      </c>
      <c r="BA71" s="4835">
        <f t="shared" si="91"/>
        <v>0</v>
      </c>
    </row>
    <row r="72" spans="1:53" ht="12.75" customHeight="1" thickBot="1">
      <c r="A72" s="5502" t="s">
        <v>1454</v>
      </c>
      <c r="B72" s="5503"/>
      <c r="C72" s="3332"/>
      <c r="D72" s="3333"/>
      <c r="E72" s="3333"/>
      <c r="F72" s="3333"/>
      <c r="G72" s="3333"/>
      <c r="H72" s="3332"/>
      <c r="I72" s="3333"/>
      <c r="J72" s="3333"/>
      <c r="K72" s="3333"/>
      <c r="L72" s="3333"/>
      <c r="M72" s="3332"/>
      <c r="N72" s="3333"/>
      <c r="O72" s="3333"/>
      <c r="P72" s="3333"/>
      <c r="Q72" s="3333"/>
      <c r="R72" s="3332"/>
      <c r="S72" s="3333"/>
      <c r="T72" s="3333"/>
      <c r="U72" s="3333"/>
      <c r="V72" s="3333"/>
      <c r="W72" s="3332"/>
      <c r="X72" s="3333"/>
      <c r="Y72" s="3333"/>
      <c r="Z72" s="3333"/>
      <c r="AA72" s="3333"/>
      <c r="AB72" s="4775"/>
      <c r="AC72" s="4835">
        <f t="shared" si="92"/>
        <v>0</v>
      </c>
      <c r="AD72" s="4835">
        <f t="shared" si="68"/>
        <v>0</v>
      </c>
      <c r="AE72" s="4835">
        <f t="shared" si="69"/>
        <v>0</v>
      </c>
      <c r="AF72" s="4835">
        <f t="shared" si="70"/>
        <v>0</v>
      </c>
      <c r="AG72" s="4835">
        <f t="shared" si="71"/>
        <v>0</v>
      </c>
      <c r="AH72" s="4835">
        <f t="shared" si="72"/>
        <v>0</v>
      </c>
      <c r="AI72" s="4835">
        <f t="shared" si="73"/>
        <v>0</v>
      </c>
      <c r="AJ72" s="4835">
        <f t="shared" si="74"/>
        <v>0</v>
      </c>
      <c r="AK72" s="4835">
        <f t="shared" si="75"/>
        <v>0</v>
      </c>
      <c r="AL72" s="4835">
        <f t="shared" si="76"/>
        <v>0</v>
      </c>
      <c r="AM72" s="4835">
        <f t="shared" si="77"/>
        <v>0</v>
      </c>
      <c r="AN72" s="4835">
        <f t="shared" si="78"/>
        <v>0</v>
      </c>
      <c r="AO72" s="4835">
        <f t="shared" si="79"/>
        <v>0</v>
      </c>
      <c r="AP72" s="4835">
        <f t="shared" si="80"/>
        <v>0</v>
      </c>
      <c r="AQ72" s="4835">
        <f t="shared" si="81"/>
        <v>0</v>
      </c>
      <c r="AR72" s="4835">
        <f t="shared" si="82"/>
        <v>0</v>
      </c>
      <c r="AS72" s="4835">
        <f t="shared" si="83"/>
        <v>0</v>
      </c>
      <c r="AT72" s="4835">
        <f t="shared" si="84"/>
        <v>0</v>
      </c>
      <c r="AU72" s="4835">
        <f t="shared" si="85"/>
        <v>0</v>
      </c>
      <c r="AV72" s="4835">
        <f t="shared" si="86"/>
        <v>0</v>
      </c>
      <c r="AW72" s="4835">
        <f t="shared" si="87"/>
        <v>0</v>
      </c>
      <c r="AX72" s="4835">
        <f t="shared" si="88"/>
        <v>0</v>
      </c>
      <c r="AY72" s="4835">
        <f t="shared" si="89"/>
        <v>0</v>
      </c>
      <c r="AZ72" s="4835">
        <f t="shared" si="90"/>
        <v>0</v>
      </c>
      <c r="BA72" s="4835">
        <f t="shared" si="91"/>
        <v>0</v>
      </c>
    </row>
    <row r="73" spans="1:53" ht="12.75" customHeight="1" thickBot="1">
      <c r="A73" s="5502" t="s">
        <v>1455</v>
      </c>
      <c r="B73" s="5503"/>
      <c r="C73" s="3332"/>
      <c r="D73" s="3333"/>
      <c r="E73" s="3333"/>
      <c r="F73" s="3333"/>
      <c r="G73" s="3333"/>
      <c r="H73" s="3332"/>
      <c r="I73" s="3333"/>
      <c r="J73" s="3333"/>
      <c r="K73" s="3333"/>
      <c r="L73" s="3333"/>
      <c r="M73" s="3332"/>
      <c r="N73" s="3333"/>
      <c r="O73" s="3333"/>
      <c r="P73" s="3333"/>
      <c r="Q73" s="3333"/>
      <c r="R73" s="3332"/>
      <c r="S73" s="3333"/>
      <c r="T73" s="3333"/>
      <c r="U73" s="3333"/>
      <c r="V73" s="3333"/>
      <c r="W73" s="3332"/>
      <c r="X73" s="3333"/>
      <c r="Y73" s="3333"/>
      <c r="Z73" s="3333"/>
      <c r="AA73" s="3333"/>
      <c r="AB73" s="4775"/>
      <c r="AC73" s="4835">
        <f t="shared" si="92"/>
        <v>0</v>
      </c>
      <c r="AD73" s="4835">
        <f t="shared" si="68"/>
        <v>0</v>
      </c>
      <c r="AE73" s="4835">
        <f t="shared" si="69"/>
        <v>0</v>
      </c>
      <c r="AF73" s="4835">
        <f t="shared" si="70"/>
        <v>0</v>
      </c>
      <c r="AG73" s="4835">
        <f t="shared" si="71"/>
        <v>0</v>
      </c>
      <c r="AH73" s="4835">
        <f t="shared" si="72"/>
        <v>0</v>
      </c>
      <c r="AI73" s="4835">
        <f t="shared" si="73"/>
        <v>0</v>
      </c>
      <c r="AJ73" s="4835">
        <f t="shared" si="74"/>
        <v>0</v>
      </c>
      <c r="AK73" s="4835">
        <f t="shared" si="75"/>
        <v>0</v>
      </c>
      <c r="AL73" s="4835">
        <f t="shared" si="76"/>
        <v>0</v>
      </c>
      <c r="AM73" s="4835">
        <f t="shared" si="77"/>
        <v>0</v>
      </c>
      <c r="AN73" s="4835">
        <f t="shared" si="78"/>
        <v>0</v>
      </c>
      <c r="AO73" s="4835">
        <f t="shared" si="79"/>
        <v>0</v>
      </c>
      <c r="AP73" s="4835">
        <f t="shared" si="80"/>
        <v>0</v>
      </c>
      <c r="AQ73" s="4835">
        <f t="shared" si="81"/>
        <v>0</v>
      </c>
      <c r="AR73" s="4835">
        <f t="shared" si="82"/>
        <v>0</v>
      </c>
      <c r="AS73" s="4835">
        <f t="shared" si="83"/>
        <v>0</v>
      </c>
      <c r="AT73" s="4835">
        <f t="shared" si="84"/>
        <v>0</v>
      </c>
      <c r="AU73" s="4835">
        <f t="shared" si="85"/>
        <v>0</v>
      </c>
      <c r="AV73" s="4835">
        <f t="shared" si="86"/>
        <v>0</v>
      </c>
      <c r="AW73" s="4835">
        <f t="shared" si="87"/>
        <v>0</v>
      </c>
      <c r="AX73" s="4835">
        <f t="shared" si="88"/>
        <v>0</v>
      </c>
      <c r="AY73" s="4835">
        <f t="shared" si="89"/>
        <v>0</v>
      </c>
      <c r="AZ73" s="4835">
        <f t="shared" si="90"/>
        <v>0</v>
      </c>
      <c r="BA73" s="4835">
        <f t="shared" si="91"/>
        <v>0</v>
      </c>
    </row>
    <row r="74" spans="1:53" ht="13.5" thickBot="1">
      <c r="A74" s="5508" t="s">
        <v>1456</v>
      </c>
      <c r="B74" s="5509"/>
      <c r="C74" s="3332"/>
      <c r="D74" s="3333"/>
      <c r="E74" s="3333"/>
      <c r="F74" s="3333"/>
      <c r="G74" s="3333"/>
      <c r="H74" s="3332"/>
      <c r="I74" s="3333"/>
      <c r="J74" s="3333"/>
      <c r="K74" s="3333"/>
      <c r="L74" s="3333"/>
      <c r="M74" s="3332"/>
      <c r="N74" s="3333"/>
      <c r="O74" s="3333"/>
      <c r="P74" s="3333"/>
      <c r="Q74" s="3333"/>
      <c r="R74" s="3332"/>
      <c r="S74" s="3333"/>
      <c r="T74" s="3333"/>
      <c r="U74" s="3333"/>
      <c r="V74" s="3333"/>
      <c r="W74" s="3332"/>
      <c r="X74" s="3333"/>
      <c r="Y74" s="3333"/>
      <c r="Z74" s="3333"/>
      <c r="AA74" s="3333"/>
      <c r="AB74" s="4775"/>
      <c r="AC74" s="4835">
        <f t="shared" si="92"/>
        <v>0</v>
      </c>
      <c r="AD74" s="4835">
        <f t="shared" si="68"/>
        <v>0</v>
      </c>
      <c r="AE74" s="4835">
        <f t="shared" si="69"/>
        <v>0</v>
      </c>
      <c r="AF74" s="4835">
        <f t="shared" si="70"/>
        <v>0</v>
      </c>
      <c r="AG74" s="4835">
        <f t="shared" si="71"/>
        <v>0</v>
      </c>
      <c r="AH74" s="4835">
        <f t="shared" si="72"/>
        <v>0</v>
      </c>
      <c r="AI74" s="4835">
        <f t="shared" si="73"/>
        <v>0</v>
      </c>
      <c r="AJ74" s="4835">
        <f t="shared" si="74"/>
        <v>0</v>
      </c>
      <c r="AK74" s="4835">
        <f t="shared" si="75"/>
        <v>0</v>
      </c>
      <c r="AL74" s="4835">
        <f t="shared" si="76"/>
        <v>0</v>
      </c>
      <c r="AM74" s="4835">
        <f t="shared" si="77"/>
        <v>0</v>
      </c>
      <c r="AN74" s="4835">
        <f t="shared" si="78"/>
        <v>0</v>
      </c>
      <c r="AO74" s="4835">
        <f t="shared" si="79"/>
        <v>0</v>
      </c>
      <c r="AP74" s="4835">
        <f t="shared" si="80"/>
        <v>0</v>
      </c>
      <c r="AQ74" s="4835">
        <f t="shared" si="81"/>
        <v>0</v>
      </c>
      <c r="AR74" s="4835">
        <f t="shared" si="82"/>
        <v>0</v>
      </c>
      <c r="AS74" s="4835">
        <f t="shared" si="83"/>
        <v>0</v>
      </c>
      <c r="AT74" s="4835">
        <f t="shared" si="84"/>
        <v>0</v>
      </c>
      <c r="AU74" s="4835">
        <f t="shared" si="85"/>
        <v>0</v>
      </c>
      <c r="AV74" s="4835">
        <f t="shared" si="86"/>
        <v>0</v>
      </c>
      <c r="AW74" s="4835">
        <f t="shared" si="87"/>
        <v>0</v>
      </c>
      <c r="AX74" s="4835">
        <f t="shared" si="88"/>
        <v>0</v>
      </c>
      <c r="AY74" s="4835">
        <f t="shared" si="89"/>
        <v>0</v>
      </c>
      <c r="AZ74" s="4835">
        <f t="shared" si="90"/>
        <v>0</v>
      </c>
      <c r="BA74" s="4835">
        <f t="shared" si="91"/>
        <v>0</v>
      </c>
    </row>
    <row r="75" spans="1:53" ht="12.75" customHeight="1" thickBot="1">
      <c r="A75" s="5519" t="s">
        <v>1457</v>
      </c>
      <c r="B75" s="5520"/>
      <c r="C75" s="3332"/>
      <c r="D75" s="3333"/>
      <c r="E75" s="3333"/>
      <c r="F75" s="3333"/>
      <c r="G75" s="3333"/>
      <c r="H75" s="3332"/>
      <c r="I75" s="3333"/>
      <c r="J75" s="3333"/>
      <c r="K75" s="3333"/>
      <c r="L75" s="3333"/>
      <c r="M75" s="3332"/>
      <c r="N75" s="3333"/>
      <c r="O75" s="3333"/>
      <c r="P75" s="3333"/>
      <c r="Q75" s="3333"/>
      <c r="R75" s="3332"/>
      <c r="S75" s="3333"/>
      <c r="T75" s="3333"/>
      <c r="U75" s="3333"/>
      <c r="V75" s="3333"/>
      <c r="W75" s="3332"/>
      <c r="X75" s="3333"/>
      <c r="Y75" s="3333"/>
      <c r="Z75" s="3333"/>
      <c r="AA75" s="3333"/>
      <c r="AB75" s="4775"/>
      <c r="AC75" s="4835">
        <f t="shared" si="92"/>
        <v>0</v>
      </c>
      <c r="AD75" s="4835">
        <f t="shared" si="68"/>
        <v>0</v>
      </c>
      <c r="AE75" s="4835">
        <f t="shared" si="69"/>
        <v>0</v>
      </c>
      <c r="AF75" s="4835">
        <f t="shared" si="70"/>
        <v>0</v>
      </c>
      <c r="AG75" s="4835">
        <f t="shared" si="71"/>
        <v>0</v>
      </c>
      <c r="AH75" s="4835">
        <f t="shared" si="72"/>
        <v>0</v>
      </c>
      <c r="AI75" s="4835">
        <f t="shared" si="73"/>
        <v>0</v>
      </c>
      <c r="AJ75" s="4835">
        <f t="shared" si="74"/>
        <v>0</v>
      </c>
      <c r="AK75" s="4835">
        <f t="shared" si="75"/>
        <v>0</v>
      </c>
      <c r="AL75" s="4835">
        <f t="shared" si="76"/>
        <v>0</v>
      </c>
      <c r="AM75" s="4835">
        <f t="shared" si="77"/>
        <v>0</v>
      </c>
      <c r="AN75" s="4835">
        <f t="shared" si="78"/>
        <v>0</v>
      </c>
      <c r="AO75" s="4835">
        <f t="shared" si="79"/>
        <v>0</v>
      </c>
      <c r="AP75" s="4835">
        <f t="shared" si="80"/>
        <v>0</v>
      </c>
      <c r="AQ75" s="4835">
        <f t="shared" si="81"/>
        <v>0</v>
      </c>
      <c r="AR75" s="4835">
        <f t="shared" si="82"/>
        <v>0</v>
      </c>
      <c r="AS75" s="4835">
        <f t="shared" si="83"/>
        <v>0</v>
      </c>
      <c r="AT75" s="4835">
        <f t="shared" si="84"/>
        <v>0</v>
      </c>
      <c r="AU75" s="4835">
        <f t="shared" si="85"/>
        <v>0</v>
      </c>
      <c r="AV75" s="4835">
        <f t="shared" si="86"/>
        <v>0</v>
      </c>
      <c r="AW75" s="4835">
        <f t="shared" si="87"/>
        <v>0</v>
      </c>
      <c r="AX75" s="4835">
        <f t="shared" si="88"/>
        <v>0</v>
      </c>
      <c r="AY75" s="4835">
        <f t="shared" si="89"/>
        <v>0</v>
      </c>
      <c r="AZ75" s="4835">
        <f t="shared" si="90"/>
        <v>0</v>
      </c>
      <c r="BA75" s="4835">
        <f t="shared" si="91"/>
        <v>0</v>
      </c>
    </row>
    <row r="76" spans="1:53" ht="12.75" customHeight="1" thickBot="1">
      <c r="A76" s="5519" t="s">
        <v>1458</v>
      </c>
      <c r="B76" s="5520"/>
      <c r="C76" s="3332"/>
      <c r="D76" s="3333"/>
      <c r="E76" s="3333"/>
      <c r="F76" s="3333"/>
      <c r="G76" s="3333"/>
      <c r="H76" s="3332"/>
      <c r="I76" s="3333"/>
      <c r="J76" s="3333"/>
      <c r="K76" s="3333"/>
      <c r="L76" s="3333"/>
      <c r="M76" s="3332"/>
      <c r="N76" s="3333"/>
      <c r="O76" s="3333"/>
      <c r="P76" s="3333"/>
      <c r="Q76" s="3333"/>
      <c r="R76" s="3332"/>
      <c r="S76" s="3333"/>
      <c r="T76" s="3333"/>
      <c r="U76" s="3333"/>
      <c r="V76" s="3333"/>
      <c r="W76" s="3332"/>
      <c r="X76" s="3333"/>
      <c r="Y76" s="3333"/>
      <c r="Z76" s="3333"/>
      <c r="AA76" s="3333"/>
      <c r="AB76" s="4775"/>
      <c r="AC76" s="4835">
        <f t="shared" si="92"/>
        <v>0</v>
      </c>
      <c r="AD76" s="4835">
        <f t="shared" si="68"/>
        <v>0</v>
      </c>
      <c r="AE76" s="4835">
        <f t="shared" si="69"/>
        <v>0</v>
      </c>
      <c r="AF76" s="4835">
        <f t="shared" si="70"/>
        <v>0</v>
      </c>
      <c r="AG76" s="4835">
        <f t="shared" si="71"/>
        <v>0</v>
      </c>
      <c r="AH76" s="4835">
        <f t="shared" si="72"/>
        <v>0</v>
      </c>
      <c r="AI76" s="4835">
        <f t="shared" si="73"/>
        <v>0</v>
      </c>
      <c r="AJ76" s="4835">
        <f t="shared" si="74"/>
        <v>0</v>
      </c>
      <c r="AK76" s="4835">
        <f t="shared" si="75"/>
        <v>0</v>
      </c>
      <c r="AL76" s="4835">
        <f t="shared" si="76"/>
        <v>0</v>
      </c>
      <c r="AM76" s="4835">
        <f t="shared" si="77"/>
        <v>0</v>
      </c>
      <c r="AN76" s="4835">
        <f t="shared" si="78"/>
        <v>0</v>
      </c>
      <c r="AO76" s="4835">
        <f t="shared" si="79"/>
        <v>0</v>
      </c>
      <c r="AP76" s="4835">
        <f t="shared" si="80"/>
        <v>0</v>
      </c>
      <c r="AQ76" s="4835">
        <f t="shared" si="81"/>
        <v>0</v>
      </c>
      <c r="AR76" s="4835">
        <f t="shared" si="82"/>
        <v>0</v>
      </c>
      <c r="AS76" s="4835">
        <f t="shared" si="83"/>
        <v>0</v>
      </c>
      <c r="AT76" s="4835">
        <f t="shared" si="84"/>
        <v>0</v>
      </c>
      <c r="AU76" s="4835">
        <f t="shared" si="85"/>
        <v>0</v>
      </c>
      <c r="AV76" s="4835">
        <f t="shared" si="86"/>
        <v>0</v>
      </c>
      <c r="AW76" s="4835">
        <f t="shared" si="87"/>
        <v>0</v>
      </c>
      <c r="AX76" s="4835">
        <f t="shared" si="88"/>
        <v>0</v>
      </c>
      <c r="AY76" s="4835">
        <f t="shared" si="89"/>
        <v>0</v>
      </c>
      <c r="AZ76" s="4835">
        <f t="shared" si="90"/>
        <v>0</v>
      </c>
      <c r="BA76" s="4835">
        <f t="shared" si="91"/>
        <v>0</v>
      </c>
    </row>
    <row r="77" spans="1:53" ht="12.75" customHeight="1" thickBot="1">
      <c r="A77" s="5519" t="s">
        <v>1459</v>
      </c>
      <c r="B77" s="5520"/>
      <c r="C77" s="3332"/>
      <c r="D77" s="3333"/>
      <c r="E77" s="3333"/>
      <c r="F77" s="3333"/>
      <c r="G77" s="3333"/>
      <c r="H77" s="3332"/>
      <c r="I77" s="3333"/>
      <c r="J77" s="3333"/>
      <c r="K77" s="3333"/>
      <c r="L77" s="3333"/>
      <c r="M77" s="3332"/>
      <c r="N77" s="3333"/>
      <c r="O77" s="3333"/>
      <c r="P77" s="3333"/>
      <c r="Q77" s="3333"/>
      <c r="R77" s="3332"/>
      <c r="S77" s="3333"/>
      <c r="T77" s="3333"/>
      <c r="U77" s="3333"/>
      <c r="V77" s="3333"/>
      <c r="W77" s="3332"/>
      <c r="X77" s="3333"/>
      <c r="Y77" s="3333"/>
      <c r="Z77" s="3333"/>
      <c r="AA77" s="3333"/>
      <c r="AB77" s="4775"/>
      <c r="AC77" s="4835">
        <f t="shared" si="92"/>
        <v>0</v>
      </c>
      <c r="AD77" s="4835">
        <f t="shared" si="68"/>
        <v>0</v>
      </c>
      <c r="AE77" s="4835">
        <f t="shared" si="69"/>
        <v>0</v>
      </c>
      <c r="AF77" s="4835">
        <f t="shared" si="70"/>
        <v>0</v>
      </c>
      <c r="AG77" s="4835">
        <f t="shared" si="71"/>
        <v>0</v>
      </c>
      <c r="AH77" s="4835">
        <f t="shared" si="72"/>
        <v>0</v>
      </c>
      <c r="AI77" s="4835">
        <f t="shared" si="73"/>
        <v>0</v>
      </c>
      <c r="AJ77" s="4835">
        <f t="shared" si="74"/>
        <v>0</v>
      </c>
      <c r="AK77" s="4835">
        <f t="shared" si="75"/>
        <v>0</v>
      </c>
      <c r="AL77" s="4835">
        <f t="shared" si="76"/>
        <v>0</v>
      </c>
      <c r="AM77" s="4835">
        <f t="shared" si="77"/>
        <v>0</v>
      </c>
      <c r="AN77" s="4835">
        <f t="shared" si="78"/>
        <v>0</v>
      </c>
      <c r="AO77" s="4835">
        <f t="shared" si="79"/>
        <v>0</v>
      </c>
      <c r="AP77" s="4835">
        <f t="shared" si="80"/>
        <v>0</v>
      </c>
      <c r="AQ77" s="4835">
        <f t="shared" si="81"/>
        <v>0</v>
      </c>
      <c r="AR77" s="4835">
        <f t="shared" si="82"/>
        <v>0</v>
      </c>
      <c r="AS77" s="4835">
        <f t="shared" si="83"/>
        <v>0</v>
      </c>
      <c r="AT77" s="4835">
        <f t="shared" si="84"/>
        <v>0</v>
      </c>
      <c r="AU77" s="4835">
        <f t="shared" si="85"/>
        <v>0</v>
      </c>
      <c r="AV77" s="4835">
        <f t="shared" si="86"/>
        <v>0</v>
      </c>
      <c r="AW77" s="4835">
        <f t="shared" si="87"/>
        <v>0</v>
      </c>
      <c r="AX77" s="4835">
        <f t="shared" si="88"/>
        <v>0</v>
      </c>
      <c r="AY77" s="4835">
        <f t="shared" si="89"/>
        <v>0</v>
      </c>
      <c r="AZ77" s="4835">
        <f t="shared" si="90"/>
        <v>0</v>
      </c>
      <c r="BA77" s="4835">
        <f t="shared" si="91"/>
        <v>0</v>
      </c>
    </row>
    <row r="78" spans="1:53" ht="13.5" customHeight="1" thickBot="1">
      <c r="A78" s="5521" t="s">
        <v>1460</v>
      </c>
      <c r="B78" s="5522"/>
      <c r="C78" s="3336"/>
      <c r="D78" s="3337"/>
      <c r="E78" s="3337"/>
      <c r="F78" s="3337"/>
      <c r="G78" s="3337"/>
      <c r="H78" s="3336"/>
      <c r="I78" s="3337"/>
      <c r="J78" s="3337"/>
      <c r="K78" s="3337"/>
      <c r="L78" s="3337"/>
      <c r="M78" s="3336"/>
      <c r="N78" s="3337"/>
      <c r="O78" s="3337"/>
      <c r="P78" s="3337"/>
      <c r="Q78" s="3337"/>
      <c r="R78" s="3336"/>
      <c r="S78" s="3337"/>
      <c r="T78" s="3337"/>
      <c r="U78" s="3337"/>
      <c r="V78" s="3337"/>
      <c r="W78" s="3336"/>
      <c r="X78" s="3337"/>
      <c r="Y78" s="3337"/>
      <c r="Z78" s="3337"/>
      <c r="AA78" s="3337"/>
      <c r="AB78" s="4775"/>
      <c r="AC78" s="4835">
        <f t="shared" si="92"/>
        <v>0</v>
      </c>
      <c r="AD78" s="4835">
        <f t="shared" si="68"/>
        <v>0</v>
      </c>
      <c r="AE78" s="4835">
        <f t="shared" si="69"/>
        <v>0</v>
      </c>
      <c r="AF78" s="4835">
        <f t="shared" si="70"/>
        <v>0</v>
      </c>
      <c r="AG78" s="4835">
        <f t="shared" si="71"/>
        <v>0</v>
      </c>
      <c r="AH78" s="4835">
        <f t="shared" si="72"/>
        <v>0</v>
      </c>
      <c r="AI78" s="4835">
        <f t="shared" si="73"/>
        <v>0</v>
      </c>
      <c r="AJ78" s="4835">
        <f t="shared" si="74"/>
        <v>0</v>
      </c>
      <c r="AK78" s="4835">
        <f t="shared" si="75"/>
        <v>0</v>
      </c>
      <c r="AL78" s="4835">
        <f t="shared" si="76"/>
        <v>0</v>
      </c>
      <c r="AM78" s="4835">
        <f t="shared" si="77"/>
        <v>0</v>
      </c>
      <c r="AN78" s="4835">
        <f t="shared" si="78"/>
        <v>0</v>
      </c>
      <c r="AO78" s="4835">
        <f t="shared" si="79"/>
        <v>0</v>
      </c>
      <c r="AP78" s="4835">
        <f t="shared" si="80"/>
        <v>0</v>
      </c>
      <c r="AQ78" s="4835">
        <f t="shared" si="81"/>
        <v>0</v>
      </c>
      <c r="AR78" s="4835">
        <f t="shared" si="82"/>
        <v>0</v>
      </c>
      <c r="AS78" s="4835">
        <f t="shared" si="83"/>
        <v>0</v>
      </c>
      <c r="AT78" s="4835">
        <f t="shared" si="84"/>
        <v>0</v>
      </c>
      <c r="AU78" s="4835">
        <f t="shared" si="85"/>
        <v>0</v>
      </c>
      <c r="AV78" s="4835">
        <f t="shared" si="86"/>
        <v>0</v>
      </c>
      <c r="AW78" s="4835">
        <f t="shared" si="87"/>
        <v>0</v>
      </c>
      <c r="AX78" s="4835">
        <f t="shared" si="88"/>
        <v>0</v>
      </c>
      <c r="AY78" s="4835">
        <f t="shared" si="89"/>
        <v>0</v>
      </c>
      <c r="AZ78" s="4835">
        <f t="shared" si="90"/>
        <v>0</v>
      </c>
      <c r="BA78" s="4835">
        <f t="shared" si="91"/>
        <v>0</v>
      </c>
    </row>
    <row r="79" spans="1:53" ht="23.25" customHeight="1" thickBot="1">
      <c r="A79" s="5513" t="s">
        <v>1175</v>
      </c>
      <c r="B79" s="5514"/>
      <c r="C79" s="5515">
        <v>6</v>
      </c>
      <c r="D79" s="5516"/>
      <c r="E79" s="5516"/>
      <c r="F79" s="5516"/>
      <c r="G79" s="5516"/>
      <c r="H79" s="5515">
        <f>C79+1</f>
        <v>7</v>
      </c>
      <c r="I79" s="5516"/>
      <c r="J79" s="5516"/>
      <c r="K79" s="5516"/>
      <c r="L79" s="5516"/>
      <c r="M79" s="5515">
        <f>H79+1</f>
        <v>8</v>
      </c>
      <c r="N79" s="5516"/>
      <c r="O79" s="5516"/>
      <c r="P79" s="5516"/>
      <c r="Q79" s="5516"/>
      <c r="R79" s="5515">
        <f>M79+1</f>
        <v>9</v>
      </c>
      <c r="S79" s="5516"/>
      <c r="T79" s="5516"/>
      <c r="U79" s="5516"/>
      <c r="V79" s="5516"/>
      <c r="W79" s="5515">
        <f>R79+1</f>
        <v>10</v>
      </c>
      <c r="X79" s="5516"/>
      <c r="Y79" s="5516"/>
      <c r="Z79" s="5516"/>
      <c r="AA79" s="5516"/>
      <c r="AB79" s="4775"/>
      <c r="AC79" s="5368">
        <f>+C79</f>
        <v>6</v>
      </c>
      <c r="AD79" s="5368"/>
      <c r="AE79" s="5368"/>
      <c r="AF79" s="5368"/>
      <c r="AG79" s="5368"/>
      <c r="AH79" s="5368">
        <f>+H79</f>
        <v>7</v>
      </c>
      <c r="AI79" s="5368"/>
      <c r="AJ79" s="5368"/>
      <c r="AK79" s="5368"/>
      <c r="AL79" s="5368"/>
      <c r="AM79" s="5368">
        <f>+M79</f>
        <v>8</v>
      </c>
      <c r="AN79" s="5368"/>
      <c r="AO79" s="5368"/>
      <c r="AP79" s="5368"/>
      <c r="AQ79" s="5368"/>
      <c r="AR79" s="5368">
        <f>+R79</f>
        <v>9</v>
      </c>
      <c r="AS79" s="5368"/>
      <c r="AT79" s="5368"/>
      <c r="AU79" s="5368"/>
      <c r="AV79" s="5368"/>
      <c r="AW79" s="5368">
        <f>+W79</f>
        <v>10</v>
      </c>
      <c r="AX79" s="5368"/>
      <c r="AY79" s="5368"/>
      <c r="AZ79" s="5368"/>
      <c r="BA79" s="5368"/>
    </row>
    <row r="80" spans="1:53" ht="12.75" customHeight="1" thickBot="1">
      <c r="A80" s="5510" t="s">
        <v>1297</v>
      </c>
      <c r="B80" s="3326" t="s">
        <v>1446</v>
      </c>
      <c r="C80" s="5506"/>
      <c r="D80" s="5507"/>
      <c r="E80" s="5507"/>
      <c r="F80" s="5507"/>
      <c r="G80" s="5507"/>
      <c r="H80" s="5506"/>
      <c r="I80" s="5507"/>
      <c r="J80" s="5507"/>
      <c r="K80" s="5507"/>
      <c r="L80" s="5507"/>
      <c r="M80" s="5506"/>
      <c r="N80" s="5507"/>
      <c r="O80" s="5507"/>
      <c r="P80" s="5507"/>
      <c r="Q80" s="5507"/>
      <c r="R80" s="5506"/>
      <c r="S80" s="5507"/>
      <c r="T80" s="5507"/>
      <c r="U80" s="5507"/>
      <c r="V80" s="5507"/>
      <c r="W80" s="5506"/>
      <c r="X80" s="5507"/>
      <c r="Y80" s="5507"/>
      <c r="Z80" s="5507"/>
      <c r="AA80" s="5507"/>
      <c r="AB80" s="4775"/>
      <c r="AC80" s="5535" t="str">
        <f>IF(C80=0,"",C80)</f>
        <v/>
      </c>
      <c r="AD80" s="5535"/>
      <c r="AE80" s="5535"/>
      <c r="AF80" s="5535"/>
      <c r="AG80" s="5535"/>
      <c r="AH80" s="5535" t="str">
        <f>IF(H80=0,"",H80)</f>
        <v/>
      </c>
      <c r="AI80" s="5535"/>
      <c r="AJ80" s="5535"/>
      <c r="AK80" s="5535"/>
      <c r="AL80" s="5535"/>
      <c r="AM80" s="5535" t="str">
        <f>IF(M80=0,"",M80)</f>
        <v/>
      </c>
      <c r="AN80" s="5535"/>
      <c r="AO80" s="5535"/>
      <c r="AP80" s="5535"/>
      <c r="AQ80" s="5535"/>
      <c r="AR80" s="5535" t="str">
        <f>IF(R80=0,"",R80)</f>
        <v/>
      </c>
      <c r="AS80" s="5535"/>
      <c r="AT80" s="5535"/>
      <c r="AU80" s="5535"/>
      <c r="AV80" s="5535"/>
      <c r="AW80" s="5535" t="str">
        <f>IF(W80=0,"",W80)</f>
        <v/>
      </c>
      <c r="AX80" s="5535"/>
      <c r="AY80" s="5535"/>
      <c r="AZ80" s="5535"/>
      <c r="BA80" s="5535"/>
    </row>
    <row r="81" spans="1:53" ht="13.5" thickBot="1">
      <c r="A81" s="5510"/>
      <c r="B81" s="3326" t="s">
        <v>1298</v>
      </c>
      <c r="C81" s="5506"/>
      <c r="D81" s="5507"/>
      <c r="E81" s="5507"/>
      <c r="F81" s="5507"/>
      <c r="G81" s="5507"/>
      <c r="H81" s="5506"/>
      <c r="I81" s="5507"/>
      <c r="J81" s="5507"/>
      <c r="K81" s="5507"/>
      <c r="L81" s="5507"/>
      <c r="M81" s="5506"/>
      <c r="N81" s="5507"/>
      <c r="O81" s="5507"/>
      <c r="P81" s="5507"/>
      <c r="Q81" s="5507"/>
      <c r="R81" s="5506"/>
      <c r="S81" s="5507"/>
      <c r="T81" s="5507"/>
      <c r="U81" s="5507"/>
      <c r="V81" s="5507"/>
      <c r="W81" s="5506"/>
      <c r="X81" s="5507"/>
      <c r="Y81" s="5507"/>
      <c r="Z81" s="5507"/>
      <c r="AA81" s="5507"/>
      <c r="AB81" s="4775"/>
      <c r="AC81" s="5535" t="str">
        <f t="shared" ref="AC81:AC85" si="93">IF(C81=0,"",C81)</f>
        <v/>
      </c>
      <c r="AD81" s="5535"/>
      <c r="AE81" s="5535"/>
      <c r="AF81" s="5535"/>
      <c r="AG81" s="5535"/>
      <c r="AH81" s="5535" t="str">
        <f t="shared" ref="AH81:AH85" si="94">IF(H81=0,"",H81)</f>
        <v/>
      </c>
      <c r="AI81" s="5535"/>
      <c r="AJ81" s="5535"/>
      <c r="AK81" s="5535"/>
      <c r="AL81" s="5535"/>
      <c r="AM81" s="5535" t="str">
        <f t="shared" ref="AM81:AM85" si="95">IF(M81=0,"",M81)</f>
        <v/>
      </c>
      <c r="AN81" s="5535"/>
      <c r="AO81" s="5535"/>
      <c r="AP81" s="5535"/>
      <c r="AQ81" s="5535"/>
      <c r="AR81" s="5535" t="str">
        <f t="shared" ref="AR81:AR85" si="96">IF(R81=0,"",R81)</f>
        <v/>
      </c>
      <c r="AS81" s="5535"/>
      <c r="AT81" s="5535"/>
      <c r="AU81" s="5535"/>
      <c r="AV81" s="5535"/>
      <c r="AW81" s="5535" t="str">
        <f t="shared" ref="AW81:AW85" si="97">IF(W81=0,"",W81)</f>
        <v/>
      </c>
      <c r="AX81" s="5535"/>
      <c r="AY81" s="5535"/>
      <c r="AZ81" s="5535"/>
      <c r="BA81" s="5535"/>
    </row>
    <row r="82" spans="1:53" ht="12.75" customHeight="1" thickBot="1">
      <c r="A82" s="5496" t="s">
        <v>1299</v>
      </c>
      <c r="B82" s="3327" t="s">
        <v>1300</v>
      </c>
      <c r="C82" s="5506"/>
      <c r="D82" s="5507"/>
      <c r="E82" s="5507"/>
      <c r="F82" s="5507"/>
      <c r="G82" s="5507"/>
      <c r="H82" s="5506"/>
      <c r="I82" s="5507"/>
      <c r="J82" s="5507"/>
      <c r="K82" s="5507"/>
      <c r="L82" s="5507"/>
      <c r="M82" s="5506"/>
      <c r="N82" s="5507"/>
      <c r="O82" s="5507"/>
      <c r="P82" s="5507"/>
      <c r="Q82" s="5507"/>
      <c r="R82" s="5506"/>
      <c r="S82" s="5507"/>
      <c r="T82" s="5507"/>
      <c r="U82" s="5507"/>
      <c r="V82" s="5507"/>
      <c r="W82" s="5506"/>
      <c r="X82" s="5507"/>
      <c r="Y82" s="5507"/>
      <c r="Z82" s="5507"/>
      <c r="AA82" s="5507"/>
      <c r="AB82" s="4775"/>
      <c r="AC82" s="5535" t="str">
        <f t="shared" si="93"/>
        <v/>
      </c>
      <c r="AD82" s="5535"/>
      <c r="AE82" s="5535"/>
      <c r="AF82" s="5535"/>
      <c r="AG82" s="5535"/>
      <c r="AH82" s="5535" t="str">
        <f t="shared" si="94"/>
        <v/>
      </c>
      <c r="AI82" s="5535"/>
      <c r="AJ82" s="5535"/>
      <c r="AK82" s="5535"/>
      <c r="AL82" s="5535"/>
      <c r="AM82" s="5535" t="str">
        <f t="shared" si="95"/>
        <v/>
      </c>
      <c r="AN82" s="5535"/>
      <c r="AO82" s="5535"/>
      <c r="AP82" s="5535"/>
      <c r="AQ82" s="5535"/>
      <c r="AR82" s="5535" t="str">
        <f t="shared" si="96"/>
        <v/>
      </c>
      <c r="AS82" s="5535"/>
      <c r="AT82" s="5535"/>
      <c r="AU82" s="5535"/>
      <c r="AV82" s="5535"/>
      <c r="AW82" s="5535" t="str">
        <f t="shared" si="97"/>
        <v/>
      </c>
      <c r="AX82" s="5535"/>
      <c r="AY82" s="5535"/>
      <c r="AZ82" s="5535"/>
      <c r="BA82" s="5535"/>
    </row>
    <row r="83" spans="1:53" ht="13.5" thickBot="1">
      <c r="A83" s="5497"/>
      <c r="B83" s="3326" t="s">
        <v>1301</v>
      </c>
      <c r="C83" s="5506"/>
      <c r="D83" s="5507"/>
      <c r="E83" s="5507"/>
      <c r="F83" s="5507"/>
      <c r="G83" s="5507"/>
      <c r="H83" s="5506"/>
      <c r="I83" s="5507"/>
      <c r="J83" s="5507"/>
      <c r="K83" s="5507"/>
      <c r="L83" s="5507"/>
      <c r="M83" s="5506"/>
      <c r="N83" s="5507"/>
      <c r="O83" s="5507"/>
      <c r="P83" s="5507"/>
      <c r="Q83" s="5507"/>
      <c r="R83" s="5506"/>
      <c r="S83" s="5507"/>
      <c r="T83" s="5507"/>
      <c r="U83" s="5507"/>
      <c r="V83" s="5507"/>
      <c r="W83" s="5506"/>
      <c r="X83" s="5507"/>
      <c r="Y83" s="5507"/>
      <c r="Z83" s="5507"/>
      <c r="AA83" s="5507"/>
      <c r="AB83" s="4775"/>
      <c r="AC83" s="5535" t="str">
        <f t="shared" si="93"/>
        <v/>
      </c>
      <c r="AD83" s="5535"/>
      <c r="AE83" s="5535"/>
      <c r="AF83" s="5535"/>
      <c r="AG83" s="5535"/>
      <c r="AH83" s="5535" t="str">
        <f t="shared" si="94"/>
        <v/>
      </c>
      <c r="AI83" s="5535"/>
      <c r="AJ83" s="5535"/>
      <c r="AK83" s="5535"/>
      <c r="AL83" s="5535"/>
      <c r="AM83" s="5535" t="str">
        <f t="shared" si="95"/>
        <v/>
      </c>
      <c r="AN83" s="5535"/>
      <c r="AO83" s="5535"/>
      <c r="AP83" s="5535"/>
      <c r="AQ83" s="5535"/>
      <c r="AR83" s="5535" t="str">
        <f t="shared" si="96"/>
        <v/>
      </c>
      <c r="AS83" s="5535"/>
      <c r="AT83" s="5535"/>
      <c r="AU83" s="5535"/>
      <c r="AV83" s="5535"/>
      <c r="AW83" s="5535" t="str">
        <f t="shared" si="97"/>
        <v/>
      </c>
      <c r="AX83" s="5535"/>
      <c r="AY83" s="5535"/>
      <c r="AZ83" s="5535"/>
      <c r="BA83" s="5535"/>
    </row>
    <row r="84" spans="1:53" ht="26.25" thickBot="1">
      <c r="A84" s="4031" t="s">
        <v>1302</v>
      </c>
      <c r="B84" s="3326" t="s">
        <v>1303</v>
      </c>
      <c r="C84" s="5506"/>
      <c r="D84" s="5507"/>
      <c r="E84" s="5507"/>
      <c r="F84" s="5507"/>
      <c r="G84" s="5507"/>
      <c r="H84" s="5506"/>
      <c r="I84" s="5507"/>
      <c r="J84" s="5507"/>
      <c r="K84" s="5507"/>
      <c r="L84" s="5507"/>
      <c r="M84" s="5506"/>
      <c r="N84" s="5507"/>
      <c r="O84" s="5507"/>
      <c r="P84" s="5507"/>
      <c r="Q84" s="5507"/>
      <c r="R84" s="5506"/>
      <c r="S84" s="5507"/>
      <c r="T84" s="5507"/>
      <c r="U84" s="5507"/>
      <c r="V84" s="5507"/>
      <c r="W84" s="5506"/>
      <c r="X84" s="5507"/>
      <c r="Y84" s="5507"/>
      <c r="Z84" s="5507"/>
      <c r="AA84" s="5507"/>
      <c r="AB84" s="4775"/>
      <c r="AC84" s="5535" t="str">
        <f t="shared" si="93"/>
        <v/>
      </c>
      <c r="AD84" s="5535"/>
      <c r="AE84" s="5535"/>
      <c r="AF84" s="5535"/>
      <c r="AG84" s="5535"/>
      <c r="AH84" s="5535" t="str">
        <f t="shared" si="94"/>
        <v/>
      </c>
      <c r="AI84" s="5535"/>
      <c r="AJ84" s="5535"/>
      <c r="AK84" s="5535"/>
      <c r="AL84" s="5535"/>
      <c r="AM84" s="5535" t="str">
        <f t="shared" si="95"/>
        <v/>
      </c>
      <c r="AN84" s="5535"/>
      <c r="AO84" s="5535"/>
      <c r="AP84" s="5535"/>
      <c r="AQ84" s="5535"/>
      <c r="AR84" s="5535" t="str">
        <f t="shared" si="96"/>
        <v/>
      </c>
      <c r="AS84" s="5535"/>
      <c r="AT84" s="5535"/>
      <c r="AU84" s="5535"/>
      <c r="AV84" s="5535"/>
      <c r="AW84" s="5535" t="str">
        <f t="shared" si="97"/>
        <v/>
      </c>
      <c r="AX84" s="5535"/>
      <c r="AY84" s="5535"/>
      <c r="AZ84" s="5535"/>
      <c r="BA84" s="5535"/>
    </row>
    <row r="85" spans="1:53" ht="26.25" thickBot="1">
      <c r="A85" s="3328" t="s">
        <v>1304</v>
      </c>
      <c r="B85" s="3329" t="s">
        <v>1305</v>
      </c>
      <c r="C85" s="5517"/>
      <c r="D85" s="5518"/>
      <c r="E85" s="5518"/>
      <c r="F85" s="5518"/>
      <c r="G85" s="5518"/>
      <c r="H85" s="5517"/>
      <c r="I85" s="5518"/>
      <c r="J85" s="5518"/>
      <c r="K85" s="5518"/>
      <c r="L85" s="5518"/>
      <c r="M85" s="5517"/>
      <c r="N85" s="5518"/>
      <c r="O85" s="5518"/>
      <c r="P85" s="5518"/>
      <c r="Q85" s="5518"/>
      <c r="R85" s="5517"/>
      <c r="S85" s="5518"/>
      <c r="T85" s="5518"/>
      <c r="U85" s="5518"/>
      <c r="V85" s="5518"/>
      <c r="W85" s="5517"/>
      <c r="X85" s="5518"/>
      <c r="Y85" s="5518"/>
      <c r="Z85" s="5518"/>
      <c r="AA85" s="5518"/>
      <c r="AB85" s="4775"/>
      <c r="AC85" s="5535" t="str">
        <f t="shared" si="93"/>
        <v/>
      </c>
      <c r="AD85" s="5535"/>
      <c r="AE85" s="5535"/>
      <c r="AF85" s="5535"/>
      <c r="AG85" s="5535"/>
      <c r="AH85" s="5535" t="str">
        <f t="shared" si="94"/>
        <v/>
      </c>
      <c r="AI85" s="5535"/>
      <c r="AJ85" s="5535"/>
      <c r="AK85" s="5535"/>
      <c r="AL85" s="5535"/>
      <c r="AM85" s="5535" t="str">
        <f t="shared" si="95"/>
        <v/>
      </c>
      <c r="AN85" s="5535"/>
      <c r="AO85" s="5535"/>
      <c r="AP85" s="5535"/>
      <c r="AQ85" s="5535"/>
      <c r="AR85" s="5535" t="str">
        <f t="shared" si="96"/>
        <v/>
      </c>
      <c r="AS85" s="5535"/>
      <c r="AT85" s="5535"/>
      <c r="AU85" s="5535"/>
      <c r="AV85" s="5535"/>
      <c r="AW85" s="5535" t="str">
        <f t="shared" si="97"/>
        <v/>
      </c>
      <c r="AX85" s="5535"/>
      <c r="AY85" s="5535"/>
      <c r="AZ85" s="5535"/>
      <c r="BA85" s="5535"/>
    </row>
    <row r="86" spans="1:53" ht="13.5" thickBot="1">
      <c r="A86" s="5511" t="s">
        <v>1461</v>
      </c>
      <c r="B86" s="5512"/>
      <c r="C86" s="4516" t="str">
        <f>'Приложение '!$C$14</f>
        <v>2027 г.</v>
      </c>
      <c r="D86" s="4517" t="str">
        <f>'Приложение '!$C$15</f>
        <v>2028 г.</v>
      </c>
      <c r="E86" s="4517" t="str">
        <f>'Приложение '!$C$16</f>
        <v>2029 г.</v>
      </c>
      <c r="F86" s="4517" t="str">
        <f>'Приложение '!$C$17</f>
        <v>2030 г.</v>
      </c>
      <c r="G86" s="4517" t="str">
        <f>'Приложение '!$C$18</f>
        <v>2031 г.</v>
      </c>
      <c r="H86" s="4516" t="str">
        <f>'Приложение '!$C$14</f>
        <v>2027 г.</v>
      </c>
      <c r="I86" s="4517" t="str">
        <f>'Приложение '!$C$15</f>
        <v>2028 г.</v>
      </c>
      <c r="J86" s="4517" t="str">
        <f>'Приложение '!$C$16</f>
        <v>2029 г.</v>
      </c>
      <c r="K86" s="4517" t="str">
        <f>'Приложение '!$C$17</f>
        <v>2030 г.</v>
      </c>
      <c r="L86" s="4517" t="str">
        <f>'Приложение '!$C$18</f>
        <v>2031 г.</v>
      </c>
      <c r="M86" s="4516" t="str">
        <f>'Приложение '!$C$14</f>
        <v>2027 г.</v>
      </c>
      <c r="N86" s="4517" t="str">
        <f>'Приложение '!$C$15</f>
        <v>2028 г.</v>
      </c>
      <c r="O86" s="4517" t="str">
        <f>'Приложение '!$C$16</f>
        <v>2029 г.</v>
      </c>
      <c r="P86" s="4517" t="str">
        <f>'Приложение '!$C$17</f>
        <v>2030 г.</v>
      </c>
      <c r="Q86" s="4517" t="str">
        <f>'Приложение '!$C$18</f>
        <v>2031 г.</v>
      </c>
      <c r="R86" s="4516" t="str">
        <f>'Приложение '!$C$14</f>
        <v>2027 г.</v>
      </c>
      <c r="S86" s="4517" t="str">
        <f>'Приложение '!$C$15</f>
        <v>2028 г.</v>
      </c>
      <c r="T86" s="4517" t="str">
        <f>'Приложение '!$C$16</f>
        <v>2029 г.</v>
      </c>
      <c r="U86" s="4517" t="str">
        <f>'Приложение '!$C$17</f>
        <v>2030 г.</v>
      </c>
      <c r="V86" s="4517" t="str">
        <f>'Приложение '!$C$18</f>
        <v>2031 г.</v>
      </c>
      <c r="W86" s="4516" t="str">
        <f>'Приложение '!$C$14</f>
        <v>2027 г.</v>
      </c>
      <c r="X86" s="4517" t="str">
        <f>'Приложение '!$C$15</f>
        <v>2028 г.</v>
      </c>
      <c r="Y86" s="4517" t="str">
        <f>'Приложение '!$C$16</f>
        <v>2029 г.</v>
      </c>
      <c r="Z86" s="4517" t="str">
        <f>'Приложение '!$C$17</f>
        <v>2030 г.</v>
      </c>
      <c r="AA86" s="4517" t="str">
        <f>'Приложение '!$C$18</f>
        <v>2031 г.</v>
      </c>
      <c r="AB86" s="4775"/>
      <c r="AC86" s="4829" t="str">
        <f>'Приложение '!$C$14</f>
        <v>2027 г.</v>
      </c>
      <c r="AD86" s="4829" t="str">
        <f>'Приложение '!$C$15</f>
        <v>2028 г.</v>
      </c>
      <c r="AE86" s="4829" t="str">
        <f>'Приложение '!$C$16</f>
        <v>2029 г.</v>
      </c>
      <c r="AF86" s="4829" t="str">
        <f>'Приложение '!$C$17</f>
        <v>2030 г.</v>
      </c>
      <c r="AG86" s="4829" t="str">
        <f>'Приложение '!$C$18</f>
        <v>2031 г.</v>
      </c>
      <c r="AH86" s="4829" t="str">
        <f>'Приложение '!$C$14</f>
        <v>2027 г.</v>
      </c>
      <c r="AI86" s="4829" t="str">
        <f>'Приложение '!$C$15</f>
        <v>2028 г.</v>
      </c>
      <c r="AJ86" s="4829" t="str">
        <f>'Приложение '!$C$16</f>
        <v>2029 г.</v>
      </c>
      <c r="AK86" s="4829" t="str">
        <f>'Приложение '!$C$17</f>
        <v>2030 г.</v>
      </c>
      <c r="AL86" s="4829" t="str">
        <f>'Приложение '!$C$18</f>
        <v>2031 г.</v>
      </c>
      <c r="AM86" s="4829" t="str">
        <f>'Приложение '!$C$14</f>
        <v>2027 г.</v>
      </c>
      <c r="AN86" s="4829" t="str">
        <f>'Приложение '!$C$15</f>
        <v>2028 г.</v>
      </c>
      <c r="AO86" s="4829" t="str">
        <f>'Приложение '!$C$16</f>
        <v>2029 г.</v>
      </c>
      <c r="AP86" s="4829" t="str">
        <f>'Приложение '!$C$17</f>
        <v>2030 г.</v>
      </c>
      <c r="AQ86" s="4829" t="str">
        <f>'Приложение '!$C$18</f>
        <v>2031 г.</v>
      </c>
      <c r="AR86" s="4829" t="str">
        <f>'Приложение '!$C$14</f>
        <v>2027 г.</v>
      </c>
      <c r="AS86" s="4829" t="str">
        <f>'Приложение '!$C$15</f>
        <v>2028 г.</v>
      </c>
      <c r="AT86" s="4829" t="str">
        <f>'Приложение '!$C$16</f>
        <v>2029 г.</v>
      </c>
      <c r="AU86" s="4829" t="str">
        <f>'Приложение '!$C$17</f>
        <v>2030 г.</v>
      </c>
      <c r="AV86" s="4829" t="str">
        <f>'Приложение '!$C$18</f>
        <v>2031 г.</v>
      </c>
      <c r="AW86" s="4829" t="str">
        <f>'Приложение '!$C$14</f>
        <v>2027 г.</v>
      </c>
      <c r="AX86" s="4829" t="str">
        <f>'Приложение '!$C$15</f>
        <v>2028 г.</v>
      </c>
      <c r="AY86" s="4829" t="str">
        <f>'Приложение '!$C$16</f>
        <v>2029 г.</v>
      </c>
      <c r="AZ86" s="4829" t="str">
        <f>'Приложение '!$C$17</f>
        <v>2030 г.</v>
      </c>
      <c r="BA86" s="4829" t="str">
        <f>'Приложение '!$C$18</f>
        <v>2031 г.</v>
      </c>
    </row>
    <row r="87" spans="1:53" ht="12.75" customHeight="1">
      <c r="A87" s="5498" t="s">
        <v>1447</v>
      </c>
      <c r="B87" s="5499"/>
      <c r="C87" s="3330"/>
      <c r="D87" s="3331"/>
      <c r="E87" s="3331"/>
      <c r="F87" s="3331"/>
      <c r="G87" s="3331"/>
      <c r="H87" s="3330"/>
      <c r="I87" s="3331"/>
      <c r="J87" s="3331"/>
      <c r="K87" s="3331"/>
      <c r="L87" s="3331"/>
      <c r="M87" s="3330"/>
      <c r="N87" s="3331"/>
      <c r="O87" s="3331"/>
      <c r="P87" s="3331"/>
      <c r="Q87" s="3331"/>
      <c r="R87" s="3330"/>
      <c r="S87" s="3331"/>
      <c r="T87" s="3331"/>
      <c r="U87" s="3331"/>
      <c r="V87" s="3331"/>
      <c r="W87" s="3330"/>
      <c r="X87" s="3331"/>
      <c r="Y87" s="3331"/>
      <c r="Z87" s="3331"/>
      <c r="AA87" s="3331"/>
      <c r="AB87" s="4775"/>
      <c r="AC87" s="4832"/>
      <c r="AD87" s="4832"/>
      <c r="AE87" s="4832"/>
      <c r="AF87" s="4832"/>
      <c r="AG87" s="4832"/>
      <c r="AH87" s="4832"/>
      <c r="AI87" s="4832"/>
      <c r="AJ87" s="4832"/>
      <c r="AK87" s="4832"/>
      <c r="AL87" s="4832"/>
      <c r="AM87" s="4832"/>
      <c r="AN87" s="4832"/>
      <c r="AO87" s="4832"/>
      <c r="AP87" s="4832"/>
      <c r="AQ87" s="4832"/>
      <c r="AR87" s="4832"/>
      <c r="AS87" s="4832"/>
      <c r="AT87" s="4832"/>
      <c r="AU87" s="4832"/>
      <c r="AV87" s="4832"/>
      <c r="AW87" s="4832"/>
      <c r="AX87" s="4832"/>
      <c r="AY87" s="4832"/>
      <c r="AZ87" s="4832"/>
      <c r="BA87" s="4832"/>
    </row>
    <row r="88" spans="1:53" ht="12.75" customHeight="1">
      <c r="A88" s="5500" t="s">
        <v>1448</v>
      </c>
      <c r="B88" s="5501"/>
      <c r="C88" s="3332"/>
      <c r="D88" s="3333"/>
      <c r="E88" s="3333"/>
      <c r="F88" s="3333"/>
      <c r="G88" s="3333"/>
      <c r="H88" s="3332"/>
      <c r="I88" s="3333"/>
      <c r="J88" s="3333"/>
      <c r="K88" s="3333"/>
      <c r="L88" s="3333"/>
      <c r="M88" s="3332"/>
      <c r="N88" s="3333"/>
      <c r="O88" s="3333"/>
      <c r="P88" s="3333"/>
      <c r="Q88" s="3333"/>
      <c r="R88" s="3332"/>
      <c r="S88" s="3333"/>
      <c r="T88" s="3333"/>
      <c r="U88" s="3333"/>
      <c r="V88" s="3333"/>
      <c r="W88" s="3332"/>
      <c r="X88" s="3333"/>
      <c r="Y88" s="3333"/>
      <c r="Z88" s="3333"/>
      <c r="AA88" s="3333"/>
      <c r="AB88" s="4775"/>
      <c r="AC88" s="4833"/>
      <c r="AD88" s="4833"/>
      <c r="AE88" s="4833"/>
      <c r="AF88" s="4833"/>
      <c r="AG88" s="4833"/>
      <c r="AH88" s="4833"/>
      <c r="AI88" s="4833"/>
      <c r="AJ88" s="4833"/>
      <c r="AK88" s="4833"/>
      <c r="AL88" s="4833"/>
      <c r="AM88" s="4833"/>
      <c r="AN88" s="4833"/>
      <c r="AO88" s="4833"/>
      <c r="AP88" s="4833"/>
      <c r="AQ88" s="4833"/>
      <c r="AR88" s="4833"/>
      <c r="AS88" s="4833"/>
      <c r="AT88" s="4833"/>
      <c r="AU88" s="4833"/>
      <c r="AV88" s="4833"/>
      <c r="AW88" s="4833"/>
      <c r="AX88" s="4833"/>
      <c r="AY88" s="4833"/>
      <c r="AZ88" s="4833"/>
      <c r="BA88" s="4833"/>
    </row>
    <row r="89" spans="1:53" ht="12.75" customHeight="1">
      <c r="A89" s="5523" t="s">
        <v>1449</v>
      </c>
      <c r="B89" s="5524"/>
      <c r="C89" s="3334"/>
      <c r="D89" s="3335"/>
      <c r="E89" s="3335"/>
      <c r="F89" s="3335"/>
      <c r="G89" s="3335"/>
      <c r="H89" s="3334"/>
      <c r="I89" s="3335"/>
      <c r="J89" s="3335"/>
      <c r="K89" s="3335"/>
      <c r="L89" s="3335"/>
      <c r="M89" s="3334"/>
      <c r="N89" s="3335"/>
      <c r="O89" s="3335"/>
      <c r="P89" s="3335"/>
      <c r="Q89" s="3335"/>
      <c r="R89" s="3334"/>
      <c r="S89" s="3335"/>
      <c r="T89" s="3335"/>
      <c r="U89" s="3335"/>
      <c r="V89" s="3335"/>
      <c r="W89" s="3334"/>
      <c r="X89" s="3335"/>
      <c r="Y89" s="3335"/>
      <c r="Z89" s="3335"/>
      <c r="AA89" s="3335"/>
      <c r="AB89" s="4775"/>
      <c r="AC89" s="4833"/>
      <c r="AD89" s="4833"/>
      <c r="AE89" s="4833"/>
      <c r="AF89" s="4833"/>
      <c r="AG89" s="4833"/>
      <c r="AH89" s="4833"/>
      <c r="AI89" s="4833"/>
      <c r="AJ89" s="4833"/>
      <c r="AK89" s="4833"/>
      <c r="AL89" s="4833"/>
      <c r="AM89" s="4833"/>
      <c r="AN89" s="4833"/>
      <c r="AO89" s="4833"/>
      <c r="AP89" s="4833"/>
      <c r="AQ89" s="4833"/>
      <c r="AR89" s="4833"/>
      <c r="AS89" s="4833"/>
      <c r="AT89" s="4833"/>
      <c r="AU89" s="4833"/>
      <c r="AV89" s="4833"/>
      <c r="AW89" s="4833"/>
      <c r="AX89" s="4833"/>
      <c r="AY89" s="4833"/>
      <c r="AZ89" s="4833"/>
      <c r="BA89" s="4833"/>
    </row>
    <row r="90" spans="1:53" ht="13.5" thickBot="1">
      <c r="A90" s="5504" t="s">
        <v>1450</v>
      </c>
      <c r="B90" s="5505"/>
      <c r="C90" s="3336"/>
      <c r="D90" s="3337"/>
      <c r="E90" s="3337"/>
      <c r="F90" s="3337"/>
      <c r="G90" s="3337"/>
      <c r="H90" s="3336"/>
      <c r="I90" s="3337"/>
      <c r="J90" s="3337"/>
      <c r="K90" s="3337"/>
      <c r="L90" s="3337"/>
      <c r="M90" s="3336"/>
      <c r="N90" s="3337"/>
      <c r="O90" s="3337"/>
      <c r="P90" s="3337"/>
      <c r="Q90" s="3337"/>
      <c r="R90" s="3336"/>
      <c r="S90" s="3337"/>
      <c r="T90" s="3337"/>
      <c r="U90" s="3337"/>
      <c r="V90" s="3337"/>
      <c r="W90" s="3336"/>
      <c r="X90" s="3337"/>
      <c r="Y90" s="3337"/>
      <c r="Z90" s="3337"/>
      <c r="AA90" s="3337"/>
      <c r="AB90" s="4775"/>
      <c r="AC90" s="4834"/>
      <c r="AD90" s="4834"/>
      <c r="AE90" s="4834"/>
      <c r="AF90" s="4834"/>
      <c r="AG90" s="4834"/>
      <c r="AH90" s="4834"/>
      <c r="AI90" s="4834"/>
      <c r="AJ90" s="4834"/>
      <c r="AK90" s="4834"/>
      <c r="AL90" s="4834"/>
      <c r="AM90" s="4834"/>
      <c r="AN90" s="4834"/>
      <c r="AO90" s="4834"/>
      <c r="AP90" s="4834"/>
      <c r="AQ90" s="4834"/>
      <c r="AR90" s="4834"/>
      <c r="AS90" s="4834"/>
      <c r="AT90" s="4834"/>
      <c r="AU90" s="4834"/>
      <c r="AV90" s="4834"/>
      <c r="AW90" s="4834"/>
      <c r="AX90" s="4834"/>
      <c r="AY90" s="4834"/>
      <c r="AZ90" s="4834"/>
      <c r="BA90" s="4834"/>
    </row>
    <row r="91" spans="1:53" s="3759" customFormat="1" ht="25.5" customHeight="1" thickBot="1">
      <c r="A91" s="5525" t="s">
        <v>1452</v>
      </c>
      <c r="B91" s="5526"/>
      <c r="C91" s="3338">
        <f t="shared" ref="C91:AA91" si="98">SUM(C92,C97:C101)</f>
        <v>0</v>
      </c>
      <c r="D91" s="3339">
        <f t="shared" si="98"/>
        <v>0</v>
      </c>
      <c r="E91" s="3339">
        <f t="shared" si="98"/>
        <v>0</v>
      </c>
      <c r="F91" s="3339">
        <f t="shared" si="98"/>
        <v>0</v>
      </c>
      <c r="G91" s="3339">
        <f t="shared" si="98"/>
        <v>0</v>
      </c>
      <c r="H91" s="3338">
        <f t="shared" si="98"/>
        <v>0</v>
      </c>
      <c r="I91" s="3339">
        <f t="shared" si="98"/>
        <v>0</v>
      </c>
      <c r="J91" s="3339">
        <f t="shared" si="98"/>
        <v>0</v>
      </c>
      <c r="K91" s="3339">
        <f t="shared" si="98"/>
        <v>0</v>
      </c>
      <c r="L91" s="3339">
        <f t="shared" si="98"/>
        <v>0</v>
      </c>
      <c r="M91" s="3338">
        <f t="shared" si="98"/>
        <v>0</v>
      </c>
      <c r="N91" s="3339">
        <f t="shared" si="98"/>
        <v>0</v>
      </c>
      <c r="O91" s="3339">
        <f t="shared" si="98"/>
        <v>0</v>
      </c>
      <c r="P91" s="3339">
        <f t="shared" si="98"/>
        <v>0</v>
      </c>
      <c r="Q91" s="3339">
        <f t="shared" si="98"/>
        <v>0</v>
      </c>
      <c r="R91" s="3338">
        <f t="shared" si="98"/>
        <v>0</v>
      </c>
      <c r="S91" s="3339">
        <f t="shared" si="98"/>
        <v>0</v>
      </c>
      <c r="T91" s="3339">
        <f t="shared" si="98"/>
        <v>0</v>
      </c>
      <c r="U91" s="3339">
        <f t="shared" si="98"/>
        <v>0</v>
      </c>
      <c r="V91" s="3339">
        <f t="shared" si="98"/>
        <v>0</v>
      </c>
      <c r="W91" s="3338">
        <f t="shared" si="98"/>
        <v>0</v>
      </c>
      <c r="X91" s="3339">
        <f t="shared" si="98"/>
        <v>0</v>
      </c>
      <c r="Y91" s="3339">
        <f t="shared" si="98"/>
        <v>0</v>
      </c>
      <c r="Z91" s="3339">
        <f t="shared" si="98"/>
        <v>0</v>
      </c>
      <c r="AA91" s="3339">
        <f t="shared" si="98"/>
        <v>0</v>
      </c>
      <c r="AB91" s="4775"/>
      <c r="AC91" s="4830">
        <f>IFERROR(C91/$D$1,0)</f>
        <v>0</v>
      </c>
      <c r="AD91" s="4831">
        <f t="shared" ref="AD91:AD101" si="99">IFERROR(D91/$D$1,0)</f>
        <v>0</v>
      </c>
      <c r="AE91" s="4831">
        <f t="shared" ref="AE91:AE101" si="100">IFERROR(E91/$D$1,0)</f>
        <v>0</v>
      </c>
      <c r="AF91" s="4831">
        <f t="shared" ref="AF91:AF101" si="101">IFERROR(F91/$D$1,0)</f>
        <v>0</v>
      </c>
      <c r="AG91" s="4831">
        <f t="shared" ref="AG91:AG101" si="102">IFERROR(G91/$D$1,0)</f>
        <v>0</v>
      </c>
      <c r="AH91" s="4831">
        <f t="shared" ref="AH91:AH101" si="103">IFERROR(H91/$D$1,0)</f>
        <v>0</v>
      </c>
      <c r="AI91" s="4831">
        <f t="shared" ref="AI91:AI101" si="104">IFERROR(I91/$D$1,0)</f>
        <v>0</v>
      </c>
      <c r="AJ91" s="4831">
        <f t="shared" ref="AJ91:AJ101" si="105">IFERROR(J91/$D$1,0)</f>
        <v>0</v>
      </c>
      <c r="AK91" s="4831">
        <f t="shared" ref="AK91:AK101" si="106">IFERROR(K91/$D$1,0)</f>
        <v>0</v>
      </c>
      <c r="AL91" s="4831">
        <f t="shared" ref="AL91:AL101" si="107">IFERROR(L91/$D$1,0)</f>
        <v>0</v>
      </c>
      <c r="AM91" s="4831">
        <f t="shared" ref="AM91:AM101" si="108">IFERROR(M91/$D$1,0)</f>
        <v>0</v>
      </c>
      <c r="AN91" s="4831">
        <f t="shared" ref="AN91:AN101" si="109">IFERROR(N91/$D$1,0)</f>
        <v>0</v>
      </c>
      <c r="AO91" s="4831">
        <f t="shared" ref="AO91:AO101" si="110">IFERROR(O91/$D$1,0)</f>
        <v>0</v>
      </c>
      <c r="AP91" s="4831">
        <f t="shared" ref="AP91:AP101" si="111">IFERROR(P91/$D$1,0)</f>
        <v>0</v>
      </c>
      <c r="AQ91" s="4831">
        <f t="shared" ref="AQ91:AQ101" si="112">IFERROR(Q91/$D$1,0)</f>
        <v>0</v>
      </c>
      <c r="AR91" s="4831">
        <f t="shared" ref="AR91:AR101" si="113">IFERROR(R91/$D$1,0)</f>
        <v>0</v>
      </c>
      <c r="AS91" s="4831">
        <f t="shared" ref="AS91:AS101" si="114">IFERROR(S91/$D$1,0)</f>
        <v>0</v>
      </c>
      <c r="AT91" s="4831">
        <f t="shared" ref="AT91:AT101" si="115">IFERROR(T91/$D$1,0)</f>
        <v>0</v>
      </c>
      <c r="AU91" s="4831">
        <f t="shared" ref="AU91:AU101" si="116">IFERROR(U91/$D$1,0)</f>
        <v>0</v>
      </c>
      <c r="AV91" s="4831">
        <f t="shared" ref="AV91:AV101" si="117">IFERROR(V91/$D$1,0)</f>
        <v>0</v>
      </c>
      <c r="AW91" s="4831">
        <f t="shared" ref="AW91:AW101" si="118">IFERROR(W91/$D$1,0)</f>
        <v>0</v>
      </c>
      <c r="AX91" s="4831">
        <f t="shared" ref="AX91:AX101" si="119">IFERROR(X91/$D$1,0)</f>
        <v>0</v>
      </c>
      <c r="AY91" s="4831">
        <f t="shared" ref="AY91:AY101" si="120">IFERROR(Y91/$D$1,0)</f>
        <v>0</v>
      </c>
      <c r="AZ91" s="4831">
        <f t="shared" ref="AZ91:AZ101" si="121">IFERROR(Z91/$D$1,0)</f>
        <v>0</v>
      </c>
      <c r="BA91" s="4831">
        <f t="shared" ref="BA91:BA101" si="122">IFERROR(AA91/$D$1,0)</f>
        <v>0</v>
      </c>
    </row>
    <row r="92" spans="1:53" ht="12.75" customHeight="1" thickBot="1">
      <c r="A92" s="5527" t="s">
        <v>1451</v>
      </c>
      <c r="B92" s="5528"/>
      <c r="C92" s="3332"/>
      <c r="D92" s="3333"/>
      <c r="E92" s="3333"/>
      <c r="F92" s="3333"/>
      <c r="G92" s="3333"/>
      <c r="H92" s="3332"/>
      <c r="I92" s="3333"/>
      <c r="J92" s="3333"/>
      <c r="K92" s="3333"/>
      <c r="L92" s="3333"/>
      <c r="M92" s="3332"/>
      <c r="N92" s="3333"/>
      <c r="O92" s="3333"/>
      <c r="P92" s="3333"/>
      <c r="Q92" s="3333"/>
      <c r="R92" s="3332"/>
      <c r="S92" s="3333"/>
      <c r="T92" s="3333"/>
      <c r="U92" s="3333"/>
      <c r="V92" s="3333"/>
      <c r="W92" s="3332"/>
      <c r="X92" s="3333"/>
      <c r="Y92" s="3333"/>
      <c r="Z92" s="3333"/>
      <c r="AA92" s="3333"/>
      <c r="AB92" s="4775"/>
      <c r="AC92" s="4835">
        <f t="shared" ref="AC92:AC101" si="123">IFERROR(C92/$D$1,0)</f>
        <v>0</v>
      </c>
      <c r="AD92" s="4835">
        <f t="shared" si="99"/>
        <v>0</v>
      </c>
      <c r="AE92" s="4835">
        <f t="shared" si="100"/>
        <v>0</v>
      </c>
      <c r="AF92" s="4835">
        <f t="shared" si="101"/>
        <v>0</v>
      </c>
      <c r="AG92" s="4835">
        <f t="shared" si="102"/>
        <v>0</v>
      </c>
      <c r="AH92" s="4835">
        <f t="shared" si="103"/>
        <v>0</v>
      </c>
      <c r="AI92" s="4835">
        <f t="shared" si="104"/>
        <v>0</v>
      </c>
      <c r="AJ92" s="4835">
        <f t="shared" si="105"/>
        <v>0</v>
      </c>
      <c r="AK92" s="4835">
        <f t="shared" si="106"/>
        <v>0</v>
      </c>
      <c r="AL92" s="4835">
        <f t="shared" si="107"/>
        <v>0</v>
      </c>
      <c r="AM92" s="4835">
        <f t="shared" si="108"/>
        <v>0</v>
      </c>
      <c r="AN92" s="4835">
        <f t="shared" si="109"/>
        <v>0</v>
      </c>
      <c r="AO92" s="4835">
        <f t="shared" si="110"/>
        <v>0</v>
      </c>
      <c r="AP92" s="4835">
        <f t="shared" si="111"/>
        <v>0</v>
      </c>
      <c r="AQ92" s="4835">
        <f t="shared" si="112"/>
        <v>0</v>
      </c>
      <c r="AR92" s="4835">
        <f t="shared" si="113"/>
        <v>0</v>
      </c>
      <c r="AS92" s="4835">
        <f t="shared" si="114"/>
        <v>0</v>
      </c>
      <c r="AT92" s="4835">
        <f t="shared" si="115"/>
        <v>0</v>
      </c>
      <c r="AU92" s="4835">
        <f t="shared" si="116"/>
        <v>0</v>
      </c>
      <c r="AV92" s="4835">
        <f t="shared" si="117"/>
        <v>0</v>
      </c>
      <c r="AW92" s="4835">
        <f t="shared" si="118"/>
        <v>0</v>
      </c>
      <c r="AX92" s="4835">
        <f t="shared" si="119"/>
        <v>0</v>
      </c>
      <c r="AY92" s="4835">
        <f t="shared" si="120"/>
        <v>0</v>
      </c>
      <c r="AZ92" s="4835">
        <f t="shared" si="121"/>
        <v>0</v>
      </c>
      <c r="BA92" s="4835">
        <f t="shared" si="122"/>
        <v>0</v>
      </c>
    </row>
    <row r="93" spans="1:53" ht="13.5" thickBot="1">
      <c r="A93" s="5529" t="s">
        <v>1463</v>
      </c>
      <c r="B93" s="5530"/>
      <c r="C93" s="3332"/>
      <c r="D93" s="3333"/>
      <c r="E93" s="3333"/>
      <c r="F93" s="3333"/>
      <c r="G93" s="3333"/>
      <c r="H93" s="3332"/>
      <c r="I93" s="3333"/>
      <c r="J93" s="3333"/>
      <c r="K93" s="3333"/>
      <c r="L93" s="3333"/>
      <c r="M93" s="3332"/>
      <c r="N93" s="3333"/>
      <c r="O93" s="3333"/>
      <c r="P93" s="3333"/>
      <c r="Q93" s="3333"/>
      <c r="R93" s="3332"/>
      <c r="S93" s="3333"/>
      <c r="T93" s="3333"/>
      <c r="U93" s="3333"/>
      <c r="V93" s="3333"/>
      <c r="W93" s="3332"/>
      <c r="X93" s="3333"/>
      <c r="Y93" s="3333"/>
      <c r="Z93" s="3333"/>
      <c r="AA93" s="3333"/>
      <c r="AB93" s="4775"/>
      <c r="AC93" s="4835">
        <f t="shared" si="123"/>
        <v>0</v>
      </c>
      <c r="AD93" s="4835">
        <f t="shared" si="99"/>
        <v>0</v>
      </c>
      <c r="AE93" s="4835">
        <f t="shared" si="100"/>
        <v>0</v>
      </c>
      <c r="AF93" s="4835">
        <f t="shared" si="101"/>
        <v>0</v>
      </c>
      <c r="AG93" s="4835">
        <f t="shared" si="102"/>
        <v>0</v>
      </c>
      <c r="AH93" s="4835">
        <f t="shared" si="103"/>
        <v>0</v>
      </c>
      <c r="AI93" s="4835">
        <f t="shared" si="104"/>
        <v>0</v>
      </c>
      <c r="AJ93" s="4835">
        <f t="shared" si="105"/>
        <v>0</v>
      </c>
      <c r="AK93" s="4835">
        <f t="shared" si="106"/>
        <v>0</v>
      </c>
      <c r="AL93" s="4835">
        <f t="shared" si="107"/>
        <v>0</v>
      </c>
      <c r="AM93" s="4835">
        <f t="shared" si="108"/>
        <v>0</v>
      </c>
      <c r="AN93" s="4835">
        <f t="shared" si="109"/>
        <v>0</v>
      </c>
      <c r="AO93" s="4835">
        <f t="shared" si="110"/>
        <v>0</v>
      </c>
      <c r="AP93" s="4835">
        <f t="shared" si="111"/>
        <v>0</v>
      </c>
      <c r="AQ93" s="4835">
        <f t="shared" si="112"/>
        <v>0</v>
      </c>
      <c r="AR93" s="4835">
        <f t="shared" si="113"/>
        <v>0</v>
      </c>
      <c r="AS93" s="4835">
        <f t="shared" si="114"/>
        <v>0</v>
      </c>
      <c r="AT93" s="4835">
        <f t="shared" si="115"/>
        <v>0</v>
      </c>
      <c r="AU93" s="4835">
        <f t="shared" si="116"/>
        <v>0</v>
      </c>
      <c r="AV93" s="4835">
        <f t="shared" si="117"/>
        <v>0</v>
      </c>
      <c r="AW93" s="4835">
        <f t="shared" si="118"/>
        <v>0</v>
      </c>
      <c r="AX93" s="4835">
        <f t="shared" si="119"/>
        <v>0</v>
      </c>
      <c r="AY93" s="4835">
        <f t="shared" si="120"/>
        <v>0</v>
      </c>
      <c r="AZ93" s="4835">
        <f t="shared" si="121"/>
        <v>0</v>
      </c>
      <c r="BA93" s="4835">
        <f t="shared" si="122"/>
        <v>0</v>
      </c>
    </row>
    <row r="94" spans="1:53" ht="12.75" customHeight="1" thickBot="1">
      <c r="A94" s="5502" t="s">
        <v>1453</v>
      </c>
      <c r="B94" s="5503"/>
      <c r="C94" s="3332"/>
      <c r="D94" s="3333"/>
      <c r="E94" s="3333"/>
      <c r="F94" s="3333"/>
      <c r="G94" s="3333"/>
      <c r="H94" s="3332"/>
      <c r="I94" s="3333"/>
      <c r="J94" s="3333"/>
      <c r="K94" s="3333"/>
      <c r="L94" s="3333"/>
      <c r="M94" s="3332"/>
      <c r="N94" s="3333"/>
      <c r="O94" s="3333"/>
      <c r="P94" s="3333"/>
      <c r="Q94" s="3333"/>
      <c r="R94" s="3332"/>
      <c r="S94" s="3333"/>
      <c r="T94" s="3333"/>
      <c r="U94" s="3333"/>
      <c r="V94" s="3333"/>
      <c r="W94" s="3332"/>
      <c r="X94" s="3333"/>
      <c r="Y94" s="3333"/>
      <c r="Z94" s="3333"/>
      <c r="AA94" s="3333"/>
      <c r="AB94" s="4775"/>
      <c r="AC94" s="4835">
        <f t="shared" si="123"/>
        <v>0</v>
      </c>
      <c r="AD94" s="4835">
        <f t="shared" si="99"/>
        <v>0</v>
      </c>
      <c r="AE94" s="4835">
        <f t="shared" si="100"/>
        <v>0</v>
      </c>
      <c r="AF94" s="4835">
        <f t="shared" si="101"/>
        <v>0</v>
      </c>
      <c r="AG94" s="4835">
        <f t="shared" si="102"/>
        <v>0</v>
      </c>
      <c r="AH94" s="4835">
        <f t="shared" si="103"/>
        <v>0</v>
      </c>
      <c r="AI94" s="4835">
        <f t="shared" si="104"/>
        <v>0</v>
      </c>
      <c r="AJ94" s="4835">
        <f t="shared" si="105"/>
        <v>0</v>
      </c>
      <c r="AK94" s="4835">
        <f t="shared" si="106"/>
        <v>0</v>
      </c>
      <c r="AL94" s="4835">
        <f t="shared" si="107"/>
        <v>0</v>
      </c>
      <c r="AM94" s="4835">
        <f t="shared" si="108"/>
        <v>0</v>
      </c>
      <c r="AN94" s="4835">
        <f t="shared" si="109"/>
        <v>0</v>
      </c>
      <c r="AO94" s="4835">
        <f t="shared" si="110"/>
        <v>0</v>
      </c>
      <c r="AP94" s="4835">
        <f t="shared" si="111"/>
        <v>0</v>
      </c>
      <c r="AQ94" s="4835">
        <f t="shared" si="112"/>
        <v>0</v>
      </c>
      <c r="AR94" s="4835">
        <f t="shared" si="113"/>
        <v>0</v>
      </c>
      <c r="AS94" s="4835">
        <f t="shared" si="114"/>
        <v>0</v>
      </c>
      <c r="AT94" s="4835">
        <f t="shared" si="115"/>
        <v>0</v>
      </c>
      <c r="AU94" s="4835">
        <f t="shared" si="116"/>
        <v>0</v>
      </c>
      <c r="AV94" s="4835">
        <f t="shared" si="117"/>
        <v>0</v>
      </c>
      <c r="AW94" s="4835">
        <f t="shared" si="118"/>
        <v>0</v>
      </c>
      <c r="AX94" s="4835">
        <f t="shared" si="119"/>
        <v>0</v>
      </c>
      <c r="AY94" s="4835">
        <f t="shared" si="120"/>
        <v>0</v>
      </c>
      <c r="AZ94" s="4835">
        <f t="shared" si="121"/>
        <v>0</v>
      </c>
      <c r="BA94" s="4835">
        <f t="shared" si="122"/>
        <v>0</v>
      </c>
    </row>
    <row r="95" spans="1:53" ht="12.75" customHeight="1" thickBot="1">
      <c r="A95" s="5502" t="s">
        <v>1454</v>
      </c>
      <c r="B95" s="5503"/>
      <c r="C95" s="3332"/>
      <c r="D95" s="3333"/>
      <c r="E95" s="3333"/>
      <c r="F95" s="3333"/>
      <c r="G95" s="3333"/>
      <c r="H95" s="3332"/>
      <c r="I95" s="3333"/>
      <c r="J95" s="3333"/>
      <c r="K95" s="3333"/>
      <c r="L95" s="3333"/>
      <c r="M95" s="3332"/>
      <c r="N95" s="3333"/>
      <c r="O95" s="3333"/>
      <c r="P95" s="3333"/>
      <c r="Q95" s="3333"/>
      <c r="R95" s="3332"/>
      <c r="S95" s="3333"/>
      <c r="T95" s="3333"/>
      <c r="U95" s="3333"/>
      <c r="V95" s="3333"/>
      <c r="W95" s="3332"/>
      <c r="X95" s="3333"/>
      <c r="Y95" s="3333"/>
      <c r="Z95" s="3333"/>
      <c r="AA95" s="3333"/>
      <c r="AB95" s="4775"/>
      <c r="AC95" s="4835">
        <f t="shared" si="123"/>
        <v>0</v>
      </c>
      <c r="AD95" s="4835">
        <f t="shared" si="99"/>
        <v>0</v>
      </c>
      <c r="AE95" s="4835">
        <f t="shared" si="100"/>
        <v>0</v>
      </c>
      <c r="AF95" s="4835">
        <f t="shared" si="101"/>
        <v>0</v>
      </c>
      <c r="AG95" s="4835">
        <f t="shared" si="102"/>
        <v>0</v>
      </c>
      <c r="AH95" s="4835">
        <f t="shared" si="103"/>
        <v>0</v>
      </c>
      <c r="AI95" s="4835">
        <f t="shared" si="104"/>
        <v>0</v>
      </c>
      <c r="AJ95" s="4835">
        <f t="shared" si="105"/>
        <v>0</v>
      </c>
      <c r="AK95" s="4835">
        <f t="shared" si="106"/>
        <v>0</v>
      </c>
      <c r="AL95" s="4835">
        <f t="shared" si="107"/>
        <v>0</v>
      </c>
      <c r="AM95" s="4835">
        <f t="shared" si="108"/>
        <v>0</v>
      </c>
      <c r="AN95" s="4835">
        <f t="shared" si="109"/>
        <v>0</v>
      </c>
      <c r="AO95" s="4835">
        <f t="shared" si="110"/>
        <v>0</v>
      </c>
      <c r="AP95" s="4835">
        <f t="shared" si="111"/>
        <v>0</v>
      </c>
      <c r="AQ95" s="4835">
        <f t="shared" si="112"/>
        <v>0</v>
      </c>
      <c r="AR95" s="4835">
        <f t="shared" si="113"/>
        <v>0</v>
      </c>
      <c r="AS95" s="4835">
        <f t="shared" si="114"/>
        <v>0</v>
      </c>
      <c r="AT95" s="4835">
        <f t="shared" si="115"/>
        <v>0</v>
      </c>
      <c r="AU95" s="4835">
        <f t="shared" si="116"/>
        <v>0</v>
      </c>
      <c r="AV95" s="4835">
        <f t="shared" si="117"/>
        <v>0</v>
      </c>
      <c r="AW95" s="4835">
        <f t="shared" si="118"/>
        <v>0</v>
      </c>
      <c r="AX95" s="4835">
        <f t="shared" si="119"/>
        <v>0</v>
      </c>
      <c r="AY95" s="4835">
        <f t="shared" si="120"/>
        <v>0</v>
      </c>
      <c r="AZ95" s="4835">
        <f t="shared" si="121"/>
        <v>0</v>
      </c>
      <c r="BA95" s="4835">
        <f t="shared" si="122"/>
        <v>0</v>
      </c>
    </row>
    <row r="96" spans="1:53" ht="12.75" customHeight="1" thickBot="1">
      <c r="A96" s="5502" t="s">
        <v>1455</v>
      </c>
      <c r="B96" s="5503"/>
      <c r="C96" s="3332"/>
      <c r="D96" s="3333"/>
      <c r="E96" s="3333"/>
      <c r="F96" s="3333"/>
      <c r="G96" s="3333"/>
      <c r="H96" s="3332"/>
      <c r="I96" s="3333"/>
      <c r="J96" s="3333"/>
      <c r="K96" s="3333"/>
      <c r="L96" s="3333"/>
      <c r="M96" s="3332"/>
      <c r="N96" s="3333"/>
      <c r="O96" s="3333"/>
      <c r="P96" s="3333"/>
      <c r="Q96" s="3333"/>
      <c r="R96" s="3332"/>
      <c r="S96" s="3333"/>
      <c r="T96" s="3333"/>
      <c r="U96" s="3333"/>
      <c r="V96" s="3333"/>
      <c r="W96" s="3332"/>
      <c r="X96" s="3333"/>
      <c r="Y96" s="3333"/>
      <c r="Z96" s="3333"/>
      <c r="AA96" s="3333"/>
      <c r="AB96" s="4775"/>
      <c r="AC96" s="4835">
        <f t="shared" si="123"/>
        <v>0</v>
      </c>
      <c r="AD96" s="4835">
        <f t="shared" si="99"/>
        <v>0</v>
      </c>
      <c r="AE96" s="4835">
        <f t="shared" si="100"/>
        <v>0</v>
      </c>
      <c r="AF96" s="4835">
        <f t="shared" si="101"/>
        <v>0</v>
      </c>
      <c r="AG96" s="4835">
        <f t="shared" si="102"/>
        <v>0</v>
      </c>
      <c r="AH96" s="4835">
        <f t="shared" si="103"/>
        <v>0</v>
      </c>
      <c r="AI96" s="4835">
        <f t="shared" si="104"/>
        <v>0</v>
      </c>
      <c r="AJ96" s="4835">
        <f t="shared" si="105"/>
        <v>0</v>
      </c>
      <c r="AK96" s="4835">
        <f t="shared" si="106"/>
        <v>0</v>
      </c>
      <c r="AL96" s="4835">
        <f t="shared" si="107"/>
        <v>0</v>
      </c>
      <c r="AM96" s="4835">
        <f t="shared" si="108"/>
        <v>0</v>
      </c>
      <c r="AN96" s="4835">
        <f t="shared" si="109"/>
        <v>0</v>
      </c>
      <c r="AO96" s="4835">
        <f t="shared" si="110"/>
        <v>0</v>
      </c>
      <c r="AP96" s="4835">
        <f t="shared" si="111"/>
        <v>0</v>
      </c>
      <c r="AQ96" s="4835">
        <f t="shared" si="112"/>
        <v>0</v>
      </c>
      <c r="AR96" s="4835">
        <f t="shared" si="113"/>
        <v>0</v>
      </c>
      <c r="AS96" s="4835">
        <f t="shared" si="114"/>
        <v>0</v>
      </c>
      <c r="AT96" s="4835">
        <f t="shared" si="115"/>
        <v>0</v>
      </c>
      <c r="AU96" s="4835">
        <f t="shared" si="116"/>
        <v>0</v>
      </c>
      <c r="AV96" s="4835">
        <f t="shared" si="117"/>
        <v>0</v>
      </c>
      <c r="AW96" s="4835">
        <f t="shared" si="118"/>
        <v>0</v>
      </c>
      <c r="AX96" s="4835">
        <f t="shared" si="119"/>
        <v>0</v>
      </c>
      <c r="AY96" s="4835">
        <f t="shared" si="120"/>
        <v>0</v>
      </c>
      <c r="AZ96" s="4835">
        <f t="shared" si="121"/>
        <v>0</v>
      </c>
      <c r="BA96" s="4835">
        <f t="shared" si="122"/>
        <v>0</v>
      </c>
    </row>
    <row r="97" spans="1:53" ht="13.5" thickBot="1">
      <c r="A97" s="5508" t="s">
        <v>1456</v>
      </c>
      <c r="B97" s="5509"/>
      <c r="C97" s="3332"/>
      <c r="D97" s="3333"/>
      <c r="E97" s="3333"/>
      <c r="F97" s="3333"/>
      <c r="G97" s="3333"/>
      <c r="H97" s="3332"/>
      <c r="I97" s="3333"/>
      <c r="J97" s="3333"/>
      <c r="K97" s="3333"/>
      <c r="L97" s="3333"/>
      <c r="M97" s="3332"/>
      <c r="N97" s="3333"/>
      <c r="O97" s="3333"/>
      <c r="P97" s="3333"/>
      <c r="Q97" s="3333"/>
      <c r="R97" s="3332"/>
      <c r="S97" s="3333"/>
      <c r="T97" s="3333"/>
      <c r="U97" s="3333"/>
      <c r="V97" s="3333"/>
      <c r="W97" s="3332"/>
      <c r="X97" s="3333"/>
      <c r="Y97" s="3333"/>
      <c r="Z97" s="3333"/>
      <c r="AA97" s="3333"/>
      <c r="AB97" s="4775"/>
      <c r="AC97" s="4835">
        <f t="shared" si="123"/>
        <v>0</v>
      </c>
      <c r="AD97" s="4835">
        <f t="shared" si="99"/>
        <v>0</v>
      </c>
      <c r="AE97" s="4835">
        <f t="shared" si="100"/>
        <v>0</v>
      </c>
      <c r="AF97" s="4835">
        <f t="shared" si="101"/>
        <v>0</v>
      </c>
      <c r="AG97" s="4835">
        <f t="shared" si="102"/>
        <v>0</v>
      </c>
      <c r="AH97" s="4835">
        <f t="shared" si="103"/>
        <v>0</v>
      </c>
      <c r="AI97" s="4835">
        <f t="shared" si="104"/>
        <v>0</v>
      </c>
      <c r="AJ97" s="4835">
        <f t="shared" si="105"/>
        <v>0</v>
      </c>
      <c r="AK97" s="4835">
        <f t="shared" si="106"/>
        <v>0</v>
      </c>
      <c r="AL97" s="4835">
        <f t="shared" si="107"/>
        <v>0</v>
      </c>
      <c r="AM97" s="4835">
        <f t="shared" si="108"/>
        <v>0</v>
      </c>
      <c r="AN97" s="4835">
        <f t="shared" si="109"/>
        <v>0</v>
      </c>
      <c r="AO97" s="4835">
        <f t="shared" si="110"/>
        <v>0</v>
      </c>
      <c r="AP97" s="4835">
        <f t="shared" si="111"/>
        <v>0</v>
      </c>
      <c r="AQ97" s="4835">
        <f t="shared" si="112"/>
        <v>0</v>
      </c>
      <c r="AR97" s="4835">
        <f t="shared" si="113"/>
        <v>0</v>
      </c>
      <c r="AS97" s="4835">
        <f t="shared" si="114"/>
        <v>0</v>
      </c>
      <c r="AT97" s="4835">
        <f t="shared" si="115"/>
        <v>0</v>
      </c>
      <c r="AU97" s="4835">
        <f t="shared" si="116"/>
        <v>0</v>
      </c>
      <c r="AV97" s="4835">
        <f t="shared" si="117"/>
        <v>0</v>
      </c>
      <c r="AW97" s="4835">
        <f t="shared" si="118"/>
        <v>0</v>
      </c>
      <c r="AX97" s="4835">
        <f t="shared" si="119"/>
        <v>0</v>
      </c>
      <c r="AY97" s="4835">
        <f t="shared" si="120"/>
        <v>0</v>
      </c>
      <c r="AZ97" s="4835">
        <f t="shared" si="121"/>
        <v>0</v>
      </c>
      <c r="BA97" s="4835">
        <f t="shared" si="122"/>
        <v>0</v>
      </c>
    </row>
    <row r="98" spans="1:53" ht="12.75" customHeight="1" thickBot="1">
      <c r="A98" s="5519" t="s">
        <v>1457</v>
      </c>
      <c r="B98" s="5520"/>
      <c r="C98" s="3332"/>
      <c r="D98" s="3333"/>
      <c r="E98" s="3333"/>
      <c r="F98" s="3333"/>
      <c r="G98" s="3333"/>
      <c r="H98" s="3332"/>
      <c r="I98" s="3333"/>
      <c r="J98" s="3333"/>
      <c r="K98" s="3333"/>
      <c r="L98" s="3333"/>
      <c r="M98" s="3332"/>
      <c r="N98" s="3333"/>
      <c r="O98" s="3333"/>
      <c r="P98" s="3333"/>
      <c r="Q98" s="3333"/>
      <c r="R98" s="3332"/>
      <c r="S98" s="3333"/>
      <c r="T98" s="3333"/>
      <c r="U98" s="3333"/>
      <c r="V98" s="3333"/>
      <c r="W98" s="3332"/>
      <c r="X98" s="3333"/>
      <c r="Y98" s="3333"/>
      <c r="Z98" s="3333"/>
      <c r="AA98" s="3333"/>
      <c r="AB98" s="4775"/>
      <c r="AC98" s="4835">
        <f t="shared" si="123"/>
        <v>0</v>
      </c>
      <c r="AD98" s="4835">
        <f t="shared" si="99"/>
        <v>0</v>
      </c>
      <c r="AE98" s="4835">
        <f t="shared" si="100"/>
        <v>0</v>
      </c>
      <c r="AF98" s="4835">
        <f t="shared" si="101"/>
        <v>0</v>
      </c>
      <c r="AG98" s="4835">
        <f t="shared" si="102"/>
        <v>0</v>
      </c>
      <c r="AH98" s="4835">
        <f t="shared" si="103"/>
        <v>0</v>
      </c>
      <c r="AI98" s="4835">
        <f t="shared" si="104"/>
        <v>0</v>
      </c>
      <c r="AJ98" s="4835">
        <f t="shared" si="105"/>
        <v>0</v>
      </c>
      <c r="AK98" s="4835">
        <f t="shared" si="106"/>
        <v>0</v>
      </c>
      <c r="AL98" s="4835">
        <f t="shared" si="107"/>
        <v>0</v>
      </c>
      <c r="AM98" s="4835">
        <f t="shared" si="108"/>
        <v>0</v>
      </c>
      <c r="AN98" s="4835">
        <f t="shared" si="109"/>
        <v>0</v>
      </c>
      <c r="AO98" s="4835">
        <f t="shared" si="110"/>
        <v>0</v>
      </c>
      <c r="AP98" s="4835">
        <f t="shared" si="111"/>
        <v>0</v>
      </c>
      <c r="AQ98" s="4835">
        <f t="shared" si="112"/>
        <v>0</v>
      </c>
      <c r="AR98" s="4835">
        <f t="shared" si="113"/>
        <v>0</v>
      </c>
      <c r="AS98" s="4835">
        <f t="shared" si="114"/>
        <v>0</v>
      </c>
      <c r="AT98" s="4835">
        <f t="shared" si="115"/>
        <v>0</v>
      </c>
      <c r="AU98" s="4835">
        <f t="shared" si="116"/>
        <v>0</v>
      </c>
      <c r="AV98" s="4835">
        <f t="shared" si="117"/>
        <v>0</v>
      </c>
      <c r="AW98" s="4835">
        <f t="shared" si="118"/>
        <v>0</v>
      </c>
      <c r="AX98" s="4835">
        <f t="shared" si="119"/>
        <v>0</v>
      </c>
      <c r="AY98" s="4835">
        <f t="shared" si="120"/>
        <v>0</v>
      </c>
      <c r="AZ98" s="4835">
        <f t="shared" si="121"/>
        <v>0</v>
      </c>
      <c r="BA98" s="4835">
        <f t="shared" si="122"/>
        <v>0</v>
      </c>
    </row>
    <row r="99" spans="1:53" ht="12.75" customHeight="1" thickBot="1">
      <c r="A99" s="5519" t="s">
        <v>1458</v>
      </c>
      <c r="B99" s="5520"/>
      <c r="C99" s="3332"/>
      <c r="D99" s="3333"/>
      <c r="E99" s="3333"/>
      <c r="F99" s="3333"/>
      <c r="G99" s="3333"/>
      <c r="H99" s="3332"/>
      <c r="I99" s="3333"/>
      <c r="J99" s="3333"/>
      <c r="K99" s="3333"/>
      <c r="L99" s="3333"/>
      <c r="M99" s="3332"/>
      <c r="N99" s="3333"/>
      <c r="O99" s="3333"/>
      <c r="P99" s="3333"/>
      <c r="Q99" s="3333"/>
      <c r="R99" s="3332"/>
      <c r="S99" s="3333"/>
      <c r="T99" s="3333"/>
      <c r="U99" s="3333"/>
      <c r="V99" s="3333"/>
      <c r="W99" s="3332"/>
      <c r="X99" s="3333"/>
      <c r="Y99" s="3333"/>
      <c r="Z99" s="3333"/>
      <c r="AA99" s="3333"/>
      <c r="AB99" s="4775"/>
      <c r="AC99" s="4835">
        <f t="shared" si="123"/>
        <v>0</v>
      </c>
      <c r="AD99" s="4835">
        <f t="shared" si="99"/>
        <v>0</v>
      </c>
      <c r="AE99" s="4835">
        <f t="shared" si="100"/>
        <v>0</v>
      </c>
      <c r="AF99" s="4835">
        <f t="shared" si="101"/>
        <v>0</v>
      </c>
      <c r="AG99" s="4835">
        <f t="shared" si="102"/>
        <v>0</v>
      </c>
      <c r="AH99" s="4835">
        <f t="shared" si="103"/>
        <v>0</v>
      </c>
      <c r="AI99" s="4835">
        <f t="shared" si="104"/>
        <v>0</v>
      </c>
      <c r="AJ99" s="4835">
        <f t="shared" si="105"/>
        <v>0</v>
      </c>
      <c r="AK99" s="4835">
        <f t="shared" si="106"/>
        <v>0</v>
      </c>
      <c r="AL99" s="4835">
        <f t="shared" si="107"/>
        <v>0</v>
      </c>
      <c r="AM99" s="4835">
        <f t="shared" si="108"/>
        <v>0</v>
      </c>
      <c r="AN99" s="4835">
        <f t="shared" si="109"/>
        <v>0</v>
      </c>
      <c r="AO99" s="4835">
        <f t="shared" si="110"/>
        <v>0</v>
      </c>
      <c r="AP99" s="4835">
        <f t="shared" si="111"/>
        <v>0</v>
      </c>
      <c r="AQ99" s="4835">
        <f t="shared" si="112"/>
        <v>0</v>
      </c>
      <c r="AR99" s="4835">
        <f t="shared" si="113"/>
        <v>0</v>
      </c>
      <c r="AS99" s="4835">
        <f t="shared" si="114"/>
        <v>0</v>
      </c>
      <c r="AT99" s="4835">
        <f t="shared" si="115"/>
        <v>0</v>
      </c>
      <c r="AU99" s="4835">
        <f t="shared" si="116"/>
        <v>0</v>
      </c>
      <c r="AV99" s="4835">
        <f t="shared" si="117"/>
        <v>0</v>
      </c>
      <c r="AW99" s="4835">
        <f t="shared" si="118"/>
        <v>0</v>
      </c>
      <c r="AX99" s="4835">
        <f t="shared" si="119"/>
        <v>0</v>
      </c>
      <c r="AY99" s="4835">
        <f t="shared" si="120"/>
        <v>0</v>
      </c>
      <c r="AZ99" s="4835">
        <f t="shared" si="121"/>
        <v>0</v>
      </c>
      <c r="BA99" s="4835">
        <f t="shared" si="122"/>
        <v>0</v>
      </c>
    </row>
    <row r="100" spans="1:53" ht="12.75" customHeight="1" thickBot="1">
      <c r="A100" s="5519" t="s">
        <v>1459</v>
      </c>
      <c r="B100" s="5520"/>
      <c r="C100" s="3332"/>
      <c r="D100" s="3333"/>
      <c r="E100" s="3333"/>
      <c r="F100" s="3333"/>
      <c r="G100" s="3333"/>
      <c r="H100" s="3332"/>
      <c r="I100" s="3333"/>
      <c r="J100" s="3333"/>
      <c r="K100" s="3333"/>
      <c r="L100" s="3333"/>
      <c r="M100" s="3332"/>
      <c r="N100" s="3333"/>
      <c r="O100" s="3333"/>
      <c r="P100" s="3333"/>
      <c r="Q100" s="3333"/>
      <c r="R100" s="3332"/>
      <c r="S100" s="3333"/>
      <c r="T100" s="3333"/>
      <c r="U100" s="3333"/>
      <c r="V100" s="3333"/>
      <c r="W100" s="3332"/>
      <c r="X100" s="3333"/>
      <c r="Y100" s="3333"/>
      <c r="Z100" s="3333"/>
      <c r="AA100" s="3333"/>
      <c r="AB100" s="4775"/>
      <c r="AC100" s="4835">
        <f t="shared" si="123"/>
        <v>0</v>
      </c>
      <c r="AD100" s="4835">
        <f t="shared" si="99"/>
        <v>0</v>
      </c>
      <c r="AE100" s="4835">
        <f t="shared" si="100"/>
        <v>0</v>
      </c>
      <c r="AF100" s="4835">
        <f t="shared" si="101"/>
        <v>0</v>
      </c>
      <c r="AG100" s="4835">
        <f t="shared" si="102"/>
        <v>0</v>
      </c>
      <c r="AH100" s="4835">
        <f t="shared" si="103"/>
        <v>0</v>
      </c>
      <c r="AI100" s="4835">
        <f t="shared" si="104"/>
        <v>0</v>
      </c>
      <c r="AJ100" s="4835">
        <f t="shared" si="105"/>
        <v>0</v>
      </c>
      <c r="AK100" s="4835">
        <f t="shared" si="106"/>
        <v>0</v>
      </c>
      <c r="AL100" s="4835">
        <f t="shared" si="107"/>
        <v>0</v>
      </c>
      <c r="AM100" s="4835">
        <f t="shared" si="108"/>
        <v>0</v>
      </c>
      <c r="AN100" s="4835">
        <f t="shared" si="109"/>
        <v>0</v>
      </c>
      <c r="AO100" s="4835">
        <f t="shared" si="110"/>
        <v>0</v>
      </c>
      <c r="AP100" s="4835">
        <f t="shared" si="111"/>
        <v>0</v>
      </c>
      <c r="AQ100" s="4835">
        <f t="shared" si="112"/>
        <v>0</v>
      </c>
      <c r="AR100" s="4835">
        <f t="shared" si="113"/>
        <v>0</v>
      </c>
      <c r="AS100" s="4835">
        <f t="shared" si="114"/>
        <v>0</v>
      </c>
      <c r="AT100" s="4835">
        <f t="shared" si="115"/>
        <v>0</v>
      </c>
      <c r="AU100" s="4835">
        <f t="shared" si="116"/>
        <v>0</v>
      </c>
      <c r="AV100" s="4835">
        <f t="shared" si="117"/>
        <v>0</v>
      </c>
      <c r="AW100" s="4835">
        <f t="shared" si="118"/>
        <v>0</v>
      </c>
      <c r="AX100" s="4835">
        <f t="shared" si="119"/>
        <v>0</v>
      </c>
      <c r="AY100" s="4835">
        <f t="shared" si="120"/>
        <v>0</v>
      </c>
      <c r="AZ100" s="4835">
        <f t="shared" si="121"/>
        <v>0</v>
      </c>
      <c r="BA100" s="4835">
        <f t="shared" si="122"/>
        <v>0</v>
      </c>
    </row>
    <row r="101" spans="1:53" ht="13.5" customHeight="1" thickBot="1">
      <c r="A101" s="5521" t="s">
        <v>1460</v>
      </c>
      <c r="B101" s="5522"/>
      <c r="C101" s="3336"/>
      <c r="D101" s="3337"/>
      <c r="E101" s="3337"/>
      <c r="F101" s="3337"/>
      <c r="G101" s="3337"/>
      <c r="H101" s="3336"/>
      <c r="I101" s="3337"/>
      <c r="J101" s="3337"/>
      <c r="K101" s="3337"/>
      <c r="L101" s="3337"/>
      <c r="M101" s="3336"/>
      <c r="N101" s="3337"/>
      <c r="O101" s="3337"/>
      <c r="P101" s="3337"/>
      <c r="Q101" s="3337"/>
      <c r="R101" s="3336"/>
      <c r="S101" s="3337"/>
      <c r="T101" s="3337"/>
      <c r="U101" s="3337"/>
      <c r="V101" s="3337"/>
      <c r="W101" s="3336"/>
      <c r="X101" s="3337"/>
      <c r="Y101" s="3337"/>
      <c r="Z101" s="3337"/>
      <c r="AA101" s="3337"/>
      <c r="AB101" s="4775"/>
      <c r="AC101" s="4835">
        <f t="shared" si="123"/>
        <v>0</v>
      </c>
      <c r="AD101" s="4835">
        <f t="shared" si="99"/>
        <v>0</v>
      </c>
      <c r="AE101" s="4835">
        <f t="shared" si="100"/>
        <v>0</v>
      </c>
      <c r="AF101" s="4835">
        <f t="shared" si="101"/>
        <v>0</v>
      </c>
      <c r="AG101" s="4835">
        <f t="shared" si="102"/>
        <v>0</v>
      </c>
      <c r="AH101" s="4835">
        <f t="shared" si="103"/>
        <v>0</v>
      </c>
      <c r="AI101" s="4835">
        <f t="shared" si="104"/>
        <v>0</v>
      </c>
      <c r="AJ101" s="4835">
        <f t="shared" si="105"/>
        <v>0</v>
      </c>
      <c r="AK101" s="4835">
        <f t="shared" si="106"/>
        <v>0</v>
      </c>
      <c r="AL101" s="4835">
        <f t="shared" si="107"/>
        <v>0</v>
      </c>
      <c r="AM101" s="4835">
        <f t="shared" si="108"/>
        <v>0</v>
      </c>
      <c r="AN101" s="4835">
        <f t="shared" si="109"/>
        <v>0</v>
      </c>
      <c r="AO101" s="4835">
        <f t="shared" si="110"/>
        <v>0</v>
      </c>
      <c r="AP101" s="4835">
        <f t="shared" si="111"/>
        <v>0</v>
      </c>
      <c r="AQ101" s="4835">
        <f t="shared" si="112"/>
        <v>0</v>
      </c>
      <c r="AR101" s="4835">
        <f t="shared" si="113"/>
        <v>0</v>
      </c>
      <c r="AS101" s="4835">
        <f t="shared" si="114"/>
        <v>0</v>
      </c>
      <c r="AT101" s="4835">
        <f t="shared" si="115"/>
        <v>0</v>
      </c>
      <c r="AU101" s="4835">
        <f t="shared" si="116"/>
        <v>0</v>
      </c>
      <c r="AV101" s="4835">
        <f t="shared" si="117"/>
        <v>0</v>
      </c>
      <c r="AW101" s="4835">
        <f t="shared" si="118"/>
        <v>0</v>
      </c>
      <c r="AX101" s="4835">
        <f t="shared" si="119"/>
        <v>0</v>
      </c>
      <c r="AY101" s="4835">
        <f t="shared" si="120"/>
        <v>0</v>
      </c>
      <c r="AZ101" s="4835">
        <f t="shared" si="121"/>
        <v>0</v>
      </c>
      <c r="BA101" s="4835">
        <f t="shared" si="122"/>
        <v>0</v>
      </c>
    </row>
    <row r="102" spans="1:53" ht="20.25" customHeight="1" thickBot="1">
      <c r="A102" s="1551" t="s">
        <v>184</v>
      </c>
      <c r="B102" s="1552"/>
      <c r="C102" s="3340"/>
      <c r="D102" s="3340"/>
      <c r="E102" s="3340"/>
      <c r="F102" s="3340"/>
      <c r="G102" s="3340"/>
      <c r="H102" s="3340"/>
      <c r="I102" s="3340"/>
      <c r="J102" s="3340"/>
      <c r="K102" s="3340"/>
      <c r="L102" s="3340"/>
      <c r="M102" s="3340"/>
      <c r="N102" s="3340"/>
      <c r="O102" s="3340"/>
      <c r="P102" s="3340"/>
      <c r="Q102" s="3340"/>
      <c r="R102" s="3340"/>
      <c r="S102" s="3340"/>
      <c r="T102" s="3340"/>
      <c r="U102" s="3340"/>
      <c r="V102" s="3340"/>
      <c r="W102" s="3340"/>
      <c r="X102" s="3340"/>
      <c r="Y102" s="3340"/>
      <c r="Z102" s="3340"/>
      <c r="AA102" s="3340"/>
      <c r="AB102" s="4775"/>
      <c r="AC102" s="5536" t="str">
        <f>+A102</f>
        <v>Пречистване на отпадъчни води</v>
      </c>
      <c r="AD102" s="5537"/>
      <c r="AE102" s="5537"/>
      <c r="AF102" s="5537"/>
      <c r="AG102" s="5537"/>
      <c r="AH102" s="5537"/>
      <c r="AI102" s="5537"/>
      <c r="AJ102" s="5537"/>
      <c r="AK102" s="5537"/>
      <c r="AL102" s="5537"/>
      <c r="AM102" s="5537"/>
      <c r="AN102" s="5537"/>
      <c r="AO102" s="5537"/>
      <c r="AP102" s="5537"/>
      <c r="AQ102" s="5537"/>
      <c r="AR102" s="5537"/>
      <c r="AS102" s="5537"/>
      <c r="AT102" s="5537"/>
      <c r="AU102" s="5537"/>
      <c r="AV102" s="5537"/>
      <c r="AW102" s="5537"/>
      <c r="AX102" s="5537"/>
      <c r="AY102" s="5537"/>
      <c r="AZ102" s="5537"/>
      <c r="BA102" s="5538"/>
    </row>
    <row r="103" spans="1:53" ht="20.25" customHeight="1" thickBot="1">
      <c r="A103" s="5513" t="s">
        <v>1175</v>
      </c>
      <c r="B103" s="5514"/>
      <c r="C103" s="5515">
        <v>1</v>
      </c>
      <c r="D103" s="5516"/>
      <c r="E103" s="5516"/>
      <c r="F103" s="5516"/>
      <c r="G103" s="5516"/>
      <c r="H103" s="5515">
        <f>C103+1</f>
        <v>2</v>
      </c>
      <c r="I103" s="5516"/>
      <c r="J103" s="5516"/>
      <c r="K103" s="5516"/>
      <c r="L103" s="5516"/>
      <c r="M103" s="5515">
        <f>H103+1</f>
        <v>3</v>
      </c>
      <c r="N103" s="5516"/>
      <c r="O103" s="5516"/>
      <c r="P103" s="5516"/>
      <c r="Q103" s="5516"/>
      <c r="R103" s="5515">
        <f>M103+1</f>
        <v>4</v>
      </c>
      <c r="S103" s="5516"/>
      <c r="T103" s="5516"/>
      <c r="U103" s="5516"/>
      <c r="V103" s="5516"/>
      <c r="W103" s="5515">
        <f>R103+1</f>
        <v>5</v>
      </c>
      <c r="X103" s="5516"/>
      <c r="Y103" s="5516"/>
      <c r="Z103" s="5516"/>
      <c r="AA103" s="5516"/>
      <c r="AB103" s="4775"/>
      <c r="AC103" s="5368">
        <f>+C103</f>
        <v>1</v>
      </c>
      <c r="AD103" s="5368"/>
      <c r="AE103" s="5368"/>
      <c r="AF103" s="5368"/>
      <c r="AG103" s="5368"/>
      <c r="AH103" s="5368">
        <f>+H103</f>
        <v>2</v>
      </c>
      <c r="AI103" s="5368"/>
      <c r="AJ103" s="5368"/>
      <c r="AK103" s="5368"/>
      <c r="AL103" s="5368"/>
      <c r="AM103" s="5368">
        <f>+M103</f>
        <v>3</v>
      </c>
      <c r="AN103" s="5368"/>
      <c r="AO103" s="5368"/>
      <c r="AP103" s="5368"/>
      <c r="AQ103" s="5368"/>
      <c r="AR103" s="5368">
        <f>+R103</f>
        <v>4</v>
      </c>
      <c r="AS103" s="5368"/>
      <c r="AT103" s="5368"/>
      <c r="AU103" s="5368"/>
      <c r="AV103" s="5368"/>
      <c r="AW103" s="5368">
        <f>+W103</f>
        <v>5</v>
      </c>
      <c r="AX103" s="5368"/>
      <c r="AY103" s="5368"/>
      <c r="AZ103" s="5368"/>
      <c r="BA103" s="5368"/>
    </row>
    <row r="104" spans="1:53" ht="12.75" customHeight="1" thickBot="1">
      <c r="A104" s="5510" t="s">
        <v>1297</v>
      </c>
      <c r="B104" s="3326" t="s">
        <v>1446</v>
      </c>
      <c r="C104" s="5506"/>
      <c r="D104" s="5507"/>
      <c r="E104" s="5507"/>
      <c r="F104" s="5507"/>
      <c r="G104" s="5507"/>
      <c r="H104" s="5506"/>
      <c r="I104" s="5507"/>
      <c r="J104" s="5507"/>
      <c r="K104" s="5507"/>
      <c r="L104" s="5507"/>
      <c r="M104" s="5506"/>
      <c r="N104" s="5507"/>
      <c r="O104" s="5507"/>
      <c r="P104" s="5507"/>
      <c r="Q104" s="5507"/>
      <c r="R104" s="5506"/>
      <c r="S104" s="5507"/>
      <c r="T104" s="5507"/>
      <c r="U104" s="5507"/>
      <c r="V104" s="5507"/>
      <c r="W104" s="5506"/>
      <c r="X104" s="5507"/>
      <c r="Y104" s="5507"/>
      <c r="Z104" s="5507"/>
      <c r="AA104" s="5507"/>
      <c r="AB104" s="4775"/>
      <c r="AC104" s="5535" t="str">
        <f>IF(C104=0,"",C104)</f>
        <v/>
      </c>
      <c r="AD104" s="5535"/>
      <c r="AE104" s="5535"/>
      <c r="AF104" s="5535"/>
      <c r="AG104" s="5535"/>
      <c r="AH104" s="5535" t="str">
        <f>IF(H104=0,"",H104)</f>
        <v/>
      </c>
      <c r="AI104" s="5535"/>
      <c r="AJ104" s="5535"/>
      <c r="AK104" s="5535"/>
      <c r="AL104" s="5535"/>
      <c r="AM104" s="5535" t="str">
        <f>IF(M104=0,"",M104)</f>
        <v/>
      </c>
      <c r="AN104" s="5535"/>
      <c r="AO104" s="5535"/>
      <c r="AP104" s="5535"/>
      <c r="AQ104" s="5535"/>
      <c r="AR104" s="5535" t="str">
        <f>IF(R104=0,"",R104)</f>
        <v/>
      </c>
      <c r="AS104" s="5535"/>
      <c r="AT104" s="5535"/>
      <c r="AU104" s="5535"/>
      <c r="AV104" s="5535"/>
      <c r="AW104" s="5535" t="str">
        <f>IF(W104=0,"",W104)</f>
        <v/>
      </c>
      <c r="AX104" s="5535"/>
      <c r="AY104" s="5535"/>
      <c r="AZ104" s="5535"/>
      <c r="BA104" s="5535"/>
    </row>
    <row r="105" spans="1:53" ht="13.5" thickBot="1">
      <c r="A105" s="5510"/>
      <c r="B105" s="3326" t="s">
        <v>1298</v>
      </c>
      <c r="C105" s="5506"/>
      <c r="D105" s="5507"/>
      <c r="E105" s="5507"/>
      <c r="F105" s="5507"/>
      <c r="G105" s="5507"/>
      <c r="H105" s="5506"/>
      <c r="I105" s="5507"/>
      <c r="J105" s="5507"/>
      <c r="K105" s="5507"/>
      <c r="L105" s="5507"/>
      <c r="M105" s="5506"/>
      <c r="N105" s="5507"/>
      <c r="O105" s="5507"/>
      <c r="P105" s="5507"/>
      <c r="Q105" s="5507"/>
      <c r="R105" s="5506"/>
      <c r="S105" s="5507"/>
      <c r="T105" s="5507"/>
      <c r="U105" s="5507"/>
      <c r="V105" s="5507"/>
      <c r="W105" s="5506"/>
      <c r="X105" s="5507"/>
      <c r="Y105" s="5507"/>
      <c r="Z105" s="5507"/>
      <c r="AA105" s="5507"/>
      <c r="AB105" s="4775"/>
      <c r="AC105" s="5535" t="str">
        <f t="shared" ref="AC105:AC109" si="124">IF(C105=0,"",C105)</f>
        <v/>
      </c>
      <c r="AD105" s="5535"/>
      <c r="AE105" s="5535"/>
      <c r="AF105" s="5535"/>
      <c r="AG105" s="5535"/>
      <c r="AH105" s="5535" t="str">
        <f t="shared" ref="AH105:AH109" si="125">IF(H105=0,"",H105)</f>
        <v/>
      </c>
      <c r="AI105" s="5535"/>
      <c r="AJ105" s="5535"/>
      <c r="AK105" s="5535"/>
      <c r="AL105" s="5535"/>
      <c r="AM105" s="5535" t="str">
        <f t="shared" ref="AM105:AM109" si="126">IF(M105=0,"",M105)</f>
        <v/>
      </c>
      <c r="AN105" s="5535"/>
      <c r="AO105" s="5535"/>
      <c r="AP105" s="5535"/>
      <c r="AQ105" s="5535"/>
      <c r="AR105" s="5535" t="str">
        <f t="shared" ref="AR105:AR109" si="127">IF(R105=0,"",R105)</f>
        <v/>
      </c>
      <c r="AS105" s="5535"/>
      <c r="AT105" s="5535"/>
      <c r="AU105" s="5535"/>
      <c r="AV105" s="5535"/>
      <c r="AW105" s="5535" t="str">
        <f t="shared" ref="AW105:AW109" si="128">IF(W105=0,"",W105)</f>
        <v/>
      </c>
      <c r="AX105" s="5535"/>
      <c r="AY105" s="5535"/>
      <c r="AZ105" s="5535"/>
      <c r="BA105" s="5535"/>
    </row>
    <row r="106" spans="1:53" ht="13.5" thickBot="1">
      <c r="A106" s="5496" t="s">
        <v>1299</v>
      </c>
      <c r="B106" s="3327" t="s">
        <v>1300</v>
      </c>
      <c r="C106" s="5506"/>
      <c r="D106" s="5507"/>
      <c r="E106" s="5507"/>
      <c r="F106" s="5507"/>
      <c r="G106" s="5507"/>
      <c r="H106" s="5506"/>
      <c r="I106" s="5507"/>
      <c r="J106" s="5507"/>
      <c r="K106" s="5507"/>
      <c r="L106" s="5507"/>
      <c r="M106" s="5506"/>
      <c r="N106" s="5507"/>
      <c r="O106" s="5507"/>
      <c r="P106" s="5507"/>
      <c r="Q106" s="5507"/>
      <c r="R106" s="5506"/>
      <c r="S106" s="5507"/>
      <c r="T106" s="5507"/>
      <c r="U106" s="5507"/>
      <c r="V106" s="5507"/>
      <c r="W106" s="5506"/>
      <c r="X106" s="5507"/>
      <c r="Y106" s="5507"/>
      <c r="Z106" s="5507"/>
      <c r="AA106" s="5507"/>
      <c r="AB106" s="4775"/>
      <c r="AC106" s="5535" t="str">
        <f t="shared" si="124"/>
        <v/>
      </c>
      <c r="AD106" s="5535"/>
      <c r="AE106" s="5535"/>
      <c r="AF106" s="5535"/>
      <c r="AG106" s="5535"/>
      <c r="AH106" s="5535" t="str">
        <f t="shared" si="125"/>
        <v/>
      </c>
      <c r="AI106" s="5535"/>
      <c r="AJ106" s="5535"/>
      <c r="AK106" s="5535"/>
      <c r="AL106" s="5535"/>
      <c r="AM106" s="5535" t="str">
        <f t="shared" si="126"/>
        <v/>
      </c>
      <c r="AN106" s="5535"/>
      <c r="AO106" s="5535"/>
      <c r="AP106" s="5535"/>
      <c r="AQ106" s="5535"/>
      <c r="AR106" s="5535" t="str">
        <f t="shared" si="127"/>
        <v/>
      </c>
      <c r="AS106" s="5535"/>
      <c r="AT106" s="5535"/>
      <c r="AU106" s="5535"/>
      <c r="AV106" s="5535"/>
      <c r="AW106" s="5535" t="str">
        <f t="shared" si="128"/>
        <v/>
      </c>
      <c r="AX106" s="5535"/>
      <c r="AY106" s="5535"/>
      <c r="AZ106" s="5535"/>
      <c r="BA106" s="5535"/>
    </row>
    <row r="107" spans="1:53" ht="13.5" thickBot="1">
      <c r="A107" s="5497"/>
      <c r="B107" s="3326" t="s">
        <v>1301</v>
      </c>
      <c r="C107" s="5506"/>
      <c r="D107" s="5507"/>
      <c r="E107" s="5507"/>
      <c r="F107" s="5507"/>
      <c r="G107" s="5507"/>
      <c r="H107" s="5506"/>
      <c r="I107" s="5507"/>
      <c r="J107" s="5507"/>
      <c r="K107" s="5507"/>
      <c r="L107" s="5507"/>
      <c r="M107" s="5506"/>
      <c r="N107" s="5507"/>
      <c r="O107" s="5507"/>
      <c r="P107" s="5507"/>
      <c r="Q107" s="5507"/>
      <c r="R107" s="5506"/>
      <c r="S107" s="5507"/>
      <c r="T107" s="5507"/>
      <c r="U107" s="5507"/>
      <c r="V107" s="5507"/>
      <c r="W107" s="5506"/>
      <c r="X107" s="5507"/>
      <c r="Y107" s="5507"/>
      <c r="Z107" s="5507"/>
      <c r="AA107" s="5507"/>
      <c r="AB107" s="4775"/>
      <c r="AC107" s="5535" t="str">
        <f t="shared" si="124"/>
        <v/>
      </c>
      <c r="AD107" s="5535"/>
      <c r="AE107" s="5535"/>
      <c r="AF107" s="5535"/>
      <c r="AG107" s="5535"/>
      <c r="AH107" s="5535" t="str">
        <f t="shared" si="125"/>
        <v/>
      </c>
      <c r="AI107" s="5535"/>
      <c r="AJ107" s="5535"/>
      <c r="AK107" s="5535"/>
      <c r="AL107" s="5535"/>
      <c r="AM107" s="5535" t="str">
        <f t="shared" si="126"/>
        <v/>
      </c>
      <c r="AN107" s="5535"/>
      <c r="AO107" s="5535"/>
      <c r="AP107" s="5535"/>
      <c r="AQ107" s="5535"/>
      <c r="AR107" s="5535" t="str">
        <f t="shared" si="127"/>
        <v/>
      </c>
      <c r="AS107" s="5535"/>
      <c r="AT107" s="5535"/>
      <c r="AU107" s="5535"/>
      <c r="AV107" s="5535"/>
      <c r="AW107" s="5535" t="str">
        <f t="shared" si="128"/>
        <v/>
      </c>
      <c r="AX107" s="5535"/>
      <c r="AY107" s="5535"/>
      <c r="AZ107" s="5535"/>
      <c r="BA107" s="5535"/>
    </row>
    <row r="108" spans="1:53" ht="26.25" thickBot="1">
      <c r="A108" s="4031" t="s">
        <v>1302</v>
      </c>
      <c r="B108" s="3326" t="s">
        <v>1303</v>
      </c>
      <c r="C108" s="5506"/>
      <c r="D108" s="5507"/>
      <c r="E108" s="5507"/>
      <c r="F108" s="5507"/>
      <c r="G108" s="5507"/>
      <c r="H108" s="5506"/>
      <c r="I108" s="5507"/>
      <c r="J108" s="5507"/>
      <c r="K108" s="5507"/>
      <c r="L108" s="5507"/>
      <c r="M108" s="5506"/>
      <c r="N108" s="5507"/>
      <c r="O108" s="5507"/>
      <c r="P108" s="5507"/>
      <c r="Q108" s="5507"/>
      <c r="R108" s="5506"/>
      <c r="S108" s="5507"/>
      <c r="T108" s="5507"/>
      <c r="U108" s="5507"/>
      <c r="V108" s="5507"/>
      <c r="W108" s="5506"/>
      <c r="X108" s="5507"/>
      <c r="Y108" s="5507"/>
      <c r="Z108" s="5507"/>
      <c r="AA108" s="5507"/>
      <c r="AB108" s="4775"/>
      <c r="AC108" s="5535" t="str">
        <f t="shared" si="124"/>
        <v/>
      </c>
      <c r="AD108" s="5535"/>
      <c r="AE108" s="5535"/>
      <c r="AF108" s="5535"/>
      <c r="AG108" s="5535"/>
      <c r="AH108" s="5535" t="str">
        <f t="shared" si="125"/>
        <v/>
      </c>
      <c r="AI108" s="5535"/>
      <c r="AJ108" s="5535"/>
      <c r="AK108" s="5535"/>
      <c r="AL108" s="5535"/>
      <c r="AM108" s="5535" t="str">
        <f t="shared" si="126"/>
        <v/>
      </c>
      <c r="AN108" s="5535"/>
      <c r="AO108" s="5535"/>
      <c r="AP108" s="5535"/>
      <c r="AQ108" s="5535"/>
      <c r="AR108" s="5535" t="str">
        <f t="shared" si="127"/>
        <v/>
      </c>
      <c r="AS108" s="5535"/>
      <c r="AT108" s="5535"/>
      <c r="AU108" s="5535"/>
      <c r="AV108" s="5535"/>
      <c r="AW108" s="5535" t="str">
        <f t="shared" si="128"/>
        <v/>
      </c>
      <c r="AX108" s="5535"/>
      <c r="AY108" s="5535"/>
      <c r="AZ108" s="5535"/>
      <c r="BA108" s="5535"/>
    </row>
    <row r="109" spans="1:53" ht="26.25" thickBot="1">
      <c r="A109" s="3328" t="s">
        <v>1304</v>
      </c>
      <c r="B109" s="3329" t="s">
        <v>1305</v>
      </c>
      <c r="C109" s="5517"/>
      <c r="D109" s="5518"/>
      <c r="E109" s="5518"/>
      <c r="F109" s="5518"/>
      <c r="G109" s="5518"/>
      <c r="H109" s="5517"/>
      <c r="I109" s="5518"/>
      <c r="J109" s="5518"/>
      <c r="K109" s="5518"/>
      <c r="L109" s="5518"/>
      <c r="M109" s="5517"/>
      <c r="N109" s="5518"/>
      <c r="O109" s="5518"/>
      <c r="P109" s="5518"/>
      <c r="Q109" s="5518"/>
      <c r="R109" s="5517"/>
      <c r="S109" s="5518"/>
      <c r="T109" s="5518"/>
      <c r="U109" s="5518"/>
      <c r="V109" s="5518"/>
      <c r="W109" s="5517"/>
      <c r="X109" s="5518"/>
      <c r="Y109" s="5518"/>
      <c r="Z109" s="5518"/>
      <c r="AA109" s="5518"/>
      <c r="AB109" s="4775"/>
      <c r="AC109" s="5535" t="str">
        <f t="shared" si="124"/>
        <v/>
      </c>
      <c r="AD109" s="5535"/>
      <c r="AE109" s="5535"/>
      <c r="AF109" s="5535"/>
      <c r="AG109" s="5535"/>
      <c r="AH109" s="5535" t="str">
        <f t="shared" si="125"/>
        <v/>
      </c>
      <c r="AI109" s="5535"/>
      <c r="AJ109" s="5535"/>
      <c r="AK109" s="5535"/>
      <c r="AL109" s="5535"/>
      <c r="AM109" s="5535" t="str">
        <f t="shared" si="126"/>
        <v/>
      </c>
      <c r="AN109" s="5535"/>
      <c r="AO109" s="5535"/>
      <c r="AP109" s="5535"/>
      <c r="AQ109" s="5535"/>
      <c r="AR109" s="5535" t="str">
        <f t="shared" si="127"/>
        <v/>
      </c>
      <c r="AS109" s="5535"/>
      <c r="AT109" s="5535"/>
      <c r="AU109" s="5535"/>
      <c r="AV109" s="5535"/>
      <c r="AW109" s="5535" t="str">
        <f t="shared" si="128"/>
        <v/>
      </c>
      <c r="AX109" s="5535"/>
      <c r="AY109" s="5535"/>
      <c r="AZ109" s="5535"/>
      <c r="BA109" s="5535"/>
    </row>
    <row r="110" spans="1:53" ht="13.5" thickBot="1">
      <c r="A110" s="5511" t="s">
        <v>1461</v>
      </c>
      <c r="B110" s="5512"/>
      <c r="C110" s="4516" t="str">
        <f>'Приложение '!$C$14</f>
        <v>2027 г.</v>
      </c>
      <c r="D110" s="4517" t="str">
        <f>'Приложение '!$C$15</f>
        <v>2028 г.</v>
      </c>
      <c r="E110" s="4517" t="str">
        <f>'Приложение '!$C$16</f>
        <v>2029 г.</v>
      </c>
      <c r="F110" s="4517" t="str">
        <f>'Приложение '!$C$17</f>
        <v>2030 г.</v>
      </c>
      <c r="G110" s="4517" t="str">
        <f>'Приложение '!$C$18</f>
        <v>2031 г.</v>
      </c>
      <c r="H110" s="4516" t="str">
        <f>'Приложение '!$C$14</f>
        <v>2027 г.</v>
      </c>
      <c r="I110" s="4517" t="str">
        <f>'Приложение '!$C$15</f>
        <v>2028 г.</v>
      </c>
      <c r="J110" s="4517" t="str">
        <f>'Приложение '!$C$16</f>
        <v>2029 г.</v>
      </c>
      <c r="K110" s="4517" t="str">
        <f>'Приложение '!$C$17</f>
        <v>2030 г.</v>
      </c>
      <c r="L110" s="4517" t="str">
        <f>'Приложение '!$C$18</f>
        <v>2031 г.</v>
      </c>
      <c r="M110" s="4516" t="str">
        <f>'Приложение '!$C$14</f>
        <v>2027 г.</v>
      </c>
      <c r="N110" s="4517" t="str">
        <f>'Приложение '!$C$15</f>
        <v>2028 г.</v>
      </c>
      <c r="O110" s="4517" t="str">
        <f>'Приложение '!$C$16</f>
        <v>2029 г.</v>
      </c>
      <c r="P110" s="4517" t="str">
        <f>'Приложение '!$C$17</f>
        <v>2030 г.</v>
      </c>
      <c r="Q110" s="4517" t="str">
        <f>'Приложение '!$C$18</f>
        <v>2031 г.</v>
      </c>
      <c r="R110" s="4516" t="str">
        <f>'Приложение '!$C$14</f>
        <v>2027 г.</v>
      </c>
      <c r="S110" s="4517" t="str">
        <f>'Приложение '!$C$15</f>
        <v>2028 г.</v>
      </c>
      <c r="T110" s="4517" t="str">
        <f>'Приложение '!$C$16</f>
        <v>2029 г.</v>
      </c>
      <c r="U110" s="4517" t="str">
        <f>'Приложение '!$C$17</f>
        <v>2030 г.</v>
      </c>
      <c r="V110" s="4517" t="str">
        <f>'Приложение '!$C$18</f>
        <v>2031 г.</v>
      </c>
      <c r="W110" s="4516" t="str">
        <f>'Приложение '!$C$14</f>
        <v>2027 г.</v>
      </c>
      <c r="X110" s="4517" t="str">
        <f>'Приложение '!$C$15</f>
        <v>2028 г.</v>
      </c>
      <c r="Y110" s="4517" t="str">
        <f>'Приложение '!$C$16</f>
        <v>2029 г.</v>
      </c>
      <c r="Z110" s="4517" t="str">
        <f>'Приложение '!$C$17</f>
        <v>2030 г.</v>
      </c>
      <c r="AA110" s="4517" t="str">
        <f>'Приложение '!$C$18</f>
        <v>2031 г.</v>
      </c>
      <c r="AB110" s="4775"/>
      <c r="AC110" s="4829" t="str">
        <f>'Приложение '!$C$14</f>
        <v>2027 г.</v>
      </c>
      <c r="AD110" s="4829" t="str">
        <f>'Приложение '!$C$15</f>
        <v>2028 г.</v>
      </c>
      <c r="AE110" s="4829" t="str">
        <f>'Приложение '!$C$16</f>
        <v>2029 г.</v>
      </c>
      <c r="AF110" s="4829" t="str">
        <f>'Приложение '!$C$17</f>
        <v>2030 г.</v>
      </c>
      <c r="AG110" s="4829" t="str">
        <f>'Приложение '!$C$18</f>
        <v>2031 г.</v>
      </c>
      <c r="AH110" s="4829" t="str">
        <f>'Приложение '!$C$14</f>
        <v>2027 г.</v>
      </c>
      <c r="AI110" s="4829" t="str">
        <f>'Приложение '!$C$15</f>
        <v>2028 г.</v>
      </c>
      <c r="AJ110" s="4829" t="str">
        <f>'Приложение '!$C$16</f>
        <v>2029 г.</v>
      </c>
      <c r="AK110" s="4829" t="str">
        <f>'Приложение '!$C$17</f>
        <v>2030 г.</v>
      </c>
      <c r="AL110" s="4829" t="str">
        <f>'Приложение '!$C$18</f>
        <v>2031 г.</v>
      </c>
      <c r="AM110" s="4829" t="str">
        <f>'Приложение '!$C$14</f>
        <v>2027 г.</v>
      </c>
      <c r="AN110" s="4829" t="str">
        <f>'Приложение '!$C$15</f>
        <v>2028 г.</v>
      </c>
      <c r="AO110" s="4829" t="str">
        <f>'Приложение '!$C$16</f>
        <v>2029 г.</v>
      </c>
      <c r="AP110" s="4829" t="str">
        <f>'Приложение '!$C$17</f>
        <v>2030 г.</v>
      </c>
      <c r="AQ110" s="4829" t="str">
        <f>'Приложение '!$C$18</f>
        <v>2031 г.</v>
      </c>
      <c r="AR110" s="4829" t="str">
        <f>'Приложение '!$C$14</f>
        <v>2027 г.</v>
      </c>
      <c r="AS110" s="4829" t="str">
        <f>'Приложение '!$C$15</f>
        <v>2028 г.</v>
      </c>
      <c r="AT110" s="4829" t="str">
        <f>'Приложение '!$C$16</f>
        <v>2029 г.</v>
      </c>
      <c r="AU110" s="4829" t="str">
        <f>'Приложение '!$C$17</f>
        <v>2030 г.</v>
      </c>
      <c r="AV110" s="4829" t="str">
        <f>'Приложение '!$C$18</f>
        <v>2031 г.</v>
      </c>
      <c r="AW110" s="4829" t="str">
        <f>'Приложение '!$C$14</f>
        <v>2027 г.</v>
      </c>
      <c r="AX110" s="4829" t="str">
        <f>'Приложение '!$C$15</f>
        <v>2028 г.</v>
      </c>
      <c r="AY110" s="4829" t="str">
        <f>'Приложение '!$C$16</f>
        <v>2029 г.</v>
      </c>
      <c r="AZ110" s="4829" t="str">
        <f>'Приложение '!$C$17</f>
        <v>2030 г.</v>
      </c>
      <c r="BA110" s="4829" t="str">
        <f>'Приложение '!$C$18</f>
        <v>2031 г.</v>
      </c>
    </row>
    <row r="111" spans="1:53" ht="12.75" customHeight="1">
      <c r="A111" s="5498" t="s">
        <v>1447</v>
      </c>
      <c r="B111" s="5499"/>
      <c r="C111" s="3330"/>
      <c r="D111" s="3331"/>
      <c r="E111" s="3331"/>
      <c r="F111" s="3331"/>
      <c r="G111" s="3331"/>
      <c r="H111" s="3330"/>
      <c r="I111" s="3331"/>
      <c r="J111" s="3331"/>
      <c r="K111" s="3331"/>
      <c r="L111" s="3331"/>
      <c r="M111" s="3330"/>
      <c r="N111" s="3331"/>
      <c r="O111" s="3331"/>
      <c r="P111" s="3331"/>
      <c r="Q111" s="3331"/>
      <c r="R111" s="3330"/>
      <c r="S111" s="3331"/>
      <c r="T111" s="3331"/>
      <c r="U111" s="3331"/>
      <c r="V111" s="3331"/>
      <c r="W111" s="3330"/>
      <c r="X111" s="3331"/>
      <c r="Y111" s="3331"/>
      <c r="Z111" s="3331"/>
      <c r="AA111" s="3331"/>
      <c r="AB111" s="4775"/>
      <c r="AC111" s="4832"/>
      <c r="AD111" s="4832"/>
      <c r="AE111" s="4832"/>
      <c r="AF111" s="4832"/>
      <c r="AG111" s="4832"/>
      <c r="AH111" s="4832"/>
      <c r="AI111" s="4832"/>
      <c r="AJ111" s="4832"/>
      <c r="AK111" s="4832"/>
      <c r="AL111" s="4832"/>
      <c r="AM111" s="4832"/>
      <c r="AN111" s="4832"/>
      <c r="AO111" s="4832"/>
      <c r="AP111" s="4832"/>
      <c r="AQ111" s="4832"/>
      <c r="AR111" s="4832"/>
      <c r="AS111" s="4832"/>
      <c r="AT111" s="4832"/>
      <c r="AU111" s="4832"/>
      <c r="AV111" s="4832"/>
      <c r="AW111" s="4832"/>
      <c r="AX111" s="4832"/>
      <c r="AY111" s="4832"/>
      <c r="AZ111" s="4832"/>
      <c r="BA111" s="4832"/>
    </row>
    <row r="112" spans="1:53" ht="12.75" customHeight="1">
      <c r="A112" s="5500" t="s">
        <v>1448</v>
      </c>
      <c r="B112" s="5501"/>
      <c r="C112" s="3332"/>
      <c r="D112" s="3333"/>
      <c r="E112" s="3333"/>
      <c r="F112" s="3333"/>
      <c r="G112" s="3333"/>
      <c r="H112" s="3332"/>
      <c r="I112" s="3333"/>
      <c r="J112" s="3333"/>
      <c r="K112" s="3333"/>
      <c r="L112" s="3333"/>
      <c r="M112" s="3332"/>
      <c r="N112" s="3333"/>
      <c r="O112" s="3333"/>
      <c r="P112" s="3333"/>
      <c r="Q112" s="3333"/>
      <c r="R112" s="3332"/>
      <c r="S112" s="3333"/>
      <c r="T112" s="3333"/>
      <c r="U112" s="3333"/>
      <c r="V112" s="3333"/>
      <c r="W112" s="3332"/>
      <c r="X112" s="3333"/>
      <c r="Y112" s="3333"/>
      <c r="Z112" s="3333"/>
      <c r="AA112" s="3333"/>
      <c r="AB112" s="4775"/>
      <c r="AC112" s="4833"/>
      <c r="AD112" s="4833"/>
      <c r="AE112" s="4833"/>
      <c r="AF112" s="4833"/>
      <c r="AG112" s="4833"/>
      <c r="AH112" s="4833"/>
      <c r="AI112" s="4833"/>
      <c r="AJ112" s="4833"/>
      <c r="AK112" s="4833"/>
      <c r="AL112" s="4833"/>
      <c r="AM112" s="4833"/>
      <c r="AN112" s="4833"/>
      <c r="AO112" s="4833"/>
      <c r="AP112" s="4833"/>
      <c r="AQ112" s="4833"/>
      <c r="AR112" s="4833"/>
      <c r="AS112" s="4833"/>
      <c r="AT112" s="4833"/>
      <c r="AU112" s="4833"/>
      <c r="AV112" s="4833"/>
      <c r="AW112" s="4833"/>
      <c r="AX112" s="4833"/>
      <c r="AY112" s="4833"/>
      <c r="AZ112" s="4833"/>
      <c r="BA112" s="4833"/>
    </row>
    <row r="113" spans="1:53">
      <c r="A113" s="5523" t="s">
        <v>1449</v>
      </c>
      <c r="B113" s="5524"/>
      <c r="C113" s="3334"/>
      <c r="D113" s="3335"/>
      <c r="E113" s="3335"/>
      <c r="F113" s="3335"/>
      <c r="G113" s="3335"/>
      <c r="H113" s="3334"/>
      <c r="I113" s="3335"/>
      <c r="J113" s="3335"/>
      <c r="K113" s="3335"/>
      <c r="L113" s="3335"/>
      <c r="M113" s="3334"/>
      <c r="N113" s="3335"/>
      <c r="O113" s="3335"/>
      <c r="P113" s="3335"/>
      <c r="Q113" s="3335"/>
      <c r="R113" s="3334"/>
      <c r="S113" s="3335"/>
      <c r="T113" s="3335"/>
      <c r="U113" s="3335"/>
      <c r="V113" s="3335"/>
      <c r="W113" s="3334"/>
      <c r="X113" s="3335"/>
      <c r="Y113" s="3335"/>
      <c r="Z113" s="3335"/>
      <c r="AA113" s="3335"/>
      <c r="AB113" s="4775"/>
      <c r="AC113" s="4833"/>
      <c r="AD113" s="4833"/>
      <c r="AE113" s="4833"/>
      <c r="AF113" s="4833"/>
      <c r="AG113" s="4833"/>
      <c r="AH113" s="4833"/>
      <c r="AI113" s="4833"/>
      <c r="AJ113" s="4833"/>
      <c r="AK113" s="4833"/>
      <c r="AL113" s="4833"/>
      <c r="AM113" s="4833"/>
      <c r="AN113" s="4833"/>
      <c r="AO113" s="4833"/>
      <c r="AP113" s="4833"/>
      <c r="AQ113" s="4833"/>
      <c r="AR113" s="4833"/>
      <c r="AS113" s="4833"/>
      <c r="AT113" s="4833"/>
      <c r="AU113" s="4833"/>
      <c r="AV113" s="4833"/>
      <c r="AW113" s="4833"/>
      <c r="AX113" s="4833"/>
      <c r="AY113" s="4833"/>
      <c r="AZ113" s="4833"/>
      <c r="BA113" s="4833"/>
    </row>
    <row r="114" spans="1:53" ht="13.5" thickBot="1">
      <c r="A114" s="5504" t="s">
        <v>1450</v>
      </c>
      <c r="B114" s="5505"/>
      <c r="C114" s="3336"/>
      <c r="D114" s="3337"/>
      <c r="E114" s="3337"/>
      <c r="F114" s="3337"/>
      <c r="G114" s="3337"/>
      <c r="H114" s="3336"/>
      <c r="I114" s="3337"/>
      <c r="J114" s="3337"/>
      <c r="K114" s="3337"/>
      <c r="L114" s="3337"/>
      <c r="M114" s="3336"/>
      <c r="N114" s="3337"/>
      <c r="O114" s="3337"/>
      <c r="P114" s="3337"/>
      <c r="Q114" s="3337"/>
      <c r="R114" s="3336"/>
      <c r="S114" s="3337"/>
      <c r="T114" s="3337"/>
      <c r="U114" s="3337"/>
      <c r="V114" s="3337"/>
      <c r="W114" s="3336"/>
      <c r="X114" s="3337"/>
      <c r="Y114" s="3337"/>
      <c r="Z114" s="3337"/>
      <c r="AA114" s="3337"/>
      <c r="AB114" s="4775"/>
      <c r="AC114" s="4834"/>
      <c r="AD114" s="4834"/>
      <c r="AE114" s="4834"/>
      <c r="AF114" s="4834"/>
      <c r="AG114" s="4834"/>
      <c r="AH114" s="4834"/>
      <c r="AI114" s="4834"/>
      <c r="AJ114" s="4834"/>
      <c r="AK114" s="4834"/>
      <c r="AL114" s="4834"/>
      <c r="AM114" s="4834"/>
      <c r="AN114" s="4834"/>
      <c r="AO114" s="4834"/>
      <c r="AP114" s="4834"/>
      <c r="AQ114" s="4834"/>
      <c r="AR114" s="4834"/>
      <c r="AS114" s="4834"/>
      <c r="AT114" s="4834"/>
      <c r="AU114" s="4834"/>
      <c r="AV114" s="4834"/>
      <c r="AW114" s="4834"/>
      <c r="AX114" s="4834"/>
      <c r="AY114" s="4834"/>
      <c r="AZ114" s="4834"/>
      <c r="BA114" s="4834"/>
    </row>
    <row r="115" spans="1:53" s="3759" customFormat="1" ht="25.5" customHeight="1" thickBot="1">
      <c r="A115" s="5525" t="s">
        <v>1452</v>
      </c>
      <c r="B115" s="5526"/>
      <c r="C115" s="3338">
        <f t="shared" ref="C115:AA115" si="129">SUM(C116,C121:C125)</f>
        <v>0</v>
      </c>
      <c r="D115" s="3339">
        <f t="shared" si="129"/>
        <v>0</v>
      </c>
      <c r="E115" s="3339">
        <f t="shared" si="129"/>
        <v>0</v>
      </c>
      <c r="F115" s="3339">
        <f t="shared" si="129"/>
        <v>0</v>
      </c>
      <c r="G115" s="3339">
        <f t="shared" si="129"/>
        <v>0</v>
      </c>
      <c r="H115" s="3338">
        <f t="shared" si="129"/>
        <v>0</v>
      </c>
      <c r="I115" s="3339">
        <f t="shared" si="129"/>
        <v>0</v>
      </c>
      <c r="J115" s="3339">
        <f t="shared" si="129"/>
        <v>0</v>
      </c>
      <c r="K115" s="3339">
        <f t="shared" si="129"/>
        <v>0</v>
      </c>
      <c r="L115" s="3339">
        <f t="shared" si="129"/>
        <v>0</v>
      </c>
      <c r="M115" s="3338">
        <f t="shared" si="129"/>
        <v>0</v>
      </c>
      <c r="N115" s="3339">
        <f t="shared" si="129"/>
        <v>0</v>
      </c>
      <c r="O115" s="3339">
        <f t="shared" si="129"/>
        <v>0</v>
      </c>
      <c r="P115" s="3339">
        <f t="shared" si="129"/>
        <v>0</v>
      </c>
      <c r="Q115" s="3339">
        <f t="shared" si="129"/>
        <v>0</v>
      </c>
      <c r="R115" s="3338">
        <f t="shared" si="129"/>
        <v>0</v>
      </c>
      <c r="S115" s="3339">
        <f t="shared" si="129"/>
        <v>0</v>
      </c>
      <c r="T115" s="3339">
        <f t="shared" si="129"/>
        <v>0</v>
      </c>
      <c r="U115" s="3339">
        <f t="shared" si="129"/>
        <v>0</v>
      </c>
      <c r="V115" s="3339">
        <f t="shared" si="129"/>
        <v>0</v>
      </c>
      <c r="W115" s="3338">
        <f t="shared" si="129"/>
        <v>0</v>
      </c>
      <c r="X115" s="3339">
        <f t="shared" si="129"/>
        <v>0</v>
      </c>
      <c r="Y115" s="3339">
        <f t="shared" si="129"/>
        <v>0</v>
      </c>
      <c r="Z115" s="3339">
        <f t="shared" si="129"/>
        <v>0</v>
      </c>
      <c r="AA115" s="3339">
        <f t="shared" si="129"/>
        <v>0</v>
      </c>
      <c r="AB115" s="4775"/>
      <c r="AC115" s="4830">
        <f>IFERROR(C115/$D$1,0)</f>
        <v>0</v>
      </c>
      <c r="AD115" s="4831">
        <f t="shared" ref="AD115:AD125" si="130">IFERROR(D115/$D$1,0)</f>
        <v>0</v>
      </c>
      <c r="AE115" s="4831">
        <f t="shared" ref="AE115:AE125" si="131">IFERROR(E115/$D$1,0)</f>
        <v>0</v>
      </c>
      <c r="AF115" s="4831">
        <f t="shared" ref="AF115:AF125" si="132">IFERROR(F115/$D$1,0)</f>
        <v>0</v>
      </c>
      <c r="AG115" s="4831">
        <f t="shared" ref="AG115:AG125" si="133">IFERROR(G115/$D$1,0)</f>
        <v>0</v>
      </c>
      <c r="AH115" s="4831">
        <f t="shared" ref="AH115:AH125" si="134">IFERROR(H115/$D$1,0)</f>
        <v>0</v>
      </c>
      <c r="AI115" s="4831">
        <f t="shared" ref="AI115:AI125" si="135">IFERROR(I115/$D$1,0)</f>
        <v>0</v>
      </c>
      <c r="AJ115" s="4831">
        <f t="shared" ref="AJ115:AJ125" si="136">IFERROR(J115/$D$1,0)</f>
        <v>0</v>
      </c>
      <c r="AK115" s="4831">
        <f t="shared" ref="AK115:AK125" si="137">IFERROR(K115/$D$1,0)</f>
        <v>0</v>
      </c>
      <c r="AL115" s="4831">
        <f t="shared" ref="AL115:AL125" si="138">IFERROR(L115/$D$1,0)</f>
        <v>0</v>
      </c>
      <c r="AM115" s="4831">
        <f t="shared" ref="AM115:AM125" si="139">IFERROR(M115/$D$1,0)</f>
        <v>0</v>
      </c>
      <c r="AN115" s="4831">
        <f t="shared" ref="AN115:AN125" si="140">IFERROR(N115/$D$1,0)</f>
        <v>0</v>
      </c>
      <c r="AO115" s="4831">
        <f t="shared" ref="AO115:AO125" si="141">IFERROR(O115/$D$1,0)</f>
        <v>0</v>
      </c>
      <c r="AP115" s="4831">
        <f t="shared" ref="AP115:AP125" si="142">IFERROR(P115/$D$1,0)</f>
        <v>0</v>
      </c>
      <c r="AQ115" s="4831">
        <f t="shared" ref="AQ115:AQ125" si="143">IFERROR(Q115/$D$1,0)</f>
        <v>0</v>
      </c>
      <c r="AR115" s="4831">
        <f t="shared" ref="AR115:AR125" si="144">IFERROR(R115/$D$1,0)</f>
        <v>0</v>
      </c>
      <c r="AS115" s="4831">
        <f t="shared" ref="AS115:AS125" si="145">IFERROR(S115/$D$1,0)</f>
        <v>0</v>
      </c>
      <c r="AT115" s="4831">
        <f t="shared" ref="AT115:AT125" si="146">IFERROR(T115/$D$1,0)</f>
        <v>0</v>
      </c>
      <c r="AU115" s="4831">
        <f t="shared" ref="AU115:AU125" si="147">IFERROR(U115/$D$1,0)</f>
        <v>0</v>
      </c>
      <c r="AV115" s="4831">
        <f t="shared" ref="AV115:AV125" si="148">IFERROR(V115/$D$1,0)</f>
        <v>0</v>
      </c>
      <c r="AW115" s="4831">
        <f t="shared" ref="AW115:AW125" si="149">IFERROR(W115/$D$1,0)</f>
        <v>0</v>
      </c>
      <c r="AX115" s="4831">
        <f t="shared" ref="AX115:AX125" si="150">IFERROR(X115/$D$1,0)</f>
        <v>0</v>
      </c>
      <c r="AY115" s="4831">
        <f t="shared" ref="AY115:AY125" si="151">IFERROR(Y115/$D$1,0)</f>
        <v>0</v>
      </c>
      <c r="AZ115" s="4831">
        <f t="shared" ref="AZ115:AZ125" si="152">IFERROR(Z115/$D$1,0)</f>
        <v>0</v>
      </c>
      <c r="BA115" s="4831">
        <f t="shared" ref="BA115:BA125" si="153">IFERROR(AA115/$D$1,0)</f>
        <v>0</v>
      </c>
    </row>
    <row r="116" spans="1:53" ht="12.75" customHeight="1" thickBot="1">
      <c r="A116" s="5527" t="s">
        <v>1451</v>
      </c>
      <c r="B116" s="5528"/>
      <c r="C116" s="3332"/>
      <c r="D116" s="3333"/>
      <c r="E116" s="3333"/>
      <c r="F116" s="3333"/>
      <c r="G116" s="3333"/>
      <c r="H116" s="3332"/>
      <c r="I116" s="3333"/>
      <c r="J116" s="3333"/>
      <c r="K116" s="3333"/>
      <c r="L116" s="3333"/>
      <c r="M116" s="3332"/>
      <c r="N116" s="3333"/>
      <c r="O116" s="3333"/>
      <c r="P116" s="3333"/>
      <c r="Q116" s="3333"/>
      <c r="R116" s="3332"/>
      <c r="S116" s="3333"/>
      <c r="T116" s="3333"/>
      <c r="U116" s="3333"/>
      <c r="V116" s="3333"/>
      <c r="W116" s="3332"/>
      <c r="X116" s="3333"/>
      <c r="Y116" s="3333"/>
      <c r="Z116" s="3333"/>
      <c r="AA116" s="3333"/>
      <c r="AB116" s="4775"/>
      <c r="AC116" s="4835">
        <f t="shared" ref="AC116:AC125" si="154">IFERROR(C116/$D$1,0)</f>
        <v>0</v>
      </c>
      <c r="AD116" s="4835">
        <f t="shared" si="130"/>
        <v>0</v>
      </c>
      <c r="AE116" s="4835">
        <f t="shared" si="131"/>
        <v>0</v>
      </c>
      <c r="AF116" s="4835">
        <f t="shared" si="132"/>
        <v>0</v>
      </c>
      <c r="AG116" s="4835">
        <f t="shared" si="133"/>
        <v>0</v>
      </c>
      <c r="AH116" s="4835">
        <f t="shared" si="134"/>
        <v>0</v>
      </c>
      <c r="AI116" s="4835">
        <f t="shared" si="135"/>
        <v>0</v>
      </c>
      <c r="AJ116" s="4835">
        <f t="shared" si="136"/>
        <v>0</v>
      </c>
      <c r="AK116" s="4835">
        <f t="shared" si="137"/>
        <v>0</v>
      </c>
      <c r="AL116" s="4835">
        <f t="shared" si="138"/>
        <v>0</v>
      </c>
      <c r="AM116" s="4835">
        <f t="shared" si="139"/>
        <v>0</v>
      </c>
      <c r="AN116" s="4835">
        <f t="shared" si="140"/>
        <v>0</v>
      </c>
      <c r="AO116" s="4835">
        <f t="shared" si="141"/>
        <v>0</v>
      </c>
      <c r="AP116" s="4835">
        <f t="shared" si="142"/>
        <v>0</v>
      </c>
      <c r="AQ116" s="4835">
        <f t="shared" si="143"/>
        <v>0</v>
      </c>
      <c r="AR116" s="4835">
        <f t="shared" si="144"/>
        <v>0</v>
      </c>
      <c r="AS116" s="4835">
        <f t="shared" si="145"/>
        <v>0</v>
      </c>
      <c r="AT116" s="4835">
        <f t="shared" si="146"/>
        <v>0</v>
      </c>
      <c r="AU116" s="4835">
        <f t="shared" si="147"/>
        <v>0</v>
      </c>
      <c r="AV116" s="4835">
        <f t="shared" si="148"/>
        <v>0</v>
      </c>
      <c r="AW116" s="4835">
        <f t="shared" si="149"/>
        <v>0</v>
      </c>
      <c r="AX116" s="4835">
        <f t="shared" si="150"/>
        <v>0</v>
      </c>
      <c r="AY116" s="4835">
        <f t="shared" si="151"/>
        <v>0</v>
      </c>
      <c r="AZ116" s="4835">
        <f t="shared" si="152"/>
        <v>0</v>
      </c>
      <c r="BA116" s="4835">
        <f t="shared" si="153"/>
        <v>0</v>
      </c>
    </row>
    <row r="117" spans="1:53" ht="13.5" thickBot="1">
      <c r="A117" s="5529" t="s">
        <v>1463</v>
      </c>
      <c r="B117" s="5530"/>
      <c r="C117" s="3332"/>
      <c r="D117" s="3333"/>
      <c r="E117" s="3333"/>
      <c r="F117" s="3333"/>
      <c r="G117" s="3333"/>
      <c r="H117" s="3332"/>
      <c r="I117" s="3333"/>
      <c r="J117" s="3333"/>
      <c r="K117" s="3333"/>
      <c r="L117" s="3333"/>
      <c r="M117" s="3332"/>
      <c r="N117" s="3333"/>
      <c r="O117" s="3333"/>
      <c r="P117" s="3333"/>
      <c r="Q117" s="3333"/>
      <c r="R117" s="3332"/>
      <c r="S117" s="3333"/>
      <c r="T117" s="3333"/>
      <c r="U117" s="3333"/>
      <c r="V117" s="3333"/>
      <c r="W117" s="3332"/>
      <c r="X117" s="3333"/>
      <c r="Y117" s="3333"/>
      <c r="Z117" s="3333"/>
      <c r="AA117" s="3333"/>
      <c r="AB117" s="4775"/>
      <c r="AC117" s="4835">
        <f t="shared" si="154"/>
        <v>0</v>
      </c>
      <c r="AD117" s="4835">
        <f t="shared" si="130"/>
        <v>0</v>
      </c>
      <c r="AE117" s="4835">
        <f t="shared" si="131"/>
        <v>0</v>
      </c>
      <c r="AF117" s="4835">
        <f t="shared" si="132"/>
        <v>0</v>
      </c>
      <c r="AG117" s="4835">
        <f t="shared" si="133"/>
        <v>0</v>
      </c>
      <c r="AH117" s="4835">
        <f t="shared" si="134"/>
        <v>0</v>
      </c>
      <c r="AI117" s="4835">
        <f t="shared" si="135"/>
        <v>0</v>
      </c>
      <c r="AJ117" s="4835">
        <f t="shared" si="136"/>
        <v>0</v>
      </c>
      <c r="AK117" s="4835">
        <f t="shared" si="137"/>
        <v>0</v>
      </c>
      <c r="AL117" s="4835">
        <f t="shared" si="138"/>
        <v>0</v>
      </c>
      <c r="AM117" s="4835">
        <f t="shared" si="139"/>
        <v>0</v>
      </c>
      <c r="AN117" s="4835">
        <f t="shared" si="140"/>
        <v>0</v>
      </c>
      <c r="AO117" s="4835">
        <f t="shared" si="141"/>
        <v>0</v>
      </c>
      <c r="AP117" s="4835">
        <f t="shared" si="142"/>
        <v>0</v>
      </c>
      <c r="AQ117" s="4835">
        <f t="shared" si="143"/>
        <v>0</v>
      </c>
      <c r="AR117" s="4835">
        <f t="shared" si="144"/>
        <v>0</v>
      </c>
      <c r="AS117" s="4835">
        <f t="shared" si="145"/>
        <v>0</v>
      </c>
      <c r="AT117" s="4835">
        <f t="shared" si="146"/>
        <v>0</v>
      </c>
      <c r="AU117" s="4835">
        <f t="shared" si="147"/>
        <v>0</v>
      </c>
      <c r="AV117" s="4835">
        <f t="shared" si="148"/>
        <v>0</v>
      </c>
      <c r="AW117" s="4835">
        <f t="shared" si="149"/>
        <v>0</v>
      </c>
      <c r="AX117" s="4835">
        <f t="shared" si="150"/>
        <v>0</v>
      </c>
      <c r="AY117" s="4835">
        <f t="shared" si="151"/>
        <v>0</v>
      </c>
      <c r="AZ117" s="4835">
        <f t="shared" si="152"/>
        <v>0</v>
      </c>
      <c r="BA117" s="4835">
        <f t="shared" si="153"/>
        <v>0</v>
      </c>
    </row>
    <row r="118" spans="1:53" ht="12.75" customHeight="1" thickBot="1">
      <c r="A118" s="5502" t="s">
        <v>1453</v>
      </c>
      <c r="B118" s="5503"/>
      <c r="C118" s="3332"/>
      <c r="D118" s="3333"/>
      <c r="E118" s="3333"/>
      <c r="F118" s="3333"/>
      <c r="G118" s="3333"/>
      <c r="H118" s="3332"/>
      <c r="I118" s="3333"/>
      <c r="J118" s="3333"/>
      <c r="K118" s="3333"/>
      <c r="L118" s="3333"/>
      <c r="M118" s="3332"/>
      <c r="N118" s="3333"/>
      <c r="O118" s="3333"/>
      <c r="P118" s="3333"/>
      <c r="Q118" s="3333"/>
      <c r="R118" s="3332"/>
      <c r="S118" s="3333"/>
      <c r="T118" s="3333"/>
      <c r="U118" s="3333"/>
      <c r="V118" s="3333"/>
      <c r="W118" s="3332"/>
      <c r="X118" s="3333"/>
      <c r="Y118" s="3333"/>
      <c r="Z118" s="3333"/>
      <c r="AA118" s="3333"/>
      <c r="AB118" s="4775"/>
      <c r="AC118" s="4835">
        <f t="shared" si="154"/>
        <v>0</v>
      </c>
      <c r="AD118" s="4835">
        <f t="shared" si="130"/>
        <v>0</v>
      </c>
      <c r="AE118" s="4835">
        <f t="shared" si="131"/>
        <v>0</v>
      </c>
      <c r="AF118" s="4835">
        <f t="shared" si="132"/>
        <v>0</v>
      </c>
      <c r="AG118" s="4835">
        <f t="shared" si="133"/>
        <v>0</v>
      </c>
      <c r="AH118" s="4835">
        <f t="shared" si="134"/>
        <v>0</v>
      </c>
      <c r="AI118" s="4835">
        <f t="shared" si="135"/>
        <v>0</v>
      </c>
      <c r="AJ118" s="4835">
        <f t="shared" si="136"/>
        <v>0</v>
      </c>
      <c r="AK118" s="4835">
        <f t="shared" si="137"/>
        <v>0</v>
      </c>
      <c r="AL118" s="4835">
        <f t="shared" si="138"/>
        <v>0</v>
      </c>
      <c r="AM118" s="4835">
        <f t="shared" si="139"/>
        <v>0</v>
      </c>
      <c r="AN118" s="4835">
        <f t="shared" si="140"/>
        <v>0</v>
      </c>
      <c r="AO118" s="4835">
        <f t="shared" si="141"/>
        <v>0</v>
      </c>
      <c r="AP118" s="4835">
        <f t="shared" si="142"/>
        <v>0</v>
      </c>
      <c r="AQ118" s="4835">
        <f t="shared" si="143"/>
        <v>0</v>
      </c>
      <c r="AR118" s="4835">
        <f t="shared" si="144"/>
        <v>0</v>
      </c>
      <c r="AS118" s="4835">
        <f t="shared" si="145"/>
        <v>0</v>
      </c>
      <c r="AT118" s="4835">
        <f t="shared" si="146"/>
        <v>0</v>
      </c>
      <c r="AU118" s="4835">
        <f t="shared" si="147"/>
        <v>0</v>
      </c>
      <c r="AV118" s="4835">
        <f t="shared" si="148"/>
        <v>0</v>
      </c>
      <c r="AW118" s="4835">
        <f t="shared" si="149"/>
        <v>0</v>
      </c>
      <c r="AX118" s="4835">
        <f t="shared" si="150"/>
        <v>0</v>
      </c>
      <c r="AY118" s="4835">
        <f t="shared" si="151"/>
        <v>0</v>
      </c>
      <c r="AZ118" s="4835">
        <f t="shared" si="152"/>
        <v>0</v>
      </c>
      <c r="BA118" s="4835">
        <f t="shared" si="153"/>
        <v>0</v>
      </c>
    </row>
    <row r="119" spans="1:53" ht="12.75" customHeight="1" thickBot="1">
      <c r="A119" s="5502" t="s">
        <v>1454</v>
      </c>
      <c r="B119" s="5503"/>
      <c r="C119" s="3332"/>
      <c r="D119" s="3333"/>
      <c r="E119" s="3333"/>
      <c r="F119" s="3333"/>
      <c r="G119" s="3333"/>
      <c r="H119" s="3332"/>
      <c r="I119" s="3333"/>
      <c r="J119" s="3333"/>
      <c r="K119" s="3333"/>
      <c r="L119" s="3333"/>
      <c r="M119" s="3332"/>
      <c r="N119" s="3333"/>
      <c r="O119" s="3333"/>
      <c r="P119" s="3333"/>
      <c r="Q119" s="3333"/>
      <c r="R119" s="3332"/>
      <c r="S119" s="3333"/>
      <c r="T119" s="3333"/>
      <c r="U119" s="3333"/>
      <c r="V119" s="3333"/>
      <c r="W119" s="3332"/>
      <c r="X119" s="3333"/>
      <c r="Y119" s="3333"/>
      <c r="Z119" s="3333"/>
      <c r="AA119" s="3333"/>
      <c r="AB119" s="4775"/>
      <c r="AC119" s="4835">
        <f t="shared" si="154"/>
        <v>0</v>
      </c>
      <c r="AD119" s="4835">
        <f t="shared" si="130"/>
        <v>0</v>
      </c>
      <c r="AE119" s="4835">
        <f t="shared" si="131"/>
        <v>0</v>
      </c>
      <c r="AF119" s="4835">
        <f t="shared" si="132"/>
        <v>0</v>
      </c>
      <c r="AG119" s="4835">
        <f t="shared" si="133"/>
        <v>0</v>
      </c>
      <c r="AH119" s="4835">
        <f t="shared" si="134"/>
        <v>0</v>
      </c>
      <c r="AI119" s="4835">
        <f t="shared" si="135"/>
        <v>0</v>
      </c>
      <c r="AJ119" s="4835">
        <f t="shared" si="136"/>
        <v>0</v>
      </c>
      <c r="AK119" s="4835">
        <f t="shared" si="137"/>
        <v>0</v>
      </c>
      <c r="AL119" s="4835">
        <f t="shared" si="138"/>
        <v>0</v>
      </c>
      <c r="AM119" s="4835">
        <f t="shared" si="139"/>
        <v>0</v>
      </c>
      <c r="AN119" s="4835">
        <f t="shared" si="140"/>
        <v>0</v>
      </c>
      <c r="AO119" s="4835">
        <f t="shared" si="141"/>
        <v>0</v>
      </c>
      <c r="AP119" s="4835">
        <f t="shared" si="142"/>
        <v>0</v>
      </c>
      <c r="AQ119" s="4835">
        <f t="shared" si="143"/>
        <v>0</v>
      </c>
      <c r="AR119" s="4835">
        <f t="shared" si="144"/>
        <v>0</v>
      </c>
      <c r="AS119" s="4835">
        <f t="shared" si="145"/>
        <v>0</v>
      </c>
      <c r="AT119" s="4835">
        <f t="shared" si="146"/>
        <v>0</v>
      </c>
      <c r="AU119" s="4835">
        <f t="shared" si="147"/>
        <v>0</v>
      </c>
      <c r="AV119" s="4835">
        <f t="shared" si="148"/>
        <v>0</v>
      </c>
      <c r="AW119" s="4835">
        <f t="shared" si="149"/>
        <v>0</v>
      </c>
      <c r="AX119" s="4835">
        <f t="shared" si="150"/>
        <v>0</v>
      </c>
      <c r="AY119" s="4835">
        <f t="shared" si="151"/>
        <v>0</v>
      </c>
      <c r="AZ119" s="4835">
        <f t="shared" si="152"/>
        <v>0</v>
      </c>
      <c r="BA119" s="4835">
        <f t="shared" si="153"/>
        <v>0</v>
      </c>
    </row>
    <row r="120" spans="1:53" ht="12.75" customHeight="1" thickBot="1">
      <c r="A120" s="5502" t="s">
        <v>1455</v>
      </c>
      <c r="B120" s="5503"/>
      <c r="C120" s="3332"/>
      <c r="D120" s="3333"/>
      <c r="E120" s="3333"/>
      <c r="F120" s="3333"/>
      <c r="G120" s="3333"/>
      <c r="H120" s="3332"/>
      <c r="I120" s="3333"/>
      <c r="J120" s="3333"/>
      <c r="K120" s="3333"/>
      <c r="L120" s="3333"/>
      <c r="M120" s="3332"/>
      <c r="N120" s="3333"/>
      <c r="O120" s="3333"/>
      <c r="P120" s="3333"/>
      <c r="Q120" s="3333"/>
      <c r="R120" s="3332"/>
      <c r="S120" s="3333"/>
      <c r="T120" s="3333"/>
      <c r="U120" s="3333"/>
      <c r="V120" s="3333"/>
      <c r="W120" s="3332"/>
      <c r="X120" s="3333"/>
      <c r="Y120" s="3333"/>
      <c r="Z120" s="3333"/>
      <c r="AA120" s="3333"/>
      <c r="AB120" s="4775"/>
      <c r="AC120" s="4835">
        <f t="shared" si="154"/>
        <v>0</v>
      </c>
      <c r="AD120" s="4835">
        <f t="shared" si="130"/>
        <v>0</v>
      </c>
      <c r="AE120" s="4835">
        <f t="shared" si="131"/>
        <v>0</v>
      </c>
      <c r="AF120" s="4835">
        <f t="shared" si="132"/>
        <v>0</v>
      </c>
      <c r="AG120" s="4835">
        <f t="shared" si="133"/>
        <v>0</v>
      </c>
      <c r="AH120" s="4835">
        <f t="shared" si="134"/>
        <v>0</v>
      </c>
      <c r="AI120" s="4835">
        <f t="shared" si="135"/>
        <v>0</v>
      </c>
      <c r="AJ120" s="4835">
        <f t="shared" si="136"/>
        <v>0</v>
      </c>
      <c r="AK120" s="4835">
        <f t="shared" si="137"/>
        <v>0</v>
      </c>
      <c r="AL120" s="4835">
        <f t="shared" si="138"/>
        <v>0</v>
      </c>
      <c r="AM120" s="4835">
        <f t="shared" si="139"/>
        <v>0</v>
      </c>
      <c r="AN120" s="4835">
        <f t="shared" si="140"/>
        <v>0</v>
      </c>
      <c r="AO120" s="4835">
        <f t="shared" si="141"/>
        <v>0</v>
      </c>
      <c r="AP120" s="4835">
        <f t="shared" si="142"/>
        <v>0</v>
      </c>
      <c r="AQ120" s="4835">
        <f t="shared" si="143"/>
        <v>0</v>
      </c>
      <c r="AR120" s="4835">
        <f t="shared" si="144"/>
        <v>0</v>
      </c>
      <c r="AS120" s="4835">
        <f t="shared" si="145"/>
        <v>0</v>
      </c>
      <c r="AT120" s="4835">
        <f t="shared" si="146"/>
        <v>0</v>
      </c>
      <c r="AU120" s="4835">
        <f t="shared" si="147"/>
        <v>0</v>
      </c>
      <c r="AV120" s="4835">
        <f t="shared" si="148"/>
        <v>0</v>
      </c>
      <c r="AW120" s="4835">
        <f t="shared" si="149"/>
        <v>0</v>
      </c>
      <c r="AX120" s="4835">
        <f t="shared" si="150"/>
        <v>0</v>
      </c>
      <c r="AY120" s="4835">
        <f t="shared" si="151"/>
        <v>0</v>
      </c>
      <c r="AZ120" s="4835">
        <f t="shared" si="152"/>
        <v>0</v>
      </c>
      <c r="BA120" s="4835">
        <f t="shared" si="153"/>
        <v>0</v>
      </c>
    </row>
    <row r="121" spans="1:53" ht="13.5" thickBot="1">
      <c r="A121" s="5508" t="s">
        <v>1456</v>
      </c>
      <c r="B121" s="5509"/>
      <c r="C121" s="3332"/>
      <c r="D121" s="3333"/>
      <c r="E121" s="3333"/>
      <c r="F121" s="3333"/>
      <c r="G121" s="3333"/>
      <c r="H121" s="3332"/>
      <c r="I121" s="3333"/>
      <c r="J121" s="3333"/>
      <c r="K121" s="3333"/>
      <c r="L121" s="3333"/>
      <c r="M121" s="3332"/>
      <c r="N121" s="3333"/>
      <c r="O121" s="3333"/>
      <c r="P121" s="3333"/>
      <c r="Q121" s="3333"/>
      <c r="R121" s="3332"/>
      <c r="S121" s="3333"/>
      <c r="T121" s="3333"/>
      <c r="U121" s="3333"/>
      <c r="V121" s="3333"/>
      <c r="W121" s="3332"/>
      <c r="X121" s="3333"/>
      <c r="Y121" s="3333"/>
      <c r="Z121" s="3333"/>
      <c r="AA121" s="3333"/>
      <c r="AB121" s="4775"/>
      <c r="AC121" s="4835">
        <f t="shared" si="154"/>
        <v>0</v>
      </c>
      <c r="AD121" s="4835">
        <f t="shared" si="130"/>
        <v>0</v>
      </c>
      <c r="AE121" s="4835">
        <f t="shared" si="131"/>
        <v>0</v>
      </c>
      <c r="AF121" s="4835">
        <f t="shared" si="132"/>
        <v>0</v>
      </c>
      <c r="AG121" s="4835">
        <f t="shared" si="133"/>
        <v>0</v>
      </c>
      <c r="AH121" s="4835">
        <f t="shared" si="134"/>
        <v>0</v>
      </c>
      <c r="AI121" s="4835">
        <f t="shared" si="135"/>
        <v>0</v>
      </c>
      <c r="AJ121" s="4835">
        <f t="shared" si="136"/>
        <v>0</v>
      </c>
      <c r="AK121" s="4835">
        <f t="shared" si="137"/>
        <v>0</v>
      </c>
      <c r="AL121" s="4835">
        <f t="shared" si="138"/>
        <v>0</v>
      </c>
      <c r="AM121" s="4835">
        <f t="shared" si="139"/>
        <v>0</v>
      </c>
      <c r="AN121" s="4835">
        <f t="shared" si="140"/>
        <v>0</v>
      </c>
      <c r="AO121" s="4835">
        <f t="shared" si="141"/>
        <v>0</v>
      </c>
      <c r="AP121" s="4835">
        <f t="shared" si="142"/>
        <v>0</v>
      </c>
      <c r="AQ121" s="4835">
        <f t="shared" si="143"/>
        <v>0</v>
      </c>
      <c r="AR121" s="4835">
        <f t="shared" si="144"/>
        <v>0</v>
      </c>
      <c r="AS121" s="4835">
        <f t="shared" si="145"/>
        <v>0</v>
      </c>
      <c r="AT121" s="4835">
        <f t="shared" si="146"/>
        <v>0</v>
      </c>
      <c r="AU121" s="4835">
        <f t="shared" si="147"/>
        <v>0</v>
      </c>
      <c r="AV121" s="4835">
        <f t="shared" si="148"/>
        <v>0</v>
      </c>
      <c r="AW121" s="4835">
        <f t="shared" si="149"/>
        <v>0</v>
      </c>
      <c r="AX121" s="4835">
        <f t="shared" si="150"/>
        <v>0</v>
      </c>
      <c r="AY121" s="4835">
        <f t="shared" si="151"/>
        <v>0</v>
      </c>
      <c r="AZ121" s="4835">
        <f t="shared" si="152"/>
        <v>0</v>
      </c>
      <c r="BA121" s="4835">
        <f t="shared" si="153"/>
        <v>0</v>
      </c>
    </row>
    <row r="122" spans="1:53" ht="12.75" customHeight="1" thickBot="1">
      <c r="A122" s="5519" t="s">
        <v>1457</v>
      </c>
      <c r="B122" s="5520"/>
      <c r="C122" s="3332"/>
      <c r="D122" s="3333"/>
      <c r="E122" s="3333"/>
      <c r="F122" s="3333"/>
      <c r="G122" s="3333"/>
      <c r="H122" s="3332"/>
      <c r="I122" s="3333"/>
      <c r="J122" s="3333"/>
      <c r="K122" s="3333"/>
      <c r="L122" s="3333"/>
      <c r="M122" s="3332"/>
      <c r="N122" s="3333"/>
      <c r="O122" s="3333"/>
      <c r="P122" s="3333"/>
      <c r="Q122" s="3333"/>
      <c r="R122" s="3332"/>
      <c r="S122" s="3333"/>
      <c r="T122" s="3333"/>
      <c r="U122" s="3333"/>
      <c r="V122" s="3333"/>
      <c r="W122" s="3332"/>
      <c r="X122" s="3333"/>
      <c r="Y122" s="3333"/>
      <c r="Z122" s="3333"/>
      <c r="AA122" s="3333"/>
      <c r="AB122" s="4775"/>
      <c r="AC122" s="4835">
        <f t="shared" si="154"/>
        <v>0</v>
      </c>
      <c r="AD122" s="4835">
        <f t="shared" si="130"/>
        <v>0</v>
      </c>
      <c r="AE122" s="4835">
        <f t="shared" si="131"/>
        <v>0</v>
      </c>
      <c r="AF122" s="4835">
        <f t="shared" si="132"/>
        <v>0</v>
      </c>
      <c r="AG122" s="4835">
        <f t="shared" si="133"/>
        <v>0</v>
      </c>
      <c r="AH122" s="4835">
        <f t="shared" si="134"/>
        <v>0</v>
      </c>
      <c r="AI122" s="4835">
        <f t="shared" si="135"/>
        <v>0</v>
      </c>
      <c r="AJ122" s="4835">
        <f t="shared" si="136"/>
        <v>0</v>
      </c>
      <c r="AK122" s="4835">
        <f t="shared" si="137"/>
        <v>0</v>
      </c>
      <c r="AL122" s="4835">
        <f t="shared" si="138"/>
        <v>0</v>
      </c>
      <c r="AM122" s="4835">
        <f t="shared" si="139"/>
        <v>0</v>
      </c>
      <c r="AN122" s="4835">
        <f t="shared" si="140"/>
        <v>0</v>
      </c>
      <c r="AO122" s="4835">
        <f t="shared" si="141"/>
        <v>0</v>
      </c>
      <c r="AP122" s="4835">
        <f t="shared" si="142"/>
        <v>0</v>
      </c>
      <c r="AQ122" s="4835">
        <f t="shared" si="143"/>
        <v>0</v>
      </c>
      <c r="AR122" s="4835">
        <f t="shared" si="144"/>
        <v>0</v>
      </c>
      <c r="AS122" s="4835">
        <f t="shared" si="145"/>
        <v>0</v>
      </c>
      <c r="AT122" s="4835">
        <f t="shared" si="146"/>
        <v>0</v>
      </c>
      <c r="AU122" s="4835">
        <f t="shared" si="147"/>
        <v>0</v>
      </c>
      <c r="AV122" s="4835">
        <f t="shared" si="148"/>
        <v>0</v>
      </c>
      <c r="AW122" s="4835">
        <f t="shared" si="149"/>
        <v>0</v>
      </c>
      <c r="AX122" s="4835">
        <f t="shared" si="150"/>
        <v>0</v>
      </c>
      <c r="AY122" s="4835">
        <f t="shared" si="151"/>
        <v>0</v>
      </c>
      <c r="AZ122" s="4835">
        <f t="shared" si="152"/>
        <v>0</v>
      </c>
      <c r="BA122" s="4835">
        <f t="shared" si="153"/>
        <v>0</v>
      </c>
    </row>
    <row r="123" spans="1:53" ht="12.75" customHeight="1" thickBot="1">
      <c r="A123" s="5519" t="s">
        <v>1458</v>
      </c>
      <c r="B123" s="5520"/>
      <c r="C123" s="3332"/>
      <c r="D123" s="3333"/>
      <c r="E123" s="3333"/>
      <c r="F123" s="3333"/>
      <c r="G123" s="3333"/>
      <c r="H123" s="3332"/>
      <c r="I123" s="3333"/>
      <c r="J123" s="3333"/>
      <c r="K123" s="3333"/>
      <c r="L123" s="3333"/>
      <c r="M123" s="3332"/>
      <c r="N123" s="3333"/>
      <c r="O123" s="3333"/>
      <c r="P123" s="3333"/>
      <c r="Q123" s="3333"/>
      <c r="R123" s="3332"/>
      <c r="S123" s="3333"/>
      <c r="T123" s="3333"/>
      <c r="U123" s="3333"/>
      <c r="V123" s="3333"/>
      <c r="W123" s="3332"/>
      <c r="X123" s="3333"/>
      <c r="Y123" s="3333"/>
      <c r="Z123" s="3333"/>
      <c r="AA123" s="3333"/>
      <c r="AB123" s="4775"/>
      <c r="AC123" s="4835">
        <f t="shared" si="154"/>
        <v>0</v>
      </c>
      <c r="AD123" s="4835">
        <f t="shared" si="130"/>
        <v>0</v>
      </c>
      <c r="AE123" s="4835">
        <f t="shared" si="131"/>
        <v>0</v>
      </c>
      <c r="AF123" s="4835">
        <f t="shared" si="132"/>
        <v>0</v>
      </c>
      <c r="AG123" s="4835">
        <f t="shared" si="133"/>
        <v>0</v>
      </c>
      <c r="AH123" s="4835">
        <f t="shared" si="134"/>
        <v>0</v>
      </c>
      <c r="AI123" s="4835">
        <f t="shared" si="135"/>
        <v>0</v>
      </c>
      <c r="AJ123" s="4835">
        <f t="shared" si="136"/>
        <v>0</v>
      </c>
      <c r="AK123" s="4835">
        <f t="shared" si="137"/>
        <v>0</v>
      </c>
      <c r="AL123" s="4835">
        <f t="shared" si="138"/>
        <v>0</v>
      </c>
      <c r="AM123" s="4835">
        <f t="shared" si="139"/>
        <v>0</v>
      </c>
      <c r="AN123" s="4835">
        <f t="shared" si="140"/>
        <v>0</v>
      </c>
      <c r="AO123" s="4835">
        <f t="shared" si="141"/>
        <v>0</v>
      </c>
      <c r="AP123" s="4835">
        <f t="shared" si="142"/>
        <v>0</v>
      </c>
      <c r="AQ123" s="4835">
        <f t="shared" si="143"/>
        <v>0</v>
      </c>
      <c r="AR123" s="4835">
        <f t="shared" si="144"/>
        <v>0</v>
      </c>
      <c r="AS123" s="4835">
        <f t="shared" si="145"/>
        <v>0</v>
      </c>
      <c r="AT123" s="4835">
        <f t="shared" si="146"/>
        <v>0</v>
      </c>
      <c r="AU123" s="4835">
        <f t="shared" si="147"/>
        <v>0</v>
      </c>
      <c r="AV123" s="4835">
        <f t="shared" si="148"/>
        <v>0</v>
      </c>
      <c r="AW123" s="4835">
        <f t="shared" si="149"/>
        <v>0</v>
      </c>
      <c r="AX123" s="4835">
        <f t="shared" si="150"/>
        <v>0</v>
      </c>
      <c r="AY123" s="4835">
        <f t="shared" si="151"/>
        <v>0</v>
      </c>
      <c r="AZ123" s="4835">
        <f t="shared" si="152"/>
        <v>0</v>
      </c>
      <c r="BA123" s="4835">
        <f t="shared" si="153"/>
        <v>0</v>
      </c>
    </row>
    <row r="124" spans="1:53" ht="13.5" thickBot="1">
      <c r="A124" s="5519" t="s">
        <v>1459</v>
      </c>
      <c r="B124" s="5520"/>
      <c r="C124" s="3332"/>
      <c r="D124" s="3333"/>
      <c r="E124" s="3333"/>
      <c r="F124" s="3333"/>
      <c r="G124" s="3333"/>
      <c r="H124" s="3332"/>
      <c r="I124" s="3333"/>
      <c r="J124" s="3333"/>
      <c r="K124" s="3333"/>
      <c r="L124" s="3333"/>
      <c r="M124" s="3332"/>
      <c r="N124" s="3333"/>
      <c r="O124" s="3333"/>
      <c r="P124" s="3333"/>
      <c r="Q124" s="3333"/>
      <c r="R124" s="3332"/>
      <c r="S124" s="3333"/>
      <c r="T124" s="3333"/>
      <c r="U124" s="3333"/>
      <c r="V124" s="3333"/>
      <c r="W124" s="3332"/>
      <c r="X124" s="3333"/>
      <c r="Y124" s="3333"/>
      <c r="Z124" s="3333"/>
      <c r="AA124" s="3333"/>
      <c r="AB124" s="4775"/>
      <c r="AC124" s="4835">
        <f t="shared" si="154"/>
        <v>0</v>
      </c>
      <c r="AD124" s="4835">
        <f t="shared" si="130"/>
        <v>0</v>
      </c>
      <c r="AE124" s="4835">
        <f t="shared" si="131"/>
        <v>0</v>
      </c>
      <c r="AF124" s="4835">
        <f t="shared" si="132"/>
        <v>0</v>
      </c>
      <c r="AG124" s="4835">
        <f t="shared" si="133"/>
        <v>0</v>
      </c>
      <c r="AH124" s="4835">
        <f t="shared" si="134"/>
        <v>0</v>
      </c>
      <c r="AI124" s="4835">
        <f t="shared" si="135"/>
        <v>0</v>
      </c>
      <c r="AJ124" s="4835">
        <f t="shared" si="136"/>
        <v>0</v>
      </c>
      <c r="AK124" s="4835">
        <f t="shared" si="137"/>
        <v>0</v>
      </c>
      <c r="AL124" s="4835">
        <f t="shared" si="138"/>
        <v>0</v>
      </c>
      <c r="AM124" s="4835">
        <f t="shared" si="139"/>
        <v>0</v>
      </c>
      <c r="AN124" s="4835">
        <f t="shared" si="140"/>
        <v>0</v>
      </c>
      <c r="AO124" s="4835">
        <f t="shared" si="141"/>
        <v>0</v>
      </c>
      <c r="AP124" s="4835">
        <f t="shared" si="142"/>
        <v>0</v>
      </c>
      <c r="AQ124" s="4835">
        <f t="shared" si="143"/>
        <v>0</v>
      </c>
      <c r="AR124" s="4835">
        <f t="shared" si="144"/>
        <v>0</v>
      </c>
      <c r="AS124" s="4835">
        <f t="shared" si="145"/>
        <v>0</v>
      </c>
      <c r="AT124" s="4835">
        <f t="shared" si="146"/>
        <v>0</v>
      </c>
      <c r="AU124" s="4835">
        <f t="shared" si="147"/>
        <v>0</v>
      </c>
      <c r="AV124" s="4835">
        <f t="shared" si="148"/>
        <v>0</v>
      </c>
      <c r="AW124" s="4835">
        <f t="shared" si="149"/>
        <v>0</v>
      </c>
      <c r="AX124" s="4835">
        <f t="shared" si="150"/>
        <v>0</v>
      </c>
      <c r="AY124" s="4835">
        <f t="shared" si="151"/>
        <v>0</v>
      </c>
      <c r="AZ124" s="4835">
        <f t="shared" si="152"/>
        <v>0</v>
      </c>
      <c r="BA124" s="4835">
        <f t="shared" si="153"/>
        <v>0</v>
      </c>
    </row>
    <row r="125" spans="1:53" ht="13.5" thickBot="1">
      <c r="A125" s="5521" t="s">
        <v>1460</v>
      </c>
      <c r="B125" s="5522"/>
      <c r="C125" s="3336"/>
      <c r="D125" s="3337"/>
      <c r="E125" s="3337"/>
      <c r="F125" s="3337"/>
      <c r="G125" s="3337"/>
      <c r="H125" s="3336"/>
      <c r="I125" s="3337"/>
      <c r="J125" s="3337"/>
      <c r="K125" s="3337"/>
      <c r="L125" s="3337"/>
      <c r="M125" s="3336"/>
      <c r="N125" s="3337"/>
      <c r="O125" s="3337"/>
      <c r="P125" s="3337"/>
      <c r="Q125" s="3337"/>
      <c r="R125" s="3336"/>
      <c r="S125" s="3337"/>
      <c r="T125" s="3337"/>
      <c r="U125" s="3337"/>
      <c r="V125" s="3337"/>
      <c r="W125" s="3336"/>
      <c r="X125" s="3337"/>
      <c r="Y125" s="3337"/>
      <c r="Z125" s="3337"/>
      <c r="AA125" s="3337"/>
      <c r="AB125" s="4775"/>
      <c r="AC125" s="4835">
        <f t="shared" si="154"/>
        <v>0</v>
      </c>
      <c r="AD125" s="4835">
        <f t="shared" si="130"/>
        <v>0</v>
      </c>
      <c r="AE125" s="4835">
        <f t="shared" si="131"/>
        <v>0</v>
      </c>
      <c r="AF125" s="4835">
        <f t="shared" si="132"/>
        <v>0</v>
      </c>
      <c r="AG125" s="4835">
        <f t="shared" si="133"/>
        <v>0</v>
      </c>
      <c r="AH125" s="4835">
        <f t="shared" si="134"/>
        <v>0</v>
      </c>
      <c r="AI125" s="4835">
        <f t="shared" si="135"/>
        <v>0</v>
      </c>
      <c r="AJ125" s="4835">
        <f t="shared" si="136"/>
        <v>0</v>
      </c>
      <c r="AK125" s="4835">
        <f t="shared" si="137"/>
        <v>0</v>
      </c>
      <c r="AL125" s="4835">
        <f t="shared" si="138"/>
        <v>0</v>
      </c>
      <c r="AM125" s="4835">
        <f t="shared" si="139"/>
        <v>0</v>
      </c>
      <c r="AN125" s="4835">
        <f t="shared" si="140"/>
        <v>0</v>
      </c>
      <c r="AO125" s="4835">
        <f t="shared" si="141"/>
        <v>0</v>
      </c>
      <c r="AP125" s="4835">
        <f t="shared" si="142"/>
        <v>0</v>
      </c>
      <c r="AQ125" s="4835">
        <f t="shared" si="143"/>
        <v>0</v>
      </c>
      <c r="AR125" s="4835">
        <f t="shared" si="144"/>
        <v>0</v>
      </c>
      <c r="AS125" s="4835">
        <f t="shared" si="145"/>
        <v>0</v>
      </c>
      <c r="AT125" s="4835">
        <f t="shared" si="146"/>
        <v>0</v>
      </c>
      <c r="AU125" s="4835">
        <f t="shared" si="147"/>
        <v>0</v>
      </c>
      <c r="AV125" s="4835">
        <f t="shared" si="148"/>
        <v>0</v>
      </c>
      <c r="AW125" s="4835">
        <f t="shared" si="149"/>
        <v>0</v>
      </c>
      <c r="AX125" s="4835">
        <f t="shared" si="150"/>
        <v>0</v>
      </c>
      <c r="AY125" s="4835">
        <f t="shared" si="151"/>
        <v>0</v>
      </c>
      <c r="AZ125" s="4835">
        <f t="shared" si="152"/>
        <v>0</v>
      </c>
      <c r="BA125" s="4835">
        <f t="shared" si="153"/>
        <v>0</v>
      </c>
    </row>
    <row r="126" spans="1:53" ht="18.75" customHeight="1" thickBot="1">
      <c r="A126" s="5513" t="s">
        <v>1175</v>
      </c>
      <c r="B126" s="5514"/>
      <c r="C126" s="5515">
        <v>6</v>
      </c>
      <c r="D126" s="5516"/>
      <c r="E126" s="5516"/>
      <c r="F126" s="5516"/>
      <c r="G126" s="5516"/>
      <c r="H126" s="5515">
        <f>C126+1</f>
        <v>7</v>
      </c>
      <c r="I126" s="5516"/>
      <c r="J126" s="5516"/>
      <c r="K126" s="5516"/>
      <c r="L126" s="5516"/>
      <c r="M126" s="5515">
        <f>H126+1</f>
        <v>8</v>
      </c>
      <c r="N126" s="5516"/>
      <c r="O126" s="5516"/>
      <c r="P126" s="5516"/>
      <c r="Q126" s="5516"/>
      <c r="R126" s="5515">
        <f>M126+1</f>
        <v>9</v>
      </c>
      <c r="S126" s="5516"/>
      <c r="T126" s="5516"/>
      <c r="U126" s="5516"/>
      <c r="V126" s="5516"/>
      <c r="W126" s="5515">
        <f>R126+1</f>
        <v>10</v>
      </c>
      <c r="X126" s="5516"/>
      <c r="Y126" s="5516"/>
      <c r="Z126" s="5516"/>
      <c r="AA126" s="5516"/>
      <c r="AB126" s="4775"/>
      <c r="AC126" s="5368">
        <f>+C126</f>
        <v>6</v>
      </c>
      <c r="AD126" s="5368"/>
      <c r="AE126" s="5368"/>
      <c r="AF126" s="5368"/>
      <c r="AG126" s="5368"/>
      <c r="AH126" s="5368">
        <f>+H126</f>
        <v>7</v>
      </c>
      <c r="AI126" s="5368"/>
      <c r="AJ126" s="5368"/>
      <c r="AK126" s="5368"/>
      <c r="AL126" s="5368"/>
      <c r="AM126" s="5368">
        <f>+M126</f>
        <v>8</v>
      </c>
      <c r="AN126" s="5368"/>
      <c r="AO126" s="5368"/>
      <c r="AP126" s="5368"/>
      <c r="AQ126" s="5368"/>
      <c r="AR126" s="5368">
        <f>+R126</f>
        <v>9</v>
      </c>
      <c r="AS126" s="5368"/>
      <c r="AT126" s="5368"/>
      <c r="AU126" s="5368"/>
      <c r="AV126" s="5368"/>
      <c r="AW126" s="5368">
        <f>+W126</f>
        <v>10</v>
      </c>
      <c r="AX126" s="5368"/>
      <c r="AY126" s="5368"/>
      <c r="AZ126" s="5368"/>
      <c r="BA126" s="5368"/>
    </row>
    <row r="127" spans="1:53" ht="12.75" customHeight="1" thickBot="1">
      <c r="A127" s="5510" t="s">
        <v>1297</v>
      </c>
      <c r="B127" s="3326" t="s">
        <v>1446</v>
      </c>
      <c r="C127" s="5506"/>
      <c r="D127" s="5507"/>
      <c r="E127" s="5507"/>
      <c r="F127" s="5507"/>
      <c r="G127" s="5507"/>
      <c r="H127" s="5506"/>
      <c r="I127" s="5507"/>
      <c r="J127" s="5507"/>
      <c r="K127" s="5507"/>
      <c r="L127" s="5507"/>
      <c r="M127" s="5506"/>
      <c r="N127" s="5507"/>
      <c r="O127" s="5507"/>
      <c r="P127" s="5507"/>
      <c r="Q127" s="5507"/>
      <c r="R127" s="5506"/>
      <c r="S127" s="5507"/>
      <c r="T127" s="5507"/>
      <c r="U127" s="5507"/>
      <c r="V127" s="5507"/>
      <c r="W127" s="5506"/>
      <c r="X127" s="5507"/>
      <c r="Y127" s="5507"/>
      <c r="Z127" s="5507"/>
      <c r="AA127" s="5507"/>
      <c r="AB127" s="4775"/>
      <c r="AC127" s="5535" t="str">
        <f>IF(C127=0,"",C127)</f>
        <v/>
      </c>
      <c r="AD127" s="5535"/>
      <c r="AE127" s="5535"/>
      <c r="AF127" s="5535"/>
      <c r="AG127" s="5535"/>
      <c r="AH127" s="5535" t="str">
        <f>IF(H127=0,"",H127)</f>
        <v/>
      </c>
      <c r="AI127" s="5535"/>
      <c r="AJ127" s="5535"/>
      <c r="AK127" s="5535"/>
      <c r="AL127" s="5535"/>
      <c r="AM127" s="5535" t="str">
        <f>IF(M127=0,"",M127)</f>
        <v/>
      </c>
      <c r="AN127" s="5535"/>
      <c r="AO127" s="5535"/>
      <c r="AP127" s="5535"/>
      <c r="AQ127" s="5535"/>
      <c r="AR127" s="5535" t="str">
        <f>IF(R127=0,"",R127)</f>
        <v/>
      </c>
      <c r="AS127" s="5535"/>
      <c r="AT127" s="5535"/>
      <c r="AU127" s="5535"/>
      <c r="AV127" s="5535"/>
      <c r="AW127" s="5535" t="str">
        <f>IF(W127=0,"",W127)</f>
        <v/>
      </c>
      <c r="AX127" s="5535"/>
      <c r="AY127" s="5535"/>
      <c r="AZ127" s="5535"/>
      <c r="BA127" s="5535"/>
    </row>
    <row r="128" spans="1:53" ht="13.5" thickBot="1">
      <c r="A128" s="5510"/>
      <c r="B128" s="3326" t="s">
        <v>1298</v>
      </c>
      <c r="C128" s="5506"/>
      <c r="D128" s="5507"/>
      <c r="E128" s="5507"/>
      <c r="F128" s="5507"/>
      <c r="G128" s="5507"/>
      <c r="H128" s="5506"/>
      <c r="I128" s="5507"/>
      <c r="J128" s="5507"/>
      <c r="K128" s="5507"/>
      <c r="L128" s="5507"/>
      <c r="M128" s="5506"/>
      <c r="N128" s="5507"/>
      <c r="O128" s="5507"/>
      <c r="P128" s="5507"/>
      <c r="Q128" s="5507"/>
      <c r="R128" s="5506"/>
      <c r="S128" s="5507"/>
      <c r="T128" s="5507"/>
      <c r="U128" s="5507"/>
      <c r="V128" s="5507"/>
      <c r="W128" s="5506"/>
      <c r="X128" s="5507"/>
      <c r="Y128" s="5507"/>
      <c r="Z128" s="5507"/>
      <c r="AA128" s="5507"/>
      <c r="AB128" s="4775"/>
      <c r="AC128" s="5535" t="str">
        <f t="shared" ref="AC128:AC132" si="155">IF(C128=0,"",C128)</f>
        <v/>
      </c>
      <c r="AD128" s="5535"/>
      <c r="AE128" s="5535"/>
      <c r="AF128" s="5535"/>
      <c r="AG128" s="5535"/>
      <c r="AH128" s="5535" t="str">
        <f t="shared" ref="AH128:AH132" si="156">IF(H128=0,"",H128)</f>
        <v/>
      </c>
      <c r="AI128" s="5535"/>
      <c r="AJ128" s="5535"/>
      <c r="AK128" s="5535"/>
      <c r="AL128" s="5535"/>
      <c r="AM128" s="5535" t="str">
        <f t="shared" ref="AM128:AM132" si="157">IF(M128=0,"",M128)</f>
        <v/>
      </c>
      <c r="AN128" s="5535"/>
      <c r="AO128" s="5535"/>
      <c r="AP128" s="5535"/>
      <c r="AQ128" s="5535"/>
      <c r="AR128" s="5535" t="str">
        <f t="shared" ref="AR128:AR132" si="158">IF(R128=0,"",R128)</f>
        <v/>
      </c>
      <c r="AS128" s="5535"/>
      <c r="AT128" s="5535"/>
      <c r="AU128" s="5535"/>
      <c r="AV128" s="5535"/>
      <c r="AW128" s="5535" t="str">
        <f t="shared" ref="AW128:AW132" si="159">IF(W128=0,"",W128)</f>
        <v/>
      </c>
      <c r="AX128" s="5535"/>
      <c r="AY128" s="5535"/>
      <c r="AZ128" s="5535"/>
      <c r="BA128" s="5535"/>
    </row>
    <row r="129" spans="1:53" ht="13.5" thickBot="1">
      <c r="A129" s="5496" t="s">
        <v>1299</v>
      </c>
      <c r="B129" s="3327" t="s">
        <v>1300</v>
      </c>
      <c r="C129" s="5531"/>
      <c r="D129" s="5507"/>
      <c r="E129" s="5507"/>
      <c r="F129" s="5507"/>
      <c r="G129" s="5507"/>
      <c r="H129" s="5506"/>
      <c r="I129" s="5507"/>
      <c r="J129" s="5507"/>
      <c r="K129" s="5507"/>
      <c r="L129" s="5507"/>
      <c r="M129" s="5506"/>
      <c r="N129" s="5507"/>
      <c r="O129" s="5507"/>
      <c r="P129" s="5507"/>
      <c r="Q129" s="5507"/>
      <c r="R129" s="5506"/>
      <c r="S129" s="5507"/>
      <c r="T129" s="5507"/>
      <c r="U129" s="5507"/>
      <c r="V129" s="5507"/>
      <c r="W129" s="5506"/>
      <c r="X129" s="5507"/>
      <c r="Y129" s="5507"/>
      <c r="Z129" s="5507"/>
      <c r="AA129" s="5507"/>
      <c r="AB129" s="4775"/>
      <c r="AC129" s="5535" t="str">
        <f t="shared" si="155"/>
        <v/>
      </c>
      <c r="AD129" s="5535"/>
      <c r="AE129" s="5535"/>
      <c r="AF129" s="5535"/>
      <c r="AG129" s="5535"/>
      <c r="AH129" s="5535" t="str">
        <f t="shared" si="156"/>
        <v/>
      </c>
      <c r="AI129" s="5535"/>
      <c r="AJ129" s="5535"/>
      <c r="AK129" s="5535"/>
      <c r="AL129" s="5535"/>
      <c r="AM129" s="5535" t="str">
        <f t="shared" si="157"/>
        <v/>
      </c>
      <c r="AN129" s="5535"/>
      <c r="AO129" s="5535"/>
      <c r="AP129" s="5535"/>
      <c r="AQ129" s="5535"/>
      <c r="AR129" s="5535" t="str">
        <f t="shared" si="158"/>
        <v/>
      </c>
      <c r="AS129" s="5535"/>
      <c r="AT129" s="5535"/>
      <c r="AU129" s="5535"/>
      <c r="AV129" s="5535"/>
      <c r="AW129" s="5535" t="str">
        <f t="shared" si="159"/>
        <v/>
      </c>
      <c r="AX129" s="5535"/>
      <c r="AY129" s="5535"/>
      <c r="AZ129" s="5535"/>
      <c r="BA129" s="5535"/>
    </row>
    <row r="130" spans="1:53" ht="13.5" thickBot="1">
      <c r="A130" s="5497"/>
      <c r="B130" s="3326" t="s">
        <v>1301</v>
      </c>
      <c r="C130" s="5506"/>
      <c r="D130" s="5507"/>
      <c r="E130" s="5507"/>
      <c r="F130" s="5507"/>
      <c r="G130" s="5507"/>
      <c r="H130" s="5506"/>
      <c r="I130" s="5507"/>
      <c r="J130" s="5507"/>
      <c r="K130" s="5507"/>
      <c r="L130" s="5507"/>
      <c r="M130" s="5506"/>
      <c r="N130" s="5507"/>
      <c r="O130" s="5507"/>
      <c r="P130" s="5507"/>
      <c r="Q130" s="5507"/>
      <c r="R130" s="5506"/>
      <c r="S130" s="5507"/>
      <c r="T130" s="5507"/>
      <c r="U130" s="5507"/>
      <c r="V130" s="5507"/>
      <c r="W130" s="5506"/>
      <c r="X130" s="5507"/>
      <c r="Y130" s="5507"/>
      <c r="Z130" s="5507"/>
      <c r="AA130" s="5507"/>
      <c r="AB130" s="4775"/>
      <c r="AC130" s="5535" t="str">
        <f t="shared" si="155"/>
        <v/>
      </c>
      <c r="AD130" s="5535"/>
      <c r="AE130" s="5535"/>
      <c r="AF130" s="5535"/>
      <c r="AG130" s="5535"/>
      <c r="AH130" s="5535" t="str">
        <f t="shared" si="156"/>
        <v/>
      </c>
      <c r="AI130" s="5535"/>
      <c r="AJ130" s="5535"/>
      <c r="AK130" s="5535"/>
      <c r="AL130" s="5535"/>
      <c r="AM130" s="5535" t="str">
        <f t="shared" si="157"/>
        <v/>
      </c>
      <c r="AN130" s="5535"/>
      <c r="AO130" s="5535"/>
      <c r="AP130" s="5535"/>
      <c r="AQ130" s="5535"/>
      <c r="AR130" s="5535" t="str">
        <f t="shared" si="158"/>
        <v/>
      </c>
      <c r="AS130" s="5535"/>
      <c r="AT130" s="5535"/>
      <c r="AU130" s="5535"/>
      <c r="AV130" s="5535"/>
      <c r="AW130" s="5535" t="str">
        <f t="shared" si="159"/>
        <v/>
      </c>
      <c r="AX130" s="5535"/>
      <c r="AY130" s="5535"/>
      <c r="AZ130" s="5535"/>
      <c r="BA130" s="5535"/>
    </row>
    <row r="131" spans="1:53" ht="26.25" thickBot="1">
      <c r="A131" s="4031" t="s">
        <v>1302</v>
      </c>
      <c r="B131" s="3326" t="s">
        <v>1303</v>
      </c>
      <c r="C131" s="5506"/>
      <c r="D131" s="5507"/>
      <c r="E131" s="5507"/>
      <c r="F131" s="5507"/>
      <c r="G131" s="5507"/>
      <c r="H131" s="5506"/>
      <c r="I131" s="5507"/>
      <c r="J131" s="5507"/>
      <c r="K131" s="5507"/>
      <c r="L131" s="5507"/>
      <c r="M131" s="5506"/>
      <c r="N131" s="5507"/>
      <c r="O131" s="5507"/>
      <c r="P131" s="5507"/>
      <c r="Q131" s="5507"/>
      <c r="R131" s="5506"/>
      <c r="S131" s="5507"/>
      <c r="T131" s="5507"/>
      <c r="U131" s="5507"/>
      <c r="V131" s="5507"/>
      <c r="W131" s="5506"/>
      <c r="X131" s="5507"/>
      <c r="Y131" s="5507"/>
      <c r="Z131" s="5507"/>
      <c r="AA131" s="5507"/>
      <c r="AB131" s="4775"/>
      <c r="AC131" s="5535" t="str">
        <f t="shared" si="155"/>
        <v/>
      </c>
      <c r="AD131" s="5535"/>
      <c r="AE131" s="5535"/>
      <c r="AF131" s="5535"/>
      <c r="AG131" s="5535"/>
      <c r="AH131" s="5535" t="str">
        <f t="shared" si="156"/>
        <v/>
      </c>
      <c r="AI131" s="5535"/>
      <c r="AJ131" s="5535"/>
      <c r="AK131" s="5535"/>
      <c r="AL131" s="5535"/>
      <c r="AM131" s="5535" t="str">
        <f t="shared" si="157"/>
        <v/>
      </c>
      <c r="AN131" s="5535"/>
      <c r="AO131" s="5535"/>
      <c r="AP131" s="5535"/>
      <c r="AQ131" s="5535"/>
      <c r="AR131" s="5535" t="str">
        <f t="shared" si="158"/>
        <v/>
      </c>
      <c r="AS131" s="5535"/>
      <c r="AT131" s="5535"/>
      <c r="AU131" s="5535"/>
      <c r="AV131" s="5535"/>
      <c r="AW131" s="5535" t="str">
        <f t="shared" si="159"/>
        <v/>
      </c>
      <c r="AX131" s="5535"/>
      <c r="AY131" s="5535"/>
      <c r="AZ131" s="5535"/>
      <c r="BA131" s="5535"/>
    </row>
    <row r="132" spans="1:53" ht="26.25" customHeight="1" thickBot="1">
      <c r="A132" s="3328" t="s">
        <v>1304</v>
      </c>
      <c r="B132" s="3329" t="s">
        <v>1305</v>
      </c>
      <c r="C132" s="5517"/>
      <c r="D132" s="5518"/>
      <c r="E132" s="5518"/>
      <c r="F132" s="5518"/>
      <c r="G132" s="5518"/>
      <c r="H132" s="5517"/>
      <c r="I132" s="5518"/>
      <c r="J132" s="5518"/>
      <c r="K132" s="5518"/>
      <c r="L132" s="5518"/>
      <c r="M132" s="5517"/>
      <c r="N132" s="5518"/>
      <c r="O132" s="5518"/>
      <c r="P132" s="5518"/>
      <c r="Q132" s="5518"/>
      <c r="R132" s="5517"/>
      <c r="S132" s="5518"/>
      <c r="T132" s="5518"/>
      <c r="U132" s="5518"/>
      <c r="V132" s="5518"/>
      <c r="W132" s="5517"/>
      <c r="X132" s="5518"/>
      <c r="Y132" s="5518"/>
      <c r="Z132" s="5518"/>
      <c r="AA132" s="5518"/>
      <c r="AB132" s="4775"/>
      <c r="AC132" s="5535" t="str">
        <f t="shared" si="155"/>
        <v/>
      </c>
      <c r="AD132" s="5535"/>
      <c r="AE132" s="5535"/>
      <c r="AF132" s="5535"/>
      <c r="AG132" s="5535"/>
      <c r="AH132" s="5535" t="str">
        <f t="shared" si="156"/>
        <v/>
      </c>
      <c r="AI132" s="5535"/>
      <c r="AJ132" s="5535"/>
      <c r="AK132" s="5535"/>
      <c r="AL132" s="5535"/>
      <c r="AM132" s="5535" t="str">
        <f t="shared" si="157"/>
        <v/>
      </c>
      <c r="AN132" s="5535"/>
      <c r="AO132" s="5535"/>
      <c r="AP132" s="5535"/>
      <c r="AQ132" s="5535"/>
      <c r="AR132" s="5535" t="str">
        <f t="shared" si="158"/>
        <v/>
      </c>
      <c r="AS132" s="5535"/>
      <c r="AT132" s="5535"/>
      <c r="AU132" s="5535"/>
      <c r="AV132" s="5535"/>
      <c r="AW132" s="5535" t="str">
        <f t="shared" si="159"/>
        <v/>
      </c>
      <c r="AX132" s="5535"/>
      <c r="AY132" s="5535"/>
      <c r="AZ132" s="5535"/>
      <c r="BA132" s="5535"/>
    </row>
    <row r="133" spans="1:53" ht="13.5" thickBot="1">
      <c r="A133" s="5511" t="s">
        <v>1461</v>
      </c>
      <c r="B133" s="5512"/>
      <c r="C133" s="4516" t="str">
        <f>'Приложение '!$C$14</f>
        <v>2027 г.</v>
      </c>
      <c r="D133" s="4517" t="str">
        <f>'Приложение '!$C$15</f>
        <v>2028 г.</v>
      </c>
      <c r="E133" s="4517" t="str">
        <f>'Приложение '!$C$16</f>
        <v>2029 г.</v>
      </c>
      <c r="F133" s="4517" t="str">
        <f>'Приложение '!$C$17</f>
        <v>2030 г.</v>
      </c>
      <c r="G133" s="4517" t="str">
        <f>'Приложение '!$C$18</f>
        <v>2031 г.</v>
      </c>
      <c r="H133" s="4516" t="str">
        <f>'Приложение '!$C$14</f>
        <v>2027 г.</v>
      </c>
      <c r="I133" s="4517" t="str">
        <f>'Приложение '!$C$15</f>
        <v>2028 г.</v>
      </c>
      <c r="J133" s="4517" t="str">
        <f>'Приложение '!$C$16</f>
        <v>2029 г.</v>
      </c>
      <c r="K133" s="4517" t="str">
        <f>'Приложение '!$C$17</f>
        <v>2030 г.</v>
      </c>
      <c r="L133" s="4517" t="str">
        <f>'Приложение '!$C$18</f>
        <v>2031 г.</v>
      </c>
      <c r="M133" s="4516" t="str">
        <f>'Приложение '!$C$14</f>
        <v>2027 г.</v>
      </c>
      <c r="N133" s="4517" t="str">
        <f>'Приложение '!$C$15</f>
        <v>2028 г.</v>
      </c>
      <c r="O133" s="4517" t="str">
        <f>'Приложение '!$C$16</f>
        <v>2029 г.</v>
      </c>
      <c r="P133" s="4517" t="str">
        <f>'Приложение '!$C$17</f>
        <v>2030 г.</v>
      </c>
      <c r="Q133" s="4517" t="str">
        <f>'Приложение '!$C$18</f>
        <v>2031 г.</v>
      </c>
      <c r="R133" s="4516" t="str">
        <f>'Приложение '!$C$14</f>
        <v>2027 г.</v>
      </c>
      <c r="S133" s="4517" t="str">
        <f>'Приложение '!$C$15</f>
        <v>2028 г.</v>
      </c>
      <c r="T133" s="4517" t="str">
        <f>'Приложение '!$C$16</f>
        <v>2029 г.</v>
      </c>
      <c r="U133" s="4517" t="str">
        <f>'Приложение '!$C$17</f>
        <v>2030 г.</v>
      </c>
      <c r="V133" s="4517" t="str">
        <f>'Приложение '!$C$18</f>
        <v>2031 г.</v>
      </c>
      <c r="W133" s="4516" t="str">
        <f>'Приложение '!$C$14</f>
        <v>2027 г.</v>
      </c>
      <c r="X133" s="4517" t="str">
        <f>'Приложение '!$C$15</f>
        <v>2028 г.</v>
      </c>
      <c r="Y133" s="4517" t="str">
        <f>'Приложение '!$C$16</f>
        <v>2029 г.</v>
      </c>
      <c r="Z133" s="4517" t="str">
        <f>'Приложение '!$C$17</f>
        <v>2030 г.</v>
      </c>
      <c r="AA133" s="4517" t="str">
        <f>'Приложение '!$C$18</f>
        <v>2031 г.</v>
      </c>
      <c r="AB133" s="4775"/>
      <c r="AC133" s="4829" t="str">
        <f>'Приложение '!$C$14</f>
        <v>2027 г.</v>
      </c>
      <c r="AD133" s="4829" t="str">
        <f>'Приложение '!$C$15</f>
        <v>2028 г.</v>
      </c>
      <c r="AE133" s="4829" t="str">
        <f>'Приложение '!$C$16</f>
        <v>2029 г.</v>
      </c>
      <c r="AF133" s="4829" t="str">
        <f>'Приложение '!$C$17</f>
        <v>2030 г.</v>
      </c>
      <c r="AG133" s="4829" t="str">
        <f>'Приложение '!$C$18</f>
        <v>2031 г.</v>
      </c>
      <c r="AH133" s="4829" t="str">
        <f>'Приложение '!$C$14</f>
        <v>2027 г.</v>
      </c>
      <c r="AI133" s="4829" t="str">
        <f>'Приложение '!$C$15</f>
        <v>2028 г.</v>
      </c>
      <c r="AJ133" s="4829" t="str">
        <f>'Приложение '!$C$16</f>
        <v>2029 г.</v>
      </c>
      <c r="AK133" s="4829" t="str">
        <f>'Приложение '!$C$17</f>
        <v>2030 г.</v>
      </c>
      <c r="AL133" s="4829" t="str">
        <f>'Приложение '!$C$18</f>
        <v>2031 г.</v>
      </c>
      <c r="AM133" s="4829" t="str">
        <f>'Приложение '!$C$14</f>
        <v>2027 г.</v>
      </c>
      <c r="AN133" s="4829" t="str">
        <f>'Приложение '!$C$15</f>
        <v>2028 г.</v>
      </c>
      <c r="AO133" s="4829" t="str">
        <f>'Приложение '!$C$16</f>
        <v>2029 г.</v>
      </c>
      <c r="AP133" s="4829" t="str">
        <f>'Приложение '!$C$17</f>
        <v>2030 г.</v>
      </c>
      <c r="AQ133" s="4829" t="str">
        <f>'Приложение '!$C$18</f>
        <v>2031 г.</v>
      </c>
      <c r="AR133" s="4829" t="str">
        <f>'Приложение '!$C$14</f>
        <v>2027 г.</v>
      </c>
      <c r="AS133" s="4829" t="str">
        <f>'Приложение '!$C$15</f>
        <v>2028 г.</v>
      </c>
      <c r="AT133" s="4829" t="str">
        <f>'Приложение '!$C$16</f>
        <v>2029 г.</v>
      </c>
      <c r="AU133" s="4829" t="str">
        <f>'Приложение '!$C$17</f>
        <v>2030 г.</v>
      </c>
      <c r="AV133" s="4829" t="str">
        <f>'Приложение '!$C$18</f>
        <v>2031 г.</v>
      </c>
      <c r="AW133" s="4829" t="str">
        <f>'Приложение '!$C$14</f>
        <v>2027 г.</v>
      </c>
      <c r="AX133" s="4829" t="str">
        <f>'Приложение '!$C$15</f>
        <v>2028 г.</v>
      </c>
      <c r="AY133" s="4829" t="str">
        <f>'Приложение '!$C$16</f>
        <v>2029 г.</v>
      </c>
      <c r="AZ133" s="4829" t="str">
        <f>'Приложение '!$C$17</f>
        <v>2030 г.</v>
      </c>
      <c r="BA133" s="4829" t="str">
        <f>'Приложение '!$C$18</f>
        <v>2031 г.</v>
      </c>
    </row>
    <row r="134" spans="1:53" ht="12.75" customHeight="1">
      <c r="A134" s="5498" t="s">
        <v>1447</v>
      </c>
      <c r="B134" s="5499"/>
      <c r="C134" s="3330"/>
      <c r="D134" s="3331"/>
      <c r="E134" s="3331"/>
      <c r="F134" s="3331"/>
      <c r="G134" s="3331"/>
      <c r="H134" s="3330"/>
      <c r="I134" s="3331"/>
      <c r="J134" s="3331"/>
      <c r="K134" s="3331"/>
      <c r="L134" s="3331"/>
      <c r="M134" s="3330"/>
      <c r="N134" s="3331"/>
      <c r="O134" s="3331"/>
      <c r="P134" s="3331"/>
      <c r="Q134" s="3331"/>
      <c r="R134" s="3330"/>
      <c r="S134" s="3331"/>
      <c r="T134" s="3331"/>
      <c r="U134" s="3331"/>
      <c r="V134" s="3331"/>
      <c r="W134" s="3330"/>
      <c r="X134" s="3331"/>
      <c r="Y134" s="3331"/>
      <c r="Z134" s="3331"/>
      <c r="AA134" s="3331"/>
      <c r="AB134" s="4775"/>
      <c r="AC134" s="4832"/>
      <c r="AD134" s="4832"/>
      <c r="AE134" s="4832"/>
      <c r="AF134" s="4832"/>
      <c r="AG134" s="4832"/>
      <c r="AH134" s="4832"/>
      <c r="AI134" s="4832"/>
      <c r="AJ134" s="4832"/>
      <c r="AK134" s="4832"/>
      <c r="AL134" s="4832"/>
      <c r="AM134" s="4832"/>
      <c r="AN134" s="4832"/>
      <c r="AO134" s="4832"/>
      <c r="AP134" s="4832"/>
      <c r="AQ134" s="4832"/>
      <c r="AR134" s="4832"/>
      <c r="AS134" s="4832"/>
      <c r="AT134" s="4832"/>
      <c r="AU134" s="4832"/>
      <c r="AV134" s="4832"/>
      <c r="AW134" s="4832"/>
      <c r="AX134" s="4832"/>
      <c r="AY134" s="4832"/>
      <c r="AZ134" s="4832"/>
      <c r="BA134" s="4832"/>
    </row>
    <row r="135" spans="1:53" ht="12.75" customHeight="1">
      <c r="A135" s="5500" t="s">
        <v>1448</v>
      </c>
      <c r="B135" s="5501"/>
      <c r="C135" s="3332"/>
      <c r="D135" s="3333"/>
      <c r="E135" s="3333"/>
      <c r="F135" s="3333"/>
      <c r="G135" s="3333"/>
      <c r="H135" s="3332"/>
      <c r="I135" s="3333"/>
      <c r="J135" s="3333"/>
      <c r="K135" s="3333"/>
      <c r="L135" s="3333"/>
      <c r="M135" s="3332"/>
      <c r="N135" s="3333"/>
      <c r="O135" s="3333"/>
      <c r="P135" s="3333"/>
      <c r="Q135" s="3333"/>
      <c r="R135" s="3332"/>
      <c r="S135" s="3333"/>
      <c r="T135" s="3333"/>
      <c r="U135" s="3333"/>
      <c r="V135" s="3333"/>
      <c r="W135" s="3332"/>
      <c r="X135" s="3333"/>
      <c r="Y135" s="3333"/>
      <c r="Z135" s="3333"/>
      <c r="AA135" s="3333"/>
      <c r="AB135" s="4775"/>
      <c r="AC135" s="4833"/>
      <c r="AD135" s="4833"/>
      <c r="AE135" s="4833"/>
      <c r="AF135" s="4833"/>
      <c r="AG135" s="4833"/>
      <c r="AH135" s="4833"/>
      <c r="AI135" s="4833"/>
      <c r="AJ135" s="4833"/>
      <c r="AK135" s="4833"/>
      <c r="AL135" s="4833"/>
      <c r="AM135" s="4833"/>
      <c r="AN135" s="4833"/>
      <c r="AO135" s="4833"/>
      <c r="AP135" s="4833"/>
      <c r="AQ135" s="4833"/>
      <c r="AR135" s="4833"/>
      <c r="AS135" s="4833"/>
      <c r="AT135" s="4833"/>
      <c r="AU135" s="4833"/>
      <c r="AV135" s="4833"/>
      <c r="AW135" s="4833"/>
      <c r="AX135" s="4833"/>
      <c r="AY135" s="4833"/>
      <c r="AZ135" s="4833"/>
      <c r="BA135" s="4833"/>
    </row>
    <row r="136" spans="1:53">
      <c r="A136" s="5523" t="s">
        <v>1449</v>
      </c>
      <c r="B136" s="5524"/>
      <c r="C136" s="3334"/>
      <c r="D136" s="3335"/>
      <c r="E136" s="3335"/>
      <c r="F136" s="3335"/>
      <c r="G136" s="3335"/>
      <c r="H136" s="3334"/>
      <c r="I136" s="3335"/>
      <c r="J136" s="3335"/>
      <c r="K136" s="3335"/>
      <c r="L136" s="3335"/>
      <c r="M136" s="3334"/>
      <c r="N136" s="3335"/>
      <c r="O136" s="3335"/>
      <c r="P136" s="3335"/>
      <c r="Q136" s="3335"/>
      <c r="R136" s="3334"/>
      <c r="S136" s="3335"/>
      <c r="T136" s="3335"/>
      <c r="U136" s="3335"/>
      <c r="V136" s="3335"/>
      <c r="W136" s="3334"/>
      <c r="X136" s="3335"/>
      <c r="Y136" s="3335"/>
      <c r="Z136" s="3335"/>
      <c r="AA136" s="3335"/>
      <c r="AB136" s="4775"/>
      <c r="AC136" s="4833"/>
      <c r="AD136" s="4833"/>
      <c r="AE136" s="4833"/>
      <c r="AF136" s="4833"/>
      <c r="AG136" s="4833"/>
      <c r="AH136" s="4833"/>
      <c r="AI136" s="4833"/>
      <c r="AJ136" s="4833"/>
      <c r="AK136" s="4833"/>
      <c r="AL136" s="4833"/>
      <c r="AM136" s="4833"/>
      <c r="AN136" s="4833"/>
      <c r="AO136" s="4833"/>
      <c r="AP136" s="4833"/>
      <c r="AQ136" s="4833"/>
      <c r="AR136" s="4833"/>
      <c r="AS136" s="4833"/>
      <c r="AT136" s="4833"/>
      <c r="AU136" s="4833"/>
      <c r="AV136" s="4833"/>
      <c r="AW136" s="4833"/>
      <c r="AX136" s="4833"/>
      <c r="AY136" s="4833"/>
      <c r="AZ136" s="4833"/>
      <c r="BA136" s="4833"/>
    </row>
    <row r="137" spans="1:53" ht="13.5" thickBot="1">
      <c r="A137" s="5504" t="s">
        <v>1450</v>
      </c>
      <c r="B137" s="5505"/>
      <c r="C137" s="3336"/>
      <c r="D137" s="3337"/>
      <c r="E137" s="3337"/>
      <c r="F137" s="3337"/>
      <c r="G137" s="3337"/>
      <c r="H137" s="3336"/>
      <c r="I137" s="3337"/>
      <c r="J137" s="3337"/>
      <c r="K137" s="3337"/>
      <c r="L137" s="3337"/>
      <c r="M137" s="3336"/>
      <c r="N137" s="3337"/>
      <c r="O137" s="3337"/>
      <c r="P137" s="3337"/>
      <c r="Q137" s="3337"/>
      <c r="R137" s="3336"/>
      <c r="S137" s="3337"/>
      <c r="T137" s="3337"/>
      <c r="U137" s="3337"/>
      <c r="V137" s="3337"/>
      <c r="W137" s="3336"/>
      <c r="X137" s="3337"/>
      <c r="Y137" s="3337"/>
      <c r="Z137" s="3337"/>
      <c r="AA137" s="3337"/>
      <c r="AB137" s="4775"/>
      <c r="AC137" s="4834"/>
      <c r="AD137" s="4834"/>
      <c r="AE137" s="4834"/>
      <c r="AF137" s="4834"/>
      <c r="AG137" s="4834"/>
      <c r="AH137" s="4834"/>
      <c r="AI137" s="4834"/>
      <c r="AJ137" s="4834"/>
      <c r="AK137" s="4834"/>
      <c r="AL137" s="4834"/>
      <c r="AM137" s="4834"/>
      <c r="AN137" s="4834"/>
      <c r="AO137" s="4834"/>
      <c r="AP137" s="4834"/>
      <c r="AQ137" s="4834"/>
      <c r="AR137" s="4834"/>
      <c r="AS137" s="4834"/>
      <c r="AT137" s="4834"/>
      <c r="AU137" s="4834"/>
      <c r="AV137" s="4834"/>
      <c r="AW137" s="4834"/>
      <c r="AX137" s="4834"/>
      <c r="AY137" s="4834"/>
      <c r="AZ137" s="4834"/>
      <c r="BA137" s="4834"/>
    </row>
    <row r="138" spans="1:53" s="3759" customFormat="1" ht="27" customHeight="1" thickBot="1">
      <c r="A138" s="5525" t="s">
        <v>1452</v>
      </c>
      <c r="B138" s="5526"/>
      <c r="C138" s="3338">
        <f t="shared" ref="C138:AA138" si="160">SUM(C139,C144:C148)</f>
        <v>0</v>
      </c>
      <c r="D138" s="3339">
        <f t="shared" si="160"/>
        <v>0</v>
      </c>
      <c r="E138" s="3339">
        <f t="shared" si="160"/>
        <v>0</v>
      </c>
      <c r="F138" s="3339">
        <f t="shared" si="160"/>
        <v>0</v>
      </c>
      <c r="G138" s="3339">
        <f t="shared" si="160"/>
        <v>0</v>
      </c>
      <c r="H138" s="3338">
        <f t="shared" si="160"/>
        <v>0</v>
      </c>
      <c r="I138" s="3339">
        <f t="shared" si="160"/>
        <v>0</v>
      </c>
      <c r="J138" s="3339">
        <f t="shared" si="160"/>
        <v>0</v>
      </c>
      <c r="K138" s="3339">
        <f t="shared" si="160"/>
        <v>0</v>
      </c>
      <c r="L138" s="3339">
        <f t="shared" si="160"/>
        <v>0</v>
      </c>
      <c r="M138" s="3338">
        <f t="shared" si="160"/>
        <v>0</v>
      </c>
      <c r="N138" s="3339">
        <f t="shared" si="160"/>
        <v>0</v>
      </c>
      <c r="O138" s="3339">
        <f t="shared" si="160"/>
        <v>0</v>
      </c>
      <c r="P138" s="3339">
        <f t="shared" si="160"/>
        <v>0</v>
      </c>
      <c r="Q138" s="3339">
        <f t="shared" si="160"/>
        <v>0</v>
      </c>
      <c r="R138" s="3338">
        <f t="shared" si="160"/>
        <v>0</v>
      </c>
      <c r="S138" s="3339">
        <f t="shared" si="160"/>
        <v>0</v>
      </c>
      <c r="T138" s="3339">
        <f t="shared" si="160"/>
        <v>0</v>
      </c>
      <c r="U138" s="3339">
        <f t="shared" si="160"/>
        <v>0</v>
      </c>
      <c r="V138" s="3339">
        <f t="shared" si="160"/>
        <v>0</v>
      </c>
      <c r="W138" s="3338">
        <f t="shared" si="160"/>
        <v>0</v>
      </c>
      <c r="X138" s="3339">
        <f t="shared" si="160"/>
        <v>0</v>
      </c>
      <c r="Y138" s="3339">
        <f t="shared" si="160"/>
        <v>0</v>
      </c>
      <c r="Z138" s="3339">
        <f t="shared" si="160"/>
        <v>0</v>
      </c>
      <c r="AA138" s="3339">
        <f t="shared" si="160"/>
        <v>0</v>
      </c>
      <c r="AB138" s="4775"/>
      <c r="AC138" s="4830">
        <f>IFERROR(C138/$D$1,0)</f>
        <v>0</v>
      </c>
      <c r="AD138" s="4831">
        <f t="shared" ref="AD138:AD148" si="161">IFERROR(D138/$D$1,0)</f>
        <v>0</v>
      </c>
      <c r="AE138" s="4831">
        <f t="shared" ref="AE138:AE148" si="162">IFERROR(E138/$D$1,0)</f>
        <v>0</v>
      </c>
      <c r="AF138" s="4831">
        <f t="shared" ref="AF138:AF148" si="163">IFERROR(F138/$D$1,0)</f>
        <v>0</v>
      </c>
      <c r="AG138" s="4831">
        <f t="shared" ref="AG138:AG148" si="164">IFERROR(G138/$D$1,0)</f>
        <v>0</v>
      </c>
      <c r="AH138" s="4831">
        <f t="shared" ref="AH138:AH148" si="165">IFERROR(H138/$D$1,0)</f>
        <v>0</v>
      </c>
      <c r="AI138" s="4831">
        <f t="shared" ref="AI138:AI148" si="166">IFERROR(I138/$D$1,0)</f>
        <v>0</v>
      </c>
      <c r="AJ138" s="4831">
        <f t="shared" ref="AJ138:AJ148" si="167">IFERROR(J138/$D$1,0)</f>
        <v>0</v>
      </c>
      <c r="AK138" s="4831">
        <f t="shared" ref="AK138:AK148" si="168">IFERROR(K138/$D$1,0)</f>
        <v>0</v>
      </c>
      <c r="AL138" s="4831">
        <f t="shared" ref="AL138:AL148" si="169">IFERROR(L138/$D$1,0)</f>
        <v>0</v>
      </c>
      <c r="AM138" s="4831">
        <f t="shared" ref="AM138:AM148" si="170">IFERROR(M138/$D$1,0)</f>
        <v>0</v>
      </c>
      <c r="AN138" s="4831">
        <f t="shared" ref="AN138:AN148" si="171">IFERROR(N138/$D$1,0)</f>
        <v>0</v>
      </c>
      <c r="AO138" s="4831">
        <f t="shared" ref="AO138:AO148" si="172">IFERROR(O138/$D$1,0)</f>
        <v>0</v>
      </c>
      <c r="AP138" s="4831">
        <f t="shared" ref="AP138:AP148" si="173">IFERROR(P138/$D$1,0)</f>
        <v>0</v>
      </c>
      <c r="AQ138" s="4831">
        <f t="shared" ref="AQ138:AQ148" si="174">IFERROR(Q138/$D$1,0)</f>
        <v>0</v>
      </c>
      <c r="AR138" s="4831">
        <f t="shared" ref="AR138:AR148" si="175">IFERROR(R138/$D$1,0)</f>
        <v>0</v>
      </c>
      <c r="AS138" s="4831">
        <f t="shared" ref="AS138:AS148" si="176">IFERROR(S138/$D$1,0)</f>
        <v>0</v>
      </c>
      <c r="AT138" s="4831">
        <f t="shared" ref="AT138:AT148" si="177">IFERROR(T138/$D$1,0)</f>
        <v>0</v>
      </c>
      <c r="AU138" s="4831">
        <f t="shared" ref="AU138:AU148" si="178">IFERROR(U138/$D$1,0)</f>
        <v>0</v>
      </c>
      <c r="AV138" s="4831">
        <f t="shared" ref="AV138:AV148" si="179">IFERROR(V138/$D$1,0)</f>
        <v>0</v>
      </c>
      <c r="AW138" s="4831">
        <f t="shared" ref="AW138:AW148" si="180">IFERROR(W138/$D$1,0)</f>
        <v>0</v>
      </c>
      <c r="AX138" s="4831">
        <f t="shared" ref="AX138:AX148" si="181">IFERROR(X138/$D$1,0)</f>
        <v>0</v>
      </c>
      <c r="AY138" s="4831">
        <f t="shared" ref="AY138:AY148" si="182">IFERROR(Y138/$D$1,0)</f>
        <v>0</v>
      </c>
      <c r="AZ138" s="4831">
        <f t="shared" ref="AZ138:AZ148" si="183">IFERROR(Z138/$D$1,0)</f>
        <v>0</v>
      </c>
      <c r="BA138" s="4831">
        <f t="shared" ref="BA138:BA148" si="184">IFERROR(AA138/$D$1,0)</f>
        <v>0</v>
      </c>
    </row>
    <row r="139" spans="1:53" ht="12.75" customHeight="1" thickBot="1">
      <c r="A139" s="5527" t="s">
        <v>1451</v>
      </c>
      <c r="B139" s="5528"/>
      <c r="C139" s="3332"/>
      <c r="D139" s="3333"/>
      <c r="E139" s="3333"/>
      <c r="F139" s="3333"/>
      <c r="G139" s="3333"/>
      <c r="H139" s="3332"/>
      <c r="I139" s="3333"/>
      <c r="J139" s="3333"/>
      <c r="K139" s="3333"/>
      <c r="L139" s="3333"/>
      <c r="M139" s="3332"/>
      <c r="N139" s="3333"/>
      <c r="O139" s="3333"/>
      <c r="P139" s="3333"/>
      <c r="Q139" s="3333"/>
      <c r="R139" s="3332"/>
      <c r="S139" s="3333"/>
      <c r="T139" s="3333"/>
      <c r="U139" s="3333"/>
      <c r="V139" s="3333"/>
      <c r="W139" s="3332"/>
      <c r="X139" s="3333"/>
      <c r="Y139" s="3333"/>
      <c r="Z139" s="3333"/>
      <c r="AA139" s="3333"/>
      <c r="AB139" s="4775"/>
      <c r="AC139" s="4835">
        <f t="shared" ref="AC139:AC148" si="185">IFERROR(C139/$D$1,0)</f>
        <v>0</v>
      </c>
      <c r="AD139" s="4835">
        <f t="shared" si="161"/>
        <v>0</v>
      </c>
      <c r="AE139" s="4835">
        <f t="shared" si="162"/>
        <v>0</v>
      </c>
      <c r="AF139" s="4835">
        <f t="shared" si="163"/>
        <v>0</v>
      </c>
      <c r="AG139" s="4835">
        <f t="shared" si="164"/>
        <v>0</v>
      </c>
      <c r="AH139" s="4835">
        <f t="shared" si="165"/>
        <v>0</v>
      </c>
      <c r="AI139" s="4835">
        <f t="shared" si="166"/>
        <v>0</v>
      </c>
      <c r="AJ139" s="4835">
        <f t="shared" si="167"/>
        <v>0</v>
      </c>
      <c r="AK139" s="4835">
        <f t="shared" si="168"/>
        <v>0</v>
      </c>
      <c r="AL139" s="4835">
        <f t="shared" si="169"/>
        <v>0</v>
      </c>
      <c r="AM139" s="4835">
        <f t="shared" si="170"/>
        <v>0</v>
      </c>
      <c r="AN139" s="4835">
        <f t="shared" si="171"/>
        <v>0</v>
      </c>
      <c r="AO139" s="4835">
        <f t="shared" si="172"/>
        <v>0</v>
      </c>
      <c r="AP139" s="4835">
        <f t="shared" si="173"/>
        <v>0</v>
      </c>
      <c r="AQ139" s="4835">
        <f t="shared" si="174"/>
        <v>0</v>
      </c>
      <c r="AR139" s="4835">
        <f t="shared" si="175"/>
        <v>0</v>
      </c>
      <c r="AS139" s="4835">
        <f t="shared" si="176"/>
        <v>0</v>
      </c>
      <c r="AT139" s="4835">
        <f t="shared" si="177"/>
        <v>0</v>
      </c>
      <c r="AU139" s="4835">
        <f t="shared" si="178"/>
        <v>0</v>
      </c>
      <c r="AV139" s="4835">
        <f t="shared" si="179"/>
        <v>0</v>
      </c>
      <c r="AW139" s="4835">
        <f t="shared" si="180"/>
        <v>0</v>
      </c>
      <c r="AX139" s="4835">
        <f t="shared" si="181"/>
        <v>0</v>
      </c>
      <c r="AY139" s="4835">
        <f t="shared" si="182"/>
        <v>0</v>
      </c>
      <c r="AZ139" s="4835">
        <f t="shared" si="183"/>
        <v>0</v>
      </c>
      <c r="BA139" s="4835">
        <f t="shared" si="184"/>
        <v>0</v>
      </c>
    </row>
    <row r="140" spans="1:53" ht="13.5" thickBot="1">
      <c r="A140" s="5529" t="s">
        <v>1463</v>
      </c>
      <c r="B140" s="5530"/>
      <c r="C140" s="3332"/>
      <c r="D140" s="3333"/>
      <c r="E140" s="3333"/>
      <c r="F140" s="3333"/>
      <c r="G140" s="3333"/>
      <c r="H140" s="3332"/>
      <c r="I140" s="3333"/>
      <c r="J140" s="3333"/>
      <c r="K140" s="3333"/>
      <c r="L140" s="3333"/>
      <c r="M140" s="3332"/>
      <c r="N140" s="3333"/>
      <c r="O140" s="3333"/>
      <c r="P140" s="3333"/>
      <c r="Q140" s="3333"/>
      <c r="R140" s="3332"/>
      <c r="S140" s="3333"/>
      <c r="T140" s="3333"/>
      <c r="U140" s="3333"/>
      <c r="V140" s="3333"/>
      <c r="W140" s="3332"/>
      <c r="X140" s="3333"/>
      <c r="Y140" s="3333"/>
      <c r="Z140" s="3333"/>
      <c r="AA140" s="3333"/>
      <c r="AB140" s="4775"/>
      <c r="AC140" s="4835">
        <f t="shared" si="185"/>
        <v>0</v>
      </c>
      <c r="AD140" s="4835">
        <f t="shared" si="161"/>
        <v>0</v>
      </c>
      <c r="AE140" s="4835">
        <f t="shared" si="162"/>
        <v>0</v>
      </c>
      <c r="AF140" s="4835">
        <f t="shared" si="163"/>
        <v>0</v>
      </c>
      <c r="AG140" s="4835">
        <f t="shared" si="164"/>
        <v>0</v>
      </c>
      <c r="AH140" s="4835">
        <f t="shared" si="165"/>
        <v>0</v>
      </c>
      <c r="AI140" s="4835">
        <f t="shared" si="166"/>
        <v>0</v>
      </c>
      <c r="AJ140" s="4835">
        <f t="shared" si="167"/>
        <v>0</v>
      </c>
      <c r="AK140" s="4835">
        <f t="shared" si="168"/>
        <v>0</v>
      </c>
      <c r="AL140" s="4835">
        <f t="shared" si="169"/>
        <v>0</v>
      </c>
      <c r="AM140" s="4835">
        <f t="shared" si="170"/>
        <v>0</v>
      </c>
      <c r="AN140" s="4835">
        <f t="shared" si="171"/>
        <v>0</v>
      </c>
      <c r="AO140" s="4835">
        <f t="shared" si="172"/>
        <v>0</v>
      </c>
      <c r="AP140" s="4835">
        <f t="shared" si="173"/>
        <v>0</v>
      </c>
      <c r="AQ140" s="4835">
        <f t="shared" si="174"/>
        <v>0</v>
      </c>
      <c r="AR140" s="4835">
        <f t="shared" si="175"/>
        <v>0</v>
      </c>
      <c r="AS140" s="4835">
        <f t="shared" si="176"/>
        <v>0</v>
      </c>
      <c r="AT140" s="4835">
        <f t="shared" si="177"/>
        <v>0</v>
      </c>
      <c r="AU140" s="4835">
        <f t="shared" si="178"/>
        <v>0</v>
      </c>
      <c r="AV140" s="4835">
        <f t="shared" si="179"/>
        <v>0</v>
      </c>
      <c r="AW140" s="4835">
        <f t="shared" si="180"/>
        <v>0</v>
      </c>
      <c r="AX140" s="4835">
        <f t="shared" si="181"/>
        <v>0</v>
      </c>
      <c r="AY140" s="4835">
        <f t="shared" si="182"/>
        <v>0</v>
      </c>
      <c r="AZ140" s="4835">
        <f t="shared" si="183"/>
        <v>0</v>
      </c>
      <c r="BA140" s="4835">
        <f t="shared" si="184"/>
        <v>0</v>
      </c>
    </row>
    <row r="141" spans="1:53" ht="12.75" customHeight="1" thickBot="1">
      <c r="A141" s="5502" t="s">
        <v>1453</v>
      </c>
      <c r="B141" s="5503"/>
      <c r="C141" s="3332"/>
      <c r="D141" s="3333"/>
      <c r="E141" s="3333"/>
      <c r="F141" s="3333"/>
      <c r="G141" s="3333"/>
      <c r="H141" s="3332"/>
      <c r="I141" s="3333"/>
      <c r="J141" s="3333"/>
      <c r="K141" s="3333"/>
      <c r="L141" s="3333"/>
      <c r="M141" s="3332"/>
      <c r="N141" s="3333"/>
      <c r="O141" s="3333"/>
      <c r="P141" s="3333"/>
      <c r="Q141" s="3333"/>
      <c r="R141" s="3332"/>
      <c r="S141" s="3333"/>
      <c r="T141" s="3333"/>
      <c r="U141" s="3333"/>
      <c r="V141" s="3333"/>
      <c r="W141" s="3332"/>
      <c r="X141" s="3333"/>
      <c r="Y141" s="3333"/>
      <c r="Z141" s="3333"/>
      <c r="AA141" s="3333"/>
      <c r="AB141" s="4775"/>
      <c r="AC141" s="4835">
        <f t="shared" si="185"/>
        <v>0</v>
      </c>
      <c r="AD141" s="4835">
        <f t="shared" si="161"/>
        <v>0</v>
      </c>
      <c r="AE141" s="4835">
        <f t="shared" si="162"/>
        <v>0</v>
      </c>
      <c r="AF141" s="4835">
        <f t="shared" si="163"/>
        <v>0</v>
      </c>
      <c r="AG141" s="4835">
        <f t="shared" si="164"/>
        <v>0</v>
      </c>
      <c r="AH141" s="4835">
        <f t="shared" si="165"/>
        <v>0</v>
      </c>
      <c r="AI141" s="4835">
        <f t="shared" si="166"/>
        <v>0</v>
      </c>
      <c r="AJ141" s="4835">
        <f t="shared" si="167"/>
        <v>0</v>
      </c>
      <c r="AK141" s="4835">
        <f t="shared" si="168"/>
        <v>0</v>
      </c>
      <c r="AL141" s="4835">
        <f t="shared" si="169"/>
        <v>0</v>
      </c>
      <c r="AM141" s="4835">
        <f t="shared" si="170"/>
        <v>0</v>
      </c>
      <c r="AN141" s="4835">
        <f t="shared" si="171"/>
        <v>0</v>
      </c>
      <c r="AO141" s="4835">
        <f t="shared" si="172"/>
        <v>0</v>
      </c>
      <c r="AP141" s="4835">
        <f t="shared" si="173"/>
        <v>0</v>
      </c>
      <c r="AQ141" s="4835">
        <f t="shared" si="174"/>
        <v>0</v>
      </c>
      <c r="AR141" s="4835">
        <f t="shared" si="175"/>
        <v>0</v>
      </c>
      <c r="AS141" s="4835">
        <f t="shared" si="176"/>
        <v>0</v>
      </c>
      <c r="AT141" s="4835">
        <f t="shared" si="177"/>
        <v>0</v>
      </c>
      <c r="AU141" s="4835">
        <f t="shared" si="178"/>
        <v>0</v>
      </c>
      <c r="AV141" s="4835">
        <f t="shared" si="179"/>
        <v>0</v>
      </c>
      <c r="AW141" s="4835">
        <f t="shared" si="180"/>
        <v>0</v>
      </c>
      <c r="AX141" s="4835">
        <f t="shared" si="181"/>
        <v>0</v>
      </c>
      <c r="AY141" s="4835">
        <f t="shared" si="182"/>
        <v>0</v>
      </c>
      <c r="AZ141" s="4835">
        <f t="shared" si="183"/>
        <v>0</v>
      </c>
      <c r="BA141" s="4835">
        <f t="shared" si="184"/>
        <v>0</v>
      </c>
    </row>
    <row r="142" spans="1:53" ht="12.75" customHeight="1" thickBot="1">
      <c r="A142" s="5502" t="s">
        <v>1454</v>
      </c>
      <c r="B142" s="5503"/>
      <c r="C142" s="3332"/>
      <c r="D142" s="3333"/>
      <c r="E142" s="3333"/>
      <c r="F142" s="3333"/>
      <c r="G142" s="3333"/>
      <c r="H142" s="3332"/>
      <c r="I142" s="3333"/>
      <c r="J142" s="3333"/>
      <c r="K142" s="3333"/>
      <c r="L142" s="3333"/>
      <c r="M142" s="3332"/>
      <c r="N142" s="3333"/>
      <c r="O142" s="3333"/>
      <c r="P142" s="3333"/>
      <c r="Q142" s="3333"/>
      <c r="R142" s="3332"/>
      <c r="S142" s="3333"/>
      <c r="T142" s="3333"/>
      <c r="U142" s="3333"/>
      <c r="V142" s="3333"/>
      <c r="W142" s="3332"/>
      <c r="X142" s="3333"/>
      <c r="Y142" s="3333"/>
      <c r="Z142" s="3333"/>
      <c r="AA142" s="3333"/>
      <c r="AB142" s="4775"/>
      <c r="AC142" s="4835">
        <f t="shared" si="185"/>
        <v>0</v>
      </c>
      <c r="AD142" s="4835">
        <f t="shared" si="161"/>
        <v>0</v>
      </c>
      <c r="AE142" s="4835">
        <f t="shared" si="162"/>
        <v>0</v>
      </c>
      <c r="AF142" s="4835">
        <f t="shared" si="163"/>
        <v>0</v>
      </c>
      <c r="AG142" s="4835">
        <f t="shared" si="164"/>
        <v>0</v>
      </c>
      <c r="AH142" s="4835">
        <f t="shared" si="165"/>
        <v>0</v>
      </c>
      <c r="AI142" s="4835">
        <f t="shared" si="166"/>
        <v>0</v>
      </c>
      <c r="AJ142" s="4835">
        <f t="shared" si="167"/>
        <v>0</v>
      </c>
      <c r="AK142" s="4835">
        <f t="shared" si="168"/>
        <v>0</v>
      </c>
      <c r="AL142" s="4835">
        <f t="shared" si="169"/>
        <v>0</v>
      </c>
      <c r="AM142" s="4835">
        <f t="shared" si="170"/>
        <v>0</v>
      </c>
      <c r="AN142" s="4835">
        <f t="shared" si="171"/>
        <v>0</v>
      </c>
      <c r="AO142" s="4835">
        <f t="shared" si="172"/>
        <v>0</v>
      </c>
      <c r="AP142" s="4835">
        <f t="shared" si="173"/>
        <v>0</v>
      </c>
      <c r="AQ142" s="4835">
        <f t="shared" si="174"/>
        <v>0</v>
      </c>
      <c r="AR142" s="4835">
        <f t="shared" si="175"/>
        <v>0</v>
      </c>
      <c r="AS142" s="4835">
        <f t="shared" si="176"/>
        <v>0</v>
      </c>
      <c r="AT142" s="4835">
        <f t="shared" si="177"/>
        <v>0</v>
      </c>
      <c r="AU142" s="4835">
        <f t="shared" si="178"/>
        <v>0</v>
      </c>
      <c r="AV142" s="4835">
        <f t="shared" si="179"/>
        <v>0</v>
      </c>
      <c r="AW142" s="4835">
        <f t="shared" si="180"/>
        <v>0</v>
      </c>
      <c r="AX142" s="4835">
        <f t="shared" si="181"/>
        <v>0</v>
      </c>
      <c r="AY142" s="4835">
        <f t="shared" si="182"/>
        <v>0</v>
      </c>
      <c r="AZ142" s="4835">
        <f t="shared" si="183"/>
        <v>0</v>
      </c>
      <c r="BA142" s="4835">
        <f t="shared" si="184"/>
        <v>0</v>
      </c>
    </row>
    <row r="143" spans="1:53" ht="12.75" customHeight="1" thickBot="1">
      <c r="A143" s="5502" t="s">
        <v>1455</v>
      </c>
      <c r="B143" s="5503"/>
      <c r="C143" s="3332"/>
      <c r="D143" s="3333"/>
      <c r="E143" s="3333"/>
      <c r="F143" s="3333"/>
      <c r="G143" s="3333"/>
      <c r="H143" s="3332"/>
      <c r="I143" s="3333"/>
      <c r="J143" s="3333"/>
      <c r="K143" s="3333"/>
      <c r="L143" s="3333"/>
      <c r="M143" s="3332"/>
      <c r="N143" s="3333"/>
      <c r="O143" s="3333"/>
      <c r="P143" s="3333"/>
      <c r="Q143" s="3333"/>
      <c r="R143" s="3332"/>
      <c r="S143" s="3333"/>
      <c r="T143" s="3333"/>
      <c r="U143" s="3333"/>
      <c r="V143" s="3333"/>
      <c r="W143" s="3332"/>
      <c r="X143" s="3333"/>
      <c r="Y143" s="3333"/>
      <c r="Z143" s="3333"/>
      <c r="AA143" s="3333"/>
      <c r="AB143" s="4775"/>
      <c r="AC143" s="4835">
        <f t="shared" si="185"/>
        <v>0</v>
      </c>
      <c r="AD143" s="4835">
        <f t="shared" si="161"/>
        <v>0</v>
      </c>
      <c r="AE143" s="4835">
        <f t="shared" si="162"/>
        <v>0</v>
      </c>
      <c r="AF143" s="4835">
        <f t="shared" si="163"/>
        <v>0</v>
      </c>
      <c r="AG143" s="4835">
        <f t="shared" si="164"/>
        <v>0</v>
      </c>
      <c r="AH143" s="4835">
        <f t="shared" si="165"/>
        <v>0</v>
      </c>
      <c r="AI143" s="4835">
        <f t="shared" si="166"/>
        <v>0</v>
      </c>
      <c r="AJ143" s="4835">
        <f t="shared" si="167"/>
        <v>0</v>
      </c>
      <c r="AK143" s="4835">
        <f t="shared" si="168"/>
        <v>0</v>
      </c>
      <c r="AL143" s="4835">
        <f t="shared" si="169"/>
        <v>0</v>
      </c>
      <c r="AM143" s="4835">
        <f t="shared" si="170"/>
        <v>0</v>
      </c>
      <c r="AN143" s="4835">
        <f t="shared" si="171"/>
        <v>0</v>
      </c>
      <c r="AO143" s="4835">
        <f t="shared" si="172"/>
        <v>0</v>
      </c>
      <c r="AP143" s="4835">
        <f t="shared" si="173"/>
        <v>0</v>
      </c>
      <c r="AQ143" s="4835">
        <f t="shared" si="174"/>
        <v>0</v>
      </c>
      <c r="AR143" s="4835">
        <f t="shared" si="175"/>
        <v>0</v>
      </c>
      <c r="AS143" s="4835">
        <f t="shared" si="176"/>
        <v>0</v>
      </c>
      <c r="AT143" s="4835">
        <f t="shared" si="177"/>
        <v>0</v>
      </c>
      <c r="AU143" s="4835">
        <f t="shared" si="178"/>
        <v>0</v>
      </c>
      <c r="AV143" s="4835">
        <f t="shared" si="179"/>
        <v>0</v>
      </c>
      <c r="AW143" s="4835">
        <f t="shared" si="180"/>
        <v>0</v>
      </c>
      <c r="AX143" s="4835">
        <f t="shared" si="181"/>
        <v>0</v>
      </c>
      <c r="AY143" s="4835">
        <f t="shared" si="182"/>
        <v>0</v>
      </c>
      <c r="AZ143" s="4835">
        <f t="shared" si="183"/>
        <v>0</v>
      </c>
      <c r="BA143" s="4835">
        <f t="shared" si="184"/>
        <v>0</v>
      </c>
    </row>
    <row r="144" spans="1:53" ht="13.5" thickBot="1">
      <c r="A144" s="5508" t="s">
        <v>1456</v>
      </c>
      <c r="B144" s="5509"/>
      <c r="C144" s="3332"/>
      <c r="D144" s="3333"/>
      <c r="E144" s="3333"/>
      <c r="F144" s="3333"/>
      <c r="G144" s="3333"/>
      <c r="H144" s="3332"/>
      <c r="I144" s="3333"/>
      <c r="J144" s="3333"/>
      <c r="K144" s="3333"/>
      <c r="L144" s="3333"/>
      <c r="M144" s="3332"/>
      <c r="N144" s="3333"/>
      <c r="O144" s="3333"/>
      <c r="P144" s="3333"/>
      <c r="Q144" s="3333"/>
      <c r="R144" s="3332"/>
      <c r="S144" s="3333"/>
      <c r="T144" s="3333"/>
      <c r="U144" s="3333"/>
      <c r="V144" s="3333"/>
      <c r="W144" s="3332"/>
      <c r="X144" s="3333"/>
      <c r="Y144" s="3333"/>
      <c r="Z144" s="3333"/>
      <c r="AA144" s="3333"/>
      <c r="AB144" s="4775"/>
      <c r="AC144" s="4835">
        <f t="shared" si="185"/>
        <v>0</v>
      </c>
      <c r="AD144" s="4835">
        <f t="shared" si="161"/>
        <v>0</v>
      </c>
      <c r="AE144" s="4835">
        <f t="shared" si="162"/>
        <v>0</v>
      </c>
      <c r="AF144" s="4835">
        <f t="shared" si="163"/>
        <v>0</v>
      </c>
      <c r="AG144" s="4835">
        <f t="shared" si="164"/>
        <v>0</v>
      </c>
      <c r="AH144" s="4835">
        <f t="shared" si="165"/>
        <v>0</v>
      </c>
      <c r="AI144" s="4835">
        <f t="shared" si="166"/>
        <v>0</v>
      </c>
      <c r="AJ144" s="4835">
        <f t="shared" si="167"/>
        <v>0</v>
      </c>
      <c r="AK144" s="4835">
        <f t="shared" si="168"/>
        <v>0</v>
      </c>
      <c r="AL144" s="4835">
        <f t="shared" si="169"/>
        <v>0</v>
      </c>
      <c r="AM144" s="4835">
        <f t="shared" si="170"/>
        <v>0</v>
      </c>
      <c r="AN144" s="4835">
        <f t="shared" si="171"/>
        <v>0</v>
      </c>
      <c r="AO144" s="4835">
        <f t="shared" si="172"/>
        <v>0</v>
      </c>
      <c r="AP144" s="4835">
        <f t="shared" si="173"/>
        <v>0</v>
      </c>
      <c r="AQ144" s="4835">
        <f t="shared" si="174"/>
        <v>0</v>
      </c>
      <c r="AR144" s="4835">
        <f t="shared" si="175"/>
        <v>0</v>
      </c>
      <c r="AS144" s="4835">
        <f t="shared" si="176"/>
        <v>0</v>
      </c>
      <c r="AT144" s="4835">
        <f t="shared" si="177"/>
        <v>0</v>
      </c>
      <c r="AU144" s="4835">
        <f t="shared" si="178"/>
        <v>0</v>
      </c>
      <c r="AV144" s="4835">
        <f t="shared" si="179"/>
        <v>0</v>
      </c>
      <c r="AW144" s="4835">
        <f t="shared" si="180"/>
        <v>0</v>
      </c>
      <c r="AX144" s="4835">
        <f t="shared" si="181"/>
        <v>0</v>
      </c>
      <c r="AY144" s="4835">
        <f t="shared" si="182"/>
        <v>0</v>
      </c>
      <c r="AZ144" s="4835">
        <f t="shared" si="183"/>
        <v>0</v>
      </c>
      <c r="BA144" s="4835">
        <f t="shared" si="184"/>
        <v>0</v>
      </c>
    </row>
    <row r="145" spans="1:61" ht="12.75" customHeight="1" thickBot="1">
      <c r="A145" s="5519" t="s">
        <v>1457</v>
      </c>
      <c r="B145" s="5520"/>
      <c r="C145" s="3332"/>
      <c r="D145" s="3333"/>
      <c r="E145" s="3333"/>
      <c r="F145" s="3333"/>
      <c r="G145" s="3333"/>
      <c r="H145" s="3332"/>
      <c r="I145" s="3333"/>
      <c r="J145" s="3333"/>
      <c r="K145" s="3333"/>
      <c r="L145" s="3333"/>
      <c r="M145" s="3332"/>
      <c r="N145" s="3333"/>
      <c r="O145" s="3333"/>
      <c r="P145" s="3333"/>
      <c r="Q145" s="3333"/>
      <c r="R145" s="3332"/>
      <c r="S145" s="3333"/>
      <c r="T145" s="3333"/>
      <c r="U145" s="3333"/>
      <c r="V145" s="3333"/>
      <c r="W145" s="3332"/>
      <c r="X145" s="3333"/>
      <c r="Y145" s="3333"/>
      <c r="Z145" s="3333"/>
      <c r="AA145" s="3333"/>
      <c r="AB145" s="4775"/>
      <c r="AC145" s="4835">
        <f t="shared" si="185"/>
        <v>0</v>
      </c>
      <c r="AD145" s="4835">
        <f t="shared" si="161"/>
        <v>0</v>
      </c>
      <c r="AE145" s="4835">
        <f t="shared" si="162"/>
        <v>0</v>
      </c>
      <c r="AF145" s="4835">
        <f t="shared" si="163"/>
        <v>0</v>
      </c>
      <c r="AG145" s="4835">
        <f t="shared" si="164"/>
        <v>0</v>
      </c>
      <c r="AH145" s="4835">
        <f t="shared" si="165"/>
        <v>0</v>
      </c>
      <c r="AI145" s="4835">
        <f t="shared" si="166"/>
        <v>0</v>
      </c>
      <c r="AJ145" s="4835">
        <f t="shared" si="167"/>
        <v>0</v>
      </c>
      <c r="AK145" s="4835">
        <f t="shared" si="168"/>
        <v>0</v>
      </c>
      <c r="AL145" s="4835">
        <f t="shared" si="169"/>
        <v>0</v>
      </c>
      <c r="AM145" s="4835">
        <f t="shared" si="170"/>
        <v>0</v>
      </c>
      <c r="AN145" s="4835">
        <f t="shared" si="171"/>
        <v>0</v>
      </c>
      <c r="AO145" s="4835">
        <f t="shared" si="172"/>
        <v>0</v>
      </c>
      <c r="AP145" s="4835">
        <f t="shared" si="173"/>
        <v>0</v>
      </c>
      <c r="AQ145" s="4835">
        <f t="shared" si="174"/>
        <v>0</v>
      </c>
      <c r="AR145" s="4835">
        <f t="shared" si="175"/>
        <v>0</v>
      </c>
      <c r="AS145" s="4835">
        <f t="shared" si="176"/>
        <v>0</v>
      </c>
      <c r="AT145" s="4835">
        <f t="shared" si="177"/>
        <v>0</v>
      </c>
      <c r="AU145" s="4835">
        <f t="shared" si="178"/>
        <v>0</v>
      </c>
      <c r="AV145" s="4835">
        <f t="shared" si="179"/>
        <v>0</v>
      </c>
      <c r="AW145" s="4835">
        <f t="shared" si="180"/>
        <v>0</v>
      </c>
      <c r="AX145" s="4835">
        <f t="shared" si="181"/>
        <v>0</v>
      </c>
      <c r="AY145" s="4835">
        <f t="shared" si="182"/>
        <v>0</v>
      </c>
      <c r="AZ145" s="4835">
        <f t="shared" si="183"/>
        <v>0</v>
      </c>
      <c r="BA145" s="4835">
        <f t="shared" si="184"/>
        <v>0</v>
      </c>
    </row>
    <row r="146" spans="1:61" ht="12.75" customHeight="1" thickBot="1">
      <c r="A146" s="5519" t="s">
        <v>1458</v>
      </c>
      <c r="B146" s="5520"/>
      <c r="C146" s="3332"/>
      <c r="D146" s="3333"/>
      <c r="E146" s="3333"/>
      <c r="F146" s="3333"/>
      <c r="G146" s="3333"/>
      <c r="H146" s="3332"/>
      <c r="I146" s="3333"/>
      <c r="J146" s="3333"/>
      <c r="K146" s="3333"/>
      <c r="L146" s="3333"/>
      <c r="M146" s="3332"/>
      <c r="N146" s="3333"/>
      <c r="O146" s="3333"/>
      <c r="P146" s="3333"/>
      <c r="Q146" s="3333"/>
      <c r="R146" s="3332"/>
      <c r="S146" s="3333"/>
      <c r="T146" s="3333"/>
      <c r="U146" s="3333"/>
      <c r="V146" s="3333"/>
      <c r="W146" s="3332"/>
      <c r="X146" s="3333"/>
      <c r="Y146" s="3333"/>
      <c r="Z146" s="3333"/>
      <c r="AA146" s="3333"/>
      <c r="AB146" s="4775"/>
      <c r="AC146" s="4835">
        <f t="shared" si="185"/>
        <v>0</v>
      </c>
      <c r="AD146" s="4835">
        <f t="shared" si="161"/>
        <v>0</v>
      </c>
      <c r="AE146" s="4835">
        <f t="shared" si="162"/>
        <v>0</v>
      </c>
      <c r="AF146" s="4835">
        <f t="shared" si="163"/>
        <v>0</v>
      </c>
      <c r="AG146" s="4835">
        <f t="shared" si="164"/>
        <v>0</v>
      </c>
      <c r="AH146" s="4835">
        <f t="shared" si="165"/>
        <v>0</v>
      </c>
      <c r="AI146" s="4835">
        <f t="shared" si="166"/>
        <v>0</v>
      </c>
      <c r="AJ146" s="4835">
        <f t="shared" si="167"/>
        <v>0</v>
      </c>
      <c r="AK146" s="4835">
        <f t="shared" si="168"/>
        <v>0</v>
      </c>
      <c r="AL146" s="4835">
        <f t="shared" si="169"/>
        <v>0</v>
      </c>
      <c r="AM146" s="4835">
        <f t="shared" si="170"/>
        <v>0</v>
      </c>
      <c r="AN146" s="4835">
        <f t="shared" si="171"/>
        <v>0</v>
      </c>
      <c r="AO146" s="4835">
        <f t="shared" si="172"/>
        <v>0</v>
      </c>
      <c r="AP146" s="4835">
        <f t="shared" si="173"/>
        <v>0</v>
      </c>
      <c r="AQ146" s="4835">
        <f t="shared" si="174"/>
        <v>0</v>
      </c>
      <c r="AR146" s="4835">
        <f t="shared" si="175"/>
        <v>0</v>
      </c>
      <c r="AS146" s="4835">
        <f t="shared" si="176"/>
        <v>0</v>
      </c>
      <c r="AT146" s="4835">
        <f t="shared" si="177"/>
        <v>0</v>
      </c>
      <c r="AU146" s="4835">
        <f t="shared" si="178"/>
        <v>0</v>
      </c>
      <c r="AV146" s="4835">
        <f t="shared" si="179"/>
        <v>0</v>
      </c>
      <c r="AW146" s="4835">
        <f t="shared" si="180"/>
        <v>0</v>
      </c>
      <c r="AX146" s="4835">
        <f t="shared" si="181"/>
        <v>0</v>
      </c>
      <c r="AY146" s="4835">
        <f t="shared" si="182"/>
        <v>0</v>
      </c>
      <c r="AZ146" s="4835">
        <f t="shared" si="183"/>
        <v>0</v>
      </c>
      <c r="BA146" s="4835">
        <f t="shared" si="184"/>
        <v>0</v>
      </c>
    </row>
    <row r="147" spans="1:61" ht="13.5" thickBot="1">
      <c r="A147" s="5519" t="s">
        <v>1459</v>
      </c>
      <c r="B147" s="5520"/>
      <c r="C147" s="3332"/>
      <c r="D147" s="3333"/>
      <c r="E147" s="3333"/>
      <c r="F147" s="3333"/>
      <c r="G147" s="3333"/>
      <c r="H147" s="3332"/>
      <c r="I147" s="3333"/>
      <c r="J147" s="3333"/>
      <c r="K147" s="3333"/>
      <c r="L147" s="3333"/>
      <c r="M147" s="3332"/>
      <c r="N147" s="3333"/>
      <c r="O147" s="3333"/>
      <c r="P147" s="3333"/>
      <c r="Q147" s="3333"/>
      <c r="R147" s="3332"/>
      <c r="S147" s="3333"/>
      <c r="T147" s="3333"/>
      <c r="U147" s="3333"/>
      <c r="V147" s="3333"/>
      <c r="W147" s="3332"/>
      <c r="X147" s="3333"/>
      <c r="Y147" s="3333"/>
      <c r="Z147" s="3333"/>
      <c r="AA147" s="3333"/>
      <c r="AB147" s="4775"/>
      <c r="AC147" s="4835">
        <f t="shared" si="185"/>
        <v>0</v>
      </c>
      <c r="AD147" s="4835">
        <f t="shared" si="161"/>
        <v>0</v>
      </c>
      <c r="AE147" s="4835">
        <f t="shared" si="162"/>
        <v>0</v>
      </c>
      <c r="AF147" s="4835">
        <f t="shared" si="163"/>
        <v>0</v>
      </c>
      <c r="AG147" s="4835">
        <f t="shared" si="164"/>
        <v>0</v>
      </c>
      <c r="AH147" s="4835">
        <f t="shared" si="165"/>
        <v>0</v>
      </c>
      <c r="AI147" s="4835">
        <f t="shared" si="166"/>
        <v>0</v>
      </c>
      <c r="AJ147" s="4835">
        <f t="shared" si="167"/>
        <v>0</v>
      </c>
      <c r="AK147" s="4835">
        <f t="shared" si="168"/>
        <v>0</v>
      </c>
      <c r="AL147" s="4835">
        <f t="shared" si="169"/>
        <v>0</v>
      </c>
      <c r="AM147" s="4835">
        <f t="shared" si="170"/>
        <v>0</v>
      </c>
      <c r="AN147" s="4835">
        <f t="shared" si="171"/>
        <v>0</v>
      </c>
      <c r="AO147" s="4835">
        <f t="shared" si="172"/>
        <v>0</v>
      </c>
      <c r="AP147" s="4835">
        <f t="shared" si="173"/>
        <v>0</v>
      </c>
      <c r="AQ147" s="4835">
        <f t="shared" si="174"/>
        <v>0</v>
      </c>
      <c r="AR147" s="4835">
        <f t="shared" si="175"/>
        <v>0</v>
      </c>
      <c r="AS147" s="4835">
        <f t="shared" si="176"/>
        <v>0</v>
      </c>
      <c r="AT147" s="4835">
        <f t="shared" si="177"/>
        <v>0</v>
      </c>
      <c r="AU147" s="4835">
        <f t="shared" si="178"/>
        <v>0</v>
      </c>
      <c r="AV147" s="4835">
        <f t="shared" si="179"/>
        <v>0</v>
      </c>
      <c r="AW147" s="4835">
        <f t="shared" si="180"/>
        <v>0</v>
      </c>
      <c r="AX147" s="4835">
        <f t="shared" si="181"/>
        <v>0</v>
      </c>
      <c r="AY147" s="4835">
        <f t="shared" si="182"/>
        <v>0</v>
      </c>
      <c r="AZ147" s="4835">
        <f t="shared" si="183"/>
        <v>0</v>
      </c>
      <c r="BA147" s="4835">
        <f t="shared" si="184"/>
        <v>0</v>
      </c>
    </row>
    <row r="148" spans="1:61" ht="13.5" thickBot="1">
      <c r="A148" s="5521" t="s">
        <v>1460</v>
      </c>
      <c r="B148" s="5522"/>
      <c r="C148" s="3336"/>
      <c r="D148" s="3337"/>
      <c r="E148" s="3337"/>
      <c r="F148" s="3337"/>
      <c r="G148" s="3337"/>
      <c r="H148" s="3336"/>
      <c r="I148" s="3337"/>
      <c r="J148" s="3337"/>
      <c r="K148" s="3337"/>
      <c r="L148" s="3337"/>
      <c r="M148" s="3336"/>
      <c r="N148" s="3337"/>
      <c r="O148" s="3337"/>
      <c r="P148" s="3337"/>
      <c r="Q148" s="3337"/>
      <c r="R148" s="3336"/>
      <c r="S148" s="3337"/>
      <c r="T148" s="3337"/>
      <c r="U148" s="3337"/>
      <c r="V148" s="3337"/>
      <c r="W148" s="3336"/>
      <c r="X148" s="3337"/>
      <c r="Y148" s="3337"/>
      <c r="Z148" s="3337"/>
      <c r="AA148" s="3337"/>
      <c r="AB148" s="4775"/>
      <c r="AC148" s="4835">
        <f t="shared" si="185"/>
        <v>0</v>
      </c>
      <c r="AD148" s="4835">
        <f t="shared" si="161"/>
        <v>0</v>
      </c>
      <c r="AE148" s="4835">
        <f t="shared" si="162"/>
        <v>0</v>
      </c>
      <c r="AF148" s="4835">
        <f t="shared" si="163"/>
        <v>0</v>
      </c>
      <c r="AG148" s="4835">
        <f t="shared" si="164"/>
        <v>0</v>
      </c>
      <c r="AH148" s="4835">
        <f t="shared" si="165"/>
        <v>0</v>
      </c>
      <c r="AI148" s="4835">
        <f t="shared" si="166"/>
        <v>0</v>
      </c>
      <c r="AJ148" s="4835">
        <f t="shared" si="167"/>
        <v>0</v>
      </c>
      <c r="AK148" s="4835">
        <f t="shared" si="168"/>
        <v>0</v>
      </c>
      <c r="AL148" s="4835">
        <f t="shared" si="169"/>
        <v>0</v>
      </c>
      <c r="AM148" s="4835">
        <f t="shared" si="170"/>
        <v>0</v>
      </c>
      <c r="AN148" s="4835">
        <f t="shared" si="171"/>
        <v>0</v>
      </c>
      <c r="AO148" s="4835">
        <f t="shared" si="172"/>
        <v>0</v>
      </c>
      <c r="AP148" s="4835">
        <f t="shared" si="173"/>
        <v>0</v>
      </c>
      <c r="AQ148" s="4835">
        <f t="shared" si="174"/>
        <v>0</v>
      </c>
      <c r="AR148" s="4835">
        <f t="shared" si="175"/>
        <v>0</v>
      </c>
      <c r="AS148" s="4835">
        <f t="shared" si="176"/>
        <v>0</v>
      </c>
      <c r="AT148" s="4835">
        <f t="shared" si="177"/>
        <v>0</v>
      </c>
      <c r="AU148" s="4835">
        <f t="shared" si="178"/>
        <v>0</v>
      </c>
      <c r="AV148" s="4835">
        <f t="shared" si="179"/>
        <v>0</v>
      </c>
      <c r="AW148" s="4835">
        <f t="shared" si="180"/>
        <v>0</v>
      </c>
      <c r="AX148" s="4835">
        <f t="shared" si="181"/>
        <v>0</v>
      </c>
      <c r="AY148" s="4835">
        <f t="shared" si="182"/>
        <v>0</v>
      </c>
      <c r="AZ148" s="4835">
        <f t="shared" si="183"/>
        <v>0</v>
      </c>
      <c r="BA148" s="4835">
        <f t="shared" si="184"/>
        <v>0</v>
      </c>
    </row>
    <row r="149" spans="1:61" s="716" customFormat="1" ht="15">
      <c r="A149" s="4029"/>
      <c r="B149" s="4029"/>
      <c r="C149" s="4029"/>
      <c r="D149" s="863"/>
      <c r="E149" s="706"/>
      <c r="F149" s="863"/>
      <c r="G149" s="706"/>
      <c r="H149" s="706"/>
      <c r="I149" s="863"/>
      <c r="J149" s="706"/>
      <c r="K149" s="863"/>
      <c r="L149" s="706"/>
      <c r="M149" s="863"/>
      <c r="N149" s="706"/>
      <c r="O149" s="863"/>
      <c r="P149" s="706"/>
      <c r="Q149" s="863"/>
      <c r="R149" s="863"/>
      <c r="S149" s="706"/>
      <c r="T149" s="863"/>
      <c r="U149" s="706"/>
      <c r="V149" s="706"/>
      <c r="W149" s="706"/>
      <c r="X149" s="727"/>
      <c r="Y149" s="706"/>
      <c r="Z149" s="727"/>
      <c r="AA149" s="706"/>
      <c r="AB149" s="706"/>
      <c r="AC149" s="4813"/>
      <c r="AD149" s="863"/>
      <c r="AE149" s="706"/>
      <c r="AF149" s="863"/>
      <c r="AG149" s="706"/>
      <c r="AH149" s="706"/>
      <c r="AI149" s="863"/>
      <c r="AJ149" s="706"/>
      <c r="AK149" s="863"/>
      <c r="AL149" s="706"/>
      <c r="AM149" s="863"/>
      <c r="AN149" s="706"/>
      <c r="AO149" s="863"/>
      <c r="AP149" s="706"/>
      <c r="AQ149" s="863"/>
      <c r="AR149" s="863"/>
      <c r="AS149" s="706"/>
      <c r="AT149" s="863"/>
      <c r="AU149" s="706"/>
      <c r="AV149" s="706"/>
      <c r="AW149" s="706"/>
      <c r="AX149" s="727"/>
      <c r="AY149" s="706"/>
      <c r="AZ149" s="727"/>
      <c r="BA149" s="706"/>
    </row>
    <row r="150" spans="1:61" s="716" customFormat="1" ht="15">
      <c r="A150" s="4029"/>
      <c r="B150" s="4029"/>
      <c r="C150" s="4029"/>
      <c r="D150" s="863"/>
      <c r="E150" s="706"/>
      <c r="F150" s="863"/>
      <c r="G150" s="706"/>
      <c r="H150" s="706"/>
      <c r="I150" s="863"/>
      <c r="J150" s="706"/>
      <c r="K150" s="863"/>
      <c r="L150" s="706"/>
      <c r="M150" s="863"/>
      <c r="N150" s="706"/>
      <c r="O150" s="863"/>
      <c r="P150" s="706"/>
      <c r="Q150" s="863"/>
      <c r="R150" s="863"/>
      <c r="S150" s="706"/>
      <c r="T150" s="863"/>
      <c r="U150" s="706"/>
      <c r="AB150" s="706"/>
      <c r="AC150" s="4813"/>
      <c r="AD150" s="863"/>
      <c r="AE150" s="706"/>
      <c r="AF150" s="863"/>
      <c r="AG150" s="706"/>
      <c r="AH150" s="706"/>
      <c r="AI150" s="863"/>
      <c r="AJ150" s="706"/>
      <c r="AK150" s="863"/>
      <c r="AL150" s="706"/>
      <c r="AM150" s="863"/>
      <c r="AN150" s="706"/>
      <c r="AO150" s="863"/>
      <c r="AP150" s="706"/>
      <c r="AQ150" s="863"/>
      <c r="AR150" s="863"/>
      <c r="AS150" s="706"/>
      <c r="AT150" s="863"/>
      <c r="AU150" s="706"/>
    </row>
    <row r="151" spans="1:61" s="716" customFormat="1" ht="15">
      <c r="A151" s="3314"/>
      <c r="B151" s="4029"/>
      <c r="C151" s="1465" t="str">
        <f>'Приложение '!B82</f>
        <v>Дата: 15.04.2026 г.</v>
      </c>
      <c r="D151" s="863"/>
      <c r="E151" s="706"/>
      <c r="F151" s="863"/>
      <c r="G151" s="706"/>
      <c r="N151" s="706"/>
      <c r="O151" s="863"/>
      <c r="P151" s="706"/>
      <c r="Q151" s="863"/>
      <c r="S151" s="706"/>
      <c r="T151" s="863"/>
      <c r="U151" s="706"/>
      <c r="V151" s="706"/>
      <c r="W151" s="3316"/>
      <c r="X151" s="2541"/>
      <c r="Y151" s="706"/>
      <c r="Z151" s="706"/>
      <c r="AA151" s="863"/>
      <c r="AB151" s="706"/>
      <c r="AC151" s="1465"/>
      <c r="AD151" s="863"/>
      <c r="AE151" s="706"/>
      <c r="AF151" s="863"/>
      <c r="AG151" s="706"/>
      <c r="AN151" s="706"/>
      <c r="AO151" s="863"/>
      <c r="AP151" s="706"/>
      <c r="AQ151" s="863"/>
      <c r="AS151" s="706"/>
      <c r="AT151" s="863"/>
      <c r="AU151" s="706"/>
      <c r="AV151" s="706"/>
      <c r="AW151" s="3316"/>
      <c r="AX151" s="2541"/>
      <c r="AY151" s="706"/>
      <c r="AZ151" s="706"/>
      <c r="BA151" s="863"/>
    </row>
    <row r="152" spans="1:61" s="2989" customFormat="1" ht="15">
      <c r="B152" s="3314"/>
      <c r="C152" s="3314"/>
      <c r="D152" s="3197"/>
      <c r="E152" s="3196"/>
      <c r="F152" s="3197"/>
      <c r="G152" s="3196"/>
      <c r="N152" s="2765"/>
      <c r="O152" s="706"/>
      <c r="P152" s="3196"/>
      <c r="Q152" s="3197"/>
      <c r="R152" s="3197"/>
      <c r="S152" s="3196"/>
      <c r="T152" s="3197"/>
      <c r="U152" s="3196"/>
      <c r="V152" s="3196"/>
      <c r="W152" s="3316"/>
      <c r="X152" s="4088"/>
      <c r="Y152" s="3160"/>
      <c r="Z152" s="3159"/>
      <c r="AA152" s="3160"/>
      <c r="AB152" s="3157"/>
      <c r="AC152" s="3314"/>
      <c r="AD152" s="3197"/>
      <c r="AE152" s="3196"/>
      <c r="AF152" s="3197"/>
      <c r="AG152" s="3196"/>
      <c r="AN152" s="2765"/>
      <c r="AO152" s="706"/>
      <c r="AP152" s="3196"/>
      <c r="AQ152" s="3197"/>
      <c r="AR152" s="3197"/>
      <c r="AS152" s="3196"/>
      <c r="AT152" s="3197"/>
      <c r="AU152" s="3196"/>
      <c r="AV152" s="3196"/>
      <c r="AW152" s="3316"/>
      <c r="AX152" s="4812"/>
      <c r="AY152" s="3160"/>
      <c r="AZ152" s="3159"/>
      <c r="BA152" s="3160"/>
      <c r="BB152" s="716"/>
      <c r="BC152" s="716"/>
      <c r="BD152" s="716"/>
      <c r="BE152" s="716"/>
      <c r="BF152" s="716"/>
      <c r="BG152" s="716"/>
      <c r="BH152" s="716"/>
      <c r="BI152" s="716"/>
    </row>
    <row r="153" spans="1:61" s="716" customFormat="1" ht="15">
      <c r="D153" s="3197"/>
      <c r="E153" s="3196"/>
      <c r="F153" s="3197"/>
      <c r="G153" s="3196"/>
      <c r="N153" s="2765"/>
      <c r="O153" s="706"/>
      <c r="P153" s="3196"/>
      <c r="Q153" s="3197"/>
      <c r="R153" s="3197"/>
      <c r="S153" s="3196"/>
      <c r="T153" s="3197"/>
      <c r="U153" s="3196"/>
      <c r="V153" s="3196"/>
      <c r="Y153" s="3320"/>
      <c r="Z153" s="2772"/>
      <c r="AA153" s="3160"/>
      <c r="AB153" s="2765"/>
      <c r="AD153" s="3197"/>
      <c r="AE153" s="3196"/>
      <c r="AF153" s="3197"/>
      <c r="AG153" s="3196"/>
      <c r="AN153" s="2765"/>
      <c r="AO153" s="706"/>
      <c r="AP153" s="3196"/>
      <c r="AQ153" s="3197"/>
      <c r="AR153" s="3197"/>
      <c r="AS153" s="3196"/>
      <c r="AT153" s="3197"/>
      <c r="AU153" s="3196"/>
      <c r="AV153" s="3196"/>
      <c r="AY153" s="3320"/>
      <c r="AZ153" s="2772"/>
      <c r="BA153" s="3160"/>
    </row>
    <row r="154" spans="1:61" s="716" customFormat="1" ht="15">
      <c r="B154" s="3322"/>
      <c r="C154" s="3322" t="s">
        <v>187</v>
      </c>
      <c r="D154" s="3197"/>
      <c r="E154" s="3196"/>
      <c r="F154" s="3197"/>
      <c r="G154" s="3196"/>
      <c r="N154" s="2765"/>
      <c r="O154" s="706"/>
      <c r="P154" s="3196"/>
      <c r="Q154" s="3197"/>
      <c r="R154" s="3197"/>
      <c r="S154" s="3196"/>
      <c r="T154" s="3197"/>
      <c r="U154" s="3196"/>
      <c r="V154" s="3196"/>
      <c r="W154" s="3316"/>
      <c r="X154" s="2541"/>
      <c r="Y154" s="3160"/>
      <c r="Z154" s="3159"/>
      <c r="AA154" s="3160"/>
      <c r="AB154" s="2765"/>
      <c r="AC154" s="3322"/>
      <c r="AD154" s="3197"/>
      <c r="AE154" s="3196"/>
      <c r="AF154" s="3197"/>
      <c r="AG154" s="3196"/>
      <c r="AN154" s="2765"/>
      <c r="AO154" s="706"/>
      <c r="AP154" s="3196"/>
      <c r="AQ154" s="3197"/>
      <c r="AR154" s="3197"/>
      <c r="AS154" s="3196"/>
      <c r="AT154" s="3197"/>
      <c r="AU154" s="3196"/>
      <c r="AV154" s="3196"/>
      <c r="AW154" s="3316"/>
      <c r="AX154" s="2541"/>
      <c r="AY154" s="3160"/>
      <c r="AZ154" s="3159"/>
      <c r="BA154" s="3160"/>
    </row>
    <row r="155" spans="1:61" s="716" customFormat="1" ht="15">
      <c r="B155" s="394"/>
      <c r="C155" s="716" t="s">
        <v>1057</v>
      </c>
      <c r="D155" s="3197"/>
      <c r="E155" s="3196"/>
      <c r="F155" s="3197"/>
      <c r="G155" s="3196"/>
      <c r="N155" s="2765"/>
      <c r="O155" s="706"/>
      <c r="P155" s="3196"/>
      <c r="Q155" s="3197"/>
      <c r="R155" s="3197"/>
      <c r="S155" s="3196"/>
      <c r="T155" s="3197"/>
      <c r="U155" s="3196"/>
      <c r="V155" s="3196"/>
      <c r="X155" s="4088"/>
      <c r="Y155" s="3320"/>
      <c r="Z155" s="2772"/>
      <c r="AA155" s="3160"/>
      <c r="AB155" s="3196"/>
      <c r="AD155" s="3197"/>
      <c r="AE155" s="3196"/>
      <c r="AF155" s="3197"/>
      <c r="AG155" s="3196"/>
      <c r="AN155" s="2765"/>
      <c r="AO155" s="706"/>
      <c r="AP155" s="3196"/>
      <c r="AQ155" s="3197"/>
      <c r="AR155" s="3197"/>
      <c r="AS155" s="3196"/>
      <c r="AT155" s="3197"/>
      <c r="AU155" s="3196"/>
      <c r="AV155" s="3196"/>
      <c r="AX155" s="4812"/>
      <c r="AY155" s="3320"/>
      <c r="AZ155" s="2772"/>
      <c r="BA155" s="3160"/>
    </row>
    <row r="156" spans="1:61" ht="15">
      <c r="N156" s="2765"/>
      <c r="O156" s="706"/>
      <c r="AN156" s="2765"/>
      <c r="AO156" s="706"/>
    </row>
  </sheetData>
  <sheetProtection algorithmName="SHA-512" hashValue="M76tjsUrTuTpo113TVAns48qc0YlXv//HV1Ja87KSiLaKo/IyFM5y8tAgxCY2tZwiQ/UlCgCeI/alsZaW1PB4g==" saltValue="cAgn5ijJMVqAV04+V1U6Jg==" spinCount="100000" sheet="1" formatCells="0" formatColumns="0" formatRows="0"/>
  <mergeCells count="547">
    <mergeCell ref="AC132:AG132"/>
    <mergeCell ref="AH132:AL132"/>
    <mergeCell ref="AM132:AQ132"/>
    <mergeCell ref="AR132:AV132"/>
    <mergeCell ref="AW132:BA132"/>
    <mergeCell ref="AC8:BA8"/>
    <mergeCell ref="AC55:BA55"/>
    <mergeCell ref="AC102:BA102"/>
    <mergeCell ref="AC130:AG130"/>
    <mergeCell ref="AH130:AL130"/>
    <mergeCell ref="AM130:AQ130"/>
    <mergeCell ref="AR130:AV130"/>
    <mergeCell ref="AW130:BA130"/>
    <mergeCell ref="AC131:AG131"/>
    <mergeCell ref="AH131:AL131"/>
    <mergeCell ref="AM131:AQ131"/>
    <mergeCell ref="AR131:AV131"/>
    <mergeCell ref="AW131:BA131"/>
    <mergeCell ref="AC128:AG128"/>
    <mergeCell ref="AH128:AL128"/>
    <mergeCell ref="AM128:AQ128"/>
    <mergeCell ref="AR128:AV128"/>
    <mergeCell ref="AW128:BA128"/>
    <mergeCell ref="AC129:AG129"/>
    <mergeCell ref="AH129:AL129"/>
    <mergeCell ref="AM129:AQ129"/>
    <mergeCell ref="AR129:AV129"/>
    <mergeCell ref="AW129:BA129"/>
    <mergeCell ref="AC126:AG126"/>
    <mergeCell ref="AH126:AL126"/>
    <mergeCell ref="AM126:AQ126"/>
    <mergeCell ref="AR126:AV126"/>
    <mergeCell ref="AW126:BA126"/>
    <mergeCell ref="AC127:AG127"/>
    <mergeCell ref="AH127:AL127"/>
    <mergeCell ref="AM127:AQ127"/>
    <mergeCell ref="AR127:AV127"/>
    <mergeCell ref="AW127:BA127"/>
    <mergeCell ref="AC108:AG108"/>
    <mergeCell ref="AH108:AL108"/>
    <mergeCell ref="AM108:AQ108"/>
    <mergeCell ref="AR108:AV108"/>
    <mergeCell ref="AW108:BA108"/>
    <mergeCell ref="AC109:AG109"/>
    <mergeCell ref="AH109:AL109"/>
    <mergeCell ref="AM109:AQ109"/>
    <mergeCell ref="AR109:AV109"/>
    <mergeCell ref="AW109:BA109"/>
    <mergeCell ref="AC106:AG106"/>
    <mergeCell ref="AH106:AL106"/>
    <mergeCell ref="AM106:AQ106"/>
    <mergeCell ref="AR106:AV106"/>
    <mergeCell ref="AW106:BA106"/>
    <mergeCell ref="AC107:AG107"/>
    <mergeCell ref="AH107:AL107"/>
    <mergeCell ref="AM107:AQ107"/>
    <mergeCell ref="AR107:AV107"/>
    <mergeCell ref="AW107:BA107"/>
    <mergeCell ref="AC104:AG104"/>
    <mergeCell ref="AH104:AL104"/>
    <mergeCell ref="AM104:AQ104"/>
    <mergeCell ref="AR104:AV104"/>
    <mergeCell ref="AW104:BA104"/>
    <mergeCell ref="AC105:AG105"/>
    <mergeCell ref="AH105:AL105"/>
    <mergeCell ref="AM105:AQ105"/>
    <mergeCell ref="AR105:AV105"/>
    <mergeCell ref="AW105:BA105"/>
    <mergeCell ref="AC85:AG85"/>
    <mergeCell ref="AH85:AL85"/>
    <mergeCell ref="AM85:AQ85"/>
    <mergeCell ref="AR85:AV85"/>
    <mergeCell ref="AW85:BA85"/>
    <mergeCell ref="AC103:AG103"/>
    <mergeCell ref="AH103:AL103"/>
    <mergeCell ref="AM103:AQ103"/>
    <mergeCell ref="AR103:AV103"/>
    <mergeCell ref="AW103:BA103"/>
    <mergeCell ref="AC83:AG83"/>
    <mergeCell ref="AH83:AL83"/>
    <mergeCell ref="AM83:AQ83"/>
    <mergeCell ref="AR83:AV83"/>
    <mergeCell ref="AW83:BA83"/>
    <mergeCell ref="AC84:AG84"/>
    <mergeCell ref="AH84:AL84"/>
    <mergeCell ref="AM84:AQ84"/>
    <mergeCell ref="AR84:AV84"/>
    <mergeCell ref="AW84:BA84"/>
    <mergeCell ref="AC81:AG81"/>
    <mergeCell ref="AH81:AL81"/>
    <mergeCell ref="AM81:AQ81"/>
    <mergeCell ref="AR81:AV81"/>
    <mergeCell ref="AW81:BA81"/>
    <mergeCell ref="AC82:AG82"/>
    <mergeCell ref="AH82:AL82"/>
    <mergeCell ref="AM82:AQ82"/>
    <mergeCell ref="AR82:AV82"/>
    <mergeCell ref="AW82:BA82"/>
    <mergeCell ref="AC79:AG79"/>
    <mergeCell ref="AH79:AL79"/>
    <mergeCell ref="AM79:AQ79"/>
    <mergeCell ref="AR79:AV79"/>
    <mergeCell ref="AW79:BA79"/>
    <mergeCell ref="AC80:AG80"/>
    <mergeCell ref="AH80:AL80"/>
    <mergeCell ref="AM80:AQ80"/>
    <mergeCell ref="AR80:AV80"/>
    <mergeCell ref="AW80:BA80"/>
    <mergeCell ref="AC61:AG61"/>
    <mergeCell ref="AH61:AL61"/>
    <mergeCell ref="AM61:AQ61"/>
    <mergeCell ref="AR61:AV61"/>
    <mergeCell ref="AW61:BA61"/>
    <mergeCell ref="AC62:AG62"/>
    <mergeCell ref="AH62:AL62"/>
    <mergeCell ref="AM62:AQ62"/>
    <mergeCell ref="AR62:AV62"/>
    <mergeCell ref="AW62:BA62"/>
    <mergeCell ref="AC59:AG59"/>
    <mergeCell ref="AH59:AL59"/>
    <mergeCell ref="AM59:AQ59"/>
    <mergeCell ref="AR59:AV59"/>
    <mergeCell ref="AW59:BA59"/>
    <mergeCell ref="AC60:AG60"/>
    <mergeCell ref="AH60:AL60"/>
    <mergeCell ref="AM60:AQ60"/>
    <mergeCell ref="AR60:AV60"/>
    <mergeCell ref="AW60:BA60"/>
    <mergeCell ref="AC57:AG57"/>
    <mergeCell ref="AH57:AL57"/>
    <mergeCell ref="AM57:AQ57"/>
    <mergeCell ref="AR57:AV57"/>
    <mergeCell ref="AW57:BA57"/>
    <mergeCell ref="AC58:AG58"/>
    <mergeCell ref="AH58:AL58"/>
    <mergeCell ref="AM58:AQ58"/>
    <mergeCell ref="AR58:AV58"/>
    <mergeCell ref="AW58:BA58"/>
    <mergeCell ref="AC38:AG38"/>
    <mergeCell ref="AH38:AL38"/>
    <mergeCell ref="AM38:AQ38"/>
    <mergeCell ref="AR38:AV38"/>
    <mergeCell ref="AW38:BA38"/>
    <mergeCell ref="AC56:AG56"/>
    <mergeCell ref="AH56:AL56"/>
    <mergeCell ref="AM56:AQ56"/>
    <mergeCell ref="AR56:AV56"/>
    <mergeCell ref="AW56:BA56"/>
    <mergeCell ref="AC36:AG36"/>
    <mergeCell ref="AH36:AL36"/>
    <mergeCell ref="AM36:AQ36"/>
    <mergeCell ref="AR36:AV36"/>
    <mergeCell ref="AW36:BA36"/>
    <mergeCell ref="AC37:AG37"/>
    <mergeCell ref="AH37:AL37"/>
    <mergeCell ref="AM37:AQ37"/>
    <mergeCell ref="AR37:AV37"/>
    <mergeCell ref="AW37:BA37"/>
    <mergeCell ref="AC34:AG34"/>
    <mergeCell ref="AH34:AL34"/>
    <mergeCell ref="AM34:AQ34"/>
    <mergeCell ref="AR34:AV34"/>
    <mergeCell ref="AW34:BA34"/>
    <mergeCell ref="AC35:AG35"/>
    <mergeCell ref="AH35:AL35"/>
    <mergeCell ref="AM35:AQ35"/>
    <mergeCell ref="AR35:AV35"/>
    <mergeCell ref="AW35:BA35"/>
    <mergeCell ref="AC32:AG32"/>
    <mergeCell ref="AH32:AL32"/>
    <mergeCell ref="AM32:AQ32"/>
    <mergeCell ref="AR32:AV32"/>
    <mergeCell ref="AW32:BA32"/>
    <mergeCell ref="AC33:AG33"/>
    <mergeCell ref="AH33:AL33"/>
    <mergeCell ref="AM33:AQ33"/>
    <mergeCell ref="AR33:AV33"/>
    <mergeCell ref="AW33:BA33"/>
    <mergeCell ref="AC14:AG14"/>
    <mergeCell ref="AH14:AL14"/>
    <mergeCell ref="AM14:AQ14"/>
    <mergeCell ref="AR14:AV14"/>
    <mergeCell ref="AW14:BA14"/>
    <mergeCell ref="AC15:AG15"/>
    <mergeCell ref="AH15:AL15"/>
    <mergeCell ref="AM15:AQ15"/>
    <mergeCell ref="AR15:AV15"/>
    <mergeCell ref="AW15:BA15"/>
    <mergeCell ref="AC12:AG12"/>
    <mergeCell ref="AH12:AL12"/>
    <mergeCell ref="AM12:AQ12"/>
    <mergeCell ref="AR12:AV12"/>
    <mergeCell ref="AW12:BA12"/>
    <mergeCell ref="AC13:AG13"/>
    <mergeCell ref="AH13:AL13"/>
    <mergeCell ref="AM13:AQ13"/>
    <mergeCell ref="AR13:AV13"/>
    <mergeCell ref="AW13:BA13"/>
    <mergeCell ref="A9:B9"/>
    <mergeCell ref="AC10:AG10"/>
    <mergeCell ref="AH10:AL10"/>
    <mergeCell ref="AM10:AQ10"/>
    <mergeCell ref="AR10:AV10"/>
    <mergeCell ref="AW10:BA10"/>
    <mergeCell ref="AC11:AG11"/>
    <mergeCell ref="AH11:AL11"/>
    <mergeCell ref="AM11:AQ11"/>
    <mergeCell ref="AR11:AV11"/>
    <mergeCell ref="AW11:BA11"/>
    <mergeCell ref="A10:A11"/>
    <mergeCell ref="M10:Q10"/>
    <mergeCell ref="M11:Q11"/>
    <mergeCell ref="R10:V10"/>
    <mergeCell ref="R11:V11"/>
    <mergeCell ref="H10:L10"/>
    <mergeCell ref="H11:L11"/>
    <mergeCell ref="W10:AA10"/>
    <mergeCell ref="W11:AA11"/>
    <mergeCell ref="A121:B121"/>
    <mergeCell ref="A95:B95"/>
    <mergeCell ref="A96:B96"/>
    <mergeCell ref="A134:B134"/>
    <mergeCell ref="A1:C1"/>
    <mergeCell ref="D1:E1"/>
    <mergeCell ref="AR1:AX1"/>
    <mergeCell ref="AR2:AX2"/>
    <mergeCell ref="AC9:AG9"/>
    <mergeCell ref="AH9:AL9"/>
    <mergeCell ref="AM9:AQ9"/>
    <mergeCell ref="AR9:AV9"/>
    <mergeCell ref="AW9:BA9"/>
    <mergeCell ref="R1:X1"/>
    <mergeCell ref="A2:Q2"/>
    <mergeCell ref="R2:X2"/>
    <mergeCell ref="A4:Q4"/>
    <mergeCell ref="A5:Q5"/>
    <mergeCell ref="R9:V9"/>
    <mergeCell ref="W9:AA9"/>
    <mergeCell ref="C9:G9"/>
    <mergeCell ref="H9:L9"/>
    <mergeCell ref="M9:Q9"/>
    <mergeCell ref="C3:L3"/>
    <mergeCell ref="C85:G85"/>
    <mergeCell ref="H85:L85"/>
    <mergeCell ref="M85:Q85"/>
    <mergeCell ref="A99:B99"/>
    <mergeCell ref="A104:A105"/>
    <mergeCell ref="A106:A107"/>
    <mergeCell ref="A111:B111"/>
    <mergeCell ref="A110:B110"/>
    <mergeCell ref="C79:G79"/>
    <mergeCell ref="H79:L79"/>
    <mergeCell ref="C103:G103"/>
    <mergeCell ref="H103:L103"/>
    <mergeCell ref="H81:L81"/>
    <mergeCell ref="C82:G82"/>
    <mergeCell ref="H82:L82"/>
    <mergeCell ref="C84:G84"/>
    <mergeCell ref="H84:L84"/>
    <mergeCell ref="C83:G83"/>
    <mergeCell ref="A88:B88"/>
    <mergeCell ref="A89:B89"/>
    <mergeCell ref="A91:B91"/>
    <mergeCell ref="A92:B92"/>
    <mergeCell ref="A93:B93"/>
    <mergeCell ref="A94:B94"/>
    <mergeCell ref="M57:Q57"/>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A79:B79"/>
    <mergeCell ref="A86:B86"/>
    <mergeCell ref="A45:B45"/>
    <mergeCell ref="A46:B46"/>
    <mergeCell ref="R15:V15"/>
    <mergeCell ref="A19:B19"/>
    <mergeCell ref="A21:B21"/>
    <mergeCell ref="A22:B22"/>
    <mergeCell ref="H15:L15"/>
    <mergeCell ref="A20:B20"/>
    <mergeCell ref="A16:B16"/>
    <mergeCell ref="M35:Q35"/>
    <mergeCell ref="W84:AA84"/>
    <mergeCell ref="M83:Q83"/>
    <mergeCell ref="R83:V83"/>
    <mergeCell ref="W83:AA83"/>
    <mergeCell ref="M81:Q81"/>
    <mergeCell ref="R33:V33"/>
    <mergeCell ref="C34:G34"/>
    <mergeCell ref="H34:L34"/>
    <mergeCell ref="M34:Q34"/>
    <mergeCell ref="R34:V34"/>
    <mergeCell ref="W15:AA15"/>
    <mergeCell ref="W36:AA36"/>
    <mergeCell ref="W37:AA37"/>
    <mergeCell ref="R58:V58"/>
    <mergeCell ref="W58:AA58"/>
    <mergeCell ref="W35:AA35"/>
    <mergeCell ref="A127:A128"/>
    <mergeCell ref="A129:A130"/>
    <mergeCell ref="R103:V103"/>
    <mergeCell ref="R106:V106"/>
    <mergeCell ref="A113:B113"/>
    <mergeCell ref="A125:B125"/>
    <mergeCell ref="A115:B115"/>
    <mergeCell ref="A112:B112"/>
    <mergeCell ref="A103:B103"/>
    <mergeCell ref="M127:Q127"/>
    <mergeCell ref="R127:V127"/>
    <mergeCell ref="C126:G126"/>
    <mergeCell ref="H126:L126"/>
    <mergeCell ref="A126:B126"/>
    <mergeCell ref="R126:V126"/>
    <mergeCell ref="A114:B114"/>
    <mergeCell ref="A122:B122"/>
    <mergeCell ref="A123:B123"/>
    <mergeCell ref="A124:B124"/>
    <mergeCell ref="A116:B116"/>
    <mergeCell ref="A117:B117"/>
    <mergeCell ref="A118:B118"/>
    <mergeCell ref="A119:B119"/>
    <mergeCell ref="A120:B120"/>
    <mergeCell ref="A146:B146"/>
    <mergeCell ref="W132:AA132"/>
    <mergeCell ref="C131:G131"/>
    <mergeCell ref="H131:L131"/>
    <mergeCell ref="M131:Q131"/>
    <mergeCell ref="R131:V131"/>
    <mergeCell ref="W131:AA131"/>
    <mergeCell ref="C130:G130"/>
    <mergeCell ref="H130:L130"/>
    <mergeCell ref="M130:Q130"/>
    <mergeCell ref="R130:V130"/>
    <mergeCell ref="W130:AA130"/>
    <mergeCell ref="A140:B140"/>
    <mergeCell ref="A133:B133"/>
    <mergeCell ref="C132:G132"/>
    <mergeCell ref="H132:L132"/>
    <mergeCell ref="M132:Q132"/>
    <mergeCell ref="R132:V132"/>
    <mergeCell ref="A137:B137"/>
    <mergeCell ref="A147:B147"/>
    <mergeCell ref="A148:B148"/>
    <mergeCell ref="C10:G10"/>
    <mergeCell ref="C11:G11"/>
    <mergeCell ref="C12:G12"/>
    <mergeCell ref="C13:G13"/>
    <mergeCell ref="C14:G14"/>
    <mergeCell ref="C15:G15"/>
    <mergeCell ref="C36:G36"/>
    <mergeCell ref="C38:G38"/>
    <mergeCell ref="C58:G58"/>
    <mergeCell ref="C60:G60"/>
    <mergeCell ref="C62:G62"/>
    <mergeCell ref="C81:G81"/>
    <mergeCell ref="A141:B141"/>
    <mergeCell ref="A142:B142"/>
    <mergeCell ref="A143:B143"/>
    <mergeCell ref="A144:B144"/>
    <mergeCell ref="A145:B145"/>
    <mergeCell ref="A135:B135"/>
    <mergeCell ref="A136:B136"/>
    <mergeCell ref="A138:B138"/>
    <mergeCell ref="A139:B139"/>
    <mergeCell ref="C33:G33"/>
    <mergeCell ref="R57:V57"/>
    <mergeCell ref="W38:AA38"/>
    <mergeCell ref="M56:Q56"/>
    <mergeCell ref="R56:V56"/>
    <mergeCell ref="W56:AA56"/>
    <mergeCell ref="W57:AA57"/>
    <mergeCell ref="M58:Q58"/>
    <mergeCell ref="W12:AA12"/>
    <mergeCell ref="W13:AA13"/>
    <mergeCell ref="W14:AA14"/>
    <mergeCell ref="R32:V32"/>
    <mergeCell ref="W32:AA32"/>
    <mergeCell ref="W33:AA33"/>
    <mergeCell ref="W34:AA34"/>
    <mergeCell ref="M33:Q33"/>
    <mergeCell ref="R35:V35"/>
    <mergeCell ref="R12:V12"/>
    <mergeCell ref="R13:V13"/>
    <mergeCell ref="R14:V14"/>
    <mergeCell ref="M12:Q12"/>
    <mergeCell ref="M13:Q13"/>
    <mergeCell ref="M14:Q14"/>
    <mergeCell ref="M15:Q15"/>
    <mergeCell ref="M32:Q32"/>
    <mergeCell ref="M36:Q36"/>
    <mergeCell ref="C56:G56"/>
    <mergeCell ref="R36:V36"/>
    <mergeCell ref="R37:V37"/>
    <mergeCell ref="M38:Q38"/>
    <mergeCell ref="R38:V38"/>
    <mergeCell ref="H56:L56"/>
    <mergeCell ref="C37:G37"/>
    <mergeCell ref="H37:L37"/>
    <mergeCell ref="M37:Q37"/>
    <mergeCell ref="M60:Q60"/>
    <mergeCell ref="R60:V60"/>
    <mergeCell ref="W60:AA60"/>
    <mergeCell ref="C61:G61"/>
    <mergeCell ref="H61:L61"/>
    <mergeCell ref="M61:Q61"/>
    <mergeCell ref="R61:V61"/>
    <mergeCell ref="W61:AA61"/>
    <mergeCell ref="C59:G59"/>
    <mergeCell ref="H59:L59"/>
    <mergeCell ref="M59:Q59"/>
    <mergeCell ref="R59:V59"/>
    <mergeCell ref="W59:AA59"/>
    <mergeCell ref="H60:L60"/>
    <mergeCell ref="W103:AA103"/>
    <mergeCell ref="H62:L62"/>
    <mergeCell ref="M62:Q62"/>
    <mergeCell ref="R62:V62"/>
    <mergeCell ref="W62:AA62"/>
    <mergeCell ref="C80:G80"/>
    <mergeCell ref="H80:L80"/>
    <mergeCell ref="M80:Q80"/>
    <mergeCell ref="R80:V80"/>
    <mergeCell ref="W80:AA80"/>
    <mergeCell ref="M103:Q103"/>
    <mergeCell ref="M79:Q79"/>
    <mergeCell ref="R79:V79"/>
    <mergeCell ref="W79:AA79"/>
    <mergeCell ref="R85:V85"/>
    <mergeCell ref="W85:AA85"/>
    <mergeCell ref="R81:V81"/>
    <mergeCell ref="W81:AA81"/>
    <mergeCell ref="M82:Q82"/>
    <mergeCell ref="R82:V82"/>
    <mergeCell ref="W82:AA82"/>
    <mergeCell ref="M84:Q84"/>
    <mergeCell ref="R84:V84"/>
    <mergeCell ref="H83:L83"/>
    <mergeCell ref="R105:V105"/>
    <mergeCell ref="W105:AA105"/>
    <mergeCell ref="R104:V104"/>
    <mergeCell ref="C104:G104"/>
    <mergeCell ref="H104:L104"/>
    <mergeCell ref="M104:Q104"/>
    <mergeCell ref="C106:G106"/>
    <mergeCell ref="H106:L106"/>
    <mergeCell ref="M106:Q106"/>
    <mergeCell ref="W126:AA126"/>
    <mergeCell ref="C129:G129"/>
    <mergeCell ref="H129:L129"/>
    <mergeCell ref="M129:Q129"/>
    <mergeCell ref="R129:V129"/>
    <mergeCell ref="W129:AA129"/>
    <mergeCell ref="H127:L127"/>
    <mergeCell ref="W127:AA127"/>
    <mergeCell ref="C128:G128"/>
    <mergeCell ref="H128:L128"/>
    <mergeCell ref="M128:Q128"/>
    <mergeCell ref="R128:V128"/>
    <mergeCell ref="W128:AA128"/>
    <mergeCell ref="C127:G127"/>
    <mergeCell ref="M126:Q126"/>
    <mergeCell ref="A100:B100"/>
    <mergeCell ref="A101:B101"/>
    <mergeCell ref="A77:B77"/>
    <mergeCell ref="A90:B90"/>
    <mergeCell ref="W108:AA108"/>
    <mergeCell ref="C109:G109"/>
    <mergeCell ref="H109:L109"/>
    <mergeCell ref="M109:Q109"/>
    <mergeCell ref="R109:V109"/>
    <mergeCell ref="W109:AA109"/>
    <mergeCell ref="R108:V108"/>
    <mergeCell ref="C108:G108"/>
    <mergeCell ref="H108:L108"/>
    <mergeCell ref="M108:Q108"/>
    <mergeCell ref="W106:AA106"/>
    <mergeCell ref="C107:G107"/>
    <mergeCell ref="H107:L107"/>
    <mergeCell ref="M107:Q107"/>
    <mergeCell ref="R107:V107"/>
    <mergeCell ref="W107:AA107"/>
    <mergeCell ref="W104:AA104"/>
    <mergeCell ref="C105:G105"/>
    <mergeCell ref="H105:L105"/>
    <mergeCell ref="M105:Q105"/>
    <mergeCell ref="A72:B72"/>
    <mergeCell ref="A73:B73"/>
    <mergeCell ref="A74:B74"/>
    <mergeCell ref="A75:B75"/>
    <mergeCell ref="A76:B76"/>
    <mergeCell ref="A64:B64"/>
    <mergeCell ref="A65:B65"/>
    <mergeCell ref="A66:B66"/>
    <mergeCell ref="A68:B68"/>
    <mergeCell ref="A69:B69"/>
    <mergeCell ref="A70:B70"/>
    <mergeCell ref="A71:B71"/>
    <mergeCell ref="H35:L35"/>
    <mergeCell ref="A43:B43"/>
    <mergeCell ref="A33:A34"/>
    <mergeCell ref="A50:B50"/>
    <mergeCell ref="A51:B51"/>
    <mergeCell ref="A52:B52"/>
    <mergeCell ref="A53:B53"/>
    <mergeCell ref="H36:L36"/>
    <mergeCell ref="A54:B54"/>
    <mergeCell ref="H33:L33"/>
    <mergeCell ref="A12:A13"/>
    <mergeCell ref="A17:B17"/>
    <mergeCell ref="A18:B18"/>
    <mergeCell ref="A47:B47"/>
    <mergeCell ref="A48:B48"/>
    <mergeCell ref="A49:B49"/>
    <mergeCell ref="A67:B67"/>
    <mergeCell ref="H58:L58"/>
    <mergeCell ref="H13:L13"/>
    <mergeCell ref="H14:L14"/>
    <mergeCell ref="A27:B27"/>
    <mergeCell ref="H12:L12"/>
    <mergeCell ref="A57:A58"/>
    <mergeCell ref="A59:A60"/>
    <mergeCell ref="A39:B39"/>
    <mergeCell ref="A56:B56"/>
    <mergeCell ref="A63:B63"/>
    <mergeCell ref="C57:G57"/>
    <mergeCell ref="H57:L57"/>
    <mergeCell ref="H32:L32"/>
    <mergeCell ref="C32:G32"/>
    <mergeCell ref="A32:B32"/>
    <mergeCell ref="H38:L38"/>
    <mergeCell ref="C35:G35"/>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17" max="15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79998168889431442"/>
    <pageSetUpPr fitToPage="1"/>
  </sheetPr>
  <dimension ref="A1:R110"/>
  <sheetViews>
    <sheetView showGridLines="0" zoomScale="110" zoomScaleNormal="110" zoomScaleSheetLayoutView="130" workbookViewId="0">
      <pane xSplit="1" ySplit="7" topLeftCell="C8" activePane="bottomRight" state="frozen"/>
      <selection pane="topRight" activeCell="B1" sqref="B1"/>
      <selection pane="bottomLeft" activeCell="A8" sqref="A8"/>
      <selection pane="bottomRight" activeCell="C14" sqref="C14"/>
    </sheetView>
  </sheetViews>
  <sheetFormatPr defaultRowHeight="12.75"/>
  <cols>
    <col min="1" max="1" width="46" style="1" customWidth="1"/>
    <col min="2" max="2" width="16.7109375" style="1" customWidth="1"/>
    <col min="3" max="9" width="10.7109375" style="1" customWidth="1"/>
    <col min="10" max="10" width="2.7109375" style="73" customWidth="1"/>
    <col min="11" max="11" width="17.8554687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8" ht="16.5" thickBot="1">
      <c r="A1" s="4843" t="str">
        <f>+'1. Обща информация'!B40</f>
        <v>Фиксиран курс на лева към 1 евро</v>
      </c>
      <c r="B1" s="4798">
        <f>+'1. Обща информация'!$C$40</f>
        <v>1.95583</v>
      </c>
      <c r="C1" s="4842"/>
      <c r="D1" s="4828"/>
      <c r="E1" s="4828"/>
      <c r="F1" s="3341"/>
      <c r="G1" s="3341"/>
      <c r="H1" s="3342"/>
      <c r="I1" s="3343" t="s">
        <v>278</v>
      </c>
      <c r="J1" s="3344"/>
      <c r="K1" s="1349"/>
      <c r="L1" s="1349"/>
      <c r="M1" s="1349"/>
    </row>
    <row r="2" spans="1:18" s="1351" customFormat="1" ht="36.75" customHeight="1">
      <c r="A2" s="5041" t="s">
        <v>607</v>
      </c>
      <c r="B2" s="5041"/>
      <c r="C2" s="5041"/>
      <c r="D2" s="5041"/>
      <c r="E2" s="5041"/>
      <c r="F2" s="5041"/>
      <c r="G2" s="5041"/>
      <c r="H2" s="5041"/>
      <c r="I2" s="5041"/>
      <c r="J2" s="3345"/>
      <c r="K2" s="1350"/>
      <c r="L2" s="1349"/>
      <c r="M2" s="1349"/>
    </row>
    <row r="3" spans="1:18" s="660" customFormat="1" ht="18.75">
      <c r="A3" s="5541" t="str">
        <f>'1. Обща информация'!A4:D4</f>
        <v>на "ВОДОСНАБДЯВАНЕ И КАНАЛИЗАЦИЯ" ЕООД, гр. БЛАГОЕВГРАД</v>
      </c>
      <c r="B3" s="5541"/>
      <c r="C3" s="5541"/>
      <c r="D3" s="5541"/>
      <c r="E3" s="5541"/>
      <c r="F3" s="5541"/>
      <c r="G3" s="5541"/>
      <c r="H3" s="5541"/>
      <c r="I3" s="5541"/>
      <c r="J3" s="3346"/>
      <c r="K3" s="1352"/>
      <c r="L3" s="1353"/>
      <c r="M3" s="1353"/>
    </row>
    <row r="4" spans="1:18" s="660" customFormat="1" ht="18.75">
      <c r="A4" s="5541" t="str">
        <f>'1. Обща информация'!A5:D5</f>
        <v>ЕИК по БУЛСТАТ: 811047831</v>
      </c>
      <c r="B4" s="5541"/>
      <c r="C4" s="5541"/>
      <c r="D4" s="5541"/>
      <c r="E4" s="5541"/>
      <c r="F4" s="5541"/>
      <c r="G4" s="5541"/>
      <c r="H4" s="5541"/>
      <c r="I4" s="5541"/>
      <c r="J4" s="3346"/>
      <c r="K4" s="1352"/>
      <c r="L4" s="1353"/>
      <c r="M4" s="1353"/>
      <c r="N4" s="1354"/>
    </row>
    <row r="5" spans="1:18" ht="12" customHeight="1" thickBot="1">
      <c r="A5" s="3347"/>
      <c r="B5" s="3348"/>
      <c r="C5" s="3348"/>
      <c r="D5" s="3348"/>
      <c r="E5" s="3348"/>
      <c r="F5" s="3348"/>
      <c r="G5" s="3348"/>
      <c r="H5" s="3348"/>
      <c r="I5" s="3348"/>
      <c r="J5" s="3349"/>
      <c r="K5" s="1350"/>
      <c r="L5" s="1349"/>
      <c r="M5" s="1349"/>
    </row>
    <row r="6" spans="1:18" s="340" customFormat="1" ht="13.5" thickBot="1">
      <c r="A6" s="5542" t="s">
        <v>279</v>
      </c>
      <c r="B6" s="5542" t="s">
        <v>280</v>
      </c>
      <c r="C6" s="3350" t="s">
        <v>192</v>
      </c>
      <c r="D6" s="5544" t="s">
        <v>193</v>
      </c>
      <c r="E6" s="5545"/>
      <c r="F6" s="5545"/>
      <c r="G6" s="5545"/>
      <c r="H6" s="5545"/>
      <c r="I6" s="5546"/>
      <c r="J6" s="4775"/>
      <c r="K6" s="5539" t="s">
        <v>280</v>
      </c>
      <c r="L6" s="4836" t="s">
        <v>192</v>
      </c>
      <c r="M6" s="5539" t="s">
        <v>193</v>
      </c>
      <c r="N6" s="5539"/>
      <c r="O6" s="5539"/>
      <c r="P6" s="5539"/>
      <c r="Q6" s="5539"/>
      <c r="R6" s="5539"/>
    </row>
    <row r="7" spans="1:18" s="340" customFormat="1" ht="13.5" thickBot="1">
      <c r="A7" s="5543"/>
      <c r="B7" s="5543"/>
      <c r="C7" s="2999" t="str">
        <f>'9.Инвестиционна програма'!G9</f>
        <v>2025 г.</v>
      </c>
      <c r="D7" s="2995" t="str">
        <f>'Приложение '!$C13</f>
        <v>2026 г.</v>
      </c>
      <c r="E7" s="2996" t="str">
        <f>'Приложение '!$C14</f>
        <v>2027 г.</v>
      </c>
      <c r="F7" s="2997" t="str">
        <f>'Приложение '!$C15</f>
        <v>2028 г.</v>
      </c>
      <c r="G7" s="3000" t="str">
        <f>'Приложение '!$C16</f>
        <v>2029 г.</v>
      </c>
      <c r="H7" s="2997" t="str">
        <f>'Приложение '!$C17</f>
        <v>2030 г.</v>
      </c>
      <c r="I7" s="3001" t="str">
        <f>'Приложение '!$C18</f>
        <v>2031 г.</v>
      </c>
      <c r="J7" s="4775"/>
      <c r="K7" s="5540"/>
      <c r="L7" s="4837" t="str">
        <f>+C7</f>
        <v>2025 г.</v>
      </c>
      <c r="M7" s="4837" t="str">
        <f t="shared" ref="M7:R7" si="0">+D7</f>
        <v>2026 г.</v>
      </c>
      <c r="N7" s="4837" t="str">
        <f t="shared" si="0"/>
        <v>2027 г.</v>
      </c>
      <c r="O7" s="4837" t="str">
        <f t="shared" si="0"/>
        <v>2028 г.</v>
      </c>
      <c r="P7" s="4837" t="str">
        <f t="shared" si="0"/>
        <v>2029 г.</v>
      </c>
      <c r="Q7" s="4837" t="str">
        <f t="shared" si="0"/>
        <v>2030 г.</v>
      </c>
      <c r="R7" s="4837" t="str">
        <f t="shared" si="0"/>
        <v>2031 г.</v>
      </c>
    </row>
    <row r="8" spans="1:18" ht="15" customHeight="1" thickBot="1">
      <c r="A8" s="3351" t="s">
        <v>281</v>
      </c>
      <c r="B8" s="3352" t="s">
        <v>282</v>
      </c>
      <c r="C8" s="4908">
        <v>1.718</v>
      </c>
      <c r="D8" s="4909">
        <v>1.944</v>
      </c>
      <c r="E8" s="1468">
        <f>'20.Цени '!D10</f>
        <v>1.9510000000000001</v>
      </c>
      <c r="F8" s="407">
        <f>'20.Цени '!E10</f>
        <v>2.12</v>
      </c>
      <c r="G8" s="407">
        <f>'20.Цени '!F10</f>
        <v>2.395</v>
      </c>
      <c r="H8" s="407">
        <f>'20.Цени '!G10</f>
        <v>2.6869999999999998</v>
      </c>
      <c r="I8" s="408">
        <f>'20.Цени '!H10</f>
        <v>3.0550000000000002</v>
      </c>
      <c r="J8" s="4775"/>
      <c r="K8" s="4838" t="s">
        <v>1892</v>
      </c>
      <c r="L8" s="4879">
        <f>IFERROR(C8/$B$1,0)</f>
        <v>0.87839945189510338</v>
      </c>
      <c r="M8" s="4879">
        <f t="shared" ref="M8:M11" si="1">IFERROR(D8/$B$1,0)</f>
        <v>0.99395141704544876</v>
      </c>
      <c r="N8" s="4879">
        <f t="shared" ref="N8:N11" si="2">IFERROR(E8/$B$1,0)</f>
        <v>0.9975304602138223</v>
      </c>
      <c r="O8" s="4879">
        <f t="shared" ref="O8:O11" si="3">IFERROR(F8/$B$1,0)</f>
        <v>1.0839387881359832</v>
      </c>
      <c r="P8" s="4879">
        <f t="shared" ref="P8:P11" si="4">IFERROR(G8/$B$1,0)</f>
        <v>1.2245440554649434</v>
      </c>
      <c r="Q8" s="4879">
        <f t="shared" ref="Q8:Q11" si="5">IFERROR(H8/$B$1,0)</f>
        <v>1.3738412847742389</v>
      </c>
      <c r="R8" s="4879">
        <f t="shared" ref="R8:R11" si="6">IFERROR(I8/$B$1,0)</f>
        <v>1.5619966970544477</v>
      </c>
    </row>
    <row r="9" spans="1:18" ht="15" customHeight="1" thickBot="1">
      <c r="A9" s="3353" t="s">
        <v>283</v>
      </c>
      <c r="B9" s="3354" t="s">
        <v>282</v>
      </c>
      <c r="C9" s="4908">
        <v>0.27300000000000002</v>
      </c>
      <c r="D9" s="4909">
        <v>0.28699999999999998</v>
      </c>
      <c r="E9" s="1469">
        <f>'20.Цени '!D12</f>
        <v>0.48099999999999998</v>
      </c>
      <c r="F9" s="409">
        <f>'20.Цени '!E12</f>
        <v>0.55200000000000005</v>
      </c>
      <c r="G9" s="409">
        <f>'20.Цени '!F12</f>
        <v>0.624</v>
      </c>
      <c r="H9" s="409">
        <f>'20.Цени '!G12</f>
        <v>0.71499999999999997</v>
      </c>
      <c r="I9" s="410">
        <f>'20.Цени '!H12</f>
        <v>0.82799999999999996</v>
      </c>
      <c r="J9" s="4775"/>
      <c r="K9" s="4838" t="s">
        <v>1892</v>
      </c>
      <c r="L9" s="4879">
        <f t="shared" ref="L9:L11" si="7">IFERROR(C9/$B$1,0)</f>
        <v>0.13958268356656767</v>
      </c>
      <c r="M9" s="4879">
        <f t="shared" si="1"/>
        <v>0.14674076990331469</v>
      </c>
      <c r="N9" s="4879">
        <f t="shared" si="2"/>
        <v>0.2459313948553811</v>
      </c>
      <c r="O9" s="4879">
        <f t="shared" si="3"/>
        <v>0.28223311842031262</v>
      </c>
      <c r="P9" s="4879">
        <f t="shared" si="4"/>
        <v>0.31904613386644032</v>
      </c>
      <c r="Q9" s="4879">
        <f t="shared" si="5"/>
        <v>0.36557369505529619</v>
      </c>
      <c r="R9" s="4879">
        <f t="shared" si="6"/>
        <v>0.42334967763046888</v>
      </c>
    </row>
    <row r="10" spans="1:18" ht="15" customHeight="1" thickBot="1">
      <c r="A10" s="3353" t="s">
        <v>284</v>
      </c>
      <c r="B10" s="3354" t="s">
        <v>282</v>
      </c>
      <c r="C10" s="4908">
        <v>0.70499999999999996</v>
      </c>
      <c r="D10" s="4909">
        <v>0.79400000000000004</v>
      </c>
      <c r="E10" s="1469">
        <f>'20.Цени '!D14</f>
        <v>0.86899999999999999</v>
      </c>
      <c r="F10" s="409">
        <f>'20.Цени '!E14</f>
        <v>0.95799999999999996</v>
      </c>
      <c r="G10" s="409">
        <f>'20.Цени '!F14</f>
        <v>1.077</v>
      </c>
      <c r="H10" s="409">
        <f>'20.Цени '!G14</f>
        <v>1.2150000000000001</v>
      </c>
      <c r="I10" s="410">
        <f>'20.Цени '!H14</f>
        <v>1.804</v>
      </c>
      <c r="J10" s="4775"/>
      <c r="K10" s="4838" t="s">
        <v>1892</v>
      </c>
      <c r="L10" s="4879">
        <f t="shared" si="7"/>
        <v>0.360460776243334</v>
      </c>
      <c r="M10" s="4879">
        <f t="shared" si="1"/>
        <v>0.40596575366979748</v>
      </c>
      <c r="N10" s="4879">
        <f t="shared" si="2"/>
        <v>0.44431264475951388</v>
      </c>
      <c r="O10" s="4879">
        <f t="shared" si="3"/>
        <v>0.4898176221859773</v>
      </c>
      <c r="P10" s="4879">
        <f t="shared" si="4"/>
        <v>0.55066135604832733</v>
      </c>
      <c r="Q10" s="4879">
        <f t="shared" si="5"/>
        <v>0.62121963565340554</v>
      </c>
      <c r="R10" s="4879">
        <f t="shared" si="6"/>
        <v>0.92237055367797816</v>
      </c>
    </row>
    <row r="11" spans="1:18" ht="15" customHeight="1" thickBot="1">
      <c r="A11" s="3355" t="s">
        <v>194</v>
      </c>
      <c r="B11" s="3356" t="s">
        <v>285</v>
      </c>
      <c r="C11" s="4880">
        <f t="shared" ref="C11:I11" si="8">SUM(C8:C10)*1.2</f>
        <v>3.2352000000000003</v>
      </c>
      <c r="D11" s="4881">
        <f t="shared" si="8"/>
        <v>3.63</v>
      </c>
      <c r="E11" s="4882">
        <f t="shared" si="8"/>
        <v>3.9611999999999998</v>
      </c>
      <c r="F11" s="4883">
        <f t="shared" si="8"/>
        <v>4.3559999999999999</v>
      </c>
      <c r="G11" s="4883">
        <f t="shared" si="8"/>
        <v>4.9151999999999996</v>
      </c>
      <c r="H11" s="4883">
        <f t="shared" si="8"/>
        <v>5.5404</v>
      </c>
      <c r="I11" s="4884">
        <f t="shared" si="8"/>
        <v>6.8243999999999998</v>
      </c>
      <c r="J11" s="4775"/>
      <c r="K11" s="4839" t="s">
        <v>1893</v>
      </c>
      <c r="L11" s="4885">
        <f t="shared" si="7"/>
        <v>1.6541314940460061</v>
      </c>
      <c r="M11" s="4885">
        <f t="shared" si="1"/>
        <v>1.8559895287422732</v>
      </c>
      <c r="N11" s="4885">
        <f t="shared" si="2"/>
        <v>2.0253293997944608</v>
      </c>
      <c r="O11" s="4885">
        <f t="shared" si="3"/>
        <v>2.2271874344907276</v>
      </c>
      <c r="P11" s="4885">
        <f t="shared" si="4"/>
        <v>2.5131018544556532</v>
      </c>
      <c r="Q11" s="4885">
        <f t="shared" si="5"/>
        <v>2.8327615385795291</v>
      </c>
      <c r="R11" s="4885">
        <f t="shared" si="6"/>
        <v>3.4892603140354734</v>
      </c>
    </row>
    <row r="12" spans="1:18" ht="15" customHeight="1" thickBot="1">
      <c r="A12" s="3353" t="s">
        <v>286</v>
      </c>
      <c r="B12" s="3354" t="s">
        <v>287</v>
      </c>
      <c r="C12" s="386">
        <v>2.8</v>
      </c>
      <c r="D12" s="4656">
        <v>2.8</v>
      </c>
      <c r="E12" s="1470">
        <v>2.8</v>
      </c>
      <c r="F12" s="279">
        <v>2.8</v>
      </c>
      <c r="G12" s="277">
        <v>2.8</v>
      </c>
      <c r="H12" s="279">
        <v>2.8</v>
      </c>
      <c r="I12" s="278">
        <v>2.8</v>
      </c>
      <c r="J12" s="4775"/>
      <c r="K12" s="4840"/>
      <c r="L12" s="1349"/>
      <c r="M12" s="1348"/>
    </row>
    <row r="13" spans="1:18" ht="15" customHeight="1" thickBot="1">
      <c r="A13" s="3353" t="s">
        <v>339</v>
      </c>
      <c r="B13" s="3354" t="s">
        <v>288</v>
      </c>
      <c r="C13" s="387">
        <f t="shared" ref="C13:I13" si="9">C11*C12</f>
        <v>9.0585599999999999</v>
      </c>
      <c r="D13" s="4657">
        <f t="shared" si="9"/>
        <v>10.164</v>
      </c>
      <c r="E13" s="1471">
        <f t="shared" si="9"/>
        <v>11.091359999999998</v>
      </c>
      <c r="F13" s="281">
        <f t="shared" si="9"/>
        <v>12.1968</v>
      </c>
      <c r="G13" s="280">
        <f t="shared" si="9"/>
        <v>13.762559999999999</v>
      </c>
      <c r="H13" s="280">
        <f t="shared" si="9"/>
        <v>15.513119999999999</v>
      </c>
      <c r="I13" s="282">
        <f t="shared" si="9"/>
        <v>19.108319999999999</v>
      </c>
      <c r="J13" s="4775"/>
      <c r="K13" s="4838" t="s">
        <v>1873</v>
      </c>
      <c r="L13" s="4844">
        <f t="shared" ref="L13:L14" si="10">IFERROR(C13/$B$1,0)</f>
        <v>4.6315681833288167</v>
      </c>
      <c r="M13" s="4844">
        <f t="shared" ref="M13:M14" si="11">IFERROR(D13/$B$1,0)</f>
        <v>5.1967706804783642</v>
      </c>
      <c r="N13" s="4844">
        <f t="shared" ref="N13:N14" si="12">IFERROR(E13/$B$1,0)</f>
        <v>5.6709223194244887</v>
      </c>
      <c r="O13" s="4844">
        <f t="shared" ref="O13:O14" si="13">IFERROR(F13/$B$1,0)</f>
        <v>6.2361248165740379</v>
      </c>
      <c r="P13" s="4844">
        <f t="shared" ref="P13:P14" si="14">IFERROR(G13/$B$1,0)</f>
        <v>7.0366851924758285</v>
      </c>
      <c r="Q13" s="4844">
        <f t="shared" ref="Q13:Q14" si="15">IFERROR(H13/$B$1,0)</f>
        <v>7.9317323080226805</v>
      </c>
      <c r="R13" s="4844">
        <f t="shared" ref="R13:R14" si="16">IFERROR(I13/$B$1,0)</f>
        <v>9.7699288792993251</v>
      </c>
    </row>
    <row r="14" spans="1:18" ht="15" customHeight="1" thickBot="1">
      <c r="A14" s="3357" t="s">
        <v>289</v>
      </c>
      <c r="B14" s="3354" t="s">
        <v>290</v>
      </c>
      <c r="C14" s="414">
        <v>1061.25</v>
      </c>
      <c r="D14" s="4658">
        <f>C14*(1+D15)</f>
        <v>1084.5975000000001</v>
      </c>
      <c r="E14" s="3915">
        <f>D14*(1+E15)</f>
        <v>1118.2200224999999</v>
      </c>
      <c r="F14" s="1485">
        <f t="shared" ref="F14:I14" si="17">E14*(1+F15)</f>
        <v>1152.8848431974998</v>
      </c>
      <c r="G14" s="3916">
        <f t="shared" si="17"/>
        <v>1188.6242733366221</v>
      </c>
      <c r="H14" s="1485">
        <f t="shared" si="17"/>
        <v>1225.4716258100573</v>
      </c>
      <c r="I14" s="1486">
        <f t="shared" si="17"/>
        <v>1263.4612462101688</v>
      </c>
      <c r="J14" s="4775"/>
      <c r="K14" s="4838" t="s">
        <v>1894</v>
      </c>
      <c r="L14" s="4835">
        <f t="shared" si="10"/>
        <v>542.60850891948689</v>
      </c>
      <c r="M14" s="4835">
        <f t="shared" si="11"/>
        <v>554.54589611571566</v>
      </c>
      <c r="N14" s="4835">
        <f t="shared" si="12"/>
        <v>571.73681889530269</v>
      </c>
      <c r="O14" s="4835">
        <f t="shared" si="13"/>
        <v>589.46066028105702</v>
      </c>
      <c r="P14" s="4835">
        <f t="shared" si="14"/>
        <v>607.73394074976977</v>
      </c>
      <c r="Q14" s="4835">
        <f t="shared" si="15"/>
        <v>626.57369291301256</v>
      </c>
      <c r="R14" s="4835">
        <f t="shared" si="16"/>
        <v>645.99747739331576</v>
      </c>
    </row>
    <row r="15" spans="1:18" ht="13.5" thickBot="1">
      <c r="A15" s="3358" t="s">
        <v>1868</v>
      </c>
      <c r="B15" s="3359" t="s">
        <v>170</v>
      </c>
      <c r="C15" s="3360"/>
      <c r="D15" s="4654">
        <v>2.1999999999999999E-2</v>
      </c>
      <c r="E15" s="4660">
        <v>3.1E-2</v>
      </c>
      <c r="F15" s="4655">
        <f>E15</f>
        <v>3.1E-2</v>
      </c>
      <c r="G15" s="4655">
        <f>E15</f>
        <v>3.1E-2</v>
      </c>
      <c r="H15" s="4655">
        <f>E15</f>
        <v>3.1E-2</v>
      </c>
      <c r="I15" s="4661">
        <f>E15</f>
        <v>3.1E-2</v>
      </c>
      <c r="J15" s="4775"/>
      <c r="K15" s="4840"/>
      <c r="L15" s="1349"/>
      <c r="M15" s="1348"/>
    </row>
    <row r="16" spans="1:18" ht="15" customHeight="1" thickBot="1">
      <c r="A16" s="3358" t="s">
        <v>740</v>
      </c>
      <c r="B16" s="3361" t="s">
        <v>288</v>
      </c>
      <c r="C16" s="388">
        <f>C14*2.5%</f>
        <v>26.53125</v>
      </c>
      <c r="D16" s="4659">
        <f>D14*2.5%</f>
        <v>27.114937500000003</v>
      </c>
      <c r="E16" s="1472">
        <f t="shared" ref="E16:I16" si="18">E14*2.5%</f>
        <v>27.955500562499999</v>
      </c>
      <c r="F16" s="284">
        <f t="shared" si="18"/>
        <v>28.822121079937496</v>
      </c>
      <c r="G16" s="283">
        <f t="shared" si="18"/>
        <v>29.715606833415553</v>
      </c>
      <c r="H16" s="283">
        <f t="shared" si="18"/>
        <v>30.636790645251434</v>
      </c>
      <c r="I16" s="285">
        <f t="shared" si="18"/>
        <v>31.586531155254221</v>
      </c>
      <c r="J16" s="4775"/>
      <c r="K16" s="4838" t="s">
        <v>1873</v>
      </c>
      <c r="L16" s="4844">
        <f t="shared" ref="L16:L17" si="19">IFERROR(C16/$B$1,0)</f>
        <v>13.565212722987171</v>
      </c>
      <c r="M16" s="4844">
        <f t="shared" ref="M16:M17" si="20">IFERROR(D16/$B$1,0)</f>
        <v>13.863647402892891</v>
      </c>
      <c r="N16" s="4844">
        <f t="shared" ref="N16:N17" si="21">IFERROR(E16/$B$1,0)</f>
        <v>14.29342047238257</v>
      </c>
      <c r="O16" s="4844">
        <f t="shared" ref="O16:O17" si="22">IFERROR(F16/$B$1,0)</f>
        <v>14.736516507026426</v>
      </c>
      <c r="P16" s="4844">
        <f t="shared" ref="P16:P17" si="23">IFERROR(G16/$B$1,0)</f>
        <v>15.193348518744243</v>
      </c>
      <c r="Q16" s="4844">
        <f t="shared" ref="Q16:Q17" si="24">IFERROR(H16/$B$1,0)</f>
        <v>15.664342322825314</v>
      </c>
      <c r="R16" s="4844">
        <f t="shared" ref="R16:R17" si="25">IFERROR(I16/$B$1,0)</f>
        <v>16.149936934832894</v>
      </c>
    </row>
    <row r="17" spans="1:18" ht="20.25" customHeight="1" thickBot="1">
      <c r="A17" s="3362" t="s">
        <v>291</v>
      </c>
      <c r="B17" s="3363" t="s">
        <v>292</v>
      </c>
      <c r="C17" s="4886">
        <f>C16/C12</f>
        <v>9.4754464285714288</v>
      </c>
      <c r="D17" s="4887">
        <f t="shared" ref="D17:I17" si="26">D16/D12</f>
        <v>9.6839062500000015</v>
      </c>
      <c r="E17" s="4888">
        <f t="shared" si="26"/>
        <v>9.9841073437500008</v>
      </c>
      <c r="F17" s="4889">
        <f t="shared" si="26"/>
        <v>10.29361467140625</v>
      </c>
      <c r="G17" s="4890">
        <f t="shared" si="26"/>
        <v>10.612716726219841</v>
      </c>
      <c r="H17" s="4890">
        <f t="shared" si="26"/>
        <v>10.941710944732655</v>
      </c>
      <c r="I17" s="4891">
        <f t="shared" si="26"/>
        <v>11.280903984019366</v>
      </c>
      <c r="J17" s="4775"/>
      <c r="K17" s="4836" t="s">
        <v>1895</v>
      </c>
      <c r="L17" s="4892">
        <f t="shared" si="19"/>
        <v>4.8447188296382757</v>
      </c>
      <c r="M17" s="4892">
        <f t="shared" si="20"/>
        <v>4.9513026438903189</v>
      </c>
      <c r="N17" s="4892">
        <f t="shared" si="21"/>
        <v>5.1047930258509178</v>
      </c>
      <c r="O17" s="4892">
        <f t="shared" si="22"/>
        <v>5.2630416096522961</v>
      </c>
      <c r="P17" s="4892">
        <f t="shared" si="23"/>
        <v>5.4261958995515158</v>
      </c>
      <c r="Q17" s="4892">
        <f t="shared" si="24"/>
        <v>5.5944079724376126</v>
      </c>
      <c r="R17" s="4892">
        <f t="shared" si="25"/>
        <v>5.7678346195831773</v>
      </c>
    </row>
    <row r="18" spans="1:18" ht="13.5" thickBot="1">
      <c r="A18" s="3341"/>
      <c r="B18" s="3364"/>
      <c r="C18" s="3364"/>
      <c r="D18" s="3364"/>
      <c r="E18" s="3364"/>
      <c r="F18" s="3364"/>
      <c r="G18" s="3364"/>
      <c r="H18" s="3364"/>
      <c r="I18" s="3364"/>
      <c r="J18" s="4775"/>
      <c r="K18" s="1350"/>
      <c r="L18" s="1349"/>
      <c r="M18" s="1348"/>
    </row>
    <row r="19" spans="1:18" ht="27" customHeight="1" thickBot="1">
      <c r="A19" s="3362" t="s">
        <v>291</v>
      </c>
      <c r="B19" s="3366" t="s">
        <v>170</v>
      </c>
      <c r="C19" s="389">
        <f t="shared" ref="C19:I19" si="27">IFERROR(C13/C14,0)</f>
        <v>8.5357455830388698E-3</v>
      </c>
      <c r="D19" s="390">
        <f t="shared" si="27"/>
        <v>9.371218355196281E-3</v>
      </c>
      <c r="E19" s="391">
        <f t="shared" si="27"/>
        <v>9.9187635499524418E-3</v>
      </c>
      <c r="F19" s="392">
        <f t="shared" si="27"/>
        <v>1.0579374056278209E-2</v>
      </c>
      <c r="G19" s="391">
        <f t="shared" si="27"/>
        <v>1.1578562131637033E-2</v>
      </c>
      <c r="H19" s="391">
        <f t="shared" si="27"/>
        <v>1.2658897744568803E-2</v>
      </c>
      <c r="I19" s="393">
        <f t="shared" si="27"/>
        <v>1.5123787973170212E-2</v>
      </c>
      <c r="J19" s="4775"/>
      <c r="K19" s="1350"/>
      <c r="L19" s="1349"/>
      <c r="M19" s="1348"/>
    </row>
    <row r="20" spans="1:18">
      <c r="A20" s="3341"/>
      <c r="B20" s="3341"/>
      <c r="C20" s="3341"/>
      <c r="D20" s="3341"/>
      <c r="E20" s="3341"/>
      <c r="F20" s="3341"/>
      <c r="G20" s="3341"/>
      <c r="H20" s="3341"/>
      <c r="I20" s="3341"/>
      <c r="J20" s="3365"/>
      <c r="K20" s="1350"/>
      <c r="L20" s="1349"/>
      <c r="M20" s="1348"/>
    </row>
    <row r="21" spans="1:18">
      <c r="A21" s="3341"/>
      <c r="K21" s="1350"/>
      <c r="L21" s="1349"/>
      <c r="M21" s="1348"/>
    </row>
    <row r="22" spans="1:18">
      <c r="A22" s="3367" t="str">
        <f>'Приложение '!B82</f>
        <v>Дата: 15.04.2026 г.</v>
      </c>
      <c r="K22" s="1350"/>
      <c r="L22" s="1349"/>
      <c r="M22" s="1348"/>
    </row>
    <row r="23" spans="1:18">
      <c r="A23" s="3367"/>
      <c r="K23" s="1350"/>
      <c r="L23" s="1349"/>
      <c r="M23" s="1348"/>
    </row>
    <row r="24" spans="1:18">
      <c r="A24" s="3368"/>
      <c r="K24" s="1355"/>
      <c r="L24" s="1349"/>
      <c r="M24" s="1348"/>
    </row>
    <row r="25" spans="1:18">
      <c r="A25" s="1800" t="s">
        <v>187</v>
      </c>
      <c r="B25" s="1800"/>
      <c r="C25" s="1800"/>
      <c r="D25" s="1800"/>
      <c r="E25" s="3369"/>
      <c r="F25" s="3369"/>
      <c r="G25" s="3369"/>
      <c r="H25" s="3369"/>
      <c r="I25" s="1697"/>
      <c r="J25" s="1702"/>
      <c r="K25" s="1350"/>
      <c r="L25" s="1349"/>
      <c r="M25" s="1348"/>
    </row>
    <row r="26" spans="1:18">
      <c r="A26" s="1846" t="s">
        <v>188</v>
      </c>
      <c r="L26" s="1348"/>
      <c r="M26" s="1348"/>
    </row>
    <row r="27" spans="1:18">
      <c r="A27" s="1846" t="s">
        <v>1462</v>
      </c>
      <c r="L27" s="1348"/>
      <c r="M27" s="1348"/>
    </row>
    <row r="28" spans="1:18">
      <c r="L28" s="1348"/>
      <c r="M28" s="1348"/>
    </row>
    <row r="29" spans="1:18">
      <c r="L29" s="1348"/>
      <c r="M29" s="1348"/>
    </row>
    <row r="35" ht="11.25" customHeight="1"/>
    <row r="56" spans="8:8">
      <c r="H56" s="1" t="s">
        <v>202</v>
      </c>
    </row>
    <row r="95" spans="11:11">
      <c r="K95" s="1356"/>
    </row>
    <row r="96" spans="11:11">
      <c r="K96" s="1356"/>
    </row>
    <row r="97" spans="11:11">
      <c r="K97" s="1356"/>
    </row>
    <row r="98" spans="11:11">
      <c r="K98" s="1356"/>
    </row>
    <row r="99" spans="11:11">
      <c r="K99" s="1356"/>
    </row>
    <row r="100" spans="11:11">
      <c r="K100" s="1356"/>
    </row>
    <row r="101" spans="11:11">
      <c r="K101" s="1356"/>
    </row>
    <row r="102" spans="11:11">
      <c r="K102" s="1356"/>
    </row>
    <row r="103" spans="11:11">
      <c r="K103" s="1356"/>
    </row>
    <row r="104" spans="11:11">
      <c r="K104" s="1356"/>
    </row>
    <row r="105" spans="11:11">
      <c r="K105" s="1356"/>
    </row>
    <row r="106" spans="11:11">
      <c r="K106" s="1356"/>
    </row>
    <row r="107" spans="11:11">
      <c r="K107" s="1356"/>
    </row>
    <row r="108" spans="11:11">
      <c r="K108" s="1356"/>
    </row>
    <row r="109" spans="11:11">
      <c r="K109" s="1356"/>
    </row>
    <row r="110" spans="11:11">
      <c r="K110" s="1356"/>
    </row>
  </sheetData>
  <sheetProtection algorithmName="SHA-512" hashValue="mYm1DPyJwjR3ujoTUxbwF4lhts6IycK/hI+DNqopz/jsLwi9T4FoHCLPZmcfKxr4doGo87u6RNZAj44rOJtxVQ==" saltValue="8aOkJnuaVSJp+VhFcxozbQ==" spinCount="100000" sheet="1" formatCells="0" formatColumns="0" formatRows="0"/>
  <mergeCells count="8">
    <mergeCell ref="K6:K7"/>
    <mergeCell ref="M6:R6"/>
    <mergeCell ref="A2:I2"/>
    <mergeCell ref="A3:I3"/>
    <mergeCell ref="A4:I4"/>
    <mergeCell ref="A6:A7"/>
    <mergeCell ref="B6:B7"/>
    <mergeCell ref="D6:I6"/>
  </mergeCells>
  <conditionalFormatting sqref="C19:I19">
    <cfRule type="cellIs" dxfId="8" priority="2"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F14:I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N51"/>
  <sheetViews>
    <sheetView showGridLines="0" zoomScaleNormal="100" zoomScaleSheetLayoutView="100" workbookViewId="0">
      <pane xSplit="1" ySplit="7" topLeftCell="B17" activePane="bottomRight" state="frozen"/>
      <selection pane="topRight" activeCell="B1" sqref="B1"/>
      <selection pane="bottomLeft" activeCell="A8" sqref="A8"/>
      <selection pane="bottomRight" activeCell="F46" sqref="F46"/>
    </sheetView>
  </sheetViews>
  <sheetFormatPr defaultColWidth="9.140625" defaultRowHeight="12.75"/>
  <cols>
    <col min="1" max="1" width="49.140625" style="23" customWidth="1"/>
    <col min="2" max="5" width="9.7109375" style="23" customWidth="1"/>
    <col min="6" max="7" width="9.140625" style="24"/>
    <col min="8" max="8" width="3.28515625" style="18" customWidth="1"/>
    <col min="9" max="16384" width="9.140625" style="18"/>
  </cols>
  <sheetData>
    <row r="1" spans="1:14" ht="16.5" thickBot="1">
      <c r="A1" s="4841" t="str">
        <f>+'1. Обща информация'!B40</f>
        <v>Фиксиран курс на лева към 1 евро</v>
      </c>
      <c r="B1" s="5455">
        <f>+'1. Обща информация'!$C$40</f>
        <v>1.95583</v>
      </c>
      <c r="C1" s="5456"/>
      <c r="F1" s="3371"/>
      <c r="G1" s="3343" t="s">
        <v>346</v>
      </c>
    </row>
    <row r="2" spans="1:14" ht="25.5" customHeight="1">
      <c r="A2" s="5043" t="s">
        <v>1488</v>
      </c>
      <c r="B2" s="5043"/>
      <c r="C2" s="5043"/>
      <c r="D2" s="5043"/>
      <c r="E2" s="5043"/>
      <c r="F2" s="5043"/>
      <c r="G2" s="5043"/>
    </row>
    <row r="3" spans="1:14" ht="20.25" customHeight="1">
      <c r="A3" s="5043" t="s">
        <v>1487</v>
      </c>
      <c r="B3" s="5043"/>
      <c r="C3" s="5043"/>
      <c r="D3" s="5043"/>
      <c r="E3" s="5043"/>
      <c r="F3" s="5043"/>
      <c r="G3" s="5043"/>
    </row>
    <row r="4" spans="1:14" ht="15.75">
      <c r="A4" s="5550" t="str">
        <f>'1. Обща информация'!A4:D4</f>
        <v>на "ВОДОСНАБДЯВАНЕ И КАНАЛИЗАЦИЯ" ЕООД, гр. БЛАГОЕВГРАД</v>
      </c>
      <c r="B4" s="5550"/>
      <c r="C4" s="5550"/>
      <c r="D4" s="5550"/>
      <c r="E4" s="5550"/>
      <c r="F4" s="5550"/>
      <c r="G4" s="5550"/>
    </row>
    <row r="5" spans="1:14" ht="15.75">
      <c r="A5" s="5550" t="str">
        <f>'1. Обща информация'!A5:D5</f>
        <v>ЕИК по БУЛСТАТ: 811047831</v>
      </c>
      <c r="B5" s="5550"/>
      <c r="C5" s="5550"/>
      <c r="D5" s="5550"/>
      <c r="E5" s="5550"/>
      <c r="F5" s="5550"/>
      <c r="G5" s="5550"/>
    </row>
    <row r="6" spans="1:14" ht="13.5" thickBot="1">
      <c r="A6" s="3372"/>
      <c r="B6" s="3372"/>
      <c r="C6" s="3372"/>
      <c r="D6" s="3372"/>
      <c r="E6" s="3372"/>
      <c r="F6" s="3371"/>
      <c r="G6" s="3373" t="s">
        <v>190</v>
      </c>
      <c r="N6" s="2558" t="s">
        <v>1891</v>
      </c>
    </row>
    <row r="7" spans="1:14" ht="13.5" thickBot="1">
      <c r="A7" s="3374" t="s">
        <v>488</v>
      </c>
      <c r="B7" s="262" t="str">
        <f>'Приложение '!$C12</f>
        <v>2024 г.</v>
      </c>
      <c r="C7" s="263" t="str">
        <f>'Приложение '!$C14</f>
        <v>2027 г.</v>
      </c>
      <c r="D7" s="264" t="str">
        <f>'Приложение '!$C15</f>
        <v>2028 г.</v>
      </c>
      <c r="E7" s="264" t="str">
        <f>'Приложение '!$C16</f>
        <v>2029 г.</v>
      </c>
      <c r="F7" s="264" t="str">
        <f>'Приложение '!$C17</f>
        <v>2030 г.</v>
      </c>
      <c r="G7" s="265" t="str">
        <f>'Приложение '!$C18</f>
        <v>2031 г.</v>
      </c>
      <c r="H7" s="4775"/>
      <c r="I7" s="4845" t="str">
        <f>'Приложение '!$C12</f>
        <v>2024 г.</v>
      </c>
      <c r="J7" s="4845" t="str">
        <f>'Приложение '!$C14</f>
        <v>2027 г.</v>
      </c>
      <c r="K7" s="4845" t="str">
        <f>'Приложение '!$C15</f>
        <v>2028 г.</v>
      </c>
      <c r="L7" s="4845" t="str">
        <f>'Приложение '!$C16</f>
        <v>2029 г.</v>
      </c>
      <c r="M7" s="4845" t="str">
        <f>'Приложение '!$C17</f>
        <v>2030 г.</v>
      </c>
      <c r="N7" s="4845" t="str">
        <f>'Приложение '!$C18</f>
        <v>2031 г.</v>
      </c>
    </row>
    <row r="8" spans="1:14" ht="13.5" thickBot="1">
      <c r="A8" s="3375" t="s">
        <v>489</v>
      </c>
      <c r="B8" s="3376">
        <f t="shared" ref="B8:G8" si="0">B9+B16</f>
        <v>35357</v>
      </c>
      <c r="C8" s="3377">
        <f t="shared" si="0"/>
        <v>38703.881038</v>
      </c>
      <c r="D8" s="3378">
        <f t="shared" si="0"/>
        <v>40463.371081999998</v>
      </c>
      <c r="E8" s="3378">
        <f t="shared" si="0"/>
        <v>43716.829365600002</v>
      </c>
      <c r="F8" s="3378">
        <f t="shared" si="0"/>
        <v>47261.636015600001</v>
      </c>
      <c r="G8" s="3379">
        <f t="shared" si="0"/>
        <v>51745.7842256</v>
      </c>
      <c r="H8" s="4775"/>
      <c r="I8" s="4835">
        <f>IFERROR(B8/$B$1,0)</f>
        <v>18077.747043454696</v>
      </c>
      <c r="J8" s="4835">
        <f t="shared" ref="J8:N8" si="1">IFERROR(C8/$B$1,0)</f>
        <v>19788.980145513669</v>
      </c>
      <c r="K8" s="4835">
        <f t="shared" si="1"/>
        <v>20688.593120056445</v>
      </c>
      <c r="L8" s="4835">
        <f t="shared" si="1"/>
        <v>22352.059926271711</v>
      </c>
      <c r="M8" s="4835">
        <f t="shared" si="1"/>
        <v>24164.490786827078</v>
      </c>
      <c r="N8" s="4835">
        <f t="shared" si="1"/>
        <v>26457.199360680632</v>
      </c>
    </row>
    <row r="9" spans="1:14" ht="13.5" thickBot="1">
      <c r="A9" s="3380" t="s">
        <v>490</v>
      </c>
      <c r="B9" s="3381">
        <f t="shared" ref="B9:G9" si="2">SUM(B10:B15)</f>
        <v>35164</v>
      </c>
      <c r="C9" s="3382">
        <f t="shared" si="2"/>
        <v>38703.881038</v>
      </c>
      <c r="D9" s="3383">
        <f t="shared" si="2"/>
        <v>40463.371081999998</v>
      </c>
      <c r="E9" s="3383">
        <f t="shared" si="2"/>
        <v>43716.829365600002</v>
      </c>
      <c r="F9" s="3383">
        <f t="shared" si="2"/>
        <v>47261.636015600001</v>
      </c>
      <c r="G9" s="3384">
        <f t="shared" si="2"/>
        <v>51745.7842256</v>
      </c>
      <c r="H9" s="4775"/>
      <c r="I9" s="4835">
        <f t="shared" ref="I9:I43" si="3">IFERROR(B9/$B$1,0)</f>
        <v>17979.067710383828</v>
      </c>
      <c r="J9" s="4835">
        <f t="shared" ref="J9:J43" si="4">IFERROR(C9/$B$1,0)</f>
        <v>19788.980145513669</v>
      </c>
      <c r="K9" s="4835">
        <f t="shared" ref="K9:K43" si="5">IFERROR(D9/$B$1,0)</f>
        <v>20688.593120056445</v>
      </c>
      <c r="L9" s="4835">
        <f t="shared" ref="L9:L43" si="6">IFERROR(E9/$B$1,0)</f>
        <v>22352.059926271711</v>
      </c>
      <c r="M9" s="4835">
        <f t="shared" ref="M9:M43" si="7">IFERROR(F9/$B$1,0)</f>
        <v>24164.490786827078</v>
      </c>
      <c r="N9" s="4835">
        <f t="shared" ref="N9:N43" si="8">IFERROR(G9/$B$1,0)</f>
        <v>26457.199360680632</v>
      </c>
    </row>
    <row r="10" spans="1:14" ht="13.5" thickBot="1">
      <c r="A10" s="3385" t="s">
        <v>1022</v>
      </c>
      <c r="B10" s="414">
        <v>26385</v>
      </c>
      <c r="C10" s="3386">
        <f>+'16. Необходими приходи'!D11+'16. Необходими приходи'!D17+'16. Необходими приходи'!D25+'16. Необходими приходи'!D36+'16. Необходими приходи'!D42</f>
        <v>31616.881038</v>
      </c>
      <c r="D10" s="3387">
        <f>+'16. Необходими приходи'!E11+'16. Необходими приходи'!E17+'16. Необходими приходи'!E25+'16. Необходими приходи'!E36+'16. Необходими приходи'!E42</f>
        <v>33748.371081999998</v>
      </c>
      <c r="E10" s="3387">
        <f>+'16. Необходими приходи'!F11+'16. Необходими приходи'!F17+'16. Необходими приходи'!F25+'16. Необходими приходи'!F36+'16. Необходими приходи'!F42</f>
        <v>36871.829365600002</v>
      </c>
      <c r="F10" s="3387">
        <f>+'16. Необходими приходи'!G11+'16. Необходими приходи'!G17+'16. Необходими приходи'!G25+'16. Необходими приходи'!G36+'16. Необходими приходи'!G42</f>
        <v>40301.636015600001</v>
      </c>
      <c r="G10" s="3388">
        <f>+'16. Необходими приходи'!H11+'16. Необходими приходи'!H17+'16. Необходими приходи'!H25+'16. Необходими приходи'!H36+'16. Необходими приходи'!H42</f>
        <v>44450.7842256</v>
      </c>
      <c r="H10" s="4775"/>
      <c r="I10" s="4835">
        <f t="shared" si="3"/>
        <v>13490.436285362224</v>
      </c>
      <c r="J10" s="4835">
        <f t="shared" si="4"/>
        <v>16165.454583476068</v>
      </c>
      <c r="K10" s="4835">
        <f t="shared" si="5"/>
        <v>17255.268137823838</v>
      </c>
      <c r="L10" s="4835">
        <f t="shared" si="6"/>
        <v>18852.266999483596</v>
      </c>
      <c r="M10" s="4835">
        <f t="shared" si="7"/>
        <v>20605.899293701397</v>
      </c>
      <c r="N10" s="4835">
        <f t="shared" si="8"/>
        <v>22727.32508735422</v>
      </c>
    </row>
    <row r="11" spans="1:14" ht="13.5" thickBot="1">
      <c r="A11" s="3385" t="s">
        <v>1023</v>
      </c>
      <c r="B11" s="414">
        <v>197</v>
      </c>
      <c r="C11" s="274">
        <v>195</v>
      </c>
      <c r="D11" s="416">
        <v>195</v>
      </c>
      <c r="E11" s="416">
        <v>190</v>
      </c>
      <c r="F11" s="416">
        <v>190</v>
      </c>
      <c r="G11" s="275">
        <v>190</v>
      </c>
      <c r="H11" s="4775"/>
      <c r="I11" s="4835">
        <f t="shared" si="3"/>
        <v>100.72450059565504</v>
      </c>
      <c r="J11" s="4835">
        <f t="shared" si="4"/>
        <v>99.701916833262601</v>
      </c>
      <c r="K11" s="4835">
        <f t="shared" si="5"/>
        <v>99.701916833262601</v>
      </c>
      <c r="L11" s="4835">
        <f t="shared" si="6"/>
        <v>97.145457427281514</v>
      </c>
      <c r="M11" s="4835">
        <f t="shared" si="7"/>
        <v>97.145457427281514</v>
      </c>
      <c r="N11" s="4835">
        <f t="shared" si="8"/>
        <v>97.145457427281514</v>
      </c>
    </row>
    <row r="12" spans="1:14" ht="13.5" thickBot="1">
      <c r="A12" s="3389" t="s">
        <v>491</v>
      </c>
      <c r="B12" s="414">
        <v>4142</v>
      </c>
      <c r="C12" s="274">
        <v>3000</v>
      </c>
      <c r="D12" s="416">
        <v>3200</v>
      </c>
      <c r="E12" s="416">
        <v>3400</v>
      </c>
      <c r="F12" s="416">
        <v>3600</v>
      </c>
      <c r="G12" s="275">
        <v>3800</v>
      </c>
      <c r="H12" s="4775"/>
      <c r="I12" s="4835">
        <f t="shared" si="3"/>
        <v>2117.7709719147369</v>
      </c>
      <c r="J12" s="4835">
        <f t="shared" si="4"/>
        <v>1533.8756435886555</v>
      </c>
      <c r="K12" s="4835">
        <f t="shared" si="5"/>
        <v>1636.1340198278992</v>
      </c>
      <c r="L12" s="4835">
        <f t="shared" si="6"/>
        <v>1738.392396067143</v>
      </c>
      <c r="M12" s="4835">
        <f t="shared" si="7"/>
        <v>1840.6507723063867</v>
      </c>
      <c r="N12" s="4835">
        <f t="shared" si="8"/>
        <v>1942.9091485456304</v>
      </c>
    </row>
    <row r="13" spans="1:14" ht="13.5" thickBot="1">
      <c r="A13" s="3390" t="s">
        <v>492</v>
      </c>
      <c r="B13" s="414">
        <v>4259</v>
      </c>
      <c r="C13" s="3391">
        <f>'9.Инвестиционна програма'!I126</f>
        <v>3892</v>
      </c>
      <c r="D13" s="3392">
        <f>'9.Инвестиционна програма'!J126</f>
        <v>3320</v>
      </c>
      <c r="E13" s="3392">
        <f>'9.Инвестиционна програма'!K126</f>
        <v>3255</v>
      </c>
      <c r="F13" s="3392">
        <f>'9.Инвестиционна програма'!L126</f>
        <v>3170</v>
      </c>
      <c r="G13" s="3393">
        <f>'9.Инвестиционна програма'!M126</f>
        <v>3305</v>
      </c>
      <c r="H13" s="4775"/>
      <c r="I13" s="4835">
        <f t="shared" si="3"/>
        <v>2177.5921220146947</v>
      </c>
      <c r="J13" s="4835">
        <f t="shared" si="4"/>
        <v>1989.9480016156824</v>
      </c>
      <c r="K13" s="4835">
        <f t="shared" si="5"/>
        <v>1697.4890455714453</v>
      </c>
      <c r="L13" s="4835">
        <f t="shared" si="6"/>
        <v>1664.2550732936911</v>
      </c>
      <c r="M13" s="4835">
        <f t="shared" si="7"/>
        <v>1620.7952633920127</v>
      </c>
      <c r="N13" s="4835">
        <f t="shared" si="8"/>
        <v>1689.8196673535022</v>
      </c>
    </row>
    <row r="14" spans="1:14" ht="13.5" thickBot="1">
      <c r="A14" s="3394" t="s">
        <v>493</v>
      </c>
      <c r="B14" s="414">
        <v>181</v>
      </c>
      <c r="C14" s="274"/>
      <c r="D14" s="416"/>
      <c r="E14" s="416"/>
      <c r="F14" s="416"/>
      <c r="G14" s="275"/>
      <c r="H14" s="4775"/>
      <c r="I14" s="4835">
        <f t="shared" si="3"/>
        <v>92.543830496515554</v>
      </c>
      <c r="J14" s="4835">
        <f t="shared" si="4"/>
        <v>0</v>
      </c>
      <c r="K14" s="4835">
        <f t="shared" si="5"/>
        <v>0</v>
      </c>
      <c r="L14" s="4835">
        <f t="shared" si="6"/>
        <v>0</v>
      </c>
      <c r="M14" s="4835">
        <f t="shared" si="7"/>
        <v>0</v>
      </c>
      <c r="N14" s="4835">
        <f t="shared" si="8"/>
        <v>0</v>
      </c>
    </row>
    <row r="15" spans="1:14" ht="13.5" thickBot="1">
      <c r="A15" s="3394" t="s">
        <v>1019</v>
      </c>
      <c r="B15" s="414"/>
      <c r="C15" s="274"/>
      <c r="D15" s="416"/>
      <c r="E15" s="416"/>
      <c r="F15" s="416"/>
      <c r="G15" s="275"/>
      <c r="H15" s="4775"/>
      <c r="I15" s="4835">
        <f t="shared" si="3"/>
        <v>0</v>
      </c>
      <c r="J15" s="4835">
        <f t="shared" si="4"/>
        <v>0</v>
      </c>
      <c r="K15" s="4835">
        <f t="shared" si="5"/>
        <v>0</v>
      </c>
      <c r="L15" s="4835">
        <f t="shared" si="6"/>
        <v>0</v>
      </c>
      <c r="M15" s="4835">
        <f t="shared" si="7"/>
        <v>0</v>
      </c>
      <c r="N15" s="4835">
        <f t="shared" si="8"/>
        <v>0</v>
      </c>
    </row>
    <row r="16" spans="1:14" ht="13.5" thickBot="1">
      <c r="A16" s="3395" t="s">
        <v>494</v>
      </c>
      <c r="B16" s="3381">
        <f>SUM(B17:B20)</f>
        <v>193</v>
      </c>
      <c r="C16" s="3382">
        <f t="shared" ref="C16:G16" si="9">SUM(C17:C20)</f>
        <v>0</v>
      </c>
      <c r="D16" s="3383">
        <f t="shared" si="9"/>
        <v>0</v>
      </c>
      <c r="E16" s="3383">
        <f t="shared" si="9"/>
        <v>0</v>
      </c>
      <c r="F16" s="3383">
        <f t="shared" si="9"/>
        <v>0</v>
      </c>
      <c r="G16" s="3384">
        <f t="shared" si="9"/>
        <v>0</v>
      </c>
      <c r="H16" s="4775"/>
      <c r="I16" s="4835">
        <f t="shared" si="3"/>
        <v>98.679333070870172</v>
      </c>
      <c r="J16" s="4835">
        <f t="shared" si="4"/>
        <v>0</v>
      </c>
      <c r="K16" s="4835">
        <f t="shared" si="5"/>
        <v>0</v>
      </c>
      <c r="L16" s="4835">
        <f t="shared" si="6"/>
        <v>0</v>
      </c>
      <c r="M16" s="4835">
        <f t="shared" si="7"/>
        <v>0</v>
      </c>
      <c r="N16" s="4835">
        <f t="shared" si="8"/>
        <v>0</v>
      </c>
    </row>
    <row r="17" spans="1:14" ht="13.5" thickBot="1">
      <c r="A17" s="3389" t="s">
        <v>495</v>
      </c>
      <c r="B17" s="414"/>
      <c r="C17" s="274"/>
      <c r="D17" s="416"/>
      <c r="E17" s="416"/>
      <c r="F17" s="416"/>
      <c r="G17" s="275"/>
      <c r="H17" s="4775"/>
      <c r="I17" s="4835">
        <f t="shared" si="3"/>
        <v>0</v>
      </c>
      <c r="J17" s="4835">
        <f t="shared" si="4"/>
        <v>0</v>
      </c>
      <c r="K17" s="4835">
        <f t="shared" si="5"/>
        <v>0</v>
      </c>
      <c r="L17" s="4835">
        <f t="shared" si="6"/>
        <v>0</v>
      </c>
      <c r="M17" s="4835">
        <f t="shared" si="7"/>
        <v>0</v>
      </c>
      <c r="N17" s="4835">
        <f t="shared" si="8"/>
        <v>0</v>
      </c>
    </row>
    <row r="18" spans="1:14" ht="13.5" thickBot="1">
      <c r="A18" s="3394" t="s">
        <v>496</v>
      </c>
      <c r="B18" s="414"/>
      <c r="C18" s="274"/>
      <c r="D18" s="416"/>
      <c r="E18" s="416"/>
      <c r="F18" s="416"/>
      <c r="G18" s="275"/>
      <c r="H18" s="4775"/>
      <c r="I18" s="4835">
        <f t="shared" si="3"/>
        <v>0</v>
      </c>
      <c r="J18" s="4835">
        <f t="shared" si="4"/>
        <v>0</v>
      </c>
      <c r="K18" s="4835">
        <f t="shared" si="5"/>
        <v>0</v>
      </c>
      <c r="L18" s="4835">
        <f t="shared" si="6"/>
        <v>0</v>
      </c>
      <c r="M18" s="4835">
        <f t="shared" si="7"/>
        <v>0</v>
      </c>
      <c r="N18" s="4835">
        <f t="shared" si="8"/>
        <v>0</v>
      </c>
    </row>
    <row r="19" spans="1:14" ht="13.5" thickBot="1">
      <c r="A19" s="3394" t="s">
        <v>497</v>
      </c>
      <c r="B19" s="414"/>
      <c r="C19" s="274"/>
      <c r="D19" s="416"/>
      <c r="E19" s="416"/>
      <c r="F19" s="416"/>
      <c r="G19" s="275"/>
      <c r="H19" s="4775"/>
      <c r="I19" s="4835">
        <f t="shared" si="3"/>
        <v>0</v>
      </c>
      <c r="J19" s="4835">
        <f t="shared" si="4"/>
        <v>0</v>
      </c>
      <c r="K19" s="4835">
        <f t="shared" si="5"/>
        <v>0</v>
      </c>
      <c r="L19" s="4835">
        <f t="shared" si="6"/>
        <v>0</v>
      </c>
      <c r="M19" s="4835">
        <f t="shared" si="7"/>
        <v>0</v>
      </c>
      <c r="N19" s="4835">
        <f t="shared" si="8"/>
        <v>0</v>
      </c>
    </row>
    <row r="20" spans="1:14" ht="13.5" thickBot="1">
      <c r="A20" s="3389" t="s">
        <v>498</v>
      </c>
      <c r="B20" s="414">
        <v>193</v>
      </c>
      <c r="C20" s="274"/>
      <c r="D20" s="416"/>
      <c r="E20" s="416"/>
      <c r="F20" s="416"/>
      <c r="G20" s="275"/>
      <c r="H20" s="4775"/>
      <c r="I20" s="4835">
        <f t="shared" si="3"/>
        <v>98.679333070870172</v>
      </c>
      <c r="J20" s="4835">
        <f t="shared" si="4"/>
        <v>0</v>
      </c>
      <c r="K20" s="4835">
        <f t="shared" si="5"/>
        <v>0</v>
      </c>
      <c r="L20" s="4835">
        <f t="shared" si="6"/>
        <v>0</v>
      </c>
      <c r="M20" s="4835">
        <f t="shared" si="7"/>
        <v>0</v>
      </c>
      <c r="N20" s="4835">
        <f t="shared" si="8"/>
        <v>0</v>
      </c>
    </row>
    <row r="21" spans="1:14" ht="13.5" thickBot="1">
      <c r="A21" s="3396" t="s">
        <v>499</v>
      </c>
      <c r="B21" s="3397">
        <f t="shared" ref="B21:G21" si="10">B22+B34</f>
        <v>34840.447920746003</v>
      </c>
      <c r="C21" s="3398">
        <f t="shared" si="10"/>
        <v>38070.881038</v>
      </c>
      <c r="D21" s="3399">
        <f t="shared" si="10"/>
        <v>39694.371081999998</v>
      </c>
      <c r="E21" s="3399">
        <f t="shared" si="10"/>
        <v>42827.829365600002</v>
      </c>
      <c r="F21" s="3399">
        <f t="shared" si="10"/>
        <v>46262.636015600001</v>
      </c>
      <c r="G21" s="3400">
        <f t="shared" si="10"/>
        <v>50655.7842256</v>
      </c>
      <c r="H21" s="4775"/>
      <c r="I21" s="4835">
        <f t="shared" si="3"/>
        <v>17813.638159117101</v>
      </c>
      <c r="J21" s="4835">
        <f t="shared" si="4"/>
        <v>19465.332384716465</v>
      </c>
      <c r="K21" s="4835">
        <f t="shared" si="5"/>
        <v>20295.409663416554</v>
      </c>
      <c r="L21" s="4835">
        <f t="shared" si="6"/>
        <v>21897.521443888276</v>
      </c>
      <c r="M21" s="4835">
        <f t="shared" si="7"/>
        <v>23653.710197512053</v>
      </c>
      <c r="N21" s="4835">
        <f t="shared" si="8"/>
        <v>25899.891210176753</v>
      </c>
    </row>
    <row r="22" spans="1:14" ht="13.5" thickBot="1">
      <c r="A22" s="3380" t="s">
        <v>500</v>
      </c>
      <c r="B22" s="3381">
        <f t="shared" ref="B22:G22" si="11">SUM(B23:B33)</f>
        <v>34683.447920746003</v>
      </c>
      <c r="C22" s="3382">
        <f t="shared" si="11"/>
        <v>37955.881038</v>
      </c>
      <c r="D22" s="3383">
        <f t="shared" si="11"/>
        <v>39599.371081999998</v>
      </c>
      <c r="E22" s="3383">
        <f t="shared" si="11"/>
        <v>42752.829365600002</v>
      </c>
      <c r="F22" s="3383">
        <f t="shared" si="11"/>
        <v>46207.636015600001</v>
      </c>
      <c r="G22" s="3384">
        <f t="shared" si="11"/>
        <v>50619.7842256</v>
      </c>
      <c r="H22" s="4775"/>
      <c r="I22" s="4835">
        <f t="shared" si="3"/>
        <v>17733.365333769296</v>
      </c>
      <c r="J22" s="4835">
        <f t="shared" si="4"/>
        <v>19406.533818378899</v>
      </c>
      <c r="K22" s="4835">
        <f t="shared" si="5"/>
        <v>20246.836934702915</v>
      </c>
      <c r="L22" s="4835">
        <f t="shared" si="6"/>
        <v>21859.174552798559</v>
      </c>
      <c r="M22" s="4835">
        <f t="shared" si="7"/>
        <v>23625.589144046262</v>
      </c>
      <c r="N22" s="4835">
        <f t="shared" si="8"/>
        <v>25881.48470245369</v>
      </c>
    </row>
    <row r="23" spans="1:14" ht="13.5" thickBot="1">
      <c r="A23" s="3389" t="s">
        <v>501</v>
      </c>
      <c r="B23" s="3401">
        <f>'12. Разходи'!C11+'12. Разходи'!K11+'12. Разходи'!S11+'12. Разходи'!AA11+'12. Разходи'!AI11</f>
        <v>2740.8151133629995</v>
      </c>
      <c r="C23" s="3386">
        <f>'12. Разходи'!D11+'12. Разходи'!L11+'12. Разходи'!T11+'12. Разходи'!AB11+'12. Разходи'!AJ11</f>
        <v>2808.0980380000001</v>
      </c>
      <c r="D23" s="3387">
        <f>'12. Разходи'!E11+'12. Разходи'!M11+'12. Разходи'!U11+'12. Разходи'!AC11+'12. Разходи'!AK11</f>
        <v>2781.5410820000002</v>
      </c>
      <c r="E23" s="3387">
        <f>'12. Разходи'!F11+'12. Разходи'!N11+'12. Разходи'!V11+'12. Разходи'!AD11+'12. Разходи'!AL11</f>
        <v>2755.4943656</v>
      </c>
      <c r="F23" s="3387">
        <f>'12. Разходи'!G11+'12. Разходи'!O11+'12. Разходи'!W11+'12. Разходи'!AE11+'12. Разходи'!AM11</f>
        <v>2736.5560156000001</v>
      </c>
      <c r="G23" s="3388">
        <f>'12. Разходи'!H11+'12. Разходи'!P11+'12. Разходи'!X11+'12. Разходи'!AF11+'12. Разходи'!AN11</f>
        <v>2714.9502255999996</v>
      </c>
      <c r="H23" s="4775"/>
      <c r="I23" s="4835">
        <f t="shared" si="3"/>
        <v>1401.3565153223949</v>
      </c>
      <c r="J23" s="4835">
        <f t="shared" si="4"/>
        <v>1435.7577284324302</v>
      </c>
      <c r="K23" s="4835">
        <f t="shared" si="5"/>
        <v>1422.1793724403451</v>
      </c>
      <c r="L23" s="4835">
        <f t="shared" si="6"/>
        <v>1408.8618978132047</v>
      </c>
      <c r="M23" s="4835">
        <f t="shared" si="7"/>
        <v>1399.1788732149523</v>
      </c>
      <c r="N23" s="4835">
        <f t="shared" si="8"/>
        <v>1388.1320082011216</v>
      </c>
    </row>
    <row r="24" spans="1:14" ht="13.5" thickBot="1">
      <c r="A24" s="3389" t="s">
        <v>502</v>
      </c>
      <c r="B24" s="3401">
        <f>'12. Разходи'!C29+'12. Разходи'!K29+'12. Разходи'!S29+'12. Разходи'!AA29+'12. Разходи'!AI29</f>
        <v>2790.223</v>
      </c>
      <c r="C24" s="3386">
        <f>'12. Разходи'!D29+'12. Разходи'!L29+'12. Разходи'!T29+'12. Разходи'!AB29+'12. Разходи'!AJ29</f>
        <v>2852</v>
      </c>
      <c r="D24" s="3387">
        <f>'12. Разходи'!E29+'12. Разходи'!M29+'12. Разходи'!U29+'12. Разходи'!AC29+'12. Разходи'!AK29</f>
        <v>2852</v>
      </c>
      <c r="E24" s="3387">
        <f>'12. Разходи'!F29+'12. Разходи'!N29+'12. Разходи'!V29+'12. Разходи'!AD29+'12. Разходи'!AL29</f>
        <v>2852</v>
      </c>
      <c r="F24" s="3387">
        <f>'12. Разходи'!G29+'12. Разходи'!O29+'12. Разходи'!W29+'12. Разходи'!AE29+'12. Разходи'!AM29</f>
        <v>2852</v>
      </c>
      <c r="G24" s="3388">
        <f>'12. Разходи'!H29+'12. Разходи'!P29+'12. Разходи'!X29+'12. Разходи'!AF29+'12. Разходи'!AN29</f>
        <v>2852</v>
      </c>
      <c r="H24" s="4775"/>
      <c r="I24" s="4835">
        <f t="shared" si="3"/>
        <v>1426.6183666269562</v>
      </c>
      <c r="J24" s="4835">
        <f t="shared" si="4"/>
        <v>1458.2044451716151</v>
      </c>
      <c r="K24" s="4835">
        <f t="shared" si="5"/>
        <v>1458.2044451716151</v>
      </c>
      <c r="L24" s="4835">
        <f t="shared" si="6"/>
        <v>1458.2044451716151</v>
      </c>
      <c r="M24" s="4835">
        <f t="shared" si="7"/>
        <v>1458.2044451716151</v>
      </c>
      <c r="N24" s="4835">
        <f t="shared" si="8"/>
        <v>1458.2044451716151</v>
      </c>
    </row>
    <row r="25" spans="1:14" ht="13.5" thickBot="1">
      <c r="A25" s="3389" t="s">
        <v>448</v>
      </c>
      <c r="B25" s="3401">
        <f>'12. Разходи'!C59+'12. Разходи'!K59+'12. Разходи'!S59+'12. Разходи'!AA59+'12. Разходи'!AI59</f>
        <v>10245</v>
      </c>
      <c r="C25" s="3386">
        <f>'12. Разходи'!D59+'12. Разходи'!L59+'12. Разходи'!T59+'12. Разходи'!AB59+'12. Разходи'!AJ59</f>
        <v>14903</v>
      </c>
      <c r="D25" s="3387">
        <f>'12. Разходи'!E59+'12. Разходи'!M59+'12. Разходи'!U59+'12. Разходи'!AC59+'12. Разходи'!AK59</f>
        <v>16826</v>
      </c>
      <c r="E25" s="3387">
        <f>'12. Разходи'!F59+'12. Разходи'!N59+'12. Разходи'!V59+'12. Разходи'!AD59+'12. Разходи'!AL59</f>
        <v>19107</v>
      </c>
      <c r="F25" s="3387">
        <f>'12. Разходи'!G59+'12. Разходи'!O59+'12. Разходи'!W59+'12. Разходи'!AE59+'12. Разходи'!AM59</f>
        <v>21553</v>
      </c>
      <c r="G25" s="3388">
        <f>'12. Разходи'!H59+'12. Разходи'!P59+'12. Разходи'!X59+'12. Разходи'!AF59+'12. Разходи'!AN59</f>
        <v>24358</v>
      </c>
      <c r="H25" s="4775"/>
      <c r="I25" s="4835">
        <f t="shared" si="3"/>
        <v>5238.1853228552582</v>
      </c>
      <c r="J25" s="4835">
        <f t="shared" si="4"/>
        <v>7619.7829054672438</v>
      </c>
      <c r="K25" s="4835">
        <f t="shared" si="5"/>
        <v>8602.9971930075717</v>
      </c>
      <c r="L25" s="4835">
        <f t="shared" si="6"/>
        <v>9769.2539740161465</v>
      </c>
      <c r="M25" s="4835">
        <f t="shared" si="7"/>
        <v>11019.873915422097</v>
      </c>
      <c r="N25" s="4835">
        <f t="shared" si="8"/>
        <v>12454.047642177489</v>
      </c>
    </row>
    <row r="26" spans="1:14" ht="13.5" thickBot="1">
      <c r="A26" s="3389" t="s">
        <v>503</v>
      </c>
      <c r="B26" s="3401">
        <f>'12. Разходи'!C63+'12. Разходи'!K63+'12. Разходи'!S63+'12. Разходи'!AA63+'12. Разходи'!AI63</f>
        <v>3669</v>
      </c>
      <c r="C26" s="3386">
        <f>'12. Разходи'!D63+'12. Разходи'!L63+'12. Разходи'!T63+'12. Разходи'!AB63+'12. Разходи'!AJ63</f>
        <v>5283</v>
      </c>
      <c r="D26" s="3387">
        <f>'12. Разходи'!E63+'12. Разходи'!M63+'12. Разходи'!U63+'12. Разходи'!AC63+'12. Разходи'!AK63</f>
        <v>6074</v>
      </c>
      <c r="E26" s="3387">
        <f>'12. Разходи'!F63+'12. Разходи'!N63+'12. Разходи'!V63+'12. Разходи'!AD63+'12. Разходи'!AL63</f>
        <v>6986</v>
      </c>
      <c r="F26" s="3387">
        <f>'12. Разходи'!G63+'12. Разходи'!O63+'12. Разходи'!W63+'12. Разходи'!AE63+'12. Разходи'!AM63</f>
        <v>8034</v>
      </c>
      <c r="G26" s="3388">
        <f>'12. Разходи'!H63+'12. Разходи'!P63+'12. Разходи'!X63+'12. Разходи'!AF63+'12. Разходи'!AN63</f>
        <v>9238</v>
      </c>
      <c r="H26" s="4775"/>
      <c r="I26" s="4835">
        <f t="shared" si="3"/>
        <v>1875.9299121089257</v>
      </c>
      <c r="J26" s="4835">
        <f t="shared" si="4"/>
        <v>2701.1550083596221</v>
      </c>
      <c r="K26" s="4835">
        <f t="shared" si="5"/>
        <v>3105.5868863858313</v>
      </c>
      <c r="L26" s="4835">
        <f t="shared" si="6"/>
        <v>3571.8850820367825</v>
      </c>
      <c r="M26" s="4835">
        <f t="shared" si="7"/>
        <v>4107.7189735304191</v>
      </c>
      <c r="N26" s="4835">
        <f t="shared" si="8"/>
        <v>4723.3143984906665</v>
      </c>
    </row>
    <row r="27" spans="1:14" ht="13.5" thickBot="1">
      <c r="A27" s="3389" t="s">
        <v>504</v>
      </c>
      <c r="B27" s="3401">
        <f>'12. Разходи'!C55+'12. Разходи'!K55+'12. Разходи'!S55+'12. Разходи'!AA55+'12. Разходи'!AI55</f>
        <v>6016.4</v>
      </c>
      <c r="C27" s="3386">
        <f>'12. Разходи'!D55+'12. Разходи'!L55+'12. Разходи'!T55+'12. Разходи'!AB55+'12. Разходи'!AJ55</f>
        <v>4954.7829999999994</v>
      </c>
      <c r="D27" s="3387">
        <f>'12. Разходи'!E55+'12. Разходи'!M55+'12. Разходи'!U55+'12. Разходи'!AC55+'12. Разходи'!AK55</f>
        <v>4409.83</v>
      </c>
      <c r="E27" s="3387">
        <f>'12. Разходи'!F55+'12. Разходи'!N55+'12. Разходи'!V55+'12. Разходи'!AD55+'12. Разходи'!AL55</f>
        <v>4381.335</v>
      </c>
      <c r="F27" s="3387">
        <f>'12. Разходи'!G55+'12. Разходи'!O55+'12. Разходи'!W55+'12. Разходи'!AE55+'12. Разходи'!AM55</f>
        <v>4350.08</v>
      </c>
      <c r="G27" s="3388">
        <f>'12. Разходи'!H55+'12. Разходи'!P55+'12. Разходи'!X55+'12. Разходи'!AF55+'12. Разходи'!AN55</f>
        <v>4523.8339999999989</v>
      </c>
      <c r="H27" s="4775"/>
      <c r="I27" s="4835">
        <f t="shared" si="3"/>
        <v>3076.1364740289287</v>
      </c>
      <c r="J27" s="4835">
        <f t="shared" si="4"/>
        <v>2533.340320989043</v>
      </c>
      <c r="K27" s="4835">
        <f t="shared" si="5"/>
        <v>2254.7102764555202</v>
      </c>
      <c r="L27" s="4835">
        <f t="shared" si="6"/>
        <v>2240.1410143008338</v>
      </c>
      <c r="M27" s="4835">
        <f t="shared" si="7"/>
        <v>2224.1605865540459</v>
      </c>
      <c r="N27" s="4835">
        <f t="shared" si="8"/>
        <v>2312.9995960794135</v>
      </c>
    </row>
    <row r="28" spans="1:14" ht="13.5" thickBot="1">
      <c r="A28" s="3389" t="s">
        <v>505</v>
      </c>
      <c r="B28" s="414">
        <v>248</v>
      </c>
      <c r="C28" s="274">
        <v>240</v>
      </c>
      <c r="D28" s="416">
        <v>240</v>
      </c>
      <c r="E28" s="416">
        <v>240</v>
      </c>
      <c r="F28" s="416">
        <v>240</v>
      </c>
      <c r="G28" s="275">
        <v>240</v>
      </c>
      <c r="H28" s="4775"/>
      <c r="I28" s="4835">
        <f t="shared" si="3"/>
        <v>126.80038653666219</v>
      </c>
      <c r="J28" s="4835">
        <f t="shared" si="4"/>
        <v>122.71005148709244</v>
      </c>
      <c r="K28" s="4835">
        <f t="shared" si="5"/>
        <v>122.71005148709244</v>
      </c>
      <c r="L28" s="4835">
        <f t="shared" si="6"/>
        <v>122.71005148709244</v>
      </c>
      <c r="M28" s="4835">
        <f t="shared" si="7"/>
        <v>122.71005148709244</v>
      </c>
      <c r="N28" s="4835">
        <f t="shared" si="8"/>
        <v>122.71005148709244</v>
      </c>
    </row>
    <row r="29" spans="1:14" ht="13.5" thickBot="1">
      <c r="A29" s="3390" t="s">
        <v>506</v>
      </c>
      <c r="B29" s="414">
        <v>5706</v>
      </c>
      <c r="C29" s="3391">
        <f>'9.Инвестиционна програма'!I126</f>
        <v>3892</v>
      </c>
      <c r="D29" s="3392">
        <f>'9.Инвестиционна програма'!J126</f>
        <v>3320</v>
      </c>
      <c r="E29" s="3392">
        <f>'9.Инвестиционна програма'!K126</f>
        <v>3255</v>
      </c>
      <c r="F29" s="3392">
        <f>'9.Инвестиционна програма'!L126</f>
        <v>3170</v>
      </c>
      <c r="G29" s="3393">
        <f>'9.Инвестиционна програма'!M126</f>
        <v>3305</v>
      </c>
      <c r="H29" s="4775"/>
      <c r="I29" s="4835">
        <f t="shared" si="3"/>
        <v>2917.4314741056228</v>
      </c>
      <c r="J29" s="4835">
        <f t="shared" si="4"/>
        <v>1989.9480016156824</v>
      </c>
      <c r="K29" s="4835">
        <f t="shared" si="5"/>
        <v>1697.4890455714453</v>
      </c>
      <c r="L29" s="4835">
        <f t="shared" si="6"/>
        <v>1664.2550732936911</v>
      </c>
      <c r="M29" s="4835">
        <f t="shared" si="7"/>
        <v>1620.7952633920127</v>
      </c>
      <c r="N29" s="4835">
        <f t="shared" si="8"/>
        <v>1689.8196673535022</v>
      </c>
    </row>
    <row r="30" spans="1:14" ht="13.5" thickBot="1">
      <c r="A30" s="3389" t="s">
        <v>450</v>
      </c>
      <c r="B30" s="3401">
        <f>'12. Разходи'!C70+'12. Разходи'!K70+'12. Разходи'!S70+'12. Разходи'!AA70+'12. Разходи'!AI70</f>
        <v>609.20000000000005</v>
      </c>
      <c r="C30" s="3386">
        <f>'12. Разходи'!D70+'12. Разходи'!L70+'12. Разходи'!T70+'12. Разходи'!AB70+'12. Разходи'!AJ70</f>
        <v>617</v>
      </c>
      <c r="D30" s="3387">
        <f>'12. Разходи'!E70+'12. Разходи'!M70+'12. Разходи'!U70+'12. Разходи'!AC70+'12. Разходи'!AK70</f>
        <v>606</v>
      </c>
      <c r="E30" s="3387">
        <f>'12. Разходи'!F70+'12. Разходи'!N70+'12. Разходи'!V70+'12. Разходи'!AD70+'12. Разходи'!AL70</f>
        <v>591</v>
      </c>
      <c r="F30" s="3387">
        <f>'12. Разходи'!G70+'12. Разходи'!O70+'12. Разходи'!W70+'12. Разходи'!AE70+'12. Разходи'!AM70</f>
        <v>577</v>
      </c>
      <c r="G30" s="3388">
        <f>'12. Разходи'!H70+'12. Разходи'!P70+'12. Разходи'!X70+'12. Разходи'!AF70+'12. Разходи'!AN70</f>
        <v>565</v>
      </c>
      <c r="H30" s="4775"/>
      <c r="I30" s="4835">
        <f t="shared" si="3"/>
        <v>311.47901402473633</v>
      </c>
      <c r="J30" s="4835">
        <f t="shared" si="4"/>
        <v>315.46709069806684</v>
      </c>
      <c r="K30" s="4835">
        <f t="shared" si="5"/>
        <v>309.84288000490841</v>
      </c>
      <c r="L30" s="4835">
        <f t="shared" si="6"/>
        <v>302.17350178696512</v>
      </c>
      <c r="M30" s="4835">
        <f t="shared" si="7"/>
        <v>295.01541545021809</v>
      </c>
      <c r="N30" s="4835">
        <f t="shared" si="8"/>
        <v>288.87991287586345</v>
      </c>
    </row>
    <row r="31" spans="1:14" ht="13.5" thickBot="1">
      <c r="A31" s="3394" t="s">
        <v>507</v>
      </c>
      <c r="B31" s="3401">
        <f>('12. Разходи'!C76+'12. Разходи'!K76+'12. Разходи'!S76)+'12. Разходи'!AA76+'12. Разходи'!AI76</f>
        <v>199.345</v>
      </c>
      <c r="C31" s="3386">
        <f>('12. Разходи'!D76+'12. Разходи'!L76+'12. Разходи'!T76)+'12. Разходи'!AB76+'12. Разходи'!AJ76</f>
        <v>199</v>
      </c>
      <c r="D31" s="3387">
        <f>('12. Разходи'!E76+'12. Разходи'!M76+'12. Разходи'!U76)+'12. Разходи'!AC76+'12. Разходи'!AK76</f>
        <v>199</v>
      </c>
      <c r="E31" s="3387">
        <f>('12. Разходи'!F76+'12. Разходи'!N76+'12. Разходи'!V76)+'12. Разходи'!AD76+'12. Разходи'!AL76</f>
        <v>199</v>
      </c>
      <c r="F31" s="3387">
        <f>('12. Разходи'!G76+'12. Разходи'!O76+'12. Разходи'!W76)+'12. Разходи'!AE76+'12. Разходи'!AM76</f>
        <v>199</v>
      </c>
      <c r="G31" s="3388">
        <f>('12. Разходи'!H76+'12. Разходи'!P76+'12. Разходи'!X76)+'12. Разходи'!AF76+'12. Разходи'!AN76</f>
        <v>199</v>
      </c>
      <c r="H31" s="4775"/>
      <c r="I31" s="4835">
        <f t="shared" si="3"/>
        <v>101.92348005706017</v>
      </c>
      <c r="J31" s="4835">
        <f t="shared" si="4"/>
        <v>101.74708435804749</v>
      </c>
      <c r="K31" s="4835">
        <f t="shared" si="5"/>
        <v>101.74708435804749</v>
      </c>
      <c r="L31" s="4835">
        <f t="shared" si="6"/>
        <v>101.74708435804749</v>
      </c>
      <c r="M31" s="4835">
        <f t="shared" si="7"/>
        <v>101.74708435804749</v>
      </c>
      <c r="N31" s="4835">
        <f t="shared" si="8"/>
        <v>101.74708435804749</v>
      </c>
    </row>
    <row r="32" spans="1:14" ht="13.5" thickBot="1">
      <c r="A32" s="3394" t="s">
        <v>225</v>
      </c>
      <c r="B32" s="3401">
        <f>'12. Разходи'!AQ88</f>
        <v>806.46480738299999</v>
      </c>
      <c r="C32" s="3386">
        <f>'12. Разходи'!AR88</f>
        <v>557</v>
      </c>
      <c r="D32" s="3387">
        <f>'12. Разходи'!AS88</f>
        <v>641</v>
      </c>
      <c r="E32" s="3387">
        <f>'12. Разходи'!AT88</f>
        <v>736</v>
      </c>
      <c r="F32" s="3387">
        <f>'12. Разходи'!AU88</f>
        <v>846</v>
      </c>
      <c r="G32" s="3388">
        <f>'12. Разходи'!AV88</f>
        <v>974</v>
      </c>
      <c r="H32" s="4775"/>
      <c r="I32" s="4835">
        <f t="shared" si="3"/>
        <v>412.33890848540005</v>
      </c>
      <c r="J32" s="4835">
        <f t="shared" si="4"/>
        <v>284.78957782629368</v>
      </c>
      <c r="K32" s="4835">
        <f t="shared" si="5"/>
        <v>327.73809584677605</v>
      </c>
      <c r="L32" s="4835">
        <f t="shared" si="6"/>
        <v>376.31082456041679</v>
      </c>
      <c r="M32" s="4835">
        <f t="shared" si="7"/>
        <v>432.55293149200082</v>
      </c>
      <c r="N32" s="4835">
        <f t="shared" si="8"/>
        <v>497.9982922851168</v>
      </c>
    </row>
    <row r="33" spans="1:14" ht="13.5" thickBot="1">
      <c r="A33" s="3402" t="s">
        <v>1017</v>
      </c>
      <c r="B33" s="414">
        <v>1653</v>
      </c>
      <c r="C33" s="274">
        <v>1650</v>
      </c>
      <c r="D33" s="416">
        <v>1650</v>
      </c>
      <c r="E33" s="416">
        <v>1650</v>
      </c>
      <c r="F33" s="416">
        <v>1650</v>
      </c>
      <c r="G33" s="275">
        <v>1650</v>
      </c>
      <c r="H33" s="4775"/>
      <c r="I33" s="4835">
        <f t="shared" si="3"/>
        <v>845.16547961734921</v>
      </c>
      <c r="J33" s="4835">
        <f t="shared" si="4"/>
        <v>843.63160397376055</v>
      </c>
      <c r="K33" s="4835">
        <f t="shared" si="5"/>
        <v>843.63160397376055</v>
      </c>
      <c r="L33" s="4835">
        <f t="shared" si="6"/>
        <v>843.63160397376055</v>
      </c>
      <c r="M33" s="4835">
        <f t="shared" si="7"/>
        <v>843.63160397376055</v>
      </c>
      <c r="N33" s="4835">
        <f t="shared" si="8"/>
        <v>843.63160397376055</v>
      </c>
    </row>
    <row r="34" spans="1:14" ht="13.5" thickBot="1">
      <c r="A34" s="3403" t="s">
        <v>508</v>
      </c>
      <c r="B34" s="3381">
        <f>SUM(B35:B38)</f>
        <v>157</v>
      </c>
      <c r="C34" s="3404">
        <f t="shared" ref="C34:G34" si="12">SUM(C35:C38)</f>
        <v>115</v>
      </c>
      <c r="D34" s="3383">
        <f t="shared" si="12"/>
        <v>95</v>
      </c>
      <c r="E34" s="3383">
        <f>SUM(E35:E38)</f>
        <v>75</v>
      </c>
      <c r="F34" s="3383">
        <f>SUM(F35:F38)</f>
        <v>55</v>
      </c>
      <c r="G34" s="3405">
        <f t="shared" si="12"/>
        <v>36</v>
      </c>
      <c r="H34" s="4775"/>
      <c r="I34" s="4835">
        <f t="shared" si="3"/>
        <v>80.272825347806304</v>
      </c>
      <c r="J34" s="4835">
        <f t="shared" si="4"/>
        <v>58.798566337565127</v>
      </c>
      <c r="K34" s="4835">
        <f t="shared" si="5"/>
        <v>48.572728713640757</v>
      </c>
      <c r="L34" s="4835">
        <f t="shared" si="6"/>
        <v>38.346891089716387</v>
      </c>
      <c r="M34" s="4835">
        <f t="shared" si="7"/>
        <v>28.121053465792016</v>
      </c>
      <c r="N34" s="4835">
        <f t="shared" si="8"/>
        <v>18.406507723063864</v>
      </c>
    </row>
    <row r="35" spans="1:14" ht="13.5" thickBot="1">
      <c r="A35" s="3389" t="s">
        <v>509</v>
      </c>
      <c r="B35" s="3406">
        <f>+'10. Финансиране на ИП'!AR40+'10. Финансиране на ИП'!AR51</f>
        <v>90</v>
      </c>
      <c r="C35" s="3407">
        <f>+'10. Финансиране на ИП'!AT40+'10. Финансиране на ИП'!AT51+'10. Финансиране на ИП'!AT62+'10. Финансиране на ИП'!AT73</f>
        <v>115</v>
      </c>
      <c r="D35" s="3392">
        <f>+'10. Финансиране на ИП'!AU40+'10. Финансиране на ИП'!AU51+'10. Финансиране на ИП'!AU62+'10. Финансиране на ИП'!AU73</f>
        <v>95</v>
      </c>
      <c r="E35" s="3392">
        <f>+'10. Финансиране на ИП'!AV40+'10. Финансиране на ИП'!AV51+'10. Финансиране на ИП'!AV62+'10. Финансиране на ИП'!AV73</f>
        <v>75</v>
      </c>
      <c r="F35" s="3392">
        <f>+'10. Финансиране на ИП'!AW40+'10. Финансиране на ИП'!AW51+'10. Финансиране на ИП'!AW62+'10. Финансиране на ИП'!AW73</f>
        <v>55</v>
      </c>
      <c r="G35" s="3408">
        <f>+'10. Финансиране на ИП'!AX40+'10. Финансиране на ИП'!AX51+'10. Финансиране на ИП'!AX62+'10. Финансиране на ИП'!AX73</f>
        <v>36</v>
      </c>
      <c r="H35" s="4775"/>
      <c r="I35" s="4835">
        <f t="shared" si="3"/>
        <v>46.016269307659663</v>
      </c>
      <c r="J35" s="4835">
        <f t="shared" si="4"/>
        <v>58.798566337565127</v>
      </c>
      <c r="K35" s="4835">
        <f t="shared" si="5"/>
        <v>48.572728713640757</v>
      </c>
      <c r="L35" s="4835">
        <f t="shared" si="6"/>
        <v>38.346891089716387</v>
      </c>
      <c r="M35" s="4835">
        <f t="shared" si="7"/>
        <v>28.121053465792016</v>
      </c>
      <c r="N35" s="4835">
        <f t="shared" si="8"/>
        <v>18.406507723063864</v>
      </c>
    </row>
    <row r="36" spans="1:14" ht="13.5" thickBot="1">
      <c r="A36" s="3389" t="s">
        <v>510</v>
      </c>
      <c r="B36" s="414"/>
      <c r="C36" s="274"/>
      <c r="D36" s="416"/>
      <c r="E36" s="416"/>
      <c r="F36" s="416"/>
      <c r="G36" s="275"/>
      <c r="H36" s="4775"/>
      <c r="I36" s="4835">
        <f t="shared" si="3"/>
        <v>0</v>
      </c>
      <c r="J36" s="4835">
        <f t="shared" si="4"/>
        <v>0</v>
      </c>
      <c r="K36" s="4835">
        <f t="shared" si="5"/>
        <v>0</v>
      </c>
      <c r="L36" s="4835">
        <f t="shared" si="6"/>
        <v>0</v>
      </c>
      <c r="M36" s="4835">
        <f t="shared" si="7"/>
        <v>0</v>
      </c>
      <c r="N36" s="4835">
        <f t="shared" si="8"/>
        <v>0</v>
      </c>
    </row>
    <row r="37" spans="1:14" ht="13.5" thickBot="1">
      <c r="A37" s="3389" t="s">
        <v>511</v>
      </c>
      <c r="B37" s="414"/>
      <c r="C37" s="274"/>
      <c r="D37" s="416"/>
      <c r="E37" s="416"/>
      <c r="F37" s="416"/>
      <c r="G37" s="275"/>
      <c r="H37" s="4775"/>
      <c r="I37" s="4835">
        <f t="shared" si="3"/>
        <v>0</v>
      </c>
      <c r="J37" s="4835">
        <f t="shared" si="4"/>
        <v>0</v>
      </c>
      <c r="K37" s="4835">
        <f t="shared" si="5"/>
        <v>0</v>
      </c>
      <c r="L37" s="4835">
        <f t="shared" si="6"/>
        <v>0</v>
      </c>
      <c r="M37" s="4835">
        <f t="shared" si="7"/>
        <v>0</v>
      </c>
      <c r="N37" s="4835">
        <f t="shared" si="8"/>
        <v>0</v>
      </c>
    </row>
    <row r="38" spans="1:14" ht="13.5" thickBot="1">
      <c r="A38" s="3409" t="s">
        <v>512</v>
      </c>
      <c r="B38" s="414">
        <v>67</v>
      </c>
      <c r="C38" s="274"/>
      <c r="D38" s="416"/>
      <c r="E38" s="416"/>
      <c r="F38" s="416"/>
      <c r="G38" s="275"/>
      <c r="H38" s="4775"/>
      <c r="I38" s="4835">
        <f t="shared" si="3"/>
        <v>34.256556040146641</v>
      </c>
      <c r="J38" s="4835">
        <f t="shared" si="4"/>
        <v>0</v>
      </c>
      <c r="K38" s="4835">
        <f t="shared" si="5"/>
        <v>0</v>
      </c>
      <c r="L38" s="4835">
        <f t="shared" si="6"/>
        <v>0</v>
      </c>
      <c r="M38" s="4835">
        <f t="shared" si="7"/>
        <v>0</v>
      </c>
      <c r="N38" s="4835">
        <f t="shared" si="8"/>
        <v>0</v>
      </c>
    </row>
    <row r="39" spans="1:14" ht="13.5" thickBot="1">
      <c r="A39" s="3410" t="s">
        <v>513</v>
      </c>
      <c r="B39" s="3411">
        <f t="shared" ref="B39:G39" si="13">B9-B22</f>
        <v>480.55207925399736</v>
      </c>
      <c r="C39" s="3412">
        <f t="shared" si="13"/>
        <v>748</v>
      </c>
      <c r="D39" s="3413">
        <f t="shared" si="13"/>
        <v>864</v>
      </c>
      <c r="E39" s="3413">
        <f t="shared" si="13"/>
        <v>964</v>
      </c>
      <c r="F39" s="3413">
        <f t="shared" si="13"/>
        <v>1054</v>
      </c>
      <c r="G39" s="3414">
        <f t="shared" si="13"/>
        <v>1126</v>
      </c>
      <c r="H39" s="4775"/>
      <c r="I39" s="4835">
        <f t="shared" si="3"/>
        <v>245.70237661453061</v>
      </c>
      <c r="J39" s="4835">
        <f t="shared" si="4"/>
        <v>382.44632713477142</v>
      </c>
      <c r="K39" s="4835">
        <f t="shared" si="5"/>
        <v>441.75618535353277</v>
      </c>
      <c r="L39" s="4835">
        <f t="shared" si="6"/>
        <v>492.88537347315463</v>
      </c>
      <c r="M39" s="4835">
        <f t="shared" si="7"/>
        <v>538.90164278081431</v>
      </c>
      <c r="N39" s="4835">
        <f t="shared" si="8"/>
        <v>575.71465822694199</v>
      </c>
    </row>
    <row r="40" spans="1:14" ht="13.5" thickBot="1">
      <c r="A40" s="3410" t="s">
        <v>514</v>
      </c>
      <c r="B40" s="3411">
        <f t="shared" ref="B40:G40" si="14">B8-B21</f>
        <v>516.55207925399736</v>
      </c>
      <c r="C40" s="3412">
        <f t="shared" si="14"/>
        <v>633</v>
      </c>
      <c r="D40" s="3413">
        <f t="shared" si="14"/>
        <v>769</v>
      </c>
      <c r="E40" s="3413">
        <f t="shared" si="14"/>
        <v>889</v>
      </c>
      <c r="F40" s="3413">
        <f t="shared" si="14"/>
        <v>999</v>
      </c>
      <c r="G40" s="3414">
        <f t="shared" si="14"/>
        <v>1090</v>
      </c>
      <c r="H40" s="4775"/>
      <c r="I40" s="4835">
        <f t="shared" si="3"/>
        <v>264.10888433759447</v>
      </c>
      <c r="J40" s="4835">
        <f t="shared" si="4"/>
        <v>323.64776079720633</v>
      </c>
      <c r="K40" s="4835">
        <f t="shared" si="5"/>
        <v>393.18345663989203</v>
      </c>
      <c r="L40" s="4835">
        <f t="shared" si="6"/>
        <v>454.53848238343824</v>
      </c>
      <c r="M40" s="4835">
        <f t="shared" si="7"/>
        <v>510.78058931502227</v>
      </c>
      <c r="N40" s="4835">
        <f t="shared" si="8"/>
        <v>557.30815050387821</v>
      </c>
    </row>
    <row r="41" spans="1:14" ht="13.5" thickBot="1">
      <c r="A41" s="3415" t="s">
        <v>515</v>
      </c>
      <c r="B41" s="414">
        <v>122</v>
      </c>
      <c r="C41" s="3386">
        <f t="shared" ref="C41:G41" si="15">10%*(C40-C28)</f>
        <v>39.300000000000004</v>
      </c>
      <c r="D41" s="3387">
        <f t="shared" si="15"/>
        <v>52.900000000000006</v>
      </c>
      <c r="E41" s="3387">
        <f t="shared" si="15"/>
        <v>64.900000000000006</v>
      </c>
      <c r="F41" s="3387">
        <f t="shared" si="15"/>
        <v>75.900000000000006</v>
      </c>
      <c r="G41" s="3388">
        <f t="shared" si="15"/>
        <v>85</v>
      </c>
      <c r="H41" s="4775"/>
      <c r="I41" s="4835">
        <f t="shared" si="3"/>
        <v>62.377609505938658</v>
      </c>
      <c r="J41" s="4835">
        <f t="shared" si="4"/>
        <v>20.093770931011388</v>
      </c>
      <c r="K41" s="4835">
        <f t="shared" si="5"/>
        <v>27.047340515279963</v>
      </c>
      <c r="L41" s="4835">
        <f t="shared" si="6"/>
        <v>33.182843089634581</v>
      </c>
      <c r="M41" s="4835">
        <f t="shared" si="7"/>
        <v>38.807053782792984</v>
      </c>
      <c r="N41" s="4835">
        <f t="shared" si="8"/>
        <v>43.459809901678575</v>
      </c>
    </row>
    <row r="42" spans="1:14" ht="13.5" thickBot="1">
      <c r="A42" s="3416" t="s">
        <v>516</v>
      </c>
      <c r="B42" s="414">
        <v>-70</v>
      </c>
      <c r="C42" s="274">
        <v>-70</v>
      </c>
      <c r="D42" s="416">
        <v>-70</v>
      </c>
      <c r="E42" s="416">
        <v>-70</v>
      </c>
      <c r="F42" s="416">
        <v>-70</v>
      </c>
      <c r="G42" s="275">
        <v>-70</v>
      </c>
      <c r="H42" s="4775"/>
      <c r="I42" s="4835">
        <f t="shared" si="3"/>
        <v>-35.790431683735292</v>
      </c>
      <c r="J42" s="4835">
        <f t="shared" si="4"/>
        <v>-35.790431683735292</v>
      </c>
      <c r="K42" s="4835">
        <f t="shared" si="5"/>
        <v>-35.790431683735292</v>
      </c>
      <c r="L42" s="4835">
        <f t="shared" si="6"/>
        <v>-35.790431683735292</v>
      </c>
      <c r="M42" s="4835">
        <f t="shared" si="7"/>
        <v>-35.790431683735292</v>
      </c>
      <c r="N42" s="4835">
        <f t="shared" si="8"/>
        <v>-35.790431683735292</v>
      </c>
    </row>
    <row r="43" spans="1:14" ht="13.5" thickBot="1">
      <c r="A43" s="3417" t="s">
        <v>517</v>
      </c>
      <c r="B43" s="3418">
        <f>B40-B41-B42</f>
        <v>464.55207925399736</v>
      </c>
      <c r="C43" s="3419">
        <f t="shared" ref="C43:G43" si="16">C40-C41-C42</f>
        <v>663.7</v>
      </c>
      <c r="D43" s="3420">
        <f t="shared" si="16"/>
        <v>786.1</v>
      </c>
      <c r="E43" s="3420">
        <f t="shared" si="16"/>
        <v>894.1</v>
      </c>
      <c r="F43" s="3420">
        <f t="shared" si="16"/>
        <v>993.1</v>
      </c>
      <c r="G43" s="3421">
        <f t="shared" si="16"/>
        <v>1075</v>
      </c>
      <c r="H43" s="4775"/>
      <c r="I43" s="4835">
        <f t="shared" si="3"/>
        <v>237.52170651539109</v>
      </c>
      <c r="J43" s="4835">
        <f t="shared" si="4"/>
        <v>339.34442154993025</v>
      </c>
      <c r="K43" s="4835">
        <f t="shared" si="5"/>
        <v>401.92654780834738</v>
      </c>
      <c r="L43" s="4835">
        <f t="shared" si="6"/>
        <v>457.14607097753895</v>
      </c>
      <c r="M43" s="4835">
        <f t="shared" si="7"/>
        <v>507.76396721596461</v>
      </c>
      <c r="N43" s="4835">
        <f t="shared" si="8"/>
        <v>549.63877228593492</v>
      </c>
    </row>
    <row r="44" spans="1:14">
      <c r="A44" s="3370"/>
      <c r="B44" s="3370"/>
      <c r="C44" s="3370"/>
      <c r="D44" s="3370"/>
      <c r="E44" s="3370"/>
      <c r="F44" s="3371"/>
      <c r="G44" s="3371"/>
    </row>
    <row r="45" spans="1:14">
      <c r="A45" s="3370"/>
      <c r="B45" s="3370"/>
      <c r="C45" s="3370"/>
      <c r="D45" s="3370"/>
      <c r="E45" s="3370"/>
      <c r="F45" s="3371"/>
      <c r="G45" s="3371"/>
    </row>
    <row r="46" spans="1:14" s="26" customFormat="1">
      <c r="A46" s="1682" t="str">
        <f>'Приложение '!B82</f>
        <v>Дата: 15.04.2026 г.</v>
      </c>
      <c r="B46" s="3422"/>
      <c r="C46" s="3423"/>
      <c r="D46" s="3424"/>
      <c r="E46" s="1696"/>
      <c r="F46" s="1662"/>
      <c r="G46" s="1662"/>
    </row>
    <row r="47" spans="1:14" s="26" customFormat="1">
      <c r="A47" s="1662"/>
      <c r="B47" s="1662"/>
      <c r="C47" s="1682"/>
      <c r="D47" s="3424"/>
      <c r="E47" s="3425"/>
      <c r="F47" s="3426"/>
      <c r="G47" s="1662"/>
    </row>
    <row r="48" spans="1:14" s="26" customFormat="1">
      <c r="A48" s="1694"/>
      <c r="B48" s="1694"/>
      <c r="C48" s="3159"/>
      <c r="D48" s="3424"/>
      <c r="E48" s="3428"/>
      <c r="F48" s="3426"/>
      <c r="G48" s="1662"/>
    </row>
    <row r="49" spans="1:7" s="26" customFormat="1">
      <c r="A49" s="5548" t="s">
        <v>187</v>
      </c>
      <c r="B49" s="5548"/>
      <c r="C49" s="5548"/>
      <c r="D49" s="3429"/>
      <c r="E49" s="3430"/>
      <c r="F49" s="3429"/>
      <c r="G49" s="3429"/>
    </row>
    <row r="50" spans="1:7" s="26" customFormat="1">
      <c r="A50" s="5549" t="s">
        <v>188</v>
      </c>
      <c r="B50" s="5549"/>
      <c r="C50" s="5549"/>
      <c r="D50" s="3429"/>
      <c r="E50" s="3429"/>
      <c r="F50" s="3429"/>
      <c r="G50" s="3429"/>
    </row>
    <row r="51" spans="1:7">
      <c r="A51" s="5547" t="s">
        <v>1481</v>
      </c>
      <c r="B51" s="5547"/>
      <c r="C51" s="3370"/>
      <c r="D51" s="3370"/>
      <c r="E51" s="3370"/>
      <c r="F51" s="3370"/>
      <c r="G51" s="3370"/>
    </row>
  </sheetData>
  <sheetProtection algorithmName="SHA-512" hashValue="/aaPGgS+vefjP3PNHiwzkKa977aZejb4vIHIuWYiyQyV57ovsuB31a7yaVP4RtyVC0HV3olvciDVP6UBHtieLQ==" saltValue="xS89uoeFjju1sShiSwkVOg==" spinCount="100000" sheet="1" formatCells="0" formatColumns="0" formatRows="0"/>
  <mergeCells count="8">
    <mergeCell ref="B1:C1"/>
    <mergeCell ref="A51:B51"/>
    <mergeCell ref="A49:C49"/>
    <mergeCell ref="A50:C50"/>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1"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N59"/>
  <sheetViews>
    <sheetView showGridLines="0" zoomScaleNormal="100" zoomScaleSheetLayoutView="100" workbookViewId="0">
      <pane xSplit="1" ySplit="7" topLeftCell="B26" activePane="bottomRight" state="frozen"/>
      <selection pane="topRight" activeCell="B1" sqref="B1"/>
      <selection pane="bottomLeft" activeCell="A8" sqref="A8"/>
      <selection pane="bottomRight" activeCell="E52" sqref="E52"/>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8" width="2.7109375" style="18" customWidth="1"/>
    <col min="9" max="16384" width="9.140625" style="18"/>
  </cols>
  <sheetData>
    <row r="1" spans="1:14" ht="18.75" customHeight="1" thickBot="1">
      <c r="A1" s="4841" t="str">
        <f>+'1. Обща информация'!B40</f>
        <v>Фиксиран курс на лева към 1 евро</v>
      </c>
      <c r="B1" s="5455">
        <f>+'1. Обща информация'!$C$40</f>
        <v>1.95583</v>
      </c>
      <c r="C1" s="5456"/>
      <c r="D1" s="3370"/>
      <c r="E1" s="3370"/>
      <c r="F1" s="3435"/>
      <c r="G1" s="3343" t="str">
        <f>'14. ОПР'!G1</f>
        <v>Приложение № 5</v>
      </c>
    </row>
    <row r="2" spans="1:14" ht="21" customHeight="1">
      <c r="A2" s="5043" t="s">
        <v>1486</v>
      </c>
      <c r="B2" s="5043"/>
      <c r="C2" s="5043"/>
      <c r="D2" s="5043"/>
      <c r="E2" s="5043"/>
      <c r="F2" s="5043"/>
      <c r="G2" s="5043"/>
    </row>
    <row r="3" spans="1:14" ht="18.75">
      <c r="A3" s="5043" t="s">
        <v>1485</v>
      </c>
      <c r="B3" s="5043"/>
      <c r="C3" s="5043"/>
      <c r="D3" s="5043"/>
      <c r="E3" s="5043"/>
      <c r="F3" s="5043"/>
      <c r="G3" s="5043"/>
    </row>
    <row r="4" spans="1:14" ht="18.75" customHeight="1">
      <c r="A4" s="5550" t="str">
        <f>'1. Обща информация'!A4:D4</f>
        <v>на "ВОДОСНАБДЯВАНЕ И КАНАЛИЗАЦИЯ" ЕООД, гр. БЛАГОЕВГРАД</v>
      </c>
      <c r="B4" s="5550"/>
      <c r="C4" s="5550"/>
      <c r="D4" s="5550"/>
      <c r="E4" s="5550"/>
      <c r="F4" s="5550"/>
      <c r="G4" s="5550"/>
    </row>
    <row r="5" spans="1:14" ht="18.75" customHeight="1">
      <c r="A5" s="5550" t="str">
        <f>'1. Обща информация'!A5:D5</f>
        <v>ЕИК по БУЛСТАТ: 811047831</v>
      </c>
      <c r="B5" s="5550"/>
      <c r="C5" s="5550"/>
      <c r="D5" s="5550"/>
      <c r="E5" s="5550"/>
      <c r="F5" s="5550"/>
      <c r="G5" s="5550"/>
    </row>
    <row r="6" spans="1:14" ht="18.75" customHeight="1" thickBot="1">
      <c r="A6" s="3372"/>
      <c r="B6" s="3372"/>
      <c r="C6" s="3372"/>
      <c r="D6" s="3372"/>
      <c r="E6" s="3372"/>
      <c r="F6" s="3371"/>
      <c r="G6" s="2558" t="s">
        <v>190</v>
      </c>
      <c r="N6" s="2558" t="s">
        <v>1891</v>
      </c>
    </row>
    <row r="7" spans="1:14" ht="13.5" thickBot="1">
      <c r="A7" s="3374" t="s">
        <v>488</v>
      </c>
      <c r="B7" s="262" t="str">
        <f>'Приложение '!$C12</f>
        <v>2024 г.</v>
      </c>
      <c r="C7" s="263" t="str">
        <f>'Приложение '!$C14</f>
        <v>2027 г.</v>
      </c>
      <c r="D7" s="264" t="str">
        <f>'Приложение '!$C15</f>
        <v>2028 г.</v>
      </c>
      <c r="E7" s="264" t="str">
        <f>'Приложение '!$C16</f>
        <v>2029 г.</v>
      </c>
      <c r="F7" s="264" t="str">
        <f>'Приложение '!$C17</f>
        <v>2030 г.</v>
      </c>
      <c r="G7" s="265" t="str">
        <f>'Приложение '!$C18</f>
        <v>2031 г.</v>
      </c>
      <c r="H7" s="4775"/>
      <c r="I7" s="4845" t="str">
        <f>'Приложение '!$C12</f>
        <v>2024 г.</v>
      </c>
      <c r="J7" s="4845" t="str">
        <f>'Приложение '!$C14</f>
        <v>2027 г.</v>
      </c>
      <c r="K7" s="4845" t="str">
        <f>'Приложение '!$C15</f>
        <v>2028 г.</v>
      </c>
      <c r="L7" s="4845" t="str">
        <f>'Приложение '!$C16</f>
        <v>2029 г.</v>
      </c>
      <c r="M7" s="4845" t="str">
        <f>'Приложение '!$C17</f>
        <v>2030 г.</v>
      </c>
      <c r="N7" s="4845" t="str">
        <f>'Приложение '!$C18</f>
        <v>2031 г.</v>
      </c>
    </row>
    <row r="8" spans="1:14" ht="13.5" thickBot="1">
      <c r="A8" s="3375" t="s">
        <v>518</v>
      </c>
      <c r="B8" s="3436">
        <f t="shared" ref="B8:G8" si="0">B9+B14</f>
        <v>33178</v>
      </c>
      <c r="C8" s="3377">
        <f t="shared" si="0"/>
        <v>41399.257245599998</v>
      </c>
      <c r="D8" s="3378">
        <f t="shared" si="0"/>
        <v>43957.0452984</v>
      </c>
      <c r="E8" s="3378">
        <f t="shared" si="0"/>
        <v>47700.19523872</v>
      </c>
      <c r="F8" s="3378">
        <f t="shared" si="0"/>
        <v>51851.963218720004</v>
      </c>
      <c r="G8" s="3379">
        <f t="shared" si="0"/>
        <v>56830.94107072</v>
      </c>
      <c r="H8" s="4775"/>
      <c r="I8" s="4835">
        <f>IFERROR(B8/$B$1,0)</f>
        <v>16963.642034328139</v>
      </c>
      <c r="J8" s="4835">
        <f t="shared" ref="J8:N8" si="1">IFERROR(C8/$B$1,0)</f>
        <v>21167.104117229002</v>
      </c>
      <c r="K8" s="4835">
        <f t="shared" si="1"/>
        <v>22474.880382446328</v>
      </c>
      <c r="L8" s="4835">
        <f t="shared" si="1"/>
        <v>24388.722557032052</v>
      </c>
      <c r="M8" s="4835">
        <f t="shared" si="1"/>
        <v>26511.48781781648</v>
      </c>
      <c r="N8" s="4835">
        <f t="shared" si="1"/>
        <v>29057.198770199866</v>
      </c>
    </row>
    <row r="9" spans="1:14" ht="13.5" thickBot="1">
      <c r="A9" s="3380" t="s">
        <v>519</v>
      </c>
      <c r="B9" s="3381">
        <f t="shared" ref="B9:G9" si="2">SUM(B10:B13)</f>
        <v>29402</v>
      </c>
      <c r="C9" s="3382">
        <f t="shared" si="2"/>
        <v>34531.881038</v>
      </c>
      <c r="D9" s="3383">
        <f t="shared" si="2"/>
        <v>36663.371081999998</v>
      </c>
      <c r="E9" s="3383">
        <f t="shared" si="2"/>
        <v>39781.829365600002</v>
      </c>
      <c r="F9" s="3383">
        <f t="shared" si="2"/>
        <v>43241.636015600001</v>
      </c>
      <c r="G9" s="3384">
        <f t="shared" si="2"/>
        <v>47390.7842256</v>
      </c>
      <c r="H9" s="4775"/>
      <c r="I9" s="4835">
        <f t="shared" ref="I9:I46" si="3">IFERROR(B9/$B$1,0)</f>
        <v>15033.003890931217</v>
      </c>
      <c r="J9" s="4835">
        <f t="shared" ref="J9:J46" si="4">IFERROR(C9/$B$1,0)</f>
        <v>17655.870417163045</v>
      </c>
      <c r="K9" s="4835">
        <f t="shared" ref="K9:K46" si="5">IFERROR(D9/$B$1,0)</f>
        <v>18745.683971510814</v>
      </c>
      <c r="L9" s="4835">
        <f t="shared" ref="L9:L46" si="6">IFERROR(E9/$B$1,0)</f>
        <v>20340.126373764593</v>
      </c>
      <c r="M9" s="4835">
        <f t="shared" ref="M9:M46" si="7">IFERROR(F9/$B$1,0)</f>
        <v>22109.09742441828</v>
      </c>
      <c r="N9" s="4835">
        <f t="shared" ref="N9:N46" si="8">IFERROR(G9/$B$1,0)</f>
        <v>24230.523218071103</v>
      </c>
    </row>
    <row r="10" spans="1:14" ht="13.5" thickBot="1">
      <c r="A10" s="3385" t="s">
        <v>1020</v>
      </c>
      <c r="B10" s="3406">
        <f>+'14. ОПР'!B10</f>
        <v>26385</v>
      </c>
      <c r="C10" s="3386">
        <f>+'14. ОПР'!C10</f>
        <v>31616.881038</v>
      </c>
      <c r="D10" s="3387">
        <f>+'14. ОПР'!D10</f>
        <v>33748.371081999998</v>
      </c>
      <c r="E10" s="3387">
        <f>+'14. ОПР'!E10</f>
        <v>36871.829365600002</v>
      </c>
      <c r="F10" s="3387">
        <f>+'14. ОПР'!F10</f>
        <v>40301.636015600001</v>
      </c>
      <c r="G10" s="3388">
        <f>+'14. ОПР'!G10</f>
        <v>44450.7842256</v>
      </c>
      <c r="H10" s="4775"/>
      <c r="I10" s="4835">
        <f t="shared" si="3"/>
        <v>13490.436285362224</v>
      </c>
      <c r="J10" s="4835">
        <f t="shared" si="4"/>
        <v>16165.454583476068</v>
      </c>
      <c r="K10" s="4835">
        <f t="shared" si="5"/>
        <v>17255.268137823838</v>
      </c>
      <c r="L10" s="4835">
        <f t="shared" si="6"/>
        <v>18852.266999483596</v>
      </c>
      <c r="M10" s="4835">
        <f t="shared" si="7"/>
        <v>20605.899293701397</v>
      </c>
      <c r="N10" s="4835">
        <f t="shared" si="8"/>
        <v>22727.32508735422</v>
      </c>
    </row>
    <row r="11" spans="1:14" ht="13.5" thickBot="1">
      <c r="A11" s="3385" t="s">
        <v>1021</v>
      </c>
      <c r="B11" s="414">
        <v>197</v>
      </c>
      <c r="C11" s="403">
        <v>195</v>
      </c>
      <c r="D11" s="416">
        <v>195</v>
      </c>
      <c r="E11" s="416">
        <v>190</v>
      </c>
      <c r="F11" s="416">
        <v>190</v>
      </c>
      <c r="G11" s="417">
        <v>190</v>
      </c>
      <c r="H11" s="4775"/>
      <c r="I11" s="4835">
        <f t="shared" si="3"/>
        <v>100.72450059565504</v>
      </c>
      <c r="J11" s="4835">
        <f t="shared" si="4"/>
        <v>99.701916833262601</v>
      </c>
      <c r="K11" s="4835">
        <f t="shared" si="5"/>
        <v>99.701916833262601</v>
      </c>
      <c r="L11" s="4835">
        <f t="shared" si="6"/>
        <v>97.145457427281514</v>
      </c>
      <c r="M11" s="4835">
        <f t="shared" si="7"/>
        <v>97.145457427281514</v>
      </c>
      <c r="N11" s="4835">
        <f t="shared" si="8"/>
        <v>97.145457427281514</v>
      </c>
    </row>
    <row r="12" spans="1:14" ht="14.25" customHeight="1" thickBot="1">
      <c r="A12" s="3394" t="s">
        <v>520</v>
      </c>
      <c r="B12" s="414">
        <v>1491</v>
      </c>
      <c r="C12" s="403">
        <v>1400</v>
      </c>
      <c r="D12" s="416">
        <v>1400</v>
      </c>
      <c r="E12" s="416">
        <v>1400</v>
      </c>
      <c r="F12" s="416">
        <v>1400</v>
      </c>
      <c r="G12" s="417">
        <v>1400</v>
      </c>
      <c r="H12" s="4775"/>
      <c r="I12" s="4835">
        <f t="shared" si="3"/>
        <v>762.33619486356179</v>
      </c>
      <c r="J12" s="4835">
        <f t="shared" si="4"/>
        <v>715.8086336747059</v>
      </c>
      <c r="K12" s="4835">
        <f t="shared" si="5"/>
        <v>715.8086336747059</v>
      </c>
      <c r="L12" s="4835">
        <f t="shared" si="6"/>
        <v>715.8086336747059</v>
      </c>
      <c r="M12" s="4835">
        <f t="shared" si="7"/>
        <v>715.8086336747059</v>
      </c>
      <c r="N12" s="4835">
        <f t="shared" si="8"/>
        <v>715.8086336747059</v>
      </c>
    </row>
    <row r="13" spans="1:14" ht="14.25" customHeight="1" thickBot="1">
      <c r="A13" s="3394" t="s">
        <v>1018</v>
      </c>
      <c r="B13" s="414">
        <v>1329</v>
      </c>
      <c r="C13" s="403">
        <v>1320</v>
      </c>
      <c r="D13" s="416">
        <v>1320</v>
      </c>
      <c r="E13" s="416">
        <v>1320</v>
      </c>
      <c r="F13" s="416">
        <v>1350</v>
      </c>
      <c r="G13" s="417">
        <v>1350</v>
      </c>
      <c r="H13" s="4775"/>
      <c r="I13" s="4835">
        <f t="shared" si="3"/>
        <v>679.50691010977437</v>
      </c>
      <c r="J13" s="4835">
        <f t="shared" si="4"/>
        <v>674.90528317900839</v>
      </c>
      <c r="K13" s="4835">
        <f t="shared" si="5"/>
        <v>674.90528317900839</v>
      </c>
      <c r="L13" s="4835">
        <f t="shared" si="6"/>
        <v>674.90528317900839</v>
      </c>
      <c r="M13" s="4835">
        <f t="shared" si="7"/>
        <v>690.24403961489497</v>
      </c>
      <c r="N13" s="4835">
        <f t="shared" si="8"/>
        <v>690.24403961489497</v>
      </c>
    </row>
    <row r="14" spans="1:14" ht="13.5" thickBot="1">
      <c r="A14" s="3395" t="s">
        <v>521</v>
      </c>
      <c r="B14" s="3381">
        <f>SUM(B15:B18)</f>
        <v>3776</v>
      </c>
      <c r="C14" s="3437">
        <f t="shared" ref="C14:G14" si="9">SUM(C15:C18)</f>
        <v>6867.3762076000003</v>
      </c>
      <c r="D14" s="3383">
        <f t="shared" si="9"/>
        <v>7293.6742163999998</v>
      </c>
      <c r="E14" s="3383">
        <f t="shared" si="9"/>
        <v>7918.3658731200012</v>
      </c>
      <c r="F14" s="3383">
        <f t="shared" si="9"/>
        <v>8610.3272031200013</v>
      </c>
      <c r="G14" s="3384">
        <f t="shared" si="9"/>
        <v>9440.1568451200001</v>
      </c>
      <c r="H14" s="4775"/>
      <c r="I14" s="4835">
        <f t="shared" si="3"/>
        <v>1930.6381433969211</v>
      </c>
      <c r="J14" s="4835">
        <f t="shared" si="4"/>
        <v>3511.2337000659568</v>
      </c>
      <c r="K14" s="4835">
        <f t="shared" si="5"/>
        <v>3729.1964109355108</v>
      </c>
      <c r="L14" s="4835">
        <f t="shared" si="6"/>
        <v>4048.5961832674625</v>
      </c>
      <c r="M14" s="4835">
        <f t="shared" si="7"/>
        <v>4402.3903933982001</v>
      </c>
      <c r="N14" s="4835">
        <f t="shared" si="8"/>
        <v>4826.6755521287641</v>
      </c>
    </row>
    <row r="15" spans="1:14" ht="13.5" thickBot="1">
      <c r="A15" s="3389" t="s">
        <v>522</v>
      </c>
      <c r="B15" s="414"/>
      <c r="C15" s="403"/>
      <c r="D15" s="416"/>
      <c r="E15" s="416"/>
      <c r="F15" s="416"/>
      <c r="G15" s="417"/>
      <c r="H15" s="4775"/>
      <c r="I15" s="4835">
        <f t="shared" si="3"/>
        <v>0</v>
      </c>
      <c r="J15" s="4835">
        <f t="shared" si="4"/>
        <v>0</v>
      </c>
      <c r="K15" s="4835">
        <f t="shared" si="5"/>
        <v>0</v>
      </c>
      <c r="L15" s="4835">
        <f t="shared" si="6"/>
        <v>0</v>
      </c>
      <c r="M15" s="4835">
        <f t="shared" si="7"/>
        <v>0</v>
      </c>
      <c r="N15" s="4835">
        <f t="shared" si="8"/>
        <v>0</v>
      </c>
    </row>
    <row r="16" spans="1:14" ht="13.5" thickBot="1">
      <c r="A16" s="3389" t="s">
        <v>523</v>
      </c>
      <c r="B16" s="3406">
        <f>'10. Финансиране на ИП'!D16+'10. Финансиране на ИП'!D19+'10. Финансиране на ИП'!L16+'10. Финансиране на ИП'!L19+'10. Финансиране на ИП'!T16+'10. Финансиране на ИП'!T19</f>
        <v>0</v>
      </c>
      <c r="C16" s="3438">
        <f>'10. Финансиране на ИП'!F16+'10. Финансиране на ИП'!F19+'10. Финансиране на ИП'!N16+'10. Финансиране на ИП'!N19+'10. Финансиране на ИП'!V16+'10. Финансиране на ИП'!V19</f>
        <v>0</v>
      </c>
      <c r="D16" s="3392">
        <f>'10. Финансиране на ИП'!G16+'10. Финансиране на ИП'!G19+'10. Финансиране на ИП'!O16+'10. Финансиране на ИП'!O19+'10. Финансиране на ИП'!W16+'10. Финансиране на ИП'!W19</f>
        <v>0</v>
      </c>
      <c r="E16" s="3392">
        <f>'10. Финансиране на ИП'!H16+'10. Финансиране на ИП'!H19+'10. Финансиране на ИП'!P16+'10. Финансиране на ИП'!P19+'10. Финансиране на ИП'!X16+'10. Финансиране на ИП'!X19</f>
        <v>0</v>
      </c>
      <c r="F16" s="3392">
        <f>'10. Финансиране на ИП'!I16+'10. Финансиране на ИП'!I19+'10. Финансиране на ИП'!Q16+'10. Финансиране на ИП'!Q19+'10. Финансиране на ИП'!Y16+'10. Финансиране на ИП'!Y19</f>
        <v>0</v>
      </c>
      <c r="G16" s="3393">
        <f>'10. Финансиране на ИП'!J16+'10. Финансиране на ИП'!J19+'10. Финансиране на ИП'!R16+'10. Финансиране на ИП'!R19+'10. Финансиране на ИП'!Z16+'10. Финансиране на ИП'!Z19</f>
        <v>0</v>
      </c>
      <c r="H16" s="4775"/>
      <c r="I16" s="4835">
        <f t="shared" si="3"/>
        <v>0</v>
      </c>
      <c r="J16" s="4835">
        <f t="shared" si="4"/>
        <v>0</v>
      </c>
      <c r="K16" s="4835">
        <f t="shared" si="5"/>
        <v>0</v>
      </c>
      <c r="L16" s="4835">
        <f t="shared" si="6"/>
        <v>0</v>
      </c>
      <c r="M16" s="4835">
        <f t="shared" si="7"/>
        <v>0</v>
      </c>
      <c r="N16" s="4835">
        <f t="shared" si="8"/>
        <v>0</v>
      </c>
    </row>
    <row r="17" spans="1:14" ht="13.5" thickBot="1">
      <c r="A17" s="3389" t="s">
        <v>524</v>
      </c>
      <c r="B17" s="414">
        <v>374</v>
      </c>
      <c r="C17" s="403"/>
      <c r="D17" s="416"/>
      <c r="E17" s="416"/>
      <c r="F17" s="416"/>
      <c r="G17" s="417"/>
      <c r="H17" s="4775"/>
      <c r="I17" s="4835">
        <f t="shared" si="3"/>
        <v>191.22316356738571</v>
      </c>
      <c r="J17" s="4835">
        <f t="shared" si="4"/>
        <v>0</v>
      </c>
      <c r="K17" s="4835">
        <f t="shared" si="5"/>
        <v>0</v>
      </c>
      <c r="L17" s="4835">
        <f t="shared" si="6"/>
        <v>0</v>
      </c>
      <c r="M17" s="4835">
        <f t="shared" si="7"/>
        <v>0</v>
      </c>
      <c r="N17" s="4835">
        <f t="shared" si="8"/>
        <v>0</v>
      </c>
    </row>
    <row r="18" spans="1:14" ht="13.5" thickBot="1">
      <c r="A18" s="3439" t="s">
        <v>1061</v>
      </c>
      <c r="B18" s="414">
        <v>3402</v>
      </c>
      <c r="C18" s="3431">
        <f>SUM(C9-C11)*20%</f>
        <v>6867.3762076000003</v>
      </c>
      <c r="D18" s="3432">
        <f>SUM(D9-D11)*20%</f>
        <v>7293.6742163999998</v>
      </c>
      <c r="E18" s="3432">
        <f>SUM(E9-E11)*20%</f>
        <v>7918.3658731200012</v>
      </c>
      <c r="F18" s="3432">
        <f>SUM(F9-F11)*20%</f>
        <v>8610.3272031200013</v>
      </c>
      <c r="G18" s="3433">
        <f>SUM(G9-G11)*20%</f>
        <v>9440.1568451200001</v>
      </c>
      <c r="H18" s="4775"/>
      <c r="I18" s="4835">
        <f t="shared" si="3"/>
        <v>1739.4149798295352</v>
      </c>
      <c r="J18" s="4835">
        <f t="shared" si="4"/>
        <v>3511.2337000659568</v>
      </c>
      <c r="K18" s="4835">
        <f t="shared" si="5"/>
        <v>3729.1964109355108</v>
      </c>
      <c r="L18" s="4835">
        <f t="shared" si="6"/>
        <v>4048.5961832674625</v>
      </c>
      <c r="M18" s="4835">
        <f t="shared" si="7"/>
        <v>4402.3903933982001</v>
      </c>
      <c r="N18" s="4835">
        <f t="shared" si="8"/>
        <v>4826.6755521287641</v>
      </c>
    </row>
    <row r="19" spans="1:14" ht="13.5" thickBot="1">
      <c r="A19" s="3396" t="s">
        <v>525</v>
      </c>
      <c r="B19" s="3397">
        <f t="shared" ref="B19:G19" si="10">B20+B31+B34</f>
        <v>-32915.047920746001</v>
      </c>
      <c r="C19" s="3398">
        <f t="shared" si="10"/>
        <v>-40619.474245600002</v>
      </c>
      <c r="D19" s="3399">
        <f t="shared" si="10"/>
        <v>-43109.515298399994</v>
      </c>
      <c r="E19" s="3399">
        <f t="shared" si="10"/>
        <v>-47164.760238720002</v>
      </c>
      <c r="F19" s="3399">
        <f t="shared" si="10"/>
        <v>-51409.783218719997</v>
      </c>
      <c r="G19" s="3400">
        <f t="shared" si="10"/>
        <v>-56080.007070719999</v>
      </c>
      <c r="H19" s="4775"/>
      <c r="I19" s="4835">
        <f t="shared" si="3"/>
        <v>-16829.196771061903</v>
      </c>
      <c r="J19" s="4835">
        <f t="shared" si="4"/>
        <v>-20768.407400234173</v>
      </c>
      <c r="K19" s="4835">
        <f t="shared" si="5"/>
        <v>-22041.545174376093</v>
      </c>
      <c r="L19" s="4835">
        <f t="shared" si="6"/>
        <v>-24114.958988623759</v>
      </c>
      <c r="M19" s="4835">
        <f t="shared" si="7"/>
        <v>-26285.404773789131</v>
      </c>
      <c r="N19" s="4835">
        <f t="shared" si="8"/>
        <v>-28673.252312685665</v>
      </c>
    </row>
    <row r="20" spans="1:14" ht="13.5" thickBot="1">
      <c r="A20" s="3380" t="s">
        <v>526</v>
      </c>
      <c r="B20" s="3440">
        <f t="shared" ref="B20:G20" si="11">SUM(B21:B30)</f>
        <v>-20278.047920745998</v>
      </c>
      <c r="C20" s="3382">
        <f t="shared" si="11"/>
        <v>-27999.098038</v>
      </c>
      <c r="D20" s="3383">
        <f t="shared" si="11"/>
        <v>-30759.541082</v>
      </c>
      <c r="E20" s="3383">
        <f t="shared" si="11"/>
        <v>-34006.494365599996</v>
      </c>
      <c r="F20" s="3383">
        <f t="shared" si="11"/>
        <v>-37577.556015599999</v>
      </c>
      <c r="G20" s="3384">
        <f t="shared" si="11"/>
        <v>-41680.950225599998</v>
      </c>
      <c r="H20" s="4775"/>
      <c r="I20" s="4835">
        <f t="shared" si="3"/>
        <v>-10368.001268385287</v>
      </c>
      <c r="J20" s="4835">
        <f t="shared" si="4"/>
        <v>-14315.711507646371</v>
      </c>
      <c r="K20" s="4835">
        <f t="shared" si="5"/>
        <v>-15727.103624548146</v>
      </c>
      <c r="L20" s="4835">
        <f t="shared" si="6"/>
        <v>-17387.244477076227</v>
      </c>
      <c r="M20" s="4835">
        <f t="shared" si="7"/>
        <v>-19213.099305972399</v>
      </c>
      <c r="N20" s="4835">
        <f t="shared" si="8"/>
        <v>-21311.131450892972</v>
      </c>
    </row>
    <row r="21" spans="1:14" ht="13.5" thickBot="1">
      <c r="A21" s="3389" t="s">
        <v>501</v>
      </c>
      <c r="B21" s="3401">
        <f>-'14. ОПР'!B23</f>
        <v>-2740.8151133629995</v>
      </c>
      <c r="C21" s="3386">
        <f>-'14. ОПР'!C23</f>
        <v>-2808.0980380000001</v>
      </c>
      <c r="D21" s="3387">
        <f>-'14. ОПР'!D23</f>
        <v>-2781.5410820000002</v>
      </c>
      <c r="E21" s="3387">
        <f>-'14. ОПР'!E23</f>
        <v>-2755.4943656</v>
      </c>
      <c r="F21" s="3387">
        <f>-'14. ОПР'!F23</f>
        <v>-2736.5560156000001</v>
      </c>
      <c r="G21" s="3388">
        <f>-'14. ОПР'!G23</f>
        <v>-2714.9502255999996</v>
      </c>
      <c r="H21" s="4775"/>
      <c r="I21" s="4835">
        <f t="shared" si="3"/>
        <v>-1401.3565153223949</v>
      </c>
      <c r="J21" s="4835">
        <f t="shared" si="4"/>
        <v>-1435.7577284324302</v>
      </c>
      <c r="K21" s="4835">
        <f t="shared" si="5"/>
        <v>-1422.1793724403451</v>
      </c>
      <c r="L21" s="4835">
        <f t="shared" si="6"/>
        <v>-1408.8618978132047</v>
      </c>
      <c r="M21" s="4835">
        <f t="shared" si="7"/>
        <v>-1399.1788732149523</v>
      </c>
      <c r="N21" s="4835">
        <f t="shared" si="8"/>
        <v>-1388.1320082011216</v>
      </c>
    </row>
    <row r="22" spans="1:14" ht="13.5" thickBot="1">
      <c r="A22" s="3389" t="s">
        <v>502</v>
      </c>
      <c r="B22" s="3401">
        <f>-'14. ОПР'!B24</f>
        <v>-2790.223</v>
      </c>
      <c r="C22" s="3386">
        <f>-'14. ОПР'!C24</f>
        <v>-2852</v>
      </c>
      <c r="D22" s="3387">
        <f>-'14. ОПР'!D24</f>
        <v>-2852</v>
      </c>
      <c r="E22" s="3387">
        <f>-'14. ОПР'!E24</f>
        <v>-2852</v>
      </c>
      <c r="F22" s="3387">
        <f>-'14. ОПР'!F24</f>
        <v>-2852</v>
      </c>
      <c r="G22" s="3388">
        <f>-'14. ОПР'!G24</f>
        <v>-2852</v>
      </c>
      <c r="H22" s="4775"/>
      <c r="I22" s="4835">
        <f t="shared" si="3"/>
        <v>-1426.6183666269562</v>
      </c>
      <c r="J22" s="4835">
        <f t="shared" si="4"/>
        <v>-1458.2044451716151</v>
      </c>
      <c r="K22" s="4835">
        <f t="shared" si="5"/>
        <v>-1458.2044451716151</v>
      </c>
      <c r="L22" s="4835">
        <f t="shared" si="6"/>
        <v>-1458.2044451716151</v>
      </c>
      <c r="M22" s="4835">
        <f t="shared" si="7"/>
        <v>-1458.2044451716151</v>
      </c>
      <c r="N22" s="4835">
        <f t="shared" si="8"/>
        <v>-1458.2044451716151</v>
      </c>
    </row>
    <row r="23" spans="1:14" ht="13.5" thickBot="1">
      <c r="A23" s="3389" t="s">
        <v>527</v>
      </c>
      <c r="B23" s="3401">
        <f>-'14. ОПР'!B25</f>
        <v>-10245</v>
      </c>
      <c r="C23" s="3386">
        <f>-'14. ОПР'!C25</f>
        <v>-14903</v>
      </c>
      <c r="D23" s="3387">
        <f>-'14. ОПР'!D25</f>
        <v>-16826</v>
      </c>
      <c r="E23" s="3387">
        <f>-'14. ОПР'!E25</f>
        <v>-19107</v>
      </c>
      <c r="F23" s="3387">
        <f>-'14. ОПР'!F25</f>
        <v>-21553</v>
      </c>
      <c r="G23" s="3388">
        <f>-'14. ОПР'!G25</f>
        <v>-24358</v>
      </c>
      <c r="H23" s="4775"/>
      <c r="I23" s="4835">
        <f t="shared" si="3"/>
        <v>-5238.1853228552582</v>
      </c>
      <c r="J23" s="4835">
        <f t="shared" si="4"/>
        <v>-7619.7829054672438</v>
      </c>
      <c r="K23" s="4835">
        <f t="shared" si="5"/>
        <v>-8602.9971930075717</v>
      </c>
      <c r="L23" s="4835">
        <f t="shared" si="6"/>
        <v>-9769.2539740161465</v>
      </c>
      <c r="M23" s="4835">
        <f t="shared" si="7"/>
        <v>-11019.873915422097</v>
      </c>
      <c r="N23" s="4835">
        <f t="shared" si="8"/>
        <v>-12454.047642177489</v>
      </c>
    </row>
    <row r="24" spans="1:14" ht="13.5" thickBot="1">
      <c r="A24" s="3389" t="s">
        <v>528</v>
      </c>
      <c r="B24" s="3401">
        <f>-'14. ОПР'!B26</f>
        <v>-3669</v>
      </c>
      <c r="C24" s="3386">
        <f>-'14. ОПР'!C26</f>
        <v>-5283</v>
      </c>
      <c r="D24" s="3387">
        <f>-'14. ОПР'!D26</f>
        <v>-6074</v>
      </c>
      <c r="E24" s="3387">
        <f>-'14. ОПР'!E26</f>
        <v>-6986</v>
      </c>
      <c r="F24" s="3387">
        <f>-'14. ОПР'!F26</f>
        <v>-8034</v>
      </c>
      <c r="G24" s="3388">
        <f>-'14. ОПР'!G26</f>
        <v>-9238</v>
      </c>
      <c r="H24" s="4775"/>
      <c r="I24" s="4835">
        <f t="shared" si="3"/>
        <v>-1875.9299121089257</v>
      </c>
      <c r="J24" s="4835">
        <f t="shared" si="4"/>
        <v>-2701.1550083596221</v>
      </c>
      <c r="K24" s="4835">
        <f t="shared" si="5"/>
        <v>-3105.5868863858313</v>
      </c>
      <c r="L24" s="4835">
        <f t="shared" si="6"/>
        <v>-3571.8850820367825</v>
      </c>
      <c r="M24" s="4835">
        <f t="shared" si="7"/>
        <v>-4107.7189735304191</v>
      </c>
      <c r="N24" s="4835">
        <f t="shared" si="8"/>
        <v>-4723.3143984906665</v>
      </c>
    </row>
    <row r="25" spans="1:14" ht="13.5" thickBot="1">
      <c r="A25" s="3389" t="s">
        <v>529</v>
      </c>
      <c r="B25" s="3401">
        <f>-('12. Разходи'!C73+'12. Разходи'!K73+'12. Разходи'!S73+'12. Разходи'!AA73+'12. Разходи'!AI73)</f>
        <v>-366</v>
      </c>
      <c r="C25" s="3386">
        <f>-('12. Разходи'!D73+'12. Разходи'!L73+'12. Разходи'!T73+'12. Разходи'!AB73+'12. Разходи'!AJ73)</f>
        <v>-371</v>
      </c>
      <c r="D25" s="3387">
        <f>-('12. Разходи'!E73+'12. Разходи'!M73+'12. Разходи'!U73+'12. Разходи'!AC73+'12. Разходи'!AK73)</f>
        <v>-361</v>
      </c>
      <c r="E25" s="3387">
        <f>-('12. Разходи'!F73+'12. Разходи'!N73+'12. Разходи'!V73+'12. Разходи'!AD73+'12. Разходи'!AL73)</f>
        <v>-349</v>
      </c>
      <c r="F25" s="3387">
        <f>-('12. Разходи'!G73+'12. Разходи'!O73+'12. Разходи'!W73+'12. Разходи'!AE73+'12. Разходи'!AM73)</f>
        <v>-337</v>
      </c>
      <c r="G25" s="3388">
        <f>-('12. Разходи'!H73+'12. Разходи'!P73+'12. Разходи'!X73+'12. Разходи'!AF73+'12. Разходи'!AN73)</f>
        <v>-326</v>
      </c>
      <c r="H25" s="4775"/>
      <c r="I25" s="4835">
        <f t="shared" si="3"/>
        <v>-187.13282851781597</v>
      </c>
      <c r="J25" s="4835">
        <f t="shared" si="4"/>
        <v>-189.68928792379705</v>
      </c>
      <c r="K25" s="4835">
        <f t="shared" si="5"/>
        <v>-184.57636911183488</v>
      </c>
      <c r="L25" s="4835">
        <f t="shared" si="6"/>
        <v>-178.44086653748025</v>
      </c>
      <c r="M25" s="4835">
        <f t="shared" si="7"/>
        <v>-172.30536396312564</v>
      </c>
      <c r="N25" s="4835">
        <f t="shared" si="8"/>
        <v>-166.68115326996724</v>
      </c>
    </row>
    <row r="26" spans="1:14" ht="13.5" thickBot="1">
      <c r="A26" s="3389" t="s">
        <v>530</v>
      </c>
      <c r="B26" s="3401">
        <f>-('12. Разходи'!C74+'12. Разходи'!K74+'12. Разходи'!S74+'12. Разходи'!AA74+'12. Разходи'!AI74)</f>
        <v>-99</v>
      </c>
      <c r="C26" s="3386">
        <f>-('12. Разходи'!D74+'12. Разходи'!L74+'12. Разходи'!T74+'12. Разходи'!AB74+'12. Разходи'!AJ74)</f>
        <v>-99</v>
      </c>
      <c r="D26" s="3387">
        <f>-('12. Разходи'!E74+'12. Разходи'!M74+'12. Разходи'!U74+'12. Разходи'!AC74+'12. Разходи'!AK74)</f>
        <v>-99</v>
      </c>
      <c r="E26" s="3387">
        <f>-('12. Разходи'!F74+'12. Разходи'!N74+'12. Разходи'!V74+'12. Разходи'!AD74+'12. Разходи'!AL74)</f>
        <v>-97</v>
      </c>
      <c r="F26" s="3387">
        <f>-('12. Разходи'!G74+'12. Разходи'!O74+'12. Разходи'!W74+'12. Разходи'!AE74+'12. Разходи'!AM74)</f>
        <v>-97</v>
      </c>
      <c r="G26" s="3388">
        <f>-('12. Разходи'!H74+'12. Разходи'!P74+'12. Разходи'!X74+'12. Разходи'!AF74+'12. Разходи'!AN74)</f>
        <v>-97</v>
      </c>
      <c r="H26" s="4775"/>
      <c r="I26" s="4835">
        <f t="shared" si="3"/>
        <v>-50.617896238425629</v>
      </c>
      <c r="J26" s="4835">
        <f t="shared" si="4"/>
        <v>-50.617896238425629</v>
      </c>
      <c r="K26" s="4835">
        <f t="shared" si="5"/>
        <v>-50.617896238425629</v>
      </c>
      <c r="L26" s="4835">
        <f t="shared" si="6"/>
        <v>-49.595312476033193</v>
      </c>
      <c r="M26" s="4835">
        <f t="shared" si="7"/>
        <v>-49.595312476033193</v>
      </c>
      <c r="N26" s="4835">
        <f t="shared" si="8"/>
        <v>-49.595312476033193</v>
      </c>
    </row>
    <row r="27" spans="1:14" ht="13.5" thickBot="1">
      <c r="A27" s="3394" t="s">
        <v>531</v>
      </c>
      <c r="B27" s="3401">
        <f>-('12. Разходи'!C72+'12. Разходи'!K72+'12. Разходи'!S72+'12. Разходи'!AA72+'12. Разходи'!AI72)</f>
        <v>-56</v>
      </c>
      <c r="C27" s="3386">
        <f>-('12. Разходи'!D72+'12. Разходи'!L72+'12. Разходи'!T72+'12. Разходи'!AB72+'12. Разходи'!AJ72)</f>
        <v>-59</v>
      </c>
      <c r="D27" s="3387">
        <f>-('12. Разходи'!E72+'12. Разходи'!M72+'12. Разходи'!U72+'12. Разходи'!AC72+'12. Разходи'!AK72)</f>
        <v>-58</v>
      </c>
      <c r="E27" s="3387">
        <f>-('12. Разходи'!F72+'12. Разходи'!N72+'12. Разходи'!V72+'12. Разходи'!AD72+'12. Разходи'!AL72)</f>
        <v>-57</v>
      </c>
      <c r="F27" s="3387">
        <f>-('12. Разходи'!G72+'12. Разходи'!O72+'12. Разходи'!W72+'12. Разходи'!AE72+'12. Разходи'!AM72)</f>
        <v>-55</v>
      </c>
      <c r="G27" s="3388">
        <f>-('12. Разходи'!H72+'12. Разходи'!P72+'12. Разходи'!X72+'12. Разходи'!AF72+'12. Разходи'!AN72)</f>
        <v>-54</v>
      </c>
      <c r="H27" s="4775"/>
      <c r="I27" s="4835">
        <f t="shared" si="3"/>
        <v>-28.632345346988235</v>
      </c>
      <c r="J27" s="4835">
        <f t="shared" si="4"/>
        <v>-30.166220990576893</v>
      </c>
      <c r="K27" s="4835">
        <f t="shared" si="5"/>
        <v>-29.654929109380674</v>
      </c>
      <c r="L27" s="4835">
        <f t="shared" si="6"/>
        <v>-29.143637228184453</v>
      </c>
      <c r="M27" s="4835">
        <f t="shared" si="7"/>
        <v>-28.121053465792016</v>
      </c>
      <c r="N27" s="4835">
        <f t="shared" si="8"/>
        <v>-27.609761584595798</v>
      </c>
    </row>
    <row r="28" spans="1:14" ht="13.5" thickBot="1">
      <c r="A28" s="3394" t="s">
        <v>532</v>
      </c>
      <c r="B28" s="3401">
        <f>-'14. ОПР'!B30-'14. ОПР'!B31-SUM(B25:B27)</f>
        <v>-287.54500000000007</v>
      </c>
      <c r="C28" s="3386">
        <f>-'14. ОПР'!C30-'14. ОПР'!C31-SUM(C25:C27)</f>
        <v>-287</v>
      </c>
      <c r="D28" s="3387">
        <f>-'14. ОПР'!D30-'14. ОПР'!D31-SUM(D25:D27)</f>
        <v>-287</v>
      </c>
      <c r="E28" s="3387">
        <f>-'14. ОПР'!E30-'14. ОПР'!E31-SUM(E25:E27)</f>
        <v>-287</v>
      </c>
      <c r="F28" s="3387">
        <f>-'14. ОПР'!F30-'14. ОПР'!F31-SUM(F25:F27)</f>
        <v>-287</v>
      </c>
      <c r="G28" s="3388">
        <f>-'14. ОПР'!G30-'14. ОПР'!G31-SUM(G25:G27)</f>
        <v>-287</v>
      </c>
      <c r="H28" s="4775"/>
      <c r="I28" s="4835">
        <f t="shared" si="3"/>
        <v>-147.01942397856669</v>
      </c>
      <c r="J28" s="4835">
        <f t="shared" si="4"/>
        <v>-146.74076990331471</v>
      </c>
      <c r="K28" s="4835">
        <f t="shared" si="5"/>
        <v>-146.74076990331471</v>
      </c>
      <c r="L28" s="4835">
        <f t="shared" si="6"/>
        <v>-146.74076990331471</v>
      </c>
      <c r="M28" s="4835">
        <f t="shared" si="7"/>
        <v>-146.74076990331471</v>
      </c>
      <c r="N28" s="4835">
        <f t="shared" si="8"/>
        <v>-146.74076990331471</v>
      </c>
    </row>
    <row r="29" spans="1:14" ht="13.5" thickBot="1">
      <c r="A29" s="3394" t="s">
        <v>225</v>
      </c>
      <c r="B29" s="3401">
        <f>-'14. ОПР'!B32</f>
        <v>-806.46480738299999</v>
      </c>
      <c r="C29" s="3441">
        <f>-'14. ОПР'!C32</f>
        <v>-557</v>
      </c>
      <c r="D29" s="3442">
        <f>-'14. ОПР'!D32</f>
        <v>-641</v>
      </c>
      <c r="E29" s="3442">
        <f>-'14. ОПР'!E32</f>
        <v>-736</v>
      </c>
      <c r="F29" s="3442">
        <f>-'14. ОПР'!F32</f>
        <v>-846</v>
      </c>
      <c r="G29" s="3443">
        <f>-'14. ОПР'!G32</f>
        <v>-974</v>
      </c>
      <c r="H29" s="4775"/>
      <c r="I29" s="4835">
        <f t="shared" si="3"/>
        <v>-412.33890848540005</v>
      </c>
      <c r="J29" s="4835">
        <f t="shared" si="4"/>
        <v>-284.78957782629368</v>
      </c>
      <c r="K29" s="4835">
        <f t="shared" si="5"/>
        <v>-327.73809584677605</v>
      </c>
      <c r="L29" s="4835">
        <f t="shared" si="6"/>
        <v>-376.31082456041679</v>
      </c>
      <c r="M29" s="4835">
        <f t="shared" si="7"/>
        <v>-432.55293149200082</v>
      </c>
      <c r="N29" s="4835">
        <f t="shared" si="8"/>
        <v>-497.9982922851168</v>
      </c>
    </row>
    <row r="30" spans="1:14" ht="13.5" thickBot="1">
      <c r="A30" s="3402" t="s">
        <v>1017</v>
      </c>
      <c r="B30" s="405">
        <v>782</v>
      </c>
      <c r="C30" s="274">
        <v>-780</v>
      </c>
      <c r="D30" s="416">
        <v>-780</v>
      </c>
      <c r="E30" s="416">
        <v>-780</v>
      </c>
      <c r="F30" s="416">
        <v>-780</v>
      </c>
      <c r="G30" s="275">
        <v>-780</v>
      </c>
      <c r="H30" s="4775"/>
      <c r="I30" s="4835">
        <f t="shared" si="3"/>
        <v>399.83025109544286</v>
      </c>
      <c r="J30" s="4835">
        <f t="shared" si="4"/>
        <v>-398.8076673330504</v>
      </c>
      <c r="K30" s="4835">
        <f t="shared" si="5"/>
        <v>-398.8076673330504</v>
      </c>
      <c r="L30" s="4835">
        <f t="shared" si="6"/>
        <v>-398.8076673330504</v>
      </c>
      <c r="M30" s="4835">
        <f t="shared" si="7"/>
        <v>-398.8076673330504</v>
      </c>
      <c r="N30" s="4835">
        <f t="shared" si="8"/>
        <v>-398.8076673330504</v>
      </c>
    </row>
    <row r="31" spans="1:14" ht="13.5" thickBot="1">
      <c r="A31" s="3403" t="s">
        <v>533</v>
      </c>
      <c r="B31" s="3444">
        <f>SUM(B32:B33)</f>
        <v>-8059</v>
      </c>
      <c r="C31" s="3382">
        <f t="shared" ref="C31:G31" si="12">SUM(C32:C33)</f>
        <v>-4247</v>
      </c>
      <c r="D31" s="3383">
        <f t="shared" si="12"/>
        <v>-3550</v>
      </c>
      <c r="E31" s="3383">
        <f t="shared" si="12"/>
        <v>-3760</v>
      </c>
      <c r="F31" s="3383">
        <f t="shared" si="12"/>
        <v>-3770</v>
      </c>
      <c r="G31" s="3384">
        <f t="shared" si="12"/>
        <v>-3535</v>
      </c>
      <c r="H31" s="4775"/>
      <c r="I31" s="4835">
        <f t="shared" si="3"/>
        <v>-4120.5012705603249</v>
      </c>
      <c r="J31" s="4835">
        <f t="shared" si="4"/>
        <v>-2171.4566194403401</v>
      </c>
      <c r="K31" s="4835">
        <f t="shared" si="5"/>
        <v>-1815.0861782465756</v>
      </c>
      <c r="L31" s="4835">
        <f t="shared" si="6"/>
        <v>-1922.4574732977815</v>
      </c>
      <c r="M31" s="4835">
        <f t="shared" si="7"/>
        <v>-1927.5703921097438</v>
      </c>
      <c r="N31" s="4835">
        <f t="shared" si="8"/>
        <v>-1807.4168000286325</v>
      </c>
    </row>
    <row r="32" spans="1:14" ht="13.5" thickBot="1">
      <c r="A32" s="3389" t="s">
        <v>329</v>
      </c>
      <c r="B32" s="414">
        <v>-8059</v>
      </c>
      <c r="C32" s="3386">
        <f>-'9.Инвестиционна програма'!I124</f>
        <v>-4247</v>
      </c>
      <c r="D32" s="3387">
        <f>-'9.Инвестиционна програма'!J124</f>
        <v>-3550</v>
      </c>
      <c r="E32" s="3387">
        <f>-'9.Инвестиционна програма'!K124</f>
        <v>-3760</v>
      </c>
      <c r="F32" s="3387">
        <f>-'9.Инвестиционна програма'!L124</f>
        <v>-3770</v>
      </c>
      <c r="G32" s="3388">
        <f>-'9.Инвестиционна програма'!M124</f>
        <v>-3535</v>
      </c>
      <c r="H32" s="4775"/>
      <c r="I32" s="4835">
        <f t="shared" si="3"/>
        <v>-4120.5012705603249</v>
      </c>
      <c r="J32" s="4835">
        <f t="shared" si="4"/>
        <v>-2171.4566194403401</v>
      </c>
      <c r="K32" s="4835">
        <f t="shared" si="5"/>
        <v>-1815.0861782465756</v>
      </c>
      <c r="L32" s="4835">
        <f t="shared" si="6"/>
        <v>-1922.4574732977815</v>
      </c>
      <c r="M32" s="4835">
        <f t="shared" si="7"/>
        <v>-1927.5703921097438</v>
      </c>
      <c r="N32" s="4835">
        <f t="shared" si="8"/>
        <v>-1807.4168000286325</v>
      </c>
    </row>
    <row r="33" spans="1:14" ht="13.5" thickBot="1">
      <c r="A33" s="3409" t="s">
        <v>534</v>
      </c>
      <c r="B33" s="414"/>
      <c r="C33" s="274"/>
      <c r="D33" s="416"/>
      <c r="E33" s="416"/>
      <c r="F33" s="416"/>
      <c r="G33" s="275"/>
      <c r="H33" s="4775"/>
      <c r="I33" s="4835">
        <f t="shared" si="3"/>
        <v>0</v>
      </c>
      <c r="J33" s="4835">
        <f t="shared" si="4"/>
        <v>0</v>
      </c>
      <c r="K33" s="4835">
        <f t="shared" si="5"/>
        <v>0</v>
      </c>
      <c r="L33" s="4835">
        <f t="shared" si="6"/>
        <v>0</v>
      </c>
      <c r="M33" s="4835">
        <f t="shared" si="7"/>
        <v>0</v>
      </c>
      <c r="N33" s="4835">
        <f t="shared" si="8"/>
        <v>0</v>
      </c>
    </row>
    <row r="34" spans="1:14" ht="13.5" thickBot="1">
      <c r="A34" s="3403" t="s">
        <v>535</v>
      </c>
      <c r="B34" s="3381">
        <f t="shared" ref="B34:G34" si="13">SUM(B35:B41)</f>
        <v>-4578</v>
      </c>
      <c r="C34" s="3382">
        <f t="shared" si="13"/>
        <v>-8373.3762076000003</v>
      </c>
      <c r="D34" s="3383">
        <f t="shared" si="13"/>
        <v>-8799.9742163999999</v>
      </c>
      <c r="E34" s="3383">
        <f t="shared" si="13"/>
        <v>-9398.2658731200027</v>
      </c>
      <c r="F34" s="3383">
        <f t="shared" si="13"/>
        <v>-10062.227203120001</v>
      </c>
      <c r="G34" s="3384">
        <f t="shared" si="13"/>
        <v>-10864.056845120002</v>
      </c>
      <c r="H34" s="4775"/>
      <c r="I34" s="4835">
        <f t="shared" si="3"/>
        <v>-2340.6942321162883</v>
      </c>
      <c r="J34" s="4835">
        <f t="shared" si="4"/>
        <v>-4281.239273147462</v>
      </c>
      <c r="K34" s="4835">
        <f t="shared" si="5"/>
        <v>-4499.355371581375</v>
      </c>
      <c r="L34" s="4835">
        <f t="shared" si="6"/>
        <v>-4805.257038249747</v>
      </c>
      <c r="M34" s="4835">
        <f t="shared" si="7"/>
        <v>-5144.7350757069898</v>
      </c>
      <c r="N34" s="4835">
        <f t="shared" si="8"/>
        <v>-5554.7040617640605</v>
      </c>
    </row>
    <row r="35" spans="1:14" ht="13.5" thickBot="1">
      <c r="A35" s="3389" t="s">
        <v>536</v>
      </c>
      <c r="B35" s="3445">
        <f>-'14. ОПР'!B35</f>
        <v>-90</v>
      </c>
      <c r="C35" s="3441">
        <f>-'14. ОПР'!C35</f>
        <v>-115</v>
      </c>
      <c r="D35" s="3442">
        <f>-'14. ОПР'!D35</f>
        <v>-95</v>
      </c>
      <c r="E35" s="3442">
        <f>-'14. ОПР'!E35</f>
        <v>-75</v>
      </c>
      <c r="F35" s="3442">
        <f>-'14. ОПР'!F35</f>
        <v>-55</v>
      </c>
      <c r="G35" s="3443">
        <f>-'14. ОПР'!G35</f>
        <v>-36</v>
      </c>
      <c r="H35" s="4775"/>
      <c r="I35" s="4835">
        <f t="shared" si="3"/>
        <v>-46.016269307659663</v>
      </c>
      <c r="J35" s="4835">
        <f t="shared" si="4"/>
        <v>-58.798566337565127</v>
      </c>
      <c r="K35" s="4835">
        <f t="shared" si="5"/>
        <v>-48.572728713640757</v>
      </c>
      <c r="L35" s="4835">
        <f t="shared" si="6"/>
        <v>-38.346891089716387</v>
      </c>
      <c r="M35" s="4835">
        <f t="shared" si="7"/>
        <v>-28.121053465792016</v>
      </c>
      <c r="N35" s="4835">
        <f t="shared" si="8"/>
        <v>-18.406507723063864</v>
      </c>
    </row>
    <row r="36" spans="1:14" ht="13.5" thickBot="1">
      <c r="A36" s="3389" t="s">
        <v>537</v>
      </c>
      <c r="B36" s="414">
        <v>-73</v>
      </c>
      <c r="C36" s="274">
        <v>-472</v>
      </c>
      <c r="D36" s="416">
        <v>-453</v>
      </c>
      <c r="E36" s="416">
        <v>-433</v>
      </c>
      <c r="F36" s="416">
        <v>-413</v>
      </c>
      <c r="G36" s="275">
        <v>-393</v>
      </c>
      <c r="H36" s="4775"/>
      <c r="I36" s="4835">
        <f t="shared" si="3"/>
        <v>-37.32430732732395</v>
      </c>
      <c r="J36" s="4835">
        <f t="shared" si="4"/>
        <v>-241.32976792461514</v>
      </c>
      <c r="K36" s="4835">
        <f t="shared" si="5"/>
        <v>-231.61522218188699</v>
      </c>
      <c r="L36" s="4835">
        <f t="shared" si="6"/>
        <v>-221.38938455796261</v>
      </c>
      <c r="M36" s="4835">
        <f t="shared" si="7"/>
        <v>-211.16354693403824</v>
      </c>
      <c r="N36" s="4835">
        <f t="shared" si="8"/>
        <v>-200.93770931011386</v>
      </c>
    </row>
    <row r="37" spans="1:14" ht="13.5" thickBot="1">
      <c r="A37" s="3409" t="s">
        <v>538</v>
      </c>
      <c r="B37" s="414">
        <v>-439</v>
      </c>
      <c r="C37" s="274">
        <v>-894</v>
      </c>
      <c r="D37" s="416">
        <v>-894</v>
      </c>
      <c r="E37" s="416">
        <v>-894</v>
      </c>
      <c r="F37" s="416">
        <v>-894</v>
      </c>
      <c r="G37" s="275">
        <v>-894</v>
      </c>
      <c r="H37" s="4775"/>
      <c r="I37" s="4835">
        <f t="shared" si="3"/>
        <v>-224.45713584513993</v>
      </c>
      <c r="J37" s="4835">
        <f t="shared" si="4"/>
        <v>-457.09494178941935</v>
      </c>
      <c r="K37" s="4835">
        <f t="shared" si="5"/>
        <v>-457.09494178941935</v>
      </c>
      <c r="L37" s="4835">
        <f t="shared" si="6"/>
        <v>-457.09494178941935</v>
      </c>
      <c r="M37" s="4835">
        <f t="shared" si="7"/>
        <v>-457.09494178941935</v>
      </c>
      <c r="N37" s="4835">
        <f t="shared" si="8"/>
        <v>-457.09494178941935</v>
      </c>
    </row>
    <row r="38" spans="1:14" ht="13.5" thickBot="1">
      <c r="A38" s="3409" t="s">
        <v>539</v>
      </c>
      <c r="B38" s="414">
        <v>-73</v>
      </c>
      <c r="C38" s="403"/>
      <c r="D38" s="3386">
        <f>-'14. ОПР'!C41</f>
        <v>-39.300000000000004</v>
      </c>
      <c r="E38" s="3387">
        <f>-'14. ОПР'!D41</f>
        <v>-52.900000000000006</v>
      </c>
      <c r="F38" s="3387">
        <f>-'14. ОПР'!E41</f>
        <v>-64.900000000000006</v>
      </c>
      <c r="G38" s="3388">
        <f>-'14. ОПР'!F41</f>
        <v>-75.900000000000006</v>
      </c>
      <c r="H38" s="4775"/>
      <c r="I38" s="4835">
        <f t="shared" si="3"/>
        <v>-37.32430732732395</v>
      </c>
      <c r="J38" s="4835">
        <f t="shared" si="4"/>
        <v>0</v>
      </c>
      <c r="K38" s="4835">
        <f t="shared" si="5"/>
        <v>-20.093770931011388</v>
      </c>
      <c r="L38" s="4835">
        <f t="shared" si="6"/>
        <v>-27.047340515279963</v>
      </c>
      <c r="M38" s="4835">
        <f t="shared" si="7"/>
        <v>-33.182843089634581</v>
      </c>
      <c r="N38" s="4835">
        <f t="shared" si="8"/>
        <v>-38.807053782792984</v>
      </c>
    </row>
    <row r="39" spans="1:14" ht="13.5" thickBot="1">
      <c r="A39" s="3446" t="s">
        <v>1060</v>
      </c>
      <c r="B39" s="67">
        <v>-3878</v>
      </c>
      <c r="C39" s="3434">
        <f>SUM(C21+C22+C28+C29+C32)*20%</f>
        <v>-2150.2196076</v>
      </c>
      <c r="D39" s="3432">
        <f t="shared" ref="D39:G39" si="14">SUM(D21+D22+D28+D29+D32)*20%</f>
        <v>-2022.3082164</v>
      </c>
      <c r="E39" s="3432">
        <f t="shared" si="14"/>
        <v>-2078.09887312</v>
      </c>
      <c r="F39" s="3432">
        <f t="shared" si="14"/>
        <v>-2098.3112031199998</v>
      </c>
      <c r="G39" s="3433">
        <f t="shared" si="14"/>
        <v>-2072.59004512</v>
      </c>
      <c r="H39" s="4775"/>
      <c r="I39" s="4835">
        <f t="shared" si="3"/>
        <v>-1982.7899152789353</v>
      </c>
      <c r="J39" s="4835">
        <f t="shared" si="4"/>
        <v>-1099.3898281547988</v>
      </c>
      <c r="K39" s="4835">
        <f t="shared" si="5"/>
        <v>-1033.9897723217252</v>
      </c>
      <c r="L39" s="4835">
        <f t="shared" si="6"/>
        <v>-1062.5150821492666</v>
      </c>
      <c r="M39" s="4835">
        <f t="shared" si="7"/>
        <v>-1072.8494823783253</v>
      </c>
      <c r="N39" s="4835">
        <f t="shared" si="8"/>
        <v>-1059.6984631179603</v>
      </c>
    </row>
    <row r="40" spans="1:14" ht="13.5" thickBot="1">
      <c r="A40" s="3409" t="s">
        <v>540</v>
      </c>
      <c r="B40" s="406"/>
      <c r="C40" s="3441">
        <f>-20%*(C10+C12+C13)-20%*(C21+C22+C28+C29+C32)</f>
        <v>-4717.1566000000003</v>
      </c>
      <c r="D40" s="3442">
        <f t="shared" ref="D40:G40" si="15">-20%*(D10+D12+D13)-20%*(D21+D22+D28+D29+D32)</f>
        <v>-5271.366</v>
      </c>
      <c r="E40" s="3442">
        <f t="shared" si="15"/>
        <v>-5840.2670000000016</v>
      </c>
      <c r="F40" s="3442">
        <f t="shared" si="15"/>
        <v>-6512.0160000000014</v>
      </c>
      <c r="G40" s="3443">
        <f t="shared" si="15"/>
        <v>-7367.5668000000005</v>
      </c>
      <c r="H40" s="4775"/>
      <c r="I40" s="4835">
        <f t="shared" si="3"/>
        <v>0</v>
      </c>
      <c r="J40" s="4835">
        <f t="shared" si="4"/>
        <v>-2411.8438719111582</v>
      </c>
      <c r="K40" s="4835">
        <f t="shared" si="5"/>
        <v>-2695.2066386137853</v>
      </c>
      <c r="L40" s="4835">
        <f t="shared" si="6"/>
        <v>-2986.0811011181963</v>
      </c>
      <c r="M40" s="4835">
        <f t="shared" si="7"/>
        <v>-3329.5409110198748</v>
      </c>
      <c r="N40" s="4835">
        <f t="shared" si="8"/>
        <v>-3766.9770890108039</v>
      </c>
    </row>
    <row r="41" spans="1:14" ht="13.5" thickBot="1">
      <c r="A41" s="3409" t="s">
        <v>541</v>
      </c>
      <c r="B41" s="414">
        <v>-25</v>
      </c>
      <c r="C41" s="274">
        <v>-25</v>
      </c>
      <c r="D41" s="416">
        <v>-25</v>
      </c>
      <c r="E41" s="416">
        <v>-25</v>
      </c>
      <c r="F41" s="416">
        <v>-25</v>
      </c>
      <c r="G41" s="275">
        <v>-25</v>
      </c>
      <c r="H41" s="4775"/>
      <c r="I41" s="4835">
        <f t="shared" si="3"/>
        <v>-12.782297029905463</v>
      </c>
      <c r="J41" s="4835">
        <f t="shared" si="4"/>
        <v>-12.782297029905463</v>
      </c>
      <c r="K41" s="4835">
        <f t="shared" si="5"/>
        <v>-12.782297029905463</v>
      </c>
      <c r="L41" s="4835">
        <f t="shared" si="6"/>
        <v>-12.782297029905463</v>
      </c>
      <c r="M41" s="4835">
        <f t="shared" si="7"/>
        <v>-12.782297029905463</v>
      </c>
      <c r="N41" s="4835">
        <f t="shared" si="8"/>
        <v>-12.782297029905463</v>
      </c>
    </row>
    <row r="42" spans="1:14" ht="13.5" thickBot="1">
      <c r="A42" s="3447" t="s">
        <v>542</v>
      </c>
      <c r="B42" s="3397">
        <f t="shared" ref="B42:G42" si="16">B9+B20</f>
        <v>9123.9520792540025</v>
      </c>
      <c r="C42" s="3398">
        <f t="shared" si="16"/>
        <v>6532.7829999999994</v>
      </c>
      <c r="D42" s="3399">
        <f t="shared" si="16"/>
        <v>5903.8299999999981</v>
      </c>
      <c r="E42" s="3399">
        <f t="shared" si="16"/>
        <v>5775.3350000000064</v>
      </c>
      <c r="F42" s="3399">
        <f t="shared" si="16"/>
        <v>5664.0800000000017</v>
      </c>
      <c r="G42" s="3400">
        <f t="shared" si="16"/>
        <v>5709.8340000000026</v>
      </c>
      <c r="H42" s="4775"/>
      <c r="I42" s="4835">
        <f t="shared" si="3"/>
        <v>4665.0026225459278</v>
      </c>
      <c r="J42" s="4835">
        <f t="shared" si="4"/>
        <v>3340.1589095166755</v>
      </c>
      <c r="K42" s="4835">
        <f t="shared" si="5"/>
        <v>3018.5803469626699</v>
      </c>
      <c r="L42" s="4835">
        <f t="shared" si="6"/>
        <v>2952.8818966883659</v>
      </c>
      <c r="M42" s="4835">
        <f t="shared" si="7"/>
        <v>2895.9981184458779</v>
      </c>
      <c r="N42" s="4835">
        <f t="shared" si="8"/>
        <v>2919.3917671781305</v>
      </c>
    </row>
    <row r="43" spans="1:14" ht="13.5" thickBot="1">
      <c r="A43" s="3447" t="s">
        <v>543</v>
      </c>
      <c r="B43" s="3397">
        <f>B42+B31</f>
        <v>1064.9520792540025</v>
      </c>
      <c r="C43" s="3398">
        <f>C42+C31</f>
        <v>2285.7829999999994</v>
      </c>
      <c r="D43" s="3399">
        <f t="shared" ref="D43:G43" si="17">D42+D31</f>
        <v>2353.8299999999981</v>
      </c>
      <c r="E43" s="3399">
        <f t="shared" si="17"/>
        <v>2015.3350000000064</v>
      </c>
      <c r="F43" s="3399">
        <f t="shared" si="17"/>
        <v>1894.0800000000017</v>
      </c>
      <c r="G43" s="3400">
        <f t="shared" si="17"/>
        <v>2174.8340000000026</v>
      </c>
      <c r="H43" s="4775"/>
      <c r="I43" s="4835">
        <f t="shared" si="3"/>
        <v>544.50135198560326</v>
      </c>
      <c r="J43" s="4835">
        <f t="shared" si="4"/>
        <v>1168.7022900763357</v>
      </c>
      <c r="K43" s="4835">
        <f t="shared" si="5"/>
        <v>1203.494168716094</v>
      </c>
      <c r="L43" s="4835">
        <f t="shared" si="6"/>
        <v>1030.4244233905843</v>
      </c>
      <c r="M43" s="4835">
        <f t="shared" si="7"/>
        <v>968.42772633613447</v>
      </c>
      <c r="N43" s="4835">
        <f t="shared" si="8"/>
        <v>1111.9749671494981</v>
      </c>
    </row>
    <row r="44" spans="1:14" ht="13.5" thickBot="1">
      <c r="A44" s="3447" t="s">
        <v>544</v>
      </c>
      <c r="B44" s="3397">
        <f t="shared" ref="B44:G44" si="18">B43+(B14+B34)</f>
        <v>262.95207925400246</v>
      </c>
      <c r="C44" s="3398">
        <f t="shared" si="18"/>
        <v>779.78299999999945</v>
      </c>
      <c r="D44" s="3399">
        <f t="shared" si="18"/>
        <v>847.52999999999793</v>
      </c>
      <c r="E44" s="3399">
        <f t="shared" si="18"/>
        <v>535.43500000000495</v>
      </c>
      <c r="F44" s="3399">
        <f t="shared" si="18"/>
        <v>442.18000000000211</v>
      </c>
      <c r="G44" s="3400">
        <f t="shared" si="18"/>
        <v>750.93400000000111</v>
      </c>
      <c r="H44" s="4775"/>
      <c r="I44" s="4835">
        <f t="shared" si="3"/>
        <v>134.44526326623605</v>
      </c>
      <c r="J44" s="4835">
        <f t="shared" si="4"/>
        <v>398.69671699483058</v>
      </c>
      <c r="K44" s="4835">
        <f t="shared" si="5"/>
        <v>433.33520807023001</v>
      </c>
      <c r="L44" s="4835">
        <f t="shared" si="6"/>
        <v>273.76356840829976</v>
      </c>
      <c r="M44" s="4835">
        <f t="shared" si="7"/>
        <v>226.08304402734498</v>
      </c>
      <c r="N44" s="4835">
        <f t="shared" si="8"/>
        <v>383.94645751420171</v>
      </c>
    </row>
    <row r="45" spans="1:14" ht="13.5" thickBot="1">
      <c r="A45" s="3448" t="s">
        <v>545</v>
      </c>
      <c r="B45" s="414">
        <v>323</v>
      </c>
      <c r="C45" s="403"/>
      <c r="D45" s="3544">
        <f t="shared" ref="D45:F45" si="19">C46</f>
        <v>779.78299999999945</v>
      </c>
      <c r="E45" s="3449">
        <f t="shared" si="19"/>
        <v>1627.3129999999974</v>
      </c>
      <c r="F45" s="3449">
        <f t="shared" si="19"/>
        <v>2162.7480000000023</v>
      </c>
      <c r="G45" s="3450">
        <f>F46</f>
        <v>2604.9280000000044</v>
      </c>
      <c r="H45" s="4775"/>
      <c r="I45" s="4835">
        <f t="shared" si="3"/>
        <v>165.14727762637858</v>
      </c>
      <c r="J45" s="4835">
        <f t="shared" si="4"/>
        <v>0</v>
      </c>
      <c r="K45" s="4835">
        <f t="shared" si="5"/>
        <v>398.69671699483058</v>
      </c>
      <c r="L45" s="4835">
        <f t="shared" si="6"/>
        <v>832.03192506506059</v>
      </c>
      <c r="M45" s="4835">
        <f t="shared" si="7"/>
        <v>1105.7954934733602</v>
      </c>
      <c r="N45" s="4835">
        <f t="shared" si="8"/>
        <v>1331.8785375007053</v>
      </c>
    </row>
    <row r="46" spans="1:14" ht="13.5" thickBot="1">
      <c r="A46" s="3451" t="s">
        <v>546</v>
      </c>
      <c r="B46" s="3452">
        <f>SUM(B44:B45)</f>
        <v>585.95207925400246</v>
      </c>
      <c r="C46" s="3453">
        <f>SUM(C44:C45)</f>
        <v>779.78299999999945</v>
      </c>
      <c r="D46" s="3454">
        <f t="shared" ref="D46:G46" si="20">SUM(D44:D45)</f>
        <v>1627.3129999999974</v>
      </c>
      <c r="E46" s="3454">
        <f t="shared" si="20"/>
        <v>2162.7480000000023</v>
      </c>
      <c r="F46" s="3454">
        <f t="shared" si="20"/>
        <v>2604.9280000000044</v>
      </c>
      <c r="G46" s="3455">
        <f t="shared" si="20"/>
        <v>3355.8620000000055</v>
      </c>
      <c r="H46" s="4775"/>
      <c r="I46" s="4835">
        <f t="shared" si="3"/>
        <v>299.59254089261464</v>
      </c>
      <c r="J46" s="4835">
        <f t="shared" si="4"/>
        <v>398.69671699483058</v>
      </c>
      <c r="K46" s="4835">
        <f t="shared" si="5"/>
        <v>832.03192506506059</v>
      </c>
      <c r="L46" s="4835">
        <f t="shared" si="6"/>
        <v>1105.7954934733602</v>
      </c>
      <c r="M46" s="4835">
        <f t="shared" si="7"/>
        <v>1331.8785375007053</v>
      </c>
      <c r="N46" s="4835">
        <f t="shared" si="8"/>
        <v>1715.824995014907</v>
      </c>
    </row>
    <row r="47" spans="1:14">
      <c r="A47" s="3456"/>
      <c r="B47" s="3456"/>
      <c r="C47" s="3457"/>
      <c r="D47" s="3457"/>
      <c r="E47" s="3457"/>
      <c r="F47" s="3371"/>
      <c r="G47" s="3371"/>
    </row>
    <row r="48" spans="1:14">
      <c r="A48" s="3370"/>
      <c r="B48" s="3370"/>
      <c r="C48" s="3458">
        <f>C18+C39+C40</f>
        <v>0</v>
      </c>
      <c r="D48" s="3458">
        <f>D18+D39+D40</f>
        <v>0</v>
      </c>
      <c r="E48" s="3458">
        <f>E18+E39+E40</f>
        <v>0</v>
      </c>
      <c r="F48" s="3458">
        <f>F18+F39+F40</f>
        <v>0</v>
      </c>
      <c r="G48" s="3458">
        <f>G18+G39+G40</f>
        <v>0</v>
      </c>
      <c r="J48" s="4846">
        <f t="shared" ref="J48" si="21">IFERROR(C48/$B$1,0)</f>
        <v>0</v>
      </c>
      <c r="K48" s="4846">
        <f t="shared" ref="K48" si="22">IFERROR(D48/$B$1,0)</f>
        <v>0</v>
      </c>
      <c r="L48" s="4846">
        <f t="shared" ref="L48" si="23">IFERROR(E48/$B$1,0)</f>
        <v>0</v>
      </c>
      <c r="M48" s="4846">
        <f t="shared" ref="M48" si="24">IFERROR(F48/$B$1,0)</f>
        <v>0</v>
      </c>
      <c r="N48" s="4846">
        <f>IFERROR(G48/$B$1,0)</f>
        <v>0</v>
      </c>
    </row>
    <row r="49" spans="1:7" s="26" customFormat="1">
      <c r="A49" s="3459" t="str">
        <f>'Приложение '!B82</f>
        <v>Дата: 15.04.2026 г.</v>
      </c>
      <c r="B49" s="3422"/>
      <c r="C49" s="3423"/>
      <c r="D49" s="3460"/>
      <c r="E49" s="1696"/>
      <c r="F49" s="1662"/>
      <c r="G49" s="1662"/>
    </row>
    <row r="50" spans="1:7" s="26" customFormat="1">
      <c r="A50" s="1662"/>
      <c r="B50" s="1662"/>
      <c r="C50" s="3159"/>
      <c r="D50" s="3461"/>
      <c r="E50" s="3462"/>
      <c r="F50" s="3426"/>
      <c r="G50" s="1662"/>
    </row>
    <row r="51" spans="1:7" s="26" customFormat="1">
      <c r="A51" s="3427"/>
      <c r="B51" s="3427"/>
      <c r="C51" s="3159"/>
      <c r="D51" s="3461"/>
      <c r="E51" s="3463"/>
      <c r="F51" s="3426"/>
      <c r="G51" s="1662"/>
    </row>
    <row r="52" spans="1:7" s="26" customFormat="1">
      <c r="A52" s="5548" t="s">
        <v>187</v>
      </c>
      <c r="B52" s="5548"/>
      <c r="C52" s="5548"/>
      <c r="D52" s="3429"/>
      <c r="E52" s="3429"/>
      <c r="F52" s="3429"/>
      <c r="G52" s="3429"/>
    </row>
    <row r="53" spans="1:7" s="26" customFormat="1">
      <c r="A53" s="5551" t="s">
        <v>188</v>
      </c>
      <c r="B53" s="5551"/>
      <c r="C53" s="5551"/>
      <c r="D53" s="3429"/>
      <c r="E53" s="3429"/>
      <c r="F53" s="3429"/>
      <c r="G53" s="3429"/>
    </row>
    <row r="54" spans="1:7">
      <c r="A54" s="5552" t="s">
        <v>720</v>
      </c>
      <c r="B54" s="5552"/>
      <c r="C54" s="5552"/>
      <c r="D54" s="3370"/>
      <c r="E54" s="3370"/>
      <c r="F54" s="3371"/>
      <c r="G54" s="3371"/>
    </row>
    <row r="55" spans="1:7">
      <c r="A55" s="5547" t="s">
        <v>1482</v>
      </c>
      <c r="B55" s="5547"/>
      <c r="C55" s="3370"/>
      <c r="D55" s="3370"/>
      <c r="E55" s="3370"/>
      <c r="F55" s="3371"/>
      <c r="G55" s="3371"/>
    </row>
    <row r="56" spans="1:7">
      <c r="A56" s="3370"/>
      <c r="B56" s="3370"/>
      <c r="C56" s="3370"/>
      <c r="D56" s="3370"/>
      <c r="E56" s="3370"/>
      <c r="F56" s="3371"/>
      <c r="G56" s="3371"/>
    </row>
    <row r="57" spans="1:7">
      <c r="A57" s="3370"/>
      <c r="B57" s="3370"/>
      <c r="C57" s="3370"/>
      <c r="D57" s="3370"/>
      <c r="E57" s="3370"/>
      <c r="F57" s="3371"/>
      <c r="G57" s="3371"/>
    </row>
    <row r="58" spans="1:7">
      <c r="A58" s="3370"/>
      <c r="B58" s="3370"/>
      <c r="C58" s="3370"/>
      <c r="D58" s="3370"/>
      <c r="E58" s="3370"/>
      <c r="F58" s="3371"/>
      <c r="G58" s="3371"/>
    </row>
    <row r="59" spans="1:7">
      <c r="A59" s="3370"/>
      <c r="B59" s="3370"/>
      <c r="C59" s="3370"/>
      <c r="D59" s="3370"/>
      <c r="E59" s="3370"/>
      <c r="F59" s="3371"/>
      <c r="G59" s="3371"/>
    </row>
  </sheetData>
  <sheetProtection algorithmName="SHA-512" hashValue="N++N8S0KVO+jAyeGtWPduhkzcu0cPESWtC8PWZ1y6J3CAICU+KZkdzLpjJ9xQz7uOFuv0/8vpIX7XSr/bZN8Sw==" saltValue="1lFoIvOEumjDQm8ntL8QPQ==" spinCount="100000" sheet="1" formatCells="0" formatColumns="0" formatRows="0"/>
  <mergeCells count="9">
    <mergeCell ref="A55:B55"/>
    <mergeCell ref="A52:C52"/>
    <mergeCell ref="A53:C53"/>
    <mergeCell ref="A3:G3"/>
    <mergeCell ref="B1:C1"/>
    <mergeCell ref="A2:G2"/>
    <mergeCell ref="A4:G4"/>
    <mergeCell ref="A5:G5"/>
    <mergeCell ref="A54:C54"/>
  </mergeCells>
  <printOptions horizontalCentered="1"/>
  <pageMargins left="0.70866141732283472" right="7.874015748031496E-2" top="0.74803149606299213" bottom="0.55118110236220474" header="0.31496062992125984" footer="0.31496062992125984"/>
  <pageSetup paperSize="9" scale="88" orientation="portrait" verticalDpi="2"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O70"/>
  <sheetViews>
    <sheetView showGridLines="0" zoomScaleNormal="100" zoomScaleSheetLayoutView="100" workbookViewId="0">
      <pane xSplit="2" ySplit="8" topLeftCell="C36" activePane="bottomRight" state="frozen"/>
      <selection pane="topRight" activeCell="C1" sqref="C1"/>
      <selection pane="bottomLeft" activeCell="A9" sqref="A9"/>
      <selection pane="bottomRight" activeCell="O54" sqref="O54"/>
    </sheetView>
  </sheetViews>
  <sheetFormatPr defaultRowHeight="12.75"/>
  <cols>
    <col min="1" max="1" width="6.42578125" customWidth="1"/>
    <col min="2" max="2" width="54.85546875" bestFit="1" customWidth="1"/>
    <col min="3" max="3" width="10.28515625" style="187" customWidth="1"/>
    <col min="4" max="8" width="8.7109375" style="187" customWidth="1"/>
    <col min="9" max="9" width="3"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15" ht="16.5" thickBot="1">
      <c r="A1" s="5004" t="str">
        <f>+'1. Обща информация'!B40</f>
        <v>Фиксиран курс на лева към 1 евро</v>
      </c>
      <c r="B1" s="5004"/>
      <c r="C1" s="5005">
        <f>+'1. Обща информация'!$C$40</f>
        <v>1.95583</v>
      </c>
      <c r="D1" s="5005"/>
      <c r="E1" s="3465"/>
      <c r="F1" s="3465"/>
      <c r="G1" s="3465"/>
      <c r="H1" s="3343" t="s">
        <v>552</v>
      </c>
    </row>
    <row r="2" spans="1:15" s="4" customFormat="1" ht="18.75">
      <c r="A2" s="5553" t="s">
        <v>1489</v>
      </c>
      <c r="B2" s="5553"/>
      <c r="C2" s="5553"/>
      <c r="D2" s="5553"/>
      <c r="E2" s="5553"/>
      <c r="F2" s="5553"/>
      <c r="G2" s="5553"/>
      <c r="H2" s="5553"/>
    </row>
    <row r="3" spans="1:15" ht="18.75">
      <c r="A3" s="5553" t="s">
        <v>1011</v>
      </c>
      <c r="B3" s="5553"/>
      <c r="C3" s="5553"/>
      <c r="D3" s="5553"/>
      <c r="E3" s="5553"/>
      <c r="F3" s="5553"/>
      <c r="G3" s="5553"/>
      <c r="H3" s="5553"/>
    </row>
    <row r="4" spans="1:15" s="17" customFormat="1" ht="16.5" customHeight="1">
      <c r="A4" s="5562" t="str">
        <f>'1. Обща информация'!A4:D4</f>
        <v>на "ВОДОСНАБДЯВАНЕ И КАНАЛИЗАЦИЯ" ЕООД, гр. БЛАГОЕВГРАД</v>
      </c>
      <c r="B4" s="5562"/>
      <c r="C4" s="5562"/>
      <c r="D4" s="5562"/>
      <c r="E4" s="5562"/>
      <c r="F4" s="5562"/>
      <c r="G4" s="5562"/>
      <c r="H4" s="5562"/>
    </row>
    <row r="5" spans="1:15" s="17" customFormat="1" ht="15.75" customHeight="1">
      <c r="A5" s="5562" t="str">
        <f>'1. Обща информация'!A5:D5</f>
        <v>ЕИК по БУЛСТАТ: 811047831</v>
      </c>
      <c r="B5" s="5562"/>
      <c r="C5" s="5562"/>
      <c r="D5" s="5562"/>
      <c r="E5" s="5562"/>
      <c r="F5" s="5562"/>
      <c r="G5" s="5562"/>
      <c r="H5" s="5562"/>
    </row>
    <row r="6" spans="1:15" ht="13.5" customHeight="1" thickBot="1">
      <c r="A6" s="3466"/>
      <c r="B6" s="3466"/>
      <c r="C6" s="3466"/>
      <c r="D6" s="3467"/>
      <c r="E6" s="3467"/>
      <c r="F6" s="3467"/>
      <c r="G6" s="3467"/>
      <c r="H6" s="3467"/>
    </row>
    <row r="7" spans="1:15" ht="13.5" customHeight="1" thickBot="1">
      <c r="A7" s="5556" t="s">
        <v>1</v>
      </c>
      <c r="B7" s="5558" t="s">
        <v>293</v>
      </c>
      <c r="C7" s="5560" t="s">
        <v>166</v>
      </c>
      <c r="D7" s="5554" t="s">
        <v>210</v>
      </c>
      <c r="E7" s="5554"/>
      <c r="F7" s="5554"/>
      <c r="G7" s="5554"/>
      <c r="H7" s="5555"/>
      <c r="I7" s="4775"/>
      <c r="J7" s="5581" t="s">
        <v>166</v>
      </c>
      <c r="K7" s="5582" t="s">
        <v>210</v>
      </c>
      <c r="L7" s="5582"/>
      <c r="M7" s="5582"/>
      <c r="N7" s="5582"/>
      <c r="O7" s="5582"/>
    </row>
    <row r="8" spans="1:15" ht="13.5" thickBot="1">
      <c r="A8" s="5557"/>
      <c r="B8" s="5559"/>
      <c r="C8" s="5561"/>
      <c r="D8" s="648" t="str">
        <f>'Приложение '!$C14</f>
        <v>2027 г.</v>
      </c>
      <c r="E8" s="266" t="str">
        <f>'Приложение '!$C15</f>
        <v>2028 г.</v>
      </c>
      <c r="F8" s="266" t="str">
        <f>'Приложение '!$C16</f>
        <v>2029 г.</v>
      </c>
      <c r="G8" s="266" t="str">
        <f>'Приложение '!$C17</f>
        <v>2030 г.</v>
      </c>
      <c r="H8" s="267" t="str">
        <f>'Приложение '!$C18</f>
        <v>2031 г.</v>
      </c>
      <c r="I8" s="4775"/>
      <c r="J8" s="5581"/>
      <c r="K8" s="4848" t="str">
        <f>'Приложение '!$C14</f>
        <v>2027 г.</v>
      </c>
      <c r="L8" s="4848" t="str">
        <f>'Приложение '!$C15</f>
        <v>2028 г.</v>
      </c>
      <c r="M8" s="4848" t="str">
        <f>'Приложение '!$C16</f>
        <v>2029 г.</v>
      </c>
      <c r="N8" s="4848" t="str">
        <f>'Приложение '!$C17</f>
        <v>2030 г.</v>
      </c>
      <c r="O8" s="4848" t="str">
        <f>'Приложение '!$C18</f>
        <v>2031 г.</v>
      </c>
    </row>
    <row r="9" spans="1:15" ht="15" customHeight="1" thickBot="1">
      <c r="A9" s="3468">
        <v>1</v>
      </c>
      <c r="B9" s="3469" t="s">
        <v>294</v>
      </c>
      <c r="C9" s="3470" t="s">
        <v>295</v>
      </c>
      <c r="D9" s="3471">
        <f>'19. HB'!D17</f>
        <v>0</v>
      </c>
      <c r="E9" s="3472">
        <f>'19. HB'!E17</f>
        <v>0</v>
      </c>
      <c r="F9" s="3472">
        <f>'19. HB'!F17</f>
        <v>0</v>
      </c>
      <c r="G9" s="3472">
        <f>'19. HB'!G17</f>
        <v>0</v>
      </c>
      <c r="H9" s="3473">
        <f>'19. HB'!H17</f>
        <v>0</v>
      </c>
      <c r="I9" s="4775"/>
      <c r="J9" s="4847" t="s">
        <v>1896</v>
      </c>
      <c r="K9" s="4835">
        <f>IFERROR(D9/$C$1,0)</f>
        <v>0</v>
      </c>
      <c r="L9" s="4835">
        <f t="shared" ref="L9:O9" si="0">IFERROR(E9/$C$1,0)</f>
        <v>0</v>
      </c>
      <c r="M9" s="4835">
        <f t="shared" si="0"/>
        <v>0</v>
      </c>
      <c r="N9" s="4835">
        <f t="shared" si="0"/>
        <v>0</v>
      </c>
      <c r="O9" s="4835">
        <f t="shared" si="0"/>
        <v>0</v>
      </c>
    </row>
    <row r="10" spans="1:15" ht="15" customHeight="1" thickBot="1">
      <c r="A10" s="3474">
        <v>2</v>
      </c>
      <c r="B10" s="3475" t="s">
        <v>296</v>
      </c>
      <c r="C10" s="3476" t="s">
        <v>295</v>
      </c>
      <c r="D10" s="3477">
        <f>'12. Разходи'!D88</f>
        <v>22156.466639545455</v>
      </c>
      <c r="E10" s="3478">
        <f>'12. Разходи'!E88</f>
        <v>23430.092384037474</v>
      </c>
      <c r="F10" s="3478">
        <f>'12. Разходи'!F88</f>
        <v>25595.091866254341</v>
      </c>
      <c r="G10" s="3478">
        <f>'12. Разходи'!G88</f>
        <v>27849.572313905199</v>
      </c>
      <c r="H10" s="3479">
        <f>'12. Разходи'!H88</f>
        <v>30627.520442084118</v>
      </c>
      <c r="I10" s="4775"/>
      <c r="J10" s="4847" t="s">
        <v>1896</v>
      </c>
      <c r="K10" s="4835">
        <f t="shared" ref="K10:K11" si="1">IFERROR(D10/$C$1,0)</f>
        <v>11328.421508794454</v>
      </c>
      <c r="L10" s="4835">
        <f t="shared" ref="L10:L11" si="2">IFERROR(E10/$C$1,0)</f>
        <v>11979.616011635711</v>
      </c>
      <c r="M10" s="4835">
        <f t="shared" ref="M10:M11" si="3">IFERROR(F10/$C$1,0)</f>
        <v>13086.562669687213</v>
      </c>
      <c r="N10" s="4835">
        <f t="shared" ref="N10:N11" si="4">IFERROR(G10/$C$1,0)</f>
        <v>14239.260218886713</v>
      </c>
      <c r="O10" s="4835">
        <f t="shared" ref="O10:O11" si="5">IFERROR(H10/$C$1,0)</f>
        <v>15659.602543208826</v>
      </c>
    </row>
    <row r="11" spans="1:15" ht="15" customHeight="1" thickBot="1">
      <c r="A11" s="3474">
        <v>3</v>
      </c>
      <c r="B11" s="3475" t="s">
        <v>297</v>
      </c>
      <c r="C11" s="3476" t="s">
        <v>295</v>
      </c>
      <c r="D11" s="3480">
        <f t="shared" ref="D11:H11" si="6">D9+D10</f>
        <v>22156.466639545455</v>
      </c>
      <c r="E11" s="3481">
        <f t="shared" si="6"/>
        <v>23430.092384037474</v>
      </c>
      <c r="F11" s="3481">
        <f t="shared" si="6"/>
        <v>25595.091866254341</v>
      </c>
      <c r="G11" s="3481">
        <f t="shared" si="6"/>
        <v>27849.572313905199</v>
      </c>
      <c r="H11" s="3482">
        <f t="shared" si="6"/>
        <v>30627.520442084118</v>
      </c>
      <c r="I11" s="4775"/>
      <c r="J11" s="4847" t="s">
        <v>1896</v>
      </c>
      <c r="K11" s="4835">
        <f t="shared" si="1"/>
        <v>11328.421508794454</v>
      </c>
      <c r="L11" s="4835">
        <f t="shared" si="2"/>
        <v>11979.616011635711</v>
      </c>
      <c r="M11" s="4835">
        <f t="shared" si="3"/>
        <v>13086.562669687213</v>
      </c>
      <c r="N11" s="4835">
        <f t="shared" si="4"/>
        <v>14239.260218886713</v>
      </c>
      <c r="O11" s="4835">
        <f t="shared" si="5"/>
        <v>15659.602543208826</v>
      </c>
    </row>
    <row r="12" spans="1:15" ht="15" customHeight="1" thickBot="1">
      <c r="A12" s="3795">
        <v>4</v>
      </c>
      <c r="B12" s="3475" t="s">
        <v>340</v>
      </c>
      <c r="C12" s="3483" t="s">
        <v>920</v>
      </c>
      <c r="D12" s="3480">
        <f>('4. Отчет и прогн. потребление'!E9-'4. Отчет и прогн. потребление'!E43)/1000</f>
        <v>11354.942999999999</v>
      </c>
      <c r="E12" s="3481">
        <f>('4. Отчет и прогн. потребление'!F9-'4. Отчет и прогн. потребление'!F43)/1000</f>
        <v>11050.084000000001</v>
      </c>
      <c r="F12" s="3481">
        <f>('4. Отчет и прогн. потребление'!G9-'4. Отчет и прогн. потребление'!G43)/1000</f>
        <v>10686.707</v>
      </c>
      <c r="G12" s="3481">
        <f>('4. Отчет и прогн. потребление'!H9-'4. Отчет и прогн. потребление'!H43)/1000</f>
        <v>10364.373</v>
      </c>
      <c r="H12" s="3482">
        <f>('4. Отчет и прогн. потребление'!I9-'4. Отчет и прогн. потребление'!I43)/1000</f>
        <v>10025.138000000001</v>
      </c>
      <c r="I12" s="4775"/>
      <c r="J12" s="4849"/>
      <c r="K12" s="4850"/>
      <c r="L12" s="4850"/>
      <c r="M12" s="4850"/>
      <c r="N12" s="4850"/>
      <c r="O12" s="4850"/>
    </row>
    <row r="13" spans="1:15" ht="15" customHeight="1" thickBot="1">
      <c r="A13" s="5556" t="s">
        <v>1</v>
      </c>
      <c r="B13" s="5558" t="s">
        <v>293</v>
      </c>
      <c r="C13" s="5563" t="s">
        <v>166</v>
      </c>
      <c r="D13" s="5580" t="s">
        <v>174</v>
      </c>
      <c r="E13" s="5554"/>
      <c r="F13" s="5554"/>
      <c r="G13" s="5554"/>
      <c r="H13" s="5555"/>
      <c r="I13" s="4775"/>
      <c r="J13" s="5581" t="s">
        <v>166</v>
      </c>
      <c r="K13" s="5582" t="s">
        <v>174</v>
      </c>
      <c r="L13" s="5582"/>
      <c r="M13" s="5582"/>
      <c r="N13" s="5582"/>
      <c r="O13" s="5582"/>
    </row>
    <row r="14" spans="1:15" ht="15" customHeight="1" thickBot="1">
      <c r="A14" s="5557"/>
      <c r="B14" s="5559"/>
      <c r="C14" s="5564"/>
      <c r="D14" s="268" t="str">
        <f t="shared" ref="D14:H14" si="7">D8</f>
        <v>2027 г.</v>
      </c>
      <c r="E14" s="266" t="str">
        <f t="shared" si="7"/>
        <v>2028 г.</v>
      </c>
      <c r="F14" s="266" t="str">
        <f t="shared" si="7"/>
        <v>2029 г.</v>
      </c>
      <c r="G14" s="266" t="str">
        <f t="shared" si="7"/>
        <v>2030 г.</v>
      </c>
      <c r="H14" s="267" t="str">
        <f t="shared" si="7"/>
        <v>2031 г.</v>
      </c>
      <c r="I14" s="4775"/>
      <c r="J14" s="5581"/>
      <c r="K14" s="4848" t="str">
        <f t="shared" ref="K14:O14" si="8">K8</f>
        <v>2027 г.</v>
      </c>
      <c r="L14" s="4848" t="str">
        <f t="shared" si="8"/>
        <v>2028 г.</v>
      </c>
      <c r="M14" s="4848" t="str">
        <f t="shared" si="8"/>
        <v>2029 г.</v>
      </c>
      <c r="N14" s="4848" t="str">
        <f t="shared" si="8"/>
        <v>2030 г.</v>
      </c>
      <c r="O14" s="4848" t="str">
        <f t="shared" si="8"/>
        <v>2031 г.</v>
      </c>
    </row>
    <row r="15" spans="1:15" ht="15" customHeight="1" thickBot="1">
      <c r="A15" s="3468">
        <v>1</v>
      </c>
      <c r="B15" s="3469" t="s">
        <v>294</v>
      </c>
      <c r="C15" s="3470" t="s">
        <v>295</v>
      </c>
      <c r="D15" s="3472">
        <f>'19. HB'!D18</f>
        <v>0</v>
      </c>
      <c r="E15" s="3484">
        <f>'19. HB'!E18</f>
        <v>0</v>
      </c>
      <c r="F15" s="3484">
        <f>'19. HB'!F18</f>
        <v>0</v>
      </c>
      <c r="G15" s="3484">
        <f>'19. HB'!G18</f>
        <v>0</v>
      </c>
      <c r="H15" s="3485">
        <f>'19. HB'!H18</f>
        <v>0</v>
      </c>
      <c r="I15" s="4775"/>
      <c r="J15" s="4847" t="s">
        <v>1896</v>
      </c>
      <c r="K15" s="4835">
        <f t="shared" ref="K15:K17" si="9">IFERROR(D15/$C$1,0)</f>
        <v>0</v>
      </c>
      <c r="L15" s="4835">
        <f t="shared" ref="L15:L17" si="10">IFERROR(E15/$C$1,0)</f>
        <v>0</v>
      </c>
      <c r="M15" s="4835">
        <f t="shared" ref="M15:M17" si="11">IFERROR(F15/$C$1,0)</f>
        <v>0</v>
      </c>
      <c r="N15" s="4835">
        <f t="shared" ref="N15:N17" si="12">IFERROR(G15/$C$1,0)</f>
        <v>0</v>
      </c>
      <c r="O15" s="4835">
        <f t="shared" ref="O15:O17" si="13">IFERROR(H15/$C$1,0)</f>
        <v>0</v>
      </c>
    </row>
    <row r="16" spans="1:15" ht="15" customHeight="1" thickBot="1">
      <c r="A16" s="3474">
        <v>2</v>
      </c>
      <c r="B16" s="3475" t="s">
        <v>296</v>
      </c>
      <c r="C16" s="3476" t="s">
        <v>295</v>
      </c>
      <c r="D16" s="3478">
        <f>'12. Разходи'!L88</f>
        <v>4588.6138721515154</v>
      </c>
      <c r="E16" s="3478">
        <f>'12. Разходи'!M88</f>
        <v>5103.4681943917276</v>
      </c>
      <c r="F16" s="3478">
        <f>'12. Разходи'!N88</f>
        <v>5587.3575089769711</v>
      </c>
      <c r="G16" s="3478">
        <f>'12. Разходи'!O88</f>
        <v>6209.127665819894</v>
      </c>
      <c r="H16" s="3479">
        <f>'12. Разходи'!P88</f>
        <v>6941.5319216574462</v>
      </c>
      <c r="I16" s="4775"/>
      <c r="J16" s="4847" t="s">
        <v>1896</v>
      </c>
      <c r="K16" s="4835">
        <f t="shared" si="9"/>
        <v>2346.1210187754127</v>
      </c>
      <c r="L16" s="4835">
        <f t="shared" si="10"/>
        <v>2609.3618537356151</v>
      </c>
      <c r="M16" s="4835">
        <f t="shared" si="11"/>
        <v>2856.7705316806528</v>
      </c>
      <c r="N16" s="4835">
        <f t="shared" si="12"/>
        <v>3174.6765648445389</v>
      </c>
      <c r="O16" s="4835">
        <f t="shared" si="13"/>
        <v>3549.1489146078375</v>
      </c>
    </row>
    <row r="17" spans="1:15" ht="15" customHeight="1" thickBot="1">
      <c r="A17" s="3474">
        <v>3</v>
      </c>
      <c r="B17" s="3475" t="s">
        <v>297</v>
      </c>
      <c r="C17" s="3476" t="s">
        <v>295</v>
      </c>
      <c r="D17" s="3480">
        <f t="shared" ref="D17:H17" si="14">D15+D16</f>
        <v>4588.6138721515154</v>
      </c>
      <c r="E17" s="3481">
        <f t="shared" si="14"/>
        <v>5103.4681943917276</v>
      </c>
      <c r="F17" s="3481">
        <f t="shared" si="14"/>
        <v>5587.3575089769711</v>
      </c>
      <c r="G17" s="3481">
        <f t="shared" si="14"/>
        <v>6209.127665819894</v>
      </c>
      <c r="H17" s="3482">
        <f t="shared" si="14"/>
        <v>6941.5319216574462</v>
      </c>
      <c r="I17" s="4775"/>
      <c r="J17" s="4847" t="s">
        <v>1896</v>
      </c>
      <c r="K17" s="4835">
        <f t="shared" si="9"/>
        <v>2346.1210187754127</v>
      </c>
      <c r="L17" s="4835">
        <f t="shared" si="10"/>
        <v>2609.3618537356151</v>
      </c>
      <c r="M17" s="4835">
        <f t="shared" si="11"/>
        <v>2856.7705316806528</v>
      </c>
      <c r="N17" s="4835">
        <f t="shared" si="12"/>
        <v>3174.6765648445389</v>
      </c>
      <c r="O17" s="4835">
        <f t="shared" si="13"/>
        <v>3549.1489146078375</v>
      </c>
    </row>
    <row r="18" spans="1:15" ht="15" customHeight="1">
      <c r="A18" s="108">
        <v>4</v>
      </c>
      <c r="B18" s="3486" t="s">
        <v>298</v>
      </c>
      <c r="C18" s="3487" t="s">
        <v>920</v>
      </c>
      <c r="D18" s="3488">
        <f>D19+D20</f>
        <v>9547.2949999999983</v>
      </c>
      <c r="E18" s="3489">
        <f>E19+E20</f>
        <v>9248.3776917719861</v>
      </c>
      <c r="F18" s="3489">
        <f>F19+F20</f>
        <v>8958.8631215095666</v>
      </c>
      <c r="G18" s="3489">
        <f>G19+G20</f>
        <v>8678.455362442337</v>
      </c>
      <c r="H18" s="3490">
        <f>H19+H20</f>
        <v>8388.4837760139344</v>
      </c>
      <c r="I18" s="4775"/>
      <c r="J18" s="4851"/>
      <c r="K18" s="4852"/>
      <c r="L18" s="4852"/>
      <c r="M18" s="4852"/>
      <c r="N18" s="4852"/>
      <c r="O18" s="4852"/>
    </row>
    <row r="19" spans="1:15" ht="15" customHeight="1">
      <c r="A19" s="109" t="s">
        <v>101</v>
      </c>
      <c r="B19" s="3491" t="s">
        <v>299</v>
      </c>
      <c r="C19" s="3487" t="s">
        <v>920</v>
      </c>
      <c r="D19" s="3488">
        <f>'4. Отчет и прогн. потребление'!E50/1000</f>
        <v>8846.8833333333314</v>
      </c>
      <c r="E19" s="3489">
        <f>'4. Отчет и прогн. потребление'!F50/1000</f>
        <v>8557.8276917719868</v>
      </c>
      <c r="F19" s="3489">
        <f>'4. Отчет и прогн. потребление'!G50/1000</f>
        <v>8278.1781215095671</v>
      </c>
      <c r="G19" s="3489">
        <f>'4. Отчет и прогн. потребление'!H50/1000</f>
        <v>8007.6353624423364</v>
      </c>
      <c r="H19" s="3490">
        <f>'4. Отчет и прогн. потребление'!I50/1000</f>
        <v>7727.5287760139336</v>
      </c>
      <c r="I19" s="4775"/>
      <c r="J19" s="4853"/>
      <c r="K19" s="4854"/>
      <c r="L19" s="4854"/>
      <c r="M19" s="4854"/>
      <c r="N19" s="4854"/>
      <c r="O19" s="4854"/>
    </row>
    <row r="20" spans="1:15" ht="24.75" thickBot="1">
      <c r="A20" s="109" t="s">
        <v>102</v>
      </c>
      <c r="B20" s="3492" t="s">
        <v>300</v>
      </c>
      <c r="C20" s="3487" t="s">
        <v>920</v>
      </c>
      <c r="D20" s="3493">
        <f>'4. Отчет и прогн. потребление'!E51/1000</f>
        <v>700.41166666666663</v>
      </c>
      <c r="E20" s="3494">
        <f>'4. Отчет и прогн. потребление'!F51/1000</f>
        <v>690.55</v>
      </c>
      <c r="F20" s="3494">
        <f>'4. Отчет и прогн. потребление'!G51/1000</f>
        <v>680.68499999999995</v>
      </c>
      <c r="G20" s="3494">
        <f>'4. Отчет и прогн. потребление'!H51/1000</f>
        <v>670.82</v>
      </c>
      <c r="H20" s="3495">
        <f>'4. Отчет и прогн. потребление'!I51/1000</f>
        <v>660.95500000000004</v>
      </c>
      <c r="I20" s="4775"/>
      <c r="J20" s="4855"/>
      <c r="K20" s="4856"/>
      <c r="L20" s="4856"/>
      <c r="M20" s="4856"/>
      <c r="N20" s="4856"/>
      <c r="O20" s="4856"/>
    </row>
    <row r="21" spans="1:15" ht="15" customHeight="1" thickBot="1">
      <c r="A21" s="5556" t="s">
        <v>1</v>
      </c>
      <c r="B21" s="5558" t="s">
        <v>293</v>
      </c>
      <c r="C21" s="5560" t="s">
        <v>166</v>
      </c>
      <c r="D21" s="5580" t="s">
        <v>184</v>
      </c>
      <c r="E21" s="5554"/>
      <c r="F21" s="5554"/>
      <c r="G21" s="5554"/>
      <c r="H21" s="5555"/>
      <c r="I21" s="4775"/>
      <c r="J21" s="5581" t="s">
        <v>166</v>
      </c>
      <c r="K21" s="5582" t="s">
        <v>184</v>
      </c>
      <c r="L21" s="5582"/>
      <c r="M21" s="5582"/>
      <c r="N21" s="5582"/>
      <c r="O21" s="5582"/>
    </row>
    <row r="22" spans="1:15" ht="15" customHeight="1" thickBot="1">
      <c r="A22" s="5557"/>
      <c r="B22" s="5559"/>
      <c r="C22" s="5561"/>
      <c r="D22" s="268" t="str">
        <f t="shared" ref="D22:H22" si="15">D14</f>
        <v>2027 г.</v>
      </c>
      <c r="E22" s="266" t="str">
        <f t="shared" si="15"/>
        <v>2028 г.</v>
      </c>
      <c r="F22" s="266" t="str">
        <f t="shared" si="15"/>
        <v>2029 г.</v>
      </c>
      <c r="G22" s="266" t="str">
        <f t="shared" si="15"/>
        <v>2030 г.</v>
      </c>
      <c r="H22" s="267" t="str">
        <f t="shared" si="15"/>
        <v>2031 г.</v>
      </c>
      <c r="I22" s="4775"/>
      <c r="J22" s="5581"/>
      <c r="K22" s="4848" t="str">
        <f t="shared" ref="K22:O22" si="16">K14</f>
        <v>2027 г.</v>
      </c>
      <c r="L22" s="4848" t="str">
        <f t="shared" si="16"/>
        <v>2028 г.</v>
      </c>
      <c r="M22" s="4848" t="str">
        <f t="shared" si="16"/>
        <v>2029 г.</v>
      </c>
      <c r="N22" s="4848" t="str">
        <f t="shared" si="16"/>
        <v>2030 г.</v>
      </c>
      <c r="O22" s="4848" t="str">
        <f t="shared" si="16"/>
        <v>2031 г.</v>
      </c>
    </row>
    <row r="23" spans="1:15" ht="15" customHeight="1" thickBot="1">
      <c r="A23" s="3468">
        <v>1</v>
      </c>
      <c r="B23" s="3469" t="s">
        <v>294</v>
      </c>
      <c r="C23" s="3470" t="s">
        <v>295</v>
      </c>
      <c r="D23" s="3484">
        <f>'19. HB'!D19</f>
        <v>0</v>
      </c>
      <c r="E23" s="3484">
        <f>'19. HB'!E19</f>
        <v>0</v>
      </c>
      <c r="F23" s="3484">
        <f>'19. HB'!F19</f>
        <v>0</v>
      </c>
      <c r="G23" s="3484">
        <f>'19. HB'!G19</f>
        <v>0</v>
      </c>
      <c r="H23" s="3485">
        <f>'19. HB'!H19</f>
        <v>0</v>
      </c>
      <c r="I23" s="4775"/>
      <c r="J23" s="4847" t="s">
        <v>1896</v>
      </c>
      <c r="K23" s="4835">
        <f t="shared" ref="K23:K25" si="17">IFERROR(D23/$C$1,0)</f>
        <v>0</v>
      </c>
      <c r="L23" s="4835">
        <f t="shared" ref="L23:L25" si="18">IFERROR(E23/$C$1,0)</f>
        <v>0</v>
      </c>
      <c r="M23" s="4835">
        <f t="shared" ref="M23:M25" si="19">IFERROR(F23/$C$1,0)</f>
        <v>0</v>
      </c>
      <c r="N23" s="4835">
        <f t="shared" ref="N23:N25" si="20">IFERROR(G23/$C$1,0)</f>
        <v>0</v>
      </c>
      <c r="O23" s="4835">
        <f t="shared" ref="O23:O25" si="21">IFERROR(H23/$C$1,0)</f>
        <v>0</v>
      </c>
    </row>
    <row r="24" spans="1:15" ht="15" customHeight="1" thickBot="1">
      <c r="A24" s="3474">
        <v>2</v>
      </c>
      <c r="B24" s="3475" t="s">
        <v>296</v>
      </c>
      <c r="C24" s="3476" t="s">
        <v>295</v>
      </c>
      <c r="D24" s="3478">
        <f>'12. Разходи'!T88</f>
        <v>4871.80052630303</v>
      </c>
      <c r="E24" s="3478">
        <f>'12. Разходи'!U88</f>
        <v>5214.8105035707977</v>
      </c>
      <c r="F24" s="3478">
        <f>'12. Разходи'!V88</f>
        <v>5689.3799903686886</v>
      </c>
      <c r="G24" s="3478">
        <f>'12. Разходи'!W88</f>
        <v>6242.9360358749091</v>
      </c>
      <c r="H24" s="3479">
        <f>'12. Разходи'!X88</f>
        <v>6881.7318618584377</v>
      </c>
      <c r="I24" s="4775"/>
      <c r="J24" s="4847" t="s">
        <v>1896</v>
      </c>
      <c r="K24" s="4835">
        <f t="shared" si="17"/>
        <v>2490.9120559062035</v>
      </c>
      <c r="L24" s="4835">
        <f t="shared" si="18"/>
        <v>2666.2902724525125</v>
      </c>
      <c r="M24" s="4835">
        <f t="shared" si="19"/>
        <v>2908.93379811573</v>
      </c>
      <c r="N24" s="4835">
        <f t="shared" si="20"/>
        <v>3191.9625099701452</v>
      </c>
      <c r="O24" s="4835">
        <f t="shared" si="21"/>
        <v>3518.5736295375559</v>
      </c>
    </row>
    <row r="25" spans="1:15" ht="15" customHeight="1" thickBot="1">
      <c r="A25" s="3474">
        <v>3</v>
      </c>
      <c r="B25" s="3475" t="s">
        <v>297</v>
      </c>
      <c r="C25" s="3476" t="s">
        <v>295</v>
      </c>
      <c r="D25" s="3481">
        <f t="shared" ref="D25:H25" si="22">D23+D24</f>
        <v>4871.80052630303</v>
      </c>
      <c r="E25" s="3481">
        <f t="shared" si="22"/>
        <v>5214.8105035707977</v>
      </c>
      <c r="F25" s="3481">
        <f t="shared" si="22"/>
        <v>5689.3799903686886</v>
      </c>
      <c r="G25" s="3481">
        <f t="shared" si="22"/>
        <v>6242.9360358749091</v>
      </c>
      <c r="H25" s="3482">
        <f t="shared" si="22"/>
        <v>6881.7318618584377</v>
      </c>
      <c r="I25" s="4775"/>
      <c r="J25" s="4847" t="s">
        <v>1896</v>
      </c>
      <c r="K25" s="4835">
        <f t="shared" si="17"/>
        <v>2490.9120559062035</v>
      </c>
      <c r="L25" s="4835">
        <f t="shared" si="18"/>
        <v>2666.2902724525125</v>
      </c>
      <c r="M25" s="4835">
        <f t="shared" si="19"/>
        <v>2908.93379811573</v>
      </c>
      <c r="N25" s="4835">
        <f t="shared" si="20"/>
        <v>3191.9625099701452</v>
      </c>
      <c r="O25" s="4835">
        <f t="shared" si="21"/>
        <v>3518.5736295375559</v>
      </c>
    </row>
    <row r="26" spans="1:15" ht="15" customHeight="1">
      <c r="A26" s="108">
        <v>4</v>
      </c>
      <c r="B26" s="3486" t="s">
        <v>298</v>
      </c>
      <c r="C26" s="3487" t="s">
        <v>920</v>
      </c>
      <c r="D26" s="3489">
        <f t="shared" ref="D26:H26" si="23">D27+D28</f>
        <v>5338.934666666667</v>
      </c>
      <c r="E26" s="3489">
        <f t="shared" si="23"/>
        <v>5182.6601569519244</v>
      </c>
      <c r="F26" s="3489">
        <f t="shared" si="23"/>
        <v>5030.6792791940952</v>
      </c>
      <c r="G26" s="3489">
        <f t="shared" si="23"/>
        <v>4890.3136719728709</v>
      </c>
      <c r="H26" s="3490">
        <f t="shared" si="23"/>
        <v>3569.2904117295029</v>
      </c>
      <c r="I26" s="4775"/>
      <c r="J26" s="4853"/>
      <c r="K26" s="4854"/>
      <c r="L26" s="4854"/>
      <c r="M26" s="4854"/>
      <c r="N26" s="4854"/>
      <c r="O26" s="4854"/>
    </row>
    <row r="27" spans="1:15" ht="15" customHeight="1">
      <c r="A27" s="109" t="s">
        <v>101</v>
      </c>
      <c r="B27" s="3491" t="s">
        <v>299</v>
      </c>
      <c r="C27" s="3487" t="s">
        <v>920</v>
      </c>
      <c r="D27" s="3489">
        <f>'4. Отчет и прогн. потребление'!E55/1000</f>
        <v>4955.7053333333333</v>
      </c>
      <c r="E27" s="3489">
        <f>'4. Отчет и прогн. потребление'!F55/1000</f>
        <v>4811.7101569519245</v>
      </c>
      <c r="F27" s="3489">
        <f>'4. Отчет и прогн. потребление'!G55/1000</f>
        <v>4672.0942791940952</v>
      </c>
      <c r="G27" s="3489">
        <f>'4. Отчет и прогн. потребление'!H55/1000</f>
        <v>4536.6746719728708</v>
      </c>
      <c r="H27" s="3490">
        <f>'4. Отчет и прогн. потребление'!I55/1000</f>
        <v>3220.5974117295032</v>
      </c>
      <c r="I27" s="4775"/>
      <c r="J27" s="4853"/>
      <c r="K27" s="4854"/>
      <c r="L27" s="4854"/>
      <c r="M27" s="4854"/>
      <c r="N27" s="4854"/>
      <c r="O27" s="4854"/>
    </row>
    <row r="28" spans="1:15" ht="24">
      <c r="A28" s="109" t="s">
        <v>102</v>
      </c>
      <c r="B28" s="3492" t="s">
        <v>300</v>
      </c>
      <c r="C28" s="3487" t="s">
        <v>920</v>
      </c>
      <c r="D28" s="1485">
        <f>'4. Отчет и прогн. потребление'!E56/1000</f>
        <v>383.22933333333333</v>
      </c>
      <c r="E28" s="1485">
        <f>'4. Отчет и прогн. потребление'!F56/1000</f>
        <v>370.95</v>
      </c>
      <c r="F28" s="1485">
        <f>'4. Отчет и прогн. потребление'!G56/1000</f>
        <v>358.58499999999998</v>
      </c>
      <c r="G28" s="1485">
        <f>'4. Отчет и прогн. потребление'!H56/1000</f>
        <v>353.63900000000001</v>
      </c>
      <c r="H28" s="1486">
        <f>'4. Отчет и прогн. потребление'!I56/1000</f>
        <v>348.69299999999998</v>
      </c>
      <c r="I28" s="4775"/>
      <c r="J28" s="4853"/>
      <c r="K28" s="4854"/>
      <c r="L28" s="4854"/>
      <c r="M28" s="4854"/>
      <c r="N28" s="4854"/>
      <c r="O28" s="4854"/>
    </row>
    <row r="29" spans="1:15" ht="15" customHeight="1">
      <c r="A29" s="109" t="s">
        <v>1275</v>
      </c>
      <c r="B29" s="3496" t="s">
        <v>997</v>
      </c>
      <c r="C29" s="3487" t="s">
        <v>920</v>
      </c>
      <c r="D29" s="3497">
        <f>'4. Отчет и прогн. потребление'!E58/1000</f>
        <v>208.59</v>
      </c>
      <c r="E29" s="3497">
        <f>'4. Отчет и прогн. потребление'!F58/1000</f>
        <v>201.91</v>
      </c>
      <c r="F29" s="3497">
        <f>'4. Отчет и прогн. потребление'!G58/1000</f>
        <v>195.18</v>
      </c>
      <c r="G29" s="3497">
        <f>'4. Отчет и прогн. потребление'!H58/1000</f>
        <v>192.48500000000001</v>
      </c>
      <c r="H29" s="3498">
        <f>'4. Отчет и прогн. потребление'!I58/1000</f>
        <v>189.79499999999999</v>
      </c>
      <c r="I29" s="4775"/>
      <c r="J29" s="4853"/>
      <c r="K29" s="4854"/>
      <c r="L29" s="4854"/>
      <c r="M29" s="4854"/>
      <c r="N29" s="4854"/>
      <c r="O29" s="4854"/>
    </row>
    <row r="30" spans="1:15" ht="15" customHeight="1">
      <c r="A30" s="109" t="s">
        <v>1276</v>
      </c>
      <c r="B30" s="3496" t="s">
        <v>998</v>
      </c>
      <c r="C30" s="3487" t="s">
        <v>920</v>
      </c>
      <c r="D30" s="3497">
        <f>'4. Отчет и прогн. потребление'!E59/1000</f>
        <v>29.738</v>
      </c>
      <c r="E30" s="3497">
        <f>'4. Отчет и прогн. потребление'!F59/1000</f>
        <v>28.785</v>
      </c>
      <c r="F30" s="3497">
        <f>'4. Отчет и прогн. потребление'!G59/1000</f>
        <v>27.826000000000001</v>
      </c>
      <c r="G30" s="3497">
        <f>'4. Отчет и прогн. потребление'!H59/1000</f>
        <v>27.445</v>
      </c>
      <c r="H30" s="3498">
        <f>'4. Отчет и прогн. потребление'!I59/1000</f>
        <v>27.06</v>
      </c>
      <c r="I30" s="4775"/>
      <c r="J30" s="4853"/>
      <c r="K30" s="4854"/>
      <c r="L30" s="4854"/>
      <c r="M30" s="4854"/>
      <c r="N30" s="4854"/>
      <c r="O30" s="4854"/>
    </row>
    <row r="31" spans="1:15" ht="15" customHeight="1" thickBot="1">
      <c r="A31" s="110" t="s">
        <v>1277</v>
      </c>
      <c r="B31" s="3499" t="s">
        <v>999</v>
      </c>
      <c r="C31" s="3483" t="s">
        <v>920</v>
      </c>
      <c r="D31" s="3500">
        <f>'4. Отчет и прогн. потребление'!E60/1000</f>
        <v>144.90100000000001</v>
      </c>
      <c r="E31" s="3500">
        <f>'4. Отчет и прогн. потребление'!F60/1000</f>
        <v>140.255</v>
      </c>
      <c r="F31" s="3500">
        <f>'4. Отчет и прогн. потребление'!G60/1000</f>
        <v>135.57900000000001</v>
      </c>
      <c r="G31" s="3500">
        <f>'4. Отчет и прогн. потребление'!H60/1000</f>
        <v>133.709</v>
      </c>
      <c r="H31" s="3501">
        <f>'4. Отчет и прогн. потребление'!I60/1000</f>
        <v>131.83799999999999</v>
      </c>
      <c r="I31" s="4775"/>
      <c r="J31" s="4853"/>
      <c r="K31" s="4854"/>
      <c r="L31" s="4854"/>
      <c r="M31" s="4854"/>
      <c r="N31" s="4854"/>
      <c r="O31" s="4854"/>
    </row>
    <row r="32" spans="1:15" s="11" customFormat="1" ht="15" customHeight="1" thickBot="1">
      <c r="A32" s="5556" t="s">
        <v>1</v>
      </c>
      <c r="B32" s="5558" t="s">
        <v>293</v>
      </c>
      <c r="C32" s="5560" t="s">
        <v>166</v>
      </c>
      <c r="D32" s="5580" t="s">
        <v>1236</v>
      </c>
      <c r="E32" s="5554"/>
      <c r="F32" s="5554"/>
      <c r="G32" s="5554"/>
      <c r="H32" s="5555"/>
      <c r="I32" s="4775"/>
      <c r="J32" s="5581" t="s">
        <v>166</v>
      </c>
      <c r="K32" s="5582" t="s">
        <v>1236</v>
      </c>
      <c r="L32" s="5582"/>
      <c r="M32" s="5582"/>
      <c r="N32" s="5582"/>
      <c r="O32" s="5582"/>
    </row>
    <row r="33" spans="1:15" s="11" customFormat="1" ht="15" customHeight="1" thickBot="1">
      <c r="A33" s="5557"/>
      <c r="B33" s="5559"/>
      <c r="C33" s="5561"/>
      <c r="D33" s="287" t="str">
        <f t="shared" ref="D33:H33" si="24">D22</f>
        <v>2027 г.</v>
      </c>
      <c r="E33" s="287" t="str">
        <f t="shared" si="24"/>
        <v>2028 г.</v>
      </c>
      <c r="F33" s="287" t="str">
        <f t="shared" si="24"/>
        <v>2029 г.</v>
      </c>
      <c r="G33" s="287" t="str">
        <f t="shared" si="24"/>
        <v>2030 г.</v>
      </c>
      <c r="H33" s="288" t="str">
        <f t="shared" si="24"/>
        <v>2031 г.</v>
      </c>
      <c r="I33" s="4775"/>
      <c r="J33" s="5581"/>
      <c r="K33" s="4848" t="str">
        <f t="shared" ref="K33:O33" si="25">K22</f>
        <v>2027 г.</v>
      </c>
      <c r="L33" s="4848" t="str">
        <f t="shared" si="25"/>
        <v>2028 г.</v>
      </c>
      <c r="M33" s="4848" t="str">
        <f t="shared" si="25"/>
        <v>2029 г.</v>
      </c>
      <c r="N33" s="4848" t="str">
        <f t="shared" si="25"/>
        <v>2030 г.</v>
      </c>
      <c r="O33" s="4848" t="str">
        <f t="shared" si="25"/>
        <v>2031 г.</v>
      </c>
    </row>
    <row r="34" spans="1:15" s="11" customFormat="1" ht="15" customHeight="1" thickBot="1">
      <c r="A34" s="3468">
        <v>1</v>
      </c>
      <c r="B34" s="3469" t="s">
        <v>294</v>
      </c>
      <c r="C34" s="3470" t="s">
        <v>295</v>
      </c>
      <c r="D34" s="3471">
        <f>'19. HB'!D20</f>
        <v>0</v>
      </c>
      <c r="E34" s="3471">
        <f>'19. HB'!E20</f>
        <v>0</v>
      </c>
      <c r="F34" s="3471">
        <f>'19. HB'!F20</f>
        <v>0</v>
      </c>
      <c r="G34" s="3471">
        <f>'19. HB'!G20</f>
        <v>0</v>
      </c>
      <c r="H34" s="3471">
        <f>'19. HB'!H20</f>
        <v>0</v>
      </c>
      <c r="I34" s="4775"/>
      <c r="J34" s="4847" t="s">
        <v>1896</v>
      </c>
      <c r="K34" s="4835">
        <f t="shared" ref="K34:K36" si="26">IFERROR(D34/$C$1,0)</f>
        <v>0</v>
      </c>
      <c r="L34" s="4835">
        <f t="shared" ref="L34:L36" si="27">IFERROR(E34/$C$1,0)</f>
        <v>0</v>
      </c>
      <c r="M34" s="4835">
        <f t="shared" ref="M34:M36" si="28">IFERROR(F34/$C$1,0)</f>
        <v>0</v>
      </c>
      <c r="N34" s="4835">
        <f t="shared" ref="N34:N36" si="29">IFERROR(G34/$C$1,0)</f>
        <v>0</v>
      </c>
      <c r="O34" s="4835">
        <f t="shared" ref="O34:O36" si="30">IFERROR(H34/$C$1,0)</f>
        <v>0</v>
      </c>
    </row>
    <row r="35" spans="1:15" s="11" customFormat="1" ht="15" customHeight="1" thickBot="1">
      <c r="A35" s="3474">
        <v>2</v>
      </c>
      <c r="B35" s="3475" t="s">
        <v>296</v>
      </c>
      <c r="C35" s="3476" t="s">
        <v>295</v>
      </c>
      <c r="D35" s="3502">
        <f>'12. Разходи'!AB88</f>
        <v>0</v>
      </c>
      <c r="E35" s="3503">
        <f>'12. Разходи'!AC88</f>
        <v>0</v>
      </c>
      <c r="F35" s="3503">
        <f>'12. Разходи'!AD88</f>
        <v>0</v>
      </c>
      <c r="G35" s="3503">
        <f>'12. Разходи'!AE88</f>
        <v>0</v>
      </c>
      <c r="H35" s="3504">
        <f>'12. Разходи'!AF88</f>
        <v>0</v>
      </c>
      <c r="I35" s="4775"/>
      <c r="J35" s="4847" t="s">
        <v>1896</v>
      </c>
      <c r="K35" s="4835">
        <f t="shared" si="26"/>
        <v>0</v>
      </c>
      <c r="L35" s="4835">
        <f t="shared" si="27"/>
        <v>0</v>
      </c>
      <c r="M35" s="4835">
        <f t="shared" si="28"/>
        <v>0</v>
      </c>
      <c r="N35" s="4835">
        <f t="shared" si="29"/>
        <v>0</v>
      </c>
      <c r="O35" s="4835">
        <f t="shared" si="30"/>
        <v>0</v>
      </c>
    </row>
    <row r="36" spans="1:15" s="11" customFormat="1" ht="15" customHeight="1" thickBot="1">
      <c r="A36" s="3474">
        <v>3</v>
      </c>
      <c r="B36" s="3475" t="s">
        <v>297</v>
      </c>
      <c r="C36" s="3476" t="s">
        <v>295</v>
      </c>
      <c r="D36" s="2091">
        <f t="shared" ref="D36:H36" si="31">D34+D35</f>
        <v>0</v>
      </c>
      <c r="E36" s="2091">
        <f t="shared" si="31"/>
        <v>0</v>
      </c>
      <c r="F36" s="2091">
        <f t="shared" si="31"/>
        <v>0</v>
      </c>
      <c r="G36" s="2091">
        <f t="shared" si="31"/>
        <v>0</v>
      </c>
      <c r="H36" s="3505">
        <f t="shared" si="31"/>
        <v>0</v>
      </c>
      <c r="I36" s="4775"/>
      <c r="J36" s="4847" t="s">
        <v>1896</v>
      </c>
      <c r="K36" s="4835">
        <f t="shared" si="26"/>
        <v>0</v>
      </c>
      <c r="L36" s="4835">
        <f t="shared" si="27"/>
        <v>0</v>
      </c>
      <c r="M36" s="4835">
        <f t="shared" si="28"/>
        <v>0</v>
      </c>
      <c r="N36" s="4835">
        <f t="shared" si="29"/>
        <v>0</v>
      </c>
      <c r="O36" s="4835">
        <f t="shared" si="30"/>
        <v>0</v>
      </c>
    </row>
    <row r="37" spans="1:15" s="11" customFormat="1" ht="15" customHeight="1" thickBot="1">
      <c r="A37" s="3795">
        <v>4</v>
      </c>
      <c r="B37" s="3475" t="s">
        <v>340</v>
      </c>
      <c r="C37" s="3487" t="s">
        <v>920</v>
      </c>
      <c r="D37" s="2091">
        <f>('4. Отчет и прогн. потребление'!E62-'4. Отчет и прогн. потребление'!E88)/1000</f>
        <v>0</v>
      </c>
      <c r="E37" s="2091">
        <f>('4. Отчет и прогн. потребление'!F62-'4. Отчет и прогн. потребление'!F88)/1000</f>
        <v>0</v>
      </c>
      <c r="F37" s="2091">
        <f>('4. Отчет и прогн. потребление'!G62-'4. Отчет и прогн. потребление'!G88)/1000</f>
        <v>0</v>
      </c>
      <c r="G37" s="2091">
        <f>('4. Отчет и прогн. потребление'!H62-'4. Отчет и прогн. потребление'!H88)/1000</f>
        <v>0</v>
      </c>
      <c r="H37" s="3505">
        <f>('4. Отчет и прогн. потребление'!I62-'4. Отчет и прогн. потребление'!I88)/1000</f>
        <v>0</v>
      </c>
      <c r="I37" s="4775"/>
      <c r="J37" s="4853"/>
      <c r="K37" s="4854"/>
      <c r="L37" s="4854"/>
      <c r="M37" s="4854"/>
      <c r="N37" s="4854"/>
      <c r="O37" s="4854"/>
    </row>
    <row r="38" spans="1:15" s="11" customFormat="1" ht="15" customHeight="1" thickBot="1">
      <c r="A38" s="5556" t="s">
        <v>1</v>
      </c>
      <c r="B38" s="5558" t="s">
        <v>293</v>
      </c>
      <c r="C38" s="5560" t="s">
        <v>166</v>
      </c>
      <c r="D38" s="5580" t="s">
        <v>1237</v>
      </c>
      <c r="E38" s="5554"/>
      <c r="F38" s="5554"/>
      <c r="G38" s="5554"/>
      <c r="H38" s="5555"/>
      <c r="I38" s="4775"/>
      <c r="J38" s="5581" t="s">
        <v>166</v>
      </c>
      <c r="K38" s="5582" t="s">
        <v>1237</v>
      </c>
      <c r="L38" s="5582"/>
      <c r="M38" s="5582"/>
      <c r="N38" s="5582"/>
      <c r="O38" s="5582"/>
    </row>
    <row r="39" spans="1:15" s="11" customFormat="1" ht="15" customHeight="1" thickBot="1">
      <c r="A39" s="5557"/>
      <c r="B39" s="5559"/>
      <c r="C39" s="5561"/>
      <c r="D39" s="287" t="str">
        <f t="shared" ref="D39:H39" si="32">D33</f>
        <v>2027 г.</v>
      </c>
      <c r="E39" s="287" t="str">
        <f t="shared" si="32"/>
        <v>2028 г.</v>
      </c>
      <c r="F39" s="287" t="str">
        <f t="shared" si="32"/>
        <v>2029 г.</v>
      </c>
      <c r="G39" s="287" t="str">
        <f t="shared" si="32"/>
        <v>2030 г.</v>
      </c>
      <c r="H39" s="288" t="str">
        <f t="shared" si="32"/>
        <v>2031 г.</v>
      </c>
      <c r="I39" s="4775"/>
      <c r="J39" s="5581"/>
      <c r="K39" s="4848" t="str">
        <f t="shared" ref="K39:O39" si="33">K33</f>
        <v>2027 г.</v>
      </c>
      <c r="L39" s="4848" t="str">
        <f t="shared" si="33"/>
        <v>2028 г.</v>
      </c>
      <c r="M39" s="4848" t="str">
        <f t="shared" si="33"/>
        <v>2029 г.</v>
      </c>
      <c r="N39" s="4848" t="str">
        <f t="shared" si="33"/>
        <v>2030 г.</v>
      </c>
      <c r="O39" s="4848" t="str">
        <f t="shared" si="33"/>
        <v>2031 г.</v>
      </c>
    </row>
    <row r="40" spans="1:15" s="11" customFormat="1" ht="15" customHeight="1" thickBot="1">
      <c r="A40" s="3468">
        <v>1</v>
      </c>
      <c r="B40" s="3469" t="s">
        <v>294</v>
      </c>
      <c r="C40" s="3470" t="s">
        <v>295</v>
      </c>
      <c r="D40" s="3471">
        <f>'19. HB'!D21</f>
        <v>0</v>
      </c>
      <c r="E40" s="3471">
        <f>'19. HB'!E21</f>
        <v>0</v>
      </c>
      <c r="F40" s="3471">
        <f>'19. HB'!F21</f>
        <v>0</v>
      </c>
      <c r="G40" s="3471">
        <f>'19. HB'!G21</f>
        <v>0</v>
      </c>
      <c r="H40" s="3506">
        <f>'19. HB'!H21</f>
        <v>0</v>
      </c>
      <c r="I40" s="4775"/>
      <c r="J40" s="4847" t="s">
        <v>1896</v>
      </c>
      <c r="K40" s="4835">
        <f t="shared" ref="K40:K41" si="34">IFERROR(D40/$C$1,0)</f>
        <v>0</v>
      </c>
      <c r="L40" s="4835">
        <f t="shared" ref="L40:L42" si="35">IFERROR(E40/$C$1,0)</f>
        <v>0</v>
      </c>
      <c r="M40" s="4835">
        <f t="shared" ref="M40:M42" si="36">IFERROR(F40/$C$1,0)</f>
        <v>0</v>
      </c>
      <c r="N40" s="4835">
        <f t="shared" ref="N40:N42" si="37">IFERROR(G40/$C$1,0)</f>
        <v>0</v>
      </c>
      <c r="O40" s="4835">
        <f t="shared" ref="O40:O42" si="38">IFERROR(H40/$C$1,0)</f>
        <v>0</v>
      </c>
    </row>
    <row r="41" spans="1:15" s="11" customFormat="1" ht="15" customHeight="1" thickBot="1">
      <c r="A41" s="3474">
        <v>2</v>
      </c>
      <c r="B41" s="3475" t="s">
        <v>296</v>
      </c>
      <c r="C41" s="3476" t="s">
        <v>295</v>
      </c>
      <c r="D41" s="3502">
        <f>'12. Разходи'!AJ88</f>
        <v>0</v>
      </c>
      <c r="E41" s="3503">
        <f>'12. Разходи'!AK88</f>
        <v>0</v>
      </c>
      <c r="F41" s="3503">
        <f>'12. Разходи'!AL88</f>
        <v>0</v>
      </c>
      <c r="G41" s="3503">
        <f>'12. Разходи'!AM88</f>
        <v>0</v>
      </c>
      <c r="H41" s="3504">
        <f>'12. Разходи'!AN88</f>
        <v>0</v>
      </c>
      <c r="I41" s="4775"/>
      <c r="J41" s="4847" t="s">
        <v>1896</v>
      </c>
      <c r="K41" s="4835">
        <f t="shared" si="34"/>
        <v>0</v>
      </c>
      <c r="L41" s="4835">
        <f t="shared" si="35"/>
        <v>0</v>
      </c>
      <c r="M41" s="4835">
        <f t="shared" si="36"/>
        <v>0</v>
      </c>
      <c r="N41" s="4835">
        <f t="shared" si="37"/>
        <v>0</v>
      </c>
      <c r="O41" s="4835">
        <f t="shared" si="38"/>
        <v>0</v>
      </c>
    </row>
    <row r="42" spans="1:15" s="11" customFormat="1" ht="15" customHeight="1" thickBot="1">
      <c r="A42" s="3474">
        <v>3</v>
      </c>
      <c r="B42" s="3475" t="s">
        <v>297</v>
      </c>
      <c r="C42" s="3476" t="s">
        <v>295</v>
      </c>
      <c r="D42" s="2091">
        <f t="shared" ref="D42:H42" si="39">D40+D41</f>
        <v>0</v>
      </c>
      <c r="E42" s="2091">
        <f t="shared" si="39"/>
        <v>0</v>
      </c>
      <c r="F42" s="2091">
        <f t="shared" si="39"/>
        <v>0</v>
      </c>
      <c r="G42" s="2091">
        <f t="shared" si="39"/>
        <v>0</v>
      </c>
      <c r="H42" s="3505">
        <f t="shared" si="39"/>
        <v>0</v>
      </c>
      <c r="I42" s="4775"/>
      <c r="J42" s="4847" t="s">
        <v>1896</v>
      </c>
      <c r="K42" s="4835">
        <f>IFERROR(D42/$C$1,0)</f>
        <v>0</v>
      </c>
      <c r="L42" s="4835">
        <f t="shared" si="35"/>
        <v>0</v>
      </c>
      <c r="M42" s="4835">
        <f t="shared" si="36"/>
        <v>0</v>
      </c>
      <c r="N42" s="4835">
        <f t="shared" si="37"/>
        <v>0</v>
      </c>
      <c r="O42" s="4835">
        <f t="shared" si="38"/>
        <v>0</v>
      </c>
    </row>
    <row r="43" spans="1:15" s="11" customFormat="1" ht="15" customHeight="1" thickBot="1">
      <c r="A43" s="3796">
        <v>4</v>
      </c>
      <c r="B43" s="3507" t="s">
        <v>340</v>
      </c>
      <c r="C43" s="3483" t="s">
        <v>920</v>
      </c>
      <c r="D43" s="3508">
        <f>('4. Отчет и прогн. потребление'!E93-'4. Отчет и прогн. потребление'!E110)/1000</f>
        <v>0</v>
      </c>
      <c r="E43" s="3508">
        <f>('4. Отчет и прогн. потребление'!F93-'4. Отчет и прогн. потребление'!F110)/1000</f>
        <v>0</v>
      </c>
      <c r="F43" s="3508">
        <f>('4. Отчет и прогн. потребление'!G93-'4. Отчет и прогн. потребление'!G110)/1000</f>
        <v>0</v>
      </c>
      <c r="G43" s="3508">
        <f>('4. Отчет и прогн. потребление'!H93-'4. Отчет и прогн. потребление'!H110)/1000</f>
        <v>0</v>
      </c>
      <c r="H43" s="3509">
        <f>('4. Отчет и прогн. потребление'!I93-'4. Отчет и прогн. потребление'!I110)/1000</f>
        <v>0</v>
      </c>
      <c r="I43" s="4775"/>
      <c r="J43" s="4853"/>
      <c r="K43" s="4854"/>
      <c r="L43" s="4854"/>
      <c r="M43" s="4854"/>
      <c r="N43" s="4854"/>
      <c r="O43" s="4854"/>
    </row>
    <row r="44" spans="1:15" ht="15" customHeight="1">
      <c r="A44" s="5"/>
      <c r="B44" s="3510" t="s">
        <v>202</v>
      </c>
      <c r="C44" s="3511"/>
      <c r="D44" s="3512"/>
      <c r="E44" s="3513"/>
      <c r="F44" s="3514"/>
      <c r="G44" s="3515"/>
      <c r="H44" s="3515"/>
    </row>
    <row r="45" spans="1:15" ht="15" customHeight="1" thickBot="1">
      <c r="A45" s="5566" t="s">
        <v>301</v>
      </c>
      <c r="B45" s="5566"/>
      <c r="C45" s="5566"/>
      <c r="D45" s="3512"/>
      <c r="E45" s="3513"/>
      <c r="F45" s="3514"/>
      <c r="G45" s="3515"/>
      <c r="H45" s="3515"/>
    </row>
    <row r="46" spans="1:15" ht="15" customHeight="1">
      <c r="A46" s="5568" t="s">
        <v>1</v>
      </c>
      <c r="B46" s="5570" t="s">
        <v>293</v>
      </c>
      <c r="C46" s="5560" t="s">
        <v>166</v>
      </c>
      <c r="D46" s="5580" t="s">
        <v>184</v>
      </c>
      <c r="E46" s="5554"/>
      <c r="F46" s="5554"/>
      <c r="G46" s="5554"/>
      <c r="H46" s="5555"/>
    </row>
    <row r="47" spans="1:15" ht="13.5" thickBot="1">
      <c r="A47" s="5569"/>
      <c r="B47" s="5571"/>
      <c r="C47" s="5567"/>
      <c r="D47" s="287" t="str">
        <f>+D39</f>
        <v>2027 г.</v>
      </c>
      <c r="E47" s="287" t="str">
        <f t="shared" ref="E47:H47" si="40">+E39</f>
        <v>2028 г.</v>
      </c>
      <c r="F47" s="287" t="str">
        <f t="shared" si="40"/>
        <v>2029 г.</v>
      </c>
      <c r="G47" s="287" t="str">
        <f t="shared" si="40"/>
        <v>2030 г.</v>
      </c>
      <c r="H47" s="288" t="str">
        <f t="shared" si="40"/>
        <v>2031 г.</v>
      </c>
    </row>
    <row r="48" spans="1:15" ht="13.5" customHeight="1" thickBot="1">
      <c r="A48" s="286">
        <v>1</v>
      </c>
      <c r="B48" s="3516" t="s">
        <v>1503</v>
      </c>
      <c r="C48" s="3517"/>
      <c r="D48" s="3518"/>
      <c r="E48" s="3518"/>
      <c r="F48" s="3518"/>
      <c r="G48" s="3518"/>
      <c r="H48" s="3519"/>
    </row>
    <row r="49" spans="1:8">
      <c r="A49" s="111" t="s">
        <v>90</v>
      </c>
      <c r="B49" s="3520" t="s">
        <v>302</v>
      </c>
      <c r="C49" s="3790" t="s">
        <v>921</v>
      </c>
      <c r="D49" s="3787">
        <f>IFERROR($C66+((D55/($D$55+$D$56+$D$57))*$E66),0)</f>
        <v>1.3721479846253808</v>
      </c>
      <c r="E49" s="3649">
        <f>IFERROR($C66+((E55/($E$55+$E$56+$E$57))*$E66),0)</f>
        <v>1.3721525812104058</v>
      </c>
      <c r="F49" s="3649">
        <f>IFERROR($C66+((F55/($F$55+$F$56+$F$57))*$E66),0)</f>
        <v>1.3721530460002511</v>
      </c>
      <c r="G49" s="3649">
        <f>IFERROR($C66+((G55/($G$55+$G$56+$G$57))*$E66),0)</f>
        <v>1.3721489994033464</v>
      </c>
      <c r="H49" s="3649">
        <f>IFERROR($C66+((H55/($H$55+$H$56+$H$57))*$E66),0)</f>
        <v>1.3721520076399585</v>
      </c>
    </row>
    <row r="50" spans="1:8">
      <c r="A50" s="6" t="s">
        <v>91</v>
      </c>
      <c r="B50" s="3521" t="s">
        <v>303</v>
      </c>
      <c r="C50" s="3791" t="s">
        <v>921</v>
      </c>
      <c r="D50" s="3788">
        <f>IFERROR($C67+((D56/($D$55+$D$56+$D$57))*$E67),0)</f>
        <v>1.6310394046379582</v>
      </c>
      <c r="E50" s="3650">
        <f>IFERROR($C67+((E56/($E$55+$E$56+$E$57))*$E67),0)</f>
        <v>1.6310392236150426</v>
      </c>
      <c r="F50" s="3650">
        <f>IFERROR($C67+((F56/($F$55+$F$56+$F$57))*$E67),0)</f>
        <v>1.6310397813628568</v>
      </c>
      <c r="G50" s="3650">
        <f>IFERROR($C67+((G56/($G$55+$G$56+$G$57))*$E67),0)</f>
        <v>1.6310429562350308</v>
      </c>
      <c r="H50" s="3650">
        <f>IFERROR($C67+((H56/($H$55+$H$56+$H$57))*$E67),0)</f>
        <v>1.6310416326109214</v>
      </c>
    </row>
    <row r="51" spans="1:8" ht="13.5" thickBot="1">
      <c r="A51" s="112" t="s">
        <v>93</v>
      </c>
      <c r="B51" s="3522" t="s">
        <v>304</v>
      </c>
      <c r="C51" s="3792" t="s">
        <v>921</v>
      </c>
      <c r="D51" s="3789">
        <f>IFERROR($C68+((D57/($D$55+$D$56+$D$57))*$E68),0)</f>
        <v>2.189052759577172</v>
      </c>
      <c r="E51" s="3651">
        <f>IFERROR($C68+((E57/($E$55+$E$56+$E$57))*$E68),0)</f>
        <v>2.1890483892707913</v>
      </c>
      <c r="F51" s="3651">
        <f>IFERROR($C68+((F57/($F$55+$F$56+$F$57))*$E68),0)</f>
        <v>2.1890472272961778</v>
      </c>
      <c r="G51" s="3651">
        <f>IFERROR($C68+((G57/($G$55+$G$56+$G$57))*$E68),0)</f>
        <v>2.1890473053028652</v>
      </c>
      <c r="H51" s="3651">
        <f>IFERROR($C68+((H57/($H$55+$H$56+$H$57))*$E68),0)</f>
        <v>2.1890459515963898</v>
      </c>
    </row>
    <row r="52" spans="1:8" ht="16.5" thickBot="1">
      <c r="A52" s="3653"/>
      <c r="B52" s="3652" t="s">
        <v>1723</v>
      </c>
      <c r="C52" s="3652"/>
      <c r="D52" s="3652"/>
      <c r="E52" s="3648"/>
      <c r="F52" s="3648"/>
      <c r="G52" s="3648"/>
      <c r="H52" s="3648"/>
    </row>
    <row r="53" spans="1:8">
      <c r="A53" s="5568" t="s">
        <v>1</v>
      </c>
      <c r="B53" s="5573" t="s">
        <v>293</v>
      </c>
      <c r="C53" s="5575" t="s">
        <v>166</v>
      </c>
      <c r="D53" s="5577" t="s">
        <v>184</v>
      </c>
      <c r="E53" s="5578"/>
      <c r="F53" s="5578"/>
      <c r="G53" s="5578"/>
      <c r="H53" s="5579"/>
    </row>
    <row r="54" spans="1:8" ht="13.5" customHeight="1" thickBot="1">
      <c r="A54" s="5572"/>
      <c r="B54" s="5574"/>
      <c r="C54" s="5576"/>
      <c r="D54" s="4518" t="str">
        <f>+D47</f>
        <v>2027 г.</v>
      </c>
      <c r="E54" s="4519" t="str">
        <f t="shared" ref="E54:H54" si="41">+E47</f>
        <v>2028 г.</v>
      </c>
      <c r="F54" s="4519" t="str">
        <f t="shared" si="41"/>
        <v>2029 г.</v>
      </c>
      <c r="G54" s="4519" t="str">
        <f t="shared" si="41"/>
        <v>2030 г.</v>
      </c>
      <c r="H54" s="4520" t="str">
        <f t="shared" si="41"/>
        <v>2031 г.</v>
      </c>
    </row>
    <row r="55" spans="1:8">
      <c r="A55" s="111" t="s">
        <v>463</v>
      </c>
      <c r="B55" s="3520" t="s">
        <v>1721</v>
      </c>
      <c r="C55" s="3790" t="s">
        <v>1713</v>
      </c>
      <c r="D55" s="3793">
        <v>208590</v>
      </c>
      <c r="E55" s="3785">
        <v>201910</v>
      </c>
      <c r="F55" s="3785">
        <v>195180</v>
      </c>
      <c r="G55" s="3785">
        <v>192485</v>
      </c>
      <c r="H55" s="3785">
        <v>189795</v>
      </c>
    </row>
    <row r="56" spans="1:8">
      <c r="A56" s="6" t="s">
        <v>465</v>
      </c>
      <c r="B56" s="3521" t="s">
        <v>1720</v>
      </c>
      <c r="C56" s="3791" t="s">
        <v>1713</v>
      </c>
      <c r="D56" s="418">
        <v>29738</v>
      </c>
      <c r="E56" s="416">
        <v>28785</v>
      </c>
      <c r="F56" s="416">
        <v>27826</v>
      </c>
      <c r="G56" s="416">
        <v>27445</v>
      </c>
      <c r="H56" s="416">
        <v>27060</v>
      </c>
    </row>
    <row r="57" spans="1:8" ht="13.5" thickBot="1">
      <c r="A57" s="112" t="s">
        <v>466</v>
      </c>
      <c r="B57" s="3522" t="s">
        <v>1722</v>
      </c>
      <c r="C57" s="3792" t="s">
        <v>1713</v>
      </c>
      <c r="D57" s="3794">
        <v>144901</v>
      </c>
      <c r="E57" s="3786">
        <v>140255</v>
      </c>
      <c r="F57" s="3786">
        <v>135579</v>
      </c>
      <c r="G57" s="3786">
        <v>133709</v>
      </c>
      <c r="H57" s="3786">
        <v>131838</v>
      </c>
    </row>
    <row r="59" spans="1:8" s="4712" customFormat="1">
      <c r="B59" s="4712" t="str">
        <f>'Приложение '!B82</f>
        <v>Дата: 15.04.2026 г.</v>
      </c>
      <c r="C59" s="4713"/>
      <c r="D59" s="4713"/>
      <c r="E59" s="4713"/>
      <c r="F59" s="4713"/>
      <c r="G59" s="4713"/>
      <c r="H59" s="4713"/>
    </row>
    <row r="62" spans="1:8" s="4712" customFormat="1">
      <c r="B62" s="4712" t="s">
        <v>187</v>
      </c>
      <c r="C62" s="4713"/>
      <c r="D62" s="4713"/>
      <c r="E62" s="4713"/>
      <c r="F62" s="4713"/>
      <c r="G62" s="4713"/>
      <c r="H62" s="4713"/>
    </row>
    <row r="63" spans="1:8">
      <c r="B63" s="4689" t="s">
        <v>188</v>
      </c>
      <c r="C63" s="3523"/>
      <c r="D63" s="3523"/>
      <c r="E63" s="3523"/>
      <c r="F63" s="3523"/>
      <c r="G63" s="3523"/>
      <c r="H63" s="3465"/>
    </row>
    <row r="64" spans="1:8">
      <c r="B64" s="4689" t="s">
        <v>983</v>
      </c>
      <c r="C64" s="4689"/>
      <c r="D64" s="3465"/>
      <c r="E64" s="3465"/>
      <c r="F64" s="3465"/>
      <c r="G64" s="3465"/>
      <c r="H64" s="3465"/>
    </row>
    <row r="65" spans="1:8" ht="24">
      <c r="A65" s="3524"/>
      <c r="B65" s="3780" t="s">
        <v>1714</v>
      </c>
      <c r="C65" s="3783" t="s">
        <v>1718</v>
      </c>
      <c r="D65" s="3783" t="s">
        <v>1719</v>
      </c>
      <c r="E65" s="3784" t="s">
        <v>725</v>
      </c>
      <c r="F65" s="3465"/>
      <c r="G65" s="3465"/>
      <c r="H65" s="3465"/>
    </row>
    <row r="66" spans="1:8">
      <c r="A66" s="3524"/>
      <c r="B66" s="3782" t="s">
        <v>1715</v>
      </c>
      <c r="C66" s="3781">
        <v>1.1000000000000001</v>
      </c>
      <c r="D66" s="3781">
        <v>1.6</v>
      </c>
      <c r="E66" s="3781">
        <f>D66-C66</f>
        <v>0.5</v>
      </c>
      <c r="F66" s="3465"/>
      <c r="G66" s="3465"/>
      <c r="H66" s="3465"/>
    </row>
    <row r="67" spans="1:8">
      <c r="A67" s="3524"/>
      <c r="B67" s="3782" t="s">
        <v>1716</v>
      </c>
      <c r="C67" s="3781">
        <v>1.6</v>
      </c>
      <c r="D67" s="3781">
        <v>2</v>
      </c>
      <c r="E67" s="3781">
        <f t="shared" ref="E67:E68" si="42">D67-C67</f>
        <v>0.39999999999999991</v>
      </c>
      <c r="F67" s="3465"/>
      <c r="G67" s="3465"/>
      <c r="H67" s="3465"/>
    </row>
    <row r="68" spans="1:8">
      <c r="A68" s="3524"/>
      <c r="B68" s="3782" t="s">
        <v>1717</v>
      </c>
      <c r="C68" s="3781">
        <v>2</v>
      </c>
      <c r="D68" s="3781">
        <v>2.5</v>
      </c>
      <c r="E68" s="3781">
        <f t="shared" si="42"/>
        <v>0.5</v>
      </c>
      <c r="F68" s="3465"/>
      <c r="G68" s="3465"/>
      <c r="H68" s="3465"/>
    </row>
    <row r="69" spans="1:8" ht="30" customHeight="1">
      <c r="B69" s="5565" t="s">
        <v>1725</v>
      </c>
      <c r="C69" s="5565"/>
      <c r="D69" s="5565"/>
      <c r="E69" s="5565"/>
      <c r="F69" s="5565"/>
      <c r="G69" s="5565"/>
      <c r="H69" s="5565"/>
    </row>
    <row r="70" spans="1:8" ht="29.25" customHeight="1">
      <c r="B70" s="5565" t="str">
        <f>+"ВиК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"&amp;'15. ОПП'!B7&amp;" относно товар БПК5 (кг/год.) за степени на замърсеност 1,2 и 3."</f>
        <v>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2024 г. относно товар БПК5 (кг/год.) за степени на замърсеност 1,2 и 3.</v>
      </c>
      <c r="C70" s="5565"/>
      <c r="D70" s="5565"/>
      <c r="E70" s="5565"/>
      <c r="F70" s="5565"/>
      <c r="G70" s="5565"/>
      <c r="H70" s="5565"/>
    </row>
  </sheetData>
  <sheetProtection algorithmName="SHA-512" hashValue="jj2xhSs+AWdS3OF53QP0l6ek+ek3uKqsvjg5veJUSW/7jQe47a20XURRNjzVukHbz6Zt2rk02B6lJQQXEUm21g==" saltValue="rwYuDxGmmyE/uOeZhL4m0Q==" spinCount="100000" sheet="1" formatCells="0" formatColumns="0" formatRows="0"/>
  <mergeCells count="47">
    <mergeCell ref="J38:J39"/>
    <mergeCell ref="K38:O38"/>
    <mergeCell ref="J13:J14"/>
    <mergeCell ref="K13:O13"/>
    <mergeCell ref="J21:J22"/>
    <mergeCell ref="K21:O21"/>
    <mergeCell ref="J32:J33"/>
    <mergeCell ref="K32:O32"/>
    <mergeCell ref="C1:D1"/>
    <mergeCell ref="A1:B1"/>
    <mergeCell ref="J7:J8"/>
    <mergeCell ref="K7:O7"/>
    <mergeCell ref="B69:H69"/>
    <mergeCell ref="D38:H38"/>
    <mergeCell ref="D32:H32"/>
    <mergeCell ref="D21:H21"/>
    <mergeCell ref="D13:H13"/>
    <mergeCell ref="A13:A14"/>
    <mergeCell ref="B21:B22"/>
    <mergeCell ref="A32:A33"/>
    <mergeCell ref="B32:B33"/>
    <mergeCell ref="C32:C33"/>
    <mergeCell ref="C21:C22"/>
    <mergeCell ref="B13:B14"/>
    <mergeCell ref="B70:H70"/>
    <mergeCell ref="A45:C45"/>
    <mergeCell ref="C46:C47"/>
    <mergeCell ref="A46:A47"/>
    <mergeCell ref="B46:B47"/>
    <mergeCell ref="A53:A54"/>
    <mergeCell ref="B53:B54"/>
    <mergeCell ref="C53:C54"/>
    <mergeCell ref="D53:H53"/>
    <mergeCell ref="D46:H46"/>
    <mergeCell ref="C13:C14"/>
    <mergeCell ref="A21:A22"/>
    <mergeCell ref="A38:A39"/>
    <mergeCell ref="B38:B39"/>
    <mergeCell ref="C38:C39"/>
    <mergeCell ref="A2:H2"/>
    <mergeCell ref="D7:H7"/>
    <mergeCell ref="A7:A8"/>
    <mergeCell ref="B7:B8"/>
    <mergeCell ref="C7:C8"/>
    <mergeCell ref="A5:H5"/>
    <mergeCell ref="A4:H4"/>
    <mergeCell ref="A3:H3"/>
  </mergeCells>
  <printOptions horizontalCentered="1"/>
  <pageMargins left="0.59055118110236227" right="7.874015748031496E-2" top="0.59055118110236227" bottom="0.19685039370078741" header="0.31496062992125984" footer="0.11811023622047245"/>
  <pageSetup paperSize="9" scale="77" orientation="portrait" r:id="rId1"/>
  <headerFooter alignWithMargins="0">
    <oddFooter>&amp;C&amp;A</oddFooter>
  </headerFooter>
  <ignoredErrors>
    <ignoredError sqref="A29:A31" twoDigitTextYea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M86"/>
  <sheetViews>
    <sheetView showGridLines="0" zoomScaleNormal="100" zoomScaleSheetLayoutView="100" workbookViewId="0">
      <pane xSplit="2" ySplit="9" topLeftCell="C61" activePane="bottomRight" state="frozen"/>
      <selection pane="topRight" activeCell="C1" sqref="C1"/>
      <selection pane="bottomLeft" activeCell="A10" sqref="A10"/>
      <selection pane="bottomRight" activeCell="B11" sqref="B11"/>
    </sheetView>
  </sheetViews>
  <sheetFormatPr defaultColWidth="9.140625" defaultRowHeight="12"/>
  <cols>
    <col min="1" max="1" width="6" style="21" customWidth="1"/>
    <col min="2" max="2" width="76.7109375" style="21" customWidth="1"/>
    <col min="3" max="7" width="9.7109375" style="639" bestFit="1" customWidth="1"/>
    <col min="8" max="8" width="2.7109375" style="21" customWidth="1"/>
    <col min="9"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13" ht="16.5" thickBot="1">
      <c r="A1" s="5004" t="s">
        <v>1897</v>
      </c>
      <c r="B1" s="5004"/>
      <c r="C1" s="5005">
        <f>+'1. Обща информация'!$C$40</f>
        <v>1.95583</v>
      </c>
      <c r="D1" s="5005"/>
      <c r="G1" s="4146" t="str">
        <f>'16. Необходими приходи'!H1</f>
        <v>Приложение № 6</v>
      </c>
    </row>
    <row r="2" spans="1:13" ht="18.75">
      <c r="A2" s="5594" t="s">
        <v>1490</v>
      </c>
      <c r="B2" s="5594"/>
      <c r="C2" s="5594"/>
      <c r="D2" s="5594"/>
      <c r="E2" s="5594"/>
      <c r="F2" s="5594"/>
      <c r="G2" s="5594"/>
    </row>
    <row r="3" spans="1:13" ht="18.75">
      <c r="A3" s="5595" t="s">
        <v>305</v>
      </c>
      <c r="B3" s="5595"/>
      <c r="C3" s="5595"/>
      <c r="D3" s="5595"/>
      <c r="E3" s="5595"/>
      <c r="F3" s="5595"/>
      <c r="G3" s="5595"/>
    </row>
    <row r="4" spans="1:13" ht="14.25">
      <c r="A4" s="5596" t="str">
        <f>'1. Обща информация'!A4:D4</f>
        <v>на "ВОДОСНАБДЯВАНЕ И КАНАЛИЗАЦИЯ" ЕООД, гр. БЛАГОЕВГРАД</v>
      </c>
      <c r="B4" s="5596"/>
      <c r="C4" s="5596"/>
      <c r="D4" s="5596"/>
      <c r="E4" s="5596"/>
      <c r="F4" s="5596"/>
      <c r="G4" s="5596"/>
    </row>
    <row r="5" spans="1:13" ht="14.25">
      <c r="A5" s="5596" t="str">
        <f>'1. Обща информация'!A5:D5</f>
        <v>ЕИК по БУЛСТАТ: 811047831</v>
      </c>
      <c r="B5" s="5596"/>
      <c r="C5" s="5596"/>
      <c r="D5" s="5596"/>
      <c r="E5" s="5596"/>
      <c r="F5" s="5596"/>
      <c r="G5" s="5596"/>
    </row>
    <row r="6" spans="1:13" ht="13.5" thickBot="1">
      <c r="D6" s="640"/>
      <c r="G6" s="2558" t="s">
        <v>190</v>
      </c>
      <c r="M6" s="2558" t="s">
        <v>1891</v>
      </c>
    </row>
    <row r="7" spans="1:13" s="22" customFormat="1" ht="13.5" thickBot="1">
      <c r="A7" s="5589" t="s">
        <v>1</v>
      </c>
      <c r="B7" s="5583" t="s">
        <v>87</v>
      </c>
      <c r="C7" s="5597" t="s">
        <v>224</v>
      </c>
      <c r="D7" s="5598"/>
      <c r="E7" s="5598"/>
      <c r="F7" s="5598"/>
      <c r="G7" s="5599"/>
      <c r="H7" s="4775"/>
      <c r="I7" s="5593" t="s">
        <v>224</v>
      </c>
      <c r="J7" s="5593"/>
      <c r="K7" s="5593"/>
      <c r="L7" s="5593"/>
      <c r="M7" s="5593"/>
    </row>
    <row r="8" spans="1:13" s="22" customFormat="1" ht="13.5" thickBot="1">
      <c r="A8" s="5600"/>
      <c r="B8" s="5584"/>
      <c r="C8" s="5586" t="s">
        <v>210</v>
      </c>
      <c r="D8" s="5587"/>
      <c r="E8" s="5587"/>
      <c r="F8" s="5587"/>
      <c r="G8" s="5588"/>
      <c r="H8" s="4775"/>
      <c r="I8" s="5593" t="s">
        <v>210</v>
      </c>
      <c r="J8" s="5593"/>
      <c r="K8" s="5593"/>
      <c r="L8" s="5593"/>
      <c r="M8" s="5593"/>
    </row>
    <row r="9" spans="1:13" ht="13.5" thickBot="1">
      <c r="A9" s="5590"/>
      <c r="B9" s="5585"/>
      <c r="C9" s="1260" t="str">
        <f>'Приложение '!$C14</f>
        <v>2027 г.</v>
      </c>
      <c r="D9" s="1261" t="str">
        <f>'Приложение '!$C15</f>
        <v>2028 г.</v>
      </c>
      <c r="E9" s="1261" t="str">
        <f>'Приложение '!$C16</f>
        <v>2029 г.</v>
      </c>
      <c r="F9" s="1261" t="str">
        <f>'Приложение '!$C17</f>
        <v>2030 г.</v>
      </c>
      <c r="G9" s="1262" t="str">
        <f>'Приложение '!$C18</f>
        <v>2031 г.</v>
      </c>
      <c r="H9" s="4775"/>
      <c r="I9" s="4857" t="str">
        <f>'Приложение '!$C14</f>
        <v>2027 г.</v>
      </c>
      <c r="J9" s="4857" t="str">
        <f>'Приложение '!$C15</f>
        <v>2028 г.</v>
      </c>
      <c r="K9" s="4857" t="str">
        <f>'Приложение '!$C16</f>
        <v>2029 г.</v>
      </c>
      <c r="L9" s="4857" t="str">
        <f>'Приложение '!$C17</f>
        <v>2030 г.</v>
      </c>
      <c r="M9" s="4857" t="str">
        <f>'Приложение '!$C18</f>
        <v>2031 г.</v>
      </c>
    </row>
    <row r="10" spans="1:13" s="143" customFormat="1" ht="13.5" thickBot="1">
      <c r="A10" s="145" t="s">
        <v>141</v>
      </c>
      <c r="B10" s="146" t="s">
        <v>547</v>
      </c>
      <c r="C10" s="4201">
        <f t="shared" ref="C10:G10" si="0">C11-C12</f>
        <v>45597.666666666672</v>
      </c>
      <c r="D10" s="4202">
        <f t="shared" si="0"/>
        <v>49333</v>
      </c>
      <c r="E10" s="4202">
        <f t="shared" si="0"/>
        <v>52429.666666666672</v>
      </c>
      <c r="F10" s="4202">
        <f t="shared" si="0"/>
        <v>55623.000000000007</v>
      </c>
      <c r="G10" s="4203">
        <f t="shared" si="0"/>
        <v>58963</v>
      </c>
      <c r="H10" s="4775"/>
      <c r="I10" s="4835">
        <f>IFERROR(C10/$C$1,0)</f>
        <v>23313.716768158109</v>
      </c>
      <c r="J10" s="4835">
        <f t="shared" ref="J10:M10" si="1">IFERROR(D10/$C$1,0)</f>
        <v>25223.562375053047</v>
      </c>
      <c r="K10" s="4835">
        <f t="shared" si="1"/>
        <v>26806.862900490672</v>
      </c>
      <c r="L10" s="4835">
        <f t="shared" si="1"/>
        <v>28439.588307777267</v>
      </c>
      <c r="M10" s="4835">
        <f t="shared" si="1"/>
        <v>30147.303190972631</v>
      </c>
    </row>
    <row r="11" spans="1:13" ht="13.5" thickBot="1">
      <c r="A11" s="1258" t="s">
        <v>90</v>
      </c>
      <c r="B11" s="1259" t="s">
        <v>686</v>
      </c>
      <c r="C11" s="4204">
        <f>'11. Амортиз. план'!F10+'11. Амортиз. план'!F111</f>
        <v>45597.666666666672</v>
      </c>
      <c r="D11" s="4205">
        <f>'11. Амортиз. план'!G10+'11. Амортиз. план'!G111</f>
        <v>49333</v>
      </c>
      <c r="E11" s="4205">
        <f>'11. Амортиз. план'!H10+'11. Амортиз. план'!H111</f>
        <v>52429.666666666672</v>
      </c>
      <c r="F11" s="4205">
        <f>'11. Амортиз. план'!I10+'11. Амортиз. план'!I111</f>
        <v>55623.000000000007</v>
      </c>
      <c r="G11" s="4206">
        <f>'11. Амортиз. план'!J10+'11. Амортиз. план'!J111</f>
        <v>58963</v>
      </c>
      <c r="H11" s="4775"/>
      <c r="I11" s="4835">
        <f t="shared" ref="I11:I21" si="2">IFERROR(C11/$C$1,0)</f>
        <v>23313.716768158109</v>
      </c>
      <c r="J11" s="4835">
        <f t="shared" ref="J11:J21" si="3">IFERROR(D11/$C$1,0)</f>
        <v>25223.562375053047</v>
      </c>
      <c r="K11" s="4835">
        <f t="shared" ref="K11:K21" si="4">IFERROR(E11/$C$1,0)</f>
        <v>26806.862900490672</v>
      </c>
      <c r="L11" s="4835">
        <f t="shared" ref="L11:L21" si="5">IFERROR(F11/$C$1,0)</f>
        <v>28439.588307777267</v>
      </c>
      <c r="M11" s="4835">
        <f t="shared" ref="M11:M21" si="6">IFERROR(G11/$C$1,0)</f>
        <v>30147.303190972631</v>
      </c>
    </row>
    <row r="12" spans="1:13" ht="13.5" thickBot="1">
      <c r="A12" s="1258" t="s">
        <v>91</v>
      </c>
      <c r="B12" s="1259" t="s">
        <v>649</v>
      </c>
      <c r="C12" s="4204">
        <f>'11. Амортиз. план'!G32</f>
        <v>0</v>
      </c>
      <c r="D12" s="4205">
        <f>'11. Амортиз. план'!H32</f>
        <v>0</v>
      </c>
      <c r="E12" s="4205">
        <f>'11. Амортиз. план'!I32</f>
        <v>0</v>
      </c>
      <c r="F12" s="4205">
        <f>'11. Амортиз. план'!J32</f>
        <v>0</v>
      </c>
      <c r="G12" s="4206">
        <f>'11. Амортиз. план'!K32</f>
        <v>0</v>
      </c>
      <c r="H12" s="4775"/>
      <c r="I12" s="4835">
        <f t="shared" si="2"/>
        <v>0</v>
      </c>
      <c r="J12" s="4835">
        <f t="shared" si="3"/>
        <v>0</v>
      </c>
      <c r="K12" s="4835">
        <f t="shared" si="4"/>
        <v>0</v>
      </c>
      <c r="L12" s="4835">
        <f t="shared" si="5"/>
        <v>0</v>
      </c>
      <c r="M12" s="4835">
        <f t="shared" si="6"/>
        <v>0</v>
      </c>
    </row>
    <row r="13" spans="1:13" s="143" customFormat="1" ht="13.5" thickBot="1">
      <c r="A13" s="144" t="s">
        <v>95</v>
      </c>
      <c r="B13" s="142" t="s">
        <v>548</v>
      </c>
      <c r="C13" s="4207">
        <f t="shared" ref="C13:G13" si="7">C14-C15</f>
        <v>10091.375965887317</v>
      </c>
      <c r="D13" s="4208">
        <f t="shared" si="7"/>
        <v>11626.01079543277</v>
      </c>
      <c r="E13" s="4208">
        <f t="shared" si="7"/>
        <v>13261.398679470245</v>
      </c>
      <c r="F13" s="4208">
        <f t="shared" si="7"/>
        <v>15000.658815724579</v>
      </c>
      <c r="G13" s="4209">
        <f t="shared" si="7"/>
        <v>16858.757169629782</v>
      </c>
      <c r="H13" s="4775"/>
      <c r="I13" s="4835">
        <f t="shared" si="2"/>
        <v>5159.6386014568325</v>
      </c>
      <c r="J13" s="4835">
        <f t="shared" si="3"/>
        <v>5944.2849304043657</v>
      </c>
      <c r="K13" s="4835">
        <f t="shared" si="4"/>
        <v>6780.445478119389</v>
      </c>
      <c r="L13" s="4835">
        <f t="shared" si="5"/>
        <v>7669.7150650744588</v>
      </c>
      <c r="M13" s="4835">
        <f t="shared" si="6"/>
        <v>8619.7456678902472</v>
      </c>
    </row>
    <row r="14" spans="1:13" ht="13.5" thickBot="1">
      <c r="A14" s="127" t="s">
        <v>96</v>
      </c>
      <c r="B14" s="128" t="s">
        <v>687</v>
      </c>
      <c r="C14" s="4204">
        <f>'11. Амортиз. план'!F60+'11. Амортиз. план'!F151</f>
        <v>10091.375965887317</v>
      </c>
      <c r="D14" s="4205">
        <f>'11. Амортиз. план'!G60+'11. Амортиз. план'!G151</f>
        <v>11626.01079543277</v>
      </c>
      <c r="E14" s="4205">
        <f>'11. Амортиз. план'!H60+'11. Амортиз. план'!H151</f>
        <v>13261.398679470245</v>
      </c>
      <c r="F14" s="4205">
        <f>'11. Амортиз. план'!I60+'11. Амортиз. план'!I151</f>
        <v>15000.658815724579</v>
      </c>
      <c r="G14" s="4206">
        <f>'11. Амортиз. план'!J60+'11. Амортиз. план'!J151</f>
        <v>16858.757169629782</v>
      </c>
      <c r="H14" s="4775"/>
      <c r="I14" s="4835">
        <f t="shared" si="2"/>
        <v>5159.6386014568325</v>
      </c>
      <c r="J14" s="4835">
        <f t="shared" si="3"/>
        <v>5944.2849304043657</v>
      </c>
      <c r="K14" s="4835">
        <f t="shared" si="4"/>
        <v>6780.445478119389</v>
      </c>
      <c r="L14" s="4835">
        <f t="shared" si="5"/>
        <v>7669.7150650744588</v>
      </c>
      <c r="M14" s="4835">
        <f t="shared" si="6"/>
        <v>8619.7456678902472</v>
      </c>
    </row>
    <row r="15" spans="1:13" ht="13.5" thickBot="1">
      <c r="A15" s="127" t="s">
        <v>97</v>
      </c>
      <c r="B15" s="128" t="s">
        <v>650</v>
      </c>
      <c r="C15" s="4210">
        <f>'11. Амортиз. план'!G82</f>
        <v>0</v>
      </c>
      <c r="D15" s="4211">
        <f>'11. Амортиз. план'!H82</f>
        <v>0</v>
      </c>
      <c r="E15" s="4211">
        <f>'11. Амортиз. план'!I82</f>
        <v>0</v>
      </c>
      <c r="F15" s="4211">
        <f>'11. Амортиз. план'!J82</f>
        <v>0</v>
      </c>
      <c r="G15" s="4212">
        <f>'11. Амортиз. план'!K82</f>
        <v>0</v>
      </c>
      <c r="H15" s="4775"/>
      <c r="I15" s="4835">
        <f t="shared" si="2"/>
        <v>0</v>
      </c>
      <c r="J15" s="4835">
        <f t="shared" si="3"/>
        <v>0</v>
      </c>
      <c r="K15" s="4835">
        <f t="shared" si="4"/>
        <v>0</v>
      </c>
      <c r="L15" s="4835">
        <f t="shared" si="5"/>
        <v>0</v>
      </c>
      <c r="M15" s="4835">
        <f t="shared" si="6"/>
        <v>0</v>
      </c>
    </row>
    <row r="16" spans="1:13" s="143" customFormat="1" ht="24.75" thickBot="1">
      <c r="A16" s="141" t="s">
        <v>99</v>
      </c>
      <c r="B16" s="142" t="s">
        <v>549</v>
      </c>
      <c r="C16" s="4213">
        <f t="shared" ref="C16:G16" si="8">(C17+C18)/2</f>
        <v>2251</v>
      </c>
      <c r="D16" s="4214">
        <f t="shared" si="8"/>
        <v>1893</v>
      </c>
      <c r="E16" s="4214">
        <f t="shared" si="8"/>
        <v>1535</v>
      </c>
      <c r="F16" s="4214">
        <f t="shared" si="8"/>
        <v>1177</v>
      </c>
      <c r="G16" s="4215">
        <f t="shared" si="8"/>
        <v>819</v>
      </c>
      <c r="H16" s="4775"/>
      <c r="I16" s="4835">
        <f t="shared" si="2"/>
        <v>1150.9180245726877</v>
      </c>
      <c r="J16" s="4835">
        <f t="shared" si="3"/>
        <v>967.87553110444162</v>
      </c>
      <c r="K16" s="4835">
        <f t="shared" si="4"/>
        <v>784.8330376361954</v>
      </c>
      <c r="L16" s="4835">
        <f t="shared" si="5"/>
        <v>601.79054416794918</v>
      </c>
      <c r="M16" s="4835">
        <f t="shared" si="6"/>
        <v>418.74805069970296</v>
      </c>
    </row>
    <row r="17" spans="1:13" ht="13.5" thickBot="1">
      <c r="A17" s="127" t="s">
        <v>171</v>
      </c>
      <c r="B17" s="128" t="s">
        <v>195</v>
      </c>
      <c r="C17" s="4147">
        <f>IF('10. Финансиране на ИП'!F37=0,0,'10. Финансиране на ИП'!F37)</f>
        <v>2430</v>
      </c>
      <c r="D17" s="4148">
        <f>IF('10. Финансиране на ИП'!G37=0,0,'10. Финансиране на ИП'!G37)</f>
        <v>2072</v>
      </c>
      <c r="E17" s="4148">
        <f>IF('10. Финансиране на ИП'!H37=0,0,'10. Финансиране на ИП'!H37)</f>
        <v>1714</v>
      </c>
      <c r="F17" s="4148">
        <f>IF('10. Финансиране на ИП'!I37=0,0,'10. Финансиране на ИП'!I37)</f>
        <v>1356</v>
      </c>
      <c r="G17" s="4149">
        <f>IF('10. Финансиране на ИП'!J37=0,0,'10. Финансиране на ИП'!J37)</f>
        <v>998</v>
      </c>
      <c r="H17" s="4775"/>
      <c r="I17" s="4835">
        <f t="shared" si="2"/>
        <v>1242.439271306811</v>
      </c>
      <c r="J17" s="4835">
        <f t="shared" si="3"/>
        <v>1059.3967778385647</v>
      </c>
      <c r="K17" s="4835">
        <f t="shared" si="4"/>
        <v>876.35428437031851</v>
      </c>
      <c r="L17" s="4835">
        <f t="shared" si="5"/>
        <v>693.31179090207229</v>
      </c>
      <c r="M17" s="4835">
        <f t="shared" si="6"/>
        <v>510.26929743382607</v>
      </c>
    </row>
    <row r="18" spans="1:13" ht="13.5" thickBot="1">
      <c r="A18" s="127" t="s">
        <v>172</v>
      </c>
      <c r="B18" s="128" t="s">
        <v>550</v>
      </c>
      <c r="C18" s="4147">
        <f>IF('10. Финансиране на ИП'!F43=0,0,'10. Финансиране на ИП'!F43)</f>
        <v>2072</v>
      </c>
      <c r="D18" s="4148">
        <f>IF('10. Финансиране на ИП'!G43=0,0,'10. Финансиране на ИП'!G43)</f>
        <v>1714</v>
      </c>
      <c r="E18" s="4148">
        <f>IF('10. Финансиране на ИП'!H43=0,0,'10. Финансиране на ИП'!H43)</f>
        <v>1356</v>
      </c>
      <c r="F18" s="4148">
        <f>IF('10. Финансиране на ИП'!I43=0,0,'10. Финансиране на ИП'!I43)</f>
        <v>998</v>
      </c>
      <c r="G18" s="4149">
        <f>IF('10. Финансиране на ИП'!J43=0,0,'10. Финансиране на ИП'!J43)</f>
        <v>640</v>
      </c>
      <c r="H18" s="4775"/>
      <c r="I18" s="4835">
        <f t="shared" si="2"/>
        <v>1059.3967778385647</v>
      </c>
      <c r="J18" s="4835">
        <f t="shared" si="3"/>
        <v>876.35428437031851</v>
      </c>
      <c r="K18" s="4835">
        <f t="shared" si="4"/>
        <v>693.31179090207229</v>
      </c>
      <c r="L18" s="4835">
        <f t="shared" si="5"/>
        <v>510.26929743382607</v>
      </c>
      <c r="M18" s="4835">
        <f t="shared" si="6"/>
        <v>327.22680396557985</v>
      </c>
    </row>
    <row r="19" spans="1:13" s="143" customFormat="1" ht="13.5" thickBot="1">
      <c r="A19" s="147" t="s">
        <v>100</v>
      </c>
      <c r="B19" s="142" t="s">
        <v>329</v>
      </c>
      <c r="C19" s="4213">
        <f>'9.Инвестиционна програма'!I140</f>
        <v>3735.3333333333335</v>
      </c>
      <c r="D19" s="4214">
        <f>'9.Инвестиционна програма'!J140</f>
        <v>3096.6666666666665</v>
      </c>
      <c r="E19" s="4214">
        <f>'9.Инвестиционна програма'!K140</f>
        <v>3193.3333333333335</v>
      </c>
      <c r="F19" s="4214">
        <f>'9.Инвестиционна програма'!L140</f>
        <v>3340</v>
      </c>
      <c r="G19" s="4215">
        <f>'9.Инвестиционна програма'!M140</f>
        <v>3095</v>
      </c>
      <c r="H19" s="4775"/>
      <c r="I19" s="4835">
        <f t="shared" si="2"/>
        <v>1909.8456068949415</v>
      </c>
      <c r="J19" s="4835">
        <f t="shared" si="3"/>
        <v>1583.3005254376233</v>
      </c>
      <c r="K19" s="4835">
        <f t="shared" si="4"/>
        <v>1632.7254072865912</v>
      </c>
      <c r="L19" s="4835">
        <f t="shared" si="5"/>
        <v>1707.7148831953698</v>
      </c>
      <c r="M19" s="4835">
        <f t="shared" si="6"/>
        <v>1582.4483723022963</v>
      </c>
    </row>
    <row r="20" spans="1:13" s="143" customFormat="1" ht="13.5" thickBot="1">
      <c r="A20" s="148">
        <v>5</v>
      </c>
      <c r="B20" s="149" t="s">
        <v>306</v>
      </c>
      <c r="C20" s="4216">
        <f>'18. OK'!D25</f>
        <v>2928.4194756164388</v>
      </c>
      <c r="D20" s="4217">
        <f>'18. OK'!E25</f>
        <v>3228.8818356164384</v>
      </c>
      <c r="E20" s="4217">
        <f>'18. OK'!F25</f>
        <v>3590.8186405479455</v>
      </c>
      <c r="F20" s="4217">
        <f>'18. OK'!G25</f>
        <v>3966.3992810958907</v>
      </c>
      <c r="G20" s="4218">
        <f>'18. OK'!H25</f>
        <v>4395.7880136986305</v>
      </c>
      <c r="H20" s="4775"/>
      <c r="I20" s="4835">
        <f t="shared" si="2"/>
        <v>1497.2771026195728</v>
      </c>
      <c r="J20" s="4835">
        <f t="shared" si="3"/>
        <v>1650.9010678926279</v>
      </c>
      <c r="K20" s="4835">
        <f t="shared" si="4"/>
        <v>1835.9564177602069</v>
      </c>
      <c r="L20" s="4835">
        <f t="shared" si="5"/>
        <v>2027.9877500068467</v>
      </c>
      <c r="M20" s="4835">
        <f t="shared" si="6"/>
        <v>2247.5307228637616</v>
      </c>
    </row>
    <row r="21" spans="1:13" ht="13.5" thickBot="1">
      <c r="A21" s="131">
        <v>6</v>
      </c>
      <c r="B21" s="132" t="s">
        <v>305</v>
      </c>
      <c r="C21" s="641">
        <f t="shared" ref="C21:G21" si="9">C10-C13+C16+C19+C20</f>
        <v>44421.043509729127</v>
      </c>
      <c r="D21" s="642">
        <f t="shared" si="9"/>
        <v>45925.537706850337</v>
      </c>
      <c r="E21" s="642">
        <f t="shared" si="9"/>
        <v>47487.419961077707</v>
      </c>
      <c r="F21" s="642">
        <f t="shared" si="9"/>
        <v>49105.740465371317</v>
      </c>
      <c r="G21" s="643">
        <f t="shared" si="9"/>
        <v>50414.030844068846</v>
      </c>
      <c r="H21" s="4775"/>
      <c r="I21" s="4835">
        <f t="shared" si="2"/>
        <v>22712.118900788479</v>
      </c>
      <c r="J21" s="4835">
        <f t="shared" si="3"/>
        <v>23481.354569083374</v>
      </c>
      <c r="K21" s="4835">
        <f t="shared" si="4"/>
        <v>24279.932285054278</v>
      </c>
      <c r="L21" s="4835">
        <f t="shared" si="5"/>
        <v>25107.366420072969</v>
      </c>
      <c r="M21" s="4835">
        <f t="shared" si="6"/>
        <v>25776.284668948145</v>
      </c>
    </row>
    <row r="22" spans="1:13" ht="13.5" thickBot="1">
      <c r="A22" s="5589" t="s">
        <v>1</v>
      </c>
      <c r="B22" s="5591" t="s">
        <v>87</v>
      </c>
      <c r="C22" s="5586" t="s">
        <v>174</v>
      </c>
      <c r="D22" s="5587"/>
      <c r="E22" s="5587"/>
      <c r="F22" s="5587"/>
      <c r="G22" s="5588"/>
      <c r="H22" s="4775"/>
      <c r="I22" s="5593" t="s">
        <v>174</v>
      </c>
      <c r="J22" s="5593"/>
      <c r="K22" s="5593"/>
      <c r="L22" s="5593"/>
      <c r="M22" s="5593"/>
    </row>
    <row r="23" spans="1:13" ht="13.5" thickBot="1">
      <c r="A23" s="5590"/>
      <c r="B23" s="5592"/>
      <c r="C23" s="1260" t="str">
        <f t="shared" ref="C23:G23" si="10">C9</f>
        <v>2027 г.</v>
      </c>
      <c r="D23" s="1261" t="str">
        <f t="shared" si="10"/>
        <v>2028 г.</v>
      </c>
      <c r="E23" s="1261" t="str">
        <f t="shared" si="10"/>
        <v>2029 г.</v>
      </c>
      <c r="F23" s="1261" t="str">
        <f t="shared" si="10"/>
        <v>2030 г.</v>
      </c>
      <c r="G23" s="1262" t="str">
        <f t="shared" si="10"/>
        <v>2031 г.</v>
      </c>
      <c r="H23" s="4775"/>
      <c r="I23" s="4857" t="str">
        <f t="shared" ref="I23:M23" si="11">I9</f>
        <v>2027 г.</v>
      </c>
      <c r="J23" s="4857" t="str">
        <f t="shared" si="11"/>
        <v>2028 г.</v>
      </c>
      <c r="K23" s="4857" t="str">
        <f t="shared" si="11"/>
        <v>2029 г.</v>
      </c>
      <c r="L23" s="4857" t="str">
        <f t="shared" si="11"/>
        <v>2030 г.</v>
      </c>
      <c r="M23" s="4857" t="str">
        <f t="shared" si="11"/>
        <v>2031 г.</v>
      </c>
    </row>
    <row r="24" spans="1:13" ht="13.5" thickBot="1">
      <c r="A24" s="145" t="s">
        <v>141</v>
      </c>
      <c r="B24" s="146" t="s">
        <v>547</v>
      </c>
      <c r="C24" s="4201">
        <f t="shared" ref="C24:G24" si="12">C25-C26</f>
        <v>5877.6666666666661</v>
      </c>
      <c r="D24" s="4202">
        <f t="shared" si="12"/>
        <v>6136</v>
      </c>
      <c r="E24" s="4202">
        <f t="shared" si="12"/>
        <v>6372.666666666667</v>
      </c>
      <c r="F24" s="4202">
        <f t="shared" si="12"/>
        <v>6671</v>
      </c>
      <c r="G24" s="4203">
        <f t="shared" si="12"/>
        <v>6880.9999999999991</v>
      </c>
      <c r="H24" s="4775"/>
      <c r="I24" s="4835">
        <f t="shared" ref="I24:I35" si="13">IFERROR(C24/$C$1,0)</f>
        <v>3005.2032470443064</v>
      </c>
      <c r="J24" s="4835">
        <f t="shared" ref="J24:J35" si="14">IFERROR(D24/$C$1,0)</f>
        <v>3137.2869830199966</v>
      </c>
      <c r="K24" s="4835">
        <f t="shared" ref="K24:K35" si="15">IFERROR(E24/$C$1,0)</f>
        <v>3258.2927282364353</v>
      </c>
      <c r="L24" s="4835">
        <f t="shared" ref="L24:L35" si="16">IFERROR(F24/$C$1,0)</f>
        <v>3410.8281394599735</v>
      </c>
      <c r="M24" s="4835">
        <f t="shared" ref="M24:M35" si="17">IFERROR(G24/$C$1,0)</f>
        <v>3518.1994345111789</v>
      </c>
    </row>
    <row r="25" spans="1:13" ht="13.5" thickBot="1">
      <c r="A25" s="1258" t="s">
        <v>90</v>
      </c>
      <c r="B25" s="1259" t="s">
        <v>686</v>
      </c>
      <c r="C25" s="4204">
        <f>'11. Амортиз. план'!M10+'11. Амортиз. план'!M111</f>
        <v>5877.6666666666661</v>
      </c>
      <c r="D25" s="4205">
        <f>'11. Амортиз. план'!N10+'11. Амортиз. план'!N111</f>
        <v>6136</v>
      </c>
      <c r="E25" s="4205">
        <f>'11. Амортиз. план'!O10+'11. Амортиз. план'!O111</f>
        <v>6372.666666666667</v>
      </c>
      <c r="F25" s="4205">
        <f>'11. Амортиз. план'!P10+'11. Амортиз. план'!P111</f>
        <v>6671</v>
      </c>
      <c r="G25" s="4206">
        <f>'11. Амортиз. план'!Q10+'11. Амортиз. план'!Q111</f>
        <v>6880.9999999999991</v>
      </c>
      <c r="H25" s="4775"/>
      <c r="I25" s="4835">
        <f t="shared" si="13"/>
        <v>3005.2032470443064</v>
      </c>
      <c r="J25" s="4835">
        <f t="shared" si="14"/>
        <v>3137.2869830199966</v>
      </c>
      <c r="K25" s="4835">
        <f t="shared" si="15"/>
        <v>3258.2927282364353</v>
      </c>
      <c r="L25" s="4835">
        <f t="shared" si="16"/>
        <v>3410.8281394599735</v>
      </c>
      <c r="M25" s="4835">
        <f t="shared" si="17"/>
        <v>3518.1994345111789</v>
      </c>
    </row>
    <row r="26" spans="1:13" ht="13.5" thickBot="1">
      <c r="A26" s="1258" t="s">
        <v>91</v>
      </c>
      <c r="B26" s="1259" t="s">
        <v>649</v>
      </c>
      <c r="C26" s="4204">
        <f>'11. Амортиз. план'!N32</f>
        <v>0</v>
      </c>
      <c r="D26" s="4205">
        <f>'11. Амортиз. план'!O32</f>
        <v>0</v>
      </c>
      <c r="E26" s="4205">
        <f>'11. Амортиз. план'!P32</f>
        <v>0</v>
      </c>
      <c r="F26" s="4205">
        <f>'11. Амортиз. план'!Q32</f>
        <v>0</v>
      </c>
      <c r="G26" s="4206">
        <f>'11. Амортиз. план'!R32</f>
        <v>0</v>
      </c>
      <c r="H26" s="4775"/>
      <c r="I26" s="4835">
        <f t="shared" si="13"/>
        <v>0</v>
      </c>
      <c r="J26" s="4835">
        <f t="shared" si="14"/>
        <v>0</v>
      </c>
      <c r="K26" s="4835">
        <f t="shared" si="15"/>
        <v>0</v>
      </c>
      <c r="L26" s="4835">
        <f t="shared" si="16"/>
        <v>0</v>
      </c>
      <c r="M26" s="4835">
        <f t="shared" si="17"/>
        <v>0</v>
      </c>
    </row>
    <row r="27" spans="1:13" ht="13.5" thickBot="1">
      <c r="A27" s="144" t="s">
        <v>95</v>
      </c>
      <c r="B27" s="142" t="s">
        <v>548</v>
      </c>
      <c r="C27" s="4207">
        <f t="shared" ref="C27:G27" si="18">C28-C29</f>
        <v>3053.1526293599081</v>
      </c>
      <c r="D27" s="4208">
        <f t="shared" si="18"/>
        <v>3293.3410195114229</v>
      </c>
      <c r="E27" s="4208">
        <f t="shared" si="18"/>
        <v>3538.9417319031509</v>
      </c>
      <c r="F27" s="4208">
        <f t="shared" si="18"/>
        <v>3790.01925528012</v>
      </c>
      <c r="G27" s="4209">
        <f t="shared" si="18"/>
        <v>4046.2719355000163</v>
      </c>
      <c r="H27" s="4775"/>
      <c r="I27" s="4835">
        <f t="shared" si="13"/>
        <v>1561.0521514446082</v>
      </c>
      <c r="J27" s="4835">
        <f t="shared" si="14"/>
        <v>1683.8585252866676</v>
      </c>
      <c r="K27" s="4835">
        <f t="shared" si="15"/>
        <v>1809.4321755485655</v>
      </c>
      <c r="L27" s="4835">
        <f t="shared" si="16"/>
        <v>1937.8060748020637</v>
      </c>
      <c r="M27" s="4835">
        <f t="shared" si="17"/>
        <v>2068.8259897332673</v>
      </c>
    </row>
    <row r="28" spans="1:13" ht="13.5" thickBot="1">
      <c r="A28" s="127" t="s">
        <v>96</v>
      </c>
      <c r="B28" s="128" t="s">
        <v>687</v>
      </c>
      <c r="C28" s="4204">
        <f>'11. Амортиз. план'!M60+'11. Амортиз. план'!M151</f>
        <v>3053.1526293599081</v>
      </c>
      <c r="D28" s="4205">
        <f>'11. Амортиз. план'!N60+'11. Амортиз. план'!N151</f>
        <v>3293.3410195114229</v>
      </c>
      <c r="E28" s="4205">
        <f>'11. Амортиз. план'!O60+'11. Амортиз. план'!O151</f>
        <v>3538.9417319031509</v>
      </c>
      <c r="F28" s="4205">
        <f>'11. Амортиз. план'!P60+'11. Амортиз. план'!P151</f>
        <v>3790.01925528012</v>
      </c>
      <c r="G28" s="4206">
        <f>'11. Амортиз. план'!Q60+'11. Амортиз. план'!Q151</f>
        <v>4046.2719355000163</v>
      </c>
      <c r="H28" s="4775"/>
      <c r="I28" s="4835">
        <f t="shared" si="13"/>
        <v>1561.0521514446082</v>
      </c>
      <c r="J28" s="4835">
        <f t="shared" si="14"/>
        <v>1683.8585252866676</v>
      </c>
      <c r="K28" s="4835">
        <f t="shared" si="15"/>
        <v>1809.4321755485655</v>
      </c>
      <c r="L28" s="4835">
        <f t="shared" si="16"/>
        <v>1937.8060748020637</v>
      </c>
      <c r="M28" s="4835">
        <f t="shared" si="17"/>
        <v>2068.8259897332673</v>
      </c>
    </row>
    <row r="29" spans="1:13" ht="13.5" thickBot="1">
      <c r="A29" s="127" t="s">
        <v>97</v>
      </c>
      <c r="B29" s="128" t="s">
        <v>650</v>
      </c>
      <c r="C29" s="4210">
        <f>'11. Амортиз. план'!N82</f>
        <v>0</v>
      </c>
      <c r="D29" s="4211">
        <f>'11. Амортиз. план'!O82</f>
        <v>0</v>
      </c>
      <c r="E29" s="4211">
        <f>'11. Амортиз. план'!P82</f>
        <v>0</v>
      </c>
      <c r="F29" s="4211">
        <f>'11. Амортиз. план'!Q82</f>
        <v>0</v>
      </c>
      <c r="G29" s="4212">
        <f>'11. Амортиз. план'!R82</f>
        <v>0</v>
      </c>
      <c r="H29" s="4775"/>
      <c r="I29" s="4835">
        <f t="shared" si="13"/>
        <v>0</v>
      </c>
      <c r="J29" s="4835">
        <f t="shared" si="14"/>
        <v>0</v>
      </c>
      <c r="K29" s="4835">
        <f t="shared" si="15"/>
        <v>0</v>
      </c>
      <c r="L29" s="4835">
        <f t="shared" si="16"/>
        <v>0</v>
      </c>
      <c r="M29" s="4835">
        <f t="shared" si="17"/>
        <v>0</v>
      </c>
    </row>
    <row r="30" spans="1:13" ht="24.75" thickBot="1">
      <c r="A30" s="141" t="s">
        <v>99</v>
      </c>
      <c r="B30" s="142" t="s">
        <v>549</v>
      </c>
      <c r="C30" s="4213">
        <f t="shared" ref="C30:G30" si="19">(C31+C32)/2</f>
        <v>0</v>
      </c>
      <c r="D30" s="4214">
        <f t="shared" si="19"/>
        <v>0</v>
      </c>
      <c r="E30" s="4214">
        <f t="shared" si="19"/>
        <v>0</v>
      </c>
      <c r="F30" s="4214">
        <f t="shared" si="19"/>
        <v>0</v>
      </c>
      <c r="G30" s="4215">
        <f t="shared" si="19"/>
        <v>0</v>
      </c>
      <c r="H30" s="4775"/>
      <c r="I30" s="4835">
        <f t="shared" si="13"/>
        <v>0</v>
      </c>
      <c r="J30" s="4835">
        <f t="shared" si="14"/>
        <v>0</v>
      </c>
      <c r="K30" s="4835">
        <f t="shared" si="15"/>
        <v>0</v>
      </c>
      <c r="L30" s="4835">
        <f t="shared" si="16"/>
        <v>0</v>
      </c>
      <c r="M30" s="4835">
        <f t="shared" si="17"/>
        <v>0</v>
      </c>
    </row>
    <row r="31" spans="1:13" ht="13.5" thickBot="1">
      <c r="A31" s="127" t="s">
        <v>171</v>
      </c>
      <c r="B31" s="128" t="s">
        <v>195</v>
      </c>
      <c r="C31" s="4147">
        <f>IF('10. Финансиране на ИП'!N37=0,0,'10. Финансиране на ИП'!N37)</f>
        <v>0</v>
      </c>
      <c r="D31" s="4148">
        <f>IF('10. Финансиране на ИП'!O37=0,0,'10. Финансиране на ИП'!O37)</f>
        <v>0</v>
      </c>
      <c r="E31" s="4148">
        <f>IF('10. Финансиране на ИП'!P37=0,0,'10. Финансиране на ИП'!P37)</f>
        <v>0</v>
      </c>
      <c r="F31" s="4148">
        <f>IF('10. Финансиране на ИП'!Q37=0,0,'10. Финансиране на ИП'!Q37)</f>
        <v>0</v>
      </c>
      <c r="G31" s="4149">
        <f>IF('10. Финансиране на ИП'!R37=0,0,'10. Финансиране на ИП'!R37)</f>
        <v>0</v>
      </c>
      <c r="H31" s="4775"/>
      <c r="I31" s="4835">
        <f t="shared" si="13"/>
        <v>0</v>
      </c>
      <c r="J31" s="4835">
        <f t="shared" si="14"/>
        <v>0</v>
      </c>
      <c r="K31" s="4835">
        <f t="shared" si="15"/>
        <v>0</v>
      </c>
      <c r="L31" s="4835">
        <f t="shared" si="16"/>
        <v>0</v>
      </c>
      <c r="M31" s="4835">
        <f t="shared" si="17"/>
        <v>0</v>
      </c>
    </row>
    <row r="32" spans="1:13" ht="13.5" thickBot="1">
      <c r="A32" s="127" t="s">
        <v>172</v>
      </c>
      <c r="B32" s="128" t="s">
        <v>550</v>
      </c>
      <c r="C32" s="4147">
        <f>IF('10. Финансиране на ИП'!N43=0,0,'10. Финансиране на ИП'!N43)</f>
        <v>0</v>
      </c>
      <c r="D32" s="4148">
        <f>IF('10. Финансиране на ИП'!O43=0,0,'10. Финансиране на ИП'!O43)</f>
        <v>0</v>
      </c>
      <c r="E32" s="4148">
        <f>IF('10. Финансиране на ИП'!P43=0,0,'10. Финансиране на ИП'!P43)</f>
        <v>0</v>
      </c>
      <c r="F32" s="4148">
        <f>IF('10. Финансиране на ИП'!Q43=0,0,'10. Финансиране на ИП'!Q43)</f>
        <v>0</v>
      </c>
      <c r="G32" s="4149">
        <f>IF('10. Финансиране на ИП'!R43=0,0,'10. Финансиране на ИП'!R43)</f>
        <v>0</v>
      </c>
      <c r="H32" s="4775"/>
      <c r="I32" s="4835">
        <f t="shared" si="13"/>
        <v>0</v>
      </c>
      <c r="J32" s="4835">
        <f t="shared" si="14"/>
        <v>0</v>
      </c>
      <c r="K32" s="4835">
        <f t="shared" si="15"/>
        <v>0</v>
      </c>
      <c r="L32" s="4835">
        <f t="shared" si="16"/>
        <v>0</v>
      </c>
      <c r="M32" s="4835">
        <f t="shared" si="17"/>
        <v>0</v>
      </c>
    </row>
    <row r="33" spans="1:13" ht="13.5" thickBot="1">
      <c r="A33" s="147" t="s">
        <v>100</v>
      </c>
      <c r="B33" s="142" t="s">
        <v>329</v>
      </c>
      <c r="C33" s="4213">
        <f>'9.Инвестиционна програма'!I141</f>
        <v>258.33333333333331</v>
      </c>
      <c r="D33" s="4214">
        <f>'9.Инвестиционна програма'!J141</f>
        <v>236.66666666666666</v>
      </c>
      <c r="E33" s="4214">
        <f>'9.Инвестиционна програма'!K141</f>
        <v>298.33333333333331</v>
      </c>
      <c r="F33" s="4214">
        <f>'9.Инвестиционна програма'!L141</f>
        <v>210</v>
      </c>
      <c r="G33" s="4215">
        <f>'9.Инвестиционна програма'!M141</f>
        <v>230</v>
      </c>
      <c r="H33" s="4775"/>
      <c r="I33" s="4835">
        <f t="shared" si="13"/>
        <v>132.08373597568976</v>
      </c>
      <c r="J33" s="4835">
        <f t="shared" si="14"/>
        <v>121.00574521643837</v>
      </c>
      <c r="K33" s="4835">
        <f t="shared" si="15"/>
        <v>152.53541122353852</v>
      </c>
      <c r="L33" s="4835">
        <f t="shared" si="16"/>
        <v>107.37129505120589</v>
      </c>
      <c r="M33" s="4835">
        <f t="shared" si="17"/>
        <v>117.59713267513025</v>
      </c>
    </row>
    <row r="34" spans="1:13" ht="13.5" thickBot="1">
      <c r="A34" s="148">
        <v>5</v>
      </c>
      <c r="B34" s="149" t="s">
        <v>306</v>
      </c>
      <c r="C34" s="4216">
        <f>'18. OK'!D26</f>
        <v>689.61164087671239</v>
      </c>
      <c r="D34" s="4217">
        <f>'18. OK'!E26</f>
        <v>773.94040800000005</v>
      </c>
      <c r="E34" s="4217">
        <f>'18. OK'!F26</f>
        <v>853.16876475616459</v>
      </c>
      <c r="F34" s="4217">
        <f>'18. OK'!G26</f>
        <v>956.73040859178093</v>
      </c>
      <c r="G34" s="4218">
        <f>'18. OK'!H26</f>
        <v>1076.8947921534248</v>
      </c>
      <c r="H34" s="4775"/>
      <c r="I34" s="4835">
        <f t="shared" si="13"/>
        <v>352.59283315866531</v>
      </c>
      <c r="J34" s="4835">
        <f t="shared" si="14"/>
        <v>395.70944714008891</v>
      </c>
      <c r="K34" s="4835">
        <f t="shared" si="15"/>
        <v>436.2182627100334</v>
      </c>
      <c r="L34" s="4835">
        <f t="shared" si="16"/>
        <v>489.16849040651846</v>
      </c>
      <c r="M34" s="4835">
        <f t="shared" si="17"/>
        <v>550.60756413053525</v>
      </c>
    </row>
    <row r="35" spans="1:13" ht="13.5" thickBot="1">
      <c r="A35" s="131">
        <v>6</v>
      </c>
      <c r="B35" s="132" t="s">
        <v>305</v>
      </c>
      <c r="C35" s="641">
        <f t="shared" ref="C35:G35" si="20">C24-C27+C30+C33+C34</f>
        <v>3772.4590115168039</v>
      </c>
      <c r="D35" s="642">
        <f t="shared" si="20"/>
        <v>3853.2660551552435</v>
      </c>
      <c r="E35" s="642">
        <f t="shared" si="20"/>
        <v>3985.227032853014</v>
      </c>
      <c r="F35" s="642">
        <f t="shared" si="20"/>
        <v>4047.7111533116608</v>
      </c>
      <c r="G35" s="643">
        <f t="shared" si="20"/>
        <v>4141.6228566534073</v>
      </c>
      <c r="H35" s="4775"/>
      <c r="I35" s="4835">
        <f t="shared" si="13"/>
        <v>1928.8276647340535</v>
      </c>
      <c r="J35" s="4835">
        <f t="shared" si="14"/>
        <v>1970.1436500898562</v>
      </c>
      <c r="K35" s="4835">
        <f t="shared" si="15"/>
        <v>2037.6142266214415</v>
      </c>
      <c r="L35" s="4835">
        <f t="shared" si="16"/>
        <v>2069.5618501156341</v>
      </c>
      <c r="M35" s="4835">
        <f t="shared" si="17"/>
        <v>2117.5781415835768</v>
      </c>
    </row>
    <row r="36" spans="1:13" ht="13.5" thickBot="1">
      <c r="A36" s="5589" t="s">
        <v>1</v>
      </c>
      <c r="B36" s="5591" t="s">
        <v>87</v>
      </c>
      <c r="C36" s="5586" t="s">
        <v>184</v>
      </c>
      <c r="D36" s="5587"/>
      <c r="E36" s="5587"/>
      <c r="F36" s="5587"/>
      <c r="G36" s="5588"/>
      <c r="H36" s="4775"/>
      <c r="I36" s="5593" t="s">
        <v>184</v>
      </c>
      <c r="J36" s="5593"/>
      <c r="K36" s="5593"/>
      <c r="L36" s="5593"/>
      <c r="M36" s="5593"/>
    </row>
    <row r="37" spans="1:13" ht="13.5" thickBot="1">
      <c r="A37" s="5590"/>
      <c r="B37" s="5592"/>
      <c r="C37" s="1260" t="str">
        <f t="shared" ref="C37:G37" si="21">C23</f>
        <v>2027 г.</v>
      </c>
      <c r="D37" s="1261" t="str">
        <f t="shared" si="21"/>
        <v>2028 г.</v>
      </c>
      <c r="E37" s="1261" t="str">
        <f t="shared" si="21"/>
        <v>2029 г.</v>
      </c>
      <c r="F37" s="1261" t="str">
        <f t="shared" si="21"/>
        <v>2030 г.</v>
      </c>
      <c r="G37" s="1262" t="str">
        <f t="shared" si="21"/>
        <v>2031 г.</v>
      </c>
      <c r="H37" s="4775"/>
      <c r="I37" s="4857" t="str">
        <f t="shared" ref="I37:M37" si="22">I23</f>
        <v>2027 г.</v>
      </c>
      <c r="J37" s="4857" t="str">
        <f t="shared" si="22"/>
        <v>2028 г.</v>
      </c>
      <c r="K37" s="4857" t="str">
        <f t="shared" si="22"/>
        <v>2029 г.</v>
      </c>
      <c r="L37" s="4857" t="str">
        <f t="shared" si="22"/>
        <v>2030 г.</v>
      </c>
      <c r="M37" s="4857" t="str">
        <f t="shared" si="22"/>
        <v>2031 г.</v>
      </c>
    </row>
    <row r="38" spans="1:13" ht="13.5" thickBot="1">
      <c r="A38" s="145" t="s">
        <v>141</v>
      </c>
      <c r="B38" s="146" t="s">
        <v>547</v>
      </c>
      <c r="C38" s="4201">
        <f t="shared" ref="C38:G38" si="23">C39-C40</f>
        <v>4513.6666666666661</v>
      </c>
      <c r="D38" s="4202">
        <f t="shared" si="23"/>
        <v>4767</v>
      </c>
      <c r="E38" s="4202">
        <f t="shared" si="23"/>
        <v>4983.666666666667</v>
      </c>
      <c r="F38" s="4202">
        <f t="shared" si="23"/>
        <v>5252</v>
      </c>
      <c r="G38" s="4203">
        <f t="shared" si="23"/>
        <v>5471.9999999999991</v>
      </c>
      <c r="H38" s="4775"/>
      <c r="I38" s="4835">
        <f t="shared" ref="I38:I49" si="24">IFERROR(C38/$C$1,0)</f>
        <v>2307.8011210926647</v>
      </c>
      <c r="J38" s="4835">
        <f t="shared" ref="J38:J49" si="25">IFERROR(D38/$C$1,0)</f>
        <v>2437.3283976623734</v>
      </c>
      <c r="K38" s="4835">
        <f t="shared" ref="K38:K49" si="26">IFERROR(E38/$C$1,0)</f>
        <v>2548.1083052548879</v>
      </c>
      <c r="L38" s="4835">
        <f t="shared" ref="L38:L49" si="27">IFERROR(F38/$C$1,0)</f>
        <v>2685.3049600425397</v>
      </c>
      <c r="M38" s="4835">
        <f t="shared" ref="M38:M49" si="28">IFERROR(G38/$C$1,0)</f>
        <v>2797.7891739057072</v>
      </c>
    </row>
    <row r="39" spans="1:13" ht="13.5" thickBot="1">
      <c r="A39" s="1258" t="s">
        <v>90</v>
      </c>
      <c r="B39" s="1259" t="s">
        <v>686</v>
      </c>
      <c r="C39" s="4210">
        <f>'11. Амортиз. план'!T10+'11. Амортиз. план'!T111</f>
        <v>4513.6666666666661</v>
      </c>
      <c r="D39" s="4211">
        <f>'11. Амортиз. план'!U10+'11. Амортиз. план'!U111</f>
        <v>4767</v>
      </c>
      <c r="E39" s="4211">
        <f>'11. Амортиз. план'!V10+'11. Амортиз. план'!V111</f>
        <v>4983.666666666667</v>
      </c>
      <c r="F39" s="4211">
        <f>'11. Амортиз. план'!W10+'11. Амортиз. план'!W111</f>
        <v>5252</v>
      </c>
      <c r="G39" s="4212">
        <f>'11. Амортиз. план'!X10+'11. Амортиз. план'!X111</f>
        <v>5471.9999999999991</v>
      </c>
      <c r="H39" s="4775"/>
      <c r="I39" s="4835">
        <f t="shared" si="24"/>
        <v>2307.8011210926647</v>
      </c>
      <c r="J39" s="4835">
        <f t="shared" si="25"/>
        <v>2437.3283976623734</v>
      </c>
      <c r="K39" s="4835">
        <f t="shared" si="26"/>
        <v>2548.1083052548879</v>
      </c>
      <c r="L39" s="4835">
        <f t="shared" si="27"/>
        <v>2685.3049600425397</v>
      </c>
      <c r="M39" s="4835">
        <f t="shared" si="28"/>
        <v>2797.7891739057072</v>
      </c>
    </row>
    <row r="40" spans="1:13" ht="13.5" thickBot="1">
      <c r="A40" s="1258" t="s">
        <v>91</v>
      </c>
      <c r="B40" s="1259" t="s">
        <v>649</v>
      </c>
      <c r="C40" s="4210">
        <f>'11. Амортиз. план'!U32</f>
        <v>0</v>
      </c>
      <c r="D40" s="4211">
        <f>'11. Амортиз. план'!V32</f>
        <v>0</v>
      </c>
      <c r="E40" s="4211">
        <f>'11. Амортиз. план'!W32</f>
        <v>0</v>
      </c>
      <c r="F40" s="4211">
        <f>'11. Амортиз. план'!X32</f>
        <v>0</v>
      </c>
      <c r="G40" s="4212">
        <f>'11. Амортиз. план'!Y32</f>
        <v>0</v>
      </c>
      <c r="H40" s="4775"/>
      <c r="I40" s="4835">
        <f t="shared" si="24"/>
        <v>0</v>
      </c>
      <c r="J40" s="4835">
        <f t="shared" si="25"/>
        <v>0</v>
      </c>
      <c r="K40" s="4835">
        <f t="shared" si="26"/>
        <v>0</v>
      </c>
      <c r="L40" s="4835">
        <f t="shared" si="27"/>
        <v>0</v>
      </c>
      <c r="M40" s="4835">
        <f t="shared" si="28"/>
        <v>0</v>
      </c>
    </row>
    <row r="41" spans="1:13" ht="13.5" thickBot="1">
      <c r="A41" s="144" t="s">
        <v>95</v>
      </c>
      <c r="B41" s="142" t="s">
        <v>548</v>
      </c>
      <c r="C41" s="4213">
        <f t="shared" ref="C41:G41" si="29">C42-C43</f>
        <v>2581.8764047527798</v>
      </c>
      <c r="D41" s="4214">
        <f t="shared" si="29"/>
        <v>2718.3331850558093</v>
      </c>
      <c r="E41" s="4214">
        <f t="shared" si="29"/>
        <v>2866.974588626606</v>
      </c>
      <c r="F41" s="4214">
        <f t="shared" si="29"/>
        <v>3026.7169289952949</v>
      </c>
      <c r="G41" s="4215">
        <f t="shared" si="29"/>
        <v>3198.4458948702045</v>
      </c>
      <c r="H41" s="4775"/>
      <c r="I41" s="4835">
        <f t="shared" si="24"/>
        <v>1320.0924440021779</v>
      </c>
      <c r="J41" s="4835">
        <f t="shared" si="25"/>
        <v>1389.8616879052931</v>
      </c>
      <c r="K41" s="4835">
        <f t="shared" si="26"/>
        <v>1465.8608307606521</v>
      </c>
      <c r="L41" s="4835">
        <f t="shared" si="27"/>
        <v>1547.5357924744455</v>
      </c>
      <c r="M41" s="4835">
        <f t="shared" si="28"/>
        <v>1635.3394184925094</v>
      </c>
    </row>
    <row r="42" spans="1:13" ht="13.5" thickBot="1">
      <c r="A42" s="127" t="s">
        <v>96</v>
      </c>
      <c r="B42" s="128" t="s">
        <v>687</v>
      </c>
      <c r="C42" s="4210">
        <f>'11. Амортиз. план'!T60+'11. Амортиз. план'!T151</f>
        <v>2581.8764047527798</v>
      </c>
      <c r="D42" s="4211">
        <f>'11. Амортиз. план'!U60+'11. Амортиз. план'!U151</f>
        <v>2718.3331850558093</v>
      </c>
      <c r="E42" s="4211">
        <f>'11. Амортиз. план'!V60+'11. Амортиз. план'!V151</f>
        <v>2866.974588626606</v>
      </c>
      <c r="F42" s="4211">
        <f>'11. Амортиз. план'!W60+'11. Амортиз. план'!W151</f>
        <v>3026.7169289952949</v>
      </c>
      <c r="G42" s="4212">
        <f>'11. Амортиз. план'!X60+'11. Амортиз. план'!X151</f>
        <v>3198.4458948702045</v>
      </c>
      <c r="H42" s="4775"/>
      <c r="I42" s="4835">
        <f t="shared" si="24"/>
        <v>1320.0924440021779</v>
      </c>
      <c r="J42" s="4835">
        <f t="shared" si="25"/>
        <v>1389.8616879052931</v>
      </c>
      <c r="K42" s="4835">
        <f t="shared" si="26"/>
        <v>1465.8608307606521</v>
      </c>
      <c r="L42" s="4835">
        <f t="shared" si="27"/>
        <v>1547.5357924744455</v>
      </c>
      <c r="M42" s="4835">
        <f t="shared" si="28"/>
        <v>1635.3394184925094</v>
      </c>
    </row>
    <row r="43" spans="1:13" ht="13.5" thickBot="1">
      <c r="A43" s="127" t="s">
        <v>97</v>
      </c>
      <c r="B43" s="128" t="s">
        <v>650</v>
      </c>
      <c r="C43" s="4210">
        <f>'11. Амортиз. план'!U82</f>
        <v>0</v>
      </c>
      <c r="D43" s="4211">
        <f>'11. Амортиз. план'!V82</f>
        <v>0</v>
      </c>
      <c r="E43" s="4211">
        <f>'11. Амортиз. план'!W82</f>
        <v>0</v>
      </c>
      <c r="F43" s="4211">
        <f>'11. Амортиз. план'!X82</f>
        <v>0</v>
      </c>
      <c r="G43" s="4212">
        <f>'11. Амортиз. план'!Y82</f>
        <v>0</v>
      </c>
      <c r="H43" s="4775"/>
      <c r="I43" s="4835">
        <f t="shared" si="24"/>
        <v>0</v>
      </c>
      <c r="J43" s="4835">
        <f t="shared" si="25"/>
        <v>0</v>
      </c>
      <c r="K43" s="4835">
        <f t="shared" si="26"/>
        <v>0</v>
      </c>
      <c r="L43" s="4835">
        <f t="shared" si="27"/>
        <v>0</v>
      </c>
      <c r="M43" s="4835">
        <f t="shared" si="28"/>
        <v>0</v>
      </c>
    </row>
    <row r="44" spans="1:13" ht="24.75" thickBot="1">
      <c r="A44" s="141" t="s">
        <v>99</v>
      </c>
      <c r="B44" s="142" t="s">
        <v>549</v>
      </c>
      <c r="C44" s="4213">
        <f t="shared" ref="C44:G44" si="30">(C45+C46)/2</f>
        <v>0</v>
      </c>
      <c r="D44" s="4214">
        <f t="shared" si="30"/>
        <v>0</v>
      </c>
      <c r="E44" s="4214">
        <f t="shared" si="30"/>
        <v>0</v>
      </c>
      <c r="F44" s="4214">
        <f t="shared" si="30"/>
        <v>0</v>
      </c>
      <c r="G44" s="4215">
        <f t="shared" si="30"/>
        <v>0</v>
      </c>
      <c r="H44" s="4775"/>
      <c r="I44" s="4835">
        <f t="shared" si="24"/>
        <v>0</v>
      </c>
      <c r="J44" s="4835">
        <f t="shared" si="25"/>
        <v>0</v>
      </c>
      <c r="K44" s="4835">
        <f t="shared" si="26"/>
        <v>0</v>
      </c>
      <c r="L44" s="4835">
        <f t="shared" si="27"/>
        <v>0</v>
      </c>
      <c r="M44" s="4835">
        <f t="shared" si="28"/>
        <v>0</v>
      </c>
    </row>
    <row r="45" spans="1:13" ht="13.5" thickBot="1">
      <c r="A45" s="127" t="s">
        <v>171</v>
      </c>
      <c r="B45" s="128" t="s">
        <v>195</v>
      </c>
      <c r="C45" s="4147">
        <f>IF('10. Финансиране на ИП'!V37=0,0,'10. Финансиране на ИП'!V37)</f>
        <v>0</v>
      </c>
      <c r="D45" s="4148">
        <f>IF('10. Финансиране на ИП'!W37=0,0,'10. Финансиране на ИП'!W37)</f>
        <v>0</v>
      </c>
      <c r="E45" s="4148">
        <f>IF('10. Финансиране на ИП'!X37=0,0,'10. Финансиране на ИП'!X37)</f>
        <v>0</v>
      </c>
      <c r="F45" s="4148">
        <f>IF('10. Финансиране на ИП'!Y37=0,0,'10. Финансиране на ИП'!Y37)</f>
        <v>0</v>
      </c>
      <c r="G45" s="4149">
        <f>IF('10. Финансиране на ИП'!Z37=0,0,'10. Финансиране на ИП'!Z37)</f>
        <v>0</v>
      </c>
      <c r="H45" s="4775"/>
      <c r="I45" s="4835">
        <f t="shared" si="24"/>
        <v>0</v>
      </c>
      <c r="J45" s="4835">
        <f t="shared" si="25"/>
        <v>0</v>
      </c>
      <c r="K45" s="4835">
        <f t="shared" si="26"/>
        <v>0</v>
      </c>
      <c r="L45" s="4835">
        <f t="shared" si="27"/>
        <v>0</v>
      </c>
      <c r="M45" s="4835">
        <f t="shared" si="28"/>
        <v>0</v>
      </c>
    </row>
    <row r="46" spans="1:13" ht="13.5" thickBot="1">
      <c r="A46" s="127" t="s">
        <v>172</v>
      </c>
      <c r="B46" s="128" t="s">
        <v>550</v>
      </c>
      <c r="C46" s="4147">
        <f>IF('10. Финансиране на ИП'!V43=0,0,'10. Финансиране на ИП'!V43)</f>
        <v>0</v>
      </c>
      <c r="D46" s="4148">
        <f>IF('10. Финансиране на ИП'!W43=0,0,'10. Финансиране на ИП'!W43)</f>
        <v>0</v>
      </c>
      <c r="E46" s="4148">
        <f>IF('10. Финансиране на ИП'!X43=0,0,'10. Финансиране на ИП'!X43)</f>
        <v>0</v>
      </c>
      <c r="F46" s="4148">
        <f>IF('10. Финансиране на ИП'!Y43=0,0,'10. Финансиране на ИП'!Y43)</f>
        <v>0</v>
      </c>
      <c r="G46" s="4149">
        <f>IF('10. Финансиране на ИП'!Z43=0,0,'10. Финансиране на ИП'!Z43)</f>
        <v>0</v>
      </c>
      <c r="H46" s="4775"/>
      <c r="I46" s="4835">
        <f t="shared" si="24"/>
        <v>0</v>
      </c>
      <c r="J46" s="4835">
        <f t="shared" si="25"/>
        <v>0</v>
      </c>
      <c r="K46" s="4835">
        <f t="shared" si="26"/>
        <v>0</v>
      </c>
      <c r="L46" s="4835">
        <f t="shared" si="27"/>
        <v>0</v>
      </c>
      <c r="M46" s="4835">
        <f t="shared" si="28"/>
        <v>0</v>
      </c>
    </row>
    <row r="47" spans="1:13" ht="13.5" thickBot="1">
      <c r="A47" s="147" t="s">
        <v>100</v>
      </c>
      <c r="B47" s="142" t="s">
        <v>329</v>
      </c>
      <c r="C47" s="4150">
        <f>'9.Инвестиционна програма'!I142</f>
        <v>253.33333333333331</v>
      </c>
      <c r="D47" s="4151">
        <f>'9.Инвестиционна програма'!J142</f>
        <v>216.66666666666666</v>
      </c>
      <c r="E47" s="4151">
        <f>'9.Инвестиционна програма'!K142</f>
        <v>268.33333333333331</v>
      </c>
      <c r="F47" s="4151">
        <f>'9.Инвестиционна програма'!L142</f>
        <v>220</v>
      </c>
      <c r="G47" s="4152">
        <f>'9.Инвестиционна програма'!M142</f>
        <v>210</v>
      </c>
      <c r="H47" s="4775"/>
      <c r="I47" s="4835">
        <f t="shared" si="24"/>
        <v>129.52727656970868</v>
      </c>
      <c r="J47" s="4835">
        <f t="shared" si="25"/>
        <v>110.77990759251401</v>
      </c>
      <c r="K47" s="4835">
        <f t="shared" si="26"/>
        <v>137.19665478765197</v>
      </c>
      <c r="L47" s="4835">
        <f t="shared" si="27"/>
        <v>112.48421386316807</v>
      </c>
      <c r="M47" s="4835">
        <f t="shared" si="28"/>
        <v>107.37129505120589</v>
      </c>
    </row>
    <row r="48" spans="1:13" ht="13.5" thickBot="1">
      <c r="A48" s="148">
        <v>5</v>
      </c>
      <c r="B48" s="149" t="s">
        <v>306</v>
      </c>
      <c r="C48" s="4216">
        <f>'18. OK'!D27</f>
        <v>764.77951989041105</v>
      </c>
      <c r="D48" s="4217">
        <f>'18. OK'!E27</f>
        <v>819.95163287671232</v>
      </c>
      <c r="E48" s="4217">
        <f>'18. OK'!F27</f>
        <v>896.91577808219188</v>
      </c>
      <c r="F48" s="4217">
        <f>'18. OK'!G27</f>
        <v>986.71513479452062</v>
      </c>
      <c r="G48" s="4218">
        <f>'18. OK'!H27</f>
        <v>1090.6514778082194</v>
      </c>
      <c r="H48" s="4775"/>
      <c r="I48" s="4835">
        <f t="shared" si="24"/>
        <v>391.02555942510907</v>
      </c>
      <c r="J48" s="4835">
        <f t="shared" si="25"/>
        <v>419.23461286344536</v>
      </c>
      <c r="K48" s="4835">
        <f t="shared" si="26"/>
        <v>458.58575545021392</v>
      </c>
      <c r="L48" s="4835">
        <f t="shared" si="27"/>
        <v>504.49943747387078</v>
      </c>
      <c r="M48" s="4835">
        <f t="shared" si="28"/>
        <v>557.64124581800024</v>
      </c>
    </row>
    <row r="49" spans="1:13" ht="13.5" thickBot="1">
      <c r="A49" s="131">
        <v>6</v>
      </c>
      <c r="B49" s="132" t="s">
        <v>305</v>
      </c>
      <c r="C49" s="641">
        <f t="shared" ref="C49:G49" si="31">C38-C41+C44+C47+C48</f>
        <v>2949.9031151376307</v>
      </c>
      <c r="D49" s="642">
        <f t="shared" si="31"/>
        <v>3085.2851144875694</v>
      </c>
      <c r="E49" s="642">
        <f t="shared" si="31"/>
        <v>3281.9411894555865</v>
      </c>
      <c r="F49" s="642">
        <f t="shared" si="31"/>
        <v>3431.9982057992256</v>
      </c>
      <c r="G49" s="643">
        <f t="shared" si="31"/>
        <v>3574.2055829380142</v>
      </c>
      <c r="H49" s="4775"/>
      <c r="I49" s="4835">
        <f t="shared" si="24"/>
        <v>1508.2615130853044</v>
      </c>
      <c r="J49" s="4835">
        <f t="shared" si="25"/>
        <v>1577.4812302130397</v>
      </c>
      <c r="K49" s="4835">
        <f t="shared" si="26"/>
        <v>1678.0298847321017</v>
      </c>
      <c r="L49" s="4835">
        <f t="shared" si="27"/>
        <v>1754.7528189051327</v>
      </c>
      <c r="M49" s="4835">
        <f t="shared" si="28"/>
        <v>1827.4622962824039</v>
      </c>
    </row>
    <row r="50" spans="1:13" s="1363" customFormat="1" ht="13.5" thickBot="1">
      <c r="A50" s="5589" t="s">
        <v>1</v>
      </c>
      <c r="B50" s="5591" t="s">
        <v>87</v>
      </c>
      <c r="C50" s="5586" t="s">
        <v>1236</v>
      </c>
      <c r="D50" s="5587"/>
      <c r="E50" s="5587"/>
      <c r="F50" s="5587"/>
      <c r="G50" s="5588"/>
      <c r="H50" s="4775"/>
      <c r="I50" s="5593" t="s">
        <v>1236</v>
      </c>
      <c r="J50" s="5593"/>
      <c r="K50" s="5593"/>
      <c r="L50" s="5593"/>
      <c r="M50" s="5593"/>
    </row>
    <row r="51" spans="1:13" s="1363" customFormat="1" ht="13.5" thickBot="1">
      <c r="A51" s="5590"/>
      <c r="B51" s="5592"/>
      <c r="C51" s="1260" t="str">
        <f t="shared" ref="C51:G51" si="32">C37</f>
        <v>2027 г.</v>
      </c>
      <c r="D51" s="1261" t="str">
        <f t="shared" si="32"/>
        <v>2028 г.</v>
      </c>
      <c r="E51" s="1261" t="str">
        <f t="shared" si="32"/>
        <v>2029 г.</v>
      </c>
      <c r="F51" s="1261" t="str">
        <f t="shared" si="32"/>
        <v>2030 г.</v>
      </c>
      <c r="G51" s="1262" t="str">
        <f t="shared" si="32"/>
        <v>2031 г.</v>
      </c>
      <c r="H51" s="4775"/>
      <c r="I51" s="4857" t="str">
        <f t="shared" ref="I51:M51" si="33">I37</f>
        <v>2027 г.</v>
      </c>
      <c r="J51" s="4857" t="str">
        <f t="shared" si="33"/>
        <v>2028 г.</v>
      </c>
      <c r="K51" s="4857" t="str">
        <f t="shared" si="33"/>
        <v>2029 г.</v>
      </c>
      <c r="L51" s="4857" t="str">
        <f t="shared" si="33"/>
        <v>2030 г.</v>
      </c>
      <c r="M51" s="4857" t="str">
        <f t="shared" si="33"/>
        <v>2031 г.</v>
      </c>
    </row>
    <row r="52" spans="1:13" s="1366" customFormat="1" ht="13.5" thickBot="1">
      <c r="A52" s="1364" t="s">
        <v>141</v>
      </c>
      <c r="B52" s="1365" t="s">
        <v>547</v>
      </c>
      <c r="C52" s="4219">
        <f t="shared" ref="C52:G52" si="34">C53-C54</f>
        <v>0</v>
      </c>
      <c r="D52" s="4220">
        <f t="shared" si="34"/>
        <v>0</v>
      </c>
      <c r="E52" s="4220">
        <f t="shared" si="34"/>
        <v>0</v>
      </c>
      <c r="F52" s="4220">
        <f t="shared" si="34"/>
        <v>0</v>
      </c>
      <c r="G52" s="4221">
        <f t="shared" si="34"/>
        <v>0</v>
      </c>
      <c r="H52" s="4775"/>
      <c r="I52" s="4835">
        <f t="shared" ref="I52:I63" si="35">IFERROR(C52/$C$1,0)</f>
        <v>0</v>
      </c>
      <c r="J52" s="4835">
        <f t="shared" ref="J52:J63" si="36">IFERROR(D52/$C$1,0)</f>
        <v>0</v>
      </c>
      <c r="K52" s="4835">
        <f t="shared" ref="K52:K63" si="37">IFERROR(E52/$C$1,0)</f>
        <v>0</v>
      </c>
      <c r="L52" s="4835">
        <f t="shared" ref="L52:L63" si="38">IFERROR(F52/$C$1,0)</f>
        <v>0</v>
      </c>
      <c r="M52" s="4835">
        <f t="shared" ref="M52:M63" si="39">IFERROR(G52/$C$1,0)</f>
        <v>0</v>
      </c>
    </row>
    <row r="53" spans="1:13" s="1363" customFormat="1" ht="13.5" thickBot="1">
      <c r="A53" s="1367" t="s">
        <v>90</v>
      </c>
      <c r="B53" s="1368" t="s">
        <v>686</v>
      </c>
      <c r="C53" s="4222">
        <f>'11. Амортиз. план'!AA10+'11. Амортиз. план'!AA111</f>
        <v>0</v>
      </c>
      <c r="D53" s="4223">
        <f>'11. Амортиз. план'!AB10+'11. Амортиз. план'!AB111</f>
        <v>0</v>
      </c>
      <c r="E53" s="4223">
        <f>'11. Амортиз. план'!AC10+'11. Амортиз. план'!AC111</f>
        <v>0</v>
      </c>
      <c r="F53" s="4223">
        <f>'11. Амортиз. план'!AD10+'11. Амортиз. план'!AD111</f>
        <v>0</v>
      </c>
      <c r="G53" s="4224">
        <f>'11. Амортиз. план'!AE10+'11. Амортиз. план'!AE111</f>
        <v>0</v>
      </c>
      <c r="H53" s="4775"/>
      <c r="I53" s="4835">
        <f t="shared" si="35"/>
        <v>0</v>
      </c>
      <c r="J53" s="4835">
        <f t="shared" si="36"/>
        <v>0</v>
      </c>
      <c r="K53" s="4835">
        <f t="shared" si="37"/>
        <v>0</v>
      </c>
      <c r="L53" s="4835">
        <f t="shared" si="38"/>
        <v>0</v>
      </c>
      <c r="M53" s="4835">
        <f t="shared" si="39"/>
        <v>0</v>
      </c>
    </row>
    <row r="54" spans="1:13" s="1363" customFormat="1" ht="13.5" thickBot="1">
      <c r="A54" s="1367" t="s">
        <v>91</v>
      </c>
      <c r="B54" s="1368" t="s">
        <v>649</v>
      </c>
      <c r="C54" s="4222">
        <f>'11. Амортиз. план'!AB32</f>
        <v>0</v>
      </c>
      <c r="D54" s="4223">
        <f>'11. Амортиз. план'!AC32</f>
        <v>0</v>
      </c>
      <c r="E54" s="4223">
        <f>'11. Амортиз. план'!AD32</f>
        <v>0</v>
      </c>
      <c r="F54" s="4223">
        <f>'11. Амортиз. план'!AE32</f>
        <v>0</v>
      </c>
      <c r="G54" s="4225">
        <f>'11. Амортиз. план'!AF32</f>
        <v>0</v>
      </c>
      <c r="H54" s="4775"/>
      <c r="I54" s="4835">
        <f t="shared" si="35"/>
        <v>0</v>
      </c>
      <c r="J54" s="4835">
        <f t="shared" si="36"/>
        <v>0</v>
      </c>
      <c r="K54" s="4835">
        <f t="shared" si="37"/>
        <v>0</v>
      </c>
      <c r="L54" s="4835">
        <f t="shared" si="38"/>
        <v>0</v>
      </c>
      <c r="M54" s="4835">
        <f t="shared" si="39"/>
        <v>0</v>
      </c>
    </row>
    <row r="55" spans="1:13" s="1366" customFormat="1" ht="13.5" thickBot="1">
      <c r="A55" s="1369" t="s">
        <v>95</v>
      </c>
      <c r="B55" s="1370" t="s">
        <v>548</v>
      </c>
      <c r="C55" s="4226">
        <f t="shared" ref="C55:G55" si="40">C56-C57</f>
        <v>0</v>
      </c>
      <c r="D55" s="4227">
        <f t="shared" si="40"/>
        <v>0</v>
      </c>
      <c r="E55" s="4227">
        <f t="shared" si="40"/>
        <v>0</v>
      </c>
      <c r="F55" s="4227">
        <f t="shared" si="40"/>
        <v>0</v>
      </c>
      <c r="G55" s="4228">
        <f t="shared" si="40"/>
        <v>0</v>
      </c>
      <c r="H55" s="4775"/>
      <c r="I55" s="4835">
        <f t="shared" si="35"/>
        <v>0</v>
      </c>
      <c r="J55" s="4835">
        <f t="shared" si="36"/>
        <v>0</v>
      </c>
      <c r="K55" s="4835">
        <f t="shared" si="37"/>
        <v>0</v>
      </c>
      <c r="L55" s="4835">
        <f t="shared" si="38"/>
        <v>0</v>
      </c>
      <c r="M55" s="4835">
        <f t="shared" si="39"/>
        <v>0</v>
      </c>
    </row>
    <row r="56" spans="1:13" s="1363" customFormat="1" ht="13.5" thickBot="1">
      <c r="A56" s="1367" t="s">
        <v>96</v>
      </c>
      <c r="B56" s="1368" t="s">
        <v>687</v>
      </c>
      <c r="C56" s="4222">
        <f>'11. Амортиз. план'!AA60+'11. Амортиз. план'!AA151</f>
        <v>0</v>
      </c>
      <c r="D56" s="4223">
        <f>'11. Амортиз. план'!AB60+'11. Амортиз. план'!AB151</f>
        <v>0</v>
      </c>
      <c r="E56" s="4223">
        <f>'11. Амортиз. план'!AC60+'11. Амортиз. план'!AC151</f>
        <v>0</v>
      </c>
      <c r="F56" s="4223">
        <f>'11. Амортиз. план'!AD60+'11. Амортиз. план'!AD151</f>
        <v>0</v>
      </c>
      <c r="G56" s="4225">
        <f>'11. Амортиз. план'!AE60+'11. Амортиз. план'!AE151</f>
        <v>0</v>
      </c>
      <c r="H56" s="4775"/>
      <c r="I56" s="4835">
        <f t="shared" si="35"/>
        <v>0</v>
      </c>
      <c r="J56" s="4835">
        <f t="shared" si="36"/>
        <v>0</v>
      </c>
      <c r="K56" s="4835">
        <f t="shared" si="37"/>
        <v>0</v>
      </c>
      <c r="L56" s="4835">
        <f t="shared" si="38"/>
        <v>0</v>
      </c>
      <c r="M56" s="4835">
        <f t="shared" si="39"/>
        <v>0</v>
      </c>
    </row>
    <row r="57" spans="1:13" s="1363" customFormat="1" ht="13.5" thickBot="1">
      <c r="A57" s="1367" t="s">
        <v>97</v>
      </c>
      <c r="B57" s="1368" t="s">
        <v>650</v>
      </c>
      <c r="C57" s="4222">
        <f>'11. Амортиз. план'!AB82</f>
        <v>0</v>
      </c>
      <c r="D57" s="4223">
        <f>'11. Амортиз. план'!AC82</f>
        <v>0</v>
      </c>
      <c r="E57" s="4223">
        <f>'11. Амортиз. план'!AD82</f>
        <v>0</v>
      </c>
      <c r="F57" s="4223">
        <f>'11. Амортиз. план'!AE82</f>
        <v>0</v>
      </c>
      <c r="G57" s="4225">
        <f>'11. Амортиз. план'!AF82</f>
        <v>0</v>
      </c>
      <c r="H57" s="4775"/>
      <c r="I57" s="4835">
        <f t="shared" si="35"/>
        <v>0</v>
      </c>
      <c r="J57" s="4835">
        <f t="shared" si="36"/>
        <v>0</v>
      </c>
      <c r="K57" s="4835">
        <f t="shared" si="37"/>
        <v>0</v>
      </c>
      <c r="L57" s="4835">
        <f t="shared" si="38"/>
        <v>0</v>
      </c>
      <c r="M57" s="4835">
        <f t="shared" si="39"/>
        <v>0</v>
      </c>
    </row>
    <row r="58" spans="1:13" s="1366" customFormat="1" ht="24.75" thickBot="1">
      <c r="A58" s="1369" t="s">
        <v>99</v>
      </c>
      <c r="B58" s="1370" t="s">
        <v>549</v>
      </c>
      <c r="C58" s="4226">
        <f t="shared" ref="C58:G58" si="41">(C59+C60)/2</f>
        <v>0</v>
      </c>
      <c r="D58" s="4227">
        <f t="shared" si="41"/>
        <v>0</v>
      </c>
      <c r="E58" s="4227">
        <f t="shared" si="41"/>
        <v>0</v>
      </c>
      <c r="F58" s="4227">
        <f t="shared" si="41"/>
        <v>0</v>
      </c>
      <c r="G58" s="4228">
        <f t="shared" si="41"/>
        <v>0</v>
      </c>
      <c r="H58" s="4775"/>
      <c r="I58" s="4835">
        <f t="shared" si="35"/>
        <v>0</v>
      </c>
      <c r="J58" s="4835">
        <f t="shared" si="36"/>
        <v>0</v>
      </c>
      <c r="K58" s="4835">
        <f t="shared" si="37"/>
        <v>0</v>
      </c>
      <c r="L58" s="4835">
        <f t="shared" si="38"/>
        <v>0</v>
      </c>
      <c r="M58" s="4835">
        <f t="shared" si="39"/>
        <v>0</v>
      </c>
    </row>
    <row r="59" spans="1:13" s="1363" customFormat="1" ht="13.5" thickBot="1">
      <c r="A59" s="1367" t="s">
        <v>171</v>
      </c>
      <c r="B59" s="1368" t="s">
        <v>195</v>
      </c>
      <c r="C59" s="4153">
        <f>IF('10. Финансиране на ИП'!AD37=0,0,'10. Финансиране на ИП'!AD37)</f>
        <v>0</v>
      </c>
      <c r="D59" s="4154">
        <f>IF('10. Финансиране на ИП'!AE37=0,0,'10. Финансиране на ИП'!AE37)</f>
        <v>0</v>
      </c>
      <c r="E59" s="4154">
        <f>IF('10. Финансиране на ИП'!AF37=0,0,'10. Финансиране на ИП'!AF37)</f>
        <v>0</v>
      </c>
      <c r="F59" s="4154">
        <f>IF('10. Финансиране на ИП'!AG37=0,0,'10. Финансиране на ИП'!AG37)</f>
        <v>0</v>
      </c>
      <c r="G59" s="4155">
        <f>IF('10. Финансиране на ИП'!AH37=0,0,'10. Финансиране на ИП'!AH37)</f>
        <v>0</v>
      </c>
      <c r="H59" s="4775"/>
      <c r="I59" s="4835">
        <f t="shared" si="35"/>
        <v>0</v>
      </c>
      <c r="J59" s="4835">
        <f t="shared" si="36"/>
        <v>0</v>
      </c>
      <c r="K59" s="4835">
        <f t="shared" si="37"/>
        <v>0</v>
      </c>
      <c r="L59" s="4835">
        <f t="shared" si="38"/>
        <v>0</v>
      </c>
      <c r="M59" s="4835">
        <f t="shared" si="39"/>
        <v>0</v>
      </c>
    </row>
    <row r="60" spans="1:13" s="1363" customFormat="1" ht="13.5" thickBot="1">
      <c r="A60" s="1367" t="s">
        <v>172</v>
      </c>
      <c r="B60" s="1368" t="s">
        <v>550</v>
      </c>
      <c r="C60" s="4153">
        <f>IF('10. Финансиране на ИП'!AD43=0,0,'10. Финансиране на ИП'!AD43)</f>
        <v>0</v>
      </c>
      <c r="D60" s="4154">
        <f>IF('10. Финансиране на ИП'!AE43=0,0,'10. Финансиране на ИП'!AE43)</f>
        <v>0</v>
      </c>
      <c r="E60" s="4154">
        <f>IF('10. Финансиране на ИП'!AF43=0,0,'10. Финансиране на ИП'!AF43)</f>
        <v>0</v>
      </c>
      <c r="F60" s="4154">
        <f>IF('10. Финансиране на ИП'!AG43=0,0,'10. Финансиране на ИП'!AG43)</f>
        <v>0</v>
      </c>
      <c r="G60" s="4155">
        <f>IF('10. Финансиране на ИП'!AH43=0,0,'10. Финансиране на ИП'!AH43)</f>
        <v>0</v>
      </c>
      <c r="H60" s="4775"/>
      <c r="I60" s="4835">
        <f t="shared" si="35"/>
        <v>0</v>
      </c>
      <c r="J60" s="4835">
        <f t="shared" si="36"/>
        <v>0</v>
      </c>
      <c r="K60" s="4835">
        <f t="shared" si="37"/>
        <v>0</v>
      </c>
      <c r="L60" s="4835">
        <f t="shared" si="38"/>
        <v>0</v>
      </c>
      <c r="M60" s="4835">
        <f t="shared" si="39"/>
        <v>0</v>
      </c>
    </row>
    <row r="61" spans="1:13" s="1366" customFormat="1" ht="13.5" thickBot="1">
      <c r="A61" s="1369" t="s">
        <v>100</v>
      </c>
      <c r="B61" s="1370" t="s">
        <v>329</v>
      </c>
      <c r="C61" s="4226">
        <f>'9.Инвестиционна програма'!I143</f>
        <v>0</v>
      </c>
      <c r="D61" s="4227">
        <f>'9.Инвестиционна програма'!J143</f>
        <v>0</v>
      </c>
      <c r="E61" s="4227">
        <f>'9.Инвестиционна програма'!K143</f>
        <v>0</v>
      </c>
      <c r="F61" s="4227">
        <f>'9.Инвестиционна програма'!L143</f>
        <v>0</v>
      </c>
      <c r="G61" s="4228">
        <f>'9.Инвестиционна програма'!M143</f>
        <v>0</v>
      </c>
      <c r="H61" s="4775"/>
      <c r="I61" s="4835">
        <f t="shared" si="35"/>
        <v>0</v>
      </c>
      <c r="J61" s="4835">
        <f t="shared" si="36"/>
        <v>0</v>
      </c>
      <c r="K61" s="4835">
        <f t="shared" si="37"/>
        <v>0</v>
      </c>
      <c r="L61" s="4835">
        <f t="shared" si="38"/>
        <v>0</v>
      </c>
      <c r="M61" s="4835">
        <f t="shared" si="39"/>
        <v>0</v>
      </c>
    </row>
    <row r="62" spans="1:13" s="1366" customFormat="1" ht="13.5" thickBot="1">
      <c r="A62" s="1371">
        <v>5</v>
      </c>
      <c r="B62" s="1372" t="s">
        <v>306</v>
      </c>
      <c r="C62" s="4229">
        <f>'18. OK'!D28</f>
        <v>0</v>
      </c>
      <c r="D62" s="4230">
        <f>'18. OK'!E28</f>
        <v>0</v>
      </c>
      <c r="E62" s="4230">
        <f>'18. OK'!F28</f>
        <v>0</v>
      </c>
      <c r="F62" s="4230">
        <f>'18. OK'!G28</f>
        <v>0</v>
      </c>
      <c r="G62" s="4231">
        <f>'18. OK'!H28</f>
        <v>0</v>
      </c>
      <c r="H62" s="4775"/>
      <c r="I62" s="4835">
        <f t="shared" si="35"/>
        <v>0</v>
      </c>
      <c r="J62" s="4835">
        <f t="shared" si="36"/>
        <v>0</v>
      </c>
      <c r="K62" s="4835">
        <f t="shared" si="37"/>
        <v>0</v>
      </c>
      <c r="L62" s="4835">
        <f t="shared" si="38"/>
        <v>0</v>
      </c>
      <c r="M62" s="4835">
        <f t="shared" si="39"/>
        <v>0</v>
      </c>
    </row>
    <row r="63" spans="1:13" s="1363" customFormat="1" ht="13.5" thickBot="1">
      <c r="A63" s="131">
        <v>6</v>
      </c>
      <c r="B63" s="132" t="s">
        <v>305</v>
      </c>
      <c r="C63" s="641">
        <f t="shared" ref="C63:G63" si="42">C52-C55+C58+C61+C62</f>
        <v>0</v>
      </c>
      <c r="D63" s="642">
        <f t="shared" si="42"/>
        <v>0</v>
      </c>
      <c r="E63" s="642">
        <f t="shared" si="42"/>
        <v>0</v>
      </c>
      <c r="F63" s="642">
        <f t="shared" si="42"/>
        <v>0</v>
      </c>
      <c r="G63" s="643">
        <f t="shared" si="42"/>
        <v>0</v>
      </c>
      <c r="H63" s="4775"/>
      <c r="I63" s="4835">
        <f t="shared" si="35"/>
        <v>0</v>
      </c>
      <c r="J63" s="4835">
        <f t="shared" si="36"/>
        <v>0</v>
      </c>
      <c r="K63" s="4835">
        <f t="shared" si="37"/>
        <v>0</v>
      </c>
      <c r="L63" s="4835">
        <f t="shared" si="38"/>
        <v>0</v>
      </c>
      <c r="M63" s="4835">
        <f t="shared" si="39"/>
        <v>0</v>
      </c>
    </row>
    <row r="64" spans="1:13" s="1363" customFormat="1" ht="13.5" thickBot="1">
      <c r="A64" s="5589" t="s">
        <v>1</v>
      </c>
      <c r="B64" s="5591" t="s">
        <v>87</v>
      </c>
      <c r="C64" s="5586" t="s">
        <v>1237</v>
      </c>
      <c r="D64" s="5587"/>
      <c r="E64" s="5587"/>
      <c r="F64" s="5587"/>
      <c r="G64" s="5588"/>
      <c r="H64" s="4775"/>
      <c r="I64" s="5593" t="s">
        <v>1237</v>
      </c>
      <c r="J64" s="5593"/>
      <c r="K64" s="5593"/>
      <c r="L64" s="5593"/>
      <c r="M64" s="5593"/>
    </row>
    <row r="65" spans="1:13" s="1363" customFormat="1" ht="13.5" thickBot="1">
      <c r="A65" s="5590"/>
      <c r="B65" s="5592"/>
      <c r="C65" s="1260" t="str">
        <f t="shared" ref="C65:G65" si="43">C51</f>
        <v>2027 г.</v>
      </c>
      <c r="D65" s="1261" t="str">
        <f t="shared" si="43"/>
        <v>2028 г.</v>
      </c>
      <c r="E65" s="1261" t="str">
        <f t="shared" si="43"/>
        <v>2029 г.</v>
      </c>
      <c r="F65" s="1261" t="str">
        <f t="shared" si="43"/>
        <v>2030 г.</v>
      </c>
      <c r="G65" s="1262" t="str">
        <f t="shared" si="43"/>
        <v>2031 г.</v>
      </c>
      <c r="H65" s="4775"/>
      <c r="I65" s="4857" t="str">
        <f t="shared" ref="I65:M65" si="44">I51</f>
        <v>2027 г.</v>
      </c>
      <c r="J65" s="4857" t="str">
        <f t="shared" si="44"/>
        <v>2028 г.</v>
      </c>
      <c r="K65" s="4857" t="str">
        <f t="shared" si="44"/>
        <v>2029 г.</v>
      </c>
      <c r="L65" s="4857" t="str">
        <f t="shared" si="44"/>
        <v>2030 г.</v>
      </c>
      <c r="M65" s="4857" t="str">
        <f t="shared" si="44"/>
        <v>2031 г.</v>
      </c>
    </row>
    <row r="66" spans="1:13" s="1366" customFormat="1" ht="13.5" thickBot="1">
      <c r="A66" s="1373" t="s">
        <v>141</v>
      </c>
      <c r="B66" s="1374" t="s">
        <v>547</v>
      </c>
      <c r="C66" s="4219">
        <f t="shared" ref="C66:G66" si="45">C67-C68</f>
        <v>0</v>
      </c>
      <c r="D66" s="4220">
        <f t="shared" si="45"/>
        <v>0</v>
      </c>
      <c r="E66" s="4220">
        <f t="shared" si="45"/>
        <v>0</v>
      </c>
      <c r="F66" s="4220">
        <f t="shared" si="45"/>
        <v>0</v>
      </c>
      <c r="G66" s="4221">
        <f t="shared" si="45"/>
        <v>0</v>
      </c>
      <c r="H66" s="4775"/>
      <c r="I66" s="4835">
        <f t="shared" ref="I66:I77" si="46">IFERROR(C66/$C$1,0)</f>
        <v>0</v>
      </c>
      <c r="J66" s="4835">
        <f t="shared" ref="J66:J77" si="47">IFERROR(D66/$C$1,0)</f>
        <v>0</v>
      </c>
      <c r="K66" s="4835">
        <f t="shared" ref="K66:K77" si="48">IFERROR(E66/$C$1,0)</f>
        <v>0</v>
      </c>
      <c r="L66" s="4835">
        <f t="shared" ref="L66:L77" si="49">IFERROR(F66/$C$1,0)</f>
        <v>0</v>
      </c>
      <c r="M66" s="4835">
        <f t="shared" ref="M66:M76" si="50">IFERROR(G66/$C$1,0)</f>
        <v>0</v>
      </c>
    </row>
    <row r="67" spans="1:13" s="1363" customFormat="1" ht="13.5" thickBot="1">
      <c r="A67" s="1367" t="s">
        <v>90</v>
      </c>
      <c r="B67" s="1368" t="s">
        <v>686</v>
      </c>
      <c r="C67" s="4222">
        <f>'11. Амортиз. план'!AH10+'11. Амортиз. план'!AH111</f>
        <v>0</v>
      </c>
      <c r="D67" s="4223">
        <f>'11. Амортиз. план'!AI10+'11. Амортиз. план'!AI111</f>
        <v>0</v>
      </c>
      <c r="E67" s="4223">
        <f>'11. Амортиз. план'!AJ10+'11. Амортиз. план'!AJ111</f>
        <v>0</v>
      </c>
      <c r="F67" s="4223">
        <f>'11. Амортиз. план'!AK10+'11. Амортиз. план'!AK111</f>
        <v>0</v>
      </c>
      <c r="G67" s="4225">
        <f>'11. Амортиз. план'!AL10+'11. Амортиз. план'!AL111</f>
        <v>0</v>
      </c>
      <c r="H67" s="4775"/>
      <c r="I67" s="4835">
        <f t="shared" si="46"/>
        <v>0</v>
      </c>
      <c r="J67" s="4835">
        <f t="shared" si="47"/>
        <v>0</v>
      </c>
      <c r="K67" s="4835">
        <f t="shared" si="48"/>
        <v>0</v>
      </c>
      <c r="L67" s="4835">
        <f t="shared" si="49"/>
        <v>0</v>
      </c>
      <c r="M67" s="4835">
        <f t="shared" si="50"/>
        <v>0</v>
      </c>
    </row>
    <row r="68" spans="1:13" s="1363" customFormat="1" ht="13.5" thickBot="1">
      <c r="A68" s="1367" t="s">
        <v>91</v>
      </c>
      <c r="B68" s="1368" t="s">
        <v>649</v>
      </c>
      <c r="C68" s="4222">
        <f>'11. Амортиз. план'!AI32</f>
        <v>0</v>
      </c>
      <c r="D68" s="4223">
        <f>'11. Амортиз. план'!AJ32</f>
        <v>0</v>
      </c>
      <c r="E68" s="4223">
        <f>'11. Амортиз. план'!AK32</f>
        <v>0</v>
      </c>
      <c r="F68" s="4223">
        <f>'11. Амортиз. план'!AL32</f>
        <v>0</v>
      </c>
      <c r="G68" s="4225">
        <f>'11. Амортиз. план'!AM32</f>
        <v>0</v>
      </c>
      <c r="H68" s="4775"/>
      <c r="I68" s="4835">
        <f t="shared" si="46"/>
        <v>0</v>
      </c>
      <c r="J68" s="4835">
        <f t="shared" si="47"/>
        <v>0</v>
      </c>
      <c r="K68" s="4835">
        <f t="shared" si="48"/>
        <v>0</v>
      </c>
      <c r="L68" s="4835">
        <f t="shared" si="49"/>
        <v>0</v>
      </c>
      <c r="M68" s="4835">
        <f t="shared" si="50"/>
        <v>0</v>
      </c>
    </row>
    <row r="69" spans="1:13" s="1366" customFormat="1" ht="13.5" thickBot="1">
      <c r="A69" s="1369" t="s">
        <v>95</v>
      </c>
      <c r="B69" s="1370" t="s">
        <v>548</v>
      </c>
      <c r="C69" s="4226">
        <f t="shared" ref="C69:G69" si="51">C70-C71</f>
        <v>0</v>
      </c>
      <c r="D69" s="4227">
        <f t="shared" si="51"/>
        <v>0</v>
      </c>
      <c r="E69" s="4227">
        <f t="shared" si="51"/>
        <v>0</v>
      </c>
      <c r="F69" s="4227">
        <f t="shared" si="51"/>
        <v>0</v>
      </c>
      <c r="G69" s="4228">
        <f t="shared" si="51"/>
        <v>0</v>
      </c>
      <c r="H69" s="4775"/>
      <c r="I69" s="4835">
        <f t="shared" si="46"/>
        <v>0</v>
      </c>
      <c r="J69" s="4835">
        <f t="shared" si="47"/>
        <v>0</v>
      </c>
      <c r="K69" s="4835">
        <f t="shared" si="48"/>
        <v>0</v>
      </c>
      <c r="L69" s="4835">
        <f t="shared" si="49"/>
        <v>0</v>
      </c>
      <c r="M69" s="4835">
        <f t="shared" si="50"/>
        <v>0</v>
      </c>
    </row>
    <row r="70" spans="1:13" s="1363" customFormat="1" ht="13.5" thickBot="1">
      <c r="A70" s="1367" t="s">
        <v>96</v>
      </c>
      <c r="B70" s="1368" t="s">
        <v>687</v>
      </c>
      <c r="C70" s="4222">
        <f>'11. Амортиз. план'!AH60+'11. Амортиз. план'!AH151</f>
        <v>0</v>
      </c>
      <c r="D70" s="4223">
        <f>'11. Амортиз. план'!AI60+'11. Амортиз. план'!AI151</f>
        <v>0</v>
      </c>
      <c r="E70" s="4223">
        <f>'11. Амортиз. план'!AJ60+'11. Амортиз. план'!AJ151</f>
        <v>0</v>
      </c>
      <c r="F70" s="4223">
        <f>'11. Амортиз. план'!AK60+'11. Амортиз. план'!AK151</f>
        <v>0</v>
      </c>
      <c r="G70" s="4225">
        <f>'11. Амортиз. план'!AL60+'11. Амортиз. план'!AL151</f>
        <v>0</v>
      </c>
      <c r="H70" s="4775"/>
      <c r="I70" s="4835">
        <f t="shared" si="46"/>
        <v>0</v>
      </c>
      <c r="J70" s="4835">
        <f t="shared" si="47"/>
        <v>0</v>
      </c>
      <c r="K70" s="4835">
        <f t="shared" si="48"/>
        <v>0</v>
      </c>
      <c r="L70" s="4835">
        <f t="shared" si="49"/>
        <v>0</v>
      </c>
      <c r="M70" s="4835">
        <f t="shared" si="50"/>
        <v>0</v>
      </c>
    </row>
    <row r="71" spans="1:13" s="1363" customFormat="1" ht="13.5" thickBot="1">
      <c r="A71" s="1367" t="s">
        <v>97</v>
      </c>
      <c r="B71" s="1368" t="s">
        <v>650</v>
      </c>
      <c r="C71" s="4222">
        <f>'11. Амортиз. план'!AI82</f>
        <v>0</v>
      </c>
      <c r="D71" s="4223">
        <f>'11. Амортиз. план'!AJ82</f>
        <v>0</v>
      </c>
      <c r="E71" s="4223">
        <f>'11. Амортиз. план'!AK82</f>
        <v>0</v>
      </c>
      <c r="F71" s="4223">
        <f>'11. Амортиз. план'!AL82</f>
        <v>0</v>
      </c>
      <c r="G71" s="4225">
        <f>'11. Амортиз. план'!AM82</f>
        <v>0</v>
      </c>
      <c r="H71" s="4775"/>
      <c r="I71" s="4835">
        <f t="shared" si="46"/>
        <v>0</v>
      </c>
      <c r="J71" s="4835">
        <f t="shared" si="47"/>
        <v>0</v>
      </c>
      <c r="K71" s="4835">
        <f t="shared" si="48"/>
        <v>0</v>
      </c>
      <c r="L71" s="4835">
        <f t="shared" si="49"/>
        <v>0</v>
      </c>
      <c r="M71" s="4835">
        <f t="shared" si="50"/>
        <v>0</v>
      </c>
    </row>
    <row r="72" spans="1:13" s="1366" customFormat="1" ht="24.75" thickBot="1">
      <c r="A72" s="1369" t="s">
        <v>99</v>
      </c>
      <c r="B72" s="1370" t="s">
        <v>549</v>
      </c>
      <c r="C72" s="4226">
        <f t="shared" ref="C72:G72" si="52">(C73+C74)/2</f>
        <v>0</v>
      </c>
      <c r="D72" s="4227">
        <f t="shared" si="52"/>
        <v>0</v>
      </c>
      <c r="E72" s="4227">
        <f t="shared" si="52"/>
        <v>0</v>
      </c>
      <c r="F72" s="4227">
        <f t="shared" si="52"/>
        <v>0</v>
      </c>
      <c r="G72" s="4228">
        <f t="shared" si="52"/>
        <v>0</v>
      </c>
      <c r="H72" s="4775"/>
      <c r="I72" s="4835">
        <f t="shared" si="46"/>
        <v>0</v>
      </c>
      <c r="J72" s="4835">
        <f t="shared" si="47"/>
        <v>0</v>
      </c>
      <c r="K72" s="4835">
        <f t="shared" si="48"/>
        <v>0</v>
      </c>
      <c r="L72" s="4835">
        <f t="shared" si="49"/>
        <v>0</v>
      </c>
      <c r="M72" s="4835">
        <f t="shared" si="50"/>
        <v>0</v>
      </c>
    </row>
    <row r="73" spans="1:13" s="1363" customFormat="1" ht="13.5" thickBot="1">
      <c r="A73" s="1367" t="s">
        <v>171</v>
      </c>
      <c r="B73" s="1368" t="s">
        <v>195</v>
      </c>
      <c r="C73" s="4153">
        <f>IF('10. Финансиране на ИП'!AL37=0,0,'10. Финансиране на ИП'!AL37)</f>
        <v>0</v>
      </c>
      <c r="D73" s="4156">
        <f>IF('10. Финансиране на ИП'!AM37=0,0,'10. Финансиране на ИП'!AM37)</f>
        <v>0</v>
      </c>
      <c r="E73" s="4156">
        <f>IF('10. Финансиране на ИП'!AN37=0,0,'10. Финансиране на ИП'!AN37)</f>
        <v>0</v>
      </c>
      <c r="F73" s="4156">
        <f>IF('10. Финансиране на ИП'!AO37=0,0,'10. Финансиране на ИП'!AO37)</f>
        <v>0</v>
      </c>
      <c r="G73" s="4155">
        <f>IF('10. Финансиране на ИП'!AP37=0,0,'10. Финансиране на ИП'!AP37)</f>
        <v>0</v>
      </c>
      <c r="H73" s="4775"/>
      <c r="I73" s="4835">
        <f t="shared" si="46"/>
        <v>0</v>
      </c>
      <c r="J73" s="4835">
        <f t="shared" si="47"/>
        <v>0</v>
      </c>
      <c r="K73" s="4835">
        <f t="shared" si="48"/>
        <v>0</v>
      </c>
      <c r="L73" s="4835">
        <f t="shared" si="49"/>
        <v>0</v>
      </c>
      <c r="M73" s="4835">
        <f t="shared" si="50"/>
        <v>0</v>
      </c>
    </row>
    <row r="74" spans="1:13" s="1363" customFormat="1" ht="13.5" thickBot="1">
      <c r="A74" s="1367" t="s">
        <v>172</v>
      </c>
      <c r="B74" s="1368" t="s">
        <v>550</v>
      </c>
      <c r="C74" s="4153">
        <f>IF('10. Финансиране на ИП'!AL43=0,0,'10. Финансиране на ИП'!AL43)</f>
        <v>0</v>
      </c>
      <c r="D74" s="4156">
        <f>IF('10. Финансиране на ИП'!AM43=0,0,'10. Финансиране на ИП'!AM43)</f>
        <v>0</v>
      </c>
      <c r="E74" s="4156">
        <f>IF('10. Финансиране на ИП'!AN43=0,0,'10. Финансиране на ИП'!AN43)</f>
        <v>0</v>
      </c>
      <c r="F74" s="4156">
        <f>IF('10. Финансиране на ИП'!AO43=0,0,'10. Финансиране на ИП'!AO43)</f>
        <v>0</v>
      </c>
      <c r="G74" s="4155">
        <f>IF('10. Финансиране на ИП'!AP43=0,0,'10. Финансиране на ИП'!AP43)</f>
        <v>0</v>
      </c>
      <c r="H74" s="4775"/>
      <c r="I74" s="4835">
        <f t="shared" si="46"/>
        <v>0</v>
      </c>
      <c r="J74" s="4835">
        <f t="shared" si="47"/>
        <v>0</v>
      </c>
      <c r="K74" s="4835">
        <f t="shared" si="48"/>
        <v>0</v>
      </c>
      <c r="L74" s="4835">
        <f t="shared" si="49"/>
        <v>0</v>
      </c>
      <c r="M74" s="4835">
        <f t="shared" si="50"/>
        <v>0</v>
      </c>
    </row>
    <row r="75" spans="1:13" s="1366" customFormat="1" ht="13.5" thickBot="1">
      <c r="A75" s="1369" t="s">
        <v>100</v>
      </c>
      <c r="B75" s="1370" t="s">
        <v>329</v>
      </c>
      <c r="C75" s="4226">
        <f>'9.Инвестиционна програма'!I144</f>
        <v>0</v>
      </c>
      <c r="D75" s="4227">
        <f>'9.Инвестиционна програма'!J144</f>
        <v>0</v>
      </c>
      <c r="E75" s="4227">
        <f>'9.Инвестиционна програма'!K144</f>
        <v>0</v>
      </c>
      <c r="F75" s="4227">
        <f>'9.Инвестиционна програма'!L144</f>
        <v>0</v>
      </c>
      <c r="G75" s="4228">
        <f>'9.Инвестиционна програма'!M144</f>
        <v>0</v>
      </c>
      <c r="H75" s="4775"/>
      <c r="I75" s="4835">
        <f t="shared" si="46"/>
        <v>0</v>
      </c>
      <c r="J75" s="4835">
        <f t="shared" si="47"/>
        <v>0</v>
      </c>
      <c r="K75" s="4835">
        <f t="shared" si="48"/>
        <v>0</v>
      </c>
      <c r="L75" s="4835">
        <f t="shared" si="49"/>
        <v>0</v>
      </c>
      <c r="M75" s="4835">
        <f t="shared" si="50"/>
        <v>0</v>
      </c>
    </row>
    <row r="76" spans="1:13" s="1366" customFormat="1" ht="13.5" thickBot="1">
      <c r="A76" s="1375">
        <v>5</v>
      </c>
      <c r="B76" s="1376" t="s">
        <v>306</v>
      </c>
      <c r="C76" s="4229">
        <f>'18. OK'!D29</f>
        <v>0</v>
      </c>
      <c r="D76" s="4230">
        <f>'18. OK'!E29</f>
        <v>0</v>
      </c>
      <c r="E76" s="4230">
        <f>'18. OK'!F29</f>
        <v>0</v>
      </c>
      <c r="F76" s="4230">
        <f>'18. OK'!G29</f>
        <v>0</v>
      </c>
      <c r="G76" s="4231">
        <f>'18. OK'!H29</f>
        <v>0</v>
      </c>
      <c r="H76" s="4775"/>
      <c r="I76" s="4835">
        <f t="shared" si="46"/>
        <v>0</v>
      </c>
      <c r="J76" s="4835">
        <f t="shared" si="47"/>
        <v>0</v>
      </c>
      <c r="K76" s="4835">
        <f t="shared" si="48"/>
        <v>0</v>
      </c>
      <c r="L76" s="4835">
        <f t="shared" si="49"/>
        <v>0</v>
      </c>
      <c r="M76" s="4835">
        <f t="shared" si="50"/>
        <v>0</v>
      </c>
    </row>
    <row r="77" spans="1:13" s="1363" customFormat="1" ht="13.5" thickBot="1">
      <c r="A77" s="131">
        <v>6</v>
      </c>
      <c r="B77" s="132" t="s">
        <v>305</v>
      </c>
      <c r="C77" s="641">
        <f t="shared" ref="C77:G77" si="53">C66-C69+C72+C75+C76</f>
        <v>0</v>
      </c>
      <c r="D77" s="642">
        <f t="shared" si="53"/>
        <v>0</v>
      </c>
      <c r="E77" s="642">
        <f t="shared" si="53"/>
        <v>0</v>
      </c>
      <c r="F77" s="642">
        <f t="shared" si="53"/>
        <v>0</v>
      </c>
      <c r="G77" s="643">
        <f t="shared" si="53"/>
        <v>0</v>
      </c>
      <c r="H77" s="4775"/>
      <c r="I77" s="4835">
        <f t="shared" si="46"/>
        <v>0</v>
      </c>
      <c r="J77" s="4835">
        <f t="shared" si="47"/>
        <v>0</v>
      </c>
      <c r="K77" s="4835">
        <f t="shared" si="48"/>
        <v>0</v>
      </c>
      <c r="L77" s="4835">
        <f t="shared" si="49"/>
        <v>0</v>
      </c>
      <c r="M77" s="4835">
        <f>IFERROR(G77/$C$1,0)</f>
        <v>0</v>
      </c>
    </row>
    <row r="78" spans="1:13" ht="12.75">
      <c r="C78" s="3341"/>
      <c r="D78" s="3341"/>
      <c r="E78" s="3341"/>
      <c r="F78" s="3341"/>
      <c r="G78" s="3341"/>
    </row>
    <row r="80" spans="1:13" s="4715" customFormat="1" ht="12.75">
      <c r="B80" s="4716" t="str">
        <f>'Приложение '!B82</f>
        <v>Дата: 15.04.2026 г.</v>
      </c>
      <c r="C80" s="4717"/>
      <c r="D80" s="4717"/>
      <c r="E80" s="4717"/>
      <c r="F80" s="4717"/>
      <c r="G80" s="4717"/>
      <c r="H80" s="4718"/>
    </row>
    <row r="81" spans="2:8" s="4714" customFormat="1" ht="12.75">
      <c r="B81" s="4"/>
      <c r="C81" s="639"/>
      <c r="D81" s="639"/>
      <c r="E81" s="639"/>
      <c r="F81" s="639"/>
      <c r="G81" s="639"/>
      <c r="H81" s="21"/>
    </row>
    <row r="82" spans="2:8" s="4714" customFormat="1" ht="12.75">
      <c r="B82" s="4"/>
      <c r="C82" s="639"/>
      <c r="D82" s="639"/>
      <c r="E82" s="639"/>
      <c r="F82" s="639"/>
      <c r="G82" s="639"/>
      <c r="H82" s="21"/>
    </row>
    <row r="83" spans="2:8" s="4715" customFormat="1" ht="12.75">
      <c r="B83" s="4716" t="s">
        <v>187</v>
      </c>
      <c r="C83" s="4717"/>
      <c r="D83" s="4717"/>
      <c r="E83" s="4717"/>
      <c r="F83" s="4717"/>
      <c r="G83" s="4717"/>
      <c r="H83" s="4718"/>
    </row>
    <row r="84" spans="2:8" s="4719" customFormat="1" ht="12.75">
      <c r="B84" s="4720" t="s">
        <v>1480</v>
      </c>
      <c r="C84" s="4721"/>
      <c r="D84" s="4721"/>
      <c r="E84" s="4721"/>
      <c r="F84" s="4721"/>
      <c r="G84" s="4721"/>
      <c r="H84" s="4722"/>
    </row>
    <row r="85" spans="2:8" s="3341" customFormat="1" ht="12.75">
      <c r="B85" s="3527"/>
      <c r="C85" s="639"/>
      <c r="D85" s="639"/>
      <c r="E85" s="639"/>
      <c r="F85" s="639"/>
      <c r="G85" s="639"/>
      <c r="H85" s="21"/>
    </row>
    <row r="86" spans="2:8" s="3341" customFormat="1" ht="12.75">
      <c r="B86" s="3527"/>
      <c r="C86" s="639"/>
      <c r="D86" s="639"/>
      <c r="E86" s="639"/>
      <c r="F86" s="639"/>
      <c r="G86" s="639"/>
      <c r="H86" s="21"/>
    </row>
  </sheetData>
  <sheetProtection algorithmName="SHA-512" hashValue="HKuc5DsuM4N7U5NPeuakywK4sCdWgujwR7Rs981jes4fW/0eIqXPTabsQGZWGHGc0FGh+b5VI8k9mYCbgxdNSw==" saltValue="0BNp5VfqzlDjvfFHkRDXQA==" spinCount="100000" sheet="1" formatCells="0" formatColumns="0" formatRows="0"/>
  <mergeCells count="28">
    <mergeCell ref="I36:M36"/>
    <mergeCell ref="I50:M50"/>
    <mergeCell ref="I64:M64"/>
    <mergeCell ref="A1:B1"/>
    <mergeCell ref="C1:D1"/>
    <mergeCell ref="I7:M7"/>
    <mergeCell ref="I8:M8"/>
    <mergeCell ref="I22:M22"/>
    <mergeCell ref="A2:G2"/>
    <mergeCell ref="A3:G3"/>
    <mergeCell ref="A4:G4"/>
    <mergeCell ref="A5:G5"/>
    <mergeCell ref="C7:G7"/>
    <mergeCell ref="A22:A23"/>
    <mergeCell ref="B22:B23"/>
    <mergeCell ref="A7:A9"/>
    <mergeCell ref="B7:B9"/>
    <mergeCell ref="C22:G22"/>
    <mergeCell ref="C8:G8"/>
    <mergeCell ref="A64:A65"/>
    <mergeCell ref="B64:B65"/>
    <mergeCell ref="C64:G64"/>
    <mergeCell ref="C50:G50"/>
    <mergeCell ref="C36:G36"/>
    <mergeCell ref="A36:A37"/>
    <mergeCell ref="B36:B37"/>
    <mergeCell ref="A50:A51"/>
    <mergeCell ref="B50:B51"/>
  </mergeCells>
  <printOptions horizontalCentered="1"/>
  <pageMargins left="0.59055118110236227" right="0.11811023622047245" top="0.59055118110236227" bottom="0.19685039370078741" header="0.51181102362204722" footer="0.11811023622047245"/>
  <pageSetup paperSize="9" scale="67"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O44"/>
  <sheetViews>
    <sheetView showGridLines="0" zoomScaleNormal="100" zoomScaleSheetLayoutView="100" workbookViewId="0">
      <pane xSplit="2" ySplit="7" topLeftCell="C11" activePane="bottomRight" state="frozen"/>
      <selection pane="topRight" activeCell="C1" sqref="C1"/>
      <selection pane="bottomLeft" activeCell="A8" sqref="A8"/>
      <selection pane="bottomRight" activeCell="F16" sqref="F16"/>
    </sheetView>
  </sheetViews>
  <sheetFormatPr defaultRowHeight="12.75"/>
  <cols>
    <col min="1" max="1" width="4.5703125" style="1" customWidth="1"/>
    <col min="2" max="2" width="45" style="1" customWidth="1"/>
    <col min="3" max="8" width="8.7109375" style="1" customWidth="1"/>
    <col min="9" max="9" width="2.28515625" style="1" customWidth="1"/>
    <col min="10"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15" ht="16.5" thickBot="1">
      <c r="A1" s="5004" t="str">
        <f>+'1. Обща информация'!B40</f>
        <v>Фиксиран курс на лева към 1 евро</v>
      </c>
      <c r="B1" s="5004"/>
      <c r="C1" s="5005">
        <f>+'1. Обща информация'!$C$40</f>
        <v>1.95583</v>
      </c>
      <c r="D1" s="5005"/>
      <c r="E1" s="1697"/>
      <c r="F1" s="1697"/>
      <c r="G1" s="3435"/>
      <c r="H1" s="3343" t="str">
        <f>'17. РБА'!G1</f>
        <v>Приложение № 6</v>
      </c>
    </row>
    <row r="2" spans="1:15" s="7" customFormat="1" ht="18.75">
      <c r="A2" s="5603" t="s">
        <v>1491</v>
      </c>
      <c r="B2" s="5603"/>
      <c r="C2" s="5603"/>
      <c r="D2" s="5603"/>
      <c r="E2" s="5603"/>
      <c r="F2" s="5603"/>
      <c r="G2" s="5603"/>
      <c r="H2" s="5603"/>
    </row>
    <row r="3" spans="1:15" s="8" customFormat="1" ht="18.75">
      <c r="A3" s="5604" t="s">
        <v>1012</v>
      </c>
      <c r="B3" s="5604"/>
      <c r="C3" s="5604"/>
      <c r="D3" s="5604"/>
      <c r="E3" s="5604"/>
      <c r="F3" s="5604"/>
      <c r="G3" s="5604"/>
      <c r="H3" s="5604"/>
    </row>
    <row r="4" spans="1:15" s="1357" customFormat="1" ht="15.75" customHeight="1">
      <c r="A4" s="5602" t="str">
        <f>'1. Обща информация'!A4:D4</f>
        <v>на "ВОДОСНАБДЯВАНЕ И КАНАЛИЗАЦИЯ" ЕООД, гр. БЛАГОЕВГРАД</v>
      </c>
      <c r="B4" s="5602"/>
      <c r="C4" s="5602"/>
      <c r="D4" s="5602"/>
      <c r="E4" s="5602"/>
      <c r="F4" s="5602"/>
      <c r="G4" s="5602"/>
      <c r="H4" s="5602"/>
    </row>
    <row r="5" spans="1:15" s="1361" customFormat="1" ht="14.25" customHeight="1">
      <c r="A5" s="5602" t="str">
        <f>'1. Обща информация'!A5:D5</f>
        <v>ЕИК по БУЛСТАТ: 811047831</v>
      </c>
      <c r="B5" s="5602"/>
      <c r="C5" s="5602"/>
      <c r="D5" s="5602"/>
      <c r="E5" s="5602"/>
      <c r="F5" s="5602"/>
      <c r="G5" s="5602"/>
      <c r="H5" s="5602"/>
    </row>
    <row r="6" spans="1:15" s="1407" customFormat="1" ht="16.5" customHeight="1" thickBot="1">
      <c r="A6" s="2558"/>
      <c r="B6" s="2558"/>
      <c r="C6" s="2558"/>
      <c r="D6" s="2558"/>
      <c r="E6" s="2558"/>
      <c r="F6" s="2558"/>
      <c r="G6" s="3525"/>
      <c r="H6" s="2558"/>
    </row>
    <row r="7" spans="1:15" s="663" customFormat="1" ht="25.5" customHeight="1" thickBot="1">
      <c r="A7" s="4766" t="s">
        <v>1</v>
      </c>
      <c r="B7" s="4767" t="s">
        <v>307</v>
      </c>
      <c r="C7" s="4767" t="s">
        <v>166</v>
      </c>
      <c r="D7" s="1475" t="str">
        <f>'Приложение '!$C14</f>
        <v>2027 г.</v>
      </c>
      <c r="E7" s="1475" t="str">
        <f>'Приложение '!$C15</f>
        <v>2028 г.</v>
      </c>
      <c r="F7" s="1475" t="str">
        <f>'Приложение '!$C16</f>
        <v>2029 г.</v>
      </c>
      <c r="G7" s="1475" t="str">
        <f>'Приложение '!$C17</f>
        <v>2030 г.</v>
      </c>
      <c r="H7" s="4768" t="str">
        <f>'Приложение '!$C18</f>
        <v>2031 г.</v>
      </c>
      <c r="I7" s="4775"/>
      <c r="J7" s="4858" t="s">
        <v>166</v>
      </c>
      <c r="K7" s="4859" t="str">
        <f>'Приложение '!$C14</f>
        <v>2027 г.</v>
      </c>
      <c r="L7" s="4859" t="str">
        <f>'Приложение '!$C15</f>
        <v>2028 г.</v>
      </c>
      <c r="M7" s="4859" t="str">
        <f>'Приложение '!$C16</f>
        <v>2029 г.</v>
      </c>
      <c r="N7" s="4859" t="str">
        <f>'Приложение '!$C17</f>
        <v>2030 г.</v>
      </c>
      <c r="O7" s="4859" t="str">
        <f>'Приложение '!$C18</f>
        <v>2031 г.</v>
      </c>
    </row>
    <row r="8" spans="1:15" s="663" customFormat="1">
      <c r="A8" s="4760" t="s">
        <v>205</v>
      </c>
      <c r="B8" s="4761" t="s">
        <v>309</v>
      </c>
      <c r="C8" s="4762" t="s">
        <v>310</v>
      </c>
      <c r="D8" s="4763">
        <v>60</v>
      </c>
      <c r="E8" s="4764">
        <f>+D8</f>
        <v>60</v>
      </c>
      <c r="F8" s="4764">
        <f t="shared" ref="F8:H8" si="0">+E8</f>
        <v>60</v>
      </c>
      <c r="G8" s="4764">
        <f t="shared" si="0"/>
        <v>60</v>
      </c>
      <c r="H8" s="4765">
        <f t="shared" si="0"/>
        <v>60</v>
      </c>
      <c r="I8" s="4775"/>
      <c r="J8" s="4861"/>
      <c r="K8" s="4862"/>
      <c r="L8" s="4863"/>
      <c r="M8" s="4863"/>
      <c r="N8" s="4863"/>
      <c r="O8" s="4863"/>
    </row>
    <row r="9" spans="1:15" s="663" customFormat="1" ht="13.5" thickBot="1">
      <c r="A9" s="1487" t="s">
        <v>206</v>
      </c>
      <c r="B9" s="1490" t="s">
        <v>312</v>
      </c>
      <c r="C9" s="1484" t="s">
        <v>313</v>
      </c>
      <c r="D9" s="1491">
        <f>IFERROR(365/D8,0)</f>
        <v>6.083333333333333</v>
      </c>
      <c r="E9" s="1491">
        <f t="shared" ref="E9:H9" si="1">IFERROR(365/E8,0)</f>
        <v>6.083333333333333</v>
      </c>
      <c r="F9" s="1491">
        <f t="shared" si="1"/>
        <v>6.083333333333333</v>
      </c>
      <c r="G9" s="1491">
        <f t="shared" si="1"/>
        <v>6.083333333333333</v>
      </c>
      <c r="H9" s="1492">
        <f t="shared" si="1"/>
        <v>6.083333333333333</v>
      </c>
      <c r="I9" s="4775"/>
      <c r="J9" s="4864"/>
      <c r="K9" s="4865"/>
      <c r="L9" s="4865"/>
      <c r="M9" s="4865"/>
      <c r="N9" s="4865"/>
      <c r="O9" s="4865"/>
    </row>
    <row r="10" spans="1:15" s="663" customFormat="1" ht="24.75" thickBot="1">
      <c r="A10" s="1487" t="s">
        <v>219</v>
      </c>
      <c r="B10" s="1488" t="s">
        <v>315</v>
      </c>
      <c r="C10" s="1484" t="s">
        <v>295</v>
      </c>
      <c r="D10" s="985">
        <f t="shared" ref="D10:G10" si="2">D11-D12</f>
        <v>17814.551810000001</v>
      </c>
      <c r="E10" s="985">
        <f t="shared" si="2"/>
        <v>19642.3645</v>
      </c>
      <c r="F10" s="985">
        <f t="shared" si="2"/>
        <v>21844.14673</v>
      </c>
      <c r="G10" s="985">
        <f t="shared" si="2"/>
        <v>24128.928960000001</v>
      </c>
      <c r="H10" s="986">
        <f t="shared" ref="H10" si="3">H11-H12</f>
        <v>26741.043750000001</v>
      </c>
      <c r="I10" s="4775"/>
      <c r="J10" s="4860" t="s">
        <v>1896</v>
      </c>
      <c r="K10" s="4835">
        <f>IFERROR(D10/$C$1,0)</f>
        <v>9108.4357076023989</v>
      </c>
      <c r="L10" s="4835">
        <f t="shared" ref="L10:O10" si="4">IFERROR(E10/$C$1,0)</f>
        <v>10042.98149634682</v>
      </c>
      <c r="M10" s="4835">
        <f t="shared" si="4"/>
        <v>11168.734874707925</v>
      </c>
      <c r="N10" s="4835">
        <f t="shared" si="4"/>
        <v>12336.925479208316</v>
      </c>
      <c r="O10" s="4835">
        <f t="shared" si="4"/>
        <v>13672.478564087882</v>
      </c>
    </row>
    <row r="11" spans="1:15" s="663" customFormat="1" ht="13.5" thickBot="1">
      <c r="A11" s="1483" t="s">
        <v>263</v>
      </c>
      <c r="B11" s="106" t="s">
        <v>316</v>
      </c>
      <c r="C11" s="1484" t="s">
        <v>295</v>
      </c>
      <c r="D11" s="1485">
        <f>'12. Разходи'!D88</f>
        <v>22156.466639545455</v>
      </c>
      <c r="E11" s="1485">
        <f>'12. Разходи'!E88</f>
        <v>23430.092384037474</v>
      </c>
      <c r="F11" s="1485">
        <f>'12. Разходи'!F88</f>
        <v>25595.091866254341</v>
      </c>
      <c r="G11" s="1485">
        <f>'12. Разходи'!G88</f>
        <v>27849.572313905199</v>
      </c>
      <c r="H11" s="1486">
        <f>'12. Разходи'!H88</f>
        <v>30627.520442084118</v>
      </c>
      <c r="I11" s="4775"/>
      <c r="J11" s="4860" t="s">
        <v>1896</v>
      </c>
      <c r="K11" s="4835">
        <f t="shared" ref="K11:K29" si="5">IFERROR(D11/$C$1,0)</f>
        <v>11328.421508794454</v>
      </c>
      <c r="L11" s="4835">
        <f t="shared" ref="L11:L29" si="6">IFERROR(E11/$C$1,0)</f>
        <v>11979.616011635711</v>
      </c>
      <c r="M11" s="4835">
        <f t="shared" ref="M11:M29" si="7">IFERROR(F11/$C$1,0)</f>
        <v>13086.562669687213</v>
      </c>
      <c r="N11" s="4835">
        <f t="shared" ref="N11:N29" si="8">IFERROR(G11/$C$1,0)</f>
        <v>14239.260218886713</v>
      </c>
      <c r="O11" s="4835">
        <f t="shared" ref="O11:O29" si="9">IFERROR(H11/$C$1,0)</f>
        <v>15659.602543208826</v>
      </c>
    </row>
    <row r="12" spans="1:15" s="663" customFormat="1" ht="24.75" thickBot="1">
      <c r="A12" s="1483" t="s">
        <v>264</v>
      </c>
      <c r="B12" s="106" t="s">
        <v>648</v>
      </c>
      <c r="C12" s="1484" t="s">
        <v>295</v>
      </c>
      <c r="D12" s="1485">
        <f>'12. Разходи'!D55</f>
        <v>4341.9148295454543</v>
      </c>
      <c r="E12" s="1485">
        <f>'12. Разходи'!E55</f>
        <v>3787.7278840374761</v>
      </c>
      <c r="F12" s="1485">
        <f>'12. Разходи'!F55</f>
        <v>3750.9451362543414</v>
      </c>
      <c r="G12" s="1485">
        <f>'12. Разходи'!G55</f>
        <v>3720.6433539051968</v>
      </c>
      <c r="H12" s="1486">
        <f>'12. Разходи'!H55</f>
        <v>3886.4766920841166</v>
      </c>
      <c r="I12" s="4775"/>
      <c r="J12" s="4860" t="s">
        <v>1896</v>
      </c>
      <c r="K12" s="4835">
        <f t="shared" si="5"/>
        <v>2219.9858011920537</v>
      </c>
      <c r="L12" s="4835">
        <f t="shared" si="6"/>
        <v>1936.6345152888932</v>
      </c>
      <c r="M12" s="4835">
        <f t="shared" si="7"/>
        <v>1917.8277949792882</v>
      </c>
      <c r="N12" s="4835">
        <f t="shared" si="8"/>
        <v>1902.3347396783959</v>
      </c>
      <c r="O12" s="4835">
        <f t="shared" si="9"/>
        <v>1987.1239791209443</v>
      </c>
    </row>
    <row r="13" spans="1:15" s="663" customFormat="1" ht="24" customHeight="1" thickBot="1">
      <c r="A13" s="1487" t="s">
        <v>221</v>
      </c>
      <c r="B13" s="1488" t="s">
        <v>318</v>
      </c>
      <c r="C13" s="1484" t="s">
        <v>295</v>
      </c>
      <c r="D13" s="985">
        <f t="shared" ref="D13:G13" si="10">D14-D15</f>
        <v>4195.1374820000001</v>
      </c>
      <c r="E13" s="985">
        <f t="shared" si="10"/>
        <v>4708.1374820000001</v>
      </c>
      <c r="F13" s="985">
        <f t="shared" si="10"/>
        <v>5190.109985600001</v>
      </c>
      <c r="G13" s="985">
        <f t="shared" si="10"/>
        <v>5820.1099856000001</v>
      </c>
      <c r="H13" s="986">
        <f t="shared" ref="H13" si="11">H14-H15</f>
        <v>6551.1099856000001</v>
      </c>
      <c r="I13" s="4775"/>
      <c r="J13" s="4860" t="s">
        <v>1896</v>
      </c>
      <c r="K13" s="4835">
        <f t="shared" si="5"/>
        <v>2144.9397350485474</v>
      </c>
      <c r="L13" s="4835">
        <f t="shared" si="6"/>
        <v>2407.2324701022076</v>
      </c>
      <c r="M13" s="4835">
        <f t="shared" si="7"/>
        <v>2653.6610981527028</v>
      </c>
      <c r="N13" s="4835">
        <f t="shared" si="8"/>
        <v>2975.7749833063203</v>
      </c>
      <c r="O13" s="4835">
        <f t="shared" si="9"/>
        <v>3349.529348460756</v>
      </c>
    </row>
    <row r="14" spans="1:15" s="663" customFormat="1" ht="13.5" thickBot="1">
      <c r="A14" s="1483" t="s">
        <v>566</v>
      </c>
      <c r="B14" s="106" t="s">
        <v>316</v>
      </c>
      <c r="C14" s="1484" t="s">
        <v>295</v>
      </c>
      <c r="D14" s="1485">
        <f>'12. Разходи'!L88</f>
        <v>4588.6138721515154</v>
      </c>
      <c r="E14" s="1485">
        <f>'12. Разходи'!M88</f>
        <v>5103.4681943917276</v>
      </c>
      <c r="F14" s="1485">
        <f>'12. Разходи'!N88</f>
        <v>5587.3575089769711</v>
      </c>
      <c r="G14" s="1485">
        <f>'12. Разходи'!O88</f>
        <v>6209.127665819894</v>
      </c>
      <c r="H14" s="1486">
        <f>'12. Разходи'!P88</f>
        <v>6941.5319216574462</v>
      </c>
      <c r="I14" s="4775"/>
      <c r="J14" s="4860" t="s">
        <v>1896</v>
      </c>
      <c r="K14" s="4835">
        <f t="shared" si="5"/>
        <v>2346.1210187754127</v>
      </c>
      <c r="L14" s="4835">
        <f t="shared" si="6"/>
        <v>2609.3618537356151</v>
      </c>
      <c r="M14" s="4835">
        <f t="shared" si="7"/>
        <v>2856.7705316806528</v>
      </c>
      <c r="N14" s="4835">
        <f t="shared" si="8"/>
        <v>3174.6765648445389</v>
      </c>
      <c r="O14" s="4835">
        <f t="shared" si="9"/>
        <v>3549.1489146078375</v>
      </c>
    </row>
    <row r="15" spans="1:15" s="663" customFormat="1" ht="24.75" thickBot="1">
      <c r="A15" s="1483" t="s">
        <v>567</v>
      </c>
      <c r="B15" s="106" t="s">
        <v>648</v>
      </c>
      <c r="C15" s="1484" t="s">
        <v>295</v>
      </c>
      <c r="D15" s="1489">
        <f>'12. Разходи'!L55</f>
        <v>393.47639015151515</v>
      </c>
      <c r="E15" s="1489">
        <f>'12. Разходи'!M55</f>
        <v>395.33071239172705</v>
      </c>
      <c r="F15" s="1489">
        <f>'12. Разходи'!N55</f>
        <v>397.24752337697043</v>
      </c>
      <c r="G15" s="1489">
        <f>'12. Разходи'!O55</f>
        <v>389.0176802198942</v>
      </c>
      <c r="H15" s="1486">
        <f>'12. Разходи'!P55</f>
        <v>390.42193605744569</v>
      </c>
      <c r="I15" s="4775"/>
      <c r="J15" s="4860" t="s">
        <v>1896</v>
      </c>
      <c r="K15" s="4835">
        <f t="shared" si="5"/>
        <v>201.18128372686539</v>
      </c>
      <c r="L15" s="4835">
        <f t="shared" si="6"/>
        <v>202.12938363340731</v>
      </c>
      <c r="M15" s="4835">
        <f t="shared" si="7"/>
        <v>203.10943352794999</v>
      </c>
      <c r="N15" s="4835">
        <f t="shared" si="8"/>
        <v>198.90158153821866</v>
      </c>
      <c r="O15" s="4835">
        <f t="shared" si="9"/>
        <v>199.61956614708114</v>
      </c>
    </row>
    <row r="16" spans="1:15" s="663" customFormat="1" ht="24.75" thickBot="1">
      <c r="A16" s="1487" t="s">
        <v>308</v>
      </c>
      <c r="B16" s="1488" t="s">
        <v>319</v>
      </c>
      <c r="C16" s="1484" t="s">
        <v>295</v>
      </c>
      <c r="D16" s="985">
        <f t="shared" ref="D16:G16" si="12">D17-D18</f>
        <v>4652.4087460000001</v>
      </c>
      <c r="E16" s="985">
        <f t="shared" si="12"/>
        <v>4988.0391</v>
      </c>
      <c r="F16" s="985">
        <f t="shared" si="12"/>
        <v>5456.23765</v>
      </c>
      <c r="G16" s="985">
        <f t="shared" si="12"/>
        <v>6002.5170699999999</v>
      </c>
      <c r="H16" s="986">
        <f t="shared" ref="H16" si="13">H17-H18</f>
        <v>6634.7964900000006</v>
      </c>
      <c r="I16" s="4775"/>
      <c r="J16" s="4860" t="s">
        <v>1896</v>
      </c>
      <c r="K16" s="4835">
        <f t="shared" si="5"/>
        <v>2378.73881983608</v>
      </c>
      <c r="L16" s="4835">
        <f t="shared" si="6"/>
        <v>2550.3438949192928</v>
      </c>
      <c r="M16" s="4835">
        <f t="shared" si="7"/>
        <v>2789.7300123221344</v>
      </c>
      <c r="N16" s="4835">
        <f t="shared" si="8"/>
        <v>3069.0382446327135</v>
      </c>
      <c r="O16" s="4835">
        <f t="shared" si="9"/>
        <v>3392.317578726168</v>
      </c>
    </row>
    <row r="17" spans="1:15" s="663" customFormat="1" ht="13.5" thickBot="1">
      <c r="A17" s="1483" t="s">
        <v>568</v>
      </c>
      <c r="B17" s="106" t="s">
        <v>316</v>
      </c>
      <c r="C17" s="1484" t="s">
        <v>295</v>
      </c>
      <c r="D17" s="1485">
        <f>'12. Разходи'!T88</f>
        <v>4871.80052630303</v>
      </c>
      <c r="E17" s="1485">
        <f>'12. Разходи'!U88</f>
        <v>5214.8105035707977</v>
      </c>
      <c r="F17" s="1485">
        <f>'12. Разходи'!V88</f>
        <v>5689.3799903686886</v>
      </c>
      <c r="G17" s="1485">
        <f>'12. Разходи'!W88</f>
        <v>6242.9360358749091</v>
      </c>
      <c r="H17" s="1486">
        <f>'12. Разходи'!X88</f>
        <v>6881.7318618584377</v>
      </c>
      <c r="I17" s="4775"/>
      <c r="J17" s="4860" t="s">
        <v>1896</v>
      </c>
      <c r="K17" s="4835">
        <f t="shared" si="5"/>
        <v>2490.9120559062035</v>
      </c>
      <c r="L17" s="4835">
        <f t="shared" si="6"/>
        <v>2666.2902724525125</v>
      </c>
      <c r="M17" s="4835">
        <f t="shared" si="7"/>
        <v>2908.93379811573</v>
      </c>
      <c r="N17" s="4835">
        <f t="shared" si="8"/>
        <v>3191.9625099701452</v>
      </c>
      <c r="O17" s="4835">
        <f t="shared" si="9"/>
        <v>3518.5736295375559</v>
      </c>
    </row>
    <row r="18" spans="1:15" s="663" customFormat="1" ht="24.75" thickBot="1">
      <c r="A18" s="1493" t="s">
        <v>569</v>
      </c>
      <c r="B18" s="1494" t="s">
        <v>648</v>
      </c>
      <c r="C18" s="1495" t="s">
        <v>295</v>
      </c>
      <c r="D18" s="1496">
        <f>'12. Разходи'!T55</f>
        <v>219.39178030303032</v>
      </c>
      <c r="E18" s="1496">
        <f>'12. Разходи'!U55</f>
        <v>226.77140357079725</v>
      </c>
      <c r="F18" s="1496">
        <f>'12. Разходи'!V55</f>
        <v>233.14234036868822</v>
      </c>
      <c r="G18" s="1496">
        <f>'12. Разходи'!W55</f>
        <v>240.41896587490925</v>
      </c>
      <c r="H18" s="1497">
        <f>'12. Разходи'!X55</f>
        <v>246.93537185843735</v>
      </c>
      <c r="I18" s="4775"/>
      <c r="J18" s="4860" t="s">
        <v>1896</v>
      </c>
      <c r="K18" s="4835">
        <f t="shared" si="5"/>
        <v>112.17323607012385</v>
      </c>
      <c r="L18" s="4835">
        <f t="shared" si="6"/>
        <v>115.94637753321979</v>
      </c>
      <c r="M18" s="4835">
        <f t="shared" si="7"/>
        <v>119.20378579359567</v>
      </c>
      <c r="N18" s="4835">
        <f t="shared" si="8"/>
        <v>122.92426533743181</v>
      </c>
      <c r="O18" s="4835">
        <f t="shared" si="9"/>
        <v>126.25605081138819</v>
      </c>
    </row>
    <row r="19" spans="1:15" s="663" customFormat="1" ht="24.75" thickBot="1">
      <c r="A19" s="1498" t="s">
        <v>311</v>
      </c>
      <c r="B19" s="1499" t="s">
        <v>1244</v>
      </c>
      <c r="C19" s="1500" t="s">
        <v>295</v>
      </c>
      <c r="D19" s="1501">
        <f t="shared" ref="D19:H19" si="14">D20-D21</f>
        <v>0</v>
      </c>
      <c r="E19" s="1501">
        <f t="shared" si="14"/>
        <v>0</v>
      </c>
      <c r="F19" s="1501">
        <f t="shared" si="14"/>
        <v>0</v>
      </c>
      <c r="G19" s="1501">
        <f t="shared" si="14"/>
        <v>0</v>
      </c>
      <c r="H19" s="1502">
        <f t="shared" si="14"/>
        <v>0</v>
      </c>
      <c r="I19" s="4775"/>
      <c r="J19" s="4860" t="s">
        <v>1896</v>
      </c>
      <c r="K19" s="4835">
        <f t="shared" si="5"/>
        <v>0</v>
      </c>
      <c r="L19" s="4835">
        <f t="shared" si="6"/>
        <v>0</v>
      </c>
      <c r="M19" s="4835">
        <f t="shared" si="7"/>
        <v>0</v>
      </c>
      <c r="N19" s="4835">
        <f t="shared" si="8"/>
        <v>0</v>
      </c>
      <c r="O19" s="4835">
        <f t="shared" si="9"/>
        <v>0</v>
      </c>
    </row>
    <row r="20" spans="1:15" s="663" customFormat="1" ht="13.5" thickBot="1">
      <c r="A20" s="1503" t="s">
        <v>956</v>
      </c>
      <c r="B20" s="106" t="s">
        <v>316</v>
      </c>
      <c r="C20" s="1484" t="s">
        <v>295</v>
      </c>
      <c r="D20" s="1485">
        <f>'12. Разходи'!AB88</f>
        <v>0</v>
      </c>
      <c r="E20" s="1485">
        <f>'12. Разходи'!AC88</f>
        <v>0</v>
      </c>
      <c r="F20" s="1485">
        <f>'12. Разходи'!AD88</f>
        <v>0</v>
      </c>
      <c r="G20" s="1485">
        <f>'12. Разходи'!AE88</f>
        <v>0</v>
      </c>
      <c r="H20" s="1486">
        <f>'12. Разходи'!AF88</f>
        <v>0</v>
      </c>
      <c r="I20" s="4775"/>
      <c r="J20" s="4860" t="s">
        <v>1896</v>
      </c>
      <c r="K20" s="4835">
        <f t="shared" si="5"/>
        <v>0</v>
      </c>
      <c r="L20" s="4835">
        <f t="shared" si="6"/>
        <v>0</v>
      </c>
      <c r="M20" s="4835">
        <f t="shared" si="7"/>
        <v>0</v>
      </c>
      <c r="N20" s="4835">
        <f t="shared" si="8"/>
        <v>0</v>
      </c>
      <c r="O20" s="4835">
        <f t="shared" si="9"/>
        <v>0</v>
      </c>
    </row>
    <row r="21" spans="1:15" s="663" customFormat="1" ht="24.75" thickBot="1">
      <c r="A21" s="1503" t="s">
        <v>957</v>
      </c>
      <c r="B21" s="106" t="s">
        <v>648</v>
      </c>
      <c r="C21" s="1484" t="s">
        <v>295</v>
      </c>
      <c r="D21" s="1485">
        <f>'12. Разходи'!AB55</f>
        <v>0</v>
      </c>
      <c r="E21" s="1485">
        <f>'12. Разходи'!AC55</f>
        <v>0</v>
      </c>
      <c r="F21" s="1485">
        <f>'12. Разходи'!AD55</f>
        <v>0</v>
      </c>
      <c r="G21" s="1485">
        <f>'12. Разходи'!AE55</f>
        <v>0</v>
      </c>
      <c r="H21" s="1486">
        <f>'12. Разходи'!AF55</f>
        <v>0</v>
      </c>
      <c r="I21" s="4775"/>
      <c r="J21" s="4860" t="s">
        <v>1896</v>
      </c>
      <c r="K21" s="4835">
        <f t="shared" si="5"/>
        <v>0</v>
      </c>
      <c r="L21" s="4835">
        <f t="shared" si="6"/>
        <v>0</v>
      </c>
      <c r="M21" s="4835">
        <f t="shared" si="7"/>
        <v>0</v>
      </c>
      <c r="N21" s="4835">
        <f t="shared" si="8"/>
        <v>0</v>
      </c>
      <c r="O21" s="4835">
        <f t="shared" si="9"/>
        <v>0</v>
      </c>
    </row>
    <row r="22" spans="1:15" s="663" customFormat="1" ht="24.75" thickBot="1">
      <c r="A22" s="1504" t="s">
        <v>314</v>
      </c>
      <c r="B22" s="1488" t="s">
        <v>1245</v>
      </c>
      <c r="C22" s="1484" t="s">
        <v>295</v>
      </c>
      <c r="D22" s="985">
        <f t="shared" ref="D22:H22" si="15">D23-D24</f>
        <v>0</v>
      </c>
      <c r="E22" s="985">
        <f t="shared" si="15"/>
        <v>0</v>
      </c>
      <c r="F22" s="985">
        <f t="shared" si="15"/>
        <v>0</v>
      </c>
      <c r="G22" s="985">
        <f t="shared" si="15"/>
        <v>0</v>
      </c>
      <c r="H22" s="986">
        <f t="shared" si="15"/>
        <v>0</v>
      </c>
      <c r="I22" s="4775"/>
      <c r="J22" s="4860" t="s">
        <v>1896</v>
      </c>
      <c r="K22" s="4835">
        <f t="shared" si="5"/>
        <v>0</v>
      </c>
      <c r="L22" s="4835">
        <f t="shared" si="6"/>
        <v>0</v>
      </c>
      <c r="M22" s="4835">
        <f t="shared" si="7"/>
        <v>0</v>
      </c>
      <c r="N22" s="4835">
        <f t="shared" si="8"/>
        <v>0</v>
      </c>
      <c r="O22" s="4835">
        <f t="shared" si="9"/>
        <v>0</v>
      </c>
    </row>
    <row r="23" spans="1:15" s="663" customFormat="1" ht="13.5" thickBot="1">
      <c r="A23" s="1503" t="s">
        <v>958</v>
      </c>
      <c r="B23" s="106" t="s">
        <v>316</v>
      </c>
      <c r="C23" s="1484" t="s">
        <v>295</v>
      </c>
      <c r="D23" s="1485">
        <f>'12. Разходи'!AJ88</f>
        <v>0</v>
      </c>
      <c r="E23" s="1485">
        <f>'12. Разходи'!AK88</f>
        <v>0</v>
      </c>
      <c r="F23" s="1485">
        <f>'12. Разходи'!AL88</f>
        <v>0</v>
      </c>
      <c r="G23" s="1485">
        <f>'12. Разходи'!AM88</f>
        <v>0</v>
      </c>
      <c r="H23" s="1486">
        <f>'12. Разходи'!AN88</f>
        <v>0</v>
      </c>
      <c r="I23" s="4775"/>
      <c r="J23" s="4860" t="s">
        <v>1896</v>
      </c>
      <c r="K23" s="4835">
        <f t="shared" si="5"/>
        <v>0</v>
      </c>
      <c r="L23" s="4835">
        <f t="shared" si="6"/>
        <v>0</v>
      </c>
      <c r="M23" s="4835">
        <f t="shared" si="7"/>
        <v>0</v>
      </c>
      <c r="N23" s="4835">
        <f t="shared" si="8"/>
        <v>0</v>
      </c>
      <c r="O23" s="4835">
        <f t="shared" si="9"/>
        <v>0</v>
      </c>
    </row>
    <row r="24" spans="1:15" s="663" customFormat="1" ht="24.75" thickBot="1">
      <c r="A24" s="1503" t="s">
        <v>959</v>
      </c>
      <c r="B24" s="106" t="s">
        <v>648</v>
      </c>
      <c r="C24" s="1484" t="s">
        <v>295</v>
      </c>
      <c r="D24" s="1485">
        <f>'12. Разходи'!AJ55</f>
        <v>0</v>
      </c>
      <c r="E24" s="1485">
        <f>'12. Разходи'!AK55</f>
        <v>0</v>
      </c>
      <c r="F24" s="1485">
        <f>'12. Разходи'!AL55</f>
        <v>0</v>
      </c>
      <c r="G24" s="1485">
        <f>'12. Разходи'!AM55</f>
        <v>0</v>
      </c>
      <c r="H24" s="1486">
        <f>'12. Разходи'!AN55</f>
        <v>0</v>
      </c>
      <c r="I24" s="4775"/>
      <c r="J24" s="4860" t="s">
        <v>1896</v>
      </c>
      <c r="K24" s="4835">
        <f t="shared" si="5"/>
        <v>0</v>
      </c>
      <c r="L24" s="4835">
        <f t="shared" si="6"/>
        <v>0</v>
      </c>
      <c r="M24" s="4835">
        <f t="shared" si="7"/>
        <v>0</v>
      </c>
      <c r="N24" s="4835">
        <f t="shared" si="8"/>
        <v>0</v>
      </c>
      <c r="O24" s="4835">
        <f t="shared" si="9"/>
        <v>0</v>
      </c>
    </row>
    <row r="25" spans="1:15" s="663" customFormat="1" ht="13.5" thickBot="1">
      <c r="A25" s="1505" t="s">
        <v>317</v>
      </c>
      <c r="B25" s="1506" t="s">
        <v>320</v>
      </c>
      <c r="C25" s="1507" t="s">
        <v>295</v>
      </c>
      <c r="D25" s="1508">
        <f>IFERROR(D10/D9,0)</f>
        <v>2928.4194756164388</v>
      </c>
      <c r="E25" s="1508">
        <f t="shared" ref="E25:H25" si="16">IFERROR(E10/E9,0)</f>
        <v>3228.8818356164384</v>
      </c>
      <c r="F25" s="1508">
        <f t="shared" si="16"/>
        <v>3590.8186405479455</v>
      </c>
      <c r="G25" s="1508">
        <f t="shared" si="16"/>
        <v>3966.3992810958907</v>
      </c>
      <c r="H25" s="1509">
        <f t="shared" si="16"/>
        <v>4395.7880136986305</v>
      </c>
      <c r="I25" s="4775"/>
      <c r="J25" s="4866" t="s">
        <v>1896</v>
      </c>
      <c r="K25" s="4831">
        <f t="shared" si="5"/>
        <v>1497.2771026195728</v>
      </c>
      <c r="L25" s="4831">
        <f t="shared" si="6"/>
        <v>1650.9010678926279</v>
      </c>
      <c r="M25" s="4831">
        <f t="shared" si="7"/>
        <v>1835.9564177602069</v>
      </c>
      <c r="N25" s="4831">
        <f t="shared" si="8"/>
        <v>2027.9877500068467</v>
      </c>
      <c r="O25" s="4831">
        <f t="shared" si="9"/>
        <v>2247.5307228637616</v>
      </c>
    </row>
    <row r="26" spans="1:15" s="1510" customFormat="1" ht="13.5" thickBot="1">
      <c r="A26" s="1505" t="s">
        <v>1240</v>
      </c>
      <c r="B26" s="1506" t="s">
        <v>321</v>
      </c>
      <c r="C26" s="1507" t="s">
        <v>295</v>
      </c>
      <c r="D26" s="1508">
        <f>IFERROR(D13/D9,0)</f>
        <v>689.61164087671239</v>
      </c>
      <c r="E26" s="1508">
        <f t="shared" ref="E26:H26" si="17">IFERROR(E13/E9,0)</f>
        <v>773.94040800000005</v>
      </c>
      <c r="F26" s="1508">
        <f t="shared" si="17"/>
        <v>853.16876475616459</v>
      </c>
      <c r="G26" s="1508">
        <f t="shared" si="17"/>
        <v>956.73040859178093</v>
      </c>
      <c r="H26" s="1509">
        <f t="shared" si="17"/>
        <v>1076.8947921534248</v>
      </c>
      <c r="I26" s="4775"/>
      <c r="J26" s="4866" t="s">
        <v>1896</v>
      </c>
      <c r="K26" s="4831">
        <f t="shared" si="5"/>
        <v>352.59283315866531</v>
      </c>
      <c r="L26" s="4831">
        <f t="shared" si="6"/>
        <v>395.70944714008891</v>
      </c>
      <c r="M26" s="4831">
        <f t="shared" si="7"/>
        <v>436.2182627100334</v>
      </c>
      <c r="N26" s="4831">
        <f t="shared" si="8"/>
        <v>489.16849040651846</v>
      </c>
      <c r="O26" s="4831">
        <f t="shared" si="9"/>
        <v>550.60756413053525</v>
      </c>
    </row>
    <row r="27" spans="1:15" s="1510" customFormat="1" ht="13.5" thickBot="1">
      <c r="A27" s="1505" t="s">
        <v>1242</v>
      </c>
      <c r="B27" s="1506" t="s">
        <v>322</v>
      </c>
      <c r="C27" s="1507" t="s">
        <v>295</v>
      </c>
      <c r="D27" s="1508">
        <f>IFERROR(D16/D9,0)</f>
        <v>764.77951989041105</v>
      </c>
      <c r="E27" s="1508">
        <f t="shared" ref="E27:H27" si="18">IFERROR(E16/E9,0)</f>
        <v>819.95163287671232</v>
      </c>
      <c r="F27" s="1508">
        <f t="shared" si="18"/>
        <v>896.91577808219188</v>
      </c>
      <c r="G27" s="1508">
        <f t="shared" si="18"/>
        <v>986.71513479452062</v>
      </c>
      <c r="H27" s="1509">
        <f t="shared" si="18"/>
        <v>1090.6514778082194</v>
      </c>
      <c r="I27" s="4775"/>
      <c r="J27" s="4866" t="s">
        <v>1896</v>
      </c>
      <c r="K27" s="4831">
        <f t="shared" si="5"/>
        <v>391.02555942510907</v>
      </c>
      <c r="L27" s="4831">
        <f t="shared" si="6"/>
        <v>419.23461286344536</v>
      </c>
      <c r="M27" s="4831">
        <f t="shared" si="7"/>
        <v>458.58575545021392</v>
      </c>
      <c r="N27" s="4831">
        <f t="shared" si="8"/>
        <v>504.49943747387078</v>
      </c>
      <c r="O27" s="4831">
        <f t="shared" si="9"/>
        <v>557.64124581800024</v>
      </c>
    </row>
    <row r="28" spans="1:15" s="1510" customFormat="1" ht="13.5" thickBot="1">
      <c r="A28" s="1505" t="s">
        <v>1246</v>
      </c>
      <c r="B28" s="1506" t="s">
        <v>1241</v>
      </c>
      <c r="C28" s="1507" t="s">
        <v>295</v>
      </c>
      <c r="D28" s="1508">
        <f>IFERROR(D19/D9,0)</f>
        <v>0</v>
      </c>
      <c r="E28" s="1508">
        <f t="shared" ref="E28:H28" si="19">IFERROR(E19/E9,0)</f>
        <v>0</v>
      </c>
      <c r="F28" s="1508">
        <f t="shared" si="19"/>
        <v>0</v>
      </c>
      <c r="G28" s="1508">
        <f t="shared" si="19"/>
        <v>0</v>
      </c>
      <c r="H28" s="1511">
        <f t="shared" si="19"/>
        <v>0</v>
      </c>
      <c r="I28" s="4775"/>
      <c r="J28" s="4866" t="s">
        <v>1896</v>
      </c>
      <c r="K28" s="4831">
        <f t="shared" si="5"/>
        <v>0</v>
      </c>
      <c r="L28" s="4831">
        <f t="shared" si="6"/>
        <v>0</v>
      </c>
      <c r="M28" s="4831">
        <f t="shared" si="7"/>
        <v>0</v>
      </c>
      <c r="N28" s="4831">
        <f t="shared" si="8"/>
        <v>0</v>
      </c>
      <c r="O28" s="4831">
        <f t="shared" si="9"/>
        <v>0</v>
      </c>
    </row>
    <row r="29" spans="1:15" s="663" customFormat="1" ht="13.5" thickBot="1">
      <c r="A29" s="1505" t="s">
        <v>1247</v>
      </c>
      <c r="B29" s="1506" t="s">
        <v>1243</v>
      </c>
      <c r="C29" s="1507" t="s">
        <v>295</v>
      </c>
      <c r="D29" s="1508">
        <f>IFERROR(D22/D9,0)</f>
        <v>0</v>
      </c>
      <c r="E29" s="1508">
        <f t="shared" ref="E29:H29" si="20">IFERROR(E22/E9,0)</f>
        <v>0</v>
      </c>
      <c r="F29" s="1508">
        <f t="shared" si="20"/>
        <v>0</v>
      </c>
      <c r="G29" s="1508">
        <f t="shared" si="20"/>
        <v>0</v>
      </c>
      <c r="H29" s="1511">
        <f t="shared" si="20"/>
        <v>0</v>
      </c>
      <c r="I29" s="4775"/>
      <c r="J29" s="4866" t="s">
        <v>1896</v>
      </c>
      <c r="K29" s="4831">
        <f t="shared" si="5"/>
        <v>0</v>
      </c>
      <c r="L29" s="4831">
        <f t="shared" si="6"/>
        <v>0</v>
      </c>
      <c r="M29" s="4831">
        <f t="shared" si="7"/>
        <v>0</v>
      </c>
      <c r="N29" s="4831">
        <f t="shared" si="8"/>
        <v>0</v>
      </c>
      <c r="O29" s="4831">
        <f t="shared" si="9"/>
        <v>0</v>
      </c>
    </row>
    <row r="30" spans="1:15" s="73" customFormat="1" ht="14.25">
      <c r="A30" s="644"/>
      <c r="B30" s="645"/>
      <c r="C30" s="646"/>
      <c r="D30" s="647"/>
      <c r="E30" s="647"/>
      <c r="F30" s="647"/>
      <c r="G30" s="647"/>
      <c r="H30" s="647"/>
    </row>
    <row r="31" spans="1:15" s="73" customFormat="1" ht="14.25">
      <c r="A31" s="644"/>
      <c r="B31" s="645"/>
      <c r="C31" s="646"/>
      <c r="D31" s="647"/>
      <c r="E31" s="647"/>
      <c r="F31" s="647"/>
      <c r="G31" s="647"/>
      <c r="H31" s="647"/>
    </row>
    <row r="32" spans="1:15" s="73" customFormat="1" ht="14.25">
      <c r="A32" s="644"/>
      <c r="B32" s="3668" t="str">
        <f>'Приложение '!B82</f>
        <v>Дата: 15.04.2026 г.</v>
      </c>
      <c r="C32" s="647"/>
      <c r="D32" s="647"/>
      <c r="E32" s="647"/>
      <c r="F32" s="647"/>
      <c r="G32" s="647"/>
      <c r="H32" s="647"/>
    </row>
    <row r="33" spans="1:8">
      <c r="A33" s="1362"/>
      <c r="B33" s="3667"/>
      <c r="C33" s="1697"/>
      <c r="D33" s="1697"/>
      <c r="E33" s="1697"/>
      <c r="F33" s="1697"/>
      <c r="G33" s="1697"/>
      <c r="H33" s="1697"/>
    </row>
    <row r="34" spans="1:8">
      <c r="A34" s="1697"/>
      <c r="B34" s="1697"/>
      <c r="C34" s="1697"/>
      <c r="D34" s="1697"/>
      <c r="E34" s="1697"/>
      <c r="F34" s="1697"/>
      <c r="G34" s="1697"/>
      <c r="H34" s="1697"/>
    </row>
    <row r="35" spans="1:8">
      <c r="A35" s="5548" t="s">
        <v>187</v>
      </c>
      <c r="B35" s="5548"/>
      <c r="C35" s="5548"/>
      <c r="D35" s="1799"/>
      <c r="E35" s="1799"/>
      <c r="F35" s="1799"/>
      <c r="G35" s="1799"/>
      <c r="H35" s="1799"/>
    </row>
    <row r="36" spans="1:8">
      <c r="A36" s="5549" t="s">
        <v>1871</v>
      </c>
      <c r="B36" s="5549"/>
      <c r="C36" s="5549"/>
      <c r="D36" s="5549"/>
      <c r="E36" s="5549"/>
      <c r="F36" s="5549"/>
      <c r="G36" s="5549"/>
      <c r="H36" s="5549"/>
    </row>
    <row r="37" spans="1:8">
      <c r="A37" s="5549"/>
      <c r="B37" s="5549"/>
      <c r="C37" s="5549"/>
      <c r="D37" s="5549"/>
      <c r="E37" s="5549"/>
      <c r="F37" s="5549"/>
      <c r="G37" s="5549"/>
      <c r="H37" s="5549"/>
    </row>
    <row r="38" spans="1:8">
      <c r="A38" s="5601"/>
      <c r="B38" s="5601"/>
      <c r="C38" s="5601"/>
      <c r="D38" s="5601"/>
      <c r="E38" s="5601"/>
      <c r="F38" s="5601"/>
      <c r="G38" s="5601"/>
      <c r="H38" s="5601"/>
    </row>
    <row r="39" spans="1:8" ht="15.75" customHeight="1">
      <c r="A39" s="5601"/>
      <c r="B39" s="5601"/>
      <c r="C39" s="5601"/>
      <c r="D39" s="5601"/>
      <c r="E39" s="5601"/>
      <c r="F39" s="5601"/>
      <c r="G39" s="5601"/>
      <c r="H39" s="5601"/>
    </row>
    <row r="40" spans="1:8" ht="12.75" customHeight="1">
      <c r="A40" s="5601"/>
      <c r="B40" s="5601"/>
      <c r="C40" s="5601"/>
      <c r="D40" s="5601"/>
      <c r="E40" s="5601"/>
      <c r="F40" s="5601"/>
      <c r="G40" s="5601"/>
      <c r="H40" s="5601"/>
    </row>
    <row r="41" spans="1:8">
      <c r="A41" s="5601"/>
      <c r="B41" s="5601"/>
      <c r="C41" s="5601"/>
      <c r="D41" s="5601"/>
      <c r="E41" s="5601"/>
      <c r="F41" s="5601"/>
      <c r="G41" s="5601"/>
      <c r="H41" s="5601"/>
    </row>
    <row r="42" spans="1:8">
      <c r="A42" s="5601"/>
      <c r="B42" s="5601"/>
      <c r="C42" s="5601"/>
      <c r="D42" s="5601"/>
      <c r="E42" s="5601"/>
      <c r="F42" s="5601"/>
      <c r="G42" s="5601"/>
      <c r="H42" s="5601"/>
    </row>
    <row r="43" spans="1:8">
      <c r="A43" s="5601"/>
      <c r="B43" s="5601"/>
      <c r="C43" s="5601"/>
      <c r="D43" s="5601"/>
      <c r="E43" s="5601"/>
      <c r="F43" s="5601"/>
      <c r="G43" s="5601"/>
      <c r="H43" s="5601"/>
    </row>
    <row r="44" spans="1:8">
      <c r="A44" s="5601"/>
      <c r="B44" s="5601"/>
      <c r="C44" s="5601"/>
      <c r="D44" s="5601"/>
      <c r="E44" s="5601"/>
      <c r="F44" s="5601"/>
      <c r="G44" s="5601"/>
      <c r="H44" s="5601"/>
    </row>
  </sheetData>
  <sheetProtection algorithmName="SHA-512" hashValue="/uNdaHP/Zhk5dKpL+4ckQoyAnw9jGIrFhIzkSD/VnQSX7PC/vBdrglVupzK9sMMMpYDmoJf6h8GxK9o5wC9F1Q==" saltValue="7uT/JWSJ38tEYS/PcXMJKg==" spinCount="100000" sheet="1" formatCells="0" formatColumns="0" formatRows="0"/>
  <mergeCells count="16">
    <mergeCell ref="A1:B1"/>
    <mergeCell ref="C1:D1"/>
    <mergeCell ref="A2:H2"/>
    <mergeCell ref="A3:H3"/>
    <mergeCell ref="A4:H4"/>
    <mergeCell ref="A5:H5"/>
    <mergeCell ref="A37:H37"/>
    <mergeCell ref="A36:H36"/>
    <mergeCell ref="A41:H41"/>
    <mergeCell ref="A42:H42"/>
    <mergeCell ref="A43:H43"/>
    <mergeCell ref="A44:H44"/>
    <mergeCell ref="A35:C35"/>
    <mergeCell ref="A38:H38"/>
    <mergeCell ref="A39:H39"/>
    <mergeCell ref="A40:H40"/>
  </mergeCell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O45"/>
  <sheetViews>
    <sheetView showGridLines="0" topLeftCell="A13" zoomScale="110" zoomScaleNormal="110" zoomScaleSheetLayoutView="100" workbookViewId="0">
      <selection activeCell="N35" sqref="N35"/>
    </sheetView>
  </sheetViews>
  <sheetFormatPr defaultColWidth="11.42578125" defaultRowHeight="12"/>
  <cols>
    <col min="1" max="1" width="4.5703125" style="10" customWidth="1"/>
    <col min="2" max="2" width="66.42578125" style="10" customWidth="1"/>
    <col min="3" max="3" width="8.7109375" style="10" customWidth="1"/>
    <col min="4" max="4" width="9.85546875" style="1349" customWidth="1"/>
    <col min="5" max="5" width="9.140625" style="1349" customWidth="1"/>
    <col min="6" max="6" width="8.7109375" style="1349" customWidth="1"/>
    <col min="7" max="8" width="8.7109375" style="10" customWidth="1"/>
    <col min="9" max="9" width="2" style="10" customWidth="1"/>
    <col min="10" max="15" width="8.7109375" style="10" customWidth="1"/>
    <col min="16"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15" ht="16.5" thickBot="1">
      <c r="A1" s="5004" t="str">
        <f>+'1. Обща информация'!B40</f>
        <v>Фиксиран курс на лева към 1 евро</v>
      </c>
      <c r="B1" s="5004"/>
      <c r="C1" s="5005">
        <f>+'1. Обща информация'!$C$40</f>
        <v>1.95583</v>
      </c>
      <c r="D1" s="5005"/>
      <c r="E1" s="3527"/>
      <c r="F1" s="3527"/>
      <c r="G1" s="3435"/>
      <c r="H1" s="3343" t="str">
        <f>'18. OK'!H1</f>
        <v>Приложение № 6</v>
      </c>
    </row>
    <row r="2" spans="1:15" s="4" customFormat="1" ht="14.25" customHeight="1">
      <c r="A2" s="5607" t="s">
        <v>1492</v>
      </c>
      <c r="B2" s="5607"/>
      <c r="C2" s="5607"/>
      <c r="D2" s="5607"/>
      <c r="E2" s="5607"/>
      <c r="F2" s="5607"/>
      <c r="G2" s="5607"/>
      <c r="H2" s="5607"/>
    </row>
    <row r="3" spans="1:15" s="9" customFormat="1" ht="18.75">
      <c r="A3" s="5608" t="s">
        <v>1013</v>
      </c>
      <c r="B3" s="5608"/>
      <c r="C3" s="5608"/>
      <c r="D3" s="5608"/>
      <c r="E3" s="5608"/>
      <c r="F3" s="5608"/>
      <c r="G3" s="5608"/>
      <c r="H3" s="5608"/>
    </row>
    <row r="4" spans="1:15" ht="14.25" customHeight="1">
      <c r="A4" s="5602" t="str">
        <f>'1. Обща информация'!A4:D4</f>
        <v>на "ВОДОСНАБДЯВАНЕ И КАНАЛИЗАЦИЯ" ЕООД, гр. БЛАГОЕВГРАД</v>
      </c>
      <c r="B4" s="5602"/>
      <c r="C4" s="5602"/>
      <c r="D4" s="5602"/>
      <c r="E4" s="5602"/>
      <c r="F4" s="5602"/>
      <c r="G4" s="5602"/>
      <c r="H4" s="5602"/>
    </row>
    <row r="5" spans="1:15" ht="19.5" customHeight="1">
      <c r="A5" s="5602" t="str">
        <f>'1. Обща информация'!A5:D5</f>
        <v>ЕИК по БУЛСТАТ: 811047831</v>
      </c>
      <c r="B5" s="5602"/>
      <c r="C5" s="5602"/>
      <c r="D5" s="5602"/>
      <c r="E5" s="5602"/>
      <c r="F5" s="5602"/>
      <c r="G5" s="5602"/>
      <c r="H5" s="5602"/>
    </row>
    <row r="6" spans="1:15" s="12" customFormat="1" ht="15.75" customHeight="1">
      <c r="A6" s="1358"/>
      <c r="B6" s="1358"/>
      <c r="C6" s="1358"/>
      <c r="D6" s="3528"/>
      <c r="E6" s="3528"/>
      <c r="F6" s="3528"/>
    </row>
    <row r="7" spans="1:15" s="12" customFormat="1" ht="15.75" customHeight="1" thickBot="1">
      <c r="A7" s="1358"/>
      <c r="B7" s="1358"/>
      <c r="C7" s="1358"/>
      <c r="D7" s="3528"/>
      <c r="E7" s="3528"/>
      <c r="F7" s="3528"/>
    </row>
    <row r="8" spans="1:15" s="12" customFormat="1" ht="15.75" customHeight="1" thickBot="1">
      <c r="A8" s="1410"/>
      <c r="B8" s="1406" t="s">
        <v>1389</v>
      </c>
      <c r="C8" s="5609" t="s">
        <v>1391</v>
      </c>
      <c r="D8" s="5610"/>
      <c r="E8" s="5611"/>
      <c r="F8" s="3524"/>
    </row>
    <row r="9" spans="1:15" s="12" customFormat="1" ht="15.75" customHeight="1" thickBot="1">
      <c r="A9" s="1358"/>
      <c r="B9" s="1358"/>
      <c r="C9" s="1358"/>
      <c r="D9" s="3528"/>
      <c r="E9" s="3528"/>
      <c r="F9" s="3528"/>
    </row>
    <row r="10" spans="1:15" s="12" customFormat="1" ht="26.25" customHeight="1" thickBot="1">
      <c r="A10" s="269" t="s">
        <v>1</v>
      </c>
      <c r="B10" s="270" t="s">
        <v>87</v>
      </c>
      <c r="C10" s="271" t="s">
        <v>166</v>
      </c>
      <c r="D10" s="1359" t="str">
        <f>'Приложение '!$C14</f>
        <v>2027 г.</v>
      </c>
      <c r="E10" s="1359" t="str">
        <f>'Приложение '!$C15</f>
        <v>2028 г.</v>
      </c>
      <c r="F10" s="1359" t="str">
        <f>'Приложение '!$C16</f>
        <v>2029 г.</v>
      </c>
      <c r="G10" s="1359" t="str">
        <f>'Приложение '!$C17</f>
        <v>2030 г.</v>
      </c>
      <c r="H10" s="1360" t="str">
        <f>'Приложение '!$C18</f>
        <v>2031 г.</v>
      </c>
      <c r="I10" s="4775"/>
      <c r="J10" s="4867" t="s">
        <v>166</v>
      </c>
      <c r="K10" s="4868" t="str">
        <f>'Приложение '!$C14</f>
        <v>2027 г.</v>
      </c>
      <c r="L10" s="4868" t="str">
        <f>'Приложение '!$C15</f>
        <v>2028 г.</v>
      </c>
      <c r="M10" s="4868" t="str">
        <f>'Приложение '!$C16</f>
        <v>2029 г.</v>
      </c>
      <c r="N10" s="4868" t="str">
        <f>'Приложение '!$C17</f>
        <v>2030 г.</v>
      </c>
      <c r="O10" s="4868" t="str">
        <f>'Приложение '!$C18</f>
        <v>2031 г.</v>
      </c>
    </row>
    <row r="11" spans="1:15" s="12" customFormat="1" ht="16.5" customHeight="1">
      <c r="A11" s="129">
        <v>1</v>
      </c>
      <c r="B11" s="119" t="s">
        <v>324</v>
      </c>
      <c r="C11" s="120" t="s">
        <v>170</v>
      </c>
      <c r="D11" s="121">
        <v>0.1</v>
      </c>
      <c r="E11" s="121">
        <v>0.1</v>
      </c>
      <c r="F11" s="121">
        <v>0.1</v>
      </c>
      <c r="G11" s="121">
        <v>0.1</v>
      </c>
      <c r="H11" s="122">
        <v>0.1</v>
      </c>
      <c r="I11" s="4775"/>
    </row>
    <row r="12" spans="1:15" s="12" customFormat="1" ht="17.25" customHeight="1">
      <c r="A12" s="129">
        <v>2</v>
      </c>
      <c r="B12" s="119" t="s">
        <v>923</v>
      </c>
      <c r="C12" s="120" t="s">
        <v>170</v>
      </c>
      <c r="D12" s="1414">
        <f>SUMIF(B34:B37,C8,C34:C37)</f>
        <v>0</v>
      </c>
      <c r="E12" s="3547">
        <f>+D12</f>
        <v>0</v>
      </c>
      <c r="F12" s="3547">
        <f t="shared" ref="F12:H13" si="0">+E12</f>
        <v>0</v>
      </c>
      <c r="G12" s="3547">
        <f t="shared" si="0"/>
        <v>0</v>
      </c>
      <c r="H12" s="3548">
        <f t="shared" si="0"/>
        <v>0</v>
      </c>
      <c r="I12" s="4775"/>
    </row>
    <row r="13" spans="1:15" s="12" customFormat="1" ht="12.75">
      <c r="A13" s="129">
        <v>3</v>
      </c>
      <c r="B13" s="119" t="s">
        <v>1394</v>
      </c>
      <c r="C13" s="120" t="s">
        <v>170</v>
      </c>
      <c r="D13" s="1414">
        <f>SUMIF(B34:B37,C8,D34:D37)</f>
        <v>0</v>
      </c>
      <c r="E13" s="3547">
        <f>+D13</f>
        <v>0</v>
      </c>
      <c r="F13" s="3547">
        <f t="shared" si="0"/>
        <v>0</v>
      </c>
      <c r="G13" s="3547">
        <f t="shared" si="0"/>
        <v>0</v>
      </c>
      <c r="H13" s="3548">
        <f t="shared" si="0"/>
        <v>0</v>
      </c>
      <c r="I13" s="4775"/>
    </row>
    <row r="14" spans="1:15" s="12" customFormat="1" ht="14.25" customHeight="1">
      <c r="A14" s="129">
        <v>4</v>
      </c>
      <c r="B14" s="119" t="s">
        <v>325</v>
      </c>
      <c r="C14" s="120" t="s">
        <v>170</v>
      </c>
      <c r="D14" s="121">
        <v>0.5</v>
      </c>
      <c r="E14" s="3547">
        <f t="shared" ref="E14:E15" si="1">+D14</f>
        <v>0.5</v>
      </c>
      <c r="F14" s="3547">
        <f t="shared" ref="F14:F15" si="2">+E14</f>
        <v>0.5</v>
      </c>
      <c r="G14" s="3547">
        <f t="shared" ref="G14:G15" si="3">+F14</f>
        <v>0.5</v>
      </c>
      <c r="H14" s="3548">
        <f t="shared" ref="H14:H15" si="4">+G14</f>
        <v>0.5</v>
      </c>
      <c r="I14" s="4775"/>
    </row>
    <row r="15" spans="1:15" s="12" customFormat="1" ht="14.25" customHeight="1">
      <c r="A15" s="129">
        <v>5</v>
      </c>
      <c r="B15" s="119" t="s">
        <v>326</v>
      </c>
      <c r="C15" s="120" t="s">
        <v>170</v>
      </c>
      <c r="D15" s="121">
        <v>0.5</v>
      </c>
      <c r="E15" s="3547">
        <f t="shared" si="1"/>
        <v>0.5</v>
      </c>
      <c r="F15" s="3547">
        <f t="shared" si="2"/>
        <v>0.5</v>
      </c>
      <c r="G15" s="3547">
        <f t="shared" si="3"/>
        <v>0.5</v>
      </c>
      <c r="H15" s="3548">
        <f t="shared" si="4"/>
        <v>0.5</v>
      </c>
      <c r="I15" s="4775"/>
    </row>
    <row r="16" spans="1:15" s="12" customFormat="1" ht="21" customHeight="1" thickBot="1">
      <c r="A16" s="130">
        <v>6</v>
      </c>
      <c r="B16" s="123" t="s">
        <v>694</v>
      </c>
      <c r="C16" s="124" t="s">
        <v>170</v>
      </c>
      <c r="D16" s="1415">
        <f>D13*D15+D12*D14*(D11/(1-D11)+1)</f>
        <v>0</v>
      </c>
      <c r="E16" s="1415">
        <f t="shared" ref="E16:H16" si="5">E13*E15+E12*E14*(E11/(1-E11)+1)</f>
        <v>0</v>
      </c>
      <c r="F16" s="1415">
        <f t="shared" si="5"/>
        <v>0</v>
      </c>
      <c r="G16" s="1415">
        <f t="shared" si="5"/>
        <v>0</v>
      </c>
      <c r="H16" s="1416">
        <f t="shared" si="5"/>
        <v>0</v>
      </c>
      <c r="I16" s="4775"/>
    </row>
    <row r="17" spans="1:15" s="1281" customFormat="1" ht="13.5" customHeight="1" thickBot="1">
      <c r="A17" s="1278" t="s">
        <v>268</v>
      </c>
      <c r="B17" s="1279" t="s">
        <v>1340</v>
      </c>
      <c r="C17" s="1280" t="s">
        <v>323</v>
      </c>
      <c r="D17" s="125">
        <f>'17. РБА'!C21*'19. HB'!D16</f>
        <v>0</v>
      </c>
      <c r="E17" s="125">
        <f>'17. РБА'!D21*'19. HB'!E16</f>
        <v>0</v>
      </c>
      <c r="F17" s="125">
        <f>'17. РБА'!E21*'19. HB'!F16</f>
        <v>0</v>
      </c>
      <c r="G17" s="125">
        <f>'17. РБА'!F21*'19. HB'!G16</f>
        <v>0</v>
      </c>
      <c r="H17" s="126">
        <f>'17. РБА'!G21*'19. HB'!H16</f>
        <v>0</v>
      </c>
      <c r="I17" s="4775"/>
      <c r="J17" s="4860" t="s">
        <v>1896</v>
      </c>
      <c r="K17" s="4835">
        <f>IFERROR(D17/$C$1,0)</f>
        <v>0</v>
      </c>
      <c r="L17" s="4835">
        <f t="shared" ref="L17:O17" si="6">IFERROR(E17/$C$1,0)</f>
        <v>0</v>
      </c>
      <c r="M17" s="4835">
        <f t="shared" si="6"/>
        <v>0</v>
      </c>
      <c r="N17" s="4835">
        <f t="shared" si="6"/>
        <v>0</v>
      </c>
      <c r="O17" s="4835">
        <f t="shared" si="6"/>
        <v>0</v>
      </c>
    </row>
    <row r="18" spans="1:15" s="1282" customFormat="1" ht="13.5" customHeight="1" thickBot="1">
      <c r="A18" s="1278" t="s">
        <v>270</v>
      </c>
      <c r="B18" s="1279" t="s">
        <v>1399</v>
      </c>
      <c r="C18" s="1280" t="s">
        <v>323</v>
      </c>
      <c r="D18" s="125">
        <f>'17. РБА'!C35*'19. HB'!D16</f>
        <v>0</v>
      </c>
      <c r="E18" s="125">
        <f>'17. РБА'!D35*'19. HB'!E16</f>
        <v>0</v>
      </c>
      <c r="F18" s="125">
        <f>'17. РБА'!E35*'19. HB'!F16</f>
        <v>0</v>
      </c>
      <c r="G18" s="125">
        <f>'17. РБА'!F35*'19. HB'!G16</f>
        <v>0</v>
      </c>
      <c r="H18" s="126">
        <f>'17. РБА'!G35*'19. HB'!H16</f>
        <v>0</v>
      </c>
      <c r="I18" s="4775"/>
      <c r="J18" s="4860" t="s">
        <v>1896</v>
      </c>
      <c r="K18" s="4835">
        <f t="shared" ref="K18:K22" si="7">IFERROR(D18/$C$1,0)</f>
        <v>0</v>
      </c>
      <c r="L18" s="4835">
        <f t="shared" ref="L18:L22" si="8">IFERROR(E18/$C$1,0)</f>
        <v>0</v>
      </c>
      <c r="M18" s="4835">
        <f t="shared" ref="M18:M22" si="9">IFERROR(F18/$C$1,0)</f>
        <v>0</v>
      </c>
      <c r="N18" s="4835">
        <f t="shared" ref="N18:N22" si="10">IFERROR(G18/$C$1,0)</f>
        <v>0</v>
      </c>
      <c r="O18" s="4835">
        <f t="shared" ref="O18:O22" si="11">IFERROR(H18/$C$1,0)</f>
        <v>0</v>
      </c>
    </row>
    <row r="19" spans="1:15" s="1282" customFormat="1" ht="13.5" customHeight="1" thickBot="1">
      <c r="A19" s="1278" t="s">
        <v>272</v>
      </c>
      <c r="B19" s="1279" t="s">
        <v>1400</v>
      </c>
      <c r="C19" s="1280" t="s">
        <v>323</v>
      </c>
      <c r="D19" s="125">
        <f>'17. РБА'!C49*'19. HB'!D16</f>
        <v>0</v>
      </c>
      <c r="E19" s="125">
        <f>'17. РБА'!D49*'19. HB'!E16</f>
        <v>0</v>
      </c>
      <c r="F19" s="125">
        <f>'17. РБА'!E49*'19. HB'!F16</f>
        <v>0</v>
      </c>
      <c r="G19" s="125">
        <f>'17. РБА'!F49*'19. HB'!G16</f>
        <v>0</v>
      </c>
      <c r="H19" s="126">
        <f>'17. РБА'!G49*'19. HB'!H16</f>
        <v>0</v>
      </c>
      <c r="I19" s="4775"/>
      <c r="J19" s="4860" t="s">
        <v>1896</v>
      </c>
      <c r="K19" s="4835">
        <f t="shared" si="7"/>
        <v>0</v>
      </c>
      <c r="L19" s="4835">
        <f t="shared" si="8"/>
        <v>0</v>
      </c>
      <c r="M19" s="4835">
        <f t="shared" si="9"/>
        <v>0</v>
      </c>
      <c r="N19" s="4835">
        <f t="shared" si="10"/>
        <v>0</v>
      </c>
      <c r="O19" s="4835">
        <f t="shared" si="11"/>
        <v>0</v>
      </c>
    </row>
    <row r="20" spans="1:15" s="1282" customFormat="1" ht="13.5" customHeight="1" thickBot="1">
      <c r="A20" s="1278" t="s">
        <v>274</v>
      </c>
      <c r="B20" s="1279" t="s">
        <v>1238</v>
      </c>
      <c r="C20" s="1280" t="s">
        <v>323</v>
      </c>
      <c r="D20" s="1283">
        <f>'17. РБА'!C63*'19. HB'!D16</f>
        <v>0</v>
      </c>
      <c r="E20" s="1283">
        <f>'17. РБА'!D63*'19. HB'!E16</f>
        <v>0</v>
      </c>
      <c r="F20" s="1283">
        <f>'17. РБА'!E63*'19. HB'!F16</f>
        <v>0</v>
      </c>
      <c r="G20" s="1283">
        <f>'17. РБА'!F63*'19. HB'!G16</f>
        <v>0</v>
      </c>
      <c r="H20" s="4232">
        <f>'17. РБА'!G63*'19. HB'!H16</f>
        <v>0</v>
      </c>
      <c r="I20" s="4775"/>
      <c r="J20" s="4860" t="s">
        <v>1896</v>
      </c>
      <c r="K20" s="4835">
        <f t="shared" si="7"/>
        <v>0</v>
      </c>
      <c r="L20" s="4835">
        <f t="shared" si="8"/>
        <v>0</v>
      </c>
      <c r="M20" s="4835">
        <f t="shared" si="9"/>
        <v>0</v>
      </c>
      <c r="N20" s="4835">
        <f t="shared" si="10"/>
        <v>0</v>
      </c>
      <c r="O20" s="4835">
        <f t="shared" si="11"/>
        <v>0</v>
      </c>
    </row>
    <row r="21" spans="1:15" s="1282" customFormat="1" ht="13.5" customHeight="1" thickBot="1">
      <c r="A21" s="1278" t="s">
        <v>276</v>
      </c>
      <c r="B21" s="1279" t="s">
        <v>1239</v>
      </c>
      <c r="C21" s="1280" t="s">
        <v>323</v>
      </c>
      <c r="D21" s="1283">
        <f>'17. РБА'!C77*'19. HB'!D16</f>
        <v>0</v>
      </c>
      <c r="E21" s="1283">
        <f>'17. РБА'!D77*'19. HB'!E16</f>
        <v>0</v>
      </c>
      <c r="F21" s="1283">
        <f>'17. РБА'!E77*'19. HB'!F16</f>
        <v>0</v>
      </c>
      <c r="G21" s="1283">
        <f>'17. РБА'!F77*'19. HB'!G16</f>
        <v>0</v>
      </c>
      <c r="H21" s="4232">
        <f>'17. РБА'!G77*'19. HB'!H16</f>
        <v>0</v>
      </c>
      <c r="I21" s="4775"/>
      <c r="J21" s="4860" t="s">
        <v>1896</v>
      </c>
      <c r="K21" s="4835">
        <f t="shared" si="7"/>
        <v>0</v>
      </c>
      <c r="L21" s="4835">
        <f t="shared" si="8"/>
        <v>0</v>
      </c>
      <c r="M21" s="4835">
        <f t="shared" si="9"/>
        <v>0</v>
      </c>
      <c r="N21" s="4835">
        <f t="shared" si="10"/>
        <v>0</v>
      </c>
      <c r="O21" s="4835">
        <f t="shared" si="11"/>
        <v>0</v>
      </c>
    </row>
    <row r="22" spans="1:15" s="1282" customFormat="1" ht="13.5" customHeight="1" thickBot="1">
      <c r="A22" s="1284">
        <v>7</v>
      </c>
      <c r="B22" s="1285" t="s">
        <v>327</v>
      </c>
      <c r="C22" s="1286" t="s">
        <v>323</v>
      </c>
      <c r="D22" s="1287">
        <f>SUM(D17:D21)</f>
        <v>0</v>
      </c>
      <c r="E22" s="1287">
        <f t="shared" ref="E22:H22" si="12">SUM(E17:E21)</f>
        <v>0</v>
      </c>
      <c r="F22" s="1287">
        <f t="shared" si="12"/>
        <v>0</v>
      </c>
      <c r="G22" s="1287">
        <f t="shared" si="12"/>
        <v>0</v>
      </c>
      <c r="H22" s="4233">
        <f t="shared" si="12"/>
        <v>0</v>
      </c>
      <c r="I22" s="4775"/>
      <c r="J22" s="4866" t="s">
        <v>1896</v>
      </c>
      <c r="K22" s="4831">
        <f t="shared" si="7"/>
        <v>0</v>
      </c>
      <c r="L22" s="4831">
        <f t="shared" si="8"/>
        <v>0</v>
      </c>
      <c r="M22" s="4831">
        <f t="shared" si="9"/>
        <v>0</v>
      </c>
      <c r="N22" s="4831">
        <f t="shared" si="10"/>
        <v>0</v>
      </c>
      <c r="O22" s="4831">
        <f t="shared" si="11"/>
        <v>0</v>
      </c>
    </row>
    <row r="23" spans="1:15" ht="12.75">
      <c r="B23" s="13"/>
      <c r="C23" s="14"/>
      <c r="D23" s="3527"/>
      <c r="E23" s="3527"/>
      <c r="F23" s="3527"/>
    </row>
    <row r="24" spans="1:15" s="1348" customFormat="1" ht="15">
      <c r="A24" s="5"/>
      <c r="B24" s="10"/>
      <c r="C24" s="10"/>
      <c r="D24" s="10"/>
      <c r="E24" s="7"/>
      <c r="F24" s="7"/>
      <c r="G24" s="7"/>
      <c r="H24" s="7"/>
      <c r="I24" s="7"/>
    </row>
    <row r="25" spans="1:15" s="1348" customFormat="1" ht="15">
      <c r="A25" s="3666" t="str">
        <f>'Приложение '!B82</f>
        <v>Дата: 15.04.2026 г.</v>
      </c>
      <c r="B25" s="3341"/>
      <c r="C25" s="3341"/>
      <c r="D25" s="3527"/>
      <c r="E25" s="7"/>
      <c r="F25" s="7"/>
      <c r="G25" s="7"/>
      <c r="H25" s="7"/>
    </row>
    <row r="26" spans="1:15" s="1348" customFormat="1" ht="15">
      <c r="A26" s="3341"/>
      <c r="B26" s="3341"/>
      <c r="C26" s="3341"/>
      <c r="D26" s="3527"/>
      <c r="E26" s="7"/>
      <c r="F26" s="7"/>
      <c r="G26" s="7"/>
      <c r="H26" s="7"/>
    </row>
    <row r="27" spans="1:15" s="1348" customFormat="1" ht="15">
      <c r="A27" s="3341"/>
      <c r="B27" s="3341"/>
      <c r="C27" s="3341"/>
      <c r="D27" s="3527"/>
      <c r="E27" s="7"/>
      <c r="F27" s="7"/>
      <c r="G27" s="7"/>
      <c r="H27" s="7"/>
    </row>
    <row r="28" spans="1:15" s="1348" customFormat="1" ht="12.75" customHeight="1">
      <c r="A28" s="5612" t="s">
        <v>187</v>
      </c>
      <c r="B28" s="5612"/>
      <c r="C28" s="2651"/>
      <c r="D28" s="2651"/>
      <c r="E28" s="7"/>
      <c r="F28" s="7"/>
      <c r="G28" s="7"/>
      <c r="H28" s="7"/>
    </row>
    <row r="29" spans="1:15" s="1348" customFormat="1" ht="13.5" customHeight="1">
      <c r="A29" s="5369" t="s">
        <v>1767</v>
      </c>
      <c r="B29" s="5369"/>
      <c r="C29" s="5369"/>
      <c r="D29" s="5369"/>
      <c r="E29" s="5369"/>
      <c r="F29" s="5369"/>
      <c r="G29" s="7"/>
      <c r="H29" s="7"/>
    </row>
    <row r="30" spans="1:15" s="1348" customFormat="1" ht="15.75" hidden="1" thickBot="1">
      <c r="A30" s="5265"/>
      <c r="B30" s="5265"/>
      <c r="C30" s="5265"/>
      <c r="D30" s="3159"/>
      <c r="E30" s="3168"/>
      <c r="F30" s="3320"/>
      <c r="G30" s="7"/>
      <c r="H30" s="7"/>
    </row>
    <row r="31" spans="1:15" s="1348" customFormat="1" ht="15.75" hidden="1" thickBot="1">
      <c r="A31" s="5606"/>
      <c r="B31" s="5606"/>
      <c r="C31" s="5606"/>
      <c r="D31" s="3159"/>
      <c r="E31" s="3168"/>
      <c r="F31" s="3320"/>
      <c r="G31" s="7"/>
      <c r="H31" s="7"/>
    </row>
    <row r="32" spans="1:15" s="1348" customFormat="1" ht="15.75" thickBot="1">
      <c r="A32" s="4166"/>
      <c r="B32" s="4166"/>
      <c r="C32" s="4166"/>
      <c r="D32" s="3159"/>
      <c r="E32" s="3168"/>
      <c r="F32" s="7"/>
      <c r="G32" s="7"/>
      <c r="H32" s="7"/>
    </row>
    <row r="33" spans="1:8" s="1348" customFormat="1" ht="15">
      <c r="A33" s="3529" t="s">
        <v>1</v>
      </c>
      <c r="B33" s="1411" t="s">
        <v>1395</v>
      </c>
      <c r="C33" s="1412" t="s">
        <v>1396</v>
      </c>
      <c r="D33" s="1413" t="s">
        <v>1397</v>
      </c>
      <c r="E33" s="7"/>
      <c r="F33" s="7"/>
      <c r="G33" s="7"/>
      <c r="H33" s="7"/>
    </row>
    <row r="34" spans="1:8" s="1348" customFormat="1" ht="15">
      <c r="A34" s="3530">
        <v>1</v>
      </c>
      <c r="B34" s="1408" t="s">
        <v>1391</v>
      </c>
      <c r="C34" s="4191"/>
      <c r="D34" s="4192"/>
      <c r="E34" s="7"/>
      <c r="F34" s="3527"/>
      <c r="G34" s="7"/>
      <c r="H34" s="7"/>
    </row>
    <row r="35" spans="1:8" s="1348" customFormat="1" ht="15">
      <c r="A35" s="3530">
        <v>2</v>
      </c>
      <c r="B35" s="1408" t="s">
        <v>1392</v>
      </c>
      <c r="C35" s="4191">
        <v>9.8400000000000001E-2</v>
      </c>
      <c r="D35" s="4192">
        <v>4.2599999999999999E-2</v>
      </c>
      <c r="E35" s="7"/>
      <c r="F35" s="3527"/>
      <c r="G35" s="10"/>
      <c r="H35" s="10"/>
    </row>
    <row r="36" spans="1:8" ht="15">
      <c r="A36" s="1419">
        <v>3</v>
      </c>
      <c r="B36" s="1408" t="s">
        <v>1390</v>
      </c>
      <c r="C36" s="4191"/>
      <c r="D36" s="4192"/>
      <c r="E36" s="7"/>
      <c r="F36" s="3527"/>
    </row>
    <row r="37" spans="1:8" ht="15.75" thickBot="1">
      <c r="A37" s="1420">
        <v>4</v>
      </c>
      <c r="B37" s="1409" t="s">
        <v>1393</v>
      </c>
      <c r="C37" s="4193"/>
      <c r="D37" s="4194"/>
      <c r="E37" s="7"/>
      <c r="F37" s="3527"/>
    </row>
    <row r="38" spans="1:8" ht="12.75" customHeight="1">
      <c r="B38" s="289"/>
    </row>
    <row r="39" spans="1:8" ht="12.75" customHeight="1">
      <c r="B39" s="289"/>
    </row>
    <row r="40" spans="1:8">
      <c r="B40" s="289"/>
    </row>
    <row r="41" spans="1:8" ht="54" customHeight="1">
      <c r="A41" s="5605"/>
      <c r="B41" s="5605"/>
      <c r="C41" s="5605"/>
    </row>
    <row r="42" spans="1:8">
      <c r="B42" s="289"/>
    </row>
    <row r="43" spans="1:8">
      <c r="B43" s="289"/>
    </row>
    <row r="44" spans="1:8">
      <c r="B44" s="289"/>
    </row>
    <row r="45" spans="1:8">
      <c r="B45" s="289"/>
    </row>
  </sheetData>
  <sheetProtection algorithmName="SHA-512" hashValue="Ari4rVetavzHv2P7mf3VI1amMRTqCpi2gy2v1DaCnWS4jCdt5b9yqvBOjGFfrz1DRAN35Rg5NsU8yFrHs5hWAQ==" saltValue="2x1Zhy7GcxWTE0iq/G3bWQ==" spinCount="100000" sheet="1" formatCells="0" formatColumns="0" formatRows="0"/>
  <mergeCells count="12">
    <mergeCell ref="A1:B1"/>
    <mergeCell ref="C1:D1"/>
    <mergeCell ref="A41:C41"/>
    <mergeCell ref="A30:C30"/>
    <mergeCell ref="A31:C31"/>
    <mergeCell ref="A2:H2"/>
    <mergeCell ref="A3:H3"/>
    <mergeCell ref="A4:H4"/>
    <mergeCell ref="A5:H5"/>
    <mergeCell ref="C8:E8"/>
    <mergeCell ref="A29:F29"/>
    <mergeCell ref="A28:B28"/>
  </mergeCells>
  <dataValidations count="1">
    <dataValidation type="list" allowBlank="1" showInputMessage="1" showErrorMessage="1" sqref="C8:E8">
      <formula1>$B$34:$B$37</formula1>
    </dataValidation>
  </dataValidation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N30"/>
  <sheetViews>
    <sheetView showGridLines="0" view="pageBreakPreview" topLeftCell="A2" zoomScaleNormal="90" zoomScaleSheetLayoutView="100" workbookViewId="0">
      <selection activeCell="A2" sqref="A1:XFD1048576"/>
    </sheetView>
  </sheetViews>
  <sheetFormatPr defaultRowHeight="12.75"/>
  <cols>
    <col min="1" max="1" width="5.5703125" style="1" customWidth="1"/>
    <col min="2" max="2" width="38.140625" style="1" customWidth="1"/>
    <col min="3" max="3" width="9.85546875" style="1" customWidth="1"/>
    <col min="4" max="8" width="7.7109375" style="1" customWidth="1"/>
    <col min="9" max="9" width="9" style="1" bestFit="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4" hidden="1">
      <c r="N1" s="1">
        <v>1.95583</v>
      </c>
    </row>
    <row r="2" spans="1:14" ht="13.5">
      <c r="A2" s="1697"/>
      <c r="B2" s="1697"/>
      <c r="C2" s="1697"/>
      <c r="D2" s="1697"/>
      <c r="E2" s="1697"/>
      <c r="F2" s="1697"/>
      <c r="G2" s="1697"/>
      <c r="H2" s="3343" t="str">
        <f>'19. HB'!H1</f>
        <v>Приложение № 6</v>
      </c>
    </row>
    <row r="3" spans="1:14" ht="18.75">
      <c r="A3" s="5613" t="s">
        <v>1493</v>
      </c>
      <c r="B3" s="5613"/>
      <c r="C3" s="5613"/>
      <c r="D3" s="5613"/>
      <c r="E3" s="5613"/>
      <c r="F3" s="5613"/>
      <c r="G3" s="5613"/>
      <c r="H3" s="5613"/>
      <c r="I3" s="16"/>
      <c r="J3" s="15"/>
    </row>
    <row r="4" spans="1:14" ht="18.75">
      <c r="A4" s="5603" t="s">
        <v>1464</v>
      </c>
      <c r="B4" s="5603"/>
      <c r="C4" s="5603"/>
      <c r="D4" s="5603"/>
      <c r="E4" s="5603"/>
      <c r="F4" s="5603"/>
      <c r="G4" s="5603"/>
      <c r="H4" s="5603"/>
      <c r="I4" s="15"/>
      <c r="J4" s="15"/>
    </row>
    <row r="5" spans="1:14" ht="14.25">
      <c r="A5" s="5614" t="str">
        <f>'1. Обща информация'!A4:D4</f>
        <v>на "ВОДОСНАБДЯВАНЕ И КАНАЛИЗАЦИЯ" ЕООД, гр. БЛАГОЕВГРАД</v>
      </c>
      <c r="B5" s="5614"/>
      <c r="C5" s="5614"/>
      <c r="D5" s="5614"/>
      <c r="E5" s="5614"/>
      <c r="F5" s="5614"/>
      <c r="G5" s="5614"/>
      <c r="H5" s="5614"/>
      <c r="I5" s="15"/>
      <c r="J5" s="15"/>
    </row>
    <row r="6" spans="1:14" ht="14.25">
      <c r="A6" s="5614" t="str">
        <f>'1. Обща информация'!A5:D5</f>
        <v>ЕИК по БУЛСТАТ: 811047831</v>
      </c>
      <c r="B6" s="5614"/>
      <c r="C6" s="5614"/>
      <c r="D6" s="5614"/>
      <c r="E6" s="5614"/>
      <c r="F6" s="5614"/>
      <c r="G6" s="5614"/>
      <c r="H6" s="5614"/>
      <c r="I6" s="15"/>
      <c r="J6" s="15"/>
    </row>
    <row r="7" spans="1:14" ht="15" thickBot="1">
      <c r="A7" s="3531"/>
      <c r="B7" s="3531"/>
      <c r="C7" s="3531"/>
      <c r="D7" s="3531"/>
      <c r="E7" s="3531"/>
      <c r="F7" s="3531"/>
      <c r="G7" s="3531"/>
      <c r="H7" s="3531"/>
      <c r="I7" s="15"/>
      <c r="J7" s="15"/>
    </row>
    <row r="8" spans="1:14" s="1361" customFormat="1" ht="24" customHeight="1" thickBot="1">
      <c r="A8" s="4652" t="s">
        <v>1</v>
      </c>
      <c r="B8" s="4681" t="s">
        <v>1495</v>
      </c>
      <c r="C8" s="3350" t="s">
        <v>166</v>
      </c>
      <c r="D8" s="1474" t="str">
        <f>'Приложение '!$C14</f>
        <v>2027 г.</v>
      </c>
      <c r="E8" s="1475" t="str">
        <f>'Приложение '!$C15</f>
        <v>2028 г.</v>
      </c>
      <c r="F8" s="1475" t="str">
        <f>'Приложение '!$C16</f>
        <v>2029 г.</v>
      </c>
      <c r="G8" s="1475" t="str">
        <f>'Приложение '!$C17</f>
        <v>2030 г.</v>
      </c>
      <c r="H8" s="1476" t="str">
        <f>'Приложение '!$C18</f>
        <v>2031 г.</v>
      </c>
      <c r="I8" s="4652" t="s">
        <v>166</v>
      </c>
      <c r="J8" s="1474" t="str">
        <f>'Приложение '!$C14</f>
        <v>2027 г.</v>
      </c>
      <c r="K8" s="1475" t="str">
        <f>'Приложение '!$C15</f>
        <v>2028 г.</v>
      </c>
      <c r="L8" s="1475" t="str">
        <f>'Приложение '!$C16</f>
        <v>2029 г.</v>
      </c>
      <c r="M8" s="1475" t="str">
        <f>'Приложение '!$C17</f>
        <v>2030 г.</v>
      </c>
      <c r="N8" s="1476" t="str">
        <f>'Приложение '!$C18</f>
        <v>2031 г.</v>
      </c>
    </row>
    <row r="9" spans="1:14" s="1361" customFormat="1" ht="15.75" thickBot="1">
      <c r="A9" s="3532" t="s">
        <v>205</v>
      </c>
      <c r="B9" s="3533" t="s">
        <v>207</v>
      </c>
      <c r="C9" s="3533"/>
      <c r="D9" s="3533"/>
      <c r="E9" s="3533"/>
      <c r="F9" s="3533"/>
      <c r="G9" s="3533"/>
      <c r="H9" s="3533"/>
      <c r="I9" s="3533"/>
      <c r="J9" s="3533"/>
      <c r="K9" s="3533"/>
      <c r="L9" s="3533"/>
      <c r="M9" s="3533"/>
      <c r="N9" s="3533"/>
    </row>
    <row r="10" spans="1:14" s="1361" customFormat="1" ht="29.25" customHeight="1" thickBot="1">
      <c r="A10" s="4663" t="s">
        <v>463</v>
      </c>
      <c r="B10" s="4682" t="s">
        <v>608</v>
      </c>
      <c r="C10" s="4666" t="s">
        <v>328</v>
      </c>
      <c r="D10" s="4664">
        <f>IFERROR(ROUND(('16. Необходими приходи'!D11/'16. Необходими приходи'!D12),3),0)</f>
        <v>1.9510000000000001</v>
      </c>
      <c r="E10" s="4665">
        <f>IFERROR(ROUND(('16. Необходими приходи'!E11/'16. Необходими приходи'!E12),3),0)</f>
        <v>2.12</v>
      </c>
      <c r="F10" s="4665">
        <f>IFERROR(ROUND(('16. Необходими приходи'!F11/'16. Необходими приходи'!F12),3),0)</f>
        <v>2.395</v>
      </c>
      <c r="G10" s="4665">
        <f>IFERROR(ROUND(('16. Необходими приходи'!G11/'16. Необходими приходи'!G12),3),0)</f>
        <v>2.6869999999999998</v>
      </c>
      <c r="H10" s="4665">
        <f>IFERROR(ROUND(('16. Необходими приходи'!H11/'16. Необходими приходи'!H12),3),0)</f>
        <v>3.0550000000000002</v>
      </c>
      <c r="I10" s="4680" t="s">
        <v>1869</v>
      </c>
      <c r="J10" s="4667">
        <f>IFERROR(ROUND(D10/$N$1,3),0)</f>
        <v>0.998</v>
      </c>
      <c r="K10" s="4667">
        <f>IFERROR(ROUND(E10/$N$1,3),0)</f>
        <v>1.0840000000000001</v>
      </c>
      <c r="L10" s="4667">
        <f>IFERROR(ROUND(F10/$N$1,3),0)</f>
        <v>1.2250000000000001</v>
      </c>
      <c r="M10" s="4667">
        <f>IFERROR(ROUND(G10/$N$1,3),0)</f>
        <v>1.3740000000000001</v>
      </c>
      <c r="N10" s="4668">
        <f>IFERROR(ROUND(H10/$N$1,3),0)</f>
        <v>1.5620000000000001</v>
      </c>
    </row>
    <row r="11" spans="1:14" ht="15" customHeight="1" thickBot="1">
      <c r="A11" s="3532" t="s">
        <v>206</v>
      </c>
      <c r="B11" s="3533" t="s">
        <v>174</v>
      </c>
      <c r="C11" s="3533"/>
      <c r="D11" s="4669"/>
      <c r="E11" s="4669"/>
      <c r="F11" s="4669"/>
      <c r="G11" s="4669"/>
      <c r="H11" s="4669"/>
      <c r="I11" s="4669"/>
      <c r="J11" s="4669"/>
      <c r="K11" s="4669"/>
      <c r="L11" s="4669"/>
      <c r="M11" s="4669"/>
      <c r="N11" s="4669"/>
    </row>
    <row r="12" spans="1:14" ht="29.25" customHeight="1" thickBot="1">
      <c r="A12" s="4663" t="s">
        <v>477</v>
      </c>
      <c r="B12" s="4682" t="s">
        <v>608</v>
      </c>
      <c r="C12" s="4666" t="s">
        <v>328</v>
      </c>
      <c r="D12" s="4670">
        <f>IFERROR(ROUND(('16. Необходими приходи'!D17/'16. Необходими приходи'!D18),3),0)</f>
        <v>0.48099999999999998</v>
      </c>
      <c r="E12" s="4665">
        <f>IFERROR(ROUND(('16. Необходими приходи'!E17/'16. Необходими приходи'!E18),3),0)</f>
        <v>0.55200000000000005</v>
      </c>
      <c r="F12" s="4665">
        <f>IFERROR(ROUND(('16. Необходими приходи'!F17/'16. Необходими приходи'!F18),3),0)</f>
        <v>0.624</v>
      </c>
      <c r="G12" s="4665">
        <f>IFERROR(ROUND(('16. Необходими приходи'!G17/'16. Необходими приходи'!G18),3),0)</f>
        <v>0.71499999999999997</v>
      </c>
      <c r="H12" s="4665">
        <f>IFERROR(ROUND(('16. Необходими приходи'!H17/'16. Необходими приходи'!H18),3),0)</f>
        <v>0.82799999999999996</v>
      </c>
      <c r="I12" s="4680" t="s">
        <v>1869</v>
      </c>
      <c r="J12" s="4667">
        <f>IFERROR(ROUND(D12/$N$1,3),0)</f>
        <v>0.246</v>
      </c>
      <c r="K12" s="4667">
        <f>IFERROR(ROUND(E12/$N$1,3),0)</f>
        <v>0.28199999999999997</v>
      </c>
      <c r="L12" s="4667">
        <f>IFERROR(ROUND(F12/$N$1,3),0)</f>
        <v>0.31900000000000001</v>
      </c>
      <c r="M12" s="4667">
        <f>IFERROR(ROUND(G12/$N$1,3),0)</f>
        <v>0.36599999999999999</v>
      </c>
      <c r="N12" s="4668">
        <f>IFERROR(ROUND(H12/$N$1,3),0)</f>
        <v>0.42299999999999999</v>
      </c>
    </row>
    <row r="13" spans="1:14" ht="15" customHeight="1" thickBot="1">
      <c r="A13" s="3532" t="s">
        <v>219</v>
      </c>
      <c r="B13" s="3533" t="s">
        <v>184</v>
      </c>
      <c r="C13" s="3533"/>
      <c r="D13" s="4669"/>
      <c r="E13" s="4669"/>
      <c r="F13" s="4669"/>
      <c r="G13" s="4669"/>
      <c r="H13" s="4669"/>
      <c r="I13" s="4669"/>
      <c r="J13" s="4669"/>
      <c r="K13" s="4669"/>
      <c r="L13" s="4669"/>
      <c r="M13" s="4669"/>
      <c r="N13" s="4669"/>
    </row>
    <row r="14" spans="1:14" ht="29.25" customHeight="1" thickBot="1">
      <c r="A14" s="4663" t="s">
        <v>263</v>
      </c>
      <c r="B14" s="4683" t="s">
        <v>1494</v>
      </c>
      <c r="C14" s="4680" t="s">
        <v>328</v>
      </c>
      <c r="D14" s="4665">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0.86899999999999999</v>
      </c>
      <c r="E14" s="4665">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0.95799999999999996</v>
      </c>
      <c r="F14" s="4665">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1.077</v>
      </c>
      <c r="G14" s="4665">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1.2150000000000001</v>
      </c>
      <c r="H14" s="4665">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1.804</v>
      </c>
      <c r="I14" s="4680" t="s">
        <v>1869</v>
      </c>
      <c r="J14" s="4667">
        <f>IFERROR(ROUND(D14/$N$1,3),0)</f>
        <v>0.44400000000000001</v>
      </c>
      <c r="K14" s="4667">
        <f>IFERROR(ROUND(E14/$N$1,3),0)</f>
        <v>0.49</v>
      </c>
      <c r="L14" s="4667">
        <f>IFERROR(ROUND(F14/$N$1,3),0)</f>
        <v>0.55100000000000005</v>
      </c>
      <c r="M14" s="4667">
        <f>IFERROR(ROUND(G14/$N$1,3),0)</f>
        <v>0.621</v>
      </c>
      <c r="N14" s="4668">
        <f>IFERROR(ROUND(H14/$N$1,3),0)</f>
        <v>0.92200000000000004</v>
      </c>
    </row>
    <row r="15" spans="1:14" ht="24" customHeight="1">
      <c r="A15" s="3535" t="s">
        <v>264</v>
      </c>
      <c r="B15" s="4684" t="s">
        <v>179</v>
      </c>
      <c r="C15" s="4672"/>
      <c r="D15" s="4672"/>
      <c r="E15" s="4671"/>
      <c r="F15" s="4671"/>
      <c r="G15" s="4671"/>
      <c r="H15" s="4671"/>
      <c r="I15" s="4671"/>
      <c r="J15" s="4671"/>
      <c r="K15" s="4671"/>
      <c r="L15" s="4671"/>
      <c r="M15" s="4671"/>
      <c r="N15" s="4674"/>
    </row>
    <row r="16" spans="1:14">
      <c r="A16" s="3534" t="s">
        <v>1496</v>
      </c>
      <c r="B16" s="4685" t="s">
        <v>180</v>
      </c>
      <c r="C16" s="4673" t="s">
        <v>328</v>
      </c>
      <c r="D16" s="3537">
        <f>IFERROR(ROUND((D14*'16. Необходими приходи'!D49),3),0)</f>
        <v>1.1919999999999999</v>
      </c>
      <c r="E16" s="3537">
        <f>IFERROR(ROUND((E14*'16. Необходими приходи'!E49),3),0)</f>
        <v>1.3149999999999999</v>
      </c>
      <c r="F16" s="3537">
        <f>IFERROR(ROUND((F14*'16. Необходими приходи'!F49),3),0)</f>
        <v>1.478</v>
      </c>
      <c r="G16" s="3537">
        <f>IFERROR(ROUND((G14*'16. Необходими приходи'!G49),3),0)</f>
        <v>1.667</v>
      </c>
      <c r="H16" s="3537">
        <f>IFERROR(ROUND((H14*'16. Необходими приходи'!H49),3),0)</f>
        <v>2.4750000000000001</v>
      </c>
      <c r="I16" s="4673" t="s">
        <v>1869</v>
      </c>
      <c r="J16" s="4662">
        <f t="shared" ref="J16:N20" si="0">IFERROR(ROUND(D16/$N$1,3),0)</f>
        <v>0.60899999999999999</v>
      </c>
      <c r="K16" s="4662">
        <f t="shared" si="0"/>
        <v>0.67200000000000004</v>
      </c>
      <c r="L16" s="4662">
        <f t="shared" si="0"/>
        <v>0.75600000000000001</v>
      </c>
      <c r="M16" s="4662">
        <f t="shared" si="0"/>
        <v>0.85199999999999998</v>
      </c>
      <c r="N16" s="4675">
        <f t="shared" si="0"/>
        <v>1.2649999999999999</v>
      </c>
    </row>
    <row r="17" spans="1:14">
      <c r="A17" s="3536" t="s">
        <v>1497</v>
      </c>
      <c r="B17" s="4685" t="s">
        <v>181</v>
      </c>
      <c r="C17" s="4673" t="s">
        <v>328</v>
      </c>
      <c r="D17" s="3537">
        <f>IFERROR(ROUND((D14*'16. Необходими приходи'!D50),3),0)</f>
        <v>1.417</v>
      </c>
      <c r="E17" s="3537">
        <f>IFERROR(ROUND((E14*'16. Необходими приходи'!E50),3),0)</f>
        <v>1.5629999999999999</v>
      </c>
      <c r="F17" s="3537">
        <f>IFERROR(ROUND((F14*'16. Необходими приходи'!F50),3),0)</f>
        <v>1.7569999999999999</v>
      </c>
      <c r="G17" s="3537">
        <f>IFERROR(ROUND((G14*'16. Необходими приходи'!G50),3),0)</f>
        <v>1.982</v>
      </c>
      <c r="H17" s="3537">
        <f>IFERROR(ROUND((H14*'16. Необходими приходи'!H50),3),0)</f>
        <v>2.9420000000000002</v>
      </c>
      <c r="I17" s="4673" t="s">
        <v>1869</v>
      </c>
      <c r="J17" s="4662">
        <f t="shared" si="0"/>
        <v>0.72499999999999998</v>
      </c>
      <c r="K17" s="4662">
        <f t="shared" si="0"/>
        <v>0.79900000000000004</v>
      </c>
      <c r="L17" s="4662">
        <f t="shared" si="0"/>
        <v>0.89800000000000002</v>
      </c>
      <c r="M17" s="4662">
        <f t="shared" si="0"/>
        <v>1.0129999999999999</v>
      </c>
      <c r="N17" s="4675">
        <f t="shared" si="0"/>
        <v>1.504</v>
      </c>
    </row>
    <row r="18" spans="1:14" ht="13.5" thickBot="1">
      <c r="A18" s="4687" t="s">
        <v>1498</v>
      </c>
      <c r="B18" s="4688" t="s">
        <v>182</v>
      </c>
      <c r="C18" s="4676" t="s">
        <v>328</v>
      </c>
      <c r="D18" s="4677">
        <f>IFERROR(ROUND((D14*'16. Необходими приходи'!D51),3),0)</f>
        <v>1.9019999999999999</v>
      </c>
      <c r="E18" s="4677">
        <f>IFERROR(ROUND((E14*'16. Необходими приходи'!E51),3),0)</f>
        <v>2.097</v>
      </c>
      <c r="F18" s="4677">
        <f>IFERROR(ROUND((F14*'16. Необходими приходи'!F51),3),0)</f>
        <v>2.3580000000000001</v>
      </c>
      <c r="G18" s="4677">
        <f>IFERROR(ROUND((G14*'16. Необходими приходи'!G51),3),0)</f>
        <v>2.66</v>
      </c>
      <c r="H18" s="4677">
        <f>IFERROR(ROUND((H14*'16. Необходими приходи'!H51),3),0)</f>
        <v>3.9489999999999998</v>
      </c>
      <c r="I18" s="4676" t="s">
        <v>1869</v>
      </c>
      <c r="J18" s="4678">
        <f t="shared" si="0"/>
        <v>0.97199999999999998</v>
      </c>
      <c r="K18" s="4678">
        <f t="shared" si="0"/>
        <v>1.0720000000000001</v>
      </c>
      <c r="L18" s="4678">
        <f t="shared" si="0"/>
        <v>1.206</v>
      </c>
      <c r="M18" s="4678">
        <f t="shared" si="0"/>
        <v>1.36</v>
      </c>
      <c r="N18" s="4679">
        <f t="shared" si="0"/>
        <v>2.0190000000000001</v>
      </c>
    </row>
    <row r="19" spans="1:14" ht="30" customHeight="1" thickBot="1">
      <c r="A19" s="3539" t="s">
        <v>221</v>
      </c>
      <c r="B19" s="4686" t="s">
        <v>1029</v>
      </c>
      <c r="C19" s="4666" t="s">
        <v>328</v>
      </c>
      <c r="D19" s="3538">
        <f>IFERROR(ROUND(('16. Необходими приходи'!D36/'16. Необходими приходи'!D37),3),0)</f>
        <v>0</v>
      </c>
      <c r="E19" s="3538">
        <f>IFERROR(ROUND(('16. Необходими приходи'!E36/'16. Необходими приходи'!E37),3),0)</f>
        <v>0</v>
      </c>
      <c r="F19" s="3538">
        <f>IFERROR(ROUND(('16. Необходими приходи'!F36/'16. Необходими приходи'!F37),3),0)</f>
        <v>0</v>
      </c>
      <c r="G19" s="3538">
        <f>IFERROR(ROUND(('16. Необходими приходи'!G36/'16. Необходими приходи'!G37),3),0)</f>
        <v>0</v>
      </c>
      <c r="H19" s="3538">
        <f>IFERROR(ROUND(('16. Необходими приходи'!H36/'16. Необходими приходи'!H37),3),0)</f>
        <v>0</v>
      </c>
      <c r="I19" s="4680" t="s">
        <v>1869</v>
      </c>
      <c r="J19" s="4667">
        <f t="shared" si="0"/>
        <v>0</v>
      </c>
      <c r="K19" s="4667">
        <f t="shared" si="0"/>
        <v>0</v>
      </c>
      <c r="L19" s="4667">
        <f t="shared" si="0"/>
        <v>0</v>
      </c>
      <c r="M19" s="4667">
        <f t="shared" si="0"/>
        <v>0</v>
      </c>
      <c r="N19" s="4668">
        <f t="shared" si="0"/>
        <v>0</v>
      </c>
    </row>
    <row r="20" spans="1:14" ht="28.5" customHeight="1" thickBot="1">
      <c r="A20" s="3539" t="s">
        <v>308</v>
      </c>
      <c r="B20" s="4686" t="s">
        <v>1092</v>
      </c>
      <c r="C20" s="4666" t="s">
        <v>328</v>
      </c>
      <c r="D20" s="3538">
        <f>IFERROR(ROUND(('16. Необходими приходи'!D42/'16. Необходими приходи'!D43),3),0)</f>
        <v>0</v>
      </c>
      <c r="E20" s="3538">
        <f>IFERROR(ROUND(('16. Необходими приходи'!E42/'16. Необходими приходи'!E43),3),0)</f>
        <v>0</v>
      </c>
      <c r="F20" s="3538">
        <f>IFERROR(ROUND(('16. Необходими приходи'!F42/'16. Необходими приходи'!F43),3),0)</f>
        <v>0</v>
      </c>
      <c r="G20" s="3538">
        <f>IFERROR(ROUND(('16. Необходими приходи'!G42/'16. Необходими приходи'!G43),3),0)</f>
        <v>0</v>
      </c>
      <c r="H20" s="3538">
        <f>IFERROR(ROUND(('16. Необходими приходи'!H42/'16. Необходими приходи'!H43),3),0)</f>
        <v>0</v>
      </c>
      <c r="I20" s="4680" t="s">
        <v>1869</v>
      </c>
      <c r="J20" s="4667">
        <f t="shared" si="0"/>
        <v>0</v>
      </c>
      <c r="K20" s="4667">
        <f t="shared" si="0"/>
        <v>0</v>
      </c>
      <c r="L20" s="4667">
        <f t="shared" si="0"/>
        <v>0</v>
      </c>
      <c r="M20" s="4667">
        <f t="shared" si="0"/>
        <v>0</v>
      </c>
      <c r="N20" s="4668">
        <f t="shared" si="0"/>
        <v>0</v>
      </c>
    </row>
    <row r="21" spans="1:14">
      <c r="A21" s="1510"/>
      <c r="B21" s="1510"/>
      <c r="C21" s="1510"/>
      <c r="D21" s="1510"/>
      <c r="E21" s="1510"/>
      <c r="F21" s="1510"/>
      <c r="G21" s="1510"/>
      <c r="H21" s="1510"/>
      <c r="J21" s="15"/>
      <c r="K21" s="15"/>
    </row>
    <row r="22" spans="1:14">
      <c r="A22" s="1362"/>
      <c r="B22" s="1697"/>
      <c r="C22" s="1697"/>
      <c r="D22" s="1697"/>
      <c r="E22" s="1697"/>
      <c r="F22" s="1697"/>
      <c r="G22" s="1697"/>
      <c r="H22" s="1697"/>
    </row>
    <row r="23" spans="1:14">
      <c r="A23" s="1697"/>
      <c r="B23" s="3540" t="str">
        <f>'Приложение '!B82</f>
        <v>Дата: 15.04.2026 г.</v>
      </c>
      <c r="C23" s="1510"/>
      <c r="D23" s="1510"/>
      <c r="E23" s="1510"/>
      <c r="F23" s="1510"/>
    </row>
    <row r="24" spans="1:14">
      <c r="A24" s="1697"/>
      <c r="B24" s="1510"/>
      <c r="C24" s="3541"/>
      <c r="D24" s="3541"/>
      <c r="E24" s="3542"/>
      <c r="F24" s="1510"/>
    </row>
    <row r="25" spans="1:14">
      <c r="A25" s="1697"/>
      <c r="B25" s="1510"/>
      <c r="C25" s="3541"/>
      <c r="D25" s="3541"/>
      <c r="E25" s="3543"/>
      <c r="F25" s="1510"/>
    </row>
    <row r="26" spans="1:14">
      <c r="A26" s="1697"/>
      <c r="B26" s="1510"/>
      <c r="C26" s="1510"/>
      <c r="D26" s="3541"/>
      <c r="E26" s="3542"/>
      <c r="F26" s="1510"/>
    </row>
    <row r="27" spans="1:14">
      <c r="A27" s="1697"/>
      <c r="B27" s="1510"/>
      <c r="C27" s="1510"/>
      <c r="D27" s="3541"/>
      <c r="E27" s="3542"/>
      <c r="F27" s="1510"/>
    </row>
    <row r="28" spans="1:14">
      <c r="A28" s="1697"/>
      <c r="B28" s="1510"/>
      <c r="C28" s="1510"/>
      <c r="D28" s="3541"/>
      <c r="E28" s="3542"/>
      <c r="F28" s="1510"/>
    </row>
    <row r="29" spans="1:14">
      <c r="A29" s="1697"/>
      <c r="B29" s="1510"/>
      <c r="C29" s="1510"/>
      <c r="D29" s="3541"/>
      <c r="E29" s="3542"/>
      <c r="F29" s="1510"/>
    </row>
    <row r="30" spans="1:14">
      <c r="A30" s="1697"/>
      <c r="B30" s="1510"/>
      <c r="C30" s="1510"/>
      <c r="D30" s="3541"/>
      <c r="E30" s="3542"/>
      <c r="F30" s="1510"/>
      <c r="G30" s="1510"/>
    </row>
  </sheetData>
  <sheetProtection algorithmName="SHA-512" hashValue="rlhBhVDqUbd4jbERUXtKRu7bS+DqKFsTNcmdhMZ8HDUxGD7sMo8k0FQlh+7F4Qh0MgmIDkRcMO+82Xcd+YH9sw==" saltValue="ZtL4BBbng7IULuuDLzPCGQ==" spinCount="100000" sheet="1" formatCells="0" formatColumns="0" formatRows="0"/>
  <mergeCells count="4">
    <mergeCell ref="A3:H3"/>
    <mergeCell ref="A4:H4"/>
    <mergeCell ref="A5:H5"/>
    <mergeCell ref="A6:H6"/>
  </mergeCells>
  <printOptions horizontalCentered="1"/>
  <pageMargins left="0.23622047244094491" right="0.23622047244094491" top="0.74803149606299213" bottom="0.74803149606299213" header="0.31496062992125984" footer="0.31496062992125984"/>
  <pageSetup paperSize="9" scale="69" orientation="landscape" r:id="rId1"/>
  <headerFooter alignWithMargins="0">
    <oddFooter>&amp;C&amp;A</oddFooter>
  </headerFooter>
  <colBreaks count="1" manualBreakCount="1">
    <brk id="14" min="1"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N8" sqref="N8"/>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11" width="6.140625" customWidth="1"/>
    <col min="12" max="23" width="5.28515625" customWidth="1"/>
    <col min="24" max="24" width="4.7109375" customWidth="1"/>
    <col min="25" max="25" width="5.28515625" customWidth="1"/>
    <col min="26" max="26" width="28.85546875" customWidth="1"/>
    <col min="27" max="27" width="4.5703125" customWidth="1"/>
    <col min="34" max="35" width="5.85546875" customWidth="1"/>
  </cols>
  <sheetData>
    <row r="1" spans="1:36" ht="15.75">
      <c r="A1" s="3669" t="s">
        <v>1518</v>
      </c>
      <c r="B1" s="3464"/>
      <c r="C1" s="3464"/>
      <c r="D1" s="3464"/>
      <c r="E1" s="3464"/>
      <c r="F1" s="3464"/>
      <c r="G1" s="3464"/>
      <c r="H1" s="3464"/>
      <c r="I1" s="3464"/>
      <c r="J1" s="3669" t="s">
        <v>1548</v>
      </c>
      <c r="K1" s="3464"/>
      <c r="L1" s="3464"/>
      <c r="M1" s="3464"/>
      <c r="N1" s="3464"/>
      <c r="O1" s="3464"/>
      <c r="P1" s="3464"/>
      <c r="Q1" s="3464"/>
      <c r="R1" s="3464"/>
      <c r="S1" s="3464"/>
      <c r="T1" s="3464"/>
      <c r="U1" s="3464"/>
      <c r="V1" s="3464"/>
      <c r="W1" s="3464"/>
      <c r="X1" s="3464"/>
      <c r="Y1" s="3669" t="s">
        <v>1587</v>
      </c>
      <c r="Z1" s="3464"/>
      <c r="AA1" s="3464"/>
      <c r="AB1" s="3464"/>
      <c r="AC1" s="3464"/>
      <c r="AD1" s="3464"/>
      <c r="AE1" s="3464"/>
      <c r="AF1" s="3464"/>
      <c r="AG1" s="3464"/>
      <c r="AH1" s="3464"/>
      <c r="AI1" s="3464"/>
      <c r="AJ1" s="3464"/>
    </row>
    <row r="2" spans="1:36" ht="15.95" customHeight="1">
      <c r="A2" s="5640" t="s">
        <v>2</v>
      </c>
      <c r="B2" s="5641" t="s">
        <v>746</v>
      </c>
      <c r="C2" s="5628" t="s">
        <v>922</v>
      </c>
      <c r="D2" s="5628"/>
      <c r="E2" s="5628"/>
      <c r="F2" s="5628"/>
      <c r="G2" s="5628"/>
      <c r="H2" s="5628"/>
      <c r="I2" s="3464"/>
      <c r="J2" s="5619" t="s">
        <v>347</v>
      </c>
      <c r="K2" s="5622" t="s">
        <v>349</v>
      </c>
      <c r="L2" s="5623"/>
      <c r="M2" s="5623"/>
      <c r="N2" s="5623"/>
      <c r="O2" s="5623"/>
      <c r="P2" s="5623"/>
      <c r="Q2" s="5623"/>
      <c r="R2" s="5623"/>
      <c r="S2" s="5623"/>
      <c r="T2" s="5623"/>
      <c r="U2" s="5623"/>
      <c r="V2" s="5623"/>
      <c r="W2" s="5624"/>
      <c r="X2" s="3464"/>
      <c r="Y2" s="5615" t="s">
        <v>1592</v>
      </c>
      <c r="Z2" s="5616"/>
      <c r="AA2" s="5616"/>
      <c r="AB2" s="5616"/>
      <c r="AC2" s="5616"/>
      <c r="AD2" s="5616"/>
      <c r="AE2" s="5616"/>
      <c r="AF2" s="5616"/>
      <c r="AG2" s="5616"/>
      <c r="AH2" s="5616"/>
      <c r="AI2" s="5617"/>
      <c r="AJ2" s="3464"/>
    </row>
    <row r="3" spans="1:36" ht="37.5" customHeight="1">
      <c r="A3" s="5640"/>
      <c r="B3" s="5642"/>
      <c r="C3" s="4648" t="str">
        <f>+'15. ОПП'!$B$7</f>
        <v>2024 г.</v>
      </c>
      <c r="D3" s="4648" t="str">
        <f>+'15. ОПП'!$C$7</f>
        <v>2027 г.</v>
      </c>
      <c r="E3" s="4648" t="str">
        <f>+'15. ОПП'!$D$7</f>
        <v>2028 г.</v>
      </c>
      <c r="F3" s="4648" t="str">
        <f>+'15. ОПП'!$E$7</f>
        <v>2029 г.</v>
      </c>
      <c r="G3" s="4648" t="str">
        <f>+'15. ОПП'!$F$7</f>
        <v>2030 г.</v>
      </c>
      <c r="H3" s="4648" t="str">
        <f>+'15. ОПП'!$G$7</f>
        <v>2031 г.</v>
      </c>
      <c r="I3" s="3464"/>
      <c r="J3" s="5619"/>
      <c r="K3" s="5619" t="s">
        <v>1537</v>
      </c>
      <c r="L3" s="5620" t="s">
        <v>1554</v>
      </c>
      <c r="M3" s="5620"/>
      <c r="N3" s="5620"/>
      <c r="O3" s="5620"/>
      <c r="P3" s="5620"/>
      <c r="Q3" s="5621"/>
      <c r="R3" s="5619" t="s">
        <v>1550</v>
      </c>
      <c r="S3" s="5619"/>
      <c r="T3" s="5619"/>
      <c r="U3" s="5619"/>
      <c r="V3" s="5619"/>
      <c r="W3" s="5619"/>
      <c r="X3" s="3464"/>
      <c r="Y3" s="3670" t="s">
        <v>773</v>
      </c>
      <c r="Z3" s="3670" t="s">
        <v>1591</v>
      </c>
      <c r="AA3" s="3671" t="s">
        <v>746</v>
      </c>
      <c r="AB3" s="4521" t="str">
        <f>+'15. ОПП'!$B$7</f>
        <v>2024 г.</v>
      </c>
      <c r="AC3" s="4648" t="str">
        <f>+'15. ОПП'!$C$7</f>
        <v>2027 г.</v>
      </c>
      <c r="AD3" s="4648" t="str">
        <f>+'15. ОПП'!$D$7</f>
        <v>2028 г.</v>
      </c>
      <c r="AE3" s="4648" t="str">
        <f>+'15. ОПП'!$E$7</f>
        <v>2029 г.</v>
      </c>
      <c r="AF3" s="4648" t="str">
        <f>+'15. ОПП'!$F$7</f>
        <v>2030 г.</v>
      </c>
      <c r="AG3" s="4648" t="str">
        <f>+'15. ОПП'!$G$7</f>
        <v>2031 г.</v>
      </c>
      <c r="AH3" s="4521" t="str">
        <f>CONCATENATE("Индивидуална цел за ",AG3)</f>
        <v>Индивидуална цел за 2031 г.</v>
      </c>
      <c r="AI3" s="3672" t="s">
        <v>780</v>
      </c>
      <c r="AJ3" s="3464"/>
    </row>
    <row r="4" spans="1:36" ht="15.95" customHeight="1">
      <c r="A4" s="3673" t="s">
        <v>1522</v>
      </c>
      <c r="B4" s="3602" t="s">
        <v>784</v>
      </c>
      <c r="C4" s="3674">
        <f>'2. Променливи'!E10</f>
        <v>200963</v>
      </c>
      <c r="D4" s="3674">
        <f>'2. Променливи'!F10</f>
        <v>188003</v>
      </c>
      <c r="E4" s="3674">
        <f>'2. Променливи'!G10</f>
        <v>181855</v>
      </c>
      <c r="F4" s="3674">
        <f>'2. Променливи'!H10</f>
        <v>175909</v>
      </c>
      <c r="G4" s="3674">
        <f>'2. Променливи'!I10</f>
        <v>170157</v>
      </c>
      <c r="H4" s="3674">
        <f>'2. Променливи'!J10</f>
        <v>164194</v>
      </c>
      <c r="I4" s="3464"/>
      <c r="J4" s="5619"/>
      <c r="K4" s="5619"/>
      <c r="L4" s="4649" t="str">
        <f>+'15. ОПП'!$B$7</f>
        <v>2024 г.</v>
      </c>
      <c r="M4" s="4649" t="str">
        <f>+'15. ОПП'!$C$7</f>
        <v>2027 г.</v>
      </c>
      <c r="N4" s="4649" t="str">
        <f>+'15. ОПП'!$D$7</f>
        <v>2028 г.</v>
      </c>
      <c r="O4" s="4649" t="str">
        <f>+'15. ОПП'!$E$7</f>
        <v>2029 г.</v>
      </c>
      <c r="P4" s="4649" t="str">
        <f>+'15. ОПП'!$F$7</f>
        <v>2030 г.</v>
      </c>
      <c r="Q4" s="4649" t="str">
        <f>+'15. ОПП'!$G$7</f>
        <v>2031 г.</v>
      </c>
      <c r="R4" s="4649" t="str">
        <f>+'15. ОПП'!$B$7</f>
        <v>2024 г.</v>
      </c>
      <c r="S4" s="4649" t="str">
        <f>+'15. ОПП'!$C$7</f>
        <v>2027 г.</v>
      </c>
      <c r="T4" s="4649" t="str">
        <f>+'15. ОПП'!$D$7</f>
        <v>2028 г.</v>
      </c>
      <c r="U4" s="4649" t="str">
        <f>+'15. ОПП'!$E$7</f>
        <v>2029 г.</v>
      </c>
      <c r="V4" s="4649" t="str">
        <f>+'15. ОПП'!$F$7</f>
        <v>2030 г.</v>
      </c>
      <c r="W4" s="4649" t="str">
        <f>+'15. ОПП'!$G$7</f>
        <v>2031 г.</v>
      </c>
      <c r="X4" s="3464"/>
      <c r="Y4" s="3675" t="s">
        <v>116</v>
      </c>
      <c r="Z4" s="3676" t="s">
        <v>751</v>
      </c>
      <c r="AA4" s="3677" t="s">
        <v>170</v>
      </c>
      <c r="AB4" s="3678">
        <f>'3. Показатели за качество'!E9</f>
        <v>0.99690000000000001</v>
      </c>
      <c r="AC4" s="3678">
        <f>'3. Показатели за качество'!F9</f>
        <v>0.99739999999999995</v>
      </c>
      <c r="AD4" s="3678">
        <f>'3. Показатели за качество'!G9</f>
        <v>0.99739999999999995</v>
      </c>
      <c r="AE4" s="3678">
        <f>'3. Показатели за качество'!H9</f>
        <v>0.99739999999999995</v>
      </c>
      <c r="AF4" s="3678">
        <f>'3. Показатели за качество'!I9</f>
        <v>0.99739999999999995</v>
      </c>
      <c r="AG4" s="3678">
        <f>'3. Показатели за качество'!J9</f>
        <v>0.99739999999999995</v>
      </c>
      <c r="AH4" s="3679">
        <f>'3. Показатели за качество'!M9</f>
        <v>0.99690000000000001</v>
      </c>
      <c r="AI4" s="3680">
        <v>0.99</v>
      </c>
      <c r="AJ4" s="3464"/>
    </row>
    <row r="5" spans="1:36" ht="15.95" customHeight="1">
      <c r="A5" s="3673" t="s">
        <v>1523</v>
      </c>
      <c r="B5" s="3603" t="s">
        <v>784</v>
      </c>
      <c r="C5" s="3674">
        <f>'2. Променливи'!E11</f>
        <v>159809</v>
      </c>
      <c r="D5" s="3674">
        <f>'2. Променливи'!F11</f>
        <v>149862</v>
      </c>
      <c r="E5" s="3674">
        <f>'2. Променливи'!G11</f>
        <v>144967</v>
      </c>
      <c r="F5" s="3674">
        <f>'2. Променливи'!H11</f>
        <v>140231</v>
      </c>
      <c r="G5" s="3674">
        <f>'2. Променливи'!I11</f>
        <v>135649</v>
      </c>
      <c r="H5" s="3674">
        <f>'2. Променливи'!J11</f>
        <v>130905</v>
      </c>
      <c r="I5" s="3464"/>
      <c r="J5" s="3681" t="s">
        <v>210</v>
      </c>
      <c r="K5" s="3682" t="s">
        <v>1549</v>
      </c>
      <c r="L5" s="3682">
        <f>'6. Ел.Енергия'!C18/1000</f>
        <v>1423.5519999999999</v>
      </c>
      <c r="M5" s="3682">
        <f>'6. Ел.Енергия'!D18/1000</f>
        <v>1415</v>
      </c>
      <c r="N5" s="3682">
        <f>'6. Ел.Енергия'!E18/1000</f>
        <v>1350</v>
      </c>
      <c r="O5" s="3682">
        <f>'6. Ел.Енергия'!F18/1000</f>
        <v>1295</v>
      </c>
      <c r="P5" s="3682">
        <f>'6. Ел.Енергия'!G18/1000</f>
        <v>1240</v>
      </c>
      <c r="Q5" s="3682">
        <f>'6. Ел.Енергия'!H18/1000</f>
        <v>1175</v>
      </c>
      <c r="R5" s="3682">
        <f>'6. Ел.Енергия'!I18</f>
        <v>359.26935043799995</v>
      </c>
      <c r="S5" s="3682">
        <f>'6. Ел.Енергия'!J18</f>
        <v>371.55181000000005</v>
      </c>
      <c r="T5" s="3682">
        <f>'6. Ел.Енергия'!K18</f>
        <v>354.36450000000002</v>
      </c>
      <c r="U5" s="3682">
        <f>'6. Ел.Енергия'!L18</f>
        <v>340.14673000000005</v>
      </c>
      <c r="V5" s="3682">
        <f>'6. Ел.Енергия'!M18</f>
        <v>325.92896000000002</v>
      </c>
      <c r="W5" s="3682">
        <f>'6. Ел.Енергия'!N18</f>
        <v>309.04375000000005</v>
      </c>
      <c r="X5" s="3464"/>
      <c r="Y5" s="3675" t="s">
        <v>117</v>
      </c>
      <c r="Z5" s="3676" t="s">
        <v>752</v>
      </c>
      <c r="AA5" s="3677" t="s">
        <v>170</v>
      </c>
      <c r="AB5" s="3678">
        <f>'3. Показатели за качество'!E10</f>
        <v>1</v>
      </c>
      <c r="AC5" s="3678">
        <f>'3. Показатели за качество'!F10</f>
        <v>1</v>
      </c>
      <c r="AD5" s="3678">
        <f>'3. Показатели за качество'!G10</f>
        <v>1</v>
      </c>
      <c r="AE5" s="3678">
        <f>'3. Показатели за качество'!H10</f>
        <v>1</v>
      </c>
      <c r="AF5" s="3678">
        <f>'3. Показатели за качество'!I10</f>
        <v>1</v>
      </c>
      <c r="AG5" s="3678">
        <f>'3. Показатели за качество'!J10</f>
        <v>1</v>
      </c>
      <c r="AH5" s="3679">
        <f>'3. Показатели за качество'!M10</f>
        <v>1</v>
      </c>
      <c r="AI5" s="3680">
        <v>0.99</v>
      </c>
      <c r="AJ5" s="3464"/>
    </row>
    <row r="6" spans="1:36" ht="15.95" customHeight="1">
      <c r="A6" s="3673" t="s">
        <v>1524</v>
      </c>
      <c r="B6" s="3603" t="s">
        <v>784</v>
      </c>
      <c r="C6" s="3674">
        <f>'2. Променливи'!E12</f>
        <v>89306</v>
      </c>
      <c r="D6" s="3674">
        <f>'2. Променливи'!F12</f>
        <v>83550</v>
      </c>
      <c r="E6" s="3674">
        <f>'2. Променливи'!G12</f>
        <v>80819</v>
      </c>
      <c r="F6" s="3674">
        <f>'2. Променливи'!H12</f>
        <v>78178</v>
      </c>
      <c r="G6" s="3674">
        <f>'2. Променливи'!I12</f>
        <v>75623</v>
      </c>
      <c r="H6" s="3674">
        <f>'2. Променливи'!J12</f>
        <v>72975</v>
      </c>
      <c r="I6" s="3464"/>
      <c r="J6" s="3683" t="s">
        <v>350</v>
      </c>
      <c r="K6" s="3684" t="s">
        <v>1549</v>
      </c>
      <c r="L6" s="3903"/>
      <c r="M6" s="3686">
        <f>'6. Ел.Енергия'!D19/1000</f>
        <v>-8.5519999999999996</v>
      </c>
      <c r="N6" s="3686">
        <f>'6. Ел.Енергия'!E19/1000</f>
        <v>-65</v>
      </c>
      <c r="O6" s="3686">
        <f>'6. Ел.Енергия'!F19/1000</f>
        <v>-55</v>
      </c>
      <c r="P6" s="3686">
        <f>'6. Ел.Енергия'!G19/1000</f>
        <v>-55</v>
      </c>
      <c r="Q6" s="3686">
        <f>'6. Ел.Енергия'!H19/1000</f>
        <v>-65</v>
      </c>
      <c r="R6" s="3903"/>
      <c r="S6" s="3686">
        <f>'6. Ел.Енергия'!J19</f>
        <v>12.282459562000099</v>
      </c>
      <c r="T6" s="3686">
        <f>'6. Ел.Енергия'!K19</f>
        <v>-17.187310000000025</v>
      </c>
      <c r="U6" s="3686">
        <f>'6. Ел.Енергия'!L19</f>
        <v>-14.217769999999973</v>
      </c>
      <c r="V6" s="3686">
        <f>'6. Ел.Енергия'!M19</f>
        <v>-14.21777000000003</v>
      </c>
      <c r="W6" s="3686">
        <f>'6. Ел.Енергия'!N19</f>
        <v>-16.885209999999972</v>
      </c>
      <c r="X6" s="3464"/>
      <c r="Y6" s="3675" t="s">
        <v>118</v>
      </c>
      <c r="Z6" s="3676" t="s">
        <v>753</v>
      </c>
      <c r="AA6" s="3677" t="s">
        <v>170</v>
      </c>
      <c r="AB6" s="3678">
        <f>'3. Показатели за качество'!E11</f>
        <v>0.999</v>
      </c>
      <c r="AC6" s="3678">
        <f>'3. Показатели за качество'!F11</f>
        <v>0.99909999999999999</v>
      </c>
      <c r="AD6" s="3678">
        <f>'3. Показатели за качество'!G11</f>
        <v>0.99919999999999998</v>
      </c>
      <c r="AE6" s="3678">
        <f>'3. Показатели за качество'!H11</f>
        <v>0.99929999999999997</v>
      </c>
      <c r="AF6" s="3678">
        <f>'3. Показатели за качество'!I11</f>
        <v>0.99939999999999996</v>
      </c>
      <c r="AG6" s="3678">
        <f>'3. Показатели за качество'!J11</f>
        <v>0.99960000000000004</v>
      </c>
      <c r="AH6" s="3679">
        <f>'3. Показатели за качество'!M11</f>
        <v>0.99960000000000004</v>
      </c>
      <c r="AI6" s="3680">
        <v>0.98</v>
      </c>
      <c r="AJ6" s="3464"/>
    </row>
    <row r="7" spans="1:36" ht="15.95" customHeight="1">
      <c r="A7" s="3687" t="s">
        <v>1526</v>
      </c>
      <c r="B7" s="3604" t="s">
        <v>784</v>
      </c>
      <c r="C7" s="3688">
        <f>'2. Променливи'!E13</f>
        <v>201597</v>
      </c>
      <c r="D7" s="3688">
        <f>'2. Променливи'!F13</f>
        <v>188486</v>
      </c>
      <c r="E7" s="3688">
        <f>'2. Променливи'!G13</f>
        <v>182322</v>
      </c>
      <c r="F7" s="3688">
        <f>'2. Променливи'!H13</f>
        <v>176360</v>
      </c>
      <c r="G7" s="3688">
        <f>'2. Променливи'!I13</f>
        <v>170593</v>
      </c>
      <c r="H7" s="3688">
        <f>'2. Променливи'!J13</f>
        <v>164616</v>
      </c>
      <c r="I7" s="3464"/>
      <c r="J7" s="3689" t="s">
        <v>1556</v>
      </c>
      <c r="K7" s="3690" t="s">
        <v>1551</v>
      </c>
      <c r="L7" s="3691">
        <f>'6. Ел.Енергия'!C20</f>
        <v>7.5988622033642803E-2</v>
      </c>
      <c r="M7" s="3691">
        <f>'6. Ел.Енергия'!D20</f>
        <v>7.6299593724884152E-2</v>
      </c>
      <c r="N7" s="3691">
        <f>'6. Ел.Енергия'!E20</f>
        <v>7.4834598906505748E-2</v>
      </c>
      <c r="O7" s="3691">
        <f>'6. Ел.Енергия'!F20</f>
        <v>7.429184809606057E-2</v>
      </c>
      <c r="P7" s="3691">
        <f>'6. Ел.Енергия'!G20</f>
        <v>7.3491402276408033E-2</v>
      </c>
      <c r="Q7" s="3691">
        <f>'6. Ел.Енергия'!H20</f>
        <v>7.2169163044081788E-2</v>
      </c>
      <c r="R7" s="3685"/>
      <c r="S7" s="3685"/>
      <c r="T7" s="3685"/>
      <c r="U7" s="3685"/>
      <c r="V7" s="3685"/>
      <c r="W7" s="3685"/>
      <c r="X7" s="3464"/>
      <c r="Y7" s="3675" t="s">
        <v>119</v>
      </c>
      <c r="Z7" s="3676" t="s">
        <v>754</v>
      </c>
      <c r="AA7" s="3677" t="s">
        <v>170</v>
      </c>
      <c r="AB7" s="3678">
        <f>'3. Показатели за качество'!E12</f>
        <v>1</v>
      </c>
      <c r="AC7" s="3678">
        <f>'3. Показатели за качество'!F12</f>
        <v>1</v>
      </c>
      <c r="AD7" s="3678">
        <f>'3. Показатели за качество'!G12</f>
        <v>1</v>
      </c>
      <c r="AE7" s="3678">
        <f>'3. Показатели за качество'!H12</f>
        <v>1</v>
      </c>
      <c r="AF7" s="3678">
        <f>'3. Показатели за качество'!I12</f>
        <v>1</v>
      </c>
      <c r="AG7" s="3678">
        <f>'3. Показатели за качество'!J12</f>
        <v>1</v>
      </c>
      <c r="AH7" s="3679">
        <f>'3. Показатели за качество'!M12</f>
        <v>1</v>
      </c>
      <c r="AI7" s="3680">
        <v>1</v>
      </c>
      <c r="AJ7" s="3464"/>
    </row>
    <row r="8" spans="1:36" ht="15.95" customHeight="1">
      <c r="A8" s="3673" t="s">
        <v>1519</v>
      </c>
      <c r="B8" s="3602" t="s">
        <v>784</v>
      </c>
      <c r="C8" s="3674">
        <f>'2. Променливи'!E17</f>
        <v>128</v>
      </c>
      <c r="D8" s="3674">
        <f>'2. Променливи'!F17</f>
        <v>128</v>
      </c>
      <c r="E8" s="3674">
        <f>'2. Променливи'!G17</f>
        <v>128</v>
      </c>
      <c r="F8" s="3674">
        <f>'2. Променливи'!H17</f>
        <v>128</v>
      </c>
      <c r="G8" s="3674">
        <f>'2. Променливи'!I17</f>
        <v>128</v>
      </c>
      <c r="H8" s="3674">
        <f>'2. Променливи'!J17</f>
        <v>128</v>
      </c>
      <c r="I8" s="3464"/>
      <c r="J8" s="3681" t="s">
        <v>174</v>
      </c>
      <c r="K8" s="3682" t="s">
        <v>1549</v>
      </c>
      <c r="L8" s="3682">
        <f>'6. Ел.Енергия'!C34/1000</f>
        <v>0.52300000000000002</v>
      </c>
      <c r="M8" s="3682">
        <f>'6. Ел.Енергия'!D34/1000</f>
        <v>0.5</v>
      </c>
      <c r="N8" s="3682">
        <f>'6. Ел.Енергия'!E34/1000</f>
        <v>0.5</v>
      </c>
      <c r="O8" s="3682">
        <f>'6. Ел.Енергия'!F34/1000</f>
        <v>0.4</v>
      </c>
      <c r="P8" s="3682">
        <f>'6. Ел.Енергия'!G34/1000</f>
        <v>0.4</v>
      </c>
      <c r="Q8" s="3682">
        <f>'6. Ел.Енергия'!H34/1000</f>
        <v>0.4</v>
      </c>
      <c r="R8" s="3682">
        <f>'6. Ел.Енергия'!I34</f>
        <v>6.8839874999999995E-2</v>
      </c>
      <c r="S8" s="3682">
        <f>'6. Ел.Енергия'!J34</f>
        <v>0.13748199999999999</v>
      </c>
      <c r="T8" s="3682">
        <f>'6. Ел.Енергия'!K34</f>
        <v>0.13748199999999999</v>
      </c>
      <c r="U8" s="3682">
        <f>'6. Ел.Енергия'!L34</f>
        <v>0.1099856</v>
      </c>
      <c r="V8" s="3682">
        <f>'6. Ел.Енергия'!M34</f>
        <v>0.1099856</v>
      </c>
      <c r="W8" s="3682">
        <f>'6. Ел.Енергия'!N34</f>
        <v>0.1099856</v>
      </c>
      <c r="X8" s="3464"/>
      <c r="Y8" s="3675" t="s">
        <v>120</v>
      </c>
      <c r="Z8" s="3676" t="s">
        <v>755</v>
      </c>
      <c r="AA8" s="3677" t="s">
        <v>1033</v>
      </c>
      <c r="AB8" s="3693">
        <f>'3. Показатели за качество'!E13</f>
        <v>1.175</v>
      </c>
      <c r="AC8" s="3693">
        <f>'3. Показатели за качество'!F13</f>
        <v>1.1539999999999999</v>
      </c>
      <c r="AD8" s="3693">
        <f>'3. Показатели за качество'!G13</f>
        <v>1.149</v>
      </c>
      <c r="AE8" s="3693">
        <f>'3. Показатели за качество'!H13</f>
        <v>1.1419999999999999</v>
      </c>
      <c r="AF8" s="3693">
        <f>'3. Показатели за качество'!I13</f>
        <v>1.1399999999999999</v>
      </c>
      <c r="AG8" s="3693">
        <f>'3. Показатели за качество'!J13</f>
        <v>1.0780000000000001</v>
      </c>
      <c r="AH8" s="3694">
        <f>'3. Показатели за качество'!M13</f>
        <v>1.08</v>
      </c>
      <c r="AI8" s="3695">
        <v>8</v>
      </c>
      <c r="AJ8" s="3464"/>
    </row>
    <row r="9" spans="1:36" ht="15.95" customHeight="1">
      <c r="A9" s="3673" t="s">
        <v>1520</v>
      </c>
      <c r="B9" s="3602" t="s">
        <v>784</v>
      </c>
      <c r="C9" s="3674">
        <f>'2. Променливи'!E18</f>
        <v>39</v>
      </c>
      <c r="D9" s="3674">
        <f>'2. Променливи'!F18</f>
        <v>39</v>
      </c>
      <c r="E9" s="3674">
        <f>'2. Променливи'!G18</f>
        <v>39</v>
      </c>
      <c r="F9" s="3674">
        <f>'2. Променливи'!H18</f>
        <v>39</v>
      </c>
      <c r="G9" s="3674">
        <f>'2. Променливи'!I18</f>
        <v>39</v>
      </c>
      <c r="H9" s="3674">
        <f>'2. Променливи'!J18</f>
        <v>39</v>
      </c>
      <c r="I9" s="3464"/>
      <c r="J9" s="3683" t="s">
        <v>350</v>
      </c>
      <c r="K9" s="3684" t="s">
        <v>1549</v>
      </c>
      <c r="L9" s="3903"/>
      <c r="M9" s="3686">
        <f>'6. Ел.Енергия'!D35/1000</f>
        <v>-2.3E-2</v>
      </c>
      <c r="N9" s="3686">
        <f>'6. Ел.Енергия'!E35/1000</f>
        <v>0</v>
      </c>
      <c r="O9" s="3686">
        <f>'6. Ел.Енергия'!F35/1000</f>
        <v>-0.1</v>
      </c>
      <c r="P9" s="3686">
        <f>'6. Ел.Енергия'!G35/1000</f>
        <v>0</v>
      </c>
      <c r="Q9" s="3686">
        <f>'6. Ел.Енергия'!H35/1000</f>
        <v>0</v>
      </c>
      <c r="R9" s="3903"/>
      <c r="S9" s="3686">
        <f>'6. Ел.Енергия'!J35</f>
        <v>6.8642124999999998E-2</v>
      </c>
      <c r="T9" s="3686">
        <f>'6. Ел.Енергия'!K35</f>
        <v>0</v>
      </c>
      <c r="U9" s="3686">
        <f>'6. Ел.Енергия'!L35</f>
        <v>-2.749639999999999E-2</v>
      </c>
      <c r="V9" s="3686">
        <f>'6. Ел.Енергия'!M35</f>
        <v>0</v>
      </c>
      <c r="W9" s="3686">
        <f>'6. Ел.Енергия'!N35</f>
        <v>0</v>
      </c>
      <c r="X9" s="3464"/>
      <c r="Y9" s="3675" t="s">
        <v>744</v>
      </c>
      <c r="Z9" s="3676" t="s">
        <v>756</v>
      </c>
      <c r="AA9" s="3677" t="s">
        <v>1588</v>
      </c>
      <c r="AB9" s="3696">
        <f>'3. Показатели за качество'!E14</f>
        <v>11.24</v>
      </c>
      <c r="AC9" s="3696">
        <f>'3. Показатели за качество'!F14</f>
        <v>11.11</v>
      </c>
      <c r="AD9" s="3696">
        <f>'3. Показатели за качество'!G14</f>
        <v>10.8</v>
      </c>
      <c r="AE9" s="3696">
        <f>'3. Показатели за качество'!H14</f>
        <v>10.42</v>
      </c>
      <c r="AF9" s="3696">
        <f>'3. Показатели за качество'!I14</f>
        <v>10.06</v>
      </c>
      <c r="AG9" s="3696">
        <f>'3. Показатели за качество'!J14</f>
        <v>9.67</v>
      </c>
      <c r="AH9" s="3697">
        <f>'3. Показатели за качество'!M14</f>
        <v>10.66</v>
      </c>
      <c r="AI9" s="3695">
        <v>15</v>
      </c>
      <c r="AJ9" s="3464"/>
    </row>
    <row r="10" spans="1:36" ht="15.95" customHeight="1">
      <c r="A10" s="3673" t="s">
        <v>1521</v>
      </c>
      <c r="B10" s="3602" t="s">
        <v>784</v>
      </c>
      <c r="C10" s="3674">
        <f>'2. Променливи'!E19</f>
        <v>11</v>
      </c>
      <c r="D10" s="3674">
        <f>'2. Променливи'!F19</f>
        <v>11</v>
      </c>
      <c r="E10" s="3674">
        <f>'2. Променливи'!G19</f>
        <v>11</v>
      </c>
      <c r="F10" s="3674">
        <f>'2. Променливи'!H19</f>
        <v>11</v>
      </c>
      <c r="G10" s="3674">
        <f>'2. Променливи'!I19</f>
        <v>11</v>
      </c>
      <c r="H10" s="3674">
        <f>'2. Променливи'!J19</f>
        <v>11</v>
      </c>
      <c r="I10" s="3464"/>
      <c r="J10" s="3681" t="s">
        <v>184</v>
      </c>
      <c r="K10" s="3682" t="s">
        <v>1549</v>
      </c>
      <c r="L10" s="3682">
        <f>'6. Ел.Енергия'!C49/1000</f>
        <v>2995.116</v>
      </c>
      <c r="M10" s="3682">
        <f>'6. Ел.Енергия'!D49/1000</f>
        <v>2980</v>
      </c>
      <c r="N10" s="3682">
        <f>'6. Ел.Енергия'!E49/1000</f>
        <v>2940</v>
      </c>
      <c r="O10" s="3682">
        <f>'6. Ел.Енергия'!F49/1000</f>
        <v>2890</v>
      </c>
      <c r="P10" s="3682">
        <f>'6. Ел.Енергия'!G49/1000</f>
        <v>2870</v>
      </c>
      <c r="Q10" s="3682">
        <f>'6. Ел.Енергия'!H49/1000</f>
        <v>2850</v>
      </c>
      <c r="R10" s="3682">
        <f>'6. Ел.Енергия'!I49</f>
        <v>619.17692304999991</v>
      </c>
      <c r="S10" s="3682">
        <f>'6. Ел.Енергия'!J49</f>
        <v>674.40874600000006</v>
      </c>
      <c r="T10" s="3682">
        <f>'6. Ел.Енергия'!K49</f>
        <v>665.03909999999996</v>
      </c>
      <c r="U10" s="3682">
        <f>'6. Ел.Енергия'!L49</f>
        <v>653.23765000000003</v>
      </c>
      <c r="V10" s="3682">
        <f>'6. Ел.Енергия'!M49</f>
        <v>648.51706999999999</v>
      </c>
      <c r="W10" s="3682">
        <f>'6. Ел.Енергия'!N49</f>
        <v>643.79648999999995</v>
      </c>
      <c r="X10" s="3464"/>
      <c r="Y10" s="3675" t="s">
        <v>745</v>
      </c>
      <c r="Z10" s="3676" t="s">
        <v>756</v>
      </c>
      <c r="AA10" s="3677" t="s">
        <v>170</v>
      </c>
      <c r="AB10" s="3678">
        <f>'3. Показатели за качество'!E15</f>
        <v>0.38769999999999999</v>
      </c>
      <c r="AC10" s="3678">
        <f>'3. Показатели за качество'!F15</f>
        <v>0.38769999999999999</v>
      </c>
      <c r="AD10" s="3678">
        <f>'3. Показатели за качество'!G15</f>
        <v>0.38750000000000001</v>
      </c>
      <c r="AE10" s="3678">
        <f>'3. Показатели за качество'!H15</f>
        <v>0.38690000000000002</v>
      </c>
      <c r="AF10" s="3678">
        <f>'3. Показатели за качество'!I15</f>
        <v>0.38569999999999999</v>
      </c>
      <c r="AG10" s="3678">
        <f>'3. Показатели за качество'!J15</f>
        <v>0.38429999999999997</v>
      </c>
      <c r="AH10" s="3679">
        <f>'3. Показатели за качество'!M15</f>
        <v>0.3841</v>
      </c>
      <c r="AI10" s="3680">
        <v>0.49</v>
      </c>
      <c r="AJ10" s="3464"/>
    </row>
    <row r="11" spans="1:36" ht="15.95" customHeight="1">
      <c r="A11" s="3687" t="s">
        <v>1525</v>
      </c>
      <c r="B11" s="3605" t="s">
        <v>784</v>
      </c>
      <c r="C11" s="3688">
        <f>'2. Променливи'!E20</f>
        <v>158</v>
      </c>
      <c r="D11" s="3688">
        <f>'2. Променливи'!F20</f>
        <v>158</v>
      </c>
      <c r="E11" s="3688">
        <f>'2. Променливи'!G20</f>
        <v>158</v>
      </c>
      <c r="F11" s="3688">
        <f>'2. Променливи'!H20</f>
        <v>158</v>
      </c>
      <c r="G11" s="3688">
        <f>'2. Променливи'!I20</f>
        <v>158</v>
      </c>
      <c r="H11" s="3688">
        <f>'2. Променливи'!J20</f>
        <v>158</v>
      </c>
      <c r="I11" s="3464"/>
      <c r="J11" s="3683" t="s">
        <v>350</v>
      </c>
      <c r="K11" s="3684" t="s">
        <v>1549</v>
      </c>
      <c r="L11" s="3903"/>
      <c r="M11" s="3686">
        <f>'6. Ел.Енергия'!D50/1000</f>
        <v>-15.116</v>
      </c>
      <c r="N11" s="3686">
        <f>'6. Ел.Енергия'!E50/1000</f>
        <v>-40</v>
      </c>
      <c r="O11" s="3686">
        <f>'6. Ел.Енергия'!F50/1000</f>
        <v>-50</v>
      </c>
      <c r="P11" s="3686">
        <f>'6. Ел.Енергия'!G50/1000</f>
        <v>-20</v>
      </c>
      <c r="Q11" s="3686">
        <f>'6. Ел.Енергия'!H50/1000</f>
        <v>-20</v>
      </c>
      <c r="R11" s="3903"/>
      <c r="S11" s="3686">
        <f>'6. Ел.Енергия'!J50</f>
        <v>55.231822950000151</v>
      </c>
      <c r="T11" s="3686">
        <f>'6. Ел.Енергия'!K50</f>
        <v>-9.3696460000001025</v>
      </c>
      <c r="U11" s="3686">
        <f>'6. Ел.Енергия'!L50</f>
        <v>-11.801449999999932</v>
      </c>
      <c r="V11" s="3686">
        <f>'6. Ел.Енергия'!M50</f>
        <v>-4.7205800000000409</v>
      </c>
      <c r="W11" s="3686">
        <f>'6. Ел.Енергия'!N50</f>
        <v>-4.7205800000000409</v>
      </c>
      <c r="X11" s="3464"/>
      <c r="Y11" s="3675" t="s">
        <v>121</v>
      </c>
      <c r="Z11" s="3676" t="s">
        <v>757</v>
      </c>
      <c r="AA11" s="3677" t="s">
        <v>749</v>
      </c>
      <c r="AB11" s="3696">
        <f>'3. Показатели за качество'!E16</f>
        <v>64.290000000000006</v>
      </c>
      <c r="AC11" s="3696">
        <f>'3. Показатели за качество'!F16</f>
        <v>62.04</v>
      </c>
      <c r="AD11" s="3696">
        <f>'3. Показатели за качество'!G16</f>
        <v>60.91</v>
      </c>
      <c r="AE11" s="3696">
        <f>'3. Показатели за качество'!H16</f>
        <v>60.35</v>
      </c>
      <c r="AF11" s="3696">
        <f>'3. Показатели за качество'!I16</f>
        <v>59.79</v>
      </c>
      <c r="AG11" s="3696">
        <f>'3. Показатели за качество'!J16</f>
        <v>59.28</v>
      </c>
      <c r="AH11" s="3697">
        <f>'3. Показатели за качество'!M16</f>
        <v>59.32</v>
      </c>
      <c r="AI11" s="3695">
        <v>60</v>
      </c>
      <c r="AJ11" s="3464"/>
    </row>
    <row r="12" spans="1:36" ht="15.95" customHeight="1">
      <c r="A12" s="3464"/>
      <c r="B12" s="3464"/>
      <c r="C12" s="3464"/>
      <c r="D12" s="3464"/>
      <c r="E12" s="3464"/>
      <c r="F12" s="3464"/>
      <c r="G12" s="3464"/>
      <c r="H12" s="3464"/>
      <c r="I12" s="3464"/>
      <c r="J12" s="3689" t="s">
        <v>1555</v>
      </c>
      <c r="K12" s="3690" t="s">
        <v>1551</v>
      </c>
      <c r="L12" s="3698">
        <f>'6. Ел.Енергия'!C51</f>
        <v>0.25810675898976015</v>
      </c>
      <c r="M12" s="3698">
        <f>'6. Ел.Енергия'!D51</f>
        <v>0.25689655172413794</v>
      </c>
      <c r="N12" s="3698">
        <f>'6. Ел.Енергия'!E51</f>
        <v>0.25344827586206897</v>
      </c>
      <c r="O12" s="3698">
        <f>'6. Ел.Енергия'!F51</f>
        <v>0.24913793103448276</v>
      </c>
      <c r="P12" s="3698">
        <f>'6. Ел.Енергия'!G51</f>
        <v>0.24741379310344827</v>
      </c>
      <c r="Q12" s="3698">
        <f>'6. Ел.Енергия'!H51</f>
        <v>0.24568965517241378</v>
      </c>
      <c r="R12" s="3685"/>
      <c r="S12" s="3685"/>
      <c r="T12" s="3685"/>
      <c r="U12" s="3685"/>
      <c r="V12" s="3685"/>
      <c r="W12" s="3685"/>
      <c r="X12" s="3464"/>
      <c r="Y12" s="3675" t="s">
        <v>1248</v>
      </c>
      <c r="Z12" s="3676" t="s">
        <v>758</v>
      </c>
      <c r="AA12" s="3677" t="s">
        <v>170</v>
      </c>
      <c r="AB12" s="3678">
        <f>'3. Показатели за качество'!E17</f>
        <v>0.5696</v>
      </c>
      <c r="AC12" s="3678">
        <f>'3. Показатели за качество'!F17</f>
        <v>0.75949999999999995</v>
      </c>
      <c r="AD12" s="3678">
        <f>'3. Показатели за качество'!G17</f>
        <v>0.79110000000000003</v>
      </c>
      <c r="AE12" s="3678">
        <f>'3. Показатели за качество'!H17</f>
        <v>0.85440000000000005</v>
      </c>
      <c r="AF12" s="3678">
        <f>'3. Показатели за качество'!I17</f>
        <v>0.8861</v>
      </c>
      <c r="AG12" s="3678">
        <f>'3. Показатели за качество'!J17</f>
        <v>1</v>
      </c>
      <c r="AH12" s="3679">
        <f>'3. Показатели за качество'!M17</f>
        <v>1</v>
      </c>
      <c r="AI12" s="3680">
        <v>1</v>
      </c>
      <c r="AJ12" s="3464"/>
    </row>
    <row r="13" spans="1:36" ht="15.95" customHeight="1">
      <c r="A13" s="5640" t="s">
        <v>2</v>
      </c>
      <c r="B13" s="5640" t="s">
        <v>746</v>
      </c>
      <c r="C13" s="5628" t="s">
        <v>922</v>
      </c>
      <c r="D13" s="5628"/>
      <c r="E13" s="5628"/>
      <c r="F13" s="5628"/>
      <c r="G13" s="5628"/>
      <c r="H13" s="5628"/>
      <c r="I13" s="3464"/>
      <c r="J13" s="3699" t="s">
        <v>1236</v>
      </c>
      <c r="K13" s="3682" t="s">
        <v>1549</v>
      </c>
      <c r="L13" s="3682">
        <f>'6. Ел.Енергия'!C65/1000</f>
        <v>0</v>
      </c>
      <c r="M13" s="3682">
        <f>'6. Ел.Енергия'!D65/1000</f>
        <v>0</v>
      </c>
      <c r="N13" s="3682">
        <f>'6. Ел.Енергия'!E65/1000</f>
        <v>0</v>
      </c>
      <c r="O13" s="3682">
        <f>'6. Ел.Енергия'!F65/1000</f>
        <v>0</v>
      </c>
      <c r="P13" s="3682">
        <f>'6. Ел.Енергия'!G65/1000</f>
        <v>0</v>
      </c>
      <c r="Q13" s="3682">
        <f>'6. Ел.Енергия'!H65/1000</f>
        <v>0</v>
      </c>
      <c r="R13" s="3682">
        <f>'6. Ел.Енергия'!I65</f>
        <v>0</v>
      </c>
      <c r="S13" s="3682">
        <f>'6. Ел.Енергия'!J65</f>
        <v>0</v>
      </c>
      <c r="T13" s="3682">
        <f>'6. Ел.Енергия'!K65</f>
        <v>0</v>
      </c>
      <c r="U13" s="3682">
        <f>'6. Ел.Енергия'!L65</f>
        <v>0</v>
      </c>
      <c r="V13" s="3682">
        <f>'6. Ел.Енергия'!M65</f>
        <v>0</v>
      </c>
      <c r="W13" s="3682">
        <f>'6. Ел.Енергия'!N65</f>
        <v>0</v>
      </c>
      <c r="X13" s="3464"/>
      <c r="Y13" s="3675" t="s">
        <v>122</v>
      </c>
      <c r="Z13" s="3676" t="s">
        <v>759</v>
      </c>
      <c r="AA13" s="3677" t="s">
        <v>170</v>
      </c>
      <c r="AB13" s="3678">
        <f>'3. Показатели за качество'!E18</f>
        <v>0.79269999999999996</v>
      </c>
      <c r="AC13" s="3678">
        <f>'3. Показатели за качество'!F18</f>
        <v>0.79510000000000003</v>
      </c>
      <c r="AD13" s="3678">
        <f>'3. Показатели за качество'!G18</f>
        <v>0.79510000000000003</v>
      </c>
      <c r="AE13" s="3678">
        <f>'3. Показатели за качество'!H18</f>
        <v>0.79510000000000003</v>
      </c>
      <c r="AF13" s="3678">
        <f>'3. Показатели за качество'!I18</f>
        <v>0.79520000000000002</v>
      </c>
      <c r="AG13" s="3678">
        <f>'3. Показатели за качество'!J18</f>
        <v>0.79520000000000002</v>
      </c>
      <c r="AH13" s="3679">
        <f>'3. Показатели за качество'!M18</f>
        <v>0.79510000000000003</v>
      </c>
      <c r="AI13" s="3680">
        <v>0.75</v>
      </c>
      <c r="AJ13" s="3464"/>
    </row>
    <row r="14" spans="1:36" ht="15.95" customHeight="1">
      <c r="A14" s="5640"/>
      <c r="B14" s="5640"/>
      <c r="C14" s="4648" t="str">
        <f>+'15. ОПП'!$B$7</f>
        <v>2024 г.</v>
      </c>
      <c r="D14" s="4648" t="str">
        <f>+'15. ОПП'!$C$7</f>
        <v>2027 г.</v>
      </c>
      <c r="E14" s="4648" t="str">
        <f>+'15. ОПП'!$D$7</f>
        <v>2028 г.</v>
      </c>
      <c r="F14" s="4648" t="str">
        <f>+'15. ОПП'!$E$7</f>
        <v>2029 г.</v>
      </c>
      <c r="G14" s="4648" t="str">
        <f>+'15. ОПП'!$F$7</f>
        <v>2030 г.</v>
      </c>
      <c r="H14" s="4648" t="str">
        <f>+'15. ОПП'!$G$7</f>
        <v>2031 г.</v>
      </c>
      <c r="I14" s="3464"/>
      <c r="J14" s="3683" t="s">
        <v>350</v>
      </c>
      <c r="K14" s="3684" t="s">
        <v>1549</v>
      </c>
      <c r="L14" s="3903"/>
      <c r="M14" s="3686">
        <f>'6. Ел.Енергия'!D66/1000</f>
        <v>0</v>
      </c>
      <c r="N14" s="3686">
        <f>'6. Ел.Енергия'!E66/1000</f>
        <v>0</v>
      </c>
      <c r="O14" s="3686">
        <f>'6. Ел.Енергия'!F66/1000</f>
        <v>0</v>
      </c>
      <c r="P14" s="3686">
        <f>'6. Ел.Енергия'!G66/1000</f>
        <v>0</v>
      </c>
      <c r="Q14" s="3686">
        <f>'6. Ел.Енергия'!H66/1000</f>
        <v>0</v>
      </c>
      <c r="R14" s="3903"/>
      <c r="S14" s="3686">
        <f>'6. Ел.Енергия'!J66</f>
        <v>0</v>
      </c>
      <c r="T14" s="3686">
        <f>'6. Ел.Енергия'!K66</f>
        <v>0</v>
      </c>
      <c r="U14" s="3686">
        <f>'6. Ел.Енергия'!L66</f>
        <v>0</v>
      </c>
      <c r="V14" s="3686">
        <f>'6. Ел.Енергия'!M66</f>
        <v>0</v>
      </c>
      <c r="W14" s="3686">
        <f>'6. Ел.Енергия'!N66</f>
        <v>0</v>
      </c>
      <c r="X14" s="3464"/>
      <c r="Y14" s="3675" t="s">
        <v>123</v>
      </c>
      <c r="Z14" s="3676" t="s">
        <v>760</v>
      </c>
      <c r="AA14" s="3677" t="s">
        <v>170</v>
      </c>
      <c r="AB14" s="3678">
        <f>'3. Показатели за качество'!E19</f>
        <v>0.443</v>
      </c>
      <c r="AC14" s="3678">
        <f>'3. Показатели за качество'!F19</f>
        <v>0.44330000000000003</v>
      </c>
      <c r="AD14" s="3678">
        <f>'3. Показатели за качество'!G19</f>
        <v>0.44330000000000003</v>
      </c>
      <c r="AE14" s="3678">
        <f>'3. Показатели за качество'!H19</f>
        <v>0.44330000000000003</v>
      </c>
      <c r="AF14" s="3678">
        <f>'3. Показатели за качество'!I19</f>
        <v>0.44330000000000003</v>
      </c>
      <c r="AG14" s="3678">
        <f>'3. Показатели за качество'!J19</f>
        <v>0.44330000000000003</v>
      </c>
      <c r="AH14" s="3679">
        <f>'3. Показатели за качество'!M19</f>
        <v>0.44330000000000003</v>
      </c>
      <c r="AI14" s="3680">
        <v>0.75</v>
      </c>
      <c r="AJ14" s="3464"/>
    </row>
    <row r="15" spans="1:36" ht="15.95" customHeight="1">
      <c r="A15" s="3700" t="s">
        <v>1006</v>
      </c>
      <c r="B15" s="3606" t="s">
        <v>784</v>
      </c>
      <c r="C15" s="3674">
        <f>'2. Променливи'!E21</f>
        <v>148</v>
      </c>
      <c r="D15" s="3674">
        <f>'2. Променливи'!F21</f>
        <v>148</v>
      </c>
      <c r="E15" s="3674">
        <f>'2. Променливи'!G21</f>
        <v>148</v>
      </c>
      <c r="F15" s="3674">
        <f>'2. Променливи'!H21</f>
        <v>148</v>
      </c>
      <c r="G15" s="3674">
        <f>'2. Променливи'!I21</f>
        <v>148</v>
      </c>
      <c r="H15" s="3674">
        <f>'2. Променливи'!J21</f>
        <v>148</v>
      </c>
      <c r="I15" s="3464"/>
      <c r="J15" s="3699" t="s">
        <v>1237</v>
      </c>
      <c r="K15" s="3682" t="s">
        <v>1549</v>
      </c>
      <c r="L15" s="3682">
        <f>'6. Ел.Енергия'!C81/1000</f>
        <v>0</v>
      </c>
      <c r="M15" s="3682">
        <f>'6. Ел.Енергия'!D81/1000</f>
        <v>0</v>
      </c>
      <c r="N15" s="3682">
        <f>'6. Ел.Енергия'!E81/1000</f>
        <v>0</v>
      </c>
      <c r="O15" s="3682">
        <f>'6. Ел.Енергия'!F81/1000</f>
        <v>0</v>
      </c>
      <c r="P15" s="3682">
        <f>'6. Ел.Енергия'!G81/1000</f>
        <v>0</v>
      </c>
      <c r="Q15" s="3682">
        <f>'6. Ел.Енергия'!H81/1000</f>
        <v>0</v>
      </c>
      <c r="R15" s="3682">
        <f>'6. Ел.Енергия'!I81</f>
        <v>0</v>
      </c>
      <c r="S15" s="3682">
        <f>'6. Ел.Енергия'!J81</f>
        <v>0</v>
      </c>
      <c r="T15" s="3682">
        <f>'6. Ел.Енергия'!K81</f>
        <v>0</v>
      </c>
      <c r="U15" s="3682">
        <f>'6. Ел.Енергия'!L81</f>
        <v>0</v>
      </c>
      <c r="V15" s="3682">
        <f>'6. Ел.Енергия'!M81</f>
        <v>0</v>
      </c>
      <c r="W15" s="3682">
        <f>'6. Ел.Енергия'!N81</f>
        <v>0</v>
      </c>
      <c r="X15" s="3464"/>
      <c r="Y15" s="3675" t="s">
        <v>124</v>
      </c>
      <c r="Z15" s="3676" t="s">
        <v>761</v>
      </c>
      <c r="AA15" s="3677" t="s">
        <v>170</v>
      </c>
      <c r="AB15" s="3678">
        <f>'3. Показатели за качество'!E20</f>
        <v>0.1128</v>
      </c>
      <c r="AC15" s="3678">
        <f>'3. Показатели за качество'!F20</f>
        <v>0.122</v>
      </c>
      <c r="AD15" s="3678">
        <f>'3. Показатели за качество'!G20</f>
        <v>0.12959999999999999</v>
      </c>
      <c r="AE15" s="3678">
        <f>'3. Показатели за качество'!H20</f>
        <v>0.13719999999999999</v>
      </c>
      <c r="AF15" s="3678">
        <f>'3. Показатели за качество'!I20</f>
        <v>0.14480000000000001</v>
      </c>
      <c r="AG15" s="3678">
        <f>'3. Показатели за качество'!J20</f>
        <v>0.15240000000000001</v>
      </c>
      <c r="AH15" s="3679">
        <f>'3. Показатели за качество'!M20</f>
        <v>0.87280000000000002</v>
      </c>
      <c r="AI15" s="3680">
        <v>0.93</v>
      </c>
      <c r="AJ15" s="3464"/>
    </row>
    <row r="16" spans="1:36" ht="15.95" customHeight="1">
      <c r="A16" s="3700" t="s">
        <v>861</v>
      </c>
      <c r="B16" s="3606" t="s">
        <v>784</v>
      </c>
      <c r="C16" s="3674">
        <f>'2. Променливи'!E22</f>
        <v>5</v>
      </c>
      <c r="D16" s="3674">
        <f>'2. Променливи'!F22</f>
        <v>5</v>
      </c>
      <c r="E16" s="3674">
        <f>'2. Променливи'!G22</f>
        <v>5</v>
      </c>
      <c r="F16" s="3674">
        <f>'2. Променливи'!H22</f>
        <v>5</v>
      </c>
      <c r="G16" s="3674">
        <f>'2. Променливи'!I22</f>
        <v>5</v>
      </c>
      <c r="H16" s="3674">
        <f>'2. Променливи'!J22</f>
        <v>5</v>
      </c>
      <c r="I16" s="3464"/>
      <c r="J16" s="3683" t="s">
        <v>350</v>
      </c>
      <c r="K16" s="3684" t="s">
        <v>1549</v>
      </c>
      <c r="L16" s="3903"/>
      <c r="M16" s="3686">
        <f>'6. Ел.Енергия'!D82/1000</f>
        <v>0</v>
      </c>
      <c r="N16" s="3686">
        <f>'6. Ел.Енергия'!E82/1000</f>
        <v>0</v>
      </c>
      <c r="O16" s="3686">
        <f>'6. Ел.Енергия'!F82/1000</f>
        <v>0</v>
      </c>
      <c r="P16" s="3686">
        <f>'6. Ел.Енергия'!G82/1000</f>
        <v>0</v>
      </c>
      <c r="Q16" s="3686">
        <f>'6. Ел.Енергия'!H82/1000</f>
        <v>0</v>
      </c>
      <c r="R16" s="3903"/>
      <c r="S16" s="3686">
        <f>'6. Ел.Енергия'!J82</f>
        <v>0</v>
      </c>
      <c r="T16" s="3686">
        <f>'6. Ел.Енергия'!K82</f>
        <v>0</v>
      </c>
      <c r="U16" s="3686">
        <f>'6. Ел.Енергия'!L82</f>
        <v>0</v>
      </c>
      <c r="V16" s="3686">
        <f>'6. Ел.Енергия'!M82</f>
        <v>0</v>
      </c>
      <c r="W16" s="3686">
        <f>'6. Ел.Енергия'!N82</f>
        <v>0</v>
      </c>
      <c r="X16" s="3464"/>
      <c r="Y16" s="3675" t="s">
        <v>125</v>
      </c>
      <c r="Z16" s="3676" t="s">
        <v>762</v>
      </c>
      <c r="AA16" s="3677" t="s">
        <v>749</v>
      </c>
      <c r="AB16" s="3696">
        <f>'3. Показатели за качество'!E21</f>
        <v>72.86</v>
      </c>
      <c r="AC16" s="3696">
        <f>'3. Показатели за качество'!F21</f>
        <v>65.53</v>
      </c>
      <c r="AD16" s="3696">
        <f>'3. Показатели за качество'!G21</f>
        <v>59.47</v>
      </c>
      <c r="AE16" s="3696">
        <f>'3. Показатели за качество'!H21</f>
        <v>53.4</v>
      </c>
      <c r="AF16" s="3696">
        <f>'3. Показатели за качество'!I21</f>
        <v>47.33</v>
      </c>
      <c r="AG16" s="3696">
        <f>'3. Показатели за качество'!J21</f>
        <v>41.26</v>
      </c>
      <c r="AH16" s="3697">
        <f>'3. Показатели за качество'!M21</f>
        <v>27.38</v>
      </c>
      <c r="AI16" s="3695">
        <v>120</v>
      </c>
      <c r="AJ16" s="3464"/>
    </row>
    <row r="17" spans="1:36" ht="15.95" customHeight="1">
      <c r="A17" s="3700" t="s">
        <v>862</v>
      </c>
      <c r="B17" s="3607" t="s">
        <v>784</v>
      </c>
      <c r="C17" s="3674">
        <f>'2. Променливи'!E23</f>
        <v>128</v>
      </c>
      <c r="D17" s="3674">
        <f>'2. Променливи'!F23</f>
        <v>128</v>
      </c>
      <c r="E17" s="3674">
        <f>'2. Променливи'!G23</f>
        <v>128</v>
      </c>
      <c r="F17" s="3674">
        <f>'2. Променливи'!H23</f>
        <v>128</v>
      </c>
      <c r="G17" s="3674">
        <f>'2. Променливи'!I23</f>
        <v>128</v>
      </c>
      <c r="H17" s="3674">
        <f>'2. Променливи'!J23</f>
        <v>128</v>
      </c>
      <c r="I17" s="3464"/>
      <c r="J17" s="3702" t="s">
        <v>1727</v>
      </c>
      <c r="K17" s="3684" t="s">
        <v>1549</v>
      </c>
      <c r="L17" s="3684">
        <f>'6. Ел.Енергия'!C94/1000</f>
        <v>594.779</v>
      </c>
      <c r="M17" s="3684">
        <f>'6. Ел.Енергия'!D94/1000</f>
        <v>0</v>
      </c>
      <c r="N17" s="3684">
        <f>'6. Ел.Енергия'!E94/1000</f>
        <v>0</v>
      </c>
      <c r="O17" s="3684">
        <f>'6. Ел.Енергия'!F94/1000</f>
        <v>0</v>
      </c>
      <c r="P17" s="3684">
        <f>'6. Ел.Енергия'!G94/1000</f>
        <v>0</v>
      </c>
      <c r="Q17" s="3684">
        <f>'6. Ел.Енергия'!H94/1000</f>
        <v>0</v>
      </c>
      <c r="R17" s="3684">
        <f>'6. Ел.Енергия'!I94</f>
        <v>146.433400242</v>
      </c>
      <c r="S17" s="3684">
        <f>'6. Ел.Енергия'!J94</f>
        <v>0</v>
      </c>
      <c r="T17" s="3684">
        <f>'6. Ел.Енергия'!K94</f>
        <v>0</v>
      </c>
      <c r="U17" s="3684">
        <f>'6. Ел.Енергия'!L94</f>
        <v>0</v>
      </c>
      <c r="V17" s="3684">
        <f>'6. Ел.Енергия'!M94</f>
        <v>0</v>
      </c>
      <c r="W17" s="3684">
        <f>'6. Ел.Енергия'!N94</f>
        <v>0</v>
      </c>
      <c r="X17" s="3464"/>
      <c r="Y17" s="3675" t="s">
        <v>126</v>
      </c>
      <c r="Z17" s="3676" t="s">
        <v>763</v>
      </c>
      <c r="AA17" s="3677" t="s">
        <v>750</v>
      </c>
      <c r="AB17" s="3693">
        <f>'3. Показатели за качество'!E22</f>
        <v>0.92100000000000004</v>
      </c>
      <c r="AC17" s="3693">
        <f>'3. Показатели за качество'!F22</f>
        <v>0.86299999999999999</v>
      </c>
      <c r="AD17" s="3693">
        <f>'3. Показатели за качество'!G22</f>
        <v>0.79900000000000004</v>
      </c>
      <c r="AE17" s="3693">
        <f>'3. Показатели за качество'!H22</f>
        <v>0.73199999999999998</v>
      </c>
      <c r="AF17" s="3693">
        <f>'3. Показатели за качество'!I22</f>
        <v>0.65900000000000003</v>
      </c>
      <c r="AG17" s="3693">
        <f>'3. Показатели за качество'!J22</f>
        <v>0.57899999999999996</v>
      </c>
      <c r="AH17" s="3694">
        <f>'3. Показатели за качество'!M22</f>
        <v>0.57999999999999996</v>
      </c>
      <c r="AI17" s="3695">
        <v>0.5</v>
      </c>
      <c r="AJ17" s="3464"/>
    </row>
    <row r="18" spans="1:36" ht="15.95" customHeight="1">
      <c r="A18" s="3700" t="s">
        <v>863</v>
      </c>
      <c r="B18" s="3606" t="s">
        <v>784</v>
      </c>
      <c r="C18" s="3674">
        <f>'2. Променливи'!E24</f>
        <v>38</v>
      </c>
      <c r="D18" s="3674">
        <f>'2. Променливи'!F24</f>
        <v>38</v>
      </c>
      <c r="E18" s="3674">
        <f>'2. Променливи'!G24</f>
        <v>38</v>
      </c>
      <c r="F18" s="3674">
        <f>'2. Променливи'!H24</f>
        <v>38</v>
      </c>
      <c r="G18" s="3674">
        <f>'2. Променливи'!I24</f>
        <v>38</v>
      </c>
      <c r="H18" s="3674">
        <f>'2. Променливи'!J24</f>
        <v>38</v>
      </c>
      <c r="I18" s="3464"/>
      <c r="J18" s="3692" t="s">
        <v>1553</v>
      </c>
      <c r="K18" s="3682" t="s">
        <v>1549</v>
      </c>
      <c r="L18" s="3682">
        <f>SUM(L5,L8,L10,L13,L15,L17)</f>
        <v>5013.9699999999993</v>
      </c>
      <c r="M18" s="3682">
        <f t="shared" ref="M18:W18" si="0">SUM(M5,M8,M10,M13,M15,M17)</f>
        <v>4395.5</v>
      </c>
      <c r="N18" s="3682">
        <f t="shared" si="0"/>
        <v>4290.5</v>
      </c>
      <c r="O18" s="3682">
        <f t="shared" si="0"/>
        <v>4185.3999999999996</v>
      </c>
      <c r="P18" s="3682">
        <f t="shared" si="0"/>
        <v>4110.3999999999996</v>
      </c>
      <c r="Q18" s="3682">
        <f t="shared" si="0"/>
        <v>4025.4</v>
      </c>
      <c r="R18" s="3682">
        <f t="shared" si="0"/>
        <v>1124.9485136049998</v>
      </c>
      <c r="S18" s="3682">
        <f t="shared" si="0"/>
        <v>1046.0980380000001</v>
      </c>
      <c r="T18" s="3682">
        <f t="shared" si="0"/>
        <v>1019.541082</v>
      </c>
      <c r="U18" s="3682">
        <f t="shared" si="0"/>
        <v>993.49436560000004</v>
      </c>
      <c r="V18" s="3682">
        <f t="shared" si="0"/>
        <v>974.55601560000002</v>
      </c>
      <c r="W18" s="3682">
        <f t="shared" si="0"/>
        <v>952.95022560000007</v>
      </c>
      <c r="X18" s="3464"/>
      <c r="Y18" s="3675" t="s">
        <v>127</v>
      </c>
      <c r="Z18" s="3676" t="s">
        <v>1589</v>
      </c>
      <c r="AA18" s="3677" t="s">
        <v>1590</v>
      </c>
      <c r="AB18" s="3693">
        <f>'3. Показатели за качество'!E23</f>
        <v>7.5999999999999998E-2</v>
      </c>
      <c r="AC18" s="3693">
        <f>'3. Показатели за качество'!F23</f>
        <v>7.5999999999999998E-2</v>
      </c>
      <c r="AD18" s="3693">
        <f>'3. Показатели за качество'!G23</f>
        <v>7.4999999999999997E-2</v>
      </c>
      <c r="AE18" s="3693">
        <f>'3. Показатели за качество'!H23</f>
        <v>7.3999999999999996E-2</v>
      </c>
      <c r="AF18" s="3693">
        <f>'3. Показатели за качество'!I23</f>
        <v>7.2999999999999995E-2</v>
      </c>
      <c r="AG18" s="3693">
        <f>'3. Показатели за качество'!J23</f>
        <v>7.1999999999999995E-2</v>
      </c>
      <c r="AH18" s="3694">
        <f>'3. Показатели за качество'!M23</f>
        <v>7.1999999999999995E-2</v>
      </c>
      <c r="AI18" s="3695">
        <v>0.45</v>
      </c>
      <c r="AJ18" s="3464"/>
    </row>
    <row r="19" spans="1:36" ht="15.95" customHeight="1">
      <c r="A19" s="3703" t="s">
        <v>1528</v>
      </c>
      <c r="B19" s="3607" t="s">
        <v>812</v>
      </c>
      <c r="C19" s="3674">
        <f>'2. Променливи'!E25</f>
        <v>1770</v>
      </c>
      <c r="D19" s="3674">
        <f>'2. Променливи'!F25</f>
        <v>1773</v>
      </c>
      <c r="E19" s="3674">
        <f>'2. Променливи'!G25</f>
        <v>1773</v>
      </c>
      <c r="F19" s="3674">
        <f>'2. Променливи'!H25</f>
        <v>1773</v>
      </c>
      <c r="G19" s="3674">
        <f>'2. Променливи'!I25</f>
        <v>1773</v>
      </c>
      <c r="H19" s="3674">
        <f>'2. Променливи'!J25</f>
        <v>1773</v>
      </c>
      <c r="I19" s="3464"/>
      <c r="J19" s="3706" t="s">
        <v>1552</v>
      </c>
      <c r="K19" s="3682" t="s">
        <v>170</v>
      </c>
      <c r="L19" s="3685"/>
      <c r="M19" s="3707">
        <f>IFERROR((M18-L18)/L18,0)</f>
        <v>-0.12334936188289906</v>
      </c>
      <c r="N19" s="3707">
        <f t="shared" ref="N19:Q19" si="1">IFERROR((N18-M18)/M18,0)</f>
        <v>-2.3888067341599362E-2</v>
      </c>
      <c r="O19" s="3707">
        <f t="shared" si="1"/>
        <v>-2.4495979489570066E-2</v>
      </c>
      <c r="P19" s="3707">
        <f t="shared" si="1"/>
        <v>-1.7919434223730112E-2</v>
      </c>
      <c r="Q19" s="3707">
        <f t="shared" si="1"/>
        <v>-2.0679252627481402E-2</v>
      </c>
      <c r="R19" s="3708"/>
      <c r="S19" s="3707">
        <f t="shared" ref="S19:W19" si="2">IFERROR((S18-R18)/R18,0)</f>
        <v>-7.0092519481017121E-2</v>
      </c>
      <c r="T19" s="3707">
        <f t="shared" si="2"/>
        <v>-2.5386679866806254E-2</v>
      </c>
      <c r="U19" s="3707">
        <f t="shared" si="2"/>
        <v>-2.5547490787624704E-2</v>
      </c>
      <c r="V19" s="3707">
        <f t="shared" si="2"/>
        <v>-1.9062362762935849E-2</v>
      </c>
      <c r="W19" s="3707">
        <f t="shared" si="2"/>
        <v>-2.2169880082981201E-2</v>
      </c>
      <c r="X19" s="3464"/>
      <c r="Y19" s="3675" t="s">
        <v>128</v>
      </c>
      <c r="Z19" s="3676" t="s">
        <v>764</v>
      </c>
      <c r="AA19" s="3677" t="s">
        <v>1590</v>
      </c>
      <c r="AB19" s="3693">
        <f>'3. Показатели за качество'!E24</f>
        <v>0.25800000000000001</v>
      </c>
      <c r="AC19" s="3693">
        <f>'3. Показатели за качество'!F24</f>
        <v>0.25700000000000001</v>
      </c>
      <c r="AD19" s="3693">
        <f>'3. Показатели за качество'!G24</f>
        <v>0.253</v>
      </c>
      <c r="AE19" s="3693">
        <f>'3. Показатели за качество'!H24</f>
        <v>0.249</v>
      </c>
      <c r="AF19" s="3693">
        <f>'3. Показатели за качество'!I24</f>
        <v>0.247</v>
      </c>
      <c r="AG19" s="3693">
        <f>'3. Показатели за качество'!J24</f>
        <v>0.246</v>
      </c>
      <c r="AH19" s="3694">
        <f>'3. Показатели за качество'!M24</f>
        <v>0.246</v>
      </c>
      <c r="AI19" s="3695">
        <v>0.25</v>
      </c>
      <c r="AJ19" s="3464"/>
    </row>
    <row r="20" spans="1:36" ht="15.95" customHeight="1">
      <c r="A20" s="3704" t="s">
        <v>1527</v>
      </c>
      <c r="B20" s="3607" t="s">
        <v>784</v>
      </c>
      <c r="C20" s="3705">
        <f>'2. Променливи'!E27</f>
        <v>158</v>
      </c>
      <c r="D20" s="3705">
        <f>'2. Променливи'!F27</f>
        <v>158</v>
      </c>
      <c r="E20" s="3705">
        <f>'2. Променливи'!G27</f>
        <v>158</v>
      </c>
      <c r="F20" s="3705">
        <f>'2. Променливи'!H27</f>
        <v>158</v>
      </c>
      <c r="G20" s="3705">
        <f>'2. Променливи'!I27</f>
        <v>158</v>
      </c>
      <c r="H20" s="3705">
        <f>'2. Променливи'!J27</f>
        <v>158</v>
      </c>
      <c r="I20" s="3464"/>
      <c r="J20" s="4330" t="str">
        <f>CONCATENATE("Темп на изменение спрямо ",L4)</f>
        <v>Темп на изменение спрямо 2024 г.</v>
      </c>
      <c r="K20" s="3682" t="s">
        <v>170</v>
      </c>
      <c r="L20" s="3685"/>
      <c r="M20" s="3709">
        <f>IFERROR((M18-$L$18)/$L$18,0)</f>
        <v>-0.12334936188289906</v>
      </c>
      <c r="N20" s="3709">
        <f t="shared" ref="N20:Q20" si="3">IFERROR((N18-$L$18)/$L$18,0)</f>
        <v>-0.14429085136129643</v>
      </c>
      <c r="O20" s="3709">
        <f t="shared" si="3"/>
        <v>-0.16525228511538756</v>
      </c>
      <c r="P20" s="3709">
        <f t="shared" si="3"/>
        <v>-0.1802104918856714</v>
      </c>
      <c r="Q20" s="3709">
        <f t="shared" si="3"/>
        <v>-0.19716312622532631</v>
      </c>
      <c r="R20" s="3710"/>
      <c r="S20" s="3709">
        <f>IFERROR((S18-$R$18)/$R$18,0)</f>
        <v>-7.0092519481017121E-2</v>
      </c>
      <c r="T20" s="3709">
        <f t="shared" ref="T20:W20" si="4">IFERROR((T18-$R$18)/$R$18,0)</f>
        <v>-9.3699782994700914E-2</v>
      </c>
      <c r="U20" s="3709">
        <f t="shared" si="4"/>
        <v>-0.11685347943946606</v>
      </c>
      <c r="V20" s="3709">
        <f t="shared" si="4"/>
        <v>-0.13368833878721553</v>
      </c>
      <c r="W20" s="3709">
        <f t="shared" si="4"/>
        <v>-0.15289436443079121</v>
      </c>
      <c r="X20" s="3464"/>
      <c r="Y20" s="3675" t="s">
        <v>129</v>
      </c>
      <c r="Z20" s="3676" t="s">
        <v>765</v>
      </c>
      <c r="AA20" s="3677" t="s">
        <v>170</v>
      </c>
      <c r="AB20" s="3678">
        <f>'3. Показатели за качество'!E25</f>
        <v>0</v>
      </c>
      <c r="AC20" s="3678">
        <f>'3. Показатели за качество'!F25</f>
        <v>0.29409999999999997</v>
      </c>
      <c r="AD20" s="3678">
        <f>'3. Показатели за качество'!G25</f>
        <v>0.58819999999999995</v>
      </c>
      <c r="AE20" s="3678">
        <f>'3. Показатели за качество'!H25</f>
        <v>0.58819999999999995</v>
      </c>
      <c r="AF20" s="3678">
        <f>'3. Показатели за качество'!I25</f>
        <v>0.88239999999999996</v>
      </c>
      <c r="AG20" s="3678">
        <f>'3. Показатели за качество'!J25</f>
        <v>0.97060000000000002</v>
      </c>
      <c r="AH20" s="3679">
        <f>'3. Показатели за качество'!M25</f>
        <v>0.96150000000000002</v>
      </c>
      <c r="AI20" s="3680">
        <v>1</v>
      </c>
      <c r="AJ20" s="3464"/>
    </row>
    <row r="21" spans="1:36" ht="18.75" customHeight="1">
      <c r="A21" s="3703" t="s">
        <v>1529</v>
      </c>
      <c r="B21" s="3607" t="s">
        <v>784</v>
      </c>
      <c r="C21" s="3705">
        <f>'2. Променливи'!E28</f>
        <v>58180</v>
      </c>
      <c r="D21" s="3705">
        <f>'2. Променливи'!F28</f>
        <v>58913</v>
      </c>
      <c r="E21" s="3705">
        <f>'2. Променливи'!G28</f>
        <v>59113</v>
      </c>
      <c r="F21" s="3705">
        <f>'2. Променливи'!H28</f>
        <v>59313</v>
      </c>
      <c r="G21" s="3705">
        <f>'2. Променливи'!I28</f>
        <v>59513</v>
      </c>
      <c r="H21" s="3705">
        <f>'2. Променливи'!J28</f>
        <v>59713</v>
      </c>
      <c r="I21" s="3464"/>
      <c r="J21" s="3712" t="s">
        <v>606</v>
      </c>
      <c r="K21" s="3684" t="s">
        <v>1549</v>
      </c>
      <c r="L21" s="3684">
        <f>'6. Ел.Енергия'!C95/1000</f>
        <v>32.593000000000004</v>
      </c>
      <c r="M21" s="3684">
        <f>'6. Ел.Енергия'!D95/1000</f>
        <v>0</v>
      </c>
      <c r="N21" s="3684">
        <f>'6. Ел.Енергия'!E95/1000</f>
        <v>0</v>
      </c>
      <c r="O21" s="3684">
        <f>'6. Ел.Енергия'!F95/1000</f>
        <v>0</v>
      </c>
      <c r="P21" s="3684">
        <f>'6. Ел.Енергия'!G95/1000</f>
        <v>0</v>
      </c>
      <c r="Q21" s="3684">
        <f>'6. Ел.Енергия'!H95/1000</f>
        <v>0</v>
      </c>
      <c r="R21" s="3684">
        <f>'6. Ел.Енергия'!I95</f>
        <v>7.464807383000001</v>
      </c>
      <c r="S21" s="3684">
        <f>'6. Ел.Енергия'!J95</f>
        <v>0</v>
      </c>
      <c r="T21" s="3684">
        <f>'6. Ел.Енергия'!K95</f>
        <v>0</v>
      </c>
      <c r="U21" s="3684">
        <f>'6. Ел.Енергия'!L95</f>
        <v>0</v>
      </c>
      <c r="V21" s="3684">
        <f>'6. Ел.Енергия'!M95</f>
        <v>0</v>
      </c>
      <c r="W21" s="3684">
        <f>'6. Ел.Енергия'!N95</f>
        <v>0</v>
      </c>
      <c r="X21" s="3464"/>
      <c r="Y21" s="3675" t="s">
        <v>130</v>
      </c>
      <c r="Z21" s="3676" t="s">
        <v>766</v>
      </c>
      <c r="AA21" s="3677" t="s">
        <v>170</v>
      </c>
      <c r="AB21" s="3678">
        <f>'3. Показатели за качество'!E26</f>
        <v>2.2599999999999999E-2</v>
      </c>
      <c r="AC21" s="3678">
        <f>'3. Показатели за качество'!F26</f>
        <v>2.2599999999999999E-2</v>
      </c>
      <c r="AD21" s="3678">
        <f>'3. Показатели за качество'!G26</f>
        <v>2.3099999999999999E-2</v>
      </c>
      <c r="AE21" s="3678">
        <f>'3. Показатели за качество'!H26</f>
        <v>2.3699999999999999E-2</v>
      </c>
      <c r="AF21" s="3678">
        <f>'3. Показатели за качество'!I26</f>
        <v>2.3699999999999999E-2</v>
      </c>
      <c r="AG21" s="3678">
        <f>'3. Показатели за качество'!J26</f>
        <v>2.4299999999999999E-2</v>
      </c>
      <c r="AH21" s="3679">
        <f>'3. Показатели за качество'!M26</f>
        <v>2.4299999999999999E-2</v>
      </c>
      <c r="AI21" s="3711">
        <v>1.2500000000000001E-2</v>
      </c>
      <c r="AJ21" s="3464"/>
    </row>
    <row r="22" spans="1:36" ht="15.75" customHeight="1">
      <c r="A22" s="3703" t="s">
        <v>1531</v>
      </c>
      <c r="B22" s="3607" t="s">
        <v>784</v>
      </c>
      <c r="C22" s="3705">
        <f>'2. Променливи'!E29</f>
        <v>56877</v>
      </c>
      <c r="D22" s="3705">
        <f>'2. Променливи'!F29</f>
        <v>57477</v>
      </c>
      <c r="E22" s="3705">
        <f>'2. Променливи'!G29</f>
        <v>57677</v>
      </c>
      <c r="F22" s="3705">
        <f>'2. Променливи'!H29</f>
        <v>57877</v>
      </c>
      <c r="G22" s="3705">
        <f>'2. Променливи'!I29</f>
        <v>58077</v>
      </c>
      <c r="H22" s="3705">
        <f>'2. Променливи'!J29</f>
        <v>58277</v>
      </c>
      <c r="I22" s="3464"/>
      <c r="J22" s="3464"/>
      <c r="K22" s="3464"/>
      <c r="L22" s="3464"/>
      <c r="M22" s="3464"/>
      <c r="N22" s="3464"/>
      <c r="O22" s="3464"/>
      <c r="P22" s="3464"/>
      <c r="Q22" s="3464"/>
      <c r="R22" s="3464"/>
      <c r="S22" s="3464"/>
      <c r="T22" s="3464"/>
      <c r="U22" s="3464"/>
      <c r="V22" s="3464"/>
      <c r="W22" s="3464"/>
      <c r="X22" s="3464"/>
      <c r="Y22" s="3675" t="s">
        <v>774</v>
      </c>
      <c r="Z22" s="3676" t="s">
        <v>775</v>
      </c>
      <c r="AA22" s="3677" t="s">
        <v>170</v>
      </c>
      <c r="AB22" s="3678">
        <f>'3. Показатели за качество'!E27</f>
        <v>1.24E-2</v>
      </c>
      <c r="AC22" s="3678">
        <f>'3. Показатели за качество'!F27</f>
        <v>1.24E-2</v>
      </c>
      <c r="AD22" s="3678">
        <f>'3. Показатели за качество'!G27</f>
        <v>1.24E-2</v>
      </c>
      <c r="AE22" s="3678">
        <f>'3. Показатели за качество'!H27</f>
        <v>1.24E-2</v>
      </c>
      <c r="AF22" s="3678">
        <f>'3. Показатели за качество'!I27</f>
        <v>1.24E-2</v>
      </c>
      <c r="AG22" s="3678">
        <f>'3. Показатели за качество'!J27</f>
        <v>1.24E-2</v>
      </c>
      <c r="AH22" s="3679">
        <f>'3. Показатели за качество'!M27</f>
        <v>1.41E-2</v>
      </c>
      <c r="AI22" s="3711">
        <v>1.2500000000000001E-2</v>
      </c>
      <c r="AJ22" s="3464"/>
    </row>
    <row r="23" spans="1:36" ht="15.95" customHeight="1">
      <c r="A23" s="3703" t="s">
        <v>1530</v>
      </c>
      <c r="B23" s="3607" t="s">
        <v>784</v>
      </c>
      <c r="C23" s="3705">
        <f>'2. Променливи'!E30</f>
        <v>34406</v>
      </c>
      <c r="D23" s="3705">
        <f>'2. Променливи'!F30</f>
        <v>34796</v>
      </c>
      <c r="E23" s="3705">
        <f>'2. Променливи'!G30</f>
        <v>34926</v>
      </c>
      <c r="F23" s="3705">
        <f>'2. Променливи'!H30</f>
        <v>35056</v>
      </c>
      <c r="G23" s="3705">
        <f>'2. Променливи'!I30</f>
        <v>35186</v>
      </c>
      <c r="H23" s="3705">
        <f>'2. Променливи'!J30</f>
        <v>35316</v>
      </c>
      <c r="I23" s="3464"/>
      <c r="J23" s="3464"/>
      <c r="K23" s="3464"/>
      <c r="L23" s="3464"/>
      <c r="M23" s="3464"/>
      <c r="N23" s="3464"/>
      <c r="O23" s="3464"/>
      <c r="P23" s="3464"/>
      <c r="Q23" s="3464"/>
      <c r="R23" s="3464"/>
      <c r="S23" s="3464"/>
      <c r="T23" s="3464"/>
      <c r="U23" s="3464"/>
      <c r="V23" s="3464"/>
      <c r="W23" s="3464"/>
      <c r="X23" s="3464"/>
      <c r="Y23" s="3675" t="s">
        <v>131</v>
      </c>
      <c r="Z23" s="3676" t="s">
        <v>47</v>
      </c>
      <c r="AA23" s="3677" t="s">
        <v>1033</v>
      </c>
      <c r="AB23" s="3696">
        <f>'3. Показатели за качество'!E28</f>
        <v>1</v>
      </c>
      <c r="AC23" s="3696">
        <f>'3. Показатели за качество'!F28</f>
        <v>1</v>
      </c>
      <c r="AD23" s="3696">
        <f>'3. Показатели за качество'!G28</f>
        <v>1</v>
      </c>
      <c r="AE23" s="3696">
        <f>'3. Показатели за качество'!H28</f>
        <v>1</v>
      </c>
      <c r="AF23" s="3696">
        <f>'3. Показатели за качество'!I28</f>
        <v>1</v>
      </c>
      <c r="AG23" s="3696">
        <f>'3. Показатели за качество'!J28</f>
        <v>1</v>
      </c>
      <c r="AH23" s="3697">
        <f>'3. Показатели за качество'!M28</f>
        <v>1.1000000000000001</v>
      </c>
      <c r="AI23" s="3695">
        <v>1.1000000000000001</v>
      </c>
      <c r="AJ23" s="3464"/>
    </row>
    <row r="24" spans="1:36" ht="15.95" customHeight="1">
      <c r="A24" s="3703" t="s">
        <v>823</v>
      </c>
      <c r="B24" s="3607" t="s">
        <v>822</v>
      </c>
      <c r="C24" s="3705">
        <f>'2. Променливи'!E31</f>
        <v>409</v>
      </c>
      <c r="D24" s="3705">
        <f>'2. Променливи'!F31</f>
        <v>412</v>
      </c>
      <c r="E24" s="3705">
        <f>'2. Променливи'!G31</f>
        <v>412</v>
      </c>
      <c r="F24" s="3705">
        <f>'2. Променливи'!H31</f>
        <v>412</v>
      </c>
      <c r="G24" s="3705">
        <f>'2. Променливи'!I31</f>
        <v>412</v>
      </c>
      <c r="H24" s="3705">
        <f>'2. Променливи'!J31</f>
        <v>412</v>
      </c>
      <c r="I24" s="3464"/>
      <c r="J24" s="3464"/>
      <c r="K24" s="3464"/>
      <c r="L24" s="3464"/>
      <c r="M24" s="3464"/>
      <c r="N24" s="3464"/>
      <c r="O24" s="3464"/>
      <c r="P24" s="3464"/>
      <c r="Q24" s="3464"/>
      <c r="R24" s="3464"/>
      <c r="S24" s="3464"/>
      <c r="T24" s="3464"/>
      <c r="U24" s="3464"/>
      <c r="V24" s="3464"/>
      <c r="W24" s="3464"/>
      <c r="X24" s="3464"/>
      <c r="Y24" s="3675" t="s">
        <v>132</v>
      </c>
      <c r="Z24" s="3676" t="s">
        <v>50</v>
      </c>
      <c r="AA24" s="3677" t="s">
        <v>1033</v>
      </c>
      <c r="AB24" s="3696">
        <f>'3. Показатели за качество'!E29</f>
        <v>0.65</v>
      </c>
      <c r="AC24" s="3696">
        <f>'3. Показатели за качество'!F29</f>
        <v>1</v>
      </c>
      <c r="AD24" s="3696">
        <f>'3. Показатели за качество'!G29</f>
        <v>1</v>
      </c>
      <c r="AE24" s="3696">
        <f>'3. Показатели за качество'!H29</f>
        <v>1</v>
      </c>
      <c r="AF24" s="3696">
        <f>'3. Показатели за качество'!I29</f>
        <v>1</v>
      </c>
      <c r="AG24" s="3696">
        <f>'3. Показатели за качество'!J29</f>
        <v>1</v>
      </c>
      <c r="AH24" s="3697">
        <f>'3. Показатели за качество'!M29</f>
        <v>1.1000000000000001</v>
      </c>
      <c r="AI24" s="3695">
        <v>1.1000000000000001</v>
      </c>
      <c r="AJ24" s="3464"/>
    </row>
    <row r="25" spans="1:36" ht="15.95" customHeight="1">
      <c r="A25" s="3700" t="s">
        <v>864</v>
      </c>
      <c r="B25" s="3606" t="s">
        <v>784</v>
      </c>
      <c r="C25" s="3705">
        <f>'2. Променливи'!E32</f>
        <v>1</v>
      </c>
      <c r="D25" s="3705">
        <f>'2. Променливи'!F32</f>
        <v>1</v>
      </c>
      <c r="E25" s="3705">
        <f>'2. Променливи'!G32</f>
        <v>1</v>
      </c>
      <c r="F25" s="3705">
        <f>'2. Променливи'!H32</f>
        <v>1</v>
      </c>
      <c r="G25" s="3705">
        <f>'2. Променливи'!I32</f>
        <v>1</v>
      </c>
      <c r="H25" s="3705">
        <f>'2. Променливи'!J32</f>
        <v>1</v>
      </c>
      <c r="I25" s="3464"/>
      <c r="J25" s="3464"/>
      <c r="K25" s="3464"/>
      <c r="L25" s="3464"/>
      <c r="M25" s="3464"/>
      <c r="N25" s="3464"/>
      <c r="O25" s="3464"/>
      <c r="P25" s="3464"/>
      <c r="Q25" s="3464"/>
      <c r="R25" s="3464"/>
      <c r="S25" s="3464"/>
      <c r="T25" s="3464"/>
      <c r="U25" s="3464"/>
      <c r="V25" s="3464"/>
      <c r="W25" s="3464"/>
      <c r="X25" s="3464"/>
      <c r="Y25" s="3675" t="s">
        <v>133</v>
      </c>
      <c r="Z25" s="3676" t="s">
        <v>53</v>
      </c>
      <c r="AA25" s="3677" t="s">
        <v>1033</v>
      </c>
      <c r="AB25" s="3696">
        <f>'3. Показатели за качество'!E30</f>
        <v>1</v>
      </c>
      <c r="AC25" s="3696">
        <f>'3. Показатели за качество'!F30</f>
        <v>1</v>
      </c>
      <c r="AD25" s="3696">
        <f>'3. Показатели за качество'!G30</f>
        <v>1</v>
      </c>
      <c r="AE25" s="3696">
        <f>'3. Показатели за качество'!H30</f>
        <v>1</v>
      </c>
      <c r="AF25" s="3696">
        <f>'3. Показатели за качество'!I30</f>
        <v>1</v>
      </c>
      <c r="AG25" s="3696">
        <f>'3. Показатели за качество'!J30</f>
        <v>1</v>
      </c>
      <c r="AH25" s="3697">
        <f>'3. Показатели за качество'!M30</f>
        <v>1.06</v>
      </c>
      <c r="AI25" s="3695">
        <v>1.1000000000000001</v>
      </c>
      <c r="AJ25" s="3464"/>
    </row>
    <row r="26" spans="1:36" ht="15.95" customHeight="1">
      <c r="A26" s="3700" t="s">
        <v>865</v>
      </c>
      <c r="B26" s="3606" t="s">
        <v>784</v>
      </c>
      <c r="C26" s="3705">
        <f>'2. Променливи'!E33</f>
        <v>5</v>
      </c>
      <c r="D26" s="3705">
        <f>'2. Променливи'!F33</f>
        <v>5</v>
      </c>
      <c r="E26" s="3705">
        <f>'2. Променливи'!G33</f>
        <v>5</v>
      </c>
      <c r="F26" s="3705">
        <f>'2. Променливи'!H33</f>
        <v>5</v>
      </c>
      <c r="G26" s="3705">
        <f>'2. Променливи'!I33</f>
        <v>5</v>
      </c>
      <c r="H26" s="3705">
        <f>'2. Променливи'!J33</f>
        <v>5</v>
      </c>
      <c r="I26" s="3464"/>
      <c r="J26" s="3464"/>
      <c r="K26" s="3464"/>
      <c r="L26" s="3464"/>
      <c r="M26" s="3464"/>
      <c r="N26" s="3464"/>
      <c r="O26" s="3464"/>
      <c r="P26" s="3464"/>
      <c r="Q26" s="3464"/>
      <c r="R26" s="3464"/>
      <c r="S26" s="3464"/>
      <c r="T26" s="3464"/>
      <c r="U26" s="3464"/>
      <c r="V26" s="3464"/>
      <c r="W26" s="3464"/>
      <c r="X26" s="3464"/>
      <c r="Y26" s="3675" t="s">
        <v>134</v>
      </c>
      <c r="Z26" s="3676" t="s">
        <v>767</v>
      </c>
      <c r="AA26" s="3677" t="s">
        <v>170</v>
      </c>
      <c r="AB26" s="3678">
        <f>'3. Показатели за качество'!E31</f>
        <v>0.9446</v>
      </c>
      <c r="AC26" s="3678">
        <f>'3. Показатели за качество'!F31</f>
        <v>1</v>
      </c>
      <c r="AD26" s="3678">
        <f>'3. Показатели за качество'!G31</f>
        <v>1</v>
      </c>
      <c r="AE26" s="3678">
        <f>'3. Показатели за качество'!H31</f>
        <v>1</v>
      </c>
      <c r="AF26" s="3678">
        <f>'3. Показатели за качество'!I31</f>
        <v>1</v>
      </c>
      <c r="AG26" s="3678">
        <f>'3. Показатели за качество'!J31</f>
        <v>1</v>
      </c>
      <c r="AH26" s="3679">
        <f>'3. Показатели за качество'!M31</f>
        <v>0.95140000000000002</v>
      </c>
      <c r="AI26" s="3680">
        <v>0.95</v>
      </c>
      <c r="AJ26" s="3464"/>
    </row>
    <row r="27" spans="1:36" ht="15.95" customHeight="1">
      <c r="A27" s="3464"/>
      <c r="B27" s="3464"/>
      <c r="C27" s="3464"/>
      <c r="D27" s="3464"/>
      <c r="E27" s="3464"/>
      <c r="F27" s="3464"/>
      <c r="G27" s="3464"/>
      <c r="H27" s="3464"/>
      <c r="I27" s="3464"/>
      <c r="J27" s="3669"/>
      <c r="K27" s="3464"/>
      <c r="L27" s="3464"/>
      <c r="M27" s="3464"/>
      <c r="N27" s="3464"/>
      <c r="O27" s="3464"/>
      <c r="P27" s="3464"/>
      <c r="Q27" s="3464"/>
      <c r="R27" s="3464"/>
      <c r="S27" s="3464"/>
      <c r="T27" s="3464"/>
      <c r="U27" s="3464"/>
      <c r="V27" s="3464"/>
      <c r="W27" s="3464"/>
      <c r="X27" s="3464"/>
      <c r="Y27" s="3675" t="s">
        <v>776</v>
      </c>
      <c r="Z27" s="3676" t="s">
        <v>778</v>
      </c>
      <c r="AA27" s="3677" t="s">
        <v>170</v>
      </c>
      <c r="AB27" s="3678">
        <f>'3. Показатели за качество'!E32</f>
        <v>0.16259999999999999</v>
      </c>
      <c r="AC27" s="3678">
        <f>'3. Показатели за качество'!F32</f>
        <v>0.17399999999999999</v>
      </c>
      <c r="AD27" s="3678">
        <f>'3. Показатели за качество'!G32</f>
        <v>0.182</v>
      </c>
      <c r="AE27" s="3678">
        <f>'3. Показатели за качество'!H32</f>
        <v>0.19009999999999999</v>
      </c>
      <c r="AF27" s="3678">
        <f>'3. Показатели за качество'!I32</f>
        <v>0.19800000000000001</v>
      </c>
      <c r="AG27" s="3678">
        <f>'3. Показатели за качество'!J32</f>
        <v>0.20030000000000001</v>
      </c>
      <c r="AH27" s="3679">
        <f>'3. Показатели за качество'!M32</f>
        <v>0.20030000000000001</v>
      </c>
      <c r="AI27" s="3680">
        <v>0.2</v>
      </c>
      <c r="AJ27" s="3464"/>
    </row>
    <row r="28" spans="1:36" ht="15.95" customHeight="1">
      <c r="A28" s="3669" t="s">
        <v>871</v>
      </c>
      <c r="B28" s="3464"/>
      <c r="C28" s="3464"/>
      <c r="D28" s="3464"/>
      <c r="E28" s="3464"/>
      <c r="F28" s="3464"/>
      <c r="G28" s="3464"/>
      <c r="H28" s="3464"/>
      <c r="I28" s="3464"/>
      <c r="J28" s="3464"/>
      <c r="K28" s="3464"/>
      <c r="L28" s="3464"/>
      <c r="M28" s="3464"/>
      <c r="N28" s="3464"/>
      <c r="O28" s="3464"/>
      <c r="P28" s="3464"/>
      <c r="Q28" s="3464"/>
      <c r="R28" s="3464"/>
      <c r="S28" s="3464"/>
      <c r="T28" s="3464"/>
      <c r="U28" s="3464"/>
      <c r="V28" s="3464"/>
      <c r="W28" s="3464"/>
      <c r="X28" s="3464"/>
      <c r="Y28" s="3675" t="s">
        <v>777</v>
      </c>
      <c r="Z28" s="3676" t="s">
        <v>779</v>
      </c>
      <c r="AA28" s="3677" t="s">
        <v>170</v>
      </c>
      <c r="AB28" s="3678">
        <f>'3. Показатели за качество'!E33</f>
        <v>0.85960000000000003</v>
      </c>
      <c r="AC28" s="3678">
        <f>'3. Показатели за качество'!F33</f>
        <v>0.86119999999999997</v>
      </c>
      <c r="AD28" s="3678">
        <f>'3. Показатели за качество'!G33</f>
        <v>0.8669</v>
      </c>
      <c r="AE28" s="3678">
        <f>'3. Показатели за качество'!H33</f>
        <v>0.88119999999999998</v>
      </c>
      <c r="AF28" s="3678">
        <f>'3. Показатели за качество'!I33</f>
        <v>0.89539999999999997</v>
      </c>
      <c r="AG28" s="3678">
        <f>'3. Показатели за качество'!J33</f>
        <v>0.9</v>
      </c>
      <c r="AH28" s="3679">
        <f>'3. Показатели за качество'!M33</f>
        <v>0.9</v>
      </c>
      <c r="AI28" s="3680">
        <v>0.9</v>
      </c>
      <c r="AJ28" s="3464"/>
    </row>
    <row r="29" spans="1:36" ht="15.95" customHeight="1">
      <c r="A29" s="5625" t="s">
        <v>2</v>
      </c>
      <c r="B29" s="5627" t="s">
        <v>1534</v>
      </c>
      <c r="C29" s="5628" t="s">
        <v>922</v>
      </c>
      <c r="D29" s="5628"/>
      <c r="E29" s="5628"/>
      <c r="F29" s="5628"/>
      <c r="G29" s="5628"/>
      <c r="H29" s="5628"/>
      <c r="I29" s="3464"/>
      <c r="J29" s="3464"/>
      <c r="K29" s="3464"/>
      <c r="L29" s="3464"/>
      <c r="M29" s="3464"/>
      <c r="N29" s="3464"/>
      <c r="O29" s="3464"/>
      <c r="P29" s="3464"/>
      <c r="Q29" s="3464"/>
      <c r="R29" s="3464"/>
      <c r="S29" s="3464"/>
      <c r="T29" s="3464"/>
      <c r="U29" s="3464"/>
      <c r="V29" s="3464"/>
      <c r="W29" s="3464"/>
      <c r="X29" s="3464"/>
      <c r="Y29" s="3675" t="s">
        <v>135</v>
      </c>
      <c r="Z29" s="3676" t="s">
        <v>768</v>
      </c>
      <c r="AA29" s="3677" t="s">
        <v>170</v>
      </c>
      <c r="AB29" s="3678">
        <f>'3. Показатели за качество'!E34</f>
        <v>0.97829999999999995</v>
      </c>
      <c r="AC29" s="3678">
        <f>'3. Показатели за качество'!F34</f>
        <v>0.98540000000000005</v>
      </c>
      <c r="AD29" s="3678">
        <f>'3. Показатели за качество'!G34</f>
        <v>0.99260000000000004</v>
      </c>
      <c r="AE29" s="3678">
        <f>'3. Показатели за качество'!H34</f>
        <v>1</v>
      </c>
      <c r="AF29" s="3678">
        <f>'3. Показатели за качество'!I34</f>
        <v>1</v>
      </c>
      <c r="AG29" s="3678">
        <f>'3. Показатели за качество'!J34</f>
        <v>1</v>
      </c>
      <c r="AH29" s="3679">
        <f>'3. Показатели за качество'!M34</f>
        <v>1</v>
      </c>
      <c r="AI29" s="3680">
        <v>1</v>
      </c>
      <c r="AJ29" s="3464"/>
    </row>
    <row r="30" spans="1:36" ht="15.95" customHeight="1">
      <c r="A30" s="5626"/>
      <c r="B30" s="5626"/>
      <c r="C30" s="4649" t="str">
        <f>+'15. ОПП'!$B$7</f>
        <v>2024 г.</v>
      </c>
      <c r="D30" s="4649" t="str">
        <f>+'15. ОПП'!$C$7</f>
        <v>2027 г.</v>
      </c>
      <c r="E30" s="4649" t="str">
        <f>+'15. ОПП'!$D$7</f>
        <v>2028 г.</v>
      </c>
      <c r="F30" s="4649" t="str">
        <f>+'15. ОПП'!$E$7</f>
        <v>2029 г.</v>
      </c>
      <c r="G30" s="4649" t="str">
        <f>+'15. ОПП'!$F$7</f>
        <v>2030 г.</v>
      </c>
      <c r="H30" s="4649" t="str">
        <f>+'15. ОПП'!$G$7</f>
        <v>2031 г.</v>
      </c>
      <c r="I30" s="3464"/>
      <c r="J30" s="3464"/>
      <c r="K30" s="3464"/>
      <c r="L30" s="3464"/>
      <c r="M30" s="3464"/>
      <c r="N30" s="3464"/>
      <c r="O30" s="3464"/>
      <c r="P30" s="3464"/>
      <c r="Q30" s="3464"/>
      <c r="R30" s="3464"/>
      <c r="S30" s="3464"/>
      <c r="T30" s="3464"/>
      <c r="U30" s="3464"/>
      <c r="V30" s="3464"/>
      <c r="W30" s="3464"/>
      <c r="X30" s="3464"/>
      <c r="Y30" s="3675" t="s">
        <v>136</v>
      </c>
      <c r="Z30" s="3676" t="s">
        <v>769</v>
      </c>
      <c r="AA30" s="3677" t="s">
        <v>170</v>
      </c>
      <c r="AB30" s="3678">
        <f>'3. Показатели за качество'!E35</f>
        <v>1</v>
      </c>
      <c r="AC30" s="3678">
        <f>'3. Показатели за качество'!F35</f>
        <v>1</v>
      </c>
      <c r="AD30" s="3678">
        <f>'3. Показатели за качество'!G35</f>
        <v>1</v>
      </c>
      <c r="AE30" s="3678">
        <f>'3. Показатели за качество'!H35</f>
        <v>1</v>
      </c>
      <c r="AF30" s="3678">
        <f>'3. Показатели за качество'!I35</f>
        <v>1</v>
      </c>
      <c r="AG30" s="3678">
        <f>'3. Показатели за качество'!J35</f>
        <v>1</v>
      </c>
      <c r="AH30" s="3679">
        <f>'3. Показатели за качество'!M35</f>
        <v>1</v>
      </c>
      <c r="AI30" s="3680">
        <v>1</v>
      </c>
      <c r="AJ30" s="3464"/>
    </row>
    <row r="31" spans="1:36" ht="15.95" customHeight="1">
      <c r="A31" s="5629" t="s">
        <v>168</v>
      </c>
      <c r="B31" s="5630"/>
      <c r="C31" s="5630"/>
      <c r="D31" s="5630"/>
      <c r="E31" s="5630"/>
      <c r="F31" s="5630"/>
      <c r="G31" s="5630"/>
      <c r="H31" s="5631"/>
      <c r="I31" s="3464"/>
      <c r="J31" s="3464"/>
      <c r="K31" s="3464"/>
      <c r="L31" s="3464"/>
      <c r="M31" s="3464"/>
      <c r="N31" s="3464"/>
      <c r="O31" s="3464"/>
      <c r="P31" s="3464"/>
      <c r="Q31" s="3464"/>
      <c r="R31" s="3464"/>
      <c r="S31" s="3464"/>
      <c r="T31" s="3464"/>
      <c r="U31" s="3464"/>
      <c r="V31" s="3464"/>
      <c r="W31" s="3464"/>
      <c r="X31" s="3464"/>
      <c r="Y31" s="3675" t="s">
        <v>137</v>
      </c>
      <c r="Z31" s="3676" t="s">
        <v>770</v>
      </c>
      <c r="AA31" s="3677" t="s">
        <v>170</v>
      </c>
      <c r="AB31" s="3678">
        <f>'3. Показатели за качество'!E36</f>
        <v>1</v>
      </c>
      <c r="AC31" s="3678">
        <f>'3. Показатели за качество'!F36</f>
        <v>1</v>
      </c>
      <c r="AD31" s="3678">
        <f>'3. Показатели за качество'!G36</f>
        <v>1</v>
      </c>
      <c r="AE31" s="3678">
        <f>'3. Показатели за качество'!H36</f>
        <v>1</v>
      </c>
      <c r="AF31" s="3678">
        <f>'3. Показатели за качество'!I36</f>
        <v>1</v>
      </c>
      <c r="AG31" s="3678">
        <f>'3. Показатели за качество'!J36</f>
        <v>1</v>
      </c>
      <c r="AH31" s="3679">
        <f>'3. Показатели за качество'!M36</f>
        <v>1</v>
      </c>
      <c r="AI31" s="3680">
        <v>1</v>
      </c>
      <c r="AJ31" s="3464"/>
    </row>
    <row r="32" spans="1:36" ht="15.95" customHeight="1">
      <c r="A32" s="3654" t="s">
        <v>570</v>
      </c>
      <c r="B32" s="3655" t="s">
        <v>1532</v>
      </c>
      <c r="C32" s="3656">
        <f>'4. Отчет и прогн. потребление'!D9</f>
        <v>18733752</v>
      </c>
      <c r="D32" s="3656">
        <f>'4. Отчет и прогн. потребление'!E9</f>
        <v>18545315</v>
      </c>
      <c r="E32" s="3656">
        <f>'4. Отчет и прогн. потребление'!F9</f>
        <v>18039784</v>
      </c>
      <c r="F32" s="3656">
        <f>'4. Отчет и прогн. потребление'!G9</f>
        <v>17431253</v>
      </c>
      <c r="G32" s="3656">
        <f>'4. Отчет и прогн. потребление'!H9</f>
        <v>16872722</v>
      </c>
      <c r="H32" s="3656">
        <f>'4. Отчет и прогн. потребление'!I9</f>
        <v>16281192</v>
      </c>
      <c r="I32" s="3464"/>
      <c r="J32" s="3464"/>
      <c r="K32" s="3464"/>
      <c r="L32" s="3464"/>
      <c r="M32" s="3464"/>
      <c r="N32" s="3464"/>
      <c r="O32" s="3464"/>
      <c r="P32" s="3464"/>
      <c r="Q32" s="3464"/>
      <c r="R32" s="3464"/>
      <c r="S32" s="3464"/>
      <c r="T32" s="3464"/>
      <c r="U32" s="3464"/>
      <c r="V32" s="3464"/>
      <c r="W32" s="3464"/>
      <c r="X32" s="3464"/>
      <c r="Y32" s="3675" t="s">
        <v>138</v>
      </c>
      <c r="Z32" s="3676" t="s">
        <v>771</v>
      </c>
      <c r="AA32" s="3677" t="s">
        <v>747</v>
      </c>
      <c r="AB32" s="3696">
        <f>'3. Показатели за качество'!E37</f>
        <v>5.69</v>
      </c>
      <c r="AC32" s="3696">
        <f>'3. Показатели за качество'!F37</f>
        <v>5.58</v>
      </c>
      <c r="AD32" s="3696">
        <f>'3. Показатели за качество'!G37</f>
        <v>5.43</v>
      </c>
      <c r="AE32" s="3696">
        <f>'3. Показатели за качество'!H37</f>
        <v>5.33</v>
      </c>
      <c r="AF32" s="3696">
        <f>'3. Показатели за качество'!I37</f>
        <v>5.19</v>
      </c>
      <c r="AG32" s="3696">
        <f>'3. Показатели за качество'!J37</f>
        <v>5.0599999999999996</v>
      </c>
      <c r="AH32" s="3697">
        <f>'3. Показатели за качество'!M37</f>
        <v>5.05</v>
      </c>
      <c r="AI32" s="3695">
        <v>4</v>
      </c>
      <c r="AJ32" s="3464"/>
    </row>
    <row r="33" spans="1:36" ht="15.95" customHeight="1">
      <c r="A33" s="5643" t="s">
        <v>571</v>
      </c>
      <c r="B33" s="3655" t="s">
        <v>1532</v>
      </c>
      <c r="C33" s="3657">
        <f>'4. Отчет и прогн. потребление'!D18</f>
        <v>11747916</v>
      </c>
      <c r="D33" s="3657">
        <f>'4. Отчет и прогн. потребление'!E18</f>
        <v>11629443</v>
      </c>
      <c r="E33" s="3657">
        <f>'4. Отчет и прогн. потребление'!F18</f>
        <v>11316584.020081241</v>
      </c>
      <c r="F33" s="3657">
        <f>'4. Отчет и прогн. потребление'!G18</f>
        <v>10944207.423367359</v>
      </c>
      <c r="G33" s="3657">
        <f>'4. Отчет и прогн. потребление'!H18</f>
        <v>10614373.287091164</v>
      </c>
      <c r="H33" s="3657">
        <f>'4. Отчет и прогн. потребление'!I18</f>
        <v>10266137.521163668</v>
      </c>
      <c r="I33" s="3464"/>
      <c r="J33" s="3464"/>
      <c r="K33" s="3464"/>
      <c r="L33" s="3464"/>
      <c r="M33" s="3464"/>
      <c r="N33" s="3464"/>
      <c r="O33" s="3464"/>
      <c r="P33" s="3464"/>
      <c r="Q33" s="3464"/>
      <c r="R33" s="3464"/>
      <c r="S33" s="3464"/>
      <c r="T33" s="3464"/>
      <c r="U33" s="3464"/>
      <c r="V33" s="3464"/>
      <c r="W33" s="3464"/>
      <c r="X33" s="3464"/>
      <c r="Y33" s="3675" t="s">
        <v>139</v>
      </c>
      <c r="Z33" s="3676" t="s">
        <v>772</v>
      </c>
      <c r="AA33" s="3677" t="s">
        <v>748</v>
      </c>
      <c r="AB33" s="3696">
        <f>'3. Показатели за качество'!E38</f>
        <v>4.8</v>
      </c>
      <c r="AC33" s="3696">
        <f>'3. Показатели за качество'!F38</f>
        <v>4.4000000000000004</v>
      </c>
      <c r="AD33" s="3696">
        <f>'3. Показатели за качество'!G38</f>
        <v>4.3499999999999996</v>
      </c>
      <c r="AE33" s="3696">
        <f>'3. Показатели за качество'!H38</f>
        <v>4.3099999999999996</v>
      </c>
      <c r="AF33" s="3696">
        <f>'3. Показатели за качество'!I38</f>
        <v>4.2300000000000004</v>
      </c>
      <c r="AG33" s="3696">
        <f>'3. Показатели за качество'!J38</f>
        <v>4.1900000000000004</v>
      </c>
      <c r="AH33" s="3697">
        <f>'3. Показатели за качество'!M38</f>
        <v>4.21</v>
      </c>
      <c r="AI33" s="3695">
        <v>3</v>
      </c>
      <c r="AJ33" s="3464"/>
    </row>
    <row r="34" spans="1:36" ht="15.95" customHeight="1">
      <c r="A34" s="5643"/>
      <c r="B34" s="3655" t="s">
        <v>170</v>
      </c>
      <c r="C34" s="3658">
        <f>'4. Отчет и прогн. потребление'!D19</f>
        <v>0.6270989388564554</v>
      </c>
      <c r="D34" s="3658">
        <f>'4. Отчет и прогн. потребление'!E19</f>
        <v>0.62708252731215408</v>
      </c>
      <c r="E34" s="3658">
        <f>'4. Отчет и прогн. потребление'!F19</f>
        <v>0.6273126119515201</v>
      </c>
      <c r="F34" s="3658">
        <f>'4. Отчет и прогн. потребление'!G19</f>
        <v>0.62784972619968049</v>
      </c>
      <c r="G34" s="3658">
        <f>'4. Отчет и прогн. потребление'!H19</f>
        <v>0.62908482028514212</v>
      </c>
      <c r="H34" s="3658">
        <f>'4. Отчет и прогн. потребление'!I19</f>
        <v>0.63055195965772459</v>
      </c>
      <c r="I34" s="3464"/>
      <c r="J34" s="3464"/>
      <c r="K34" s="3464"/>
      <c r="L34" s="3464"/>
      <c r="M34" s="3464"/>
      <c r="N34" s="3464"/>
      <c r="O34" s="3464"/>
      <c r="P34" s="3464"/>
      <c r="Q34" s="3464"/>
      <c r="R34" s="3464"/>
      <c r="S34" s="3464"/>
      <c r="T34" s="3464"/>
      <c r="U34" s="3464"/>
      <c r="V34" s="3464"/>
      <c r="W34" s="3464"/>
      <c r="X34" s="3464"/>
      <c r="Y34" s="3713"/>
      <c r="Z34" s="3714"/>
      <c r="AA34" s="3715"/>
      <c r="AB34" s="3716"/>
      <c r="AC34" s="3716"/>
      <c r="AD34" s="3716"/>
      <c r="AE34" s="3716"/>
      <c r="AF34" s="3716"/>
      <c r="AG34" s="3716"/>
      <c r="AH34" s="3717"/>
      <c r="AI34" s="3718"/>
      <c r="AJ34" s="3464"/>
    </row>
    <row r="35" spans="1:36" ht="15.95" customHeight="1">
      <c r="A35" s="5632" t="s">
        <v>572</v>
      </c>
      <c r="B35" s="3608" t="s">
        <v>1532</v>
      </c>
      <c r="C35" s="3609">
        <f>'4. Отчет и прогн. потребление'!D20</f>
        <v>11471057</v>
      </c>
      <c r="D35" s="3609">
        <f>'4. Отчет и прогн. потребление'!E20</f>
        <v>11354943</v>
      </c>
      <c r="E35" s="3609">
        <f>'4. Отчет и прогн. потребление'!F20</f>
        <v>11050084.020081241</v>
      </c>
      <c r="F35" s="3609">
        <f>'4. Отчет и прогн. потребление'!G20</f>
        <v>10686707.423367359</v>
      </c>
      <c r="G35" s="3609">
        <f>'4. Отчет и прогн. потребление'!H20</f>
        <v>10364373.287091164</v>
      </c>
      <c r="H35" s="3609">
        <f>'4. Отчет и прогн. потребление'!I20</f>
        <v>10025137.521163668</v>
      </c>
      <c r="I35" s="3464"/>
      <c r="J35" s="3464"/>
      <c r="K35" s="3464"/>
      <c r="L35" s="3464"/>
      <c r="M35" s="3464"/>
      <c r="N35" s="3464"/>
      <c r="O35" s="3464"/>
      <c r="P35" s="3464"/>
      <c r="Q35" s="3464"/>
      <c r="R35" s="3464"/>
      <c r="S35" s="3464"/>
      <c r="T35" s="3464"/>
      <c r="U35" s="3464"/>
      <c r="V35" s="3464"/>
      <c r="W35" s="3464"/>
      <c r="X35" s="3464"/>
      <c r="Y35" s="5615" t="s">
        <v>1593</v>
      </c>
      <c r="Z35" s="5616"/>
      <c r="AA35" s="5616"/>
      <c r="AB35" s="5616"/>
      <c r="AC35" s="5616"/>
      <c r="AD35" s="5616"/>
      <c r="AE35" s="5616"/>
      <c r="AF35" s="5616"/>
      <c r="AG35" s="5616"/>
      <c r="AH35" s="5616"/>
      <c r="AI35" s="5617"/>
      <c r="AJ35" s="3464"/>
    </row>
    <row r="36" spans="1:36" ht="42.75" customHeight="1">
      <c r="A36" s="5633"/>
      <c r="B36" s="3608" t="s">
        <v>170</v>
      </c>
      <c r="C36" s="3610">
        <f>'4. Отчет и прогн. потребление'!D21</f>
        <v>0.61232031896226657</v>
      </c>
      <c r="D36" s="3610">
        <f>'4. Отчет и прогн. потребление'!E21</f>
        <v>0.61228094534927013</v>
      </c>
      <c r="E36" s="3610">
        <f>'4. Отчет и прогн. потребление'!F21</f>
        <v>0.61253970779701361</v>
      </c>
      <c r="F36" s="3610">
        <f>'4. Отчет и прогн. потребление'!G21</f>
        <v>0.6130774089141704</v>
      </c>
      <c r="G36" s="3610">
        <f>'4. Отчет и прогн. потребление'!H21</f>
        <v>0.61426800531005987</v>
      </c>
      <c r="H36" s="3610">
        <f>'4. Отчет и прогн. потребление'!I21</f>
        <v>0.61574960366315123</v>
      </c>
      <c r="I36" s="3464"/>
      <c r="J36" s="3464"/>
      <c r="K36" s="3464"/>
      <c r="L36" s="3464"/>
      <c r="M36" s="3464"/>
      <c r="N36" s="3464"/>
      <c r="O36" s="3464"/>
      <c r="P36" s="3464"/>
      <c r="Q36" s="3464"/>
      <c r="R36" s="3464"/>
      <c r="S36" s="3464"/>
      <c r="T36" s="3464"/>
      <c r="U36" s="3464"/>
      <c r="V36" s="3464"/>
      <c r="W36" s="3464"/>
      <c r="X36" s="3464"/>
      <c r="Y36" s="3719" t="s">
        <v>773</v>
      </c>
      <c r="Z36" s="3719" t="s">
        <v>1591</v>
      </c>
      <c r="AA36" s="3719" t="s">
        <v>746</v>
      </c>
      <c r="AB36" s="3719" t="str">
        <f>+'15. ОПП'!$B$7</f>
        <v>2024 г.</v>
      </c>
      <c r="AC36" s="3719" t="str">
        <f>+'15. ОПП'!$C$7</f>
        <v>2027 г.</v>
      </c>
      <c r="AD36" s="3719" t="str">
        <f>+'15. ОПП'!$D$7</f>
        <v>2028 г.</v>
      </c>
      <c r="AE36" s="3719" t="str">
        <f>+'15. ОПП'!$E$7</f>
        <v>2029 г.</v>
      </c>
      <c r="AF36" s="3719" t="str">
        <f>+'15. ОПП'!$F$7</f>
        <v>2030 г.</v>
      </c>
      <c r="AG36" s="3719" t="str">
        <f>+'15. ОПП'!$G$7</f>
        <v>2031 г.</v>
      </c>
      <c r="AH36" s="4521" t="str">
        <f>CONCATENATE("Индивидуална цел за ",AG36)</f>
        <v>Индивидуална цел за 2031 г.</v>
      </c>
      <c r="AI36" s="3720" t="s">
        <v>780</v>
      </c>
      <c r="AJ36" s="3464"/>
    </row>
    <row r="37" spans="1:36" ht="15.95" customHeight="1">
      <c r="A37" s="5644" t="s">
        <v>688</v>
      </c>
      <c r="B37" s="3608" t="s">
        <v>1532</v>
      </c>
      <c r="C37" s="3612">
        <f>'4. Отчет и прогн. потребление'!D26</f>
        <v>276859</v>
      </c>
      <c r="D37" s="3612">
        <f>'4. Отчет и прогн. потребление'!E26</f>
        <v>274500</v>
      </c>
      <c r="E37" s="3612">
        <f>'4. Отчет и прогн. потребление'!F26</f>
        <v>266500</v>
      </c>
      <c r="F37" s="3612">
        <f>'4. Отчет и прогн. потребление'!G26</f>
        <v>257500</v>
      </c>
      <c r="G37" s="3612">
        <f>'4. Отчет и прогн. потребление'!H26</f>
        <v>250000</v>
      </c>
      <c r="H37" s="3612">
        <f>'4. Отчет и прогн. потребление'!I26</f>
        <v>241000</v>
      </c>
      <c r="I37" s="3464"/>
      <c r="J37" s="3464"/>
      <c r="K37" s="3464"/>
      <c r="L37" s="3464"/>
      <c r="M37" s="3464"/>
      <c r="N37" s="3464"/>
      <c r="O37" s="3464"/>
      <c r="P37" s="3464"/>
      <c r="Q37" s="3464"/>
      <c r="R37" s="3464"/>
      <c r="S37" s="3464"/>
      <c r="T37" s="3464"/>
      <c r="U37" s="3464"/>
      <c r="V37" s="3464"/>
      <c r="W37" s="3464"/>
      <c r="X37" s="3464"/>
      <c r="Y37" s="3675" t="s">
        <v>744</v>
      </c>
      <c r="Z37" s="3676" t="s">
        <v>756</v>
      </c>
      <c r="AA37" s="3677" t="s">
        <v>1588</v>
      </c>
      <c r="AB37" s="3696">
        <f>'3. Показатели за качество'!E40</f>
        <v>0</v>
      </c>
      <c r="AC37" s="3696">
        <f>'3. Показатели за качество'!F40</f>
        <v>0</v>
      </c>
      <c r="AD37" s="3696">
        <f>'3. Показатели за качество'!G40</f>
        <v>0</v>
      </c>
      <c r="AE37" s="3696">
        <f>'3. Показатели за качество'!H40</f>
        <v>0</v>
      </c>
      <c r="AF37" s="3696">
        <f>'3. Показатели за качество'!I40</f>
        <v>0</v>
      </c>
      <c r="AG37" s="3696">
        <f>'3. Показатели за качество'!J40</f>
        <v>0</v>
      </c>
      <c r="AH37" s="3708"/>
      <c r="AI37" s="3708"/>
      <c r="AJ37" s="3464"/>
    </row>
    <row r="38" spans="1:36" ht="15.95" customHeight="1">
      <c r="A38" s="5644"/>
      <c r="B38" s="3608" t="s">
        <v>170</v>
      </c>
      <c r="C38" s="3616">
        <f>'4. Отчет и прогн. потребление'!D27</f>
        <v>1.4778619894188841E-2</v>
      </c>
      <c r="D38" s="3616">
        <f>'4. Отчет и прогн. потребление'!E27</f>
        <v>1.4801581962883887E-2</v>
      </c>
      <c r="E38" s="3616">
        <f>'4. Отчет и прогн. потребление'!F27</f>
        <v>1.4772904154506506E-2</v>
      </c>
      <c r="F38" s="3616">
        <f>'4. Отчет и прогн. потребление'!G27</f>
        <v>1.4772317285510112E-2</v>
      </c>
      <c r="G38" s="3616">
        <f>'4. Отчет и прогн. потребление'!H27</f>
        <v>1.4816814975082266E-2</v>
      </c>
      <c r="H38" s="3616">
        <f>'4. Отчет и прогн. потребление'!I27</f>
        <v>1.480235599457337E-2</v>
      </c>
      <c r="I38" s="3464"/>
      <c r="J38" s="3464"/>
      <c r="K38" s="3464"/>
      <c r="L38" s="3464"/>
      <c r="M38" s="3464"/>
      <c r="N38" s="3464"/>
      <c r="O38" s="3464"/>
      <c r="P38" s="3464"/>
      <c r="Q38" s="3464"/>
      <c r="R38" s="3464"/>
      <c r="S38" s="3464"/>
      <c r="T38" s="3464"/>
      <c r="U38" s="3464"/>
      <c r="V38" s="3464"/>
      <c r="W38" s="3464"/>
      <c r="X38" s="3464"/>
      <c r="Y38" s="3675" t="s">
        <v>745</v>
      </c>
      <c r="Z38" s="3676" t="s">
        <v>756</v>
      </c>
      <c r="AA38" s="3677" t="s">
        <v>170</v>
      </c>
      <c r="AB38" s="3721">
        <f>'3. Показатели за качество'!E41</f>
        <v>0</v>
      </c>
      <c r="AC38" s="3721">
        <f>'3. Показатели за качество'!F41</f>
        <v>0</v>
      </c>
      <c r="AD38" s="3721">
        <f>'3. Показатели за качество'!G41</f>
        <v>0</v>
      </c>
      <c r="AE38" s="3721">
        <f>'3. Показатели за качество'!H41</f>
        <v>0</v>
      </c>
      <c r="AF38" s="3721">
        <f>'3. Показатели за качество'!I41</f>
        <v>0</v>
      </c>
      <c r="AG38" s="3721">
        <f>'3. Показатели за качество'!J41</f>
        <v>0</v>
      </c>
      <c r="AH38" s="3708"/>
      <c r="AI38" s="3708"/>
      <c r="AJ38" s="3464"/>
    </row>
    <row r="39" spans="1:36" ht="15.95" customHeight="1">
      <c r="A39" s="5643" t="s">
        <v>689</v>
      </c>
      <c r="B39" s="3655" t="s">
        <v>1532</v>
      </c>
      <c r="C39" s="3657">
        <f>'4. Отчет и прогн. потребление'!D30</f>
        <v>6985836</v>
      </c>
      <c r="D39" s="3657">
        <f>'4. Отчет и прогн. потребление'!E30</f>
        <v>6915872</v>
      </c>
      <c r="E39" s="3657">
        <f>'4. Отчет и прогн. потребление'!F30</f>
        <v>6723200</v>
      </c>
      <c r="F39" s="3657">
        <f>'4. Отчет и прогн. потребление'!G30</f>
        <v>6487046</v>
      </c>
      <c r="G39" s="3657">
        <f>'4. Отчет и прогн. потребление'!H30</f>
        <v>6258349</v>
      </c>
      <c r="H39" s="3657">
        <f>'4. Отчет и прогн. потребление'!I30</f>
        <v>6015054</v>
      </c>
      <c r="I39" s="3464"/>
      <c r="J39" s="3464"/>
      <c r="K39" s="3464"/>
      <c r="L39" s="3464"/>
      <c r="M39" s="3464"/>
      <c r="N39" s="3464"/>
      <c r="O39" s="3464"/>
      <c r="P39" s="3464"/>
      <c r="Q39" s="3464"/>
      <c r="R39" s="3464"/>
      <c r="S39" s="3464"/>
      <c r="T39" s="3464"/>
      <c r="U39" s="3464"/>
      <c r="V39" s="3464"/>
      <c r="W39" s="3464"/>
      <c r="X39" s="3464"/>
      <c r="Y39" s="3675" t="s">
        <v>121</v>
      </c>
      <c r="Z39" s="3676" t="s">
        <v>757</v>
      </c>
      <c r="AA39" s="3677" t="s">
        <v>749</v>
      </c>
      <c r="AB39" s="3696">
        <f>'3. Показатели за качество'!E42</f>
        <v>0</v>
      </c>
      <c r="AC39" s="3696">
        <f>'3. Показатели за качество'!F42</f>
        <v>0</v>
      </c>
      <c r="AD39" s="3696">
        <f>'3. Показатели за качество'!G42</f>
        <v>0</v>
      </c>
      <c r="AE39" s="3696">
        <f>'3. Показатели за качество'!H42</f>
        <v>0</v>
      </c>
      <c r="AF39" s="3696">
        <f>'3. Показатели за качество'!I42</f>
        <v>0</v>
      </c>
      <c r="AG39" s="3696">
        <f>'3. Показатели за качество'!J42</f>
        <v>0</v>
      </c>
      <c r="AH39" s="3708"/>
      <c r="AI39" s="3708"/>
      <c r="AJ39" s="3464"/>
    </row>
    <row r="40" spans="1:36" ht="15.95" customHeight="1">
      <c r="A40" s="5643"/>
      <c r="B40" s="3655" t="s">
        <v>170</v>
      </c>
      <c r="C40" s="3659">
        <f>'4. Отчет и прогн. потребление'!D31</f>
        <v>0.37290106114354454</v>
      </c>
      <c r="D40" s="3659">
        <f>'4. Отчет и прогн. потребление'!E31</f>
        <v>0.37291747268784597</v>
      </c>
      <c r="E40" s="3659">
        <f>'4. Отчет и прогн. потребление'!F31</f>
        <v>0.37268738916164407</v>
      </c>
      <c r="F40" s="3659">
        <f>'4. Отчет и прогн. потребление'!G31</f>
        <v>0.37215029808815236</v>
      </c>
      <c r="G40" s="3659">
        <f>'4. Отчет и прогн. потребление'!H31</f>
        <v>0.37091519672996448</v>
      </c>
      <c r="H40" s="3659">
        <f>'4. Отчет и прогн. потребление'!I31</f>
        <v>0.36944801093187773</v>
      </c>
      <c r="I40" s="3464"/>
      <c r="J40" s="3464"/>
      <c r="K40" s="3464"/>
      <c r="L40" s="3464"/>
      <c r="M40" s="3464"/>
      <c r="N40" s="3464"/>
      <c r="O40" s="3464"/>
      <c r="P40" s="3464"/>
      <c r="Q40" s="3464"/>
      <c r="R40" s="3464"/>
      <c r="S40" s="3464"/>
      <c r="T40" s="3464"/>
      <c r="U40" s="3464"/>
      <c r="V40" s="3464"/>
      <c r="W40" s="3464"/>
      <c r="X40" s="3464"/>
      <c r="Y40" s="3675" t="s">
        <v>130</v>
      </c>
      <c r="Z40" s="3676" t="s">
        <v>766</v>
      </c>
      <c r="AA40" s="3677" t="s">
        <v>170</v>
      </c>
      <c r="AB40" s="3721">
        <f>'3. Показатели за качество'!E43</f>
        <v>0</v>
      </c>
      <c r="AC40" s="3721">
        <f>'3. Показатели за качество'!F43</f>
        <v>0</v>
      </c>
      <c r="AD40" s="3721">
        <f>'3. Показатели за качество'!G43</f>
        <v>0</v>
      </c>
      <c r="AE40" s="3721">
        <f>'3. Показатели за качество'!H43</f>
        <v>0</v>
      </c>
      <c r="AF40" s="3721">
        <f>'3. Показатели за качество'!I43</f>
        <v>0</v>
      </c>
      <c r="AG40" s="3721">
        <f>'3. Показатели за качество'!J43</f>
        <v>0</v>
      </c>
      <c r="AH40" s="3708"/>
      <c r="AI40" s="3708"/>
      <c r="AJ40" s="3464"/>
    </row>
    <row r="41" spans="1:36" ht="15.95" customHeight="1">
      <c r="A41" s="5643"/>
      <c r="B41" s="3655" t="s">
        <v>1533</v>
      </c>
      <c r="C41" s="3660">
        <f>'4. Отчет и прогн. потребление'!D32</f>
        <v>10.813150684931507</v>
      </c>
      <c r="D41" s="3660">
        <f>'4. Отчет и прогн. потребление'!E32</f>
        <v>10.686742538380116</v>
      </c>
      <c r="E41" s="3660">
        <f>'4. Отчет и прогн. потребление'!F32</f>
        <v>10.389016371910468</v>
      </c>
      <c r="F41" s="3660">
        <f>'4. Отчет и прогн. потребление'!G32</f>
        <v>10.024099699449119</v>
      </c>
      <c r="G41" s="3660">
        <f>'4. Отчет и прогн. потребление'!H32</f>
        <v>9.6707059468898002</v>
      </c>
      <c r="H41" s="3660">
        <f>'4. Отчет и прогн. потребление'!I32</f>
        <v>9.2947546531302869</v>
      </c>
      <c r="I41" s="3464"/>
      <c r="J41" s="3464"/>
      <c r="K41" s="3464"/>
      <c r="L41" s="3464"/>
      <c r="M41" s="3464"/>
      <c r="N41" s="3464"/>
      <c r="O41" s="3464"/>
      <c r="P41" s="3464"/>
      <c r="Q41" s="3464"/>
      <c r="R41" s="3464"/>
      <c r="S41" s="3464"/>
      <c r="T41" s="3464"/>
      <c r="U41" s="3464"/>
      <c r="V41" s="3464"/>
      <c r="W41" s="3464"/>
      <c r="X41" s="3464"/>
      <c r="Y41" s="3675" t="s">
        <v>131</v>
      </c>
      <c r="Z41" s="3676" t="s">
        <v>47</v>
      </c>
      <c r="AA41" s="3677" t="s">
        <v>1033</v>
      </c>
      <c r="AB41" s="3696">
        <f>'3. Показатели за качество'!E44</f>
        <v>0</v>
      </c>
      <c r="AC41" s="3696">
        <f>'3. Показатели за качество'!F44</f>
        <v>0</v>
      </c>
      <c r="AD41" s="3696">
        <f>'3. Показатели за качество'!G44</f>
        <v>0</v>
      </c>
      <c r="AE41" s="3696">
        <f>'3. Показатели за качество'!H44</f>
        <v>0</v>
      </c>
      <c r="AF41" s="3696">
        <f>'3. Показатели за качество'!I44</f>
        <v>0</v>
      </c>
      <c r="AG41" s="3696">
        <f>'3. Показатели за качество'!J44</f>
        <v>0</v>
      </c>
      <c r="AH41" s="3708"/>
      <c r="AI41" s="3708"/>
      <c r="AJ41" s="3464"/>
    </row>
    <row r="42" spans="1:36" ht="15.95" customHeight="1">
      <c r="A42" s="5639" t="s">
        <v>580</v>
      </c>
      <c r="B42" s="3608" t="s">
        <v>1532</v>
      </c>
      <c r="C42" s="3614">
        <f>'4. Отчет и прогн. потребление'!D33</f>
        <v>1500000</v>
      </c>
      <c r="D42" s="3614">
        <f>'4. Отчет и прогн. потребление'!E33</f>
        <v>1470000</v>
      </c>
      <c r="E42" s="3614">
        <f>'4. Отчет и прогн. потребление'!F33</f>
        <v>1420000</v>
      </c>
      <c r="F42" s="3614">
        <f>'4. Отчет и прогн. потребление'!G33</f>
        <v>1390000</v>
      </c>
      <c r="G42" s="3614">
        <f>'4. Отчет и прогн. потребление'!H33</f>
        <v>1350000</v>
      </c>
      <c r="H42" s="3614">
        <f>'4. Отчет и прогн. потребление'!I33</f>
        <v>1305000</v>
      </c>
      <c r="I42" s="3464"/>
      <c r="J42" s="3464"/>
      <c r="K42" s="3464"/>
      <c r="L42" s="3464"/>
      <c r="M42" s="3464"/>
      <c r="N42" s="3464"/>
      <c r="O42" s="3464"/>
      <c r="P42" s="3464"/>
      <c r="Q42" s="3464"/>
      <c r="R42" s="3464"/>
      <c r="S42" s="3464"/>
      <c r="T42" s="3464"/>
      <c r="U42" s="3464"/>
      <c r="V42" s="3464"/>
      <c r="W42" s="3464"/>
      <c r="X42" s="3464"/>
      <c r="Y42" s="3464"/>
      <c r="Z42" s="3464"/>
      <c r="AA42" s="3464"/>
      <c r="AB42" s="3464"/>
      <c r="AC42" s="3464"/>
      <c r="AD42" s="3464"/>
      <c r="AE42" s="3464"/>
      <c r="AF42" s="3464"/>
      <c r="AG42" s="3464"/>
      <c r="AH42" s="3464"/>
      <c r="AI42" s="3464"/>
      <c r="AJ42" s="3464"/>
    </row>
    <row r="43" spans="1:36" ht="15.95" customHeight="1">
      <c r="A43" s="5639"/>
      <c r="B43" s="3608" t="s">
        <v>170</v>
      </c>
      <c r="C43" s="3615">
        <f>'4. Отчет и прогн. потребление'!D34</f>
        <v>8.006938492620165E-2</v>
      </c>
      <c r="D43" s="3615">
        <f>'4. Отчет и прогн. потребление'!E34</f>
        <v>7.9265302314897326E-2</v>
      </c>
      <c r="E43" s="3615">
        <f>'4. Отчет и прогн. потребление'!F34</f>
        <v>7.8714911442398644E-2</v>
      </c>
      <c r="F43" s="3615">
        <f>'4. Отчет и прогн. потребление'!G34</f>
        <v>7.9741829230520603E-2</v>
      </c>
      <c r="G43" s="3615">
        <f>'4. Отчет и прогн. потребление'!H34</f>
        <v>8.0010800865444237E-2</v>
      </c>
      <c r="H43" s="3615">
        <f>'4. Отчет и прогн. потребление'!I34</f>
        <v>8.0153836402150402E-2</v>
      </c>
      <c r="I43" s="3464"/>
      <c r="J43" s="3464"/>
      <c r="K43" s="3464"/>
      <c r="L43" s="3464"/>
      <c r="M43" s="3464"/>
      <c r="N43" s="3464"/>
      <c r="O43" s="3464"/>
      <c r="P43" s="3464"/>
      <c r="Q43" s="3464"/>
      <c r="R43" s="3464"/>
      <c r="S43" s="3464"/>
      <c r="T43" s="3464"/>
      <c r="U43" s="3464"/>
      <c r="V43" s="3464"/>
      <c r="W43" s="3464"/>
      <c r="X43" s="3464"/>
      <c r="Y43" s="3464"/>
      <c r="Z43" s="3464"/>
      <c r="AA43" s="3464"/>
      <c r="AB43" s="3464"/>
      <c r="AC43" s="3464"/>
      <c r="AD43" s="3464"/>
      <c r="AE43" s="3464"/>
      <c r="AF43" s="3464"/>
      <c r="AG43" s="3464"/>
      <c r="AH43" s="3464"/>
      <c r="AI43" s="3464"/>
      <c r="AJ43" s="3464"/>
    </row>
    <row r="44" spans="1:36" ht="15.95" customHeight="1">
      <c r="A44" s="5637" t="s">
        <v>585</v>
      </c>
      <c r="B44" s="3608" t="s">
        <v>1532</v>
      </c>
      <c r="C44" s="3614">
        <f>'4. Отчет и прогн. потребление'!D37</f>
        <v>5485836</v>
      </c>
      <c r="D44" s="3614">
        <f>'4. Отчет и прогн. потребление'!E37</f>
        <v>5445872</v>
      </c>
      <c r="E44" s="3614">
        <f>'4. Отчет и прогн. потребление'!F37</f>
        <v>5303200</v>
      </c>
      <c r="F44" s="3614">
        <f>'4. Отчет и прогн. потребление'!G37</f>
        <v>5097046</v>
      </c>
      <c r="G44" s="3614">
        <f>'4. Отчет и прогн. потребление'!H37</f>
        <v>4908349</v>
      </c>
      <c r="H44" s="3614">
        <f>'4. Отчет и прогн. потребление'!I37</f>
        <v>4710054</v>
      </c>
      <c r="I44" s="3464"/>
      <c r="J44" s="3464"/>
      <c r="K44" s="3464"/>
      <c r="L44" s="3464"/>
      <c r="M44" s="3464"/>
      <c r="N44" s="3464"/>
      <c r="O44" s="3464"/>
      <c r="P44" s="3464"/>
      <c r="Q44" s="3464"/>
      <c r="R44" s="3464"/>
      <c r="S44" s="3464"/>
      <c r="T44" s="3464"/>
      <c r="U44" s="3464"/>
      <c r="V44" s="3464"/>
      <c r="W44" s="3464"/>
      <c r="X44" s="3464"/>
      <c r="Y44" s="3464"/>
      <c r="Z44" s="3464"/>
      <c r="AA44" s="3464"/>
      <c r="AB44" s="3464"/>
      <c r="AC44" s="3464"/>
      <c r="AD44" s="3464"/>
      <c r="AE44" s="3464"/>
      <c r="AF44" s="3464"/>
      <c r="AG44" s="3464"/>
      <c r="AH44" s="3464"/>
      <c r="AI44" s="3464"/>
      <c r="AJ44" s="3464"/>
    </row>
    <row r="45" spans="1:36" ht="15.95" customHeight="1">
      <c r="A45" s="5637"/>
      <c r="B45" s="3608" t="s">
        <v>170</v>
      </c>
      <c r="C45" s="3615">
        <f>'4. Отчет и прогн. потребление'!D38</f>
        <v>0.29283167621734291</v>
      </c>
      <c r="D45" s="3615">
        <f>'4. Отчет и прогн. потребление'!E38</f>
        <v>0.29365217037294866</v>
      </c>
      <c r="E45" s="3615">
        <f>'4. Отчет и прогн. потребление'!F38</f>
        <v>0.2939724777192454</v>
      </c>
      <c r="F45" s="3615">
        <f>'4. Отчет и прогн. потребление'!G38</f>
        <v>0.29240846885763178</v>
      </c>
      <c r="G45" s="3615">
        <f>'4. Отчет и прогн. потребление'!H38</f>
        <v>0.29090439586452027</v>
      </c>
      <c r="H45" s="3615">
        <f>'4. Отчет и прогн. потребление'!I38</f>
        <v>0.28929417452972733</v>
      </c>
      <c r="I45" s="3464"/>
      <c r="J45" s="3464"/>
      <c r="K45" s="3464"/>
      <c r="L45" s="3464"/>
      <c r="M45" s="3464"/>
      <c r="N45" s="3464"/>
      <c r="O45" s="3464"/>
      <c r="P45" s="3464"/>
      <c r="Q45" s="3464"/>
      <c r="R45" s="3464"/>
      <c r="S45" s="3464"/>
      <c r="T45" s="3464"/>
      <c r="U45" s="3464"/>
      <c r="V45" s="3464"/>
      <c r="W45" s="3464"/>
      <c r="X45" s="3464"/>
      <c r="Y45" s="3464"/>
      <c r="Z45" s="3464"/>
      <c r="AA45" s="3464"/>
      <c r="AB45" s="3464"/>
      <c r="AC45" s="3464"/>
      <c r="AD45" s="3464"/>
      <c r="AE45" s="3464"/>
      <c r="AF45" s="3464"/>
      <c r="AG45" s="3464"/>
      <c r="AH45" s="3464"/>
      <c r="AI45" s="3464"/>
      <c r="AJ45" s="3464"/>
    </row>
    <row r="46" spans="1:36" ht="15.95" customHeight="1">
      <c r="A46" s="5634" t="s">
        <v>594</v>
      </c>
      <c r="B46" s="3655" t="s">
        <v>1532</v>
      </c>
      <c r="C46" s="3656">
        <f>'4. Отчет и прогн. потребление'!D43</f>
        <v>7262695</v>
      </c>
      <c r="D46" s="3656">
        <f>'4. Отчет и прогн. потребление'!E43</f>
        <v>7190372</v>
      </c>
      <c r="E46" s="3656">
        <f>'4. Отчет и прогн. потребление'!F43</f>
        <v>6989700</v>
      </c>
      <c r="F46" s="3656">
        <f>'4. Отчет и прогн. потребление'!G43</f>
        <v>6744546</v>
      </c>
      <c r="G46" s="3656">
        <f>'4. Отчет и прогн. потребление'!H43</f>
        <v>6508349</v>
      </c>
      <c r="H46" s="3656">
        <f>'4. Отчет и прогн. потребление'!I43</f>
        <v>6256054</v>
      </c>
      <c r="I46" s="3464"/>
      <c r="J46" s="3464"/>
      <c r="K46" s="3464"/>
      <c r="L46" s="3464"/>
      <c r="M46" s="3464"/>
      <c r="N46" s="3464"/>
      <c r="O46" s="3464"/>
      <c r="P46" s="3464"/>
      <c r="Q46" s="3464"/>
      <c r="R46" s="3464"/>
      <c r="S46" s="3464"/>
      <c r="T46" s="3464"/>
      <c r="U46" s="3464"/>
      <c r="V46" s="3464"/>
      <c r="W46" s="3464"/>
      <c r="X46" s="3464"/>
      <c r="Y46" s="3464"/>
      <c r="Z46" s="3464"/>
      <c r="AA46" s="3464"/>
      <c r="AB46" s="3464"/>
      <c r="AC46" s="3464"/>
      <c r="AD46" s="3464"/>
      <c r="AE46" s="3464"/>
      <c r="AF46" s="3464"/>
      <c r="AG46" s="3464"/>
      <c r="AH46" s="3464"/>
      <c r="AI46" s="3464"/>
      <c r="AJ46" s="3464"/>
    </row>
    <row r="47" spans="1:36" ht="15.95" customHeight="1">
      <c r="A47" s="5635"/>
      <c r="B47" s="3655" t="s">
        <v>170</v>
      </c>
      <c r="C47" s="3661">
        <f>'4. Отчет и прогн. потребление'!D44</f>
        <v>0.38767968103773337</v>
      </c>
      <c r="D47" s="3661">
        <f>'4. Отчет и прогн. потребление'!E44</f>
        <v>0.38771905465072987</v>
      </c>
      <c r="E47" s="3661">
        <f>'4. Отчет и прогн. потребление'!F44</f>
        <v>0.38746029331615056</v>
      </c>
      <c r="F47" s="3661">
        <f>'4. Отчет и прогн. потребление'!G44</f>
        <v>0.38692261537366246</v>
      </c>
      <c r="G47" s="3661">
        <f>'4. Отчет и прогн. потребление'!H44</f>
        <v>0.38573201170504678</v>
      </c>
      <c r="H47" s="3661">
        <f>'4. Отчет и прогн. потребление'!I44</f>
        <v>0.38425036692645109</v>
      </c>
      <c r="I47" s="3464"/>
      <c r="J47" s="3464"/>
      <c r="K47" s="3464"/>
      <c r="L47" s="3464"/>
      <c r="M47" s="3464"/>
      <c r="N47" s="3464"/>
      <c r="O47" s="3464"/>
      <c r="P47" s="3464"/>
      <c r="Q47" s="3464"/>
      <c r="R47" s="3464"/>
      <c r="S47" s="3464"/>
      <c r="T47" s="3464"/>
      <c r="U47" s="3464"/>
      <c r="V47" s="3464"/>
      <c r="W47" s="3464"/>
      <c r="X47" s="3464"/>
      <c r="Y47" s="3464"/>
      <c r="Z47" s="3464"/>
      <c r="AA47" s="3464"/>
      <c r="AB47" s="3464"/>
      <c r="AC47" s="3464"/>
      <c r="AD47" s="3464"/>
      <c r="AE47" s="3464"/>
      <c r="AF47" s="3464"/>
      <c r="AG47" s="3464"/>
      <c r="AH47" s="3464"/>
      <c r="AI47" s="3464"/>
      <c r="AJ47" s="3464"/>
    </row>
    <row r="48" spans="1:36" ht="15.95" customHeight="1">
      <c r="A48" s="5636"/>
      <c r="B48" s="3655" t="s">
        <v>1533</v>
      </c>
      <c r="C48" s="3662">
        <f>'4. Отчет и прогн. потребление'!D45</f>
        <v>11.241691819518614</v>
      </c>
      <c r="D48" s="3662">
        <f>'4. Отчет и прогн. потребление'!E45</f>
        <v>11.110913319271571</v>
      </c>
      <c r="E48" s="3662">
        <f>'4. Отчет и прогн. потребление'!F45</f>
        <v>10.800825162830586</v>
      </c>
      <c r="F48" s="3662">
        <f>'4. Отчет и прогн. потребление'!G45</f>
        <v>10.422001251651483</v>
      </c>
      <c r="G48" s="3662">
        <f>'4. Отчет и прогн. потребление'!H45</f>
        <v>10.05701813349404</v>
      </c>
      <c r="H48" s="3662">
        <f>'4. Отчет и прогн. потребление'!I45</f>
        <v>9.667159601016774</v>
      </c>
      <c r="I48" s="3464"/>
      <c r="J48" s="3464"/>
      <c r="K48" s="3464"/>
      <c r="L48" s="3464"/>
      <c r="M48" s="3464"/>
      <c r="N48" s="3464"/>
      <c r="O48" s="3464"/>
      <c r="P48" s="3464"/>
      <c r="Q48" s="3464"/>
      <c r="R48" s="3464"/>
      <c r="S48" s="3464"/>
      <c r="T48" s="3464"/>
      <c r="U48" s="3464"/>
      <c r="V48" s="3464"/>
      <c r="W48" s="3464"/>
      <c r="X48" s="3464"/>
      <c r="Y48" s="3464"/>
      <c r="Z48" s="3464"/>
      <c r="AA48" s="3464"/>
      <c r="AB48" s="3464"/>
      <c r="AC48" s="3464"/>
      <c r="AD48" s="3464"/>
      <c r="AE48" s="3464"/>
      <c r="AF48" s="3464"/>
      <c r="AG48" s="3464"/>
      <c r="AH48" s="3464"/>
      <c r="AI48" s="3464"/>
      <c r="AJ48" s="3464"/>
    </row>
    <row r="49" spans="1:36" ht="15.95" customHeight="1">
      <c r="A49" s="5629" t="s">
        <v>174</v>
      </c>
      <c r="B49" s="5630"/>
      <c r="C49" s="5630"/>
      <c r="D49" s="5630"/>
      <c r="E49" s="5630"/>
      <c r="F49" s="5630"/>
      <c r="G49" s="5630"/>
      <c r="H49" s="5631"/>
      <c r="I49" s="3464"/>
      <c r="J49" s="3464"/>
      <c r="K49" s="3464"/>
      <c r="L49" s="3464"/>
      <c r="M49" s="3464"/>
      <c r="N49" s="3464"/>
      <c r="O49" s="3464"/>
      <c r="P49" s="3464"/>
      <c r="Q49" s="3464"/>
      <c r="R49" s="3464"/>
      <c r="S49" s="3464"/>
      <c r="T49" s="3464"/>
      <c r="U49" s="3464"/>
      <c r="V49" s="3464"/>
      <c r="W49" s="3464"/>
      <c r="X49" s="3464"/>
      <c r="Y49" s="3464"/>
      <c r="Z49" s="3464"/>
      <c r="AA49" s="3464"/>
      <c r="AB49" s="3464"/>
      <c r="AC49" s="3464"/>
      <c r="AD49" s="3464"/>
      <c r="AE49" s="3464"/>
      <c r="AF49" s="3464"/>
      <c r="AG49" s="3464"/>
      <c r="AH49" s="3464"/>
      <c r="AI49" s="3464"/>
      <c r="AJ49" s="3464"/>
    </row>
    <row r="50" spans="1:36" ht="15.95" customHeight="1">
      <c r="A50" s="5638" t="s">
        <v>175</v>
      </c>
      <c r="B50" s="3655" t="s">
        <v>1532</v>
      </c>
      <c r="C50" s="3664">
        <f>'4. Отчет и прогн. потребление'!D48</f>
        <v>9812164</v>
      </c>
      <c r="D50" s="3664">
        <f>'4. Отчет и прогн. потребление'!E48</f>
        <v>9547294.9999999981</v>
      </c>
      <c r="E50" s="3664">
        <f>'4. Отчет и прогн. потребление'!F48</f>
        <v>9248377.691771986</v>
      </c>
      <c r="F50" s="3664">
        <f>'4. Отчет и прогн. потребление'!G48</f>
        <v>8958863.1215095669</v>
      </c>
      <c r="G50" s="3664">
        <f>'4. Отчет и прогн. потребление'!H48</f>
        <v>8678455.362442337</v>
      </c>
      <c r="H50" s="3664">
        <f>'4. Отчет и прогн. потребление'!I48</f>
        <v>8388483.7760139331</v>
      </c>
      <c r="I50" s="3464"/>
      <c r="J50" s="3464"/>
      <c r="K50" s="3464"/>
      <c r="L50" s="3464"/>
      <c r="M50" s="3464"/>
      <c r="N50" s="3464"/>
      <c r="O50" s="3464"/>
      <c r="P50" s="3464"/>
      <c r="Q50" s="3464"/>
      <c r="R50" s="3464"/>
      <c r="S50" s="3464"/>
      <c r="T50" s="3464"/>
      <c r="U50" s="3464"/>
      <c r="V50" s="3464"/>
      <c r="W50" s="3464"/>
      <c r="X50" s="3464"/>
      <c r="Y50" s="3464"/>
      <c r="Z50" s="3464"/>
      <c r="AA50" s="3464"/>
      <c r="AB50" s="3464"/>
      <c r="AC50" s="3464"/>
      <c r="AD50" s="3464"/>
      <c r="AE50" s="3464"/>
      <c r="AF50" s="3464"/>
      <c r="AG50" s="3464"/>
      <c r="AH50" s="3464"/>
      <c r="AI50" s="3464"/>
      <c r="AJ50" s="3464"/>
    </row>
    <row r="51" spans="1:36" ht="15.95" customHeight="1">
      <c r="A51" s="5638"/>
      <c r="B51" s="3655" t="s">
        <v>170</v>
      </c>
      <c r="C51" s="3665">
        <f>'4. Отчет и прогн. потребление'!D49</f>
        <v>0.85538446892906206</v>
      </c>
      <c r="D51" s="3665">
        <f>'4. Отчет и прогн. потребление'!E49</f>
        <v>0.84080518942279125</v>
      </c>
      <c r="E51" s="3665">
        <f>'4. Отчет и прогн. потребление'!F49</f>
        <v>0.83695089331130634</v>
      </c>
      <c r="F51" s="3665">
        <f>'4. Отчет и прогн. потребление'!G49</f>
        <v>0.83831836753762723</v>
      </c>
      <c r="G51" s="3665">
        <f>'4. Отчет и прогн. потребление'!H49</f>
        <v>0.83733527556860199</v>
      </c>
      <c r="H51" s="3665">
        <f>'4. Отчет и прогн. потребление'!I49</f>
        <v>0.83674500806650676</v>
      </c>
      <c r="I51" s="3464"/>
      <c r="J51" s="3464"/>
      <c r="K51" s="3464"/>
      <c r="L51" s="3464"/>
      <c r="M51" s="3464"/>
      <c r="N51" s="3464"/>
      <c r="O51" s="3464"/>
      <c r="P51" s="3464"/>
      <c r="Q51" s="3464"/>
      <c r="R51" s="3464"/>
      <c r="S51" s="3464"/>
      <c r="T51" s="3464"/>
      <c r="U51" s="3464"/>
      <c r="V51" s="3464"/>
      <c r="W51" s="3464"/>
      <c r="X51" s="3464"/>
      <c r="Y51" s="3464"/>
      <c r="Z51" s="3464"/>
      <c r="AA51" s="3464"/>
      <c r="AB51" s="3464"/>
      <c r="AC51" s="3464"/>
      <c r="AD51" s="3464"/>
      <c r="AE51" s="3464"/>
      <c r="AF51" s="3464"/>
      <c r="AG51" s="3464"/>
      <c r="AH51" s="3464"/>
      <c r="AI51" s="3464"/>
      <c r="AJ51" s="3464"/>
    </row>
    <row r="52" spans="1:36" ht="15.95" customHeight="1">
      <c r="A52" s="3611" t="s">
        <v>177</v>
      </c>
      <c r="B52" s="3608" t="s">
        <v>1532</v>
      </c>
      <c r="C52" s="3612">
        <f>'4. Отчет и прогн. потребление'!D50</f>
        <v>8906850</v>
      </c>
      <c r="D52" s="3612">
        <f>'4. Отчет и прогн. потребление'!E50</f>
        <v>8846883.3333333321</v>
      </c>
      <c r="E52" s="3612">
        <f>'4. Отчет и прогн. потребление'!F50</f>
        <v>8557827.691771986</v>
      </c>
      <c r="F52" s="3612">
        <f>'4. Отчет и прогн. потребление'!G50</f>
        <v>8278178.1215095669</v>
      </c>
      <c r="G52" s="3612">
        <f>'4. Отчет и прогн. потребление'!H50</f>
        <v>8007635.362442336</v>
      </c>
      <c r="H52" s="3612">
        <f>'4. Отчет и прогн. потребление'!I50</f>
        <v>7727528.7760139331</v>
      </c>
      <c r="I52" s="3464"/>
      <c r="J52" s="3464"/>
      <c r="K52" s="3464"/>
      <c r="L52" s="3464"/>
      <c r="M52" s="3464"/>
      <c r="N52" s="3464"/>
      <c r="O52" s="3464"/>
      <c r="P52" s="3464"/>
      <c r="Q52" s="3464"/>
      <c r="R52" s="3464"/>
      <c r="S52" s="3464"/>
      <c r="T52" s="3464"/>
      <c r="U52" s="3464"/>
      <c r="V52" s="3464"/>
      <c r="W52" s="3464"/>
      <c r="X52" s="3464"/>
      <c r="Y52" s="3464"/>
      <c r="Z52" s="3464"/>
      <c r="AA52" s="3464"/>
      <c r="AB52" s="3464"/>
      <c r="AC52" s="3464"/>
      <c r="AD52" s="3464"/>
      <c r="AE52" s="3464"/>
      <c r="AF52" s="3464"/>
      <c r="AG52" s="3464"/>
      <c r="AH52" s="3464"/>
      <c r="AI52" s="3464"/>
      <c r="AJ52" s="3464"/>
    </row>
    <row r="53" spans="1:36" ht="15.95" customHeight="1">
      <c r="A53" s="3611" t="s">
        <v>179</v>
      </c>
      <c r="B53" s="3608" t="s">
        <v>1532</v>
      </c>
      <c r="C53" s="3612">
        <f>'4. Отчет и прогн. потребление'!D51</f>
        <v>905314</v>
      </c>
      <c r="D53" s="3612">
        <f>'4. Отчет и прогн. потребление'!E51</f>
        <v>700411.66666666663</v>
      </c>
      <c r="E53" s="3612">
        <f>'4. Отчет и прогн. потребление'!F51</f>
        <v>690550</v>
      </c>
      <c r="F53" s="3612">
        <f>'4. Отчет и прогн. потребление'!G51</f>
        <v>680685</v>
      </c>
      <c r="G53" s="3612">
        <f>'4. Отчет и прогн. потребление'!H51</f>
        <v>670820</v>
      </c>
      <c r="H53" s="3612">
        <f>'4. Отчет и прогн. потребление'!I51</f>
        <v>660955</v>
      </c>
      <c r="I53" s="3464"/>
      <c r="J53" s="3464"/>
      <c r="K53" s="3464"/>
      <c r="L53" s="3464"/>
      <c r="M53" s="3464"/>
      <c r="N53" s="3464"/>
      <c r="O53" s="3464"/>
      <c r="P53" s="3464"/>
      <c r="Q53" s="3464"/>
      <c r="R53" s="3464"/>
      <c r="S53" s="3464"/>
      <c r="T53" s="3464"/>
      <c r="U53" s="3464"/>
      <c r="V53" s="3464"/>
      <c r="W53" s="3464"/>
      <c r="X53" s="3464"/>
      <c r="Y53" s="3464"/>
      <c r="Z53" s="3464"/>
      <c r="AA53" s="3464"/>
      <c r="AB53" s="3464"/>
      <c r="AC53" s="3464"/>
      <c r="AD53" s="3464"/>
      <c r="AE53" s="3464"/>
      <c r="AF53" s="3464"/>
      <c r="AG53" s="3464"/>
      <c r="AH53" s="3464"/>
      <c r="AI53" s="3464"/>
      <c r="AJ53" s="3464"/>
    </row>
    <row r="54" spans="1:36" ht="15.95" customHeight="1">
      <c r="A54" s="5629" t="s">
        <v>184</v>
      </c>
      <c r="B54" s="5630"/>
      <c r="C54" s="5630"/>
      <c r="D54" s="5630"/>
      <c r="E54" s="5630"/>
      <c r="F54" s="5630"/>
      <c r="G54" s="5630"/>
      <c r="H54" s="5631"/>
      <c r="I54" s="3464"/>
      <c r="J54" s="3464"/>
      <c r="K54" s="3464"/>
      <c r="L54" s="3464"/>
      <c r="M54" s="3464"/>
      <c r="N54" s="3464"/>
      <c r="O54" s="3464"/>
      <c r="P54" s="3464"/>
      <c r="Q54" s="3464"/>
      <c r="R54" s="3464"/>
      <c r="S54" s="3464"/>
      <c r="T54" s="3464"/>
      <c r="U54" s="3464"/>
      <c r="V54" s="3464"/>
      <c r="W54" s="3464"/>
      <c r="X54" s="3464"/>
      <c r="Y54" s="3464"/>
      <c r="Z54" s="3464"/>
      <c r="AA54" s="3464"/>
      <c r="AB54" s="3464"/>
      <c r="AC54" s="3464"/>
      <c r="AD54" s="3464"/>
      <c r="AE54" s="3464"/>
      <c r="AF54" s="3464"/>
      <c r="AG54" s="3464"/>
      <c r="AH54" s="3464"/>
      <c r="AI54" s="3464"/>
      <c r="AJ54" s="3464"/>
    </row>
    <row r="55" spans="1:36" ht="15.95" customHeight="1">
      <c r="A55" s="5638" t="s">
        <v>185</v>
      </c>
      <c r="B55" s="3655" t="s">
        <v>1532</v>
      </c>
      <c r="C55" s="3664">
        <f>'4. Отчет и прогн. потребление'!D53</f>
        <v>5349375</v>
      </c>
      <c r="D55" s="3664">
        <f>'4. Отчет и прогн. потребление'!E53</f>
        <v>5338934.666666666</v>
      </c>
      <c r="E55" s="3664">
        <f>'4. Отчет и прогн. потребление'!F53</f>
        <v>5182660.1569519248</v>
      </c>
      <c r="F55" s="3664">
        <f>'4. Отчет и прогн. потребление'!G53</f>
        <v>5030679.2791940952</v>
      </c>
      <c r="G55" s="3664">
        <f>'4. Отчет и прогн. потребление'!H53</f>
        <v>4890313.6719728708</v>
      </c>
      <c r="H55" s="3664">
        <f>'4. Отчет и прогн. потребление'!I53</f>
        <v>3569290.411729503</v>
      </c>
      <c r="I55" s="3464"/>
      <c r="J55" s="3464"/>
      <c r="K55" s="3464"/>
      <c r="L55" s="3464"/>
      <c r="M55" s="3464"/>
      <c r="N55" s="3464"/>
      <c r="O55" s="3464"/>
      <c r="P55" s="3464"/>
      <c r="Q55" s="3464"/>
      <c r="R55" s="3464"/>
      <c r="S55" s="3464"/>
      <c r="T55" s="3464"/>
      <c r="U55" s="3464"/>
      <c r="V55" s="3464"/>
      <c r="W55" s="3464"/>
      <c r="X55" s="3464"/>
      <c r="Y55" s="3464"/>
      <c r="Z55" s="3464"/>
      <c r="AA55" s="3464"/>
      <c r="AB55" s="3464"/>
      <c r="AC55" s="3464"/>
      <c r="AD55" s="3464"/>
      <c r="AE55" s="3464"/>
      <c r="AF55" s="3464"/>
      <c r="AG55" s="3464"/>
      <c r="AH55" s="3464"/>
      <c r="AI55" s="3464"/>
      <c r="AJ55" s="3464"/>
    </row>
    <row r="56" spans="1:36" ht="15.95" customHeight="1">
      <c r="A56" s="5638"/>
      <c r="B56" s="3655" t="s">
        <v>170</v>
      </c>
      <c r="C56" s="3665">
        <f>'4. Отчет и прогн. потребление'!D54</f>
        <v>0.46633671160382167</v>
      </c>
      <c r="D56" s="3665">
        <f>'4. Отчет и прогн. потребление'!E54</f>
        <v>0.47018595044172973</v>
      </c>
      <c r="E56" s="3665">
        <f>'4. Отчет и прогн. потребление'!F54</f>
        <v>0.46901545251000015</v>
      </c>
      <c r="F56" s="3665">
        <f>'4. Отчет и прогн. потребление'!G54</f>
        <v>0.47074174298007859</v>
      </c>
      <c r="G56" s="3665">
        <f>'4. Отчет и прогн. потребление'!H54</f>
        <v>0.47183882097953389</v>
      </c>
      <c r="H56" s="3665">
        <f>'4. Отчет и прогн. потребление'!I54</f>
        <v>0.35603405980162528</v>
      </c>
      <c r="I56" s="3464"/>
      <c r="J56" s="3464"/>
      <c r="K56" s="3464"/>
      <c r="L56" s="3464"/>
      <c r="M56" s="3464"/>
      <c r="N56" s="3464"/>
      <c r="O56" s="3464"/>
      <c r="P56" s="3464"/>
      <c r="Q56" s="3464"/>
      <c r="R56" s="3464"/>
      <c r="S56" s="3464"/>
      <c r="T56" s="3464"/>
      <c r="U56" s="3464"/>
      <c r="V56" s="3464"/>
      <c r="W56" s="3464"/>
      <c r="X56" s="3464"/>
      <c r="Y56" s="3464"/>
      <c r="Z56" s="3464"/>
      <c r="AA56" s="3464"/>
      <c r="AB56" s="3464"/>
      <c r="AC56" s="3464"/>
      <c r="AD56" s="3464"/>
      <c r="AE56" s="3464"/>
      <c r="AF56" s="3464"/>
      <c r="AG56" s="3464"/>
      <c r="AH56" s="3464"/>
      <c r="AI56" s="3464"/>
      <c r="AJ56" s="3464"/>
    </row>
    <row r="57" spans="1:36" ht="15.95" customHeight="1">
      <c r="A57" s="3611" t="s">
        <v>177</v>
      </c>
      <c r="B57" s="3608" t="s">
        <v>1532</v>
      </c>
      <c r="C57" s="3609">
        <f>'4. Отчет и прогн. потребление'!D55</f>
        <v>4981329</v>
      </c>
      <c r="D57" s="3609">
        <f>'4. Отчет и прогн. потребление'!E55</f>
        <v>4955705.333333333</v>
      </c>
      <c r="E57" s="3609">
        <f>'4. Отчет и прогн. потребление'!F55</f>
        <v>4811710.1569519248</v>
      </c>
      <c r="F57" s="3609">
        <f>'4. Отчет и прогн. потребление'!G55</f>
        <v>4672094.2791940952</v>
      </c>
      <c r="G57" s="3609">
        <f>'4. Отчет и прогн. потребление'!H55</f>
        <v>4536674.6719728708</v>
      </c>
      <c r="H57" s="3609">
        <f>'4. Отчет и прогн. потребление'!I55</f>
        <v>3220597.411729503</v>
      </c>
      <c r="I57" s="3464"/>
      <c r="J57" s="3464"/>
      <c r="K57" s="3464"/>
      <c r="L57" s="3464"/>
      <c r="M57" s="3464"/>
      <c r="N57" s="3464"/>
      <c r="O57" s="3464"/>
      <c r="P57" s="3464"/>
      <c r="Q57" s="3464"/>
      <c r="R57" s="3464"/>
      <c r="S57" s="3464"/>
      <c r="T57" s="3464"/>
      <c r="U57" s="3464"/>
      <c r="V57" s="3464"/>
      <c r="W57" s="3464"/>
      <c r="X57" s="3464"/>
      <c r="Y57" s="3464"/>
      <c r="Z57" s="3464"/>
      <c r="AA57" s="3464"/>
      <c r="AB57" s="3464"/>
      <c r="AC57" s="3464"/>
      <c r="AD57" s="3464"/>
      <c r="AE57" s="3464"/>
      <c r="AF57" s="3464"/>
      <c r="AG57" s="3464"/>
      <c r="AH57" s="3464"/>
      <c r="AI57" s="3464"/>
      <c r="AJ57" s="3464"/>
    </row>
    <row r="58" spans="1:36" ht="15.95" customHeight="1">
      <c r="A58" s="3611" t="s">
        <v>179</v>
      </c>
      <c r="B58" s="3608" t="s">
        <v>1532</v>
      </c>
      <c r="C58" s="3609">
        <f>'4. Отчет и прогн. потребление'!D56</f>
        <v>368046</v>
      </c>
      <c r="D58" s="3609">
        <f>'4. Отчет и прогн. потребление'!E56</f>
        <v>383229.33333333331</v>
      </c>
      <c r="E58" s="3609">
        <f>'4. Отчет и прогн. потребление'!F56</f>
        <v>370950</v>
      </c>
      <c r="F58" s="3609">
        <f>'4. Отчет и прогн. потребление'!G56</f>
        <v>358585</v>
      </c>
      <c r="G58" s="3609">
        <f>'4. Отчет и прогн. потребление'!H56</f>
        <v>353639</v>
      </c>
      <c r="H58" s="3609">
        <f>'4. Отчет и прогн. потребление'!I56</f>
        <v>348693</v>
      </c>
      <c r="I58" s="3464"/>
      <c r="J58" s="3464"/>
      <c r="K58" s="3464"/>
      <c r="L58" s="3464"/>
      <c r="M58" s="3464"/>
      <c r="N58" s="3464"/>
      <c r="O58" s="3464"/>
      <c r="P58" s="3464"/>
      <c r="Q58" s="3464"/>
      <c r="R58" s="3464"/>
      <c r="S58" s="3464"/>
      <c r="T58" s="3464"/>
      <c r="U58" s="3464"/>
      <c r="V58" s="3464"/>
      <c r="W58" s="3464"/>
      <c r="X58" s="3464"/>
      <c r="Y58" s="3464"/>
      <c r="Z58" s="3464"/>
      <c r="AA58" s="3464"/>
      <c r="AB58" s="3464"/>
      <c r="AC58" s="3464"/>
      <c r="AD58" s="3464"/>
      <c r="AE58" s="3464"/>
      <c r="AF58" s="3464"/>
      <c r="AG58" s="3464"/>
      <c r="AH58" s="3464"/>
      <c r="AI58" s="3464"/>
      <c r="AJ58" s="3464"/>
    </row>
    <row r="59" spans="1:36" ht="15.95" customHeight="1">
      <c r="A59" s="3613" t="s">
        <v>997</v>
      </c>
      <c r="B59" s="3608" t="s">
        <v>1532</v>
      </c>
      <c r="C59" s="3614">
        <f>'4. Отчет и прогн. потребление'!D58</f>
        <v>200339</v>
      </c>
      <c r="D59" s="3614">
        <f>'4. Отчет и прогн. потребление'!E58</f>
        <v>208590</v>
      </c>
      <c r="E59" s="3614">
        <f>'4. Отчет и прогн. потребление'!F58</f>
        <v>201910</v>
      </c>
      <c r="F59" s="3614">
        <f>'4. Отчет и прогн. потребление'!G58</f>
        <v>195180</v>
      </c>
      <c r="G59" s="3614">
        <f>'4. Отчет и прогн. потребление'!H58</f>
        <v>192485</v>
      </c>
      <c r="H59" s="3614">
        <f>'4. Отчет и прогн. потребление'!I58</f>
        <v>189795</v>
      </c>
      <c r="I59" s="3464"/>
      <c r="J59" s="3464"/>
      <c r="K59" s="3464"/>
      <c r="L59" s="3464"/>
      <c r="M59" s="3464"/>
      <c r="N59" s="3464"/>
      <c r="O59" s="3464"/>
      <c r="P59" s="3464"/>
      <c r="Q59" s="3464"/>
      <c r="R59" s="3464"/>
      <c r="S59" s="3464"/>
      <c r="T59" s="3464"/>
      <c r="U59" s="3464"/>
      <c r="V59" s="3464"/>
      <c r="W59" s="3464"/>
      <c r="X59" s="3464"/>
      <c r="Y59" s="3464"/>
      <c r="Z59" s="3464"/>
      <c r="AA59" s="3464"/>
      <c r="AB59" s="3464"/>
      <c r="AC59" s="3464"/>
      <c r="AD59" s="3464"/>
      <c r="AE59" s="3464"/>
      <c r="AF59" s="3464"/>
      <c r="AG59" s="3464"/>
      <c r="AH59" s="3464"/>
      <c r="AI59" s="3464"/>
      <c r="AJ59" s="3464"/>
    </row>
    <row r="60" spans="1:36" ht="15.95" customHeight="1">
      <c r="A60" s="3613" t="s">
        <v>998</v>
      </c>
      <c r="B60" s="3608" t="s">
        <v>1532</v>
      </c>
      <c r="C60" s="3614">
        <f>'4. Отчет и прогн. потребление'!D59</f>
        <v>28576</v>
      </c>
      <c r="D60" s="3614">
        <f>'4. Отчет и прогн. потребление'!E59</f>
        <v>29738</v>
      </c>
      <c r="E60" s="3614">
        <f>'4. Отчет и прогн. потребление'!F59</f>
        <v>28785</v>
      </c>
      <c r="F60" s="3614">
        <f>'4. Отчет и прогн. потребление'!G59</f>
        <v>27826</v>
      </c>
      <c r="G60" s="3614">
        <f>'4. Отчет и прогн. потребление'!H59</f>
        <v>27445</v>
      </c>
      <c r="H60" s="3614">
        <f>'4. Отчет и прогн. потребление'!I59</f>
        <v>27060</v>
      </c>
      <c r="I60" s="3464"/>
      <c r="J60" s="3464"/>
      <c r="K60" s="3464"/>
      <c r="L60" s="3464"/>
      <c r="M60" s="3464"/>
      <c r="N60" s="3464"/>
      <c r="O60" s="3464"/>
      <c r="P60" s="3464"/>
      <c r="Q60" s="3464"/>
      <c r="R60" s="3464"/>
      <c r="S60" s="3464"/>
      <c r="T60" s="3464"/>
      <c r="U60" s="3464"/>
      <c r="V60" s="3464"/>
      <c r="W60" s="3464"/>
      <c r="X60" s="3464"/>
      <c r="Y60" s="3464"/>
      <c r="Z60" s="3464"/>
      <c r="AA60" s="3464"/>
      <c r="AB60" s="3464"/>
      <c r="AC60" s="3464"/>
      <c r="AD60" s="3464"/>
      <c r="AE60" s="3464"/>
      <c r="AF60" s="3464"/>
      <c r="AG60" s="3464"/>
      <c r="AH60" s="3464"/>
      <c r="AI60" s="3464"/>
      <c r="AJ60" s="3464"/>
    </row>
    <row r="61" spans="1:36" ht="15.95" customHeight="1">
      <c r="A61" s="3613" t="s">
        <v>999</v>
      </c>
      <c r="B61" s="3608" t="s">
        <v>1532</v>
      </c>
      <c r="C61" s="3614">
        <f>'4. Отчет и прогн. потребление'!D60</f>
        <v>139131</v>
      </c>
      <c r="D61" s="3614">
        <f>'4. Отчет и прогн. потребление'!E60</f>
        <v>144901</v>
      </c>
      <c r="E61" s="3614">
        <f>'4. Отчет и прогн. потребление'!F60</f>
        <v>140255</v>
      </c>
      <c r="F61" s="3614">
        <f>'4. Отчет и прогн. потребление'!G60</f>
        <v>135579</v>
      </c>
      <c r="G61" s="3614">
        <f>'4. Отчет и прогн. потребление'!H60</f>
        <v>133709</v>
      </c>
      <c r="H61" s="3614">
        <f>'4. Отчет и прогн. потребление'!I60</f>
        <v>131838</v>
      </c>
      <c r="I61" s="3464"/>
      <c r="J61" s="3464"/>
      <c r="K61" s="3464"/>
      <c r="L61" s="3464"/>
      <c r="M61" s="3464"/>
      <c r="N61" s="3464"/>
      <c r="O61" s="3464"/>
      <c r="P61" s="3464"/>
      <c r="Q61" s="3464"/>
      <c r="R61" s="3464"/>
      <c r="S61" s="3464"/>
      <c r="T61" s="3464"/>
      <c r="U61" s="3464"/>
      <c r="V61" s="3464"/>
      <c r="W61" s="3464"/>
      <c r="X61" s="3464"/>
      <c r="Y61" s="3464"/>
      <c r="Z61" s="3464"/>
      <c r="AA61" s="3464"/>
      <c r="AB61" s="3464"/>
      <c r="AC61" s="3464"/>
      <c r="AD61" s="3464"/>
      <c r="AE61" s="3464"/>
      <c r="AF61" s="3464"/>
      <c r="AG61" s="3464"/>
      <c r="AH61" s="3464"/>
      <c r="AI61" s="3464"/>
      <c r="AJ61" s="3464"/>
    </row>
    <row r="62" spans="1:36" ht="15.95" customHeight="1">
      <c r="A62" s="5629" t="s">
        <v>1236</v>
      </c>
      <c r="B62" s="5630"/>
      <c r="C62" s="5630"/>
      <c r="D62" s="5630"/>
      <c r="E62" s="5630"/>
      <c r="F62" s="5630"/>
      <c r="G62" s="5630"/>
      <c r="H62" s="5631"/>
      <c r="I62" s="3464"/>
      <c r="J62" s="3464"/>
      <c r="K62" s="3464"/>
      <c r="L62" s="3464"/>
      <c r="M62" s="3464"/>
      <c r="N62" s="3464"/>
      <c r="O62" s="3464"/>
      <c r="P62" s="3464"/>
      <c r="Q62" s="3464"/>
      <c r="R62" s="3464"/>
      <c r="S62" s="3464"/>
      <c r="T62" s="3464"/>
      <c r="U62" s="3464"/>
      <c r="V62" s="3464"/>
      <c r="W62" s="3464"/>
      <c r="X62" s="3464"/>
      <c r="Y62" s="3464"/>
      <c r="Z62" s="3464"/>
      <c r="AA62" s="3464"/>
      <c r="AB62" s="3464"/>
      <c r="AC62" s="3464"/>
      <c r="AD62" s="3464"/>
      <c r="AE62" s="3464"/>
      <c r="AF62" s="3464"/>
      <c r="AG62" s="3464"/>
      <c r="AH62" s="3464"/>
      <c r="AI62" s="3464"/>
      <c r="AJ62" s="3464"/>
    </row>
    <row r="63" spans="1:36" ht="15.95" customHeight="1">
      <c r="A63" s="3654" t="s">
        <v>570</v>
      </c>
      <c r="B63" s="3655" t="s">
        <v>1532</v>
      </c>
      <c r="C63" s="3656">
        <f>'4. Отчет и прогн. потребление'!D62</f>
        <v>0</v>
      </c>
      <c r="D63" s="3656">
        <f>'4. Отчет и прогн. потребление'!E62</f>
        <v>0</v>
      </c>
      <c r="E63" s="3656">
        <f>'4. Отчет и прогн. потребление'!F62</f>
        <v>0</v>
      </c>
      <c r="F63" s="3656">
        <f>'4. Отчет и прогн. потребление'!G62</f>
        <v>0</v>
      </c>
      <c r="G63" s="3656">
        <f>'4. Отчет и прогн. потребление'!H62</f>
        <v>0</v>
      </c>
      <c r="H63" s="3656">
        <f>'4. Отчет и прогн. потребление'!I62</f>
        <v>0</v>
      </c>
      <c r="I63" s="3464"/>
      <c r="J63" s="3464"/>
      <c r="K63" s="3464"/>
      <c r="L63" s="3464"/>
      <c r="M63" s="3464"/>
      <c r="N63" s="3464"/>
      <c r="O63" s="3464"/>
      <c r="P63" s="3464"/>
      <c r="Q63" s="3464"/>
      <c r="R63" s="3464"/>
      <c r="S63" s="3464"/>
      <c r="T63" s="3464"/>
      <c r="U63" s="3464"/>
      <c r="V63" s="3464"/>
      <c r="W63" s="3464"/>
      <c r="X63" s="3464"/>
      <c r="Y63" s="3464"/>
      <c r="Z63" s="3464"/>
      <c r="AA63" s="3464"/>
      <c r="AB63" s="3464"/>
      <c r="AC63" s="3464"/>
      <c r="AD63" s="3464"/>
      <c r="AE63" s="3464"/>
      <c r="AF63" s="3464"/>
      <c r="AG63" s="3464"/>
      <c r="AH63" s="3464"/>
      <c r="AI63" s="3464"/>
      <c r="AJ63" s="3464"/>
    </row>
    <row r="64" spans="1:36" ht="15.95" customHeight="1">
      <c r="A64" s="5632" t="s">
        <v>572</v>
      </c>
      <c r="B64" s="3608" t="s">
        <v>1532</v>
      </c>
      <c r="C64" s="3609">
        <f>'4. Отчет и прогн. потребление'!D69</f>
        <v>0</v>
      </c>
      <c r="D64" s="3609">
        <f>'4. Отчет и прогн. потребление'!E69</f>
        <v>0</v>
      </c>
      <c r="E64" s="3609">
        <f>'4. Отчет и прогн. потребление'!F69</f>
        <v>0</v>
      </c>
      <c r="F64" s="3609">
        <f>'4. Отчет и прогн. потребление'!G69</f>
        <v>0</v>
      </c>
      <c r="G64" s="3609">
        <f>'4. Отчет и прогн. потребление'!H69</f>
        <v>0</v>
      </c>
      <c r="H64" s="3609">
        <f>'4. Отчет и прогн. потребление'!I69</f>
        <v>0</v>
      </c>
      <c r="I64" s="3464"/>
      <c r="J64" s="3464"/>
      <c r="K64" s="3464"/>
      <c r="L64" s="3464"/>
      <c r="M64" s="3464"/>
      <c r="N64" s="3464"/>
      <c r="O64" s="3464"/>
      <c r="P64" s="3464"/>
      <c r="Q64" s="3464"/>
      <c r="R64" s="3464"/>
      <c r="S64" s="3464"/>
      <c r="T64" s="3464"/>
      <c r="U64" s="3464"/>
      <c r="V64" s="3464"/>
      <c r="W64" s="3464"/>
      <c r="X64" s="3464"/>
      <c r="Y64" s="3464"/>
      <c r="Z64" s="3464"/>
      <c r="AA64" s="3464"/>
      <c r="AB64" s="3464"/>
      <c r="AC64" s="3464"/>
      <c r="AD64" s="3464"/>
      <c r="AE64" s="3464"/>
      <c r="AF64" s="3464"/>
      <c r="AG64" s="3464"/>
      <c r="AH64" s="3464"/>
      <c r="AI64" s="3464"/>
      <c r="AJ64" s="3464"/>
    </row>
    <row r="65" spans="1:36" ht="15.95" customHeight="1">
      <c r="A65" s="5633"/>
      <c r="B65" s="3608" t="s">
        <v>170</v>
      </c>
      <c r="C65" s="3610">
        <f>'4. Отчет и прогн. потребление'!D70</f>
        <v>0</v>
      </c>
      <c r="D65" s="3610">
        <f>'4. Отчет и прогн. потребление'!E70</f>
        <v>0</v>
      </c>
      <c r="E65" s="3610">
        <f>'4. Отчет и прогн. потребление'!F70</f>
        <v>0</v>
      </c>
      <c r="F65" s="3610">
        <f>'4. Отчет и прогн. потребление'!G70</f>
        <v>0</v>
      </c>
      <c r="G65" s="3610">
        <f>'4. Отчет и прогн. потребление'!H70</f>
        <v>0</v>
      </c>
      <c r="H65" s="3610">
        <f>'4. Отчет и прогн. потребление'!I70</f>
        <v>0</v>
      </c>
      <c r="I65" s="3464"/>
      <c r="J65" s="3464"/>
      <c r="K65" s="3464"/>
      <c r="L65" s="3464"/>
      <c r="M65" s="3464"/>
      <c r="N65" s="3464"/>
      <c r="O65" s="3464"/>
      <c r="P65" s="3464"/>
      <c r="Q65" s="3464"/>
      <c r="R65" s="3464"/>
      <c r="S65" s="3464"/>
      <c r="T65" s="3464"/>
      <c r="U65" s="3464"/>
      <c r="V65" s="3464"/>
      <c r="W65" s="3464"/>
      <c r="X65" s="3464"/>
      <c r="Y65" s="3464"/>
      <c r="Z65" s="3464"/>
      <c r="AA65" s="3464"/>
      <c r="AB65" s="3464"/>
      <c r="AC65" s="3464"/>
      <c r="AD65" s="3464"/>
      <c r="AE65" s="3464"/>
      <c r="AF65" s="3464"/>
      <c r="AG65" s="3464"/>
      <c r="AH65" s="3464"/>
      <c r="AI65" s="3464"/>
      <c r="AJ65" s="3464"/>
    </row>
    <row r="66" spans="1:36" ht="15.95" customHeight="1">
      <c r="A66" s="5634" t="s">
        <v>594</v>
      </c>
      <c r="B66" s="3655" t="s">
        <v>1532</v>
      </c>
      <c r="C66" s="3656">
        <f>'4. Отчет и прогн. потребление'!D88</f>
        <v>0</v>
      </c>
      <c r="D66" s="3656">
        <f>'4. Отчет и прогн. потребление'!E88</f>
        <v>0</v>
      </c>
      <c r="E66" s="3656">
        <f>'4. Отчет и прогн. потребление'!F88</f>
        <v>0</v>
      </c>
      <c r="F66" s="3656">
        <f>'4. Отчет и прогн. потребление'!G88</f>
        <v>0</v>
      </c>
      <c r="G66" s="3656">
        <f>'4. Отчет и прогн. потребление'!H88</f>
        <v>0</v>
      </c>
      <c r="H66" s="3656">
        <f>'4. Отчет и прогн. потребление'!I88</f>
        <v>0</v>
      </c>
      <c r="I66" s="3464"/>
      <c r="J66" s="3464"/>
      <c r="K66" s="3464"/>
      <c r="L66" s="3464"/>
      <c r="M66" s="3464"/>
      <c r="N66" s="3464"/>
      <c r="O66" s="3464"/>
      <c r="P66" s="3464"/>
      <c r="Q66" s="3464"/>
      <c r="R66" s="3464"/>
      <c r="S66" s="3464"/>
      <c r="T66" s="3464"/>
      <c r="U66" s="3464"/>
      <c r="V66" s="3464"/>
      <c r="W66" s="3464"/>
      <c r="X66" s="3464"/>
      <c r="Y66" s="3464"/>
      <c r="Z66" s="3464"/>
      <c r="AA66" s="3464"/>
      <c r="AB66" s="3464"/>
      <c r="AC66" s="3464"/>
      <c r="AD66" s="3464"/>
      <c r="AE66" s="3464"/>
      <c r="AF66" s="3464"/>
      <c r="AG66" s="3464"/>
      <c r="AH66" s="3464"/>
      <c r="AI66" s="3464"/>
      <c r="AJ66" s="3464"/>
    </row>
    <row r="67" spans="1:36" ht="15.95" customHeight="1">
      <c r="A67" s="5635"/>
      <c r="B67" s="3655" t="s">
        <v>170</v>
      </c>
      <c r="C67" s="3663">
        <f>'4. Отчет и прогн. потребление'!D89</f>
        <v>0</v>
      </c>
      <c r="D67" s="3663">
        <f>'4. Отчет и прогн. потребление'!E89</f>
        <v>0</v>
      </c>
      <c r="E67" s="3663">
        <f>'4. Отчет и прогн. потребление'!F89</f>
        <v>0</v>
      </c>
      <c r="F67" s="3663">
        <f>'4. Отчет и прогн. потребление'!G89</f>
        <v>0</v>
      </c>
      <c r="G67" s="3663">
        <f>'4. Отчет и прогн. потребление'!H89</f>
        <v>0</v>
      </c>
      <c r="H67" s="3663">
        <f>'4. Отчет и прогн. потребление'!I89</f>
        <v>0</v>
      </c>
      <c r="I67" s="3464"/>
      <c r="J67" s="3464"/>
      <c r="K67" s="3464"/>
      <c r="L67" s="3464"/>
      <c r="M67" s="3464"/>
      <c r="N67" s="3464"/>
      <c r="O67" s="3464"/>
      <c r="P67" s="3464"/>
      <c r="Q67" s="3464"/>
      <c r="R67" s="3464"/>
      <c r="S67" s="3464"/>
      <c r="T67" s="3464"/>
      <c r="U67" s="3464"/>
      <c r="V67" s="3464"/>
      <c r="W67" s="3464"/>
      <c r="X67" s="3464"/>
      <c r="Y67" s="3464"/>
      <c r="Z67" s="3464"/>
      <c r="AA67" s="3464"/>
      <c r="AB67" s="3464"/>
      <c r="AC67" s="3464"/>
      <c r="AD67" s="3464"/>
      <c r="AE67" s="3464"/>
      <c r="AF67" s="3464"/>
      <c r="AG67" s="3464"/>
      <c r="AH67" s="3464"/>
      <c r="AI67" s="3464"/>
      <c r="AJ67" s="3464"/>
    </row>
    <row r="68" spans="1:36" ht="15.95" customHeight="1">
      <c r="A68" s="5636"/>
      <c r="B68" s="3655" t="s">
        <v>1533</v>
      </c>
      <c r="C68" s="3662">
        <f>'4. Отчет и прогн. потребление'!D90</f>
        <v>0</v>
      </c>
      <c r="D68" s="3662">
        <f>'4. Отчет и прогн. потребление'!E90</f>
        <v>0</v>
      </c>
      <c r="E68" s="3662">
        <f>'4. Отчет и прогн. потребление'!F90</f>
        <v>0</v>
      </c>
      <c r="F68" s="3662">
        <f>'4. Отчет и прогн. потребление'!G90</f>
        <v>0</v>
      </c>
      <c r="G68" s="3662">
        <f>'4. Отчет и прогн. потребление'!H90</f>
        <v>0</v>
      </c>
      <c r="H68" s="3662">
        <f>'4. Отчет и прогн. потребление'!I90</f>
        <v>0</v>
      </c>
      <c r="I68" s="3464"/>
      <c r="J68" s="3464"/>
      <c r="K68" s="3464"/>
      <c r="L68" s="3464"/>
      <c r="M68" s="3464"/>
      <c r="N68" s="3464"/>
      <c r="O68" s="3464"/>
      <c r="P68" s="3464"/>
      <c r="Q68" s="3464"/>
      <c r="R68" s="3464"/>
      <c r="S68" s="3464"/>
      <c r="T68" s="3464"/>
      <c r="U68" s="3464"/>
      <c r="V68" s="3464"/>
      <c r="W68" s="3464"/>
      <c r="X68" s="3464"/>
      <c r="Y68" s="3464"/>
      <c r="Z68" s="3464"/>
      <c r="AA68" s="3464"/>
      <c r="AB68" s="3464"/>
      <c r="AC68" s="3464"/>
      <c r="AD68" s="3464"/>
      <c r="AE68" s="3464"/>
      <c r="AF68" s="3464"/>
      <c r="AG68" s="3464"/>
      <c r="AH68" s="3464"/>
      <c r="AI68" s="3464"/>
      <c r="AJ68" s="3464"/>
    </row>
    <row r="69" spans="1:36" ht="15.95" customHeight="1">
      <c r="A69" s="5629" t="s">
        <v>1092</v>
      </c>
      <c r="B69" s="5630"/>
      <c r="C69" s="5630"/>
      <c r="D69" s="5630"/>
      <c r="E69" s="5630"/>
      <c r="F69" s="5630"/>
      <c r="G69" s="5630"/>
      <c r="H69" s="5631"/>
      <c r="I69" s="3464"/>
      <c r="J69" s="3464"/>
      <c r="K69" s="3464"/>
      <c r="L69" s="3464"/>
      <c r="M69" s="3464"/>
      <c r="N69" s="3464"/>
      <c r="O69" s="3464"/>
      <c r="P69" s="3464"/>
      <c r="Q69" s="3464"/>
      <c r="R69" s="3464"/>
      <c r="S69" s="3464"/>
      <c r="T69" s="3464"/>
      <c r="U69" s="3464"/>
      <c r="V69" s="3464"/>
      <c r="W69" s="3464"/>
      <c r="X69" s="3464"/>
      <c r="Y69" s="3464"/>
      <c r="Z69" s="3464"/>
      <c r="AA69" s="3464"/>
      <c r="AB69" s="3464"/>
      <c r="AC69" s="3464"/>
      <c r="AD69" s="3464"/>
      <c r="AE69" s="3464"/>
      <c r="AF69" s="3464"/>
      <c r="AG69" s="3464"/>
      <c r="AH69" s="3464"/>
      <c r="AI69" s="3464"/>
      <c r="AJ69" s="3464"/>
    </row>
    <row r="70" spans="1:36" ht="15.95" customHeight="1">
      <c r="A70" s="3654" t="s">
        <v>570</v>
      </c>
      <c r="B70" s="3655" t="s">
        <v>1532</v>
      </c>
      <c r="C70" s="3656">
        <f>'4. Отчет и прогн. потребление'!D93</f>
        <v>0</v>
      </c>
      <c r="D70" s="3656">
        <f>'4. Отчет и прогн. потребление'!E93</f>
        <v>0</v>
      </c>
      <c r="E70" s="3656">
        <f>'4. Отчет и прогн. потребление'!F93</f>
        <v>0</v>
      </c>
      <c r="F70" s="3656">
        <f>'4. Отчет и прогн. потребление'!G93</f>
        <v>0</v>
      </c>
      <c r="G70" s="3656">
        <f>'4. Отчет и прогн. потребление'!H93</f>
        <v>0</v>
      </c>
      <c r="H70" s="3656">
        <f>'4. Отчет и прогн. потребление'!I93</f>
        <v>0</v>
      </c>
      <c r="I70" s="3464"/>
      <c r="J70" s="3464"/>
      <c r="K70" s="3464"/>
      <c r="L70" s="3464"/>
      <c r="M70" s="3464"/>
      <c r="N70" s="3464"/>
      <c r="O70" s="3464"/>
      <c r="P70" s="3464"/>
      <c r="Q70" s="3464"/>
      <c r="R70" s="3464"/>
      <c r="S70" s="3464"/>
      <c r="T70" s="3464"/>
      <c r="U70" s="3464"/>
      <c r="V70" s="3464"/>
      <c r="W70" s="3464"/>
      <c r="X70" s="3464"/>
      <c r="Y70" s="3464"/>
      <c r="Z70" s="3464"/>
      <c r="AA70" s="3464"/>
      <c r="AB70" s="3464"/>
      <c r="AC70" s="3464"/>
      <c r="AD70" s="3464"/>
      <c r="AE70" s="3464"/>
      <c r="AF70" s="3464"/>
      <c r="AG70" s="3464"/>
      <c r="AH70" s="3464"/>
      <c r="AI70" s="3464"/>
      <c r="AJ70" s="3464"/>
    </row>
    <row r="71" spans="1:36" ht="15.95" customHeight="1">
      <c r="A71" s="5632" t="s">
        <v>572</v>
      </c>
      <c r="B71" s="3608" t="s">
        <v>1532</v>
      </c>
      <c r="C71" s="3609">
        <f>'4. Отчет и прогн. потребление'!D100</f>
        <v>0</v>
      </c>
      <c r="D71" s="3609">
        <f>'4. Отчет и прогн. потребление'!E100</f>
        <v>0</v>
      </c>
      <c r="E71" s="3609">
        <f>'4. Отчет и прогн. потребление'!F100</f>
        <v>0</v>
      </c>
      <c r="F71" s="3609">
        <f>'4. Отчет и прогн. потребление'!G100</f>
        <v>0</v>
      </c>
      <c r="G71" s="3609">
        <f>'4. Отчет и прогн. потребление'!H100</f>
        <v>0</v>
      </c>
      <c r="H71" s="3609">
        <f>'4. Отчет и прогн. потребление'!I100</f>
        <v>0</v>
      </c>
      <c r="I71" s="3464"/>
      <c r="J71" s="3464"/>
      <c r="K71" s="3464"/>
      <c r="L71" s="3464"/>
      <c r="M71" s="3464"/>
      <c r="N71" s="3464"/>
      <c r="O71" s="3464"/>
      <c r="P71" s="3464"/>
      <c r="Q71" s="3464"/>
      <c r="R71" s="3464"/>
      <c r="S71" s="3464"/>
      <c r="T71" s="3464"/>
      <c r="U71" s="3464"/>
      <c r="V71" s="3464"/>
      <c r="W71" s="3464"/>
      <c r="X71" s="3464"/>
      <c r="Y71" s="3464"/>
      <c r="Z71" s="3464"/>
      <c r="AA71" s="3464"/>
      <c r="AB71" s="3464"/>
      <c r="AC71" s="3464"/>
      <c r="AD71" s="3464"/>
      <c r="AE71" s="3464"/>
      <c r="AF71" s="3464"/>
      <c r="AG71" s="3464"/>
      <c r="AH71" s="3464"/>
      <c r="AI71" s="3464"/>
      <c r="AJ71" s="3464"/>
    </row>
    <row r="72" spans="1:36" ht="15.95" customHeight="1">
      <c r="A72" s="5633"/>
      <c r="B72" s="3608" t="s">
        <v>170</v>
      </c>
      <c r="C72" s="3610">
        <f>'4. Отчет и прогн. потребление'!D101</f>
        <v>0</v>
      </c>
      <c r="D72" s="3610">
        <f>'4. Отчет и прогн. потребление'!E101</f>
        <v>0</v>
      </c>
      <c r="E72" s="3610">
        <f>'4. Отчет и прогн. потребление'!F101</f>
        <v>0</v>
      </c>
      <c r="F72" s="3610">
        <f>'4. Отчет и прогн. потребление'!G101</f>
        <v>0</v>
      </c>
      <c r="G72" s="3610">
        <f>'4. Отчет и прогн. потребление'!H101</f>
        <v>0</v>
      </c>
      <c r="H72" s="3610">
        <f>'4. Отчет и прогн. потребление'!I101</f>
        <v>0</v>
      </c>
      <c r="I72" s="3464"/>
      <c r="J72" s="3464"/>
      <c r="K72" s="3464"/>
      <c r="L72" s="3464"/>
      <c r="M72" s="3464"/>
      <c r="N72" s="3464"/>
      <c r="O72" s="3464"/>
      <c r="P72" s="3464"/>
      <c r="Q72" s="3464"/>
      <c r="R72" s="3464"/>
      <c r="S72" s="3464"/>
      <c r="T72" s="3464"/>
      <c r="U72" s="3464"/>
      <c r="V72" s="3464"/>
      <c r="W72" s="3464"/>
      <c r="X72" s="3464"/>
      <c r="Y72" s="3464"/>
      <c r="Z72" s="3464"/>
      <c r="AA72" s="3464"/>
      <c r="AB72" s="3464"/>
      <c r="AC72" s="3464"/>
      <c r="AD72" s="3464"/>
      <c r="AE72" s="3464"/>
      <c r="AF72" s="3464"/>
      <c r="AG72" s="3464"/>
      <c r="AH72" s="3464"/>
      <c r="AI72" s="3464"/>
      <c r="AJ72" s="3464"/>
    </row>
    <row r="73" spans="1:36" ht="15.95" customHeight="1">
      <c r="A73" s="5634" t="s">
        <v>594</v>
      </c>
      <c r="B73" s="3655" t="s">
        <v>1532</v>
      </c>
      <c r="C73" s="3656">
        <f>'4. Отчет и прогн. потребление'!D110</f>
        <v>0</v>
      </c>
      <c r="D73" s="3656">
        <f>'4. Отчет и прогн. потребление'!E110</f>
        <v>0</v>
      </c>
      <c r="E73" s="3656">
        <f>'4. Отчет и прогн. потребление'!F110</f>
        <v>0</v>
      </c>
      <c r="F73" s="3656">
        <f>'4. Отчет и прогн. потребление'!G110</f>
        <v>0</v>
      </c>
      <c r="G73" s="3656">
        <f>'4. Отчет и прогн. потребление'!H110</f>
        <v>0</v>
      </c>
      <c r="H73" s="3656">
        <f>'4. Отчет и прогн. потребление'!I110</f>
        <v>0</v>
      </c>
      <c r="I73" s="3464"/>
      <c r="J73" s="3464"/>
      <c r="K73" s="3464"/>
      <c r="L73" s="3464"/>
      <c r="M73" s="3464"/>
      <c r="N73" s="3464"/>
      <c r="O73" s="3464"/>
      <c r="P73" s="3464"/>
      <c r="Q73" s="3464"/>
      <c r="R73" s="3464"/>
      <c r="S73" s="3464"/>
      <c r="T73" s="3464"/>
      <c r="U73" s="3464"/>
      <c r="V73" s="3464"/>
      <c r="W73" s="3464"/>
      <c r="X73" s="3464"/>
      <c r="Y73" s="3464"/>
      <c r="Z73" s="3464"/>
      <c r="AA73" s="3464"/>
      <c r="AB73" s="3464"/>
      <c r="AC73" s="3464"/>
      <c r="AD73" s="3464"/>
      <c r="AE73" s="3464"/>
      <c r="AF73" s="3464"/>
      <c r="AG73" s="3464"/>
      <c r="AH73" s="3464"/>
      <c r="AI73" s="3464"/>
      <c r="AJ73" s="3464"/>
    </row>
    <row r="74" spans="1:36" ht="15.95" customHeight="1">
      <c r="A74" s="5636"/>
      <c r="B74" s="3655" t="s">
        <v>170</v>
      </c>
      <c r="C74" s="3663">
        <f>'4. Отчет и прогн. потребление'!D111</f>
        <v>0</v>
      </c>
      <c r="D74" s="3663">
        <f>'4. Отчет и прогн. потребление'!E111</f>
        <v>0</v>
      </c>
      <c r="E74" s="3663">
        <f>'4. Отчет и прогн. потребление'!F111</f>
        <v>0</v>
      </c>
      <c r="F74" s="3663">
        <f>'4. Отчет и прогн. потребление'!G111</f>
        <v>0</v>
      </c>
      <c r="G74" s="3663">
        <f>'4. Отчет и прогн. потребление'!H111</f>
        <v>0</v>
      </c>
      <c r="H74" s="3663">
        <f>'4. Отчет и прогн. потребление'!I111</f>
        <v>0</v>
      </c>
      <c r="I74" s="3464"/>
      <c r="J74" s="3464"/>
      <c r="K74" s="3464"/>
      <c r="L74" s="3464"/>
      <c r="M74" s="3464"/>
      <c r="N74" s="3464"/>
      <c r="O74" s="3464"/>
      <c r="P74" s="3464"/>
      <c r="Q74" s="3464"/>
      <c r="R74" s="3464"/>
      <c r="S74" s="3464"/>
      <c r="T74" s="3464"/>
      <c r="U74" s="3464"/>
      <c r="V74" s="3464"/>
      <c r="W74" s="3464"/>
      <c r="X74" s="3464"/>
      <c r="Y74" s="3464"/>
      <c r="Z74" s="3464"/>
      <c r="AA74" s="3464"/>
      <c r="AB74" s="3464"/>
      <c r="AC74" s="3464"/>
      <c r="AD74" s="3464"/>
      <c r="AE74" s="3464"/>
      <c r="AF74" s="3464"/>
      <c r="AG74" s="3464"/>
      <c r="AH74" s="3464"/>
      <c r="AI74" s="3464"/>
      <c r="AJ74" s="3464"/>
    </row>
    <row r="75" spans="1:36">
      <c r="A75" s="3464"/>
      <c r="B75" s="3464"/>
      <c r="C75" s="3464"/>
      <c r="D75" s="3464"/>
      <c r="E75" s="3464"/>
      <c r="F75" s="3464"/>
      <c r="G75" s="3464"/>
      <c r="H75" s="3464"/>
      <c r="I75" s="3464"/>
      <c r="J75" s="3464"/>
      <c r="K75" s="3464"/>
      <c r="L75" s="3464"/>
      <c r="M75" s="3464"/>
      <c r="N75" s="3464"/>
      <c r="O75" s="3464"/>
      <c r="P75" s="3464"/>
      <c r="Q75" s="3464"/>
      <c r="R75" s="3464"/>
      <c r="S75" s="3464"/>
      <c r="T75" s="3464"/>
      <c r="U75" s="3464"/>
      <c r="V75" s="3464"/>
      <c r="W75" s="3464"/>
      <c r="X75" s="3464"/>
      <c r="Y75" s="3464"/>
      <c r="Z75" s="3464"/>
      <c r="AA75" s="3464"/>
      <c r="AB75" s="3464"/>
      <c r="AC75" s="3464"/>
      <c r="AD75" s="3464"/>
      <c r="AE75" s="3464"/>
      <c r="AF75" s="3464"/>
      <c r="AG75" s="3464"/>
      <c r="AH75" s="3464"/>
      <c r="AI75" s="3464"/>
      <c r="AJ75" s="3464"/>
    </row>
    <row r="76" spans="1:36" ht="15.75">
      <c r="A76" s="3669" t="s">
        <v>872</v>
      </c>
      <c r="B76" s="3464"/>
      <c r="C76" s="3464"/>
      <c r="D76" s="3464"/>
      <c r="E76" s="3464"/>
      <c r="F76" s="3464"/>
      <c r="G76" s="3464"/>
      <c r="H76" s="3464"/>
      <c r="I76" s="3464"/>
      <c r="J76" s="3464"/>
      <c r="K76" s="3464"/>
      <c r="L76" s="3464"/>
      <c r="M76" s="3464"/>
      <c r="N76" s="3464"/>
      <c r="O76" s="3464"/>
      <c r="P76" s="3464"/>
      <c r="Q76" s="3464"/>
      <c r="R76" s="3464"/>
      <c r="S76" s="3464"/>
      <c r="T76" s="3464"/>
      <c r="U76" s="3464"/>
      <c r="V76" s="3464"/>
      <c r="W76" s="3464"/>
      <c r="X76" s="3464"/>
      <c r="Y76" s="3464"/>
      <c r="Z76" s="3464"/>
      <c r="AA76" s="3464"/>
      <c r="AB76" s="3464"/>
      <c r="AC76" s="3464"/>
      <c r="AD76" s="3464"/>
      <c r="AE76" s="3464"/>
      <c r="AF76" s="3464"/>
      <c r="AG76" s="3464"/>
      <c r="AH76" s="3464"/>
      <c r="AI76" s="3464"/>
      <c r="AJ76" s="3464"/>
    </row>
    <row r="77" spans="1:36" ht="18" customHeight="1">
      <c r="A77" s="3628" t="s">
        <v>2</v>
      </c>
      <c r="B77" s="3629" t="s">
        <v>1534</v>
      </c>
      <c r="C77" s="4648" t="str">
        <f>+'15. ОПП'!$B$7</f>
        <v>2024 г.</v>
      </c>
      <c r="D77" s="4648" t="str">
        <f>+'15. ОПП'!$C$7</f>
        <v>2027 г.</v>
      </c>
      <c r="E77" s="4648" t="str">
        <f>+'15. ОПП'!$D$7</f>
        <v>2028 г.</v>
      </c>
      <c r="F77" s="4648" t="str">
        <f>+'15. ОПП'!$E$7</f>
        <v>2029 г.</v>
      </c>
      <c r="G77" s="4648" t="str">
        <f>+'15. ОПП'!$F$7</f>
        <v>2030 г.</v>
      </c>
      <c r="H77" s="4648" t="str">
        <f>+'15. ОПП'!$G$7</f>
        <v>2031 г.</v>
      </c>
      <c r="I77" s="3464"/>
      <c r="J77" s="3464"/>
      <c r="K77" s="3464"/>
      <c r="L77" s="3464"/>
      <c r="M77" s="3464"/>
      <c r="N77" s="3464"/>
      <c r="O77" s="3464"/>
      <c r="P77" s="3464"/>
      <c r="Q77" s="3464"/>
      <c r="R77" s="3464"/>
      <c r="S77" s="3464"/>
      <c r="T77" s="3464"/>
      <c r="U77" s="3464"/>
      <c r="V77" s="3464"/>
      <c r="W77" s="3464"/>
      <c r="X77" s="3464"/>
      <c r="Y77" s="3464"/>
      <c r="Z77" s="3464"/>
      <c r="AA77" s="3464"/>
      <c r="AB77" s="3464"/>
      <c r="AC77" s="3464"/>
      <c r="AD77" s="3464"/>
      <c r="AE77" s="3464"/>
      <c r="AF77" s="3464"/>
      <c r="AG77" s="3464"/>
      <c r="AH77" s="3464"/>
      <c r="AI77" s="3464"/>
      <c r="AJ77" s="3464"/>
    </row>
    <row r="78" spans="1:36" ht="18" customHeight="1">
      <c r="A78" s="3722" t="s">
        <v>1126</v>
      </c>
      <c r="B78" s="3627" t="s">
        <v>595</v>
      </c>
      <c r="C78" s="3779">
        <f>'7. Утайки от ПСОВ'!D19</f>
        <v>0</v>
      </c>
      <c r="D78" s="3779">
        <f>'7. Утайки от ПСОВ'!G19</f>
        <v>0</v>
      </c>
      <c r="E78" s="3779">
        <f>'7. Утайки от ПСОВ'!H19</f>
        <v>0</v>
      </c>
      <c r="F78" s="3779">
        <f>'7. Утайки от ПСОВ'!I19</f>
        <v>0</v>
      </c>
      <c r="G78" s="3779">
        <f>'7. Утайки от ПСОВ'!J19</f>
        <v>0</v>
      </c>
      <c r="H78" s="3779">
        <f>'7. Утайки от ПСОВ'!K19</f>
        <v>0</v>
      </c>
      <c r="I78" s="3464"/>
      <c r="J78" s="3464"/>
      <c r="K78" s="3464"/>
      <c r="L78" s="3464"/>
      <c r="M78" s="3464"/>
      <c r="N78" s="3464"/>
      <c r="O78" s="3464"/>
      <c r="P78" s="3464"/>
      <c r="Q78" s="3464"/>
      <c r="R78" s="3464"/>
      <c r="S78" s="3464"/>
      <c r="T78" s="3464"/>
      <c r="U78" s="3464"/>
      <c r="V78" s="3464"/>
      <c r="W78" s="3464"/>
      <c r="X78" s="3464"/>
      <c r="Y78" s="3464"/>
      <c r="Z78" s="3464"/>
      <c r="AA78" s="3464"/>
      <c r="AB78" s="3464"/>
      <c r="AC78" s="3464"/>
      <c r="AD78" s="3464"/>
      <c r="AE78" s="3464"/>
      <c r="AF78" s="3464"/>
      <c r="AG78" s="3464"/>
      <c r="AH78" s="3464"/>
      <c r="AI78" s="3464"/>
      <c r="AJ78" s="3464"/>
    </row>
    <row r="79" spans="1:36" ht="18" customHeight="1">
      <c r="A79" s="3723" t="s">
        <v>1557</v>
      </c>
      <c r="B79" s="3627" t="s">
        <v>595</v>
      </c>
      <c r="C79" s="3779">
        <f>'7. Утайки от ПСОВ'!D14</f>
        <v>0</v>
      </c>
      <c r="D79" s="3779">
        <f>'7. Утайки от ПСОВ'!G14</f>
        <v>300</v>
      </c>
      <c r="E79" s="3779">
        <f>'7. Утайки от ПСОВ'!H14</f>
        <v>300</v>
      </c>
      <c r="F79" s="3779">
        <f>'7. Утайки от ПСОВ'!I14</f>
        <v>400</v>
      </c>
      <c r="G79" s="3779">
        <f>'7. Утайки от ПСОВ'!J14</f>
        <v>500</v>
      </c>
      <c r="H79" s="3779">
        <f>'7. Утайки от ПСОВ'!K14</f>
        <v>530</v>
      </c>
      <c r="I79" s="3464"/>
      <c r="J79" s="3464"/>
      <c r="K79" s="3464"/>
      <c r="L79" s="3464"/>
      <c r="M79" s="3464"/>
      <c r="N79" s="3464"/>
      <c r="O79" s="3464"/>
      <c r="P79" s="3464"/>
      <c r="Q79" s="3464"/>
      <c r="R79" s="3464"/>
      <c r="S79" s="3464"/>
      <c r="T79" s="3464"/>
      <c r="U79" s="3464"/>
      <c r="V79" s="3464"/>
      <c r="W79" s="3464"/>
      <c r="X79" s="3464"/>
      <c r="Y79" s="3464"/>
      <c r="Z79" s="3464"/>
      <c r="AA79" s="3464"/>
      <c r="AB79" s="3464"/>
      <c r="AC79" s="3464"/>
      <c r="AD79" s="3464"/>
      <c r="AE79" s="3464"/>
      <c r="AF79" s="3464"/>
      <c r="AG79" s="3464"/>
      <c r="AH79" s="3464"/>
      <c r="AI79" s="3464"/>
      <c r="AJ79" s="3464"/>
    </row>
    <row r="80" spans="1:36" ht="18" customHeight="1">
      <c r="A80" s="3724" t="s">
        <v>1000</v>
      </c>
      <c r="B80" s="3725" t="s">
        <v>595</v>
      </c>
      <c r="C80" s="3904">
        <f>C78+C79</f>
        <v>0</v>
      </c>
      <c r="D80" s="3904">
        <f>D78+D79</f>
        <v>300</v>
      </c>
      <c r="E80" s="3904">
        <f>E78+E79</f>
        <v>300</v>
      </c>
      <c r="F80" s="3904">
        <f>F78+F79</f>
        <v>400</v>
      </c>
      <c r="G80" s="3904">
        <f t="shared" ref="G80:H80" si="5">G78+G79</f>
        <v>500</v>
      </c>
      <c r="H80" s="3904">
        <f t="shared" si="5"/>
        <v>530</v>
      </c>
      <c r="I80" s="3464"/>
      <c r="J80" s="3464"/>
      <c r="K80" s="3464"/>
      <c r="L80" s="3464"/>
      <c r="M80" s="3464"/>
      <c r="N80" s="3464"/>
      <c r="O80" s="3464"/>
      <c r="P80" s="3464"/>
      <c r="Q80" s="3464"/>
      <c r="R80" s="3464"/>
      <c r="S80" s="3464"/>
      <c r="T80" s="3464"/>
      <c r="U80" s="3464"/>
      <c r="V80" s="3464"/>
      <c r="W80" s="3464"/>
      <c r="X80" s="3464"/>
      <c r="Y80" s="3464"/>
      <c r="Z80" s="3464"/>
      <c r="AA80" s="3464"/>
      <c r="AB80" s="3464"/>
      <c r="AC80" s="3464"/>
      <c r="AD80" s="3464"/>
      <c r="AE80" s="3464"/>
      <c r="AF80" s="3464"/>
      <c r="AG80" s="3464"/>
      <c r="AH80" s="3464"/>
      <c r="AI80" s="3464"/>
      <c r="AJ80" s="3464"/>
    </row>
    <row r="81" spans="1:36" ht="18" customHeight="1">
      <c r="A81" s="3726" t="s">
        <v>622</v>
      </c>
      <c r="B81" s="3726" t="s">
        <v>1560</v>
      </c>
      <c r="C81" s="4650">
        <f>'7. Утайки от ПСОВ'!D32</f>
        <v>0</v>
      </c>
      <c r="D81" s="4650">
        <f>'7. Утайки от ПСОВ'!G32</f>
        <v>203.33333333333334</v>
      </c>
      <c r="E81" s="4650">
        <f>'7. Утайки от ПСОВ'!H32</f>
        <v>203.33333333333334</v>
      </c>
      <c r="F81" s="4650">
        <f>'7. Утайки от ПСОВ'!I32</f>
        <v>152.5</v>
      </c>
      <c r="G81" s="4650">
        <f>'7. Утайки от ПСОВ'!J32</f>
        <v>122</v>
      </c>
      <c r="H81" s="4650">
        <f>'7. Утайки от ПСОВ'!K32</f>
        <v>115.09433962264151</v>
      </c>
      <c r="I81" s="3464"/>
      <c r="J81" s="3464"/>
      <c r="K81" s="3464"/>
      <c r="L81" s="3464"/>
      <c r="M81" s="3464"/>
      <c r="N81" s="3464"/>
      <c r="O81" s="3464"/>
      <c r="P81" s="3464"/>
      <c r="Q81" s="3464"/>
      <c r="R81" s="3464"/>
      <c r="S81" s="3464"/>
      <c r="T81" s="3464"/>
      <c r="U81" s="3464"/>
      <c r="V81" s="3464"/>
      <c r="W81" s="3464"/>
      <c r="X81" s="3464"/>
      <c r="Y81" s="3464"/>
      <c r="Z81" s="3464"/>
      <c r="AA81" s="3464"/>
      <c r="AB81" s="3464"/>
      <c r="AC81" s="3464"/>
      <c r="AD81" s="3464"/>
      <c r="AE81" s="3464"/>
      <c r="AF81" s="3464"/>
      <c r="AG81" s="3464"/>
      <c r="AH81" s="3464"/>
      <c r="AI81" s="3464"/>
      <c r="AJ81" s="3464"/>
    </row>
    <row r="82" spans="1:36" ht="18" customHeight="1">
      <c r="A82" s="3727"/>
      <c r="B82" s="3727"/>
      <c r="C82" s="4651"/>
      <c r="D82" s="4651"/>
      <c r="E82" s="4651"/>
      <c r="F82" s="4651"/>
      <c r="G82" s="4651"/>
      <c r="H82" s="4651"/>
      <c r="I82" s="3464"/>
      <c r="J82" s="3464"/>
      <c r="K82" s="3464"/>
      <c r="L82" s="3464"/>
      <c r="M82" s="3464"/>
      <c r="N82" s="3464"/>
      <c r="O82" s="3464"/>
      <c r="P82" s="3464"/>
      <c r="Q82" s="3464"/>
      <c r="R82" s="3464"/>
      <c r="S82" s="3464"/>
      <c r="T82" s="3464"/>
      <c r="U82" s="3464"/>
      <c r="V82" s="3464"/>
      <c r="W82" s="3464"/>
      <c r="X82" s="3464"/>
      <c r="Y82" s="3464"/>
      <c r="Z82" s="3464"/>
      <c r="AA82" s="3464"/>
      <c r="AB82" s="3464"/>
      <c r="AC82" s="3464"/>
      <c r="AD82" s="3464"/>
      <c r="AE82" s="3464"/>
      <c r="AF82" s="3464"/>
      <c r="AG82" s="3464"/>
      <c r="AH82" s="3464"/>
      <c r="AI82" s="3464"/>
      <c r="AJ82" s="3464"/>
    </row>
    <row r="83" spans="1:36" ht="18" customHeight="1">
      <c r="A83" s="3628" t="s">
        <v>2</v>
      </c>
      <c r="B83" s="3629" t="s">
        <v>1534</v>
      </c>
      <c r="C83" s="4648" t="str">
        <f>+'15. ОПП'!$B$7</f>
        <v>2024 г.</v>
      </c>
      <c r="D83" s="4648" t="str">
        <f>+'15. ОПП'!$C$7</f>
        <v>2027 г.</v>
      </c>
      <c r="E83" s="4648" t="str">
        <f>+'15. ОПП'!$D$7</f>
        <v>2028 г.</v>
      </c>
      <c r="F83" s="4648" t="str">
        <f>+'15. ОПП'!$E$7</f>
        <v>2029 г.</v>
      </c>
      <c r="G83" s="4648" t="str">
        <f>+'15. ОПП'!$F$7</f>
        <v>2030 г.</v>
      </c>
      <c r="H83" s="4648" t="str">
        <f>+'15. ОПП'!$G$7</f>
        <v>2031 г.</v>
      </c>
      <c r="I83" s="3464"/>
      <c r="J83" s="3464"/>
      <c r="K83" s="3464"/>
      <c r="L83" s="3464"/>
      <c r="M83" s="3464"/>
      <c r="N83" s="3464"/>
      <c r="O83" s="3464"/>
      <c r="P83" s="3464"/>
      <c r="Q83" s="3464"/>
      <c r="R83" s="3464"/>
      <c r="S83" s="3464"/>
      <c r="T83" s="3464"/>
      <c r="U83" s="3464"/>
      <c r="V83" s="3464"/>
      <c r="W83" s="3464"/>
      <c r="X83" s="3464"/>
      <c r="Y83" s="3464"/>
      <c r="Z83" s="3464"/>
      <c r="AA83" s="3464"/>
      <c r="AB83" s="3464"/>
      <c r="AC83" s="3464"/>
      <c r="AD83" s="3464"/>
      <c r="AE83" s="3464"/>
      <c r="AF83" s="3464"/>
      <c r="AG83" s="3464"/>
      <c r="AH83" s="3464"/>
      <c r="AI83" s="3464"/>
      <c r="AJ83" s="3464"/>
    </row>
    <row r="84" spans="1:36" ht="18" customHeight="1">
      <c r="A84" s="5618" t="s">
        <v>1126</v>
      </c>
      <c r="B84" s="3725" t="s">
        <v>1558</v>
      </c>
      <c r="C84" s="3904">
        <f>'7. Утайки от ПСОВ'!D39</f>
        <v>0</v>
      </c>
      <c r="D84" s="3904">
        <f>'7. Утайки от ПСОВ'!G39</f>
        <v>0</v>
      </c>
      <c r="E84" s="3904">
        <f>'7. Утайки от ПСОВ'!H39</f>
        <v>0</v>
      </c>
      <c r="F84" s="3904">
        <f>'7. Утайки от ПСОВ'!I39</f>
        <v>0</v>
      </c>
      <c r="G84" s="3904">
        <f>'7. Утайки от ПСОВ'!J39</f>
        <v>0</v>
      </c>
      <c r="H84" s="3904">
        <f>'7. Утайки от ПСОВ'!K39</f>
        <v>0</v>
      </c>
      <c r="I84" s="3464"/>
      <c r="J84" s="3464"/>
      <c r="K84" s="3464"/>
      <c r="L84" s="3464"/>
      <c r="M84" s="3464"/>
      <c r="N84" s="3464"/>
      <c r="O84" s="3464"/>
      <c r="P84" s="3464"/>
      <c r="Q84" s="3464"/>
      <c r="R84" s="3464"/>
      <c r="S84" s="3464"/>
      <c r="T84" s="3464"/>
      <c r="U84" s="3464"/>
      <c r="V84" s="3464"/>
      <c r="W84" s="3464"/>
      <c r="X84" s="3464"/>
      <c r="Y84" s="3464"/>
      <c r="Z84" s="3464"/>
      <c r="AA84" s="3464"/>
      <c r="AB84" s="3464"/>
      <c r="AC84" s="3464"/>
      <c r="AD84" s="3464"/>
      <c r="AE84" s="3464"/>
      <c r="AF84" s="3464"/>
      <c r="AG84" s="3464"/>
      <c r="AH84" s="3464"/>
      <c r="AI84" s="3464"/>
      <c r="AJ84" s="3464"/>
    </row>
    <row r="85" spans="1:36" ht="18" customHeight="1">
      <c r="A85" s="5618"/>
      <c r="B85" s="3627" t="s">
        <v>1559</v>
      </c>
      <c r="C85" s="4650">
        <f>'7. Утайки от ПСОВ'!D42</f>
        <v>0</v>
      </c>
      <c r="D85" s="4650">
        <f>'7. Утайки от ПСОВ'!G42</f>
        <v>0</v>
      </c>
      <c r="E85" s="4650">
        <f>'7. Утайки от ПСОВ'!H42</f>
        <v>0</v>
      </c>
      <c r="F85" s="4650">
        <f>'7. Утайки от ПСОВ'!I42</f>
        <v>0</v>
      </c>
      <c r="G85" s="4650">
        <f>'7. Утайки от ПСОВ'!J42</f>
        <v>0</v>
      </c>
      <c r="H85" s="4650">
        <f>'7. Утайки от ПСОВ'!K42</f>
        <v>0</v>
      </c>
      <c r="I85" s="3464"/>
      <c r="J85" s="3464"/>
      <c r="K85" s="3464"/>
      <c r="L85" s="3464"/>
      <c r="M85" s="3464"/>
      <c r="N85" s="3464"/>
      <c r="O85" s="3464"/>
      <c r="P85" s="3464"/>
      <c r="Q85" s="3464"/>
      <c r="R85" s="3464"/>
      <c r="S85" s="3464"/>
      <c r="T85" s="3464"/>
      <c r="U85" s="3464"/>
      <c r="V85" s="3464"/>
      <c r="W85" s="3464"/>
      <c r="X85" s="3464"/>
      <c r="Y85" s="3464"/>
      <c r="Z85" s="3464"/>
      <c r="AA85" s="3464"/>
      <c r="AB85" s="3464"/>
      <c r="AC85" s="3464"/>
      <c r="AD85" s="3464"/>
      <c r="AE85" s="3464"/>
      <c r="AF85" s="3464"/>
      <c r="AG85" s="3464"/>
      <c r="AH85" s="3464"/>
      <c r="AI85" s="3464"/>
      <c r="AJ85" s="3464"/>
    </row>
    <row r="86" spans="1:36" ht="18" customHeight="1">
      <c r="A86" s="5618" t="s">
        <v>1124</v>
      </c>
      <c r="B86" s="3725" t="s">
        <v>1558</v>
      </c>
      <c r="C86" s="3904">
        <f>'7. Утайки от ПСОВ'!D38</f>
        <v>0</v>
      </c>
      <c r="D86" s="3904">
        <f>'7. Утайки от ПСОВ'!G38</f>
        <v>300</v>
      </c>
      <c r="E86" s="3904">
        <f>'7. Утайки от ПСОВ'!H38</f>
        <v>300</v>
      </c>
      <c r="F86" s="3904">
        <f>'7. Утайки от ПСОВ'!I38</f>
        <v>400</v>
      </c>
      <c r="G86" s="3904">
        <f>'7. Утайки от ПСОВ'!J38</f>
        <v>500</v>
      </c>
      <c r="H86" s="3904">
        <f>'7. Утайки от ПСОВ'!K38</f>
        <v>530</v>
      </c>
      <c r="I86" s="3464"/>
      <c r="J86" s="3464"/>
      <c r="K86" s="3464"/>
      <c r="L86" s="3464"/>
      <c r="M86" s="3464"/>
      <c r="N86" s="3464"/>
      <c r="O86" s="3464"/>
      <c r="P86" s="3464"/>
      <c r="Q86" s="3464"/>
      <c r="R86" s="3464"/>
      <c r="S86" s="3464"/>
      <c r="T86" s="3464"/>
      <c r="U86" s="3464"/>
      <c r="V86" s="3464"/>
      <c r="W86" s="3464"/>
      <c r="X86" s="3464"/>
      <c r="Y86" s="3464"/>
      <c r="Z86" s="3464"/>
      <c r="AA86" s="3464"/>
      <c r="AB86" s="3464"/>
      <c r="AC86" s="3464"/>
      <c r="AD86" s="3464"/>
      <c r="AE86" s="3464"/>
      <c r="AF86" s="3464"/>
      <c r="AG86" s="3464"/>
      <c r="AH86" s="3464"/>
      <c r="AI86" s="3464"/>
      <c r="AJ86" s="3464"/>
    </row>
    <row r="87" spans="1:36" ht="18" customHeight="1">
      <c r="A87" s="5618"/>
      <c r="B87" s="3627" t="s">
        <v>1559</v>
      </c>
      <c r="C87" s="4650">
        <f>'7. Утайки от ПСОВ'!D41</f>
        <v>0</v>
      </c>
      <c r="D87" s="4650">
        <f>'7. Утайки от ПСОВ'!G41</f>
        <v>203.33333333333334</v>
      </c>
      <c r="E87" s="4650">
        <f>'7. Утайки от ПСОВ'!H41</f>
        <v>203.33333333333334</v>
      </c>
      <c r="F87" s="4650">
        <f>'7. Утайки от ПСОВ'!I41</f>
        <v>152.5</v>
      </c>
      <c r="G87" s="4650">
        <f>'7. Утайки от ПСОВ'!J41</f>
        <v>122</v>
      </c>
      <c r="H87" s="4650">
        <f>'7. Утайки от ПСОВ'!K41</f>
        <v>115.09433962264151</v>
      </c>
      <c r="I87" s="3464"/>
      <c r="J87" s="3464"/>
      <c r="K87" s="3464"/>
      <c r="L87" s="3464"/>
      <c r="M87" s="3464"/>
      <c r="N87" s="3464"/>
      <c r="O87" s="3464"/>
      <c r="P87" s="3464"/>
      <c r="Q87" s="3464"/>
      <c r="R87" s="3464"/>
      <c r="S87" s="3464"/>
      <c r="T87" s="3464"/>
      <c r="U87" s="3464"/>
      <c r="V87" s="3464"/>
      <c r="W87" s="3464"/>
      <c r="X87" s="3464"/>
      <c r="Y87" s="3464"/>
      <c r="Z87" s="3464"/>
      <c r="AA87" s="3464"/>
      <c r="AB87" s="3464"/>
      <c r="AC87" s="3464"/>
      <c r="AD87" s="3464"/>
      <c r="AE87" s="3464"/>
      <c r="AF87" s="3464"/>
      <c r="AG87" s="3464"/>
      <c r="AH87" s="3464"/>
      <c r="AI87" s="3464"/>
      <c r="AJ87" s="3464"/>
    </row>
    <row r="88" spans="1:36">
      <c r="A88" s="3464"/>
      <c r="B88" s="3464"/>
      <c r="C88" s="3464"/>
      <c r="D88" s="3464"/>
      <c r="E88" s="3464"/>
      <c r="F88" s="3464"/>
      <c r="G88" s="3464"/>
      <c r="H88" s="3464"/>
      <c r="I88" s="3464"/>
      <c r="J88" s="3464"/>
      <c r="K88" s="3464"/>
      <c r="L88" s="3464"/>
      <c r="M88" s="3464"/>
      <c r="N88" s="3464"/>
      <c r="O88" s="3464"/>
      <c r="P88" s="3464"/>
      <c r="Q88" s="3464"/>
      <c r="R88" s="3464"/>
      <c r="S88" s="3464"/>
      <c r="T88" s="3464"/>
      <c r="U88" s="3464"/>
      <c r="V88" s="3464"/>
      <c r="W88" s="3464"/>
      <c r="X88" s="3464"/>
      <c r="Y88" s="3464"/>
      <c r="Z88" s="3464"/>
      <c r="AA88" s="3464"/>
      <c r="AB88" s="3464"/>
      <c r="AC88" s="3464"/>
      <c r="AD88" s="3464"/>
      <c r="AE88" s="3464"/>
      <c r="AF88" s="3464"/>
      <c r="AG88" s="3464"/>
      <c r="AH88" s="3464"/>
      <c r="AI88" s="3464"/>
      <c r="AJ88" s="3464"/>
    </row>
    <row r="89" spans="1:36">
      <c r="A89" s="3464"/>
      <c r="B89" s="3464"/>
      <c r="C89" s="3464"/>
      <c r="D89" s="3464"/>
      <c r="E89" s="3464"/>
      <c r="F89" s="3464"/>
      <c r="G89" s="3464"/>
      <c r="H89" s="3464"/>
      <c r="I89" s="3464"/>
      <c r="J89" s="3464"/>
      <c r="K89" s="3464"/>
      <c r="L89" s="3464"/>
      <c r="M89" s="3464"/>
      <c r="N89" s="3464"/>
      <c r="O89" s="3464"/>
      <c r="P89" s="3464"/>
      <c r="Q89" s="3464"/>
      <c r="R89" s="3464"/>
      <c r="S89" s="3464"/>
      <c r="T89" s="3464"/>
      <c r="U89" s="3464"/>
      <c r="V89" s="3464"/>
      <c r="W89" s="3464"/>
      <c r="X89" s="3464"/>
      <c r="Y89" s="3464"/>
      <c r="Z89" s="3464"/>
      <c r="AA89" s="3464"/>
      <c r="AB89" s="3464"/>
      <c r="AC89" s="3464"/>
      <c r="AD89" s="3464"/>
      <c r="AE89" s="3464"/>
      <c r="AF89" s="3464"/>
      <c r="AG89" s="3464"/>
      <c r="AH89" s="3464"/>
      <c r="AI89" s="3464"/>
      <c r="AJ89" s="3464"/>
    </row>
    <row r="90" spans="1:36">
      <c r="A90" s="3464"/>
      <c r="B90" s="3464"/>
      <c r="C90" s="3464"/>
      <c r="D90" s="3464"/>
      <c r="E90" s="3464"/>
      <c r="F90" s="3464"/>
      <c r="G90" s="3464"/>
      <c r="H90" s="3464"/>
      <c r="I90" s="3464"/>
      <c r="J90" s="3464"/>
      <c r="K90" s="3464"/>
      <c r="L90" s="3464"/>
      <c r="M90" s="3464"/>
      <c r="N90" s="3464"/>
      <c r="O90" s="3464"/>
      <c r="P90" s="3464"/>
      <c r="Q90" s="3464"/>
      <c r="R90" s="3464"/>
      <c r="S90" s="3464"/>
      <c r="T90" s="3464"/>
      <c r="U90" s="3464"/>
      <c r="V90" s="3464"/>
      <c r="W90" s="3464"/>
      <c r="X90" s="3464"/>
      <c r="Y90" s="3464"/>
      <c r="Z90" s="3464"/>
      <c r="AA90" s="3464"/>
      <c r="AB90" s="3464"/>
      <c r="AC90" s="3464"/>
      <c r="AD90" s="3464"/>
      <c r="AE90" s="3464"/>
      <c r="AF90" s="3464"/>
      <c r="AG90" s="3464"/>
      <c r="AH90" s="3464"/>
      <c r="AI90" s="3464"/>
      <c r="AJ90" s="3464"/>
    </row>
    <row r="91" spans="1:36">
      <c r="A91" s="3464"/>
      <c r="B91" s="3464"/>
      <c r="C91" s="3464"/>
      <c r="D91" s="3464"/>
      <c r="E91" s="3464"/>
      <c r="F91" s="3464"/>
      <c r="G91" s="3464"/>
      <c r="H91" s="3464"/>
      <c r="I91" s="3464"/>
      <c r="J91" s="3464"/>
      <c r="K91" s="3464"/>
      <c r="L91" s="3464"/>
      <c r="M91" s="3464"/>
      <c r="N91" s="3464"/>
      <c r="O91" s="3464"/>
      <c r="P91" s="3464"/>
      <c r="Q91" s="3464"/>
      <c r="R91" s="3464"/>
      <c r="S91" s="3464"/>
      <c r="T91" s="3464"/>
      <c r="U91" s="3464"/>
      <c r="V91" s="3464"/>
      <c r="W91" s="3464"/>
      <c r="X91" s="3464"/>
      <c r="Y91" s="3464"/>
      <c r="Z91" s="3464"/>
      <c r="AA91" s="3464"/>
      <c r="AB91" s="3464"/>
      <c r="AC91" s="3464"/>
      <c r="AD91" s="3464"/>
      <c r="AE91" s="3464"/>
      <c r="AF91" s="3464"/>
      <c r="AG91" s="3464"/>
      <c r="AH91" s="3464"/>
      <c r="AI91" s="3464"/>
      <c r="AJ91" s="3464"/>
    </row>
    <row r="92" spans="1:36">
      <c r="A92" s="3464"/>
      <c r="B92" s="3464"/>
      <c r="C92" s="3464"/>
      <c r="D92" s="3464"/>
      <c r="E92" s="3464"/>
      <c r="F92" s="3464"/>
      <c r="G92" s="3464"/>
      <c r="H92" s="3464"/>
      <c r="I92" s="3464"/>
      <c r="J92" s="3464"/>
      <c r="K92" s="3464"/>
      <c r="L92" s="3464"/>
      <c r="M92" s="3464"/>
      <c r="N92" s="3464"/>
      <c r="O92" s="3464"/>
      <c r="P92" s="3464"/>
      <c r="Q92" s="3464"/>
      <c r="R92" s="3464"/>
      <c r="S92" s="3464"/>
      <c r="T92" s="3464"/>
      <c r="U92" s="3464"/>
      <c r="V92" s="3464"/>
      <c r="W92" s="3464"/>
      <c r="X92" s="3464"/>
      <c r="Y92" s="3464"/>
      <c r="Z92" s="3464"/>
      <c r="AA92" s="3464"/>
      <c r="AB92" s="3464"/>
      <c r="AC92" s="3464"/>
      <c r="AD92" s="3464"/>
      <c r="AE92" s="3464"/>
      <c r="AF92" s="3464"/>
      <c r="AG92" s="3464"/>
      <c r="AH92" s="3464"/>
      <c r="AI92" s="3464"/>
      <c r="AJ92" s="3464"/>
    </row>
    <row r="93" spans="1:36">
      <c r="A93" s="3464"/>
      <c r="B93" s="3464"/>
      <c r="C93" s="3464"/>
      <c r="D93" s="3464"/>
      <c r="E93" s="3464"/>
      <c r="F93" s="3464"/>
      <c r="G93" s="3464"/>
      <c r="H93" s="3464"/>
      <c r="I93" s="3464"/>
      <c r="J93" s="3464"/>
      <c r="K93" s="3464"/>
      <c r="L93" s="3464"/>
      <c r="M93" s="3464"/>
      <c r="N93" s="3464"/>
      <c r="O93" s="3464"/>
      <c r="P93" s="3464"/>
      <c r="Q93" s="3464"/>
      <c r="R93" s="3464"/>
      <c r="S93" s="3464"/>
      <c r="T93" s="3464"/>
      <c r="U93" s="3464"/>
      <c r="V93" s="3464"/>
      <c r="W93" s="3464"/>
      <c r="X93" s="3464"/>
      <c r="Y93" s="3464"/>
      <c r="Z93" s="3464"/>
      <c r="AA93" s="3464"/>
      <c r="AB93" s="3464"/>
      <c r="AC93" s="3464"/>
      <c r="AD93" s="3464"/>
      <c r="AE93" s="3464"/>
      <c r="AF93" s="3464"/>
      <c r="AG93" s="3464"/>
      <c r="AH93" s="3464"/>
      <c r="AI93" s="3464"/>
      <c r="AJ93" s="3464"/>
    </row>
    <row r="94" spans="1:36">
      <c r="A94" s="3464"/>
      <c r="B94" s="3464"/>
      <c r="C94" s="3464"/>
      <c r="D94" s="3464"/>
      <c r="E94" s="3464"/>
      <c r="F94" s="3464"/>
      <c r="G94" s="3464"/>
      <c r="H94" s="3464"/>
      <c r="I94" s="3464"/>
      <c r="J94" s="3464"/>
      <c r="K94" s="3464"/>
      <c r="L94" s="3464"/>
      <c r="M94" s="3464"/>
      <c r="N94" s="3464"/>
      <c r="O94" s="3464"/>
      <c r="P94" s="3464"/>
      <c r="Q94" s="3464"/>
      <c r="R94" s="3464"/>
      <c r="S94" s="3464"/>
      <c r="T94" s="3464"/>
      <c r="U94" s="3464"/>
      <c r="V94" s="3464"/>
      <c r="W94" s="3464"/>
      <c r="X94" s="3464"/>
      <c r="Y94" s="3464"/>
      <c r="Z94" s="3464"/>
      <c r="AA94" s="3464"/>
      <c r="AB94" s="3464"/>
      <c r="AC94" s="3464"/>
      <c r="AD94" s="3464"/>
      <c r="AE94" s="3464"/>
      <c r="AF94" s="3464"/>
      <c r="AG94" s="3464"/>
      <c r="AH94" s="3464"/>
      <c r="AI94" s="3464"/>
      <c r="AJ94" s="3464"/>
    </row>
    <row r="95" spans="1:36">
      <c r="A95" s="3464"/>
      <c r="B95" s="3464"/>
      <c r="C95" s="3464"/>
      <c r="D95" s="3464"/>
      <c r="E95" s="3464"/>
      <c r="F95" s="3464"/>
      <c r="G95" s="3464"/>
      <c r="H95" s="3464"/>
      <c r="I95" s="3464"/>
      <c r="J95" s="3464"/>
      <c r="K95" s="3464"/>
      <c r="L95" s="3464"/>
      <c r="M95" s="3464"/>
      <c r="N95" s="3464"/>
      <c r="O95" s="3464"/>
      <c r="P95" s="3464"/>
      <c r="Q95" s="3464"/>
      <c r="R95" s="3464"/>
      <c r="S95" s="3464"/>
      <c r="T95" s="3464"/>
      <c r="U95" s="3464"/>
      <c r="V95" s="3464"/>
      <c r="W95" s="3464"/>
      <c r="X95" s="3464"/>
      <c r="Y95" s="3464"/>
      <c r="Z95" s="3464"/>
      <c r="AA95" s="3464"/>
      <c r="AB95" s="3464"/>
      <c r="AC95" s="3464"/>
      <c r="AD95" s="3464"/>
      <c r="AE95" s="3464"/>
      <c r="AF95" s="3464"/>
      <c r="AG95" s="3464"/>
      <c r="AH95" s="3464"/>
      <c r="AI95" s="3464"/>
      <c r="AJ95" s="3464"/>
    </row>
    <row r="96" spans="1:36">
      <c r="A96" s="3464"/>
      <c r="B96" s="3464"/>
      <c r="C96" s="3464"/>
      <c r="D96" s="3464"/>
      <c r="E96" s="3464"/>
      <c r="F96" s="3464"/>
      <c r="G96" s="3464"/>
      <c r="H96" s="3464"/>
      <c r="I96" s="3464"/>
      <c r="J96" s="3464"/>
      <c r="K96" s="3464"/>
      <c r="L96" s="3464"/>
      <c r="M96" s="3464"/>
      <c r="N96" s="3464"/>
      <c r="O96" s="3464"/>
      <c r="P96" s="3464"/>
      <c r="Q96" s="3464"/>
      <c r="R96" s="3464"/>
      <c r="S96" s="3464"/>
      <c r="T96" s="3464"/>
      <c r="U96" s="3464"/>
      <c r="V96" s="3464"/>
      <c r="W96" s="3464"/>
      <c r="X96" s="3464"/>
      <c r="Y96" s="3464"/>
      <c r="Z96" s="3464"/>
      <c r="AA96" s="3464"/>
      <c r="AB96" s="3464"/>
      <c r="AC96" s="3464"/>
      <c r="AD96" s="3464"/>
      <c r="AE96" s="3464"/>
      <c r="AF96" s="3464"/>
      <c r="AG96" s="3464"/>
      <c r="AH96" s="3464"/>
      <c r="AI96" s="3464"/>
      <c r="AJ96" s="3464"/>
    </row>
    <row r="97" spans="1:36">
      <c r="A97" s="3464"/>
      <c r="B97" s="3464"/>
      <c r="C97" s="3464"/>
      <c r="D97" s="3464"/>
      <c r="E97" s="3464"/>
      <c r="F97" s="3464"/>
      <c r="G97" s="3464"/>
      <c r="H97" s="3464"/>
      <c r="I97" s="3464"/>
      <c r="J97" s="3464"/>
      <c r="K97" s="3464"/>
      <c r="L97" s="3464"/>
      <c r="M97" s="3464"/>
      <c r="N97" s="3464"/>
      <c r="O97" s="3464"/>
      <c r="P97" s="3464"/>
      <c r="Q97" s="3464"/>
      <c r="R97" s="3464"/>
      <c r="S97" s="3464"/>
      <c r="T97" s="3464"/>
      <c r="U97" s="3464"/>
      <c r="V97" s="3464"/>
      <c r="W97" s="3464"/>
      <c r="X97" s="3464"/>
      <c r="Y97" s="3464"/>
      <c r="Z97" s="3464"/>
      <c r="AA97" s="3464"/>
      <c r="AB97" s="3464"/>
      <c r="AC97" s="3464"/>
      <c r="AD97" s="3464"/>
      <c r="AE97" s="3464"/>
      <c r="AF97" s="3464"/>
      <c r="AG97" s="3464"/>
      <c r="AH97" s="3464"/>
      <c r="AI97" s="3464"/>
      <c r="AJ97" s="3464"/>
    </row>
    <row r="98" spans="1:36">
      <c r="A98" s="3464"/>
      <c r="B98" s="3464"/>
      <c r="C98" s="3464"/>
      <c r="D98" s="3464"/>
      <c r="E98" s="3464"/>
      <c r="F98" s="3464"/>
      <c r="G98" s="3464"/>
      <c r="H98" s="3464"/>
      <c r="I98" s="3464"/>
      <c r="J98" s="3464"/>
      <c r="K98" s="3464"/>
      <c r="L98" s="3464"/>
      <c r="M98" s="3464"/>
      <c r="N98" s="3464"/>
      <c r="O98" s="3464"/>
      <c r="P98" s="3464"/>
      <c r="Q98" s="3464"/>
      <c r="R98" s="3464"/>
      <c r="S98" s="3464"/>
      <c r="T98" s="3464"/>
      <c r="U98" s="3464"/>
      <c r="V98" s="3464"/>
      <c r="W98" s="3464"/>
      <c r="X98" s="3464"/>
      <c r="Y98" s="3464"/>
      <c r="Z98" s="3464"/>
      <c r="AA98" s="3464"/>
      <c r="AB98" s="3464"/>
      <c r="AC98" s="3464"/>
      <c r="AD98" s="3464"/>
      <c r="AE98" s="3464"/>
      <c r="AF98" s="3464"/>
      <c r="AG98" s="3464"/>
      <c r="AH98" s="3464"/>
      <c r="AI98" s="3464"/>
      <c r="AJ98" s="3464"/>
    </row>
    <row r="99" spans="1:36">
      <c r="A99" s="3464"/>
      <c r="B99" s="3464"/>
      <c r="C99" s="3464"/>
      <c r="D99" s="3464"/>
      <c r="E99" s="3464"/>
      <c r="F99" s="3464"/>
      <c r="G99" s="3464"/>
      <c r="H99" s="3464"/>
      <c r="I99" s="3464"/>
      <c r="J99" s="3464"/>
      <c r="K99" s="3464"/>
      <c r="L99" s="3464"/>
      <c r="M99" s="3464"/>
      <c r="N99" s="3464"/>
      <c r="O99" s="3464"/>
      <c r="P99" s="3464"/>
      <c r="Q99" s="3464"/>
      <c r="R99" s="3464"/>
      <c r="S99" s="3464"/>
      <c r="T99" s="3464"/>
      <c r="U99" s="3464"/>
      <c r="V99" s="3464"/>
      <c r="W99" s="3464"/>
      <c r="X99" s="3464"/>
      <c r="Y99" s="3464"/>
      <c r="Z99" s="3464"/>
      <c r="AA99" s="3464"/>
      <c r="AB99" s="3464"/>
      <c r="AC99" s="3464"/>
      <c r="AD99" s="3464"/>
      <c r="AE99" s="3464"/>
      <c r="AF99" s="3464"/>
      <c r="AG99" s="3464"/>
      <c r="AH99" s="3464"/>
      <c r="AI99" s="3464"/>
      <c r="AJ99" s="3464"/>
    </row>
    <row r="100" spans="1:36">
      <c r="A100" s="3464"/>
      <c r="B100" s="3464"/>
      <c r="C100" s="3464"/>
      <c r="D100" s="3464"/>
      <c r="E100" s="3464"/>
      <c r="F100" s="3464"/>
      <c r="G100" s="3464"/>
      <c r="H100" s="3464"/>
      <c r="I100" s="3464"/>
      <c r="J100" s="3464"/>
      <c r="K100" s="3464"/>
      <c r="L100" s="3464"/>
      <c r="M100" s="3464"/>
      <c r="N100" s="3464"/>
      <c r="O100" s="3464"/>
      <c r="P100" s="3464"/>
      <c r="Q100" s="3464"/>
      <c r="R100" s="3464"/>
      <c r="S100" s="3464"/>
      <c r="T100" s="3464"/>
      <c r="U100" s="3464"/>
      <c r="V100" s="3464"/>
      <c r="W100" s="3464"/>
      <c r="X100" s="3464"/>
      <c r="Y100" s="3464"/>
      <c r="Z100" s="3464"/>
      <c r="AA100" s="3464"/>
      <c r="AB100" s="3464"/>
      <c r="AC100" s="3464"/>
      <c r="AD100" s="3464"/>
      <c r="AE100" s="3464"/>
      <c r="AF100" s="3464"/>
      <c r="AG100" s="3464"/>
      <c r="AH100" s="3464"/>
      <c r="AI100" s="3464"/>
      <c r="AJ100" s="3464"/>
    </row>
    <row r="101" spans="1:36">
      <c r="A101" s="3464"/>
      <c r="B101" s="3464"/>
      <c r="C101" s="3464"/>
      <c r="D101" s="3464"/>
      <c r="E101" s="3464"/>
      <c r="F101" s="3464"/>
      <c r="G101" s="3464"/>
      <c r="H101" s="3464"/>
      <c r="I101" s="3464"/>
      <c r="J101" s="3464"/>
      <c r="K101" s="3464"/>
      <c r="L101" s="3464"/>
      <c r="M101" s="3464"/>
      <c r="N101" s="3464"/>
      <c r="O101" s="3464"/>
      <c r="P101" s="3464"/>
      <c r="Q101" s="3464"/>
      <c r="R101" s="3464"/>
      <c r="S101" s="3464"/>
      <c r="T101" s="3464"/>
      <c r="U101" s="3464"/>
      <c r="V101" s="3464"/>
      <c r="W101" s="3464"/>
      <c r="X101" s="3464"/>
      <c r="Y101" s="3464"/>
      <c r="Z101" s="3464"/>
      <c r="AA101" s="3464"/>
      <c r="AB101" s="3464"/>
      <c r="AC101" s="3464"/>
      <c r="AD101" s="3464"/>
      <c r="AE101" s="3464"/>
      <c r="AF101" s="3464"/>
      <c r="AG101" s="3464"/>
      <c r="AH101" s="3464"/>
      <c r="AI101" s="3464"/>
      <c r="AJ101" s="3464"/>
    </row>
    <row r="102" spans="1:36">
      <c r="A102" s="3464"/>
      <c r="B102" s="3464"/>
      <c r="C102" s="3464"/>
      <c r="D102" s="3464"/>
      <c r="E102" s="3464"/>
      <c r="F102" s="3464"/>
      <c r="G102" s="3464"/>
      <c r="H102" s="3464"/>
      <c r="I102" s="3464"/>
      <c r="J102" s="3464"/>
      <c r="K102" s="3464"/>
      <c r="L102" s="3464"/>
      <c r="M102" s="3464"/>
      <c r="N102" s="3464"/>
      <c r="O102" s="3464"/>
      <c r="P102" s="3464"/>
      <c r="Q102" s="3464"/>
      <c r="R102" s="3464"/>
      <c r="S102" s="3464"/>
      <c r="T102" s="3464"/>
      <c r="U102" s="3464"/>
      <c r="V102" s="3464"/>
      <c r="W102" s="3464"/>
      <c r="X102" s="3464"/>
      <c r="Y102" s="3464"/>
      <c r="Z102" s="3464"/>
      <c r="AA102" s="3464"/>
      <c r="AB102" s="3464"/>
      <c r="AC102" s="3464"/>
      <c r="AD102" s="3464"/>
      <c r="AE102" s="3464"/>
      <c r="AF102" s="3464"/>
      <c r="AG102" s="3464"/>
      <c r="AH102" s="3464"/>
      <c r="AI102" s="3464"/>
      <c r="AJ102" s="3464"/>
    </row>
    <row r="103" spans="1:36">
      <c r="A103" s="3464"/>
      <c r="B103" s="3464"/>
      <c r="C103" s="3464"/>
      <c r="D103" s="3464"/>
      <c r="E103" s="3464"/>
      <c r="F103" s="3464"/>
      <c r="G103" s="3464"/>
      <c r="H103" s="3464"/>
      <c r="I103" s="3464"/>
      <c r="J103" s="3464"/>
      <c r="K103" s="3464"/>
      <c r="L103" s="3464"/>
      <c r="M103" s="3464"/>
      <c r="N103" s="3464"/>
      <c r="O103" s="3464"/>
      <c r="P103" s="3464"/>
      <c r="Q103" s="3464"/>
      <c r="R103" s="3464"/>
      <c r="S103" s="3464"/>
      <c r="T103" s="3464"/>
      <c r="U103" s="3464"/>
      <c r="V103" s="3464"/>
      <c r="W103" s="3464"/>
      <c r="X103" s="3464"/>
      <c r="Y103" s="3464"/>
      <c r="Z103" s="3464"/>
      <c r="AA103" s="3464"/>
      <c r="AB103" s="3464"/>
      <c r="AC103" s="3464"/>
      <c r="AD103" s="3464"/>
      <c r="AE103" s="3464"/>
      <c r="AF103" s="3464"/>
      <c r="AG103" s="3464"/>
      <c r="AH103" s="3464"/>
      <c r="AI103" s="3464"/>
      <c r="AJ103" s="3464"/>
    </row>
    <row r="104" spans="1:36">
      <c r="A104" s="3464"/>
      <c r="B104" s="3464"/>
      <c r="C104" s="3464"/>
      <c r="D104" s="3464"/>
      <c r="E104" s="3464"/>
      <c r="F104" s="3464"/>
      <c r="G104" s="3464"/>
      <c r="H104" s="3464"/>
      <c r="I104" s="3464"/>
      <c r="J104" s="3464"/>
      <c r="K104" s="3464"/>
      <c r="L104" s="3464"/>
      <c r="M104" s="3464"/>
      <c r="N104" s="3464"/>
      <c r="O104" s="3464"/>
      <c r="P104" s="3464"/>
      <c r="Q104" s="3464"/>
      <c r="R104" s="3464"/>
      <c r="S104" s="3464"/>
      <c r="T104" s="3464"/>
      <c r="U104" s="3464"/>
      <c r="V104" s="3464"/>
      <c r="W104" s="3464"/>
      <c r="X104" s="3464"/>
      <c r="Y104" s="3464"/>
      <c r="Z104" s="3464"/>
      <c r="AA104" s="3464"/>
      <c r="AB104" s="3464"/>
      <c r="AC104" s="3464"/>
      <c r="AD104" s="3464"/>
      <c r="AE104" s="3464"/>
      <c r="AF104" s="3464"/>
      <c r="AG104" s="3464"/>
      <c r="AH104" s="3464"/>
      <c r="AI104" s="3464"/>
      <c r="AJ104" s="3464"/>
    </row>
    <row r="105" spans="1:36">
      <c r="A105" s="3464"/>
      <c r="B105" s="3464"/>
      <c r="C105" s="3464"/>
      <c r="D105" s="3464"/>
      <c r="E105" s="3464"/>
      <c r="F105" s="3464"/>
      <c r="G105" s="3464"/>
      <c r="H105" s="3464"/>
      <c r="I105" s="3464"/>
      <c r="J105" s="3464"/>
      <c r="K105" s="3464"/>
      <c r="L105" s="3464"/>
      <c r="M105" s="3464"/>
      <c r="N105" s="3464"/>
      <c r="O105" s="3464"/>
      <c r="P105" s="3464"/>
      <c r="Q105" s="3464"/>
      <c r="R105" s="3464"/>
      <c r="S105" s="3464"/>
      <c r="T105" s="3464"/>
      <c r="U105" s="3464"/>
      <c r="V105" s="3464"/>
      <c r="W105" s="3464"/>
      <c r="X105" s="3464"/>
      <c r="Y105" s="3464"/>
      <c r="Z105" s="3464"/>
      <c r="AA105" s="3464"/>
      <c r="AB105" s="3464"/>
      <c r="AC105" s="3464"/>
      <c r="AD105" s="3464"/>
      <c r="AE105" s="3464"/>
      <c r="AF105" s="3464"/>
      <c r="AG105" s="3464"/>
      <c r="AH105" s="3464"/>
      <c r="AI105" s="3464"/>
      <c r="AJ105" s="3464"/>
    </row>
    <row r="106" spans="1:36">
      <c r="A106" s="3464"/>
      <c r="B106" s="3464"/>
      <c r="C106" s="3464"/>
      <c r="D106" s="3464"/>
      <c r="E106" s="3464"/>
      <c r="F106" s="3464"/>
      <c r="G106" s="3464"/>
      <c r="H106" s="3464"/>
      <c r="I106" s="3464"/>
      <c r="J106" s="3464"/>
      <c r="K106" s="3464"/>
      <c r="L106" s="3464"/>
      <c r="M106" s="3464"/>
      <c r="N106" s="3464"/>
      <c r="O106" s="3464"/>
      <c r="P106" s="3464"/>
      <c r="Q106" s="3464"/>
      <c r="R106" s="3464"/>
      <c r="S106" s="3464"/>
      <c r="T106" s="3464"/>
      <c r="U106" s="3464"/>
      <c r="V106" s="3464"/>
      <c r="W106" s="3464"/>
      <c r="X106" s="3464"/>
      <c r="Y106" s="3464"/>
      <c r="Z106" s="3464"/>
      <c r="AA106" s="3464"/>
      <c r="AB106" s="3464"/>
      <c r="AC106" s="3464"/>
      <c r="AD106" s="3464"/>
      <c r="AE106" s="3464"/>
      <c r="AF106" s="3464"/>
      <c r="AG106" s="3464"/>
      <c r="AH106" s="3464"/>
      <c r="AI106" s="3464"/>
      <c r="AJ106" s="3464"/>
    </row>
    <row r="107" spans="1:36">
      <c r="A107" s="3464"/>
      <c r="B107" s="3464"/>
      <c r="C107" s="3464"/>
      <c r="D107" s="3464"/>
      <c r="E107" s="3464"/>
      <c r="F107" s="3464"/>
      <c r="G107" s="3464"/>
      <c r="H107" s="3464"/>
      <c r="I107" s="3464"/>
      <c r="J107" s="3464"/>
      <c r="K107" s="3464"/>
      <c r="L107" s="3464"/>
      <c r="M107" s="3464"/>
      <c r="N107" s="3464"/>
      <c r="O107" s="3464"/>
      <c r="P107" s="3464"/>
      <c r="Q107" s="3464"/>
      <c r="R107" s="3464"/>
      <c r="S107" s="3464"/>
      <c r="T107" s="3464"/>
      <c r="U107" s="3464"/>
      <c r="V107" s="3464"/>
      <c r="W107" s="3464"/>
      <c r="X107" s="3464"/>
      <c r="Y107" s="3464"/>
      <c r="Z107" s="3464"/>
      <c r="AA107" s="3464"/>
      <c r="AB107" s="3464"/>
      <c r="AC107" s="3464"/>
      <c r="AD107" s="3464"/>
      <c r="AE107" s="3464"/>
      <c r="AF107" s="3464"/>
      <c r="AG107" s="3464"/>
      <c r="AH107" s="3464"/>
      <c r="AI107" s="3464"/>
      <c r="AJ107" s="3464"/>
    </row>
    <row r="108" spans="1:36">
      <c r="A108" s="3464"/>
      <c r="B108" s="3464"/>
      <c r="C108" s="3464"/>
      <c r="D108" s="3464"/>
      <c r="E108" s="3464"/>
      <c r="F108" s="3464"/>
      <c r="G108" s="3464"/>
      <c r="H108" s="3464"/>
      <c r="I108" s="3464"/>
      <c r="J108" s="3464"/>
      <c r="K108" s="3464"/>
      <c r="L108" s="3464"/>
      <c r="M108" s="3464"/>
      <c r="N108" s="3464"/>
      <c r="O108" s="3464"/>
      <c r="P108" s="3464"/>
      <c r="Q108" s="3464"/>
      <c r="R108" s="3464"/>
      <c r="S108" s="3464"/>
      <c r="T108" s="3464"/>
      <c r="U108" s="3464"/>
      <c r="V108" s="3464"/>
      <c r="W108" s="3464"/>
      <c r="X108" s="3464"/>
      <c r="Y108" s="3464"/>
      <c r="Z108" s="3464"/>
      <c r="AA108" s="3464"/>
      <c r="AB108" s="3464"/>
      <c r="AC108" s="3464"/>
      <c r="AD108" s="3464"/>
      <c r="AE108" s="3464"/>
      <c r="AF108" s="3464"/>
      <c r="AG108" s="3464"/>
      <c r="AH108" s="3464"/>
      <c r="AI108" s="3464"/>
      <c r="AJ108" s="3464"/>
    </row>
    <row r="109" spans="1:36">
      <c r="A109" s="3464"/>
      <c r="B109" s="3464"/>
      <c r="C109" s="3464"/>
      <c r="D109" s="3464"/>
      <c r="E109" s="3464"/>
      <c r="F109" s="3464"/>
      <c r="G109" s="3464"/>
      <c r="H109" s="3464"/>
      <c r="I109" s="3464"/>
      <c r="J109" s="3464"/>
      <c r="K109" s="3464"/>
      <c r="L109" s="3464"/>
      <c r="M109" s="3464"/>
      <c r="N109" s="3464"/>
      <c r="O109" s="3464"/>
      <c r="P109" s="3464"/>
      <c r="Q109" s="3464"/>
      <c r="R109" s="3464"/>
      <c r="S109" s="3464"/>
      <c r="T109" s="3464"/>
      <c r="U109" s="3464"/>
      <c r="V109" s="3464"/>
      <c r="W109" s="3464"/>
      <c r="X109" s="3464"/>
      <c r="Y109" s="3464"/>
      <c r="Z109" s="3464"/>
      <c r="AA109" s="3464"/>
      <c r="AB109" s="3464"/>
      <c r="AC109" s="3464"/>
      <c r="AD109" s="3464"/>
      <c r="AE109" s="3464"/>
      <c r="AF109" s="3464"/>
      <c r="AG109" s="3464"/>
      <c r="AH109" s="3464"/>
      <c r="AI109" s="3464"/>
      <c r="AJ109" s="3464"/>
    </row>
    <row r="110" spans="1:36">
      <c r="A110" s="3464"/>
      <c r="B110" s="3464"/>
      <c r="C110" s="3464"/>
      <c r="D110" s="3464"/>
      <c r="E110" s="3464"/>
      <c r="F110" s="3464"/>
      <c r="G110" s="3464"/>
      <c r="H110" s="3464"/>
      <c r="I110" s="3464"/>
      <c r="J110" s="3464"/>
      <c r="K110" s="3464"/>
      <c r="L110" s="3464"/>
      <c r="M110" s="3464"/>
      <c r="N110" s="3464"/>
      <c r="O110" s="3464"/>
      <c r="P110" s="3464"/>
      <c r="Q110" s="3464"/>
      <c r="R110" s="3464"/>
      <c r="S110" s="3464"/>
      <c r="T110" s="3464"/>
      <c r="U110" s="3464"/>
      <c r="V110" s="3464"/>
      <c r="W110" s="3464"/>
      <c r="X110" s="3464"/>
      <c r="Y110" s="3464"/>
      <c r="Z110" s="3464"/>
      <c r="AA110" s="3464"/>
      <c r="AB110" s="3464"/>
      <c r="AC110" s="3464"/>
      <c r="AD110" s="3464"/>
      <c r="AE110" s="3464"/>
      <c r="AF110" s="3464"/>
      <c r="AG110" s="3464"/>
      <c r="AH110" s="3464"/>
      <c r="AI110" s="3464"/>
      <c r="AJ110" s="3464"/>
    </row>
    <row r="111" spans="1:36">
      <c r="A111" s="3464"/>
      <c r="B111" s="3464"/>
      <c r="C111" s="3464"/>
      <c r="D111" s="3464"/>
      <c r="E111" s="3464"/>
      <c r="F111" s="3464"/>
      <c r="G111" s="3464"/>
      <c r="H111" s="3464"/>
      <c r="I111" s="3464"/>
      <c r="J111" s="3464"/>
      <c r="K111" s="3464"/>
      <c r="L111" s="3464"/>
      <c r="M111" s="3464"/>
      <c r="N111" s="3464"/>
      <c r="O111" s="3464"/>
      <c r="P111" s="3464"/>
      <c r="Q111" s="3464"/>
      <c r="R111" s="3464"/>
      <c r="S111" s="3464"/>
      <c r="T111" s="3464"/>
      <c r="U111" s="3464"/>
      <c r="V111" s="3464"/>
      <c r="W111" s="3464"/>
      <c r="X111" s="3464"/>
      <c r="Y111" s="3464"/>
      <c r="Z111" s="3464"/>
      <c r="AA111" s="3464"/>
      <c r="AB111" s="3464"/>
      <c r="AC111" s="3464"/>
      <c r="AD111" s="3464"/>
      <c r="AE111" s="3464"/>
      <c r="AF111" s="3464"/>
      <c r="AG111" s="3464"/>
      <c r="AH111" s="3464"/>
      <c r="AI111" s="3464"/>
      <c r="AJ111" s="3464"/>
    </row>
    <row r="112" spans="1:36">
      <c r="A112" s="3464"/>
      <c r="B112" s="3464"/>
      <c r="C112" s="3464"/>
      <c r="D112" s="3464"/>
      <c r="E112" s="3464"/>
      <c r="F112" s="3464"/>
      <c r="G112" s="3464"/>
      <c r="H112" s="3464"/>
      <c r="I112" s="3464"/>
      <c r="J112" s="3464"/>
      <c r="K112" s="3464"/>
      <c r="L112" s="3464"/>
      <c r="M112" s="3464"/>
      <c r="N112" s="3464"/>
      <c r="O112" s="3464"/>
      <c r="P112" s="3464"/>
      <c r="Q112" s="3464"/>
      <c r="R112" s="3464"/>
      <c r="S112" s="3464"/>
      <c r="T112" s="3464"/>
      <c r="U112" s="3464"/>
      <c r="V112" s="3464"/>
      <c r="W112" s="3464"/>
      <c r="X112" s="3464"/>
      <c r="Y112" s="3464"/>
      <c r="Z112" s="3464"/>
      <c r="AA112" s="3464"/>
      <c r="AB112" s="3464"/>
      <c r="AC112" s="3464"/>
      <c r="AD112" s="3464"/>
      <c r="AE112" s="3464"/>
      <c r="AF112" s="3464"/>
      <c r="AG112" s="3464"/>
      <c r="AH112" s="3464"/>
      <c r="AI112" s="3464"/>
      <c r="AJ112" s="3464"/>
    </row>
    <row r="113" spans="1:36">
      <c r="A113" s="3464"/>
      <c r="B113" s="3464"/>
      <c r="C113" s="3464"/>
      <c r="D113" s="3464"/>
      <c r="E113" s="3464"/>
      <c r="F113" s="3464"/>
      <c r="G113" s="3464"/>
      <c r="H113" s="3464"/>
      <c r="I113" s="3464"/>
      <c r="J113" s="3464"/>
      <c r="K113" s="3464"/>
      <c r="L113" s="3464"/>
      <c r="M113" s="3464"/>
      <c r="N113" s="3464"/>
      <c r="O113" s="3464"/>
      <c r="P113" s="3464"/>
      <c r="Q113" s="3464"/>
      <c r="R113" s="3464"/>
      <c r="S113" s="3464"/>
      <c r="T113" s="3464"/>
      <c r="U113" s="3464"/>
      <c r="V113" s="3464"/>
      <c r="W113" s="3464"/>
      <c r="X113" s="3464"/>
      <c r="Y113" s="3464"/>
      <c r="Z113" s="3464"/>
      <c r="AA113" s="3464"/>
      <c r="AB113" s="3464"/>
      <c r="AC113" s="3464"/>
      <c r="AD113" s="3464"/>
      <c r="AE113" s="3464"/>
      <c r="AF113" s="3464"/>
      <c r="AG113" s="3464"/>
      <c r="AH113" s="3464"/>
      <c r="AI113" s="3464"/>
      <c r="AJ113" s="3464"/>
    </row>
    <row r="114" spans="1:36">
      <c r="A114" s="3464"/>
      <c r="B114" s="3464"/>
      <c r="C114" s="3464"/>
      <c r="D114" s="3464"/>
      <c r="E114" s="3464"/>
      <c r="F114" s="3464"/>
      <c r="G114" s="3464"/>
      <c r="H114" s="3464"/>
      <c r="I114" s="3464"/>
      <c r="J114" s="3464"/>
      <c r="K114" s="3464"/>
      <c r="L114" s="3464"/>
      <c r="M114" s="3464"/>
      <c r="N114" s="3464"/>
      <c r="O114" s="3464"/>
      <c r="P114" s="3464"/>
      <c r="Q114" s="3464"/>
      <c r="R114" s="3464"/>
      <c r="S114" s="3464"/>
      <c r="T114" s="3464"/>
      <c r="U114" s="3464"/>
      <c r="V114" s="3464"/>
      <c r="W114" s="3464"/>
      <c r="X114" s="3464"/>
      <c r="Y114" s="3464"/>
      <c r="Z114" s="3464"/>
      <c r="AA114" s="3464"/>
      <c r="AB114" s="3464"/>
      <c r="AC114" s="3464"/>
      <c r="AD114" s="3464"/>
      <c r="AE114" s="3464"/>
      <c r="AF114" s="3464"/>
      <c r="AG114" s="3464"/>
      <c r="AH114" s="3464"/>
      <c r="AI114" s="3464"/>
      <c r="AJ114" s="3464"/>
    </row>
    <row r="115" spans="1:36">
      <c r="A115" s="3464"/>
      <c r="B115" s="3464"/>
      <c r="C115" s="3464"/>
      <c r="D115" s="3464"/>
      <c r="E115" s="3464"/>
      <c r="F115" s="3464"/>
      <c r="G115" s="3464"/>
      <c r="H115" s="3464"/>
      <c r="I115" s="3464"/>
      <c r="J115" s="3464"/>
      <c r="K115" s="3464"/>
      <c r="L115" s="3464"/>
      <c r="M115" s="3464"/>
      <c r="N115" s="3464"/>
      <c r="O115" s="3464"/>
      <c r="P115" s="3464"/>
      <c r="Q115" s="3464"/>
      <c r="R115" s="3464"/>
      <c r="S115" s="3464"/>
      <c r="T115" s="3464"/>
      <c r="U115" s="3464"/>
      <c r="V115" s="3464"/>
      <c r="W115" s="3464"/>
      <c r="X115" s="3464"/>
      <c r="Y115" s="3464"/>
      <c r="Z115" s="3464"/>
      <c r="AA115" s="3464"/>
      <c r="AB115" s="3464"/>
      <c r="AC115" s="3464"/>
      <c r="AD115" s="3464"/>
      <c r="AE115" s="3464"/>
      <c r="AF115" s="3464"/>
      <c r="AG115" s="3464"/>
      <c r="AH115" s="3464"/>
      <c r="AI115" s="3464"/>
      <c r="AJ115" s="3464"/>
    </row>
    <row r="116" spans="1:36">
      <c r="A116" s="3464"/>
      <c r="B116" s="3464"/>
      <c r="C116" s="3464"/>
      <c r="D116" s="3464"/>
      <c r="E116" s="3464"/>
      <c r="F116" s="3464"/>
      <c r="G116" s="3464"/>
      <c r="H116" s="3464"/>
      <c r="I116" s="3464"/>
      <c r="J116" s="3464"/>
      <c r="K116" s="3464"/>
      <c r="L116" s="3464"/>
      <c r="M116" s="3464"/>
      <c r="N116" s="3464"/>
      <c r="O116" s="3464"/>
      <c r="P116" s="3464"/>
      <c r="Q116" s="3464"/>
      <c r="R116" s="3464"/>
      <c r="S116" s="3464"/>
      <c r="T116" s="3464"/>
      <c r="U116" s="3464"/>
      <c r="V116" s="3464"/>
      <c r="W116" s="3464"/>
      <c r="X116" s="3464"/>
      <c r="Y116" s="3464"/>
      <c r="Z116" s="3464"/>
      <c r="AA116" s="3464"/>
      <c r="AB116" s="3464"/>
      <c r="AC116" s="3464"/>
      <c r="AD116" s="3464"/>
      <c r="AE116" s="3464"/>
      <c r="AF116" s="3464"/>
      <c r="AG116" s="3464"/>
      <c r="AH116" s="3464"/>
      <c r="AI116" s="3464"/>
      <c r="AJ116" s="3464"/>
    </row>
    <row r="117" spans="1:36">
      <c r="A117" s="3464"/>
      <c r="B117" s="3464"/>
      <c r="C117" s="3464"/>
      <c r="D117" s="3464"/>
      <c r="E117" s="3464"/>
      <c r="F117" s="3464"/>
      <c r="G117" s="3464"/>
      <c r="H117" s="3464"/>
      <c r="I117" s="3464"/>
      <c r="J117" s="3464"/>
      <c r="K117" s="3464"/>
      <c r="L117" s="3464"/>
      <c r="M117" s="3464"/>
      <c r="N117" s="3464"/>
      <c r="O117" s="3464"/>
      <c r="P117" s="3464"/>
      <c r="Q117" s="3464"/>
      <c r="R117" s="3464"/>
      <c r="S117" s="3464"/>
      <c r="T117" s="3464"/>
      <c r="U117" s="3464"/>
      <c r="V117" s="3464"/>
      <c r="W117" s="3464"/>
      <c r="X117" s="3464"/>
      <c r="Y117" s="3464"/>
      <c r="Z117" s="3464"/>
      <c r="AA117" s="3464"/>
      <c r="AB117" s="3464"/>
      <c r="AC117" s="3464"/>
      <c r="AD117" s="3464"/>
      <c r="AE117" s="3464"/>
      <c r="AF117" s="3464"/>
      <c r="AG117" s="3464"/>
      <c r="AH117" s="3464"/>
      <c r="AI117" s="3464"/>
      <c r="AJ117" s="3464"/>
    </row>
    <row r="118" spans="1:36">
      <c r="A118" s="3464"/>
      <c r="B118" s="3464"/>
      <c r="C118" s="3464"/>
      <c r="D118" s="3464"/>
      <c r="E118" s="3464"/>
      <c r="F118" s="3464"/>
      <c r="G118" s="3464"/>
      <c r="H118" s="3464"/>
      <c r="I118" s="3464"/>
      <c r="J118" s="3464"/>
      <c r="K118" s="3464"/>
      <c r="L118" s="3464"/>
      <c r="M118" s="3464"/>
      <c r="N118" s="3464"/>
      <c r="O118" s="3464"/>
      <c r="P118" s="3464"/>
      <c r="Q118" s="3464"/>
      <c r="R118" s="3464"/>
      <c r="S118" s="3464"/>
      <c r="T118" s="3464"/>
      <c r="U118" s="3464"/>
      <c r="V118" s="3464"/>
      <c r="W118" s="3464"/>
      <c r="X118" s="3464"/>
      <c r="Y118" s="3464"/>
      <c r="Z118" s="3464"/>
      <c r="AA118" s="3464"/>
      <c r="AB118" s="3464"/>
      <c r="AC118" s="3464"/>
      <c r="AD118" s="3464"/>
      <c r="AE118" s="3464"/>
      <c r="AF118" s="3464"/>
      <c r="AG118" s="3464"/>
      <c r="AH118" s="3464"/>
      <c r="AI118" s="3464"/>
      <c r="AJ118" s="3464"/>
    </row>
    <row r="119" spans="1:36">
      <c r="A119" s="3464"/>
      <c r="B119" s="3464"/>
      <c r="C119" s="3464"/>
      <c r="D119" s="3464"/>
      <c r="E119" s="3464"/>
      <c r="F119" s="3464"/>
      <c r="G119" s="3464"/>
      <c r="H119" s="3464"/>
      <c r="I119" s="3464"/>
      <c r="J119" s="3464"/>
      <c r="K119" s="3464"/>
      <c r="L119" s="3464"/>
      <c r="M119" s="3464"/>
      <c r="N119" s="3464"/>
      <c r="O119" s="3464"/>
      <c r="P119" s="3464"/>
      <c r="Q119" s="3464"/>
      <c r="R119" s="3464"/>
      <c r="S119" s="3464"/>
      <c r="T119" s="3464"/>
      <c r="U119" s="3464"/>
      <c r="V119" s="3464"/>
      <c r="W119" s="3464"/>
      <c r="X119" s="3464"/>
      <c r="Y119" s="3464"/>
      <c r="Z119" s="3464"/>
      <c r="AA119" s="3464"/>
      <c r="AB119" s="3464"/>
      <c r="AC119" s="3464"/>
      <c r="AD119" s="3464"/>
      <c r="AE119" s="3464"/>
      <c r="AF119" s="3464"/>
      <c r="AG119" s="3464"/>
      <c r="AH119" s="3464"/>
      <c r="AI119" s="3464"/>
      <c r="AJ119" s="3464"/>
    </row>
    <row r="120" spans="1:36">
      <c r="A120" s="3464"/>
      <c r="B120" s="3464"/>
      <c r="C120" s="3464"/>
      <c r="D120" s="3464"/>
      <c r="E120" s="3464"/>
      <c r="F120" s="3464"/>
      <c r="G120" s="3464"/>
      <c r="H120" s="3464"/>
      <c r="I120" s="3464"/>
      <c r="J120" s="3464"/>
      <c r="K120" s="3464"/>
      <c r="L120" s="3464"/>
      <c r="M120" s="3464"/>
      <c r="N120" s="3464"/>
      <c r="O120" s="3464"/>
      <c r="P120" s="3464"/>
      <c r="Q120" s="3464"/>
      <c r="R120" s="3464"/>
      <c r="S120" s="3464"/>
      <c r="T120" s="3464"/>
      <c r="U120" s="3464"/>
      <c r="V120" s="3464"/>
      <c r="W120" s="3464"/>
      <c r="X120" s="3464"/>
      <c r="Y120" s="3464"/>
      <c r="Z120" s="3464"/>
      <c r="AA120" s="3464"/>
      <c r="AB120" s="3464"/>
      <c r="AC120" s="3464"/>
      <c r="AD120" s="3464"/>
      <c r="AE120" s="3464"/>
      <c r="AF120" s="3464"/>
      <c r="AG120" s="3464"/>
      <c r="AH120" s="3464"/>
      <c r="AI120" s="3464"/>
      <c r="AJ120" s="3464"/>
    </row>
    <row r="121" spans="1:36">
      <c r="A121" s="3464"/>
      <c r="B121" s="3464"/>
      <c r="C121" s="3464"/>
      <c r="D121" s="3464"/>
      <c r="E121" s="3464"/>
      <c r="F121" s="3464"/>
      <c r="G121" s="3464"/>
      <c r="H121" s="3464"/>
      <c r="I121" s="3464"/>
      <c r="J121" s="3464"/>
      <c r="K121" s="3464"/>
      <c r="L121" s="3464"/>
      <c r="M121" s="3464"/>
      <c r="N121" s="3464"/>
      <c r="O121" s="3464"/>
      <c r="P121" s="3464"/>
      <c r="Q121" s="3464"/>
      <c r="R121" s="3464"/>
      <c r="S121" s="3464"/>
      <c r="T121" s="3464"/>
      <c r="U121" s="3464"/>
      <c r="V121" s="3464"/>
      <c r="W121" s="3464"/>
      <c r="X121" s="3464"/>
      <c r="Y121" s="3464"/>
      <c r="Z121" s="3464"/>
      <c r="AA121" s="3464"/>
      <c r="AB121" s="3464"/>
      <c r="AC121" s="3464"/>
      <c r="AD121" s="3464"/>
      <c r="AE121" s="3464"/>
      <c r="AF121" s="3464"/>
      <c r="AG121" s="3464"/>
      <c r="AH121" s="3464"/>
      <c r="AI121" s="3464"/>
      <c r="AJ121" s="3464"/>
    </row>
    <row r="122" spans="1:36">
      <c r="A122" s="3464"/>
      <c r="B122" s="3464"/>
      <c r="C122" s="3464"/>
      <c r="D122" s="3464"/>
      <c r="E122" s="3464"/>
      <c r="F122" s="3464"/>
      <c r="G122" s="3464"/>
      <c r="H122" s="3464"/>
      <c r="I122" s="3464"/>
      <c r="J122" s="3464"/>
      <c r="K122" s="3464"/>
      <c r="L122" s="3464"/>
      <c r="M122" s="3464"/>
      <c r="N122" s="3464"/>
      <c r="O122" s="3464"/>
      <c r="P122" s="3464"/>
      <c r="Q122" s="3464"/>
      <c r="R122" s="3464"/>
      <c r="S122" s="3464"/>
      <c r="T122" s="3464"/>
      <c r="U122" s="3464"/>
      <c r="V122" s="3464"/>
      <c r="W122" s="3464"/>
      <c r="X122" s="3464"/>
      <c r="Y122" s="3464"/>
      <c r="Z122" s="3464"/>
      <c r="AA122" s="3464"/>
      <c r="AB122" s="3464"/>
      <c r="AC122" s="3464"/>
      <c r="AD122" s="3464"/>
      <c r="AE122" s="3464"/>
      <c r="AF122" s="3464"/>
      <c r="AG122" s="3464"/>
      <c r="AH122" s="3464"/>
      <c r="AI122" s="3464"/>
      <c r="AJ122" s="3464"/>
    </row>
    <row r="123" spans="1:36">
      <c r="A123" s="3464"/>
      <c r="B123" s="3464"/>
      <c r="C123" s="3464"/>
      <c r="D123" s="3464"/>
      <c r="E123" s="3464"/>
      <c r="F123" s="3464"/>
      <c r="G123" s="3464"/>
      <c r="H123" s="3464"/>
      <c r="I123" s="3464"/>
      <c r="J123" s="3464"/>
      <c r="K123" s="3464"/>
      <c r="L123" s="3464"/>
      <c r="M123" s="3464"/>
      <c r="N123" s="3464"/>
      <c r="O123" s="3464"/>
      <c r="P123" s="3464"/>
      <c r="Q123" s="3464"/>
      <c r="R123" s="3464"/>
      <c r="S123" s="3464"/>
      <c r="T123" s="3464"/>
      <c r="U123" s="3464"/>
      <c r="V123" s="3464"/>
      <c r="W123" s="3464"/>
      <c r="X123" s="3464"/>
      <c r="Y123" s="3464"/>
      <c r="Z123" s="3464"/>
      <c r="AA123" s="3464"/>
      <c r="AB123" s="3464"/>
      <c r="AC123" s="3464"/>
      <c r="AD123" s="3464"/>
      <c r="AE123" s="3464"/>
      <c r="AF123" s="3464"/>
      <c r="AG123" s="3464"/>
      <c r="AH123" s="3464"/>
      <c r="AI123" s="3464"/>
      <c r="AJ123" s="3464"/>
    </row>
    <row r="124" spans="1:36">
      <c r="A124" s="3464"/>
      <c r="B124" s="3464"/>
      <c r="C124" s="3464"/>
      <c r="D124" s="3464"/>
      <c r="E124" s="3464"/>
      <c r="F124" s="3464"/>
      <c r="G124" s="3464"/>
      <c r="H124" s="3464"/>
      <c r="I124" s="3464"/>
      <c r="J124" s="3464"/>
      <c r="K124" s="3464"/>
      <c r="L124" s="3464"/>
      <c r="M124" s="3464"/>
      <c r="N124" s="3464"/>
      <c r="O124" s="3464"/>
      <c r="P124" s="3464"/>
      <c r="Q124" s="3464"/>
      <c r="R124" s="3464"/>
      <c r="S124" s="3464"/>
      <c r="T124" s="3464"/>
      <c r="U124" s="3464"/>
      <c r="V124" s="3464"/>
      <c r="W124" s="3464"/>
      <c r="X124" s="3464"/>
      <c r="Y124" s="3464"/>
      <c r="Z124" s="3464"/>
      <c r="AA124" s="3464"/>
      <c r="AB124" s="3464"/>
      <c r="AC124" s="3464"/>
      <c r="AD124" s="3464"/>
      <c r="AE124" s="3464"/>
      <c r="AF124" s="3464"/>
      <c r="AG124" s="3464"/>
      <c r="AH124" s="3464"/>
      <c r="AI124" s="3464"/>
      <c r="AJ124" s="3464"/>
    </row>
    <row r="125" spans="1:36">
      <c r="A125" s="3464"/>
      <c r="B125" s="3464"/>
      <c r="C125" s="3464"/>
      <c r="D125" s="3464"/>
      <c r="E125" s="3464"/>
      <c r="F125" s="3464"/>
      <c r="G125" s="3464"/>
      <c r="H125" s="3464"/>
      <c r="I125" s="3464"/>
      <c r="J125" s="3464"/>
      <c r="K125" s="3464"/>
      <c r="L125" s="3464"/>
      <c r="M125" s="3464"/>
      <c r="N125" s="3464"/>
      <c r="O125" s="3464"/>
      <c r="P125" s="3464"/>
      <c r="Q125" s="3464"/>
      <c r="R125" s="3464"/>
      <c r="S125" s="3464"/>
      <c r="T125" s="3464"/>
      <c r="U125" s="3464"/>
      <c r="V125" s="3464"/>
      <c r="W125" s="3464"/>
      <c r="X125" s="3464"/>
      <c r="Y125" s="3464"/>
      <c r="Z125" s="3464"/>
      <c r="AA125" s="3464"/>
      <c r="AB125" s="3464"/>
      <c r="AC125" s="3464"/>
      <c r="AD125" s="3464"/>
      <c r="AE125" s="3464"/>
      <c r="AF125" s="3464"/>
      <c r="AG125" s="3464"/>
      <c r="AH125" s="3464"/>
      <c r="AI125" s="3464"/>
      <c r="AJ125" s="3464"/>
    </row>
    <row r="126" spans="1:36">
      <c r="A126" s="3464"/>
      <c r="B126" s="3464"/>
      <c r="C126" s="3464"/>
      <c r="D126" s="3464"/>
      <c r="E126" s="3464"/>
      <c r="F126" s="3464"/>
      <c r="G126" s="3464"/>
      <c r="H126" s="3464"/>
      <c r="I126" s="3464"/>
      <c r="J126" s="3464"/>
      <c r="K126" s="3464"/>
      <c r="L126" s="3464"/>
      <c r="M126" s="3464"/>
      <c r="N126" s="3464"/>
      <c r="O126" s="3464"/>
      <c r="P126" s="3464"/>
      <c r="Q126" s="3464"/>
      <c r="R126" s="3464"/>
      <c r="S126" s="3464"/>
      <c r="T126" s="3464"/>
      <c r="U126" s="3464"/>
      <c r="V126" s="3464"/>
      <c r="W126" s="3464"/>
      <c r="X126" s="3464"/>
      <c r="Y126" s="3464"/>
      <c r="Z126" s="3464"/>
      <c r="AA126" s="3464"/>
      <c r="AB126" s="3464"/>
      <c r="AC126" s="3464"/>
      <c r="AD126" s="3464"/>
      <c r="AE126" s="3464"/>
      <c r="AF126" s="3464"/>
      <c r="AG126" s="3464"/>
      <c r="AH126" s="3464"/>
      <c r="AI126" s="3464"/>
      <c r="AJ126" s="3464"/>
    </row>
    <row r="127" spans="1:36">
      <c r="A127" s="3464"/>
      <c r="B127" s="3464"/>
      <c r="C127" s="3464"/>
      <c r="D127" s="3464"/>
      <c r="E127" s="3464"/>
      <c r="F127" s="3464"/>
      <c r="G127" s="3464"/>
      <c r="H127" s="3464"/>
      <c r="I127" s="3464"/>
      <c r="J127" s="3464"/>
      <c r="K127" s="3464"/>
      <c r="L127" s="3464"/>
      <c r="M127" s="3464"/>
      <c r="N127" s="3464"/>
      <c r="O127" s="3464"/>
      <c r="P127" s="3464"/>
      <c r="Q127" s="3464"/>
      <c r="R127" s="3464"/>
      <c r="S127" s="3464"/>
      <c r="T127" s="3464"/>
      <c r="U127" s="3464"/>
      <c r="V127" s="3464"/>
      <c r="W127" s="3464"/>
      <c r="X127" s="3464"/>
      <c r="Y127" s="3464"/>
      <c r="Z127" s="3464"/>
      <c r="AA127" s="3464"/>
      <c r="AB127" s="3464"/>
      <c r="AC127" s="3464"/>
      <c r="AD127" s="3464"/>
      <c r="AE127" s="3464"/>
      <c r="AF127" s="3464"/>
      <c r="AG127" s="3464"/>
      <c r="AH127" s="3464"/>
      <c r="AI127" s="3464"/>
      <c r="AJ127" s="3464"/>
    </row>
    <row r="128" spans="1:36">
      <c r="A128" s="3464"/>
      <c r="B128" s="3464"/>
      <c r="C128" s="3464"/>
      <c r="D128" s="3464"/>
      <c r="E128" s="3464"/>
      <c r="F128" s="3464"/>
      <c r="G128" s="3464"/>
      <c r="H128" s="3464"/>
      <c r="I128" s="3464"/>
      <c r="J128" s="3464"/>
      <c r="K128" s="3464"/>
      <c r="L128" s="3464"/>
      <c r="M128" s="3464"/>
      <c r="N128" s="3464"/>
      <c r="O128" s="3464"/>
      <c r="P128" s="3464"/>
      <c r="Q128" s="3464"/>
      <c r="R128" s="3464"/>
      <c r="S128" s="3464"/>
      <c r="T128" s="3464"/>
      <c r="U128" s="3464"/>
      <c r="V128" s="3464"/>
      <c r="W128" s="3464"/>
      <c r="X128" s="3464"/>
      <c r="Y128" s="3464"/>
      <c r="Z128" s="3464"/>
      <c r="AA128" s="3464"/>
      <c r="AB128" s="3464"/>
      <c r="AC128" s="3464"/>
      <c r="AD128" s="3464"/>
      <c r="AE128" s="3464"/>
      <c r="AF128" s="3464"/>
      <c r="AG128" s="3464"/>
      <c r="AH128" s="3464"/>
      <c r="AI128" s="3464"/>
      <c r="AJ128" s="3464"/>
    </row>
    <row r="129" spans="1:36">
      <c r="A129" s="3464"/>
      <c r="B129" s="3464"/>
      <c r="C129" s="3464"/>
      <c r="D129" s="3464"/>
      <c r="E129" s="3464"/>
      <c r="F129" s="3464"/>
      <c r="G129" s="3464"/>
      <c r="H129" s="3464"/>
      <c r="I129" s="3464"/>
      <c r="J129" s="3464"/>
      <c r="K129" s="3464"/>
      <c r="L129" s="3464"/>
      <c r="M129" s="3464"/>
      <c r="N129" s="3464"/>
      <c r="O129" s="3464"/>
      <c r="P129" s="3464"/>
      <c r="Q129" s="3464"/>
      <c r="R129" s="3464"/>
      <c r="S129" s="3464"/>
      <c r="T129" s="3464"/>
      <c r="U129" s="3464"/>
      <c r="V129" s="3464"/>
      <c r="W129" s="3464"/>
      <c r="X129" s="3464"/>
      <c r="Y129" s="3464"/>
      <c r="Z129" s="3464"/>
      <c r="AA129" s="3464"/>
      <c r="AB129" s="3464"/>
      <c r="AC129" s="3464"/>
      <c r="AD129" s="3464"/>
      <c r="AE129" s="3464"/>
      <c r="AF129" s="3464"/>
      <c r="AG129" s="3464"/>
      <c r="AH129" s="3464"/>
      <c r="AI129" s="3464"/>
      <c r="AJ129" s="3464"/>
    </row>
    <row r="130" spans="1:36">
      <c r="A130" s="3464"/>
      <c r="B130" s="3464"/>
      <c r="C130" s="3464"/>
      <c r="D130" s="3464"/>
      <c r="E130" s="3464"/>
      <c r="F130" s="3464"/>
      <c r="G130" s="3464"/>
      <c r="H130" s="3464"/>
      <c r="I130" s="3464"/>
      <c r="J130" s="3464"/>
      <c r="K130" s="3464"/>
      <c r="L130" s="3464"/>
      <c r="M130" s="3464"/>
      <c r="N130" s="3464"/>
      <c r="O130" s="3464"/>
      <c r="P130" s="3464"/>
      <c r="Q130" s="3464"/>
      <c r="R130" s="3464"/>
      <c r="S130" s="3464"/>
      <c r="T130" s="3464"/>
      <c r="U130" s="3464"/>
      <c r="V130" s="3464"/>
      <c r="W130" s="3464"/>
      <c r="X130" s="3464"/>
      <c r="Y130" s="3464"/>
      <c r="Z130" s="3464"/>
      <c r="AA130" s="3464"/>
      <c r="AB130" s="3464"/>
      <c r="AC130" s="3464"/>
      <c r="AD130" s="3464"/>
      <c r="AE130" s="3464"/>
      <c r="AF130" s="3464"/>
      <c r="AG130" s="3464"/>
      <c r="AH130" s="3464"/>
      <c r="AI130" s="3464"/>
      <c r="AJ130" s="3464"/>
    </row>
    <row r="131" spans="1:36">
      <c r="A131" s="3464"/>
      <c r="B131" s="3464"/>
      <c r="C131" s="3464"/>
      <c r="D131" s="3464"/>
      <c r="E131" s="3464"/>
      <c r="F131" s="3464"/>
      <c r="G131" s="3464"/>
      <c r="H131" s="3464"/>
      <c r="I131" s="3464"/>
      <c r="J131" s="3464"/>
      <c r="K131" s="3464"/>
      <c r="L131" s="3464"/>
      <c r="M131" s="3464"/>
      <c r="N131" s="3464"/>
      <c r="O131" s="3464"/>
      <c r="P131" s="3464"/>
      <c r="Q131" s="3464"/>
      <c r="R131" s="3464"/>
      <c r="S131" s="3464"/>
      <c r="T131" s="3464"/>
      <c r="U131" s="3464"/>
      <c r="V131" s="3464"/>
      <c r="W131" s="3464"/>
      <c r="X131" s="3464"/>
      <c r="Y131" s="3464"/>
      <c r="Z131" s="3464"/>
      <c r="AA131" s="3464"/>
      <c r="AB131" s="3464"/>
      <c r="AC131" s="3464"/>
      <c r="AD131" s="3464"/>
      <c r="AE131" s="3464"/>
      <c r="AF131" s="3464"/>
      <c r="AG131" s="3464"/>
      <c r="AH131" s="3464"/>
      <c r="AI131" s="3464"/>
      <c r="AJ131" s="3464"/>
    </row>
    <row r="132" spans="1:36">
      <c r="A132" s="3464"/>
      <c r="B132" s="3464"/>
      <c r="C132" s="3464"/>
      <c r="D132" s="3464"/>
      <c r="E132" s="3464"/>
      <c r="F132" s="3464"/>
      <c r="G132" s="3464"/>
      <c r="H132" s="3464"/>
      <c r="I132" s="3464"/>
      <c r="J132" s="3464"/>
      <c r="K132" s="3464"/>
      <c r="L132" s="3464"/>
      <c r="M132" s="3464"/>
      <c r="N132" s="3464"/>
      <c r="O132" s="3464"/>
      <c r="P132" s="3464"/>
      <c r="Q132" s="3464"/>
      <c r="R132" s="3464"/>
      <c r="S132" s="3464"/>
      <c r="T132" s="3464"/>
      <c r="U132" s="3464"/>
      <c r="V132" s="3464"/>
      <c r="W132" s="3464"/>
      <c r="X132" s="3464"/>
      <c r="Y132" s="3464"/>
      <c r="Z132" s="3464"/>
      <c r="AA132" s="3464"/>
      <c r="AB132" s="3464"/>
      <c r="AC132" s="3464"/>
      <c r="AD132" s="3464"/>
      <c r="AE132" s="3464"/>
      <c r="AF132" s="3464"/>
      <c r="AG132" s="3464"/>
      <c r="AH132" s="3464"/>
      <c r="AI132" s="3464"/>
      <c r="AJ132" s="3464"/>
    </row>
    <row r="133" spans="1:36">
      <c r="A133" s="3464"/>
      <c r="B133" s="3464"/>
      <c r="C133" s="3464"/>
      <c r="D133" s="3464"/>
      <c r="E133" s="3464"/>
      <c r="F133" s="3464"/>
      <c r="G133" s="3464"/>
      <c r="H133" s="3464"/>
      <c r="I133" s="3464"/>
      <c r="J133" s="3464"/>
      <c r="K133" s="3464"/>
      <c r="L133" s="3464"/>
      <c r="M133" s="3464"/>
      <c r="N133" s="3464"/>
      <c r="O133" s="3464"/>
      <c r="P133" s="3464"/>
      <c r="Q133" s="3464"/>
      <c r="R133" s="3464"/>
      <c r="S133" s="3464"/>
      <c r="T133" s="3464"/>
      <c r="U133" s="3464"/>
      <c r="V133" s="3464"/>
      <c r="W133" s="3464"/>
      <c r="X133" s="3464"/>
      <c r="Y133" s="3464"/>
      <c r="Z133" s="3464"/>
      <c r="AA133" s="3464"/>
      <c r="AB133" s="3464"/>
      <c r="AC133" s="3464"/>
      <c r="AD133" s="3464"/>
      <c r="AE133" s="3464"/>
      <c r="AF133" s="3464"/>
      <c r="AG133" s="3464"/>
      <c r="AH133" s="3464"/>
      <c r="AI133" s="3464"/>
      <c r="AJ133" s="3464"/>
    </row>
    <row r="134" spans="1:36">
      <c r="A134" s="3464"/>
      <c r="B134" s="3464"/>
      <c r="C134" s="3464"/>
      <c r="D134" s="3464"/>
      <c r="E134" s="3464"/>
      <c r="F134" s="3464"/>
      <c r="G134" s="3464"/>
      <c r="H134" s="3464"/>
      <c r="I134" s="3464"/>
      <c r="J134" s="3464"/>
      <c r="K134" s="3464"/>
      <c r="L134" s="3464"/>
      <c r="M134" s="3464"/>
      <c r="N134" s="3464"/>
      <c r="O134" s="3464"/>
      <c r="P134" s="3464"/>
      <c r="Q134" s="3464"/>
      <c r="R134" s="3464"/>
      <c r="S134" s="3464"/>
      <c r="T134" s="3464"/>
      <c r="U134" s="3464"/>
      <c r="V134" s="3464"/>
      <c r="W134" s="3464"/>
      <c r="X134" s="3464"/>
      <c r="Y134" s="3464"/>
      <c r="Z134" s="3464"/>
      <c r="AA134" s="3464"/>
      <c r="AB134" s="3464"/>
      <c r="AC134" s="3464"/>
      <c r="AD134" s="3464"/>
      <c r="AE134" s="3464"/>
      <c r="AF134" s="3464"/>
      <c r="AG134" s="3464"/>
      <c r="AH134" s="3464"/>
      <c r="AI134" s="3464"/>
      <c r="AJ134" s="3464"/>
    </row>
    <row r="135" spans="1:36">
      <c r="A135" s="3464"/>
      <c r="B135" s="3464"/>
      <c r="C135" s="3464"/>
      <c r="D135" s="3464"/>
      <c r="E135" s="3464"/>
      <c r="F135" s="3464"/>
      <c r="G135" s="3464"/>
      <c r="H135" s="3464"/>
      <c r="I135" s="3464"/>
      <c r="J135" s="3464"/>
      <c r="K135" s="3464"/>
      <c r="L135" s="3464"/>
      <c r="M135" s="3464"/>
      <c r="N135" s="3464"/>
      <c r="O135" s="3464"/>
      <c r="P135" s="3464"/>
      <c r="Q135" s="3464"/>
      <c r="R135" s="3464"/>
      <c r="S135" s="3464"/>
      <c r="T135" s="3464"/>
      <c r="U135" s="3464"/>
      <c r="V135" s="3464"/>
      <c r="W135" s="3464"/>
      <c r="X135" s="3464"/>
      <c r="Y135" s="3464"/>
      <c r="Z135" s="3464"/>
      <c r="AA135" s="3464"/>
      <c r="AB135" s="3464"/>
      <c r="AC135" s="3464"/>
      <c r="AD135" s="3464"/>
      <c r="AE135" s="3464"/>
      <c r="AF135" s="3464"/>
      <c r="AG135" s="3464"/>
      <c r="AH135" s="3464"/>
      <c r="AI135" s="3464"/>
      <c r="AJ135" s="3464"/>
    </row>
    <row r="136" spans="1:36">
      <c r="A136" s="3464"/>
      <c r="B136" s="3464"/>
      <c r="C136" s="3464"/>
      <c r="D136" s="3464"/>
      <c r="E136" s="3464"/>
      <c r="F136" s="3464"/>
      <c r="G136" s="3464"/>
      <c r="H136" s="3464"/>
      <c r="I136" s="3464"/>
      <c r="J136" s="3464"/>
      <c r="K136" s="3464"/>
      <c r="L136" s="3464"/>
      <c r="M136" s="3464"/>
      <c r="N136" s="3464"/>
      <c r="O136" s="3464"/>
      <c r="P136" s="3464"/>
      <c r="Q136" s="3464"/>
      <c r="R136" s="3464"/>
      <c r="S136" s="3464"/>
      <c r="T136" s="3464"/>
      <c r="U136" s="3464"/>
      <c r="V136" s="3464"/>
      <c r="W136" s="3464"/>
      <c r="X136" s="3464"/>
      <c r="Y136" s="3464"/>
      <c r="Z136" s="3464"/>
      <c r="AA136" s="3464"/>
      <c r="AB136" s="3464"/>
      <c r="AC136" s="3464"/>
      <c r="AD136" s="3464"/>
      <c r="AE136" s="3464"/>
      <c r="AF136" s="3464"/>
      <c r="AG136" s="3464"/>
      <c r="AH136" s="3464"/>
      <c r="AI136" s="3464"/>
      <c r="AJ136" s="3464"/>
    </row>
    <row r="137" spans="1:36">
      <c r="A137" s="3464"/>
      <c r="B137" s="3464"/>
      <c r="C137" s="3464"/>
      <c r="D137" s="3464"/>
      <c r="E137" s="3464"/>
      <c r="F137" s="3464"/>
      <c r="G137" s="3464"/>
      <c r="H137" s="3464"/>
      <c r="I137" s="3464"/>
      <c r="J137" s="3464"/>
      <c r="K137" s="3464"/>
      <c r="L137" s="3464"/>
      <c r="M137" s="3464"/>
      <c r="N137" s="3464"/>
      <c r="O137" s="3464"/>
      <c r="P137" s="3464"/>
      <c r="Q137" s="3464"/>
      <c r="R137" s="3464"/>
      <c r="S137" s="3464"/>
      <c r="T137" s="3464"/>
      <c r="U137" s="3464"/>
      <c r="V137" s="3464"/>
      <c r="W137" s="3464"/>
      <c r="X137" s="3464"/>
      <c r="Y137" s="3464"/>
      <c r="Z137" s="3464"/>
      <c r="AA137" s="3464"/>
      <c r="AB137" s="3464"/>
      <c r="AC137" s="3464"/>
      <c r="AD137" s="3464"/>
      <c r="AE137" s="3464"/>
      <c r="AF137" s="3464"/>
      <c r="AG137" s="3464"/>
      <c r="AH137" s="3464"/>
      <c r="AI137" s="3464"/>
      <c r="AJ137" s="3464"/>
    </row>
    <row r="138" spans="1:36">
      <c r="A138" s="3464"/>
      <c r="B138" s="3464"/>
      <c r="C138" s="3464"/>
      <c r="D138" s="3464"/>
      <c r="E138" s="3464"/>
      <c r="F138" s="3464"/>
      <c r="G138" s="3464"/>
      <c r="H138" s="3464"/>
      <c r="I138" s="3464"/>
      <c r="J138" s="3464"/>
      <c r="K138" s="3464"/>
      <c r="L138" s="3464"/>
      <c r="M138" s="3464"/>
      <c r="N138" s="3464"/>
      <c r="O138" s="3464"/>
      <c r="P138" s="3464"/>
      <c r="Q138" s="3464"/>
      <c r="R138" s="3464"/>
      <c r="S138" s="3464"/>
      <c r="T138" s="3464"/>
      <c r="U138" s="3464"/>
      <c r="V138" s="3464"/>
      <c r="W138" s="3464"/>
      <c r="X138" s="3464"/>
      <c r="Y138" s="3464"/>
      <c r="Z138" s="3464"/>
      <c r="AA138" s="3464"/>
      <c r="AB138" s="3464"/>
      <c r="AC138" s="3464"/>
      <c r="AD138" s="3464"/>
      <c r="AE138" s="3464"/>
      <c r="AF138" s="3464"/>
      <c r="AG138" s="3464"/>
      <c r="AH138" s="3464"/>
      <c r="AI138" s="3464"/>
      <c r="AJ138" s="3464"/>
    </row>
    <row r="139" spans="1:36">
      <c r="A139" s="3464"/>
      <c r="B139" s="3464"/>
      <c r="C139" s="3464"/>
      <c r="D139" s="3464"/>
      <c r="E139" s="3464"/>
      <c r="F139" s="3464"/>
      <c r="G139" s="3464"/>
      <c r="H139" s="3464"/>
      <c r="I139" s="3464"/>
      <c r="J139" s="3464"/>
      <c r="K139" s="3464"/>
      <c r="L139" s="3464"/>
      <c r="M139" s="3464"/>
      <c r="N139" s="3464"/>
      <c r="O139" s="3464"/>
      <c r="P139" s="3464"/>
      <c r="Q139" s="3464"/>
      <c r="R139" s="3464"/>
      <c r="S139" s="3464"/>
      <c r="T139" s="3464"/>
      <c r="U139" s="3464"/>
      <c r="V139" s="3464"/>
      <c r="W139" s="3464"/>
      <c r="X139" s="3464"/>
      <c r="Y139" s="3464"/>
      <c r="Z139" s="3464"/>
      <c r="AA139" s="3464"/>
      <c r="AB139" s="3464"/>
      <c r="AC139" s="3464"/>
      <c r="AD139" s="3464"/>
      <c r="AE139" s="3464"/>
      <c r="AF139" s="3464"/>
      <c r="AG139" s="3464"/>
      <c r="AH139" s="3464"/>
      <c r="AI139" s="3464"/>
      <c r="AJ139" s="3464"/>
    </row>
    <row r="140" spans="1:36">
      <c r="A140" s="3464"/>
      <c r="B140" s="3464"/>
      <c r="C140" s="3464"/>
      <c r="D140" s="3464"/>
      <c r="E140" s="3464"/>
      <c r="F140" s="3464"/>
      <c r="G140" s="3464"/>
      <c r="H140" s="3464"/>
      <c r="I140" s="3464"/>
      <c r="J140" s="3464"/>
      <c r="K140" s="3464"/>
      <c r="L140" s="3464"/>
      <c r="M140" s="3464"/>
      <c r="N140" s="3464"/>
      <c r="O140" s="3464"/>
      <c r="P140" s="3464"/>
      <c r="Q140" s="3464"/>
      <c r="R140" s="3464"/>
      <c r="S140" s="3464"/>
      <c r="T140" s="3464"/>
      <c r="U140" s="3464"/>
      <c r="V140" s="3464"/>
      <c r="W140" s="3464"/>
      <c r="X140" s="3464"/>
      <c r="Y140" s="3464"/>
      <c r="Z140" s="3464"/>
      <c r="AA140" s="3464"/>
      <c r="AB140" s="3464"/>
      <c r="AC140" s="3464"/>
      <c r="AD140" s="3464"/>
      <c r="AE140" s="3464"/>
      <c r="AF140" s="3464"/>
      <c r="AG140" s="3464"/>
      <c r="AH140" s="3464"/>
      <c r="AI140" s="3464"/>
      <c r="AJ140" s="3464"/>
    </row>
    <row r="141" spans="1:36">
      <c r="A141" s="3464"/>
      <c r="B141" s="3464"/>
      <c r="C141" s="3464"/>
      <c r="D141" s="3464"/>
      <c r="E141" s="3464"/>
      <c r="F141" s="3464"/>
      <c r="G141" s="3464"/>
      <c r="H141" s="3464"/>
      <c r="I141" s="3464"/>
      <c r="J141" s="3464"/>
      <c r="K141" s="3464"/>
      <c r="L141" s="3464"/>
      <c r="M141" s="3464"/>
      <c r="N141" s="3464"/>
      <c r="O141" s="3464"/>
      <c r="P141" s="3464"/>
      <c r="Q141" s="3464"/>
      <c r="R141" s="3464"/>
      <c r="S141" s="3464"/>
      <c r="T141" s="3464"/>
      <c r="U141" s="3464"/>
      <c r="V141" s="3464"/>
      <c r="W141" s="3464"/>
      <c r="X141" s="3464"/>
      <c r="Y141" s="3464"/>
      <c r="Z141" s="3464"/>
      <c r="AA141" s="3464"/>
      <c r="AB141" s="3464"/>
      <c r="AC141" s="3464"/>
      <c r="AD141" s="3464"/>
      <c r="AE141" s="3464"/>
      <c r="AF141" s="3464"/>
      <c r="AG141" s="3464"/>
      <c r="AH141" s="3464"/>
      <c r="AI141" s="3464"/>
      <c r="AJ141" s="3464"/>
    </row>
    <row r="142" spans="1:36">
      <c r="A142" s="3464"/>
      <c r="B142" s="3464"/>
      <c r="C142" s="3464"/>
      <c r="D142" s="3464"/>
      <c r="E142" s="3464"/>
      <c r="F142" s="3464"/>
      <c r="G142" s="3464"/>
      <c r="H142" s="3464"/>
      <c r="I142" s="3464"/>
      <c r="J142" s="3464"/>
      <c r="K142" s="3464"/>
      <c r="L142" s="3464"/>
      <c r="M142" s="3464"/>
      <c r="N142" s="3464"/>
      <c r="O142" s="3464"/>
      <c r="P142" s="3464"/>
      <c r="Q142" s="3464"/>
      <c r="R142" s="3464"/>
      <c r="S142" s="3464"/>
      <c r="T142" s="3464"/>
      <c r="U142" s="3464"/>
      <c r="V142" s="3464"/>
      <c r="W142" s="3464"/>
      <c r="X142" s="3464"/>
      <c r="Y142" s="3464"/>
      <c r="Z142" s="3464"/>
      <c r="AA142" s="3464"/>
      <c r="AB142" s="3464"/>
      <c r="AC142" s="3464"/>
      <c r="AD142" s="3464"/>
      <c r="AE142" s="3464"/>
      <c r="AF142" s="3464"/>
      <c r="AG142" s="3464"/>
      <c r="AH142" s="3464"/>
      <c r="AI142" s="3464"/>
      <c r="AJ142" s="3464"/>
    </row>
    <row r="143" spans="1:36">
      <c r="A143" s="3464"/>
      <c r="B143" s="3464"/>
      <c r="C143" s="3464"/>
      <c r="D143" s="3464"/>
      <c r="E143" s="3464"/>
      <c r="F143" s="3464"/>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c r="AJ143" s="3464"/>
    </row>
    <row r="144" spans="1:36">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c r="AJ144" s="3464"/>
    </row>
    <row r="145" spans="1:36">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c r="AJ145" s="3464"/>
    </row>
    <row r="146" spans="1:36">
      <c r="A146" s="3464"/>
      <c r="B146" s="3464"/>
      <c r="C146" s="3464"/>
      <c r="D146" s="3464"/>
      <c r="E146" s="3464"/>
      <c r="F146" s="3464"/>
      <c r="G146" s="3464"/>
      <c r="H146" s="3464"/>
      <c r="I146" s="3464"/>
      <c r="J146" s="3464"/>
      <c r="K146" s="3464"/>
      <c r="L146" s="3464"/>
      <c r="M146" s="3464"/>
      <c r="N146" s="3464"/>
      <c r="O146" s="3464"/>
      <c r="P146" s="3464"/>
      <c r="Q146" s="3464"/>
      <c r="R146" s="3464"/>
      <c r="S146" s="3464"/>
      <c r="T146" s="3464"/>
      <c r="U146" s="3464"/>
      <c r="V146" s="3464"/>
      <c r="W146" s="3464"/>
      <c r="X146" s="3464"/>
      <c r="Y146" s="3464"/>
      <c r="Z146" s="3464"/>
      <c r="AA146" s="3464"/>
      <c r="AB146" s="3464"/>
      <c r="AC146" s="3464"/>
      <c r="AD146" s="3464"/>
      <c r="AE146" s="3464"/>
      <c r="AF146" s="3464"/>
      <c r="AG146" s="3464"/>
      <c r="AH146" s="3464"/>
      <c r="AI146" s="3464"/>
      <c r="AJ146" s="3464"/>
    </row>
    <row r="147" spans="1:36">
      <c r="A147" s="3464"/>
      <c r="B147" s="3464"/>
      <c r="C147" s="3464"/>
      <c r="D147" s="3464"/>
      <c r="E147" s="3464"/>
      <c r="F147" s="3464"/>
      <c r="G147" s="3464"/>
      <c r="H147" s="3464"/>
      <c r="I147" s="3464"/>
      <c r="J147" s="3464"/>
      <c r="K147" s="3464"/>
      <c r="L147" s="3464"/>
      <c r="M147" s="3464"/>
      <c r="N147" s="3464"/>
      <c r="O147" s="3464"/>
      <c r="P147" s="3464"/>
      <c r="Q147" s="3464"/>
      <c r="R147" s="3464"/>
      <c r="S147" s="3464"/>
      <c r="T147" s="3464"/>
      <c r="U147" s="3464"/>
      <c r="V147" s="3464"/>
      <c r="W147" s="3464"/>
      <c r="X147" s="3464"/>
      <c r="Y147" s="3464"/>
      <c r="Z147" s="3464"/>
      <c r="AA147" s="3464"/>
      <c r="AB147" s="3464"/>
      <c r="AC147" s="3464"/>
      <c r="AD147" s="3464"/>
      <c r="AE147" s="3464"/>
      <c r="AF147" s="3464"/>
      <c r="AG147" s="3464"/>
      <c r="AH147" s="3464"/>
      <c r="AI147" s="3464"/>
      <c r="AJ147" s="3464"/>
    </row>
    <row r="148" spans="1:36">
      <c r="A148" s="3464"/>
      <c r="B148" s="3464"/>
      <c r="C148" s="3464"/>
      <c r="D148" s="3464"/>
      <c r="E148" s="3464"/>
      <c r="F148" s="3464"/>
      <c r="G148" s="3464"/>
      <c r="H148" s="3464"/>
      <c r="I148" s="3464"/>
      <c r="J148" s="3464"/>
      <c r="K148" s="3464"/>
      <c r="L148" s="3464"/>
      <c r="M148" s="3464"/>
      <c r="N148" s="3464"/>
      <c r="O148" s="3464"/>
      <c r="P148" s="3464"/>
      <c r="Q148" s="3464"/>
      <c r="R148" s="3464"/>
      <c r="S148" s="3464"/>
      <c r="T148" s="3464"/>
      <c r="U148" s="3464"/>
      <c r="V148" s="3464"/>
      <c r="W148" s="3464"/>
      <c r="X148" s="3464"/>
      <c r="Y148" s="3464"/>
      <c r="Z148" s="3464"/>
      <c r="AA148" s="3464"/>
      <c r="AB148" s="3464"/>
      <c r="AC148" s="3464"/>
      <c r="AD148" s="3464"/>
      <c r="AE148" s="3464"/>
      <c r="AF148" s="3464"/>
      <c r="AG148" s="3464"/>
      <c r="AH148" s="3464"/>
      <c r="AI148" s="3464"/>
      <c r="AJ148" s="3464"/>
    </row>
    <row r="149" spans="1:36">
      <c r="A149" s="3464"/>
      <c r="B149" s="3464"/>
      <c r="C149" s="3464"/>
      <c r="D149" s="3464"/>
      <c r="E149" s="3464"/>
      <c r="F149" s="3464"/>
      <c r="G149" s="3464"/>
      <c r="H149" s="3464"/>
      <c r="I149" s="3464"/>
      <c r="J149" s="3464"/>
      <c r="K149" s="3464"/>
      <c r="L149" s="3464"/>
      <c r="M149" s="3464"/>
      <c r="N149" s="3464"/>
      <c r="O149" s="3464"/>
      <c r="P149" s="3464"/>
      <c r="Q149" s="3464"/>
      <c r="R149" s="3464"/>
      <c r="S149" s="3464"/>
      <c r="T149" s="3464"/>
      <c r="U149" s="3464"/>
      <c r="V149" s="3464"/>
      <c r="W149" s="3464"/>
      <c r="X149" s="3464"/>
      <c r="Y149" s="3464"/>
      <c r="Z149" s="3464"/>
      <c r="AA149" s="3464"/>
      <c r="AB149" s="3464"/>
      <c r="AC149" s="3464"/>
      <c r="AD149" s="3464"/>
      <c r="AE149" s="3464"/>
      <c r="AF149" s="3464"/>
      <c r="AG149" s="3464"/>
      <c r="AH149" s="3464"/>
      <c r="AI149" s="3464"/>
      <c r="AJ149" s="3464"/>
    </row>
    <row r="150" spans="1:36">
      <c r="A150" s="3464"/>
      <c r="B150" s="3464"/>
      <c r="C150" s="3464"/>
      <c r="D150" s="3464"/>
      <c r="E150" s="3464"/>
      <c r="F150" s="3464"/>
      <c r="G150" s="3464"/>
      <c r="H150" s="3464"/>
      <c r="I150" s="3464"/>
      <c r="J150" s="3464"/>
      <c r="K150" s="3464"/>
      <c r="L150" s="3464"/>
      <c r="M150" s="3464"/>
      <c r="N150" s="3464"/>
      <c r="O150" s="3464"/>
      <c r="P150" s="3464"/>
      <c r="Q150" s="3464"/>
      <c r="R150" s="3464"/>
      <c r="S150" s="3464"/>
      <c r="T150" s="3464"/>
      <c r="U150" s="3464"/>
      <c r="V150" s="3464"/>
      <c r="W150" s="3464"/>
      <c r="X150" s="3464"/>
      <c r="Y150" s="3464"/>
      <c r="Z150" s="3464"/>
      <c r="AA150" s="3464"/>
      <c r="AB150" s="3464"/>
      <c r="AC150" s="3464"/>
      <c r="AD150" s="3464"/>
      <c r="AE150" s="3464"/>
      <c r="AF150" s="3464"/>
      <c r="AG150" s="3464"/>
      <c r="AH150" s="3464"/>
      <c r="AI150" s="3464"/>
      <c r="AJ150" s="3464"/>
    </row>
    <row r="151" spans="1:36">
      <c r="A151" s="3464"/>
      <c r="B151" s="3464"/>
      <c r="C151" s="3464"/>
      <c r="D151" s="3464"/>
      <c r="E151" s="3464"/>
      <c r="F151" s="3464"/>
      <c r="G151" s="3464"/>
      <c r="H151" s="3464"/>
      <c r="I151" s="3464"/>
      <c r="J151" s="3464"/>
      <c r="K151" s="3464"/>
      <c r="L151" s="3464"/>
      <c r="M151" s="3464"/>
      <c r="N151" s="3464"/>
      <c r="O151" s="3464"/>
      <c r="P151" s="3464"/>
      <c r="Q151" s="3464"/>
      <c r="R151" s="3464"/>
      <c r="S151" s="3464"/>
      <c r="T151" s="3464"/>
      <c r="U151" s="3464"/>
      <c r="V151" s="3464"/>
      <c r="W151" s="3464"/>
      <c r="X151" s="3464"/>
      <c r="Y151" s="3464"/>
      <c r="Z151" s="3464"/>
      <c r="AA151" s="3464"/>
      <c r="AB151" s="3464"/>
      <c r="AC151" s="3464"/>
      <c r="AD151" s="3464"/>
      <c r="AE151" s="3464"/>
      <c r="AF151" s="3464"/>
      <c r="AG151" s="3464"/>
      <c r="AH151" s="3464"/>
      <c r="AI151" s="3464"/>
      <c r="AJ151" s="3464"/>
    </row>
    <row r="152" spans="1:36">
      <c r="A152" s="3464"/>
      <c r="B152" s="3464"/>
      <c r="C152" s="3464"/>
      <c r="D152" s="3464"/>
      <c r="E152" s="3464"/>
      <c r="F152" s="3464"/>
      <c r="G152" s="3464"/>
      <c r="H152" s="3464"/>
      <c r="I152" s="3464"/>
      <c r="J152" s="3464"/>
      <c r="K152" s="3464"/>
      <c r="L152" s="3464"/>
      <c r="M152" s="3464"/>
      <c r="N152" s="3464"/>
      <c r="O152" s="3464"/>
      <c r="P152" s="3464"/>
      <c r="Q152" s="3464"/>
      <c r="R152" s="3464"/>
      <c r="S152" s="3464"/>
      <c r="T152" s="3464"/>
      <c r="U152" s="3464"/>
      <c r="V152" s="3464"/>
      <c r="W152" s="3464"/>
      <c r="X152" s="3464"/>
      <c r="Y152" s="3464"/>
      <c r="Z152" s="3464"/>
      <c r="AA152" s="3464"/>
      <c r="AB152" s="3464"/>
      <c r="AC152" s="3464"/>
      <c r="AD152" s="3464"/>
      <c r="AE152" s="3464"/>
      <c r="AF152" s="3464"/>
      <c r="AG152" s="3464"/>
      <c r="AH152" s="3464"/>
      <c r="AI152" s="3464"/>
      <c r="AJ152" s="3464"/>
    </row>
    <row r="153" spans="1:36">
      <c r="A153" s="3464"/>
      <c r="B153" s="3464"/>
      <c r="C153" s="3464"/>
      <c r="D153" s="3464"/>
      <c r="E153" s="3464"/>
      <c r="F153" s="3464"/>
      <c r="G153" s="3464"/>
      <c r="H153" s="3464"/>
      <c r="I153" s="3464"/>
      <c r="J153" s="3464"/>
      <c r="K153" s="3464"/>
      <c r="L153" s="3464"/>
      <c r="M153" s="3464"/>
      <c r="N153" s="3464"/>
      <c r="O153" s="3464"/>
      <c r="P153" s="3464"/>
      <c r="Q153" s="3464"/>
      <c r="R153" s="3464"/>
      <c r="S153" s="3464"/>
      <c r="T153" s="3464"/>
      <c r="U153" s="3464"/>
      <c r="V153" s="3464"/>
      <c r="W153" s="3464"/>
      <c r="X153" s="3464"/>
      <c r="Y153" s="3464"/>
      <c r="Z153" s="3464"/>
      <c r="AA153" s="3464"/>
      <c r="AB153" s="3464"/>
      <c r="AC153" s="3464"/>
      <c r="AD153" s="3464"/>
      <c r="AE153" s="3464"/>
      <c r="AF153" s="3464"/>
      <c r="AG153" s="3464"/>
      <c r="AH153" s="3464"/>
      <c r="AI153" s="3464"/>
      <c r="AJ153" s="3464"/>
    </row>
    <row r="154" spans="1:36">
      <c r="A154" s="3464"/>
      <c r="B154" s="3464"/>
      <c r="C154" s="3464"/>
      <c r="D154" s="3464"/>
      <c r="E154" s="3464"/>
      <c r="F154" s="3464"/>
      <c r="G154" s="3464"/>
      <c r="H154" s="3464"/>
      <c r="I154" s="3464"/>
      <c r="J154" s="3464"/>
      <c r="K154" s="3464"/>
      <c r="L154" s="3464"/>
      <c r="M154" s="3464"/>
      <c r="N154" s="3464"/>
      <c r="O154" s="3464"/>
      <c r="P154" s="3464"/>
      <c r="Q154" s="3464"/>
      <c r="R154" s="3464"/>
      <c r="S154" s="3464"/>
      <c r="T154" s="3464"/>
      <c r="U154" s="3464"/>
      <c r="V154" s="3464"/>
      <c r="W154" s="3464"/>
      <c r="X154" s="3464"/>
      <c r="Y154" s="3464"/>
      <c r="Z154" s="3464"/>
      <c r="AA154" s="3464"/>
      <c r="AB154" s="3464"/>
      <c r="AC154" s="3464"/>
      <c r="AD154" s="3464"/>
      <c r="AE154" s="3464"/>
      <c r="AF154" s="3464"/>
      <c r="AG154" s="3464"/>
      <c r="AH154" s="3464"/>
      <c r="AI154" s="3464"/>
      <c r="AJ154" s="3464"/>
    </row>
    <row r="155" spans="1:36">
      <c r="A155" s="3464"/>
      <c r="B155" s="3464"/>
      <c r="C155" s="3464"/>
      <c r="D155" s="3464"/>
      <c r="E155" s="3464"/>
      <c r="F155" s="3464"/>
      <c r="G155" s="3464"/>
      <c r="H155" s="3464"/>
      <c r="I155" s="3464"/>
      <c r="J155" s="3464"/>
      <c r="K155" s="3464"/>
      <c r="L155" s="3464"/>
      <c r="M155" s="3464"/>
      <c r="N155" s="3464"/>
      <c r="O155" s="3464"/>
      <c r="P155" s="3464"/>
      <c r="Q155" s="3464"/>
      <c r="R155" s="3464"/>
      <c r="S155" s="3464"/>
      <c r="T155" s="3464"/>
      <c r="U155" s="3464"/>
      <c r="V155" s="3464"/>
      <c r="W155" s="3464"/>
      <c r="X155" s="3464"/>
      <c r="Y155" s="3464"/>
      <c r="Z155" s="3464"/>
      <c r="AA155" s="3464"/>
      <c r="AB155" s="3464"/>
      <c r="AC155" s="3464"/>
      <c r="AD155" s="3464"/>
      <c r="AE155" s="3464"/>
      <c r="AF155" s="3464"/>
      <c r="AG155" s="3464"/>
      <c r="AH155" s="3464"/>
      <c r="AI155" s="3464"/>
      <c r="AJ155" s="3464"/>
    </row>
    <row r="156" spans="1:36">
      <c r="A156" s="3464"/>
      <c r="B156" s="3464"/>
      <c r="C156" s="3464"/>
      <c r="D156" s="3464"/>
      <c r="E156" s="3464"/>
      <c r="F156" s="3464"/>
      <c r="G156" s="3464"/>
      <c r="H156" s="3464"/>
      <c r="I156" s="3464"/>
      <c r="J156" s="3464"/>
      <c r="K156" s="3464"/>
      <c r="L156" s="3464"/>
      <c r="M156" s="3464"/>
      <c r="N156" s="3464"/>
      <c r="O156" s="3464"/>
      <c r="P156" s="3464"/>
      <c r="Q156" s="3464"/>
      <c r="R156" s="3464"/>
      <c r="S156" s="3464"/>
      <c r="T156" s="3464"/>
      <c r="U156" s="3464"/>
      <c r="V156" s="3464"/>
      <c r="W156" s="3464"/>
      <c r="X156" s="3464"/>
      <c r="Y156" s="3464"/>
      <c r="Z156" s="3464"/>
      <c r="AA156" s="3464"/>
      <c r="AB156" s="3464"/>
      <c r="AC156" s="3464"/>
      <c r="AD156" s="3464"/>
      <c r="AE156" s="3464"/>
      <c r="AF156" s="3464"/>
      <c r="AG156" s="3464"/>
      <c r="AH156" s="3464"/>
      <c r="AI156" s="3464"/>
      <c r="AJ156" s="3464"/>
    </row>
    <row r="157" spans="1:36">
      <c r="A157" s="3464"/>
      <c r="B157" s="3464"/>
      <c r="C157" s="3464"/>
      <c r="D157" s="3464"/>
      <c r="E157" s="3464"/>
      <c r="F157" s="3464"/>
      <c r="G157" s="3464"/>
      <c r="H157" s="3464"/>
      <c r="I157" s="3464"/>
      <c r="X157" s="3464"/>
      <c r="Y157" s="3464"/>
      <c r="Z157" s="3464"/>
      <c r="AA157" s="3464"/>
      <c r="AB157" s="3464"/>
      <c r="AC157" s="3464"/>
      <c r="AD157" s="3464"/>
      <c r="AE157" s="3464"/>
      <c r="AF157" s="3464"/>
      <c r="AG157" s="3464"/>
      <c r="AH157" s="3464"/>
      <c r="AI157" s="3464"/>
      <c r="AJ157" s="3464"/>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CC"/>
  </sheetPr>
  <dimension ref="A1:Z145"/>
  <sheetViews>
    <sheetView showGridLines="0" zoomScaleNormal="100" zoomScaleSheetLayoutView="100" workbookViewId="0">
      <pane xSplit="4" ySplit="8" topLeftCell="E81" activePane="bottomRight" state="frozen"/>
      <selection pane="topRight" activeCell="E1" sqref="E1"/>
      <selection pane="bottomLeft" activeCell="A8" sqref="A8"/>
      <selection pane="bottomRight" activeCell="F82" sqref="F82"/>
    </sheetView>
  </sheetViews>
  <sheetFormatPr defaultColWidth="9.140625" defaultRowHeight="12.75"/>
  <cols>
    <col min="1" max="1" width="14.140625" style="1697" customWidth="1"/>
    <col min="2" max="2" width="7.28515625" style="1697" customWidth="1"/>
    <col min="3" max="3" width="53.28515625" style="1697" customWidth="1"/>
    <col min="4" max="4" width="6.7109375" style="1698" customWidth="1"/>
    <col min="5" max="10" width="11" style="1698" customWidth="1"/>
    <col min="11" max="11" width="9.7109375" style="1698" customWidth="1"/>
    <col min="12" max="16" width="9.7109375" style="1701" customWidth="1"/>
    <col min="17" max="17" width="22.5703125" style="1698" customWidth="1"/>
    <col min="18" max="18" width="23.7109375" style="1698" customWidth="1"/>
    <col min="19" max="19" width="2" style="1697" customWidth="1"/>
    <col min="20" max="20" width="9.140625" style="1697"/>
    <col min="21" max="26" width="12.85546875" style="1697" customWidth="1"/>
    <col min="27" max="16384" width="9.140625" style="1697"/>
  </cols>
  <sheetData>
    <row r="1" spans="1:19" ht="31.5" customHeight="1" thickBot="1">
      <c r="A1" s="5004" t="str">
        <f>+'1. Обща информация'!B40</f>
        <v>Фиксиран курс на лева към 1 евро</v>
      </c>
      <c r="B1" s="5004"/>
      <c r="C1" s="5005">
        <f>+'1. Обща информация'!$C$40</f>
        <v>1.95583</v>
      </c>
      <c r="D1" s="5005"/>
      <c r="E1" s="1699"/>
      <c r="G1" s="1700"/>
      <c r="H1" s="1700"/>
      <c r="I1" s="1700"/>
      <c r="R1" s="3930" t="s">
        <v>0</v>
      </c>
    </row>
    <row r="2" spans="1:19" s="3965" customFormat="1" ht="18.75" customHeight="1">
      <c r="A2" s="5015" t="s">
        <v>1291</v>
      </c>
      <c r="B2" s="5015"/>
      <c r="C2" s="5015"/>
      <c r="D2" s="5015"/>
      <c r="E2" s="5015"/>
      <c r="F2" s="5015"/>
      <c r="G2" s="5015"/>
      <c r="H2" s="5015"/>
      <c r="I2" s="5015"/>
      <c r="J2" s="5015"/>
      <c r="K2" s="5015"/>
      <c r="L2" s="5015"/>
      <c r="M2" s="5015"/>
      <c r="N2" s="5015"/>
      <c r="O2" s="5015"/>
      <c r="P2" s="5015"/>
      <c r="Q2" s="5015"/>
      <c r="R2" s="5015"/>
    </row>
    <row r="3" spans="1:19" s="3965" customFormat="1" ht="18.75" customHeight="1">
      <c r="A3" s="5015" t="s">
        <v>1290</v>
      </c>
      <c r="B3" s="5015"/>
      <c r="C3" s="5015"/>
      <c r="D3" s="5015"/>
      <c r="E3" s="5015"/>
      <c r="F3" s="5015"/>
      <c r="G3" s="5015"/>
      <c r="H3" s="5015"/>
      <c r="I3" s="5015"/>
      <c r="J3" s="5015"/>
      <c r="K3" s="5015"/>
      <c r="L3" s="5015"/>
      <c r="M3" s="5015"/>
      <c r="N3" s="5015"/>
      <c r="O3" s="5015"/>
      <c r="P3" s="5015"/>
      <c r="Q3" s="5015"/>
      <c r="R3" s="5015"/>
    </row>
    <row r="4" spans="1:19" s="3966" customFormat="1" ht="15.75" customHeight="1">
      <c r="A4" s="5016" t="str">
        <f>'1. Обща информация'!A4:D4</f>
        <v>на "ВОДОСНАБДЯВАНЕ И КАНАЛИЗАЦИЯ" ЕООД, гр. БЛАГОЕВГРАД</v>
      </c>
      <c r="B4" s="5016"/>
      <c r="C4" s="5016"/>
      <c r="D4" s="5016"/>
      <c r="E4" s="5016"/>
      <c r="F4" s="5016"/>
      <c r="G4" s="5016"/>
      <c r="H4" s="5016"/>
      <c r="I4" s="5016"/>
      <c r="J4" s="5016"/>
      <c r="K4" s="5016"/>
      <c r="L4" s="5016"/>
      <c r="M4" s="5016"/>
      <c r="N4" s="5016"/>
      <c r="O4" s="5016"/>
      <c r="P4" s="5016"/>
      <c r="Q4" s="5016"/>
      <c r="R4" s="5016"/>
    </row>
    <row r="5" spans="1:19" s="1702" customFormat="1" ht="15.75" customHeight="1">
      <c r="A5" s="5017" t="str">
        <f>'1. Обща информация'!A5:D5</f>
        <v>ЕИК по БУЛСТАТ: 811047831</v>
      </c>
      <c r="B5" s="5017"/>
      <c r="C5" s="5017"/>
      <c r="D5" s="5017"/>
      <c r="E5" s="5017"/>
      <c r="F5" s="5017"/>
      <c r="G5" s="5017"/>
      <c r="H5" s="5017"/>
      <c r="I5" s="5017"/>
      <c r="J5" s="5017"/>
      <c r="K5" s="5017"/>
      <c r="L5" s="5017"/>
      <c r="M5" s="5017"/>
      <c r="N5" s="5017"/>
      <c r="O5" s="5017"/>
      <c r="P5" s="5017"/>
      <c r="Q5" s="5017"/>
      <c r="R5" s="5017"/>
    </row>
    <row r="6" spans="1:19" s="1702" customFormat="1" ht="16.5" thickBot="1">
      <c r="B6" s="3927"/>
      <c r="C6" s="3927"/>
      <c r="D6" s="3927"/>
      <c r="E6" s="3927"/>
      <c r="F6" s="3927"/>
      <c r="G6" s="3927"/>
      <c r="H6" s="3927"/>
      <c r="I6" s="3927"/>
      <c r="J6" s="3927"/>
      <c r="K6" s="3927"/>
      <c r="L6" s="3927"/>
      <c r="M6" s="3927"/>
      <c r="N6" s="3927"/>
      <c r="O6" s="3927"/>
      <c r="P6" s="3927"/>
      <c r="Q6" s="1701"/>
      <c r="R6" s="1701"/>
    </row>
    <row r="7" spans="1:19" ht="30" customHeight="1" thickBot="1">
      <c r="A7" s="5026" t="s">
        <v>848</v>
      </c>
      <c r="B7" s="5033" t="s">
        <v>1</v>
      </c>
      <c r="C7" s="5031" t="s">
        <v>2</v>
      </c>
      <c r="D7" s="5029" t="s">
        <v>746</v>
      </c>
      <c r="E7" s="5022" t="s">
        <v>922</v>
      </c>
      <c r="F7" s="5023"/>
      <c r="G7" s="5023"/>
      <c r="H7" s="5023"/>
      <c r="I7" s="5023"/>
      <c r="J7" s="5024"/>
      <c r="K7" s="5022" t="s">
        <v>836</v>
      </c>
      <c r="L7" s="5023"/>
      <c r="M7" s="5023"/>
      <c r="N7" s="5023"/>
      <c r="O7" s="5023"/>
      <c r="P7" s="5024"/>
      <c r="Q7" s="5020" t="s">
        <v>986</v>
      </c>
      <c r="R7" s="5021"/>
      <c r="S7" s="4775"/>
    </row>
    <row r="8" spans="1:19" ht="21" customHeight="1" thickBot="1">
      <c r="A8" s="5027"/>
      <c r="B8" s="5034"/>
      <c r="C8" s="5032"/>
      <c r="D8" s="5030"/>
      <c r="E8" s="4482" t="str">
        <f>'Приложение '!$C$12</f>
        <v>2024 г.</v>
      </c>
      <c r="F8" s="4483" t="str">
        <f>'Приложение '!$C$14</f>
        <v>2027 г.</v>
      </c>
      <c r="G8" s="4483" t="str">
        <f>'Приложение '!$C$15</f>
        <v>2028 г.</v>
      </c>
      <c r="H8" s="4483" t="str">
        <f>'Приложение '!$C$16</f>
        <v>2029 г.</v>
      </c>
      <c r="I8" s="4483" t="str">
        <f>'Приложение '!$C$17</f>
        <v>2030 г.</v>
      </c>
      <c r="J8" s="4484" t="str">
        <f>'Приложение '!$C$18</f>
        <v>2031 г.</v>
      </c>
      <c r="K8" s="4482" t="str">
        <f t="shared" ref="K8:Q8" si="0">E8</f>
        <v>2024 г.</v>
      </c>
      <c r="L8" s="4483" t="str">
        <f t="shared" si="0"/>
        <v>2027 г.</v>
      </c>
      <c r="M8" s="4483" t="str">
        <f t="shared" si="0"/>
        <v>2028 г.</v>
      </c>
      <c r="N8" s="4483" t="str">
        <f t="shared" si="0"/>
        <v>2029 г.</v>
      </c>
      <c r="O8" s="4483" t="str">
        <f t="shared" si="0"/>
        <v>2030 г.</v>
      </c>
      <c r="P8" s="4485" t="str">
        <f t="shared" si="0"/>
        <v>2031 г.</v>
      </c>
      <c r="Q8" s="4469" t="str">
        <f t="shared" si="0"/>
        <v>2024 г.</v>
      </c>
      <c r="R8" s="4470" t="str">
        <f>P8</f>
        <v>2031 г.</v>
      </c>
      <c r="S8" s="4775"/>
    </row>
    <row r="9" spans="1:19" ht="16.5" thickBot="1">
      <c r="A9" s="5012" t="s">
        <v>1113</v>
      </c>
      <c r="B9" s="5013"/>
      <c r="C9" s="5013"/>
      <c r="D9" s="5013"/>
      <c r="E9" s="5013"/>
      <c r="F9" s="5013"/>
      <c r="G9" s="5013"/>
      <c r="H9" s="5013"/>
      <c r="I9" s="5013"/>
      <c r="J9" s="5013"/>
      <c r="K9" s="5013"/>
      <c r="L9" s="5013"/>
      <c r="M9" s="5013"/>
      <c r="N9" s="5013"/>
      <c r="O9" s="5013"/>
      <c r="P9" s="5013"/>
      <c r="Q9" s="5013"/>
      <c r="R9" s="5014"/>
      <c r="S9" s="4775"/>
    </row>
    <row r="10" spans="1:19" ht="67.5" customHeight="1">
      <c r="A10" s="5006" t="s">
        <v>849</v>
      </c>
      <c r="B10" s="3597" t="s">
        <v>3</v>
      </c>
      <c r="C10" s="1703" t="s">
        <v>1414</v>
      </c>
      <c r="D10" s="497" t="s">
        <v>784</v>
      </c>
      <c r="E10" s="350">
        <f>'4.1. Фактурирани количества'!F13</f>
        <v>200963</v>
      </c>
      <c r="F10" s="1704">
        <f>'4.1. Фактурирани количества'!G13</f>
        <v>188003</v>
      </c>
      <c r="G10" s="296">
        <f>'4.1. Фактурирани количества'!H13</f>
        <v>181855</v>
      </c>
      <c r="H10" s="296">
        <f>'4.1. Фактурирани количества'!I13</f>
        <v>175909</v>
      </c>
      <c r="I10" s="296">
        <f>'4.1. Фактурирани количества'!J13</f>
        <v>170157</v>
      </c>
      <c r="J10" s="297">
        <f>'4.1. Фактурирани количества'!K13</f>
        <v>164194</v>
      </c>
      <c r="K10" s="83">
        <v>1</v>
      </c>
      <c r="L10" s="80"/>
      <c r="M10" s="80"/>
      <c r="N10" s="80"/>
      <c r="O10" s="80"/>
      <c r="P10" s="76"/>
      <c r="Q10" s="134" t="s">
        <v>1961</v>
      </c>
      <c r="R10" s="602"/>
      <c r="S10" s="4775"/>
    </row>
    <row r="11" spans="1:19" ht="66" customHeight="1">
      <c r="A11" s="5008"/>
      <c r="B11" s="3598" t="s">
        <v>33</v>
      </c>
      <c r="C11" s="1705" t="s">
        <v>1415</v>
      </c>
      <c r="D11" s="498" t="s">
        <v>784</v>
      </c>
      <c r="E11" s="938">
        <f>'4.1. Фактурирани количества'!F49</f>
        <v>159809</v>
      </c>
      <c r="F11" s="1706">
        <f>'4.1. Фактурирани количества'!G49</f>
        <v>149862</v>
      </c>
      <c r="G11" s="1707">
        <f>'4.1. Фактурирани количества'!H49</f>
        <v>144967</v>
      </c>
      <c r="H11" s="1707">
        <f>'4.1. Фактурирани количества'!I49</f>
        <v>140231</v>
      </c>
      <c r="I11" s="1707">
        <f>'4.1. Фактурирани количества'!J49</f>
        <v>135649</v>
      </c>
      <c r="J11" s="1708">
        <f>'4.1. Фактурирани количества'!K49</f>
        <v>130905</v>
      </c>
      <c r="K11" s="84">
        <v>1</v>
      </c>
      <c r="L11" s="81"/>
      <c r="M11" s="81"/>
      <c r="N11" s="81"/>
      <c r="O11" s="81"/>
      <c r="P11" s="77"/>
      <c r="Q11" s="77" t="s">
        <v>1961</v>
      </c>
      <c r="R11" s="77"/>
      <c r="S11" s="4775"/>
    </row>
    <row r="12" spans="1:19" ht="71.25" customHeight="1">
      <c r="A12" s="5008"/>
      <c r="B12" s="3598" t="s">
        <v>34</v>
      </c>
      <c r="C12" s="1705" t="s">
        <v>1416</v>
      </c>
      <c r="D12" s="498" t="s">
        <v>784</v>
      </c>
      <c r="E12" s="938">
        <f>'4.1. Фактурирани количества'!F82</f>
        <v>89306</v>
      </c>
      <c r="F12" s="1706">
        <f>'4.1. Фактурирани количества'!G82</f>
        <v>83550</v>
      </c>
      <c r="G12" s="1707">
        <f>'4.1. Фактурирани количества'!H82</f>
        <v>80819</v>
      </c>
      <c r="H12" s="1707">
        <f>'4.1. Фактурирани количества'!I82</f>
        <v>78178</v>
      </c>
      <c r="I12" s="1707">
        <f>'4.1. Фактурирани количества'!J82</f>
        <v>75623</v>
      </c>
      <c r="J12" s="1708">
        <f>'4.1. Фактурирани количества'!K82</f>
        <v>72975</v>
      </c>
      <c r="K12" s="84">
        <v>1</v>
      </c>
      <c r="L12" s="81"/>
      <c r="M12" s="81"/>
      <c r="N12" s="81"/>
      <c r="O12" s="81"/>
      <c r="P12" s="77"/>
      <c r="Q12" s="77" t="s">
        <v>1961</v>
      </c>
      <c r="R12" s="77"/>
      <c r="S12" s="4775"/>
    </row>
    <row r="13" spans="1:19" ht="41.25" customHeight="1" thickBot="1">
      <c r="A13" s="5007"/>
      <c r="B13" s="3599" t="s">
        <v>4</v>
      </c>
      <c r="C13" s="1709" t="s">
        <v>1420</v>
      </c>
      <c r="D13" s="499" t="s">
        <v>784</v>
      </c>
      <c r="E13" s="343">
        <v>201597</v>
      </c>
      <c r="F13" s="195">
        <v>188486</v>
      </c>
      <c r="G13" s="195">
        <v>182322</v>
      </c>
      <c r="H13" s="195">
        <v>176360</v>
      </c>
      <c r="I13" s="195">
        <v>170593</v>
      </c>
      <c r="J13" s="196">
        <v>164616</v>
      </c>
      <c r="K13" s="85">
        <v>1</v>
      </c>
      <c r="L13" s="78"/>
      <c r="M13" s="78"/>
      <c r="N13" s="78"/>
      <c r="O13" s="78"/>
      <c r="P13" s="79"/>
      <c r="Q13" s="79" t="s">
        <v>1961</v>
      </c>
      <c r="R13" s="79"/>
      <c r="S13" s="4775"/>
    </row>
    <row r="14" spans="1:19" ht="25.5">
      <c r="A14" s="5009" t="s">
        <v>852</v>
      </c>
      <c r="B14" s="3597" t="s">
        <v>32</v>
      </c>
      <c r="C14" s="1710" t="s">
        <v>816</v>
      </c>
      <c r="D14" s="497" t="s">
        <v>784</v>
      </c>
      <c r="E14" s="350">
        <f>'4.1. Фактурирани количества'!F17</f>
        <v>119429</v>
      </c>
      <c r="F14" s="1704">
        <f>'4.1. Фактурирани количества'!G17</f>
        <v>115930</v>
      </c>
      <c r="G14" s="296">
        <f>'4.1. Фактурирани количества'!H17</f>
        <v>112582</v>
      </c>
      <c r="H14" s="296">
        <f>'4.1. Фактурирани количества'!I17</f>
        <v>109330</v>
      </c>
      <c r="I14" s="296">
        <f>'4.1. Фактурирани количества'!J17</f>
        <v>106174</v>
      </c>
      <c r="J14" s="297">
        <f>'4.1. Фактурирани количества'!K17</f>
        <v>103707</v>
      </c>
      <c r="K14" s="83">
        <v>1</v>
      </c>
      <c r="L14" s="75"/>
      <c r="M14" s="75"/>
      <c r="N14" s="75"/>
      <c r="O14" s="75"/>
      <c r="P14" s="76"/>
      <c r="Q14" s="75" t="s">
        <v>1962</v>
      </c>
      <c r="R14" s="603"/>
      <c r="S14" s="4775"/>
    </row>
    <row r="15" spans="1:19" ht="25.5">
      <c r="A15" s="5010"/>
      <c r="B15" s="3598"/>
      <c r="C15" s="1711" t="s">
        <v>850</v>
      </c>
      <c r="D15" s="498" t="s">
        <v>784</v>
      </c>
      <c r="E15" s="938">
        <f>'4.1. Фактурирани количества'!F53</f>
        <v>94678</v>
      </c>
      <c r="F15" s="1706">
        <f>'4.1. Фактурирани количества'!G53</f>
        <v>97803</v>
      </c>
      <c r="G15" s="1707">
        <f>'4.1. Фактурирани количества'!H53</f>
        <v>94750</v>
      </c>
      <c r="H15" s="1707">
        <f>'4.1. Фактурирани количества'!I53</f>
        <v>91796</v>
      </c>
      <c r="I15" s="1707">
        <f>'4.1. Фактурирани количества'!J53</f>
        <v>91940</v>
      </c>
      <c r="J15" s="1708">
        <f>'4.1. Фактурирани количества'!K53</f>
        <v>90175</v>
      </c>
      <c r="K15" s="84">
        <v>1</v>
      </c>
      <c r="L15" s="74"/>
      <c r="M15" s="74"/>
      <c r="N15" s="74"/>
      <c r="O15" s="74"/>
      <c r="P15" s="77"/>
      <c r="Q15" s="77" t="s">
        <v>1962</v>
      </c>
      <c r="R15" s="77"/>
      <c r="S15" s="4775"/>
    </row>
    <row r="16" spans="1:19" ht="26.25" thickBot="1">
      <c r="A16" s="5011"/>
      <c r="B16" s="3599"/>
      <c r="C16" s="1712" t="s">
        <v>851</v>
      </c>
      <c r="D16" s="499" t="s">
        <v>784</v>
      </c>
      <c r="E16" s="351">
        <f>'4.1. Фактурирани количества'!F86</f>
        <v>63728</v>
      </c>
      <c r="F16" s="1713">
        <f>'4.1. Фактурирани количества'!G86</f>
        <v>66695</v>
      </c>
      <c r="G16" s="298">
        <f>'4.1. Фактурирани количества'!H86</f>
        <v>64607</v>
      </c>
      <c r="H16" s="298">
        <f>'4.1. Фактурирани количества'!I86</f>
        <v>62585</v>
      </c>
      <c r="I16" s="298">
        <f>'4.1. Фактурирани количества'!J86</f>
        <v>60633</v>
      </c>
      <c r="J16" s="299">
        <f>'4.1. Фактурирани количества'!K86</f>
        <v>58611</v>
      </c>
      <c r="K16" s="85">
        <v>1</v>
      </c>
      <c r="L16" s="78"/>
      <c r="M16" s="78"/>
      <c r="N16" s="78"/>
      <c r="O16" s="78"/>
      <c r="P16" s="79"/>
      <c r="Q16" s="79" t="s">
        <v>1962</v>
      </c>
      <c r="R16" s="602"/>
      <c r="S16" s="4775"/>
    </row>
    <row r="17" spans="1:19" ht="38.25">
      <c r="A17" s="5006" t="s">
        <v>859</v>
      </c>
      <c r="B17" s="3597"/>
      <c r="C17" s="1710" t="s">
        <v>855</v>
      </c>
      <c r="D17" s="497" t="s">
        <v>784</v>
      </c>
      <c r="E17" s="342">
        <v>128</v>
      </c>
      <c r="F17" s="190">
        <v>128</v>
      </c>
      <c r="G17" s="190">
        <v>128</v>
      </c>
      <c r="H17" s="190">
        <v>128</v>
      </c>
      <c r="I17" s="190">
        <v>128</v>
      </c>
      <c r="J17" s="191">
        <v>128</v>
      </c>
      <c r="K17" s="83">
        <v>1</v>
      </c>
      <c r="L17" s="75"/>
      <c r="M17" s="75"/>
      <c r="N17" s="75"/>
      <c r="O17" s="75"/>
      <c r="P17" s="76"/>
      <c r="Q17" s="76" t="s">
        <v>1963</v>
      </c>
      <c r="R17" s="104"/>
      <c r="S17" s="4775"/>
    </row>
    <row r="18" spans="1:19" ht="38.25">
      <c r="A18" s="5008"/>
      <c r="B18" s="3598"/>
      <c r="C18" s="1711" t="s">
        <v>856</v>
      </c>
      <c r="D18" s="498" t="s">
        <v>784</v>
      </c>
      <c r="E18" s="341">
        <v>39</v>
      </c>
      <c r="F18" s="192">
        <v>39</v>
      </c>
      <c r="G18" s="192">
        <v>39</v>
      </c>
      <c r="H18" s="192">
        <v>39</v>
      </c>
      <c r="I18" s="192">
        <v>39</v>
      </c>
      <c r="J18" s="193">
        <v>39</v>
      </c>
      <c r="K18" s="84">
        <v>1</v>
      </c>
      <c r="L18" s="74"/>
      <c r="M18" s="74"/>
      <c r="N18" s="74"/>
      <c r="O18" s="74"/>
      <c r="P18" s="77"/>
      <c r="Q18" s="77" t="s">
        <v>1963</v>
      </c>
      <c r="R18" s="77"/>
      <c r="S18" s="4775"/>
    </row>
    <row r="19" spans="1:19" ht="38.25">
      <c r="A19" s="5008"/>
      <c r="B19" s="1714"/>
      <c r="C19" s="1711" t="s">
        <v>857</v>
      </c>
      <c r="D19" s="498" t="s">
        <v>784</v>
      </c>
      <c r="E19" s="341">
        <v>11</v>
      </c>
      <c r="F19" s="192">
        <v>11</v>
      </c>
      <c r="G19" s="192">
        <v>11</v>
      </c>
      <c r="H19" s="192">
        <v>11</v>
      </c>
      <c r="I19" s="192">
        <v>11</v>
      </c>
      <c r="J19" s="193">
        <v>11</v>
      </c>
      <c r="K19" s="84">
        <v>1</v>
      </c>
      <c r="L19" s="74"/>
      <c r="M19" s="74"/>
      <c r="N19" s="74"/>
      <c r="O19" s="74"/>
      <c r="P19" s="77"/>
      <c r="Q19" s="77" t="s">
        <v>1963</v>
      </c>
      <c r="R19" s="77"/>
      <c r="S19" s="4775"/>
    </row>
    <row r="20" spans="1:19" ht="26.25" thickBot="1">
      <c r="A20" s="5007"/>
      <c r="B20" s="1715"/>
      <c r="C20" s="1712" t="s">
        <v>858</v>
      </c>
      <c r="D20" s="499" t="s">
        <v>784</v>
      </c>
      <c r="E20" s="343">
        <v>158</v>
      </c>
      <c r="F20" s="195">
        <v>158</v>
      </c>
      <c r="G20" s="195">
        <v>158</v>
      </c>
      <c r="H20" s="195">
        <v>158</v>
      </c>
      <c r="I20" s="195">
        <v>158</v>
      </c>
      <c r="J20" s="196">
        <v>158</v>
      </c>
      <c r="K20" s="85">
        <v>1</v>
      </c>
      <c r="L20" s="78"/>
      <c r="M20" s="78"/>
      <c r="N20" s="78"/>
      <c r="O20" s="78"/>
      <c r="P20" s="79"/>
      <c r="Q20" s="79" t="s">
        <v>1963</v>
      </c>
      <c r="R20" s="602"/>
      <c r="S20" s="4775"/>
    </row>
    <row r="21" spans="1:19">
      <c r="A21" s="5006" t="s">
        <v>860</v>
      </c>
      <c r="B21" s="1716"/>
      <c r="C21" s="1710" t="s">
        <v>1006</v>
      </c>
      <c r="D21" s="497" t="s">
        <v>784</v>
      </c>
      <c r="E21" s="342">
        <v>148</v>
      </c>
      <c r="F21" s="190">
        <v>148</v>
      </c>
      <c r="G21" s="190">
        <v>148</v>
      </c>
      <c r="H21" s="190">
        <v>148</v>
      </c>
      <c r="I21" s="190">
        <v>148</v>
      </c>
      <c r="J21" s="191">
        <v>148</v>
      </c>
      <c r="K21" s="83">
        <v>1</v>
      </c>
      <c r="L21" s="80"/>
      <c r="M21" s="80"/>
      <c r="N21" s="80"/>
      <c r="O21" s="80"/>
      <c r="P21" s="605"/>
      <c r="Q21" s="76" t="s">
        <v>1964</v>
      </c>
      <c r="R21" s="76"/>
      <c r="S21" s="4775"/>
    </row>
    <row r="22" spans="1:19">
      <c r="A22" s="5008"/>
      <c r="B22" s="1717"/>
      <c r="C22" s="1718" t="s">
        <v>861</v>
      </c>
      <c r="D22" s="500" t="s">
        <v>784</v>
      </c>
      <c r="E22" s="349">
        <v>5</v>
      </c>
      <c r="F22" s="197">
        <v>5</v>
      </c>
      <c r="G22" s="197">
        <v>5</v>
      </c>
      <c r="H22" s="197">
        <v>5</v>
      </c>
      <c r="I22" s="197">
        <v>5</v>
      </c>
      <c r="J22" s="198">
        <v>5</v>
      </c>
      <c r="K22" s="136">
        <v>1</v>
      </c>
      <c r="L22" s="133"/>
      <c r="M22" s="133"/>
      <c r="N22" s="133"/>
      <c r="O22" s="133"/>
      <c r="P22" s="134"/>
      <c r="Q22" s="134" t="s">
        <v>1964</v>
      </c>
      <c r="R22" s="77"/>
      <c r="S22" s="4775"/>
    </row>
    <row r="23" spans="1:19">
      <c r="A23" s="5008"/>
      <c r="B23" s="1714"/>
      <c r="C23" s="1711" t="s">
        <v>862</v>
      </c>
      <c r="D23" s="498" t="s">
        <v>784</v>
      </c>
      <c r="E23" s="341">
        <v>128</v>
      </c>
      <c r="F23" s="192">
        <v>128</v>
      </c>
      <c r="G23" s="192">
        <v>128</v>
      </c>
      <c r="H23" s="192">
        <v>128</v>
      </c>
      <c r="I23" s="192">
        <v>128</v>
      </c>
      <c r="J23" s="193">
        <v>128</v>
      </c>
      <c r="K23" s="84">
        <v>1</v>
      </c>
      <c r="L23" s="74"/>
      <c r="M23" s="74"/>
      <c r="N23" s="74"/>
      <c r="O23" s="74"/>
      <c r="P23" s="77"/>
      <c r="Q23" s="77" t="s">
        <v>1964</v>
      </c>
      <c r="R23" s="77"/>
      <c r="S23" s="4775"/>
    </row>
    <row r="24" spans="1:19">
      <c r="A24" s="5008"/>
      <c r="B24" s="1714"/>
      <c r="C24" s="1711" t="s">
        <v>863</v>
      </c>
      <c r="D24" s="498" t="s">
        <v>784</v>
      </c>
      <c r="E24" s="341">
        <v>38</v>
      </c>
      <c r="F24" s="192">
        <v>38</v>
      </c>
      <c r="G24" s="192">
        <v>38</v>
      </c>
      <c r="H24" s="192">
        <v>38</v>
      </c>
      <c r="I24" s="192">
        <v>38</v>
      </c>
      <c r="J24" s="193">
        <v>38</v>
      </c>
      <c r="K24" s="84">
        <v>1</v>
      </c>
      <c r="L24" s="74"/>
      <c r="M24" s="74"/>
      <c r="N24" s="74"/>
      <c r="O24" s="74"/>
      <c r="P24" s="77"/>
      <c r="Q24" s="77" t="s">
        <v>1964</v>
      </c>
      <c r="R24" s="77"/>
      <c r="S24" s="4775"/>
    </row>
    <row r="25" spans="1:19" ht="51">
      <c r="A25" s="5008"/>
      <c r="B25" s="1719" t="s">
        <v>30</v>
      </c>
      <c r="C25" s="1705" t="s">
        <v>814</v>
      </c>
      <c r="D25" s="498" t="s">
        <v>812</v>
      </c>
      <c r="E25" s="341">
        <v>1770</v>
      </c>
      <c r="F25" s="772">
        <v>1773</v>
      </c>
      <c r="G25" s="399">
        <v>1773</v>
      </c>
      <c r="H25" s="199">
        <v>1773</v>
      </c>
      <c r="I25" s="192">
        <v>1773</v>
      </c>
      <c r="J25" s="200">
        <v>1773</v>
      </c>
      <c r="K25" s="84">
        <v>1</v>
      </c>
      <c r="L25" s="74"/>
      <c r="M25" s="74"/>
      <c r="N25" s="74"/>
      <c r="O25" s="74"/>
      <c r="P25" s="77"/>
      <c r="Q25" s="77" t="s">
        <v>1964</v>
      </c>
      <c r="R25" s="77"/>
      <c r="S25" s="4775"/>
    </row>
    <row r="26" spans="1:19" ht="76.5">
      <c r="A26" s="5008"/>
      <c r="B26" s="1714" t="s">
        <v>28</v>
      </c>
      <c r="C26" s="1711" t="s">
        <v>910</v>
      </c>
      <c r="D26" s="498" t="s">
        <v>812</v>
      </c>
      <c r="E26" s="341">
        <v>1770</v>
      </c>
      <c r="F26" s="773">
        <v>1773</v>
      </c>
      <c r="G26" s="192">
        <v>1773</v>
      </c>
      <c r="H26" s="399">
        <v>1773</v>
      </c>
      <c r="I26" s="199">
        <v>1773</v>
      </c>
      <c r="J26" s="193">
        <v>1773</v>
      </c>
      <c r="K26" s="84">
        <v>1</v>
      </c>
      <c r="L26" s="74"/>
      <c r="M26" s="74"/>
      <c r="N26" s="74"/>
      <c r="O26" s="74"/>
      <c r="P26" s="77"/>
      <c r="Q26" s="77" t="s">
        <v>1964</v>
      </c>
      <c r="R26" s="77"/>
      <c r="S26" s="4775"/>
    </row>
    <row r="27" spans="1:19" ht="25.5">
      <c r="A27" s="5008"/>
      <c r="B27" s="3598" t="s">
        <v>743</v>
      </c>
      <c r="C27" s="1720" t="s">
        <v>815</v>
      </c>
      <c r="D27" s="498" t="s">
        <v>784</v>
      </c>
      <c r="E27" s="341">
        <v>158</v>
      </c>
      <c r="F27" s="192">
        <v>158</v>
      </c>
      <c r="G27" s="192">
        <v>158</v>
      </c>
      <c r="H27" s="192">
        <v>158</v>
      </c>
      <c r="I27" s="192">
        <v>158</v>
      </c>
      <c r="J27" s="193">
        <v>158</v>
      </c>
      <c r="K27" s="84">
        <v>1</v>
      </c>
      <c r="L27" s="74"/>
      <c r="M27" s="74"/>
      <c r="N27" s="74"/>
      <c r="O27" s="74"/>
      <c r="P27" s="77"/>
      <c r="Q27" s="77" t="s">
        <v>1965</v>
      </c>
      <c r="R27" s="77"/>
      <c r="S27" s="4775"/>
    </row>
    <row r="28" spans="1:19">
      <c r="A28" s="5008"/>
      <c r="B28" s="3598" t="s">
        <v>79</v>
      </c>
      <c r="C28" s="1705" t="s">
        <v>899</v>
      </c>
      <c r="D28" s="498" t="s">
        <v>784</v>
      </c>
      <c r="E28" s="341">
        <v>58180</v>
      </c>
      <c r="F28" s="199">
        <v>58913</v>
      </c>
      <c r="G28" s="192">
        <v>59113</v>
      </c>
      <c r="H28" s="192">
        <v>59313</v>
      </c>
      <c r="I28" s="192">
        <v>59513</v>
      </c>
      <c r="J28" s="200">
        <v>59713</v>
      </c>
      <c r="K28" s="84">
        <v>1</v>
      </c>
      <c r="L28" s="74"/>
      <c r="M28" s="74"/>
      <c r="N28" s="74"/>
      <c r="O28" s="74"/>
      <c r="P28" s="77"/>
      <c r="Q28" s="77" t="s">
        <v>1964</v>
      </c>
      <c r="R28" s="77"/>
      <c r="S28" s="4775"/>
    </row>
    <row r="29" spans="1:19" ht="25.5">
      <c r="A29" s="5008"/>
      <c r="B29" s="3598" t="s">
        <v>843</v>
      </c>
      <c r="C29" s="1705" t="s">
        <v>844</v>
      </c>
      <c r="D29" s="498" t="s">
        <v>784</v>
      </c>
      <c r="E29" s="341">
        <v>56877</v>
      </c>
      <c r="F29" s="192">
        <v>57477</v>
      </c>
      <c r="G29" s="192">
        <v>57677</v>
      </c>
      <c r="H29" s="192">
        <v>57877</v>
      </c>
      <c r="I29" s="192">
        <v>58077</v>
      </c>
      <c r="J29" s="193">
        <v>58277</v>
      </c>
      <c r="K29" s="84">
        <v>1</v>
      </c>
      <c r="L29" s="74"/>
      <c r="M29" s="74"/>
      <c r="N29" s="74"/>
      <c r="O29" s="74"/>
      <c r="P29" s="77"/>
      <c r="Q29" s="77" t="s">
        <v>1962</v>
      </c>
      <c r="R29" s="77"/>
      <c r="S29" s="4775"/>
    </row>
    <row r="30" spans="1:19" ht="18.75" customHeight="1">
      <c r="A30" s="5008"/>
      <c r="B30" s="3598" t="s">
        <v>81</v>
      </c>
      <c r="C30" s="1705" t="s">
        <v>898</v>
      </c>
      <c r="D30" s="498" t="s">
        <v>784</v>
      </c>
      <c r="E30" s="341">
        <v>34406</v>
      </c>
      <c r="F30" s="192">
        <v>34796</v>
      </c>
      <c r="G30" s="192">
        <v>34926</v>
      </c>
      <c r="H30" s="192">
        <v>35056</v>
      </c>
      <c r="I30" s="192">
        <v>35186</v>
      </c>
      <c r="J30" s="192">
        <v>35316</v>
      </c>
      <c r="K30" s="84">
        <v>1</v>
      </c>
      <c r="L30" s="74"/>
      <c r="M30" s="74"/>
      <c r="N30" s="74"/>
      <c r="O30" s="74"/>
      <c r="P30" s="77"/>
      <c r="Q30" s="77" t="s">
        <v>1964</v>
      </c>
      <c r="R30" s="77"/>
      <c r="S30" s="4775"/>
    </row>
    <row r="31" spans="1:19" ht="25.5">
      <c r="A31" s="5008"/>
      <c r="B31" s="3598" t="s">
        <v>39</v>
      </c>
      <c r="C31" s="1705" t="s">
        <v>823</v>
      </c>
      <c r="D31" s="498" t="s">
        <v>822</v>
      </c>
      <c r="E31" s="341">
        <v>409</v>
      </c>
      <c r="F31" s="192">
        <v>412</v>
      </c>
      <c r="G31" s="192">
        <v>412</v>
      </c>
      <c r="H31" s="192">
        <v>412</v>
      </c>
      <c r="I31" s="192">
        <v>412</v>
      </c>
      <c r="J31" s="192">
        <v>412</v>
      </c>
      <c r="K31" s="84">
        <v>1</v>
      </c>
      <c r="L31" s="74"/>
      <c r="M31" s="74"/>
      <c r="N31" s="74"/>
      <c r="O31" s="74"/>
      <c r="P31" s="77"/>
      <c r="Q31" s="77" t="s">
        <v>1964</v>
      </c>
      <c r="R31" s="77"/>
      <c r="S31" s="4775"/>
    </row>
    <row r="32" spans="1:19" ht="16.5" customHeight="1">
      <c r="A32" s="5008"/>
      <c r="B32" s="1714"/>
      <c r="C32" s="1711" t="s">
        <v>864</v>
      </c>
      <c r="D32" s="498" t="s">
        <v>784</v>
      </c>
      <c r="E32" s="341">
        <v>1</v>
      </c>
      <c r="F32" s="772">
        <v>1</v>
      </c>
      <c r="G32" s="192">
        <v>1</v>
      </c>
      <c r="H32" s="399">
        <v>1</v>
      </c>
      <c r="I32" s="199">
        <v>1</v>
      </c>
      <c r="J32" s="193">
        <v>1</v>
      </c>
      <c r="K32" s="84">
        <v>1</v>
      </c>
      <c r="L32" s="74"/>
      <c r="M32" s="74"/>
      <c r="N32" s="74"/>
      <c r="O32" s="74"/>
      <c r="P32" s="77"/>
      <c r="Q32" s="77" t="s">
        <v>1964</v>
      </c>
      <c r="R32" s="105"/>
      <c r="S32" s="4775"/>
    </row>
    <row r="33" spans="1:19" ht="13.5" thickBot="1">
      <c r="A33" s="5007"/>
      <c r="B33" s="1715"/>
      <c r="C33" s="1712" t="s">
        <v>865</v>
      </c>
      <c r="D33" s="499" t="s">
        <v>784</v>
      </c>
      <c r="E33" s="343">
        <v>5</v>
      </c>
      <c r="F33" s="195">
        <v>5</v>
      </c>
      <c r="G33" s="195">
        <v>5</v>
      </c>
      <c r="H33" s="195">
        <v>5</v>
      </c>
      <c r="I33" s="195">
        <v>5</v>
      </c>
      <c r="J33" s="195">
        <v>5</v>
      </c>
      <c r="K33" s="85">
        <v>1</v>
      </c>
      <c r="L33" s="78"/>
      <c r="M33" s="78"/>
      <c r="N33" s="78"/>
      <c r="O33" s="78"/>
      <c r="P33" s="79"/>
      <c r="Q33" s="79" t="s">
        <v>1964</v>
      </c>
      <c r="R33" s="79"/>
      <c r="S33" s="4775"/>
    </row>
    <row r="34" spans="1:19" ht="51">
      <c r="A34" s="5006" t="s">
        <v>853</v>
      </c>
      <c r="B34" s="1721" t="s">
        <v>5</v>
      </c>
      <c r="C34" s="1722" t="s">
        <v>785</v>
      </c>
      <c r="D34" s="497" t="s">
        <v>784</v>
      </c>
      <c r="E34" s="501">
        <f>SUM(E35:E38)</f>
        <v>2435</v>
      </c>
      <c r="F34" s="502">
        <f t="shared" ref="F34:J34" si="1">SUM(F35:F38)</f>
        <v>2435</v>
      </c>
      <c r="G34" s="502">
        <f t="shared" si="1"/>
        <v>2435</v>
      </c>
      <c r="H34" s="502">
        <f t="shared" si="1"/>
        <v>2435</v>
      </c>
      <c r="I34" s="502">
        <f t="shared" si="1"/>
        <v>2435</v>
      </c>
      <c r="J34" s="503">
        <f t="shared" si="1"/>
        <v>2435</v>
      </c>
      <c r="K34" s="501">
        <f t="shared" ref="K34:P34" si="2">IFERROR(AVERAGE(K35,K36,K37,K38),0)</f>
        <v>1</v>
      </c>
      <c r="L34" s="1723">
        <f t="shared" si="2"/>
        <v>0</v>
      </c>
      <c r="M34" s="502">
        <f t="shared" si="2"/>
        <v>0</v>
      </c>
      <c r="N34" s="1724">
        <f t="shared" si="2"/>
        <v>0</v>
      </c>
      <c r="O34" s="1725">
        <f t="shared" si="2"/>
        <v>0</v>
      </c>
      <c r="P34" s="503">
        <f t="shared" si="2"/>
        <v>0</v>
      </c>
      <c r="Q34" s="401"/>
      <c r="R34" s="134"/>
      <c r="S34" s="4775"/>
    </row>
    <row r="35" spans="1:19" ht="50.1" customHeight="1">
      <c r="A35" s="5008"/>
      <c r="B35" s="1714" t="s">
        <v>6</v>
      </c>
      <c r="C35" s="1711" t="s">
        <v>786</v>
      </c>
      <c r="D35" s="498" t="s">
        <v>784</v>
      </c>
      <c r="E35" s="341">
        <v>1307</v>
      </c>
      <c r="F35" s="192">
        <v>1307</v>
      </c>
      <c r="G35" s="192">
        <v>1307</v>
      </c>
      <c r="H35" s="192">
        <v>1307</v>
      </c>
      <c r="I35" s="192">
        <v>1307</v>
      </c>
      <c r="J35" s="192">
        <v>1307</v>
      </c>
      <c r="K35" s="84">
        <v>1</v>
      </c>
      <c r="L35" s="74"/>
      <c r="M35" s="74"/>
      <c r="N35" s="74"/>
      <c r="O35" s="74"/>
      <c r="P35" s="77"/>
      <c r="Q35" s="84" t="s">
        <v>1966</v>
      </c>
      <c r="R35" s="77"/>
      <c r="S35" s="4775"/>
    </row>
    <row r="36" spans="1:19" ht="50.1" customHeight="1">
      <c r="A36" s="5008"/>
      <c r="B36" s="1714" t="s">
        <v>7</v>
      </c>
      <c r="C36" s="1711" t="s">
        <v>787</v>
      </c>
      <c r="D36" s="498" t="s">
        <v>784</v>
      </c>
      <c r="E36" s="341">
        <v>236</v>
      </c>
      <c r="F36" s="192">
        <v>236</v>
      </c>
      <c r="G36" s="192">
        <v>236</v>
      </c>
      <c r="H36" s="192">
        <v>236</v>
      </c>
      <c r="I36" s="192">
        <v>236</v>
      </c>
      <c r="J36" s="192">
        <v>236</v>
      </c>
      <c r="K36" s="84">
        <v>1</v>
      </c>
      <c r="L36" s="74"/>
      <c r="M36" s="74"/>
      <c r="N36" s="74"/>
      <c r="O36" s="74"/>
      <c r="P36" s="77"/>
      <c r="Q36" s="84" t="s">
        <v>1966</v>
      </c>
      <c r="R36" s="77"/>
      <c r="S36" s="4775"/>
    </row>
    <row r="37" spans="1:19" ht="50.1" customHeight="1">
      <c r="A37" s="5008"/>
      <c r="B37" s="1714" t="s">
        <v>8</v>
      </c>
      <c r="C37" s="1711" t="s">
        <v>788</v>
      </c>
      <c r="D37" s="498" t="s">
        <v>784</v>
      </c>
      <c r="E37" s="341">
        <v>857</v>
      </c>
      <c r="F37" s="192">
        <v>857</v>
      </c>
      <c r="G37" s="192">
        <v>857</v>
      </c>
      <c r="H37" s="192">
        <v>857</v>
      </c>
      <c r="I37" s="192">
        <v>857</v>
      </c>
      <c r="J37" s="192">
        <v>857</v>
      </c>
      <c r="K37" s="84">
        <v>1</v>
      </c>
      <c r="L37" s="74"/>
      <c r="M37" s="74"/>
      <c r="N37" s="74"/>
      <c r="O37" s="74"/>
      <c r="P37" s="77"/>
      <c r="Q37" s="84" t="s">
        <v>1966</v>
      </c>
      <c r="R37" s="77"/>
      <c r="S37" s="4775"/>
    </row>
    <row r="38" spans="1:19" ht="50.1" customHeight="1">
      <c r="A38" s="5008"/>
      <c r="B38" s="1714" t="s">
        <v>9</v>
      </c>
      <c r="C38" s="1711" t="s">
        <v>789</v>
      </c>
      <c r="D38" s="498" t="s">
        <v>784</v>
      </c>
      <c r="E38" s="341">
        <v>35</v>
      </c>
      <c r="F38" s="192">
        <v>35</v>
      </c>
      <c r="G38" s="192">
        <v>35</v>
      </c>
      <c r="H38" s="192">
        <v>35</v>
      </c>
      <c r="I38" s="192">
        <v>35</v>
      </c>
      <c r="J38" s="193">
        <v>35</v>
      </c>
      <c r="K38" s="84">
        <v>1</v>
      </c>
      <c r="L38" s="74"/>
      <c r="M38" s="74"/>
      <c r="N38" s="74"/>
      <c r="O38" s="74"/>
      <c r="P38" s="77"/>
      <c r="Q38" s="4906" t="s">
        <v>1966</v>
      </c>
      <c r="R38" s="77"/>
      <c r="S38" s="4775"/>
    </row>
    <row r="39" spans="1:19" ht="51">
      <c r="A39" s="5008"/>
      <c r="B39" s="1726" t="s">
        <v>10</v>
      </c>
      <c r="C39" s="1727" t="s">
        <v>790</v>
      </c>
      <c r="D39" s="498" t="s">
        <v>784</v>
      </c>
      <c r="E39" s="504">
        <f>SUM(E40:E43)</f>
        <v>2435</v>
      </c>
      <c r="F39" s="505">
        <f t="shared" ref="F39:J39" si="3">SUM(F40:F43)</f>
        <v>2435</v>
      </c>
      <c r="G39" s="505">
        <f t="shared" si="3"/>
        <v>2435</v>
      </c>
      <c r="H39" s="505">
        <f t="shared" si="3"/>
        <v>2435</v>
      </c>
      <c r="I39" s="505">
        <f t="shared" si="3"/>
        <v>2435</v>
      </c>
      <c r="J39" s="506">
        <f t="shared" si="3"/>
        <v>2435</v>
      </c>
      <c r="K39" s="504">
        <f t="shared" ref="K39:P39" si="4">IFERROR(AVERAGE(K40,K41,K42,K43),0)</f>
        <v>1</v>
      </c>
      <c r="L39" s="1728">
        <f t="shared" si="4"/>
        <v>0</v>
      </c>
      <c r="M39" s="1729">
        <f t="shared" si="4"/>
        <v>0</v>
      </c>
      <c r="N39" s="1729">
        <f t="shared" si="4"/>
        <v>0</v>
      </c>
      <c r="O39" s="1729">
        <f t="shared" si="4"/>
        <v>0</v>
      </c>
      <c r="P39" s="506">
        <f t="shared" si="4"/>
        <v>0</v>
      </c>
      <c r="Q39" s="74"/>
      <c r="R39" s="77"/>
      <c r="S39" s="4775"/>
    </row>
    <row r="40" spans="1:19" ht="50.1" customHeight="1">
      <c r="A40" s="5008"/>
      <c r="B40" s="1714" t="s">
        <v>11</v>
      </c>
      <c r="C40" s="1711" t="s">
        <v>791</v>
      </c>
      <c r="D40" s="498" t="s">
        <v>784</v>
      </c>
      <c r="E40" s="341">
        <v>1307</v>
      </c>
      <c r="F40" s="192">
        <v>1307</v>
      </c>
      <c r="G40" s="192">
        <v>1307</v>
      </c>
      <c r="H40" s="192">
        <v>1307</v>
      </c>
      <c r="I40" s="192">
        <v>1307</v>
      </c>
      <c r="J40" s="193">
        <v>1307</v>
      </c>
      <c r="K40" s="84">
        <v>1</v>
      </c>
      <c r="L40" s="74"/>
      <c r="M40" s="74"/>
      <c r="N40" s="74"/>
      <c r="O40" s="74"/>
      <c r="P40" s="77"/>
      <c r="Q40" s="84" t="s">
        <v>1966</v>
      </c>
      <c r="R40" s="77"/>
      <c r="S40" s="4775"/>
    </row>
    <row r="41" spans="1:19" ht="50.1" customHeight="1">
      <c r="A41" s="5008"/>
      <c r="B41" s="1714" t="s">
        <v>12</v>
      </c>
      <c r="C41" s="1711" t="s">
        <v>792</v>
      </c>
      <c r="D41" s="498" t="s">
        <v>784</v>
      </c>
      <c r="E41" s="341">
        <v>236</v>
      </c>
      <c r="F41" s="192">
        <v>236</v>
      </c>
      <c r="G41" s="192">
        <v>236</v>
      </c>
      <c r="H41" s="192">
        <v>236</v>
      </c>
      <c r="I41" s="192">
        <v>236</v>
      </c>
      <c r="J41" s="193">
        <v>236</v>
      </c>
      <c r="K41" s="84">
        <v>1</v>
      </c>
      <c r="L41" s="74"/>
      <c r="M41" s="74"/>
      <c r="N41" s="74"/>
      <c r="O41" s="74"/>
      <c r="P41" s="77"/>
      <c r="Q41" s="84" t="s">
        <v>1966</v>
      </c>
      <c r="R41" s="77"/>
      <c r="S41" s="4775"/>
    </row>
    <row r="42" spans="1:19" ht="50.1" customHeight="1">
      <c r="A42" s="5008"/>
      <c r="B42" s="1714" t="s">
        <v>13</v>
      </c>
      <c r="C42" s="1711" t="s">
        <v>793</v>
      </c>
      <c r="D42" s="498" t="s">
        <v>784</v>
      </c>
      <c r="E42" s="341">
        <v>857</v>
      </c>
      <c r="F42" s="192">
        <v>857</v>
      </c>
      <c r="G42" s="192">
        <v>857</v>
      </c>
      <c r="H42" s="192">
        <v>857</v>
      </c>
      <c r="I42" s="192">
        <v>857</v>
      </c>
      <c r="J42" s="193">
        <v>857</v>
      </c>
      <c r="K42" s="84">
        <v>1</v>
      </c>
      <c r="L42" s="74"/>
      <c r="M42" s="74"/>
      <c r="N42" s="74"/>
      <c r="O42" s="74"/>
      <c r="P42" s="77"/>
      <c r="Q42" s="84" t="s">
        <v>1966</v>
      </c>
      <c r="R42" s="77"/>
      <c r="S42" s="4775"/>
    </row>
    <row r="43" spans="1:19" ht="50.1" customHeight="1" thickBot="1">
      <c r="A43" s="5007"/>
      <c r="B43" s="1715" t="s">
        <v>14</v>
      </c>
      <c r="C43" s="1712" t="s">
        <v>794</v>
      </c>
      <c r="D43" s="499" t="s">
        <v>784</v>
      </c>
      <c r="E43" s="343">
        <v>35</v>
      </c>
      <c r="F43" s="195">
        <v>35</v>
      </c>
      <c r="G43" s="195">
        <v>35</v>
      </c>
      <c r="H43" s="195">
        <v>35</v>
      </c>
      <c r="I43" s="195">
        <v>35</v>
      </c>
      <c r="J43" s="196">
        <v>35</v>
      </c>
      <c r="K43" s="85">
        <v>1</v>
      </c>
      <c r="L43" s="78"/>
      <c r="M43" s="78"/>
      <c r="N43" s="78"/>
      <c r="O43" s="78"/>
      <c r="P43" s="79"/>
      <c r="Q43" s="85" t="s">
        <v>1966</v>
      </c>
      <c r="R43" s="79"/>
      <c r="S43" s="4775"/>
    </row>
    <row r="44" spans="1:19" ht="51">
      <c r="A44" s="5009" t="s">
        <v>854</v>
      </c>
      <c r="B44" s="1721" t="s">
        <v>15</v>
      </c>
      <c r="C44" s="1722" t="s">
        <v>795</v>
      </c>
      <c r="D44" s="497" t="s">
        <v>784</v>
      </c>
      <c r="E44" s="501">
        <f>SUM(E45:E48)</f>
        <v>9013</v>
      </c>
      <c r="F44" s="502">
        <f t="shared" ref="F44:J44" si="5">SUM(F45:F48)</f>
        <v>9014</v>
      </c>
      <c r="G44" s="502">
        <f t="shared" si="5"/>
        <v>9015</v>
      </c>
      <c r="H44" s="502">
        <f t="shared" si="5"/>
        <v>9016</v>
      </c>
      <c r="I44" s="502">
        <f t="shared" si="5"/>
        <v>9017</v>
      </c>
      <c r="J44" s="503">
        <f t="shared" si="5"/>
        <v>9018</v>
      </c>
      <c r="K44" s="501">
        <f t="shared" ref="K44:P44" si="6">IFERROR(AVERAGE(K45,K46,K47,K48),0)</f>
        <v>1</v>
      </c>
      <c r="L44" s="1723">
        <f t="shared" si="6"/>
        <v>0</v>
      </c>
      <c r="M44" s="1725">
        <f t="shared" si="6"/>
        <v>0</v>
      </c>
      <c r="N44" s="502">
        <f t="shared" si="6"/>
        <v>0</v>
      </c>
      <c r="O44" s="502">
        <f t="shared" si="6"/>
        <v>0</v>
      </c>
      <c r="P44" s="1730">
        <f t="shared" si="6"/>
        <v>0</v>
      </c>
      <c r="Q44" s="133"/>
      <c r="R44" s="134"/>
      <c r="S44" s="4775"/>
    </row>
    <row r="45" spans="1:19" ht="50.1" customHeight="1">
      <c r="A45" s="5010"/>
      <c r="B45" s="1714" t="s">
        <v>16</v>
      </c>
      <c r="C45" s="1711" t="s">
        <v>796</v>
      </c>
      <c r="D45" s="498" t="s">
        <v>784</v>
      </c>
      <c r="E45" s="341">
        <v>4494</v>
      </c>
      <c r="F45" s="192">
        <v>4494</v>
      </c>
      <c r="G45" s="192">
        <v>4494</v>
      </c>
      <c r="H45" s="192">
        <v>4494</v>
      </c>
      <c r="I45" s="192">
        <v>4494</v>
      </c>
      <c r="J45" s="192">
        <v>4494</v>
      </c>
      <c r="K45" s="84">
        <v>1</v>
      </c>
      <c r="L45" s="81"/>
      <c r="M45" s="81"/>
      <c r="N45" s="81"/>
      <c r="O45" s="81"/>
      <c r="P45" s="105"/>
      <c r="Q45" s="77" t="s">
        <v>1966</v>
      </c>
      <c r="R45" s="77"/>
      <c r="S45" s="4775"/>
    </row>
    <row r="46" spans="1:19" ht="50.1" customHeight="1">
      <c r="A46" s="5010"/>
      <c r="B46" s="1714" t="s">
        <v>17</v>
      </c>
      <c r="C46" s="1711" t="s">
        <v>797</v>
      </c>
      <c r="D46" s="498" t="s">
        <v>784</v>
      </c>
      <c r="E46" s="341">
        <v>796</v>
      </c>
      <c r="F46" s="192">
        <v>796</v>
      </c>
      <c r="G46" s="192">
        <v>796</v>
      </c>
      <c r="H46" s="192">
        <v>796</v>
      </c>
      <c r="I46" s="192">
        <v>796</v>
      </c>
      <c r="J46" s="193">
        <v>796</v>
      </c>
      <c r="K46" s="84">
        <v>1</v>
      </c>
      <c r="L46" s="81"/>
      <c r="M46" s="81"/>
      <c r="N46" s="81"/>
      <c r="O46" s="81"/>
      <c r="P46" s="105"/>
      <c r="Q46" s="77" t="s">
        <v>1966</v>
      </c>
      <c r="R46" s="77"/>
      <c r="S46" s="4775"/>
    </row>
    <row r="47" spans="1:19" ht="50.1" customHeight="1">
      <c r="A47" s="5010"/>
      <c r="B47" s="1714" t="s">
        <v>18</v>
      </c>
      <c r="C47" s="1711" t="s">
        <v>798</v>
      </c>
      <c r="D47" s="498" t="s">
        <v>784</v>
      </c>
      <c r="E47" s="341">
        <v>3548</v>
      </c>
      <c r="F47" s="192">
        <v>3548</v>
      </c>
      <c r="G47" s="192">
        <v>3548</v>
      </c>
      <c r="H47" s="192">
        <v>3548</v>
      </c>
      <c r="I47" s="192">
        <v>3548</v>
      </c>
      <c r="J47" s="192">
        <v>3548</v>
      </c>
      <c r="K47" s="84">
        <v>1</v>
      </c>
      <c r="L47" s="81"/>
      <c r="M47" s="81"/>
      <c r="N47" s="81"/>
      <c r="O47" s="81"/>
      <c r="P47" s="105"/>
      <c r="Q47" s="77" t="s">
        <v>1966</v>
      </c>
      <c r="R47" s="77"/>
      <c r="S47" s="4775"/>
    </row>
    <row r="48" spans="1:19" ht="50.1" customHeight="1">
      <c r="A48" s="5010"/>
      <c r="B48" s="1714" t="s">
        <v>19</v>
      </c>
      <c r="C48" s="1711" t="s">
        <v>799</v>
      </c>
      <c r="D48" s="498" t="s">
        <v>784</v>
      </c>
      <c r="E48" s="341">
        <v>175</v>
      </c>
      <c r="F48" s="192">
        <v>176</v>
      </c>
      <c r="G48" s="192">
        <v>177</v>
      </c>
      <c r="H48" s="192">
        <v>178</v>
      </c>
      <c r="I48" s="192">
        <v>179</v>
      </c>
      <c r="J48" s="193">
        <v>180</v>
      </c>
      <c r="K48" s="84">
        <v>1</v>
      </c>
      <c r="L48" s="81"/>
      <c r="M48" s="81"/>
      <c r="N48" s="81"/>
      <c r="O48" s="81"/>
      <c r="P48" s="105"/>
      <c r="Q48" s="4907" t="s">
        <v>1966</v>
      </c>
      <c r="R48" s="77"/>
      <c r="S48" s="4775"/>
    </row>
    <row r="49" spans="1:19" ht="51">
      <c r="A49" s="5010"/>
      <c r="B49" s="1726" t="s">
        <v>20</v>
      </c>
      <c r="C49" s="1727" t="s">
        <v>800</v>
      </c>
      <c r="D49" s="498" t="s">
        <v>784</v>
      </c>
      <c r="E49" s="504">
        <f>SUM(E50:E53)</f>
        <v>9022</v>
      </c>
      <c r="F49" s="505">
        <f t="shared" ref="F49:J49" si="7">SUM(F50:F53)</f>
        <v>9022</v>
      </c>
      <c r="G49" s="505">
        <f t="shared" si="7"/>
        <v>9022</v>
      </c>
      <c r="H49" s="505">
        <f t="shared" si="7"/>
        <v>9022</v>
      </c>
      <c r="I49" s="505">
        <f t="shared" si="7"/>
        <v>9022</v>
      </c>
      <c r="J49" s="506">
        <f t="shared" si="7"/>
        <v>9022</v>
      </c>
      <c r="K49" s="504">
        <f t="shared" ref="K49:P49" si="8">IFERROR(AVERAGE(K50,K51,K52,K53),0)</f>
        <v>1</v>
      </c>
      <c r="L49" s="1728">
        <f t="shared" si="8"/>
        <v>0</v>
      </c>
      <c r="M49" s="1729">
        <f t="shared" si="8"/>
        <v>0</v>
      </c>
      <c r="N49" s="1729">
        <f t="shared" si="8"/>
        <v>0</v>
      </c>
      <c r="O49" s="1729">
        <f t="shared" si="8"/>
        <v>0</v>
      </c>
      <c r="P49" s="506">
        <f t="shared" si="8"/>
        <v>0</v>
      </c>
      <c r="Q49" s="74"/>
      <c r="R49" s="77"/>
      <c r="S49" s="4775"/>
    </row>
    <row r="50" spans="1:19" ht="50.1" customHeight="1">
      <c r="A50" s="5010"/>
      <c r="B50" s="1714" t="s">
        <v>21</v>
      </c>
      <c r="C50" s="1711" t="s">
        <v>801</v>
      </c>
      <c r="D50" s="498" t="s">
        <v>784</v>
      </c>
      <c r="E50" s="341">
        <v>4494</v>
      </c>
      <c r="F50" s="192">
        <v>4494</v>
      </c>
      <c r="G50" s="192">
        <v>4494</v>
      </c>
      <c r="H50" s="192">
        <v>4494</v>
      </c>
      <c r="I50" s="192">
        <v>4494</v>
      </c>
      <c r="J50" s="192">
        <v>4494</v>
      </c>
      <c r="K50" s="84">
        <v>1</v>
      </c>
      <c r="L50" s="74"/>
      <c r="M50" s="74"/>
      <c r="N50" s="74"/>
      <c r="O50" s="74"/>
      <c r="P50" s="77"/>
      <c r="Q50" s="77" t="s">
        <v>1966</v>
      </c>
      <c r="R50" s="77"/>
      <c r="S50" s="4775"/>
    </row>
    <row r="51" spans="1:19" ht="50.1" customHeight="1">
      <c r="A51" s="5010"/>
      <c r="B51" s="1714" t="s">
        <v>22</v>
      </c>
      <c r="C51" s="1711" t="s">
        <v>802</v>
      </c>
      <c r="D51" s="498" t="s">
        <v>784</v>
      </c>
      <c r="E51" s="341">
        <v>796</v>
      </c>
      <c r="F51" s="192">
        <v>796</v>
      </c>
      <c r="G51" s="192">
        <v>796</v>
      </c>
      <c r="H51" s="192">
        <v>796</v>
      </c>
      <c r="I51" s="192">
        <v>796</v>
      </c>
      <c r="J51" s="192">
        <v>796</v>
      </c>
      <c r="K51" s="84">
        <v>1</v>
      </c>
      <c r="L51" s="74"/>
      <c r="M51" s="74"/>
      <c r="N51" s="74"/>
      <c r="O51" s="74"/>
      <c r="P51" s="77"/>
      <c r="Q51" s="77" t="s">
        <v>1966</v>
      </c>
      <c r="R51" s="77"/>
      <c r="S51" s="4775"/>
    </row>
    <row r="52" spans="1:19" ht="50.1" customHeight="1">
      <c r="A52" s="5010"/>
      <c r="B52" s="1714" t="s">
        <v>23</v>
      </c>
      <c r="C52" s="1711" t="s">
        <v>803</v>
      </c>
      <c r="D52" s="498" t="s">
        <v>784</v>
      </c>
      <c r="E52" s="341">
        <v>3548</v>
      </c>
      <c r="F52" s="192">
        <v>3548</v>
      </c>
      <c r="G52" s="192">
        <v>3548</v>
      </c>
      <c r="H52" s="192">
        <v>3548</v>
      </c>
      <c r="I52" s="192">
        <v>3548</v>
      </c>
      <c r="J52" s="192">
        <v>3548</v>
      </c>
      <c r="K52" s="84">
        <v>1</v>
      </c>
      <c r="L52" s="74"/>
      <c r="M52" s="74"/>
      <c r="N52" s="74"/>
      <c r="O52" s="74"/>
      <c r="P52" s="77"/>
      <c r="Q52" s="77" t="s">
        <v>1966</v>
      </c>
      <c r="R52" s="77"/>
      <c r="S52" s="4775"/>
    </row>
    <row r="53" spans="1:19" ht="50.1" customHeight="1" thickBot="1">
      <c r="A53" s="5011"/>
      <c r="B53" s="1715" t="s">
        <v>24</v>
      </c>
      <c r="C53" s="1712" t="s">
        <v>804</v>
      </c>
      <c r="D53" s="499" t="s">
        <v>784</v>
      </c>
      <c r="E53" s="343">
        <v>184</v>
      </c>
      <c r="F53" s="195">
        <v>184</v>
      </c>
      <c r="G53" s="195">
        <v>184</v>
      </c>
      <c r="H53" s="195">
        <v>184</v>
      </c>
      <c r="I53" s="195">
        <v>184</v>
      </c>
      <c r="J53" s="196">
        <v>184</v>
      </c>
      <c r="K53" s="84">
        <v>1</v>
      </c>
      <c r="L53" s="78"/>
      <c r="M53" s="78"/>
      <c r="N53" s="78"/>
      <c r="O53" s="78"/>
      <c r="P53" s="79"/>
      <c r="Q53" s="79" t="s">
        <v>1966</v>
      </c>
      <c r="R53" s="77"/>
      <c r="S53" s="4775"/>
    </row>
    <row r="54" spans="1:19">
      <c r="A54" s="5006" t="s">
        <v>900</v>
      </c>
      <c r="B54" s="1716" t="s">
        <v>25</v>
      </c>
      <c r="C54" s="1710" t="s">
        <v>805</v>
      </c>
      <c r="D54" s="497" t="s">
        <v>784</v>
      </c>
      <c r="E54" s="342">
        <v>75</v>
      </c>
      <c r="F54" s="190">
        <v>75</v>
      </c>
      <c r="G54" s="190">
        <v>75</v>
      </c>
      <c r="H54" s="190">
        <v>75</v>
      </c>
      <c r="I54" s="190">
        <v>75</v>
      </c>
      <c r="J54" s="191">
        <v>75</v>
      </c>
      <c r="K54" s="83">
        <v>1</v>
      </c>
      <c r="L54" s="75"/>
      <c r="M54" s="75"/>
      <c r="N54" s="75"/>
      <c r="O54" s="75"/>
      <c r="P54" s="76"/>
      <c r="Q54" s="76" t="s">
        <v>1967</v>
      </c>
      <c r="R54" s="76"/>
      <c r="S54" s="4775"/>
    </row>
    <row r="55" spans="1:19" ht="26.25" thickBot="1">
      <c r="A55" s="5007"/>
      <c r="B55" s="1715" t="s">
        <v>26</v>
      </c>
      <c r="C55" s="1712" t="s">
        <v>806</v>
      </c>
      <c r="D55" s="499" t="s">
        <v>784</v>
      </c>
      <c r="E55" s="343">
        <v>75</v>
      </c>
      <c r="F55" s="195">
        <v>75</v>
      </c>
      <c r="G55" s="195">
        <v>75</v>
      </c>
      <c r="H55" s="195">
        <v>75</v>
      </c>
      <c r="I55" s="195">
        <v>75</v>
      </c>
      <c r="J55" s="196">
        <v>75</v>
      </c>
      <c r="K55" s="85">
        <v>1</v>
      </c>
      <c r="L55" s="78"/>
      <c r="M55" s="78"/>
      <c r="N55" s="78"/>
      <c r="O55" s="78"/>
      <c r="P55" s="79"/>
      <c r="Q55" s="79" t="s">
        <v>1967</v>
      </c>
      <c r="R55" s="601"/>
      <c r="S55" s="4775"/>
    </row>
    <row r="56" spans="1:19" ht="25.5">
      <c r="A56" s="5006" t="s">
        <v>867</v>
      </c>
      <c r="B56" s="1731" t="s">
        <v>35</v>
      </c>
      <c r="C56" s="1703" t="s">
        <v>818</v>
      </c>
      <c r="D56" s="497" t="s">
        <v>784</v>
      </c>
      <c r="E56" s="342">
        <v>74</v>
      </c>
      <c r="F56" s="190">
        <v>80</v>
      </c>
      <c r="G56" s="190">
        <v>85</v>
      </c>
      <c r="H56" s="190">
        <v>90</v>
      </c>
      <c r="I56" s="190">
        <v>95</v>
      </c>
      <c r="J56" s="191">
        <v>100</v>
      </c>
      <c r="K56" s="83">
        <v>1</v>
      </c>
      <c r="L56" s="75"/>
      <c r="M56" s="75"/>
      <c r="N56" s="75"/>
      <c r="O56" s="75"/>
      <c r="P56" s="76"/>
      <c r="Q56" s="76" t="s">
        <v>1967</v>
      </c>
      <c r="R56" s="76"/>
      <c r="S56" s="4775"/>
    </row>
    <row r="57" spans="1:19" ht="26.25" thickBot="1">
      <c r="A57" s="5007"/>
      <c r="B57" s="1732" t="s">
        <v>330</v>
      </c>
      <c r="C57" s="1709" t="s">
        <v>817</v>
      </c>
      <c r="D57" s="499" t="s">
        <v>784</v>
      </c>
      <c r="E57" s="343">
        <v>656</v>
      </c>
      <c r="F57" s="195">
        <v>656</v>
      </c>
      <c r="G57" s="195">
        <v>656</v>
      </c>
      <c r="H57" s="195">
        <v>656</v>
      </c>
      <c r="I57" s="195">
        <v>656</v>
      </c>
      <c r="J57" s="196">
        <v>656</v>
      </c>
      <c r="K57" s="85">
        <v>1</v>
      </c>
      <c r="L57" s="78"/>
      <c r="M57" s="78"/>
      <c r="N57" s="78"/>
      <c r="O57" s="78"/>
      <c r="P57" s="79"/>
      <c r="Q57" s="79" t="s">
        <v>1967</v>
      </c>
      <c r="R57" s="601"/>
      <c r="S57" s="4775"/>
    </row>
    <row r="58" spans="1:19" ht="51">
      <c r="A58" s="5006" t="s">
        <v>866</v>
      </c>
      <c r="B58" s="1716" t="s">
        <v>27</v>
      </c>
      <c r="C58" s="1710" t="s">
        <v>807</v>
      </c>
      <c r="D58" s="497" t="s">
        <v>808</v>
      </c>
      <c r="E58" s="342">
        <v>2067658</v>
      </c>
      <c r="F58" s="190">
        <v>1900000</v>
      </c>
      <c r="G58" s="190">
        <v>1830000</v>
      </c>
      <c r="H58" s="190">
        <v>1760000</v>
      </c>
      <c r="I58" s="190">
        <v>1700000</v>
      </c>
      <c r="J58" s="191">
        <v>1550000</v>
      </c>
      <c r="K58" s="83">
        <v>1</v>
      </c>
      <c r="L58" s="75"/>
      <c r="M58" s="75"/>
      <c r="N58" s="75"/>
      <c r="O58" s="75"/>
      <c r="P58" s="76"/>
      <c r="Q58" s="76" t="s">
        <v>1968</v>
      </c>
      <c r="R58" s="76"/>
      <c r="S58" s="4775"/>
    </row>
    <row r="59" spans="1:19" ht="25.5">
      <c r="A59" s="5008"/>
      <c r="B59" s="3598" t="s">
        <v>29</v>
      </c>
      <c r="C59" s="1705" t="s">
        <v>813</v>
      </c>
      <c r="D59" s="498" t="s">
        <v>784</v>
      </c>
      <c r="E59" s="341">
        <v>1138</v>
      </c>
      <c r="F59" s="192">
        <v>1100</v>
      </c>
      <c r="G59" s="192">
        <v>1080</v>
      </c>
      <c r="H59" s="192">
        <v>1070</v>
      </c>
      <c r="I59" s="192">
        <v>1060</v>
      </c>
      <c r="J59" s="193">
        <v>1051</v>
      </c>
      <c r="K59" s="84">
        <v>1</v>
      </c>
      <c r="L59" s="74"/>
      <c r="M59" s="74"/>
      <c r="N59" s="74"/>
      <c r="O59" s="74"/>
      <c r="P59" s="77"/>
      <c r="Q59" s="77" t="s">
        <v>1968</v>
      </c>
      <c r="R59" s="77"/>
      <c r="S59" s="4775"/>
    </row>
    <row r="60" spans="1:19" ht="38.25">
      <c r="A60" s="5008"/>
      <c r="B60" s="3598" t="s">
        <v>36</v>
      </c>
      <c r="C60" s="1711" t="s">
        <v>819</v>
      </c>
      <c r="D60" s="498" t="s">
        <v>784</v>
      </c>
      <c r="E60" s="938">
        <f>'8. Ремонтна програма'!D48</f>
        <v>130</v>
      </c>
      <c r="F60" s="1733">
        <f>'8. Ремонтна програма'!E48</f>
        <v>120</v>
      </c>
      <c r="G60" s="1734">
        <f>'8. Ремонтна програма'!F48</f>
        <v>110</v>
      </c>
      <c r="H60" s="1734">
        <f>'8. Ремонтна програма'!G48</f>
        <v>100</v>
      </c>
      <c r="I60" s="1734">
        <f>'8. Ремонтна програма'!H48</f>
        <v>90</v>
      </c>
      <c r="J60" s="1708">
        <f>'8. Ремонтна програма'!I48</f>
        <v>80</v>
      </c>
      <c r="K60" s="84">
        <v>1</v>
      </c>
      <c r="L60" s="74"/>
      <c r="M60" s="74"/>
      <c r="N60" s="74"/>
      <c r="O60" s="74"/>
      <c r="P60" s="77"/>
      <c r="Q60" s="77" t="s">
        <v>1968</v>
      </c>
      <c r="R60" s="77"/>
      <c r="S60" s="4775"/>
    </row>
    <row r="61" spans="1:19" ht="25.5">
      <c r="A61" s="5008"/>
      <c r="B61" s="3598" t="s">
        <v>37</v>
      </c>
      <c r="C61" s="1711" t="s">
        <v>821</v>
      </c>
      <c r="D61" s="498" t="s">
        <v>784</v>
      </c>
      <c r="E61" s="938">
        <f>'8. Ремонтна програма'!D49</f>
        <v>58</v>
      </c>
      <c r="F61" s="1733">
        <f>'8. Ремонтна програма'!E49</f>
        <v>50</v>
      </c>
      <c r="G61" s="1734">
        <f>'8. Ремонтна програма'!F49</f>
        <v>45</v>
      </c>
      <c r="H61" s="1734">
        <f>'8. Ремонтна програма'!G49</f>
        <v>40</v>
      </c>
      <c r="I61" s="1734">
        <f>'8. Ремонтна програма'!H49</f>
        <v>35</v>
      </c>
      <c r="J61" s="1708">
        <f>'8. Ремонтна програма'!I49</f>
        <v>30</v>
      </c>
      <c r="K61" s="84">
        <v>1</v>
      </c>
      <c r="L61" s="74"/>
      <c r="M61" s="74"/>
      <c r="N61" s="74"/>
      <c r="O61" s="74"/>
      <c r="P61" s="77"/>
      <c r="Q61" s="77" t="s">
        <v>1968</v>
      </c>
      <c r="R61" s="77"/>
      <c r="S61" s="4775"/>
    </row>
    <row r="62" spans="1:19" ht="26.25" thickBot="1">
      <c r="A62" s="5007"/>
      <c r="B62" s="1715" t="s">
        <v>38</v>
      </c>
      <c r="C62" s="1712" t="s">
        <v>820</v>
      </c>
      <c r="D62" s="499" t="s">
        <v>784</v>
      </c>
      <c r="E62" s="343">
        <v>110</v>
      </c>
      <c r="F62" s="195">
        <v>100</v>
      </c>
      <c r="G62" s="195">
        <v>90</v>
      </c>
      <c r="H62" s="195">
        <v>80</v>
      </c>
      <c r="I62" s="195">
        <v>70</v>
      </c>
      <c r="J62" s="196">
        <v>60</v>
      </c>
      <c r="K62" s="85">
        <v>1</v>
      </c>
      <c r="L62" s="78"/>
      <c r="M62" s="78"/>
      <c r="N62" s="78"/>
      <c r="O62" s="78"/>
      <c r="P62" s="79"/>
      <c r="Q62" s="79" t="s">
        <v>1968</v>
      </c>
      <c r="R62" s="134"/>
      <c r="S62" s="4775"/>
    </row>
    <row r="63" spans="1:19" ht="51">
      <c r="A63" s="5006" t="s">
        <v>871</v>
      </c>
      <c r="B63" s="1716" t="s">
        <v>41</v>
      </c>
      <c r="C63" s="1710" t="s">
        <v>809</v>
      </c>
      <c r="D63" s="497" t="s">
        <v>1042</v>
      </c>
      <c r="E63" s="344">
        <f>'4. Отчет и прогн. потребление'!D9</f>
        <v>18733752</v>
      </c>
      <c r="F63" s="290">
        <f>'4. Отчет и прогн. потребление'!E9</f>
        <v>18545315</v>
      </c>
      <c r="G63" s="290">
        <f>'4. Отчет и прогн. потребление'!F9</f>
        <v>18039784</v>
      </c>
      <c r="H63" s="290">
        <f>'4. Отчет и прогн. потребление'!G9</f>
        <v>17431253</v>
      </c>
      <c r="I63" s="290">
        <f>'4. Отчет и прогн. потребление'!H9</f>
        <v>16872722</v>
      </c>
      <c r="J63" s="291">
        <f>'4. Отчет и прогн. потребление'!I9</f>
        <v>16281192</v>
      </c>
      <c r="K63" s="104">
        <v>1</v>
      </c>
      <c r="L63" s="75"/>
      <c r="M63" s="75"/>
      <c r="N63" s="75"/>
      <c r="O63" s="75"/>
      <c r="P63" s="76"/>
      <c r="Q63" s="76" t="s">
        <v>1969</v>
      </c>
      <c r="R63" s="76"/>
      <c r="S63" s="4775"/>
    </row>
    <row r="64" spans="1:19" ht="51">
      <c r="A64" s="5008"/>
      <c r="B64" s="1719" t="s">
        <v>782</v>
      </c>
      <c r="C64" s="1711" t="s">
        <v>811</v>
      </c>
      <c r="D64" s="498" t="s">
        <v>1042</v>
      </c>
      <c r="E64" s="345">
        <f>'4. Отчет и прогн. потребление'!D20</f>
        <v>11471057</v>
      </c>
      <c r="F64" s="294">
        <f>'4. Отчет и прогн. потребление'!E20</f>
        <v>11354943</v>
      </c>
      <c r="G64" s="294">
        <f>'4. Отчет и прогн. потребление'!F20</f>
        <v>11050084.020081241</v>
      </c>
      <c r="H64" s="294">
        <f>'4. Отчет и прогн. потребление'!G20</f>
        <v>10686707.423367359</v>
      </c>
      <c r="I64" s="294">
        <f>'4. Отчет и прогн. потребление'!H20</f>
        <v>10364373.287091164</v>
      </c>
      <c r="J64" s="295">
        <f>'4. Отчет и прогн. потребление'!I20</f>
        <v>10025137.521163668</v>
      </c>
      <c r="K64" s="105">
        <v>1</v>
      </c>
      <c r="L64" s="74"/>
      <c r="M64" s="74"/>
      <c r="N64" s="74"/>
      <c r="O64" s="74"/>
      <c r="P64" s="77"/>
      <c r="Q64" s="77" t="s">
        <v>1962</v>
      </c>
      <c r="R64" s="77"/>
      <c r="S64" s="4775"/>
    </row>
    <row r="65" spans="1:19" ht="51">
      <c r="A65" s="5008"/>
      <c r="B65" s="1719" t="s">
        <v>783</v>
      </c>
      <c r="C65" s="1711" t="s">
        <v>810</v>
      </c>
      <c r="D65" s="498" t="s">
        <v>1042</v>
      </c>
      <c r="E65" s="346">
        <f>'4. Отчет и прогн. потребление'!D43</f>
        <v>7262695</v>
      </c>
      <c r="F65" s="294">
        <f>'4. Отчет и прогн. потребление'!E43</f>
        <v>7190372</v>
      </c>
      <c r="G65" s="294">
        <f>'4. Отчет и прогн. потребление'!F43</f>
        <v>6989700</v>
      </c>
      <c r="H65" s="294">
        <f>'4. Отчет и прогн. потребление'!G43</f>
        <v>6744546</v>
      </c>
      <c r="I65" s="294">
        <f>'4. Отчет и прогн. потребление'!H43</f>
        <v>6508349</v>
      </c>
      <c r="J65" s="295">
        <f>'4. Отчет и прогн. потребление'!I43</f>
        <v>6256054</v>
      </c>
      <c r="K65" s="105">
        <v>1</v>
      </c>
      <c r="L65" s="74"/>
      <c r="M65" s="74"/>
      <c r="N65" s="74"/>
      <c r="O65" s="74"/>
      <c r="P65" s="77"/>
      <c r="Q65" s="77" t="s">
        <v>1970</v>
      </c>
      <c r="R65" s="77"/>
      <c r="S65" s="4775"/>
    </row>
    <row r="66" spans="1:19" ht="26.25" thickBot="1">
      <c r="A66" s="5008"/>
      <c r="B66" s="1735" t="s">
        <v>43</v>
      </c>
      <c r="C66" s="1736" t="s">
        <v>826</v>
      </c>
      <c r="D66" s="507" t="s">
        <v>1042</v>
      </c>
      <c r="E66" s="343">
        <v>11604175</v>
      </c>
      <c r="F66" s="195">
        <v>11600000</v>
      </c>
      <c r="G66" s="195">
        <v>11600000</v>
      </c>
      <c r="H66" s="195">
        <v>11600000</v>
      </c>
      <c r="I66" s="195">
        <v>11600000</v>
      </c>
      <c r="J66" s="196">
        <v>11600000</v>
      </c>
      <c r="K66" s="135">
        <v>1</v>
      </c>
      <c r="L66" s="139"/>
      <c r="M66" s="139"/>
      <c r="N66" s="139"/>
      <c r="O66" s="139"/>
      <c r="P66" s="79"/>
      <c r="Q66" s="4907" t="s">
        <v>1971</v>
      </c>
      <c r="R66" s="79"/>
      <c r="S66" s="4775"/>
    </row>
    <row r="67" spans="1:19" ht="25.5">
      <c r="A67" s="5009" t="s">
        <v>905</v>
      </c>
      <c r="B67" s="1737"/>
      <c r="C67" s="1703" t="s">
        <v>901</v>
      </c>
      <c r="D67" s="497" t="s">
        <v>784</v>
      </c>
      <c r="E67" s="342">
        <v>162</v>
      </c>
      <c r="F67" s="190">
        <v>162</v>
      </c>
      <c r="G67" s="190">
        <v>162</v>
      </c>
      <c r="H67" s="190">
        <v>162</v>
      </c>
      <c r="I67" s="190">
        <v>162</v>
      </c>
      <c r="J67" s="191">
        <v>162</v>
      </c>
      <c r="K67" s="83">
        <v>1</v>
      </c>
      <c r="L67" s="75"/>
      <c r="M67" s="75"/>
      <c r="N67" s="75"/>
      <c r="O67" s="75"/>
      <c r="P67" s="137"/>
      <c r="Q67" s="401" t="s">
        <v>1965</v>
      </c>
      <c r="R67" s="76"/>
      <c r="S67" s="4775"/>
    </row>
    <row r="68" spans="1:19" ht="25.5">
      <c r="A68" s="5010"/>
      <c r="B68" s="1738"/>
      <c r="C68" s="1705" t="s">
        <v>989</v>
      </c>
      <c r="D68" s="498" t="s">
        <v>170</v>
      </c>
      <c r="E68" s="347">
        <v>0.16</v>
      </c>
      <c r="F68" s="202">
        <v>0.16</v>
      </c>
      <c r="G68" s="202">
        <v>0.16</v>
      </c>
      <c r="H68" s="202">
        <v>0.16</v>
      </c>
      <c r="I68" s="202">
        <v>0.16</v>
      </c>
      <c r="J68" s="203">
        <v>0.16</v>
      </c>
      <c r="K68" s="84">
        <v>1</v>
      </c>
      <c r="L68" s="74"/>
      <c r="M68" s="74"/>
      <c r="N68" s="74"/>
      <c r="O68" s="74"/>
      <c r="P68" s="138"/>
      <c r="Q68" s="400" t="s">
        <v>1972</v>
      </c>
      <c r="R68" s="77"/>
      <c r="S68" s="4775"/>
    </row>
    <row r="69" spans="1:19" ht="63.75">
      <c r="A69" s="5010"/>
      <c r="B69" s="1738"/>
      <c r="C69" s="1705" t="s">
        <v>990</v>
      </c>
      <c r="D69" s="498" t="s">
        <v>170</v>
      </c>
      <c r="E69" s="347">
        <v>0.78</v>
      </c>
      <c r="F69" s="202">
        <v>0.78</v>
      </c>
      <c r="G69" s="202">
        <v>0.78</v>
      </c>
      <c r="H69" s="202">
        <v>0.78</v>
      </c>
      <c r="I69" s="202">
        <v>0.78</v>
      </c>
      <c r="J69" s="203">
        <v>0.78</v>
      </c>
      <c r="K69" s="84">
        <v>1</v>
      </c>
      <c r="L69" s="74"/>
      <c r="M69" s="74"/>
      <c r="N69" s="74"/>
      <c r="O69" s="74"/>
      <c r="P69" s="138"/>
      <c r="Q69" s="400" t="s">
        <v>1972</v>
      </c>
      <c r="R69" s="77"/>
      <c r="S69" s="4775"/>
    </row>
    <row r="70" spans="1:19" ht="25.5">
      <c r="A70" s="5010"/>
      <c r="B70" s="1738"/>
      <c r="C70" s="1705" t="s">
        <v>987</v>
      </c>
      <c r="D70" s="498" t="s">
        <v>170</v>
      </c>
      <c r="E70" s="347">
        <v>0.06</v>
      </c>
      <c r="F70" s="202">
        <v>0.06</v>
      </c>
      <c r="G70" s="202">
        <v>0.06</v>
      </c>
      <c r="H70" s="202">
        <v>0.06</v>
      </c>
      <c r="I70" s="202">
        <v>0.06</v>
      </c>
      <c r="J70" s="203">
        <v>0.06</v>
      </c>
      <c r="K70" s="84">
        <v>1</v>
      </c>
      <c r="L70" s="74"/>
      <c r="M70" s="74"/>
      <c r="N70" s="74"/>
      <c r="O70" s="74"/>
      <c r="P70" s="138"/>
      <c r="Q70" s="400" t="s">
        <v>1972</v>
      </c>
      <c r="R70" s="77"/>
      <c r="S70" s="4775"/>
    </row>
    <row r="71" spans="1:19">
      <c r="A71" s="5010"/>
      <c r="B71" s="1739"/>
      <c r="C71" s="1740" t="s">
        <v>988</v>
      </c>
      <c r="D71" s="508" t="s">
        <v>170</v>
      </c>
      <c r="E71" s="348">
        <f>SUM(E68:E70)</f>
        <v>1</v>
      </c>
      <c r="F71" s="300">
        <f t="shared" ref="F71:J71" si="9">SUM(F68:F70)</f>
        <v>1</v>
      </c>
      <c r="G71" s="300">
        <f t="shared" si="9"/>
        <v>1</v>
      </c>
      <c r="H71" s="300">
        <f t="shared" si="9"/>
        <v>1</v>
      </c>
      <c r="I71" s="300">
        <f t="shared" si="9"/>
        <v>1</v>
      </c>
      <c r="J71" s="301">
        <f t="shared" si="9"/>
        <v>1</v>
      </c>
      <c r="K71" s="935"/>
      <c r="L71" s="1741"/>
      <c r="M71" s="1741"/>
      <c r="N71" s="1741"/>
      <c r="O71" s="1741"/>
      <c r="P71" s="1742"/>
      <c r="Q71" s="1743"/>
      <c r="R71" s="1744"/>
      <c r="S71" s="4775"/>
    </row>
    <row r="72" spans="1:19" ht="25.5">
      <c r="A72" s="5010"/>
      <c r="B72" s="1738"/>
      <c r="C72" s="1705" t="s">
        <v>902</v>
      </c>
      <c r="D72" s="498" t="s">
        <v>784</v>
      </c>
      <c r="E72" s="341">
        <v>19</v>
      </c>
      <c r="F72" s="192">
        <v>19</v>
      </c>
      <c r="G72" s="192">
        <v>19</v>
      </c>
      <c r="H72" s="192">
        <v>19</v>
      </c>
      <c r="I72" s="192">
        <v>19</v>
      </c>
      <c r="J72" s="193">
        <v>19</v>
      </c>
      <c r="K72" s="84">
        <v>1</v>
      </c>
      <c r="L72" s="74"/>
      <c r="M72" s="74"/>
      <c r="N72" s="74"/>
      <c r="O72" s="74"/>
      <c r="P72" s="138"/>
      <c r="Q72" s="400" t="s">
        <v>1965</v>
      </c>
      <c r="R72" s="77"/>
      <c r="S72" s="4775"/>
    </row>
    <row r="73" spans="1:19" ht="63.75">
      <c r="A73" s="5010"/>
      <c r="B73" s="3600" t="s">
        <v>742</v>
      </c>
      <c r="C73" s="1705" t="s">
        <v>1003</v>
      </c>
      <c r="D73" s="498" t="s">
        <v>784</v>
      </c>
      <c r="E73" s="341">
        <v>90</v>
      </c>
      <c r="F73" s="192">
        <v>120</v>
      </c>
      <c r="G73" s="192">
        <v>125</v>
      </c>
      <c r="H73" s="192">
        <v>135</v>
      </c>
      <c r="I73" s="192">
        <v>140</v>
      </c>
      <c r="J73" s="193">
        <v>158</v>
      </c>
      <c r="K73" s="84">
        <v>1</v>
      </c>
      <c r="L73" s="74"/>
      <c r="M73" s="74"/>
      <c r="N73" s="74"/>
      <c r="O73" s="74"/>
      <c r="P73" s="138"/>
      <c r="Q73" s="400" t="s">
        <v>1965</v>
      </c>
      <c r="R73" s="77"/>
      <c r="S73" s="4775"/>
    </row>
    <row r="74" spans="1:19" ht="51">
      <c r="A74" s="5010"/>
      <c r="B74" s="3600" t="s">
        <v>839</v>
      </c>
      <c r="C74" s="1705" t="s">
        <v>847</v>
      </c>
      <c r="D74" s="498" t="s">
        <v>784</v>
      </c>
      <c r="E74" s="341">
        <v>9250</v>
      </c>
      <c r="F74" s="192">
        <v>10000</v>
      </c>
      <c r="G74" s="192">
        <v>10500</v>
      </c>
      <c r="H74" s="192">
        <v>11000</v>
      </c>
      <c r="I74" s="192">
        <v>11500</v>
      </c>
      <c r="J74" s="193">
        <v>11675</v>
      </c>
      <c r="K74" s="84">
        <v>1</v>
      </c>
      <c r="L74" s="74"/>
      <c r="M74" s="74"/>
      <c r="N74" s="74"/>
      <c r="O74" s="74"/>
      <c r="P74" s="138"/>
      <c r="Q74" s="400" t="s">
        <v>1973</v>
      </c>
      <c r="R74" s="77"/>
      <c r="S74" s="4775"/>
    </row>
    <row r="75" spans="1:19" ht="38.25">
      <c r="A75" s="5010"/>
      <c r="B75" s="3600" t="s">
        <v>845</v>
      </c>
      <c r="C75" s="1705" t="s">
        <v>846</v>
      </c>
      <c r="D75" s="498" t="s">
        <v>784</v>
      </c>
      <c r="E75" s="341">
        <v>48892</v>
      </c>
      <c r="F75" s="192">
        <v>49500</v>
      </c>
      <c r="G75" s="192">
        <v>50000</v>
      </c>
      <c r="H75" s="192">
        <v>51000</v>
      </c>
      <c r="I75" s="192">
        <v>52000</v>
      </c>
      <c r="J75" s="193">
        <v>52450</v>
      </c>
      <c r="K75" s="84">
        <v>1</v>
      </c>
      <c r="L75" s="74"/>
      <c r="M75" s="74"/>
      <c r="N75" s="74"/>
      <c r="O75" s="74"/>
      <c r="P75" s="138"/>
      <c r="Q75" s="400" t="s">
        <v>1962</v>
      </c>
      <c r="R75" s="77"/>
      <c r="S75" s="4775"/>
    </row>
    <row r="76" spans="1:19">
      <c r="A76" s="5010"/>
      <c r="B76" s="3600"/>
      <c r="C76" s="1705" t="s">
        <v>903</v>
      </c>
      <c r="D76" s="498" t="s">
        <v>784</v>
      </c>
      <c r="E76" s="341">
        <v>10</v>
      </c>
      <c r="F76" s="192">
        <v>10</v>
      </c>
      <c r="G76" s="192">
        <v>10</v>
      </c>
      <c r="H76" s="192">
        <v>10</v>
      </c>
      <c r="I76" s="192">
        <v>10</v>
      </c>
      <c r="J76" s="192">
        <v>10</v>
      </c>
      <c r="K76" s="84">
        <v>1</v>
      </c>
      <c r="L76" s="74"/>
      <c r="M76" s="74"/>
      <c r="N76" s="74"/>
      <c r="O76" s="74"/>
      <c r="P76" s="138"/>
      <c r="Q76" s="400" t="s">
        <v>1974</v>
      </c>
      <c r="R76" s="77"/>
      <c r="S76" s="4775"/>
    </row>
    <row r="77" spans="1:19" ht="17.25" customHeight="1" thickBot="1">
      <c r="A77" s="5011"/>
      <c r="B77" s="1745"/>
      <c r="C77" s="1709" t="s">
        <v>904</v>
      </c>
      <c r="D77" s="3926" t="s">
        <v>784</v>
      </c>
      <c r="E77" s="343">
        <v>0</v>
      </c>
      <c r="F77" s="195">
        <v>0</v>
      </c>
      <c r="G77" s="195">
        <v>0</v>
      </c>
      <c r="H77" s="195">
        <v>0</v>
      </c>
      <c r="I77" s="195">
        <v>0</v>
      </c>
      <c r="J77" s="196">
        <v>0</v>
      </c>
      <c r="K77" s="85">
        <v>1</v>
      </c>
      <c r="L77" s="78"/>
      <c r="M77" s="78"/>
      <c r="N77" s="78"/>
      <c r="O77" s="78"/>
      <c r="P77" s="139"/>
      <c r="Q77" s="604" t="s">
        <v>1974</v>
      </c>
      <c r="R77" s="79"/>
      <c r="S77" s="4775"/>
    </row>
    <row r="78" spans="1:19" ht="15" customHeight="1">
      <c r="A78" s="5008" t="s">
        <v>869</v>
      </c>
      <c r="B78" s="3601" t="s">
        <v>46</v>
      </c>
      <c r="C78" s="1746" t="s">
        <v>827</v>
      </c>
      <c r="D78" s="500" t="s">
        <v>812</v>
      </c>
      <c r="E78" s="349">
        <v>40</v>
      </c>
      <c r="F78" s="197">
        <v>40</v>
      </c>
      <c r="G78" s="197">
        <v>41</v>
      </c>
      <c r="H78" s="197">
        <v>42</v>
      </c>
      <c r="I78" s="197">
        <v>42</v>
      </c>
      <c r="J78" s="198">
        <v>43</v>
      </c>
      <c r="K78" s="136">
        <v>1</v>
      </c>
      <c r="L78" s="133"/>
      <c r="M78" s="133"/>
      <c r="N78" s="133"/>
      <c r="O78" s="133"/>
      <c r="P78" s="134"/>
      <c r="Q78" s="134" t="s">
        <v>1964</v>
      </c>
      <c r="R78" s="134"/>
      <c r="S78" s="4775"/>
    </row>
    <row r="79" spans="1:19" ht="64.5" thickBot="1">
      <c r="A79" s="5007"/>
      <c r="B79" s="3599" t="s">
        <v>837</v>
      </c>
      <c r="C79" s="1709" t="s">
        <v>868</v>
      </c>
      <c r="D79" s="499" t="s">
        <v>812</v>
      </c>
      <c r="E79" s="343">
        <v>22</v>
      </c>
      <c r="F79" s="195">
        <v>22</v>
      </c>
      <c r="G79" s="195">
        <v>22</v>
      </c>
      <c r="H79" s="195">
        <v>22</v>
      </c>
      <c r="I79" s="195">
        <v>22</v>
      </c>
      <c r="J79" s="196">
        <v>22</v>
      </c>
      <c r="K79" s="85">
        <v>1</v>
      </c>
      <c r="L79" s="78"/>
      <c r="M79" s="78"/>
      <c r="N79" s="78"/>
      <c r="O79" s="78"/>
      <c r="P79" s="79"/>
      <c r="Q79" s="79" t="s">
        <v>1975</v>
      </c>
      <c r="R79" s="79"/>
      <c r="S79" s="4775"/>
    </row>
    <row r="80" spans="1:19" ht="25.5">
      <c r="A80" s="5006" t="s">
        <v>870</v>
      </c>
      <c r="B80" s="1731" t="s">
        <v>40</v>
      </c>
      <c r="C80" s="1703" t="s">
        <v>824</v>
      </c>
      <c r="D80" s="497" t="s">
        <v>348</v>
      </c>
      <c r="E80" s="350">
        <f>'6. Ел.Енергия'!C18</f>
        <v>1423552</v>
      </c>
      <c r="F80" s="296">
        <f>'6. Ел.Енергия'!D18</f>
        <v>1415000</v>
      </c>
      <c r="G80" s="296">
        <f>'6. Ел.Енергия'!E18</f>
        <v>1350000</v>
      </c>
      <c r="H80" s="296">
        <f>'6. Ел.Енергия'!F18</f>
        <v>1295000</v>
      </c>
      <c r="I80" s="296">
        <f>'6. Ел.Енергия'!G18</f>
        <v>1240000</v>
      </c>
      <c r="J80" s="297">
        <f>'6. Ел.Енергия'!H18</f>
        <v>1175000</v>
      </c>
      <c r="K80" s="83">
        <v>1</v>
      </c>
      <c r="L80" s="80"/>
      <c r="M80" s="80"/>
      <c r="N80" s="80"/>
      <c r="O80" s="80"/>
      <c r="P80" s="76"/>
      <c r="Q80" s="76" t="s">
        <v>1976</v>
      </c>
      <c r="R80" s="76"/>
      <c r="S80" s="4775"/>
    </row>
    <row r="81" spans="1:26" ht="39" thickBot="1">
      <c r="A81" s="5007"/>
      <c r="B81" s="1732" t="s">
        <v>42</v>
      </c>
      <c r="C81" s="1709" t="s">
        <v>992</v>
      </c>
      <c r="D81" s="499" t="s">
        <v>348</v>
      </c>
      <c r="E81" s="351">
        <f>'6. Ел.Енергия'!C49</f>
        <v>2995116</v>
      </c>
      <c r="F81" s="298">
        <f>'6. Ел.Енергия'!D49</f>
        <v>2980000</v>
      </c>
      <c r="G81" s="298">
        <f>'6. Ел.Енергия'!E49</f>
        <v>2940000</v>
      </c>
      <c r="H81" s="298">
        <f>'6. Ел.Енергия'!F49</f>
        <v>2890000</v>
      </c>
      <c r="I81" s="298">
        <f>'6. Ел.Енергия'!G49</f>
        <v>2870000</v>
      </c>
      <c r="J81" s="299">
        <f>'6. Ел.Енергия'!H49</f>
        <v>2850000</v>
      </c>
      <c r="K81" s="85">
        <v>1</v>
      </c>
      <c r="L81" s="82"/>
      <c r="M81" s="82"/>
      <c r="N81" s="82"/>
      <c r="O81" s="82"/>
      <c r="P81" s="79"/>
      <c r="Q81" s="79" t="s">
        <v>1976</v>
      </c>
      <c r="R81" s="134"/>
      <c r="S81" s="4775"/>
    </row>
    <row r="82" spans="1:26" ht="51.75" thickBot="1">
      <c r="A82" s="5006" t="s">
        <v>872</v>
      </c>
      <c r="B82" s="1731" t="s">
        <v>44</v>
      </c>
      <c r="C82" s="1703" t="s">
        <v>825</v>
      </c>
      <c r="D82" s="497" t="s">
        <v>595</v>
      </c>
      <c r="E82" s="342">
        <v>0</v>
      </c>
      <c r="F82" s="290">
        <f>'7. Утайки от ПСОВ'!F17+'7. Утайки от ПСОВ'!G16</f>
        <v>100</v>
      </c>
      <c r="G82" s="290">
        <f>'7. Утайки от ПСОВ'!G17+'7. Утайки от ПСОВ'!H16</f>
        <v>200</v>
      </c>
      <c r="H82" s="290">
        <f>'7. Утайки от ПСОВ'!H17+'7. Утайки от ПСОВ'!I16</f>
        <v>200</v>
      </c>
      <c r="I82" s="290">
        <f>'7. Утайки от ПСОВ'!I17+'7. Утайки от ПСОВ'!J16</f>
        <v>300</v>
      </c>
      <c r="J82" s="291">
        <f>'7. Утайки от ПСОВ'!J17+'7. Утайки от ПСОВ'!K16</f>
        <v>330</v>
      </c>
      <c r="K82" s="83">
        <v>1</v>
      </c>
      <c r="L82" s="75"/>
      <c r="M82" s="75"/>
      <c r="N82" s="75"/>
      <c r="O82" s="75"/>
      <c r="P82" s="76"/>
      <c r="Q82" s="76" t="s">
        <v>1977</v>
      </c>
      <c r="R82" s="76"/>
      <c r="S82" s="4775"/>
      <c r="T82" s="5003" t="s">
        <v>746</v>
      </c>
      <c r="U82" s="5003" t="s">
        <v>922</v>
      </c>
      <c r="V82" s="5003"/>
      <c r="W82" s="5003"/>
      <c r="X82" s="5003"/>
      <c r="Y82" s="5003"/>
      <c r="Z82" s="5003"/>
    </row>
    <row r="83" spans="1:26" ht="39" thickBot="1">
      <c r="A83" s="5007"/>
      <c r="B83" s="1732" t="s">
        <v>45</v>
      </c>
      <c r="C83" s="1709" t="s">
        <v>835</v>
      </c>
      <c r="D83" s="499" t="s">
        <v>595</v>
      </c>
      <c r="E83" s="343">
        <v>522</v>
      </c>
      <c r="F83" s="292">
        <f>'7. Утайки от ПСОВ'!F12</f>
        <v>340</v>
      </c>
      <c r="G83" s="292">
        <f>'7. Утайки от ПСОВ'!G12</f>
        <v>340</v>
      </c>
      <c r="H83" s="292">
        <f>'7. Утайки от ПСОВ'!H12</f>
        <v>340</v>
      </c>
      <c r="I83" s="292">
        <f>'7. Утайки от ПСОВ'!I12</f>
        <v>340</v>
      </c>
      <c r="J83" s="293">
        <f>'7. Утайки от ПСОВ'!J12</f>
        <v>340</v>
      </c>
      <c r="K83" s="85">
        <v>1</v>
      </c>
      <c r="L83" s="78"/>
      <c r="M83" s="78"/>
      <c r="N83" s="78"/>
      <c r="O83" s="78"/>
      <c r="P83" s="79"/>
      <c r="Q83" s="79" t="s">
        <v>1977</v>
      </c>
      <c r="R83" s="79"/>
      <c r="S83" s="4775"/>
      <c r="T83" s="5003"/>
      <c r="U83" s="4777" t="str">
        <f>'Приложение '!$C$12</f>
        <v>2024 г.</v>
      </c>
      <c r="V83" s="4777" t="str">
        <f>'Приложение '!$C$14</f>
        <v>2027 г.</v>
      </c>
      <c r="W83" s="4777" t="str">
        <f>'Приложение '!$C$15</f>
        <v>2028 г.</v>
      </c>
      <c r="X83" s="4777" t="str">
        <f>'Приложение '!$C$16</f>
        <v>2029 г.</v>
      </c>
      <c r="Y83" s="4777" t="str">
        <f>'Приложение '!$C$17</f>
        <v>2030 г.</v>
      </c>
      <c r="Z83" s="4777" t="str">
        <f>'Приложение '!$C$18</f>
        <v>2031 г.</v>
      </c>
    </row>
    <row r="84" spans="1:26" ht="26.25" thickBot="1">
      <c r="A84" s="5006" t="s">
        <v>873</v>
      </c>
      <c r="B84" s="1731" t="s">
        <v>48</v>
      </c>
      <c r="C84" s="1710" t="s">
        <v>829</v>
      </c>
      <c r="D84" s="497" t="s">
        <v>828</v>
      </c>
      <c r="E84" s="341">
        <v>18537607</v>
      </c>
      <c r="F84" s="290">
        <f>'16. Необходими приходи'!D11*1000</f>
        <v>22156466.639545456</v>
      </c>
      <c r="G84" s="290">
        <f>'16. Необходими приходи'!E11*1000</f>
        <v>23430092.384037476</v>
      </c>
      <c r="H84" s="290">
        <f>'16. Необходими приходи'!F11*1000</f>
        <v>25595091.866254341</v>
      </c>
      <c r="I84" s="290">
        <f>'16. Необходими приходи'!G11*1000</f>
        <v>27849572.313905198</v>
      </c>
      <c r="J84" s="291">
        <f>'16. Необходими приходи'!H11*1000</f>
        <v>30627520.442084119</v>
      </c>
      <c r="K84" s="83">
        <v>1</v>
      </c>
      <c r="L84" s="75"/>
      <c r="M84" s="75"/>
      <c r="N84" s="75"/>
      <c r="O84" s="75"/>
      <c r="P84" s="76"/>
      <c r="Q84" s="76" t="s">
        <v>1978</v>
      </c>
      <c r="R84" s="76"/>
      <c r="S84" s="4775"/>
      <c r="T84" s="4778" t="s">
        <v>1873</v>
      </c>
      <c r="U84" s="4780">
        <f>IFERROR(E84/$C$1,0)</f>
        <v>9478127.9559061881</v>
      </c>
      <c r="V84" s="4780">
        <f t="shared" ref="V84:V92" si="10">IFERROR(F84/$C$1,0)</f>
        <v>11328421.508794453</v>
      </c>
      <c r="W84" s="4780">
        <f t="shared" ref="W84:W92" si="11">IFERROR(G84/$C$1,0)</f>
        <v>11979616.011635713</v>
      </c>
      <c r="X84" s="4780">
        <f t="shared" ref="X84:X92" si="12">IFERROR(H84/$C$1,0)</f>
        <v>13086562.669687213</v>
      </c>
      <c r="Y84" s="4780">
        <f t="shared" ref="Y84:Y92" si="13">IFERROR(I84/$C$1,0)</f>
        <v>14239260.218886713</v>
      </c>
      <c r="Z84" s="4780">
        <f t="shared" ref="Z84:Z92" si="14">IFERROR(J84/$C$1,0)</f>
        <v>15659602.543208826</v>
      </c>
    </row>
    <row r="85" spans="1:26" ht="26.25" thickBot="1">
      <c r="A85" s="5008"/>
      <c r="B85" s="1719" t="s">
        <v>49</v>
      </c>
      <c r="C85" s="1711" t="s">
        <v>830</v>
      </c>
      <c r="D85" s="498" t="s">
        <v>828</v>
      </c>
      <c r="E85" s="345">
        <f>'12. Разходи'!C88*1000</f>
        <v>18552292.350438002</v>
      </c>
      <c r="F85" s="294">
        <f>'12. Разходи'!D88*1000</f>
        <v>22156466.639545456</v>
      </c>
      <c r="G85" s="294">
        <f>'12. Разходи'!E88*1000</f>
        <v>23430092.384037476</v>
      </c>
      <c r="H85" s="294">
        <f>'12. Разходи'!F88*1000</f>
        <v>25595091.866254341</v>
      </c>
      <c r="I85" s="294">
        <f>'12. Разходи'!G88*1000</f>
        <v>27849572.313905198</v>
      </c>
      <c r="J85" s="295">
        <f>'12. Разходи'!H88*1000</f>
        <v>30627520.442084119</v>
      </c>
      <c r="K85" s="84">
        <v>1</v>
      </c>
      <c r="L85" s="74"/>
      <c r="M85" s="74"/>
      <c r="N85" s="74"/>
      <c r="O85" s="74"/>
      <c r="P85" s="77"/>
      <c r="Q85" s="77" t="s">
        <v>1978</v>
      </c>
      <c r="R85" s="77"/>
      <c r="S85" s="4775"/>
      <c r="T85" s="4778" t="s">
        <v>1873</v>
      </c>
      <c r="U85" s="4780">
        <f t="shared" ref="U85:U91" si="15">IFERROR(E85/$C$1,0)</f>
        <v>9485636.4563576598</v>
      </c>
      <c r="V85" s="4780">
        <f t="shared" si="10"/>
        <v>11328421.508794453</v>
      </c>
      <c r="W85" s="4780">
        <f t="shared" si="11"/>
        <v>11979616.011635713</v>
      </c>
      <c r="X85" s="4780">
        <f t="shared" si="12"/>
        <v>13086562.669687213</v>
      </c>
      <c r="Y85" s="4780">
        <f t="shared" si="13"/>
        <v>14239260.218886713</v>
      </c>
      <c r="Z85" s="4780">
        <f t="shared" si="14"/>
        <v>15659602.543208826</v>
      </c>
    </row>
    <row r="86" spans="1:26" ht="26.25" thickBot="1">
      <c r="A86" s="5008"/>
      <c r="B86" s="1714" t="s">
        <v>51</v>
      </c>
      <c r="C86" s="1711" t="s">
        <v>831</v>
      </c>
      <c r="D86" s="498" t="s">
        <v>828</v>
      </c>
      <c r="E86" s="341">
        <v>2501324</v>
      </c>
      <c r="F86" s="294">
        <f>'16. Необходими приходи'!D17*1000</f>
        <v>4588613.8721515154</v>
      </c>
      <c r="G86" s="294">
        <f>'16. Необходими приходи'!E17*1000</f>
        <v>5103468.1943917274</v>
      </c>
      <c r="H86" s="294">
        <f>'16. Необходими приходи'!F17*1000</f>
        <v>5587357.5089769708</v>
      </c>
      <c r="I86" s="294">
        <f>'16. Необходими приходи'!G17*1000</f>
        <v>6209127.6658198936</v>
      </c>
      <c r="J86" s="295">
        <f>'16. Необходими приходи'!H17*1000</f>
        <v>6941531.9216574458</v>
      </c>
      <c r="K86" s="84">
        <v>1</v>
      </c>
      <c r="L86" s="74"/>
      <c r="M86" s="74"/>
      <c r="N86" s="74"/>
      <c r="O86" s="74"/>
      <c r="P86" s="77"/>
      <c r="Q86" s="77" t="s">
        <v>1978</v>
      </c>
      <c r="R86" s="77"/>
      <c r="S86" s="4775"/>
      <c r="T86" s="4778" t="s">
        <v>1873</v>
      </c>
      <c r="U86" s="4780">
        <f t="shared" si="15"/>
        <v>1278906.6534412501</v>
      </c>
      <c r="V86" s="4780">
        <f t="shared" si="10"/>
        <v>2346121.0187754128</v>
      </c>
      <c r="W86" s="4780">
        <f t="shared" si="11"/>
        <v>2609361.853735615</v>
      </c>
      <c r="X86" s="4780">
        <f t="shared" si="12"/>
        <v>2856770.5316806529</v>
      </c>
      <c r="Y86" s="4780">
        <f t="shared" si="13"/>
        <v>3174676.5648445385</v>
      </c>
      <c r="Z86" s="4780">
        <f t="shared" si="14"/>
        <v>3549148.9146078369</v>
      </c>
    </row>
    <row r="87" spans="1:26" ht="26.25" thickBot="1">
      <c r="A87" s="5008"/>
      <c r="B87" s="1719" t="s">
        <v>52</v>
      </c>
      <c r="C87" s="1711" t="s">
        <v>832</v>
      </c>
      <c r="D87" s="498" t="s">
        <v>828</v>
      </c>
      <c r="E87" s="345">
        <f>'12. Разходи'!K88*1000</f>
        <v>3856114.8398749996</v>
      </c>
      <c r="F87" s="294">
        <f>'12. Разходи'!L88*1000</f>
        <v>4588613.8721515154</v>
      </c>
      <c r="G87" s="294">
        <f>'12. Разходи'!M88*1000</f>
        <v>5103468.1943917274</v>
      </c>
      <c r="H87" s="294">
        <f>'12. Разходи'!N88*1000</f>
        <v>5587357.5089769708</v>
      </c>
      <c r="I87" s="294">
        <f>'12. Разходи'!O88*1000</f>
        <v>6209127.6658198936</v>
      </c>
      <c r="J87" s="295">
        <f>'12. Разходи'!P88*1000</f>
        <v>6941531.9216574458</v>
      </c>
      <c r="K87" s="84">
        <v>1</v>
      </c>
      <c r="L87" s="74"/>
      <c r="M87" s="74"/>
      <c r="N87" s="74"/>
      <c r="O87" s="74"/>
      <c r="P87" s="77"/>
      <c r="Q87" s="77" t="s">
        <v>1978</v>
      </c>
      <c r="R87" s="77"/>
      <c r="S87" s="4775"/>
      <c r="T87" s="4778" t="s">
        <v>1873</v>
      </c>
      <c r="U87" s="4780">
        <f t="shared" si="15"/>
        <v>1971600.2105883434</v>
      </c>
      <c r="V87" s="4780">
        <f t="shared" si="10"/>
        <v>2346121.0187754128</v>
      </c>
      <c r="W87" s="4780">
        <f t="shared" si="11"/>
        <v>2609361.853735615</v>
      </c>
      <c r="X87" s="4780">
        <f t="shared" si="12"/>
        <v>2856770.5316806529</v>
      </c>
      <c r="Y87" s="4780">
        <f t="shared" si="13"/>
        <v>3174676.5648445385</v>
      </c>
      <c r="Z87" s="4780">
        <f t="shared" si="14"/>
        <v>3549148.9146078369</v>
      </c>
    </row>
    <row r="88" spans="1:26" ht="26.25" thickBot="1">
      <c r="A88" s="5008"/>
      <c r="B88" s="1714" t="s">
        <v>54</v>
      </c>
      <c r="C88" s="1711" t="s">
        <v>833</v>
      </c>
      <c r="D88" s="498" t="s">
        <v>828</v>
      </c>
      <c r="E88" s="341">
        <v>3855373</v>
      </c>
      <c r="F88" s="294">
        <f>'16. Необходими приходи'!D25*1000</f>
        <v>4871800.5263030296</v>
      </c>
      <c r="G88" s="294">
        <f>'16. Необходими приходи'!E25*1000</f>
        <v>5214810.5035707979</v>
      </c>
      <c r="H88" s="294">
        <f>'16. Необходими приходи'!F25*1000</f>
        <v>5689379.9903686885</v>
      </c>
      <c r="I88" s="294">
        <f>'16. Необходими приходи'!G25*1000</f>
        <v>6242936.0358749088</v>
      </c>
      <c r="J88" s="295">
        <f>'16. Необходими приходи'!H25*1000</f>
        <v>6881731.8618584378</v>
      </c>
      <c r="K88" s="84">
        <v>1</v>
      </c>
      <c r="L88" s="74"/>
      <c r="M88" s="74"/>
      <c r="N88" s="74"/>
      <c r="O88" s="74"/>
      <c r="P88" s="77"/>
      <c r="Q88" s="77" t="s">
        <v>1978</v>
      </c>
      <c r="R88" s="77"/>
      <c r="S88" s="4775"/>
      <c r="T88" s="4778" t="s">
        <v>1873</v>
      </c>
      <c r="U88" s="4780">
        <f t="shared" si="15"/>
        <v>1971220.9138831084</v>
      </c>
      <c r="V88" s="4780">
        <f t="shared" si="10"/>
        <v>2490912.0559062036</v>
      </c>
      <c r="W88" s="4780">
        <f t="shared" si="11"/>
        <v>2666290.2724525128</v>
      </c>
      <c r="X88" s="4780">
        <f t="shared" si="12"/>
        <v>2908933.7981157303</v>
      </c>
      <c r="Y88" s="4780">
        <f t="shared" si="13"/>
        <v>3191962.5099701453</v>
      </c>
      <c r="Z88" s="4780">
        <f t="shared" si="14"/>
        <v>3518573.6295375559</v>
      </c>
    </row>
    <row r="89" spans="1:26" ht="26.25" thickBot="1">
      <c r="A89" s="5008"/>
      <c r="B89" s="1719" t="s">
        <v>55</v>
      </c>
      <c r="C89" s="1711" t="s">
        <v>834</v>
      </c>
      <c r="D89" s="498" t="s">
        <v>828</v>
      </c>
      <c r="E89" s="345">
        <f>'12. Разходи'!S88*1000</f>
        <v>3861575.9230499999</v>
      </c>
      <c r="F89" s="294">
        <f>'12. Разходи'!T88*1000</f>
        <v>4871800.5263030296</v>
      </c>
      <c r="G89" s="294">
        <f>'12. Разходи'!U88*1000</f>
        <v>5214810.5035707979</v>
      </c>
      <c r="H89" s="294">
        <f>'12. Разходи'!V88*1000</f>
        <v>5689379.9903686885</v>
      </c>
      <c r="I89" s="294">
        <f>'12. Разходи'!W88*1000</f>
        <v>6242936.0358749088</v>
      </c>
      <c r="J89" s="295">
        <f>'12. Разходи'!X88*1000</f>
        <v>6881731.8618584378</v>
      </c>
      <c r="K89" s="84">
        <v>1</v>
      </c>
      <c r="L89" s="74"/>
      <c r="M89" s="74"/>
      <c r="N89" s="74"/>
      <c r="O89" s="74"/>
      <c r="P89" s="77"/>
      <c r="Q89" s="77" t="s">
        <v>1978</v>
      </c>
      <c r="R89" s="77"/>
      <c r="S89" s="4775"/>
      <c r="T89" s="4778" t="s">
        <v>1873</v>
      </c>
      <c r="U89" s="4780">
        <f t="shared" si="15"/>
        <v>1974392.4180782584</v>
      </c>
      <c r="V89" s="4780">
        <f t="shared" si="10"/>
        <v>2490912.0559062036</v>
      </c>
      <c r="W89" s="4780">
        <f t="shared" si="11"/>
        <v>2666290.2724525128</v>
      </c>
      <c r="X89" s="4780">
        <f t="shared" si="12"/>
        <v>2908933.7981157303</v>
      </c>
      <c r="Y89" s="4780">
        <f t="shared" si="13"/>
        <v>3191962.5099701453</v>
      </c>
      <c r="Z89" s="4780">
        <f t="shared" si="14"/>
        <v>3518573.6295375559</v>
      </c>
    </row>
    <row r="90" spans="1:26" ht="39" thickBot="1">
      <c r="A90" s="5008"/>
      <c r="B90" s="1719" t="s">
        <v>56</v>
      </c>
      <c r="C90" s="1747" t="s">
        <v>840</v>
      </c>
      <c r="D90" s="498" t="s">
        <v>838</v>
      </c>
      <c r="E90" s="938">
        <f>(('14. ОПР'!B10*1.2)+'14. ОПР'!B11)*1000</f>
        <v>31859000</v>
      </c>
      <c r="F90" s="1706">
        <f>(('14. ОПР'!C10*1.2)+'14. ОПР'!C11)*1000</f>
        <v>38135257.2456</v>
      </c>
      <c r="G90" s="1707">
        <f>(('14. ОПР'!D10*1.2)+'14. ОПР'!D11)*1000</f>
        <v>40693045.298399992</v>
      </c>
      <c r="H90" s="1707">
        <f>(('14. ОПР'!E10*1.2)+'14. ОПР'!E11)*1000</f>
        <v>44436195.23872</v>
      </c>
      <c r="I90" s="1707">
        <f>(('14. ОПР'!F10*1.2)+'14. ОПР'!F11)*1000</f>
        <v>48551963.218719997</v>
      </c>
      <c r="J90" s="1708">
        <f>(('14. ОПР'!G10*1.2)+'14. ОПР'!G11)*1000</f>
        <v>53530941.070720002</v>
      </c>
      <c r="K90" s="84">
        <v>1</v>
      </c>
      <c r="L90" s="74"/>
      <c r="M90" s="74"/>
      <c r="N90" s="74"/>
      <c r="O90" s="74"/>
      <c r="P90" s="77"/>
      <c r="Q90" s="77" t="s">
        <v>1978</v>
      </c>
      <c r="R90" s="77"/>
      <c r="S90" s="4775"/>
      <c r="T90" s="4779" t="s">
        <v>1874</v>
      </c>
      <c r="U90" s="4780">
        <f t="shared" si="15"/>
        <v>16289248.043030325</v>
      </c>
      <c r="V90" s="4780">
        <f t="shared" si="10"/>
        <v>19498247.417004544</v>
      </c>
      <c r="W90" s="4780">
        <f t="shared" si="11"/>
        <v>20806023.682221867</v>
      </c>
      <c r="X90" s="4780">
        <f t="shared" si="12"/>
        <v>22719865.856807597</v>
      </c>
      <c r="Y90" s="4780">
        <f t="shared" si="13"/>
        <v>24824224.609868955</v>
      </c>
      <c r="Z90" s="4780">
        <f t="shared" si="14"/>
        <v>27369935.562252346</v>
      </c>
    </row>
    <row r="91" spans="1:26" ht="39" thickBot="1">
      <c r="A91" s="5008"/>
      <c r="B91" s="1719" t="s">
        <v>57</v>
      </c>
      <c r="C91" s="1705" t="s">
        <v>841</v>
      </c>
      <c r="D91" s="498" t="s">
        <v>838</v>
      </c>
      <c r="E91" s="341">
        <v>1857000</v>
      </c>
      <c r="F91" s="194"/>
      <c r="G91" s="194"/>
      <c r="H91" s="194"/>
      <c r="I91" s="194"/>
      <c r="J91" s="194"/>
      <c r="K91" s="84">
        <v>1</v>
      </c>
      <c r="L91" s="74"/>
      <c r="M91" s="74"/>
      <c r="N91" s="74"/>
      <c r="O91" s="74"/>
      <c r="P91" s="77"/>
      <c r="Q91" s="77" t="s">
        <v>1978</v>
      </c>
      <c r="R91" s="77"/>
      <c r="S91" s="4775"/>
      <c r="T91" s="4779" t="s">
        <v>1874</v>
      </c>
      <c r="U91" s="4780">
        <f t="shared" si="15"/>
        <v>949469.0233813778</v>
      </c>
      <c r="V91" s="4780">
        <f t="shared" si="10"/>
        <v>0</v>
      </c>
      <c r="W91" s="4780">
        <f t="shared" si="11"/>
        <v>0</v>
      </c>
      <c r="X91" s="4780">
        <f t="shared" si="12"/>
        <v>0</v>
      </c>
      <c r="Y91" s="4780">
        <f t="shared" si="13"/>
        <v>0</v>
      </c>
      <c r="Z91" s="4780">
        <f t="shared" si="14"/>
        <v>0</v>
      </c>
    </row>
    <row r="92" spans="1:26" ht="39" thickBot="1">
      <c r="A92" s="5007"/>
      <c r="B92" s="1715" t="s">
        <v>58</v>
      </c>
      <c r="C92" s="1709" t="s">
        <v>842</v>
      </c>
      <c r="D92" s="499" t="s">
        <v>838</v>
      </c>
      <c r="E92" s="343">
        <v>1665000</v>
      </c>
      <c r="F92" s="201"/>
      <c r="G92" s="201"/>
      <c r="H92" s="201"/>
      <c r="I92" s="201"/>
      <c r="J92" s="201"/>
      <c r="K92" s="85">
        <v>1</v>
      </c>
      <c r="L92" s="78"/>
      <c r="M92" s="78"/>
      <c r="N92" s="78"/>
      <c r="O92" s="78"/>
      <c r="P92" s="79"/>
      <c r="Q92" s="79" t="s">
        <v>1978</v>
      </c>
      <c r="R92" s="79"/>
      <c r="S92" s="4775"/>
      <c r="T92" s="4779" t="s">
        <v>1874</v>
      </c>
      <c r="U92" s="4780">
        <f>IFERROR(E92/$C$1,0)</f>
        <v>851300.98219170375</v>
      </c>
      <c r="V92" s="4780">
        <f t="shared" si="10"/>
        <v>0</v>
      </c>
      <c r="W92" s="4780">
        <f t="shared" si="11"/>
        <v>0</v>
      </c>
      <c r="X92" s="4780">
        <f t="shared" si="12"/>
        <v>0</v>
      </c>
      <c r="Y92" s="4780">
        <f t="shared" si="13"/>
        <v>0</v>
      </c>
      <c r="Z92" s="4780">
        <f t="shared" si="14"/>
        <v>0</v>
      </c>
    </row>
    <row r="93" spans="1:26" ht="25.5">
      <c r="A93" s="5006" t="s">
        <v>875</v>
      </c>
      <c r="B93" s="1748" t="s">
        <v>59</v>
      </c>
      <c r="C93" s="1749" t="s">
        <v>897</v>
      </c>
      <c r="D93" s="497" t="s">
        <v>784</v>
      </c>
      <c r="E93" s="3967">
        <f>SUM(E94:E96)</f>
        <v>135</v>
      </c>
      <c r="F93" s="3968">
        <f t="shared" ref="F93:J93" si="16">SUM(F94:F96)</f>
        <v>135</v>
      </c>
      <c r="G93" s="3968">
        <f t="shared" si="16"/>
        <v>135</v>
      </c>
      <c r="H93" s="3968">
        <f t="shared" si="16"/>
        <v>135</v>
      </c>
      <c r="I93" s="3968">
        <f t="shared" si="16"/>
        <v>134</v>
      </c>
      <c r="J93" s="3969">
        <f t="shared" si="16"/>
        <v>133</v>
      </c>
      <c r="K93" s="83">
        <v>1</v>
      </c>
      <c r="L93" s="75"/>
      <c r="M93" s="75"/>
      <c r="N93" s="75"/>
      <c r="O93" s="75"/>
      <c r="P93" s="76"/>
      <c r="Q93" s="76" t="s">
        <v>1979</v>
      </c>
      <c r="R93" s="76"/>
      <c r="S93" s="4775"/>
    </row>
    <row r="94" spans="1:26" ht="25.5">
      <c r="A94" s="5008"/>
      <c r="B94" s="1719" t="s">
        <v>60</v>
      </c>
      <c r="C94" s="1705" t="s">
        <v>896</v>
      </c>
      <c r="D94" s="498" t="s">
        <v>784</v>
      </c>
      <c r="E94" s="341">
        <v>63</v>
      </c>
      <c r="F94" s="192">
        <v>63</v>
      </c>
      <c r="G94" s="192">
        <v>63</v>
      </c>
      <c r="H94" s="192">
        <v>63</v>
      </c>
      <c r="I94" s="192">
        <v>63</v>
      </c>
      <c r="J94" s="193">
        <v>63</v>
      </c>
      <c r="K94" s="84">
        <v>1</v>
      </c>
      <c r="L94" s="74"/>
      <c r="M94" s="74"/>
      <c r="N94" s="74"/>
      <c r="O94" s="74"/>
      <c r="P94" s="77"/>
      <c r="Q94" s="77" t="s">
        <v>1979</v>
      </c>
      <c r="R94" s="77"/>
      <c r="S94" s="4775"/>
    </row>
    <row r="95" spans="1:26" ht="25.5">
      <c r="A95" s="5008"/>
      <c r="B95" s="1719" t="s">
        <v>61</v>
      </c>
      <c r="C95" s="1705" t="s">
        <v>895</v>
      </c>
      <c r="D95" s="498" t="s">
        <v>784</v>
      </c>
      <c r="E95" s="341">
        <v>12</v>
      </c>
      <c r="F95" s="192">
        <v>12</v>
      </c>
      <c r="G95" s="192">
        <v>12</v>
      </c>
      <c r="H95" s="192">
        <v>12</v>
      </c>
      <c r="I95" s="192">
        <v>11</v>
      </c>
      <c r="J95" s="193">
        <v>10</v>
      </c>
      <c r="K95" s="84">
        <v>1</v>
      </c>
      <c r="L95" s="74"/>
      <c r="M95" s="74"/>
      <c r="N95" s="74"/>
      <c r="O95" s="74"/>
      <c r="P95" s="77"/>
      <c r="Q95" s="77" t="s">
        <v>1979</v>
      </c>
      <c r="R95" s="77"/>
      <c r="S95" s="4775"/>
    </row>
    <row r="96" spans="1:26" ht="39" thickBot="1">
      <c r="A96" s="5007"/>
      <c r="B96" s="1732" t="s">
        <v>62</v>
      </c>
      <c r="C96" s="1709" t="s">
        <v>894</v>
      </c>
      <c r="D96" s="499" t="s">
        <v>784</v>
      </c>
      <c r="E96" s="343">
        <v>60</v>
      </c>
      <c r="F96" s="195">
        <v>60</v>
      </c>
      <c r="G96" s="195">
        <v>60</v>
      </c>
      <c r="H96" s="195">
        <v>60</v>
      </c>
      <c r="I96" s="195">
        <v>60</v>
      </c>
      <c r="J96" s="196">
        <v>60</v>
      </c>
      <c r="K96" s="85">
        <v>1</v>
      </c>
      <c r="L96" s="78"/>
      <c r="M96" s="78"/>
      <c r="N96" s="78"/>
      <c r="O96" s="78"/>
      <c r="P96" s="79"/>
      <c r="Q96" s="79" t="s">
        <v>1979</v>
      </c>
      <c r="R96" s="79"/>
      <c r="S96" s="4775"/>
    </row>
    <row r="97" spans="1:19" ht="25.5">
      <c r="A97" s="5006" t="s">
        <v>874</v>
      </c>
      <c r="B97" s="1748" t="s">
        <v>63</v>
      </c>
      <c r="C97" s="1749" t="s">
        <v>993</v>
      </c>
      <c r="D97" s="497" t="s">
        <v>784</v>
      </c>
      <c r="E97" s="3967">
        <f t="shared" ref="E97:J97" si="17">E98+E103+E108</f>
        <v>138</v>
      </c>
      <c r="F97" s="3968">
        <f t="shared" si="17"/>
        <v>137</v>
      </c>
      <c r="G97" s="3968">
        <f t="shared" si="17"/>
        <v>136</v>
      </c>
      <c r="H97" s="3968">
        <f t="shared" si="17"/>
        <v>135</v>
      </c>
      <c r="I97" s="3968">
        <f t="shared" si="17"/>
        <v>134</v>
      </c>
      <c r="J97" s="3969">
        <f t="shared" si="17"/>
        <v>133</v>
      </c>
      <c r="K97" s="83">
        <v>1</v>
      </c>
      <c r="L97" s="75"/>
      <c r="M97" s="75"/>
      <c r="N97" s="75"/>
      <c r="O97" s="75"/>
      <c r="P97" s="76"/>
      <c r="Q97" s="76" t="s">
        <v>1979</v>
      </c>
      <c r="R97" s="76"/>
      <c r="S97" s="4775"/>
    </row>
    <row r="98" spans="1:19" ht="25.5">
      <c r="A98" s="5008"/>
      <c r="B98" s="1750" t="s">
        <v>64</v>
      </c>
      <c r="C98" s="1751" t="s">
        <v>892</v>
      </c>
      <c r="D98" s="498" t="s">
        <v>784</v>
      </c>
      <c r="E98" s="3970">
        <f>SUM(E99:E102)</f>
        <v>64</v>
      </c>
      <c r="F98" s="3971">
        <f t="shared" ref="F98:J98" si="18">SUM(F99:F102)</f>
        <v>64</v>
      </c>
      <c r="G98" s="3971">
        <f t="shared" si="18"/>
        <v>64</v>
      </c>
      <c r="H98" s="3971">
        <f t="shared" si="18"/>
        <v>64</v>
      </c>
      <c r="I98" s="3971">
        <f t="shared" si="18"/>
        <v>64</v>
      </c>
      <c r="J98" s="3972">
        <f t="shared" si="18"/>
        <v>64</v>
      </c>
      <c r="K98" s="84">
        <v>1</v>
      </c>
      <c r="L98" s="74"/>
      <c r="M98" s="74"/>
      <c r="N98" s="74"/>
      <c r="O98" s="74"/>
      <c r="P98" s="77"/>
      <c r="Q98" s="77" t="s">
        <v>1979</v>
      </c>
      <c r="R98" s="77"/>
      <c r="S98" s="4775"/>
    </row>
    <row r="99" spans="1:19" ht="25.5">
      <c r="A99" s="5008"/>
      <c r="B99" s="1714" t="s">
        <v>31</v>
      </c>
      <c r="C99" s="1752" t="s">
        <v>893</v>
      </c>
      <c r="D99" s="498" t="s">
        <v>784</v>
      </c>
      <c r="E99" s="341">
        <v>7</v>
      </c>
      <c r="F99" s="192">
        <v>7</v>
      </c>
      <c r="G99" s="192">
        <v>7</v>
      </c>
      <c r="H99" s="192">
        <v>7</v>
      </c>
      <c r="I99" s="192">
        <v>7</v>
      </c>
      <c r="J99" s="193">
        <v>7</v>
      </c>
      <c r="K99" s="84">
        <v>1</v>
      </c>
      <c r="L99" s="74"/>
      <c r="M99" s="74"/>
      <c r="N99" s="74"/>
      <c r="O99" s="74"/>
      <c r="P99" s="77"/>
      <c r="Q99" s="77" t="s">
        <v>1979</v>
      </c>
      <c r="R99" s="77"/>
      <c r="S99" s="4775"/>
    </row>
    <row r="100" spans="1:19">
      <c r="A100" s="5008"/>
      <c r="B100" s="1719" t="s">
        <v>65</v>
      </c>
      <c r="C100" s="1705" t="s">
        <v>891</v>
      </c>
      <c r="D100" s="498" t="s">
        <v>784</v>
      </c>
      <c r="E100" s="341">
        <v>3</v>
      </c>
      <c r="F100" s="192">
        <v>3</v>
      </c>
      <c r="G100" s="192">
        <v>3</v>
      </c>
      <c r="H100" s="192">
        <v>3</v>
      </c>
      <c r="I100" s="192">
        <v>3</v>
      </c>
      <c r="J100" s="193">
        <v>3</v>
      </c>
      <c r="K100" s="84">
        <v>1</v>
      </c>
      <c r="L100" s="74"/>
      <c r="M100" s="74"/>
      <c r="N100" s="74"/>
      <c r="O100" s="74"/>
      <c r="P100" s="77"/>
      <c r="Q100" s="77" t="s">
        <v>1979</v>
      </c>
      <c r="R100" s="77"/>
      <c r="S100" s="4775"/>
    </row>
    <row r="101" spans="1:19">
      <c r="A101" s="5008"/>
      <c r="B101" s="1719" t="s">
        <v>66</v>
      </c>
      <c r="C101" s="1705" t="s">
        <v>994</v>
      </c>
      <c r="D101" s="498" t="s">
        <v>784</v>
      </c>
      <c r="E101" s="341">
        <v>25</v>
      </c>
      <c r="F101" s="192">
        <v>25</v>
      </c>
      <c r="G101" s="192">
        <v>25</v>
      </c>
      <c r="H101" s="192">
        <v>25</v>
      </c>
      <c r="I101" s="192">
        <v>25</v>
      </c>
      <c r="J101" s="193">
        <v>25</v>
      </c>
      <c r="K101" s="84">
        <v>1</v>
      </c>
      <c r="L101" s="74"/>
      <c r="M101" s="74"/>
      <c r="N101" s="74"/>
      <c r="O101" s="74"/>
      <c r="P101" s="77"/>
      <c r="Q101" s="77" t="s">
        <v>1979</v>
      </c>
      <c r="R101" s="77"/>
      <c r="S101" s="4775"/>
    </row>
    <row r="102" spans="1:19" ht="25.5">
      <c r="A102" s="5008"/>
      <c r="B102" s="1719" t="s">
        <v>67</v>
      </c>
      <c r="C102" s="1705" t="s">
        <v>890</v>
      </c>
      <c r="D102" s="498" t="s">
        <v>784</v>
      </c>
      <c r="E102" s="341">
        <v>29</v>
      </c>
      <c r="F102" s="192">
        <v>29</v>
      </c>
      <c r="G102" s="192">
        <v>29</v>
      </c>
      <c r="H102" s="192">
        <v>29</v>
      </c>
      <c r="I102" s="192">
        <v>29</v>
      </c>
      <c r="J102" s="193">
        <v>29</v>
      </c>
      <c r="K102" s="84">
        <v>1</v>
      </c>
      <c r="L102" s="74"/>
      <c r="M102" s="74"/>
      <c r="N102" s="74"/>
      <c r="O102" s="74"/>
      <c r="P102" s="77"/>
      <c r="Q102" s="77" t="s">
        <v>1979</v>
      </c>
      <c r="R102" s="77"/>
      <c r="S102" s="4775"/>
    </row>
    <row r="103" spans="1:19" ht="38.25">
      <c r="A103" s="5008"/>
      <c r="B103" s="1750" t="s">
        <v>68</v>
      </c>
      <c r="C103" s="1751" t="s">
        <v>889</v>
      </c>
      <c r="D103" s="498" t="s">
        <v>784</v>
      </c>
      <c r="E103" s="3970">
        <f>SUM(E104:E107)</f>
        <v>12</v>
      </c>
      <c r="F103" s="3971">
        <f t="shared" ref="F103:J103" si="19">SUM(F104:F107)</f>
        <v>11</v>
      </c>
      <c r="G103" s="3971">
        <f t="shared" si="19"/>
        <v>10</v>
      </c>
      <c r="H103" s="3971">
        <f t="shared" si="19"/>
        <v>9</v>
      </c>
      <c r="I103" s="3971">
        <f t="shared" si="19"/>
        <v>8</v>
      </c>
      <c r="J103" s="3972">
        <f t="shared" si="19"/>
        <v>7</v>
      </c>
      <c r="K103" s="84">
        <v>1</v>
      </c>
      <c r="L103" s="74"/>
      <c r="M103" s="74"/>
      <c r="N103" s="74"/>
      <c r="O103" s="74"/>
      <c r="P103" s="77"/>
      <c r="Q103" s="77" t="s">
        <v>1979</v>
      </c>
      <c r="R103" s="77"/>
      <c r="S103" s="4775"/>
    </row>
    <row r="104" spans="1:19" ht="25.5">
      <c r="A104" s="5008"/>
      <c r="B104" s="1719" t="s">
        <v>69</v>
      </c>
      <c r="C104" s="1705" t="s">
        <v>888</v>
      </c>
      <c r="D104" s="498" t="s">
        <v>784</v>
      </c>
      <c r="E104" s="341">
        <v>1</v>
      </c>
      <c r="F104" s="192">
        <v>1</v>
      </c>
      <c r="G104" s="192">
        <v>1</v>
      </c>
      <c r="H104" s="192">
        <v>1</v>
      </c>
      <c r="I104" s="192">
        <v>1</v>
      </c>
      <c r="J104" s="193">
        <v>1</v>
      </c>
      <c r="K104" s="84">
        <v>1</v>
      </c>
      <c r="L104" s="74"/>
      <c r="M104" s="74"/>
      <c r="N104" s="74"/>
      <c r="O104" s="74"/>
      <c r="P104" s="77"/>
      <c r="Q104" s="77" t="s">
        <v>1979</v>
      </c>
      <c r="R104" s="77"/>
      <c r="S104" s="4775"/>
    </row>
    <row r="105" spans="1:19">
      <c r="A105" s="5008"/>
      <c r="B105" s="1719" t="s">
        <v>70</v>
      </c>
      <c r="C105" s="1705" t="s">
        <v>887</v>
      </c>
      <c r="D105" s="498" t="s">
        <v>784</v>
      </c>
      <c r="E105" s="341">
        <v>11</v>
      </c>
      <c r="F105" s="192">
        <v>10</v>
      </c>
      <c r="G105" s="192">
        <v>9</v>
      </c>
      <c r="H105" s="192">
        <v>8</v>
      </c>
      <c r="I105" s="192">
        <v>7</v>
      </c>
      <c r="J105" s="193">
        <v>6</v>
      </c>
      <c r="K105" s="84">
        <v>1</v>
      </c>
      <c r="L105" s="74"/>
      <c r="M105" s="74"/>
      <c r="N105" s="74"/>
      <c r="O105" s="74"/>
      <c r="P105" s="77"/>
      <c r="Q105" s="77" t="s">
        <v>1979</v>
      </c>
      <c r="R105" s="77"/>
      <c r="S105" s="4775"/>
    </row>
    <row r="106" spans="1:19">
      <c r="A106" s="5008"/>
      <c r="B106" s="1719" t="s">
        <v>71</v>
      </c>
      <c r="C106" s="1705" t="s">
        <v>886</v>
      </c>
      <c r="D106" s="498" t="s">
        <v>784</v>
      </c>
      <c r="E106" s="341"/>
      <c r="F106" s="192"/>
      <c r="G106" s="192"/>
      <c r="H106" s="192"/>
      <c r="I106" s="192"/>
      <c r="J106" s="193"/>
      <c r="K106" s="84">
        <v>1</v>
      </c>
      <c r="L106" s="74"/>
      <c r="M106" s="74"/>
      <c r="N106" s="74"/>
      <c r="O106" s="74"/>
      <c r="P106" s="77"/>
      <c r="Q106" s="77" t="s">
        <v>1979</v>
      </c>
      <c r="R106" s="77"/>
      <c r="S106" s="4775"/>
    </row>
    <row r="107" spans="1:19" ht="25.5">
      <c r="A107" s="5008"/>
      <c r="B107" s="1719" t="s">
        <v>72</v>
      </c>
      <c r="C107" s="1705" t="s">
        <v>885</v>
      </c>
      <c r="D107" s="498" t="s">
        <v>784</v>
      </c>
      <c r="E107" s="341"/>
      <c r="F107" s="192"/>
      <c r="G107" s="192"/>
      <c r="H107" s="192"/>
      <c r="I107" s="192"/>
      <c r="J107" s="193"/>
      <c r="K107" s="84">
        <v>1</v>
      </c>
      <c r="L107" s="74"/>
      <c r="M107" s="74"/>
      <c r="N107" s="74"/>
      <c r="O107" s="74"/>
      <c r="P107" s="77"/>
      <c r="Q107" s="77" t="s">
        <v>1979</v>
      </c>
      <c r="R107" s="77"/>
      <c r="S107" s="4775"/>
    </row>
    <row r="108" spans="1:19" ht="51.75" thickBot="1">
      <c r="A108" s="5007"/>
      <c r="B108" s="1753" t="s">
        <v>73</v>
      </c>
      <c r="C108" s="1754" t="s">
        <v>884</v>
      </c>
      <c r="D108" s="499" t="s">
        <v>784</v>
      </c>
      <c r="E108" s="343">
        <v>62</v>
      </c>
      <c r="F108" s="195">
        <v>62</v>
      </c>
      <c r="G108" s="195">
        <v>62</v>
      </c>
      <c r="H108" s="195">
        <v>62</v>
      </c>
      <c r="I108" s="195">
        <v>62</v>
      </c>
      <c r="J108" s="196">
        <v>62</v>
      </c>
      <c r="K108" s="85">
        <v>1</v>
      </c>
      <c r="L108" s="78"/>
      <c r="M108" s="78"/>
      <c r="N108" s="78"/>
      <c r="O108" s="78"/>
      <c r="P108" s="79"/>
      <c r="Q108" s="79" t="s">
        <v>1979</v>
      </c>
      <c r="R108" s="79"/>
      <c r="S108" s="4775"/>
    </row>
    <row r="109" spans="1:19" ht="51">
      <c r="A109" s="5006" t="s">
        <v>876</v>
      </c>
      <c r="B109" s="3597" t="s">
        <v>74</v>
      </c>
      <c r="C109" s="1703" t="s">
        <v>881</v>
      </c>
      <c r="D109" s="497" t="s">
        <v>784</v>
      </c>
      <c r="E109" s="342">
        <v>282</v>
      </c>
      <c r="F109" s="190">
        <v>200</v>
      </c>
      <c r="G109" s="190">
        <v>200</v>
      </c>
      <c r="H109" s="190">
        <v>200</v>
      </c>
      <c r="I109" s="190">
        <v>200</v>
      </c>
      <c r="J109" s="191">
        <v>200</v>
      </c>
      <c r="K109" s="83">
        <v>1</v>
      </c>
      <c r="L109" s="75"/>
      <c r="M109" s="75"/>
      <c r="N109" s="75"/>
      <c r="O109" s="75"/>
      <c r="P109" s="76"/>
      <c r="Q109" s="76" t="s">
        <v>1980</v>
      </c>
      <c r="R109" s="76"/>
      <c r="S109" s="4775"/>
    </row>
    <row r="110" spans="1:19" ht="51">
      <c r="A110" s="5008"/>
      <c r="B110" s="3598" t="s">
        <v>75</v>
      </c>
      <c r="C110" s="1705" t="s">
        <v>882</v>
      </c>
      <c r="D110" s="498" t="s">
        <v>784</v>
      </c>
      <c r="E110" s="341">
        <v>282</v>
      </c>
      <c r="F110" s="192">
        <v>200</v>
      </c>
      <c r="G110" s="192">
        <v>200</v>
      </c>
      <c r="H110" s="192">
        <v>200</v>
      </c>
      <c r="I110" s="192">
        <v>200</v>
      </c>
      <c r="J110" s="193">
        <v>200</v>
      </c>
      <c r="K110" s="84">
        <v>1</v>
      </c>
      <c r="L110" s="74"/>
      <c r="M110" s="74"/>
      <c r="N110" s="74"/>
      <c r="O110" s="74"/>
      <c r="P110" s="77"/>
      <c r="Q110" s="77" t="s">
        <v>1980</v>
      </c>
      <c r="R110" s="77"/>
      <c r="S110" s="4775"/>
    </row>
    <row r="111" spans="1:19" ht="51">
      <c r="A111" s="5008"/>
      <c r="B111" s="3598" t="s">
        <v>76</v>
      </c>
      <c r="C111" s="1705" t="s">
        <v>883</v>
      </c>
      <c r="D111" s="498" t="s">
        <v>784</v>
      </c>
      <c r="E111" s="341">
        <v>133</v>
      </c>
      <c r="F111" s="192">
        <v>130</v>
      </c>
      <c r="G111" s="192">
        <v>130</v>
      </c>
      <c r="H111" s="192">
        <v>130</v>
      </c>
      <c r="I111" s="192">
        <v>130</v>
      </c>
      <c r="J111" s="193">
        <v>130</v>
      </c>
      <c r="K111" s="84">
        <v>1</v>
      </c>
      <c r="L111" s="74"/>
      <c r="M111" s="74"/>
      <c r="N111" s="74"/>
      <c r="O111" s="74"/>
      <c r="P111" s="77"/>
      <c r="Q111" s="77" t="s">
        <v>1980</v>
      </c>
      <c r="R111" s="77"/>
      <c r="S111" s="4775"/>
    </row>
    <row r="112" spans="1:19" ht="51.75" thickBot="1">
      <c r="A112" s="5007"/>
      <c r="B112" s="3599" t="s">
        <v>77</v>
      </c>
      <c r="C112" s="1709" t="s">
        <v>880</v>
      </c>
      <c r="D112" s="499" t="s">
        <v>784</v>
      </c>
      <c r="E112" s="343">
        <v>133</v>
      </c>
      <c r="F112" s="195">
        <v>130</v>
      </c>
      <c r="G112" s="195">
        <v>130</v>
      </c>
      <c r="H112" s="195">
        <v>130</v>
      </c>
      <c r="I112" s="195">
        <v>130</v>
      </c>
      <c r="J112" s="196">
        <v>130</v>
      </c>
      <c r="K112" s="85">
        <v>1</v>
      </c>
      <c r="L112" s="78"/>
      <c r="M112" s="78"/>
      <c r="N112" s="78"/>
      <c r="O112" s="78"/>
      <c r="P112" s="79"/>
      <c r="Q112" s="79" t="s">
        <v>1980</v>
      </c>
      <c r="R112" s="79"/>
      <c r="S112" s="4775"/>
    </row>
    <row r="113" spans="1:19" ht="25.5">
      <c r="A113" s="5006" t="s">
        <v>877</v>
      </c>
      <c r="B113" s="3597" t="s">
        <v>78</v>
      </c>
      <c r="C113" s="1703" t="s">
        <v>878</v>
      </c>
      <c r="D113" s="497" t="s">
        <v>784</v>
      </c>
      <c r="E113" s="350">
        <f>'5. Персонал'!C14+'5. Персонал'!U14+'5. Персонал'!AA14</f>
        <v>331</v>
      </c>
      <c r="F113" s="296">
        <f>'5. Персонал'!D14+'5. Персонал'!V14+'5. Персонал'!AB14</f>
        <v>329</v>
      </c>
      <c r="G113" s="296">
        <f>'5. Персонал'!E14+'5. Персонал'!W14+'5. Персонал'!AC14</f>
        <v>321</v>
      </c>
      <c r="H113" s="296">
        <f>'5. Персонал'!F14+'5. Персонал'!X14+'5. Персонал'!AD14</f>
        <v>316</v>
      </c>
      <c r="I113" s="296">
        <f>'5. Персонал'!G14+'5. Персонал'!Y14+'5. Персонал'!AE14</f>
        <v>309</v>
      </c>
      <c r="J113" s="297">
        <f>'5. Персонал'!H14+'5. Персонал'!Z14+'5. Персонал'!AF14</f>
        <v>302</v>
      </c>
      <c r="K113" s="83">
        <v>1</v>
      </c>
      <c r="L113" s="75"/>
      <c r="M113" s="75"/>
      <c r="N113" s="75"/>
      <c r="O113" s="75"/>
      <c r="P113" s="76"/>
      <c r="Q113" s="76" t="s">
        <v>1981</v>
      </c>
      <c r="R113" s="76"/>
      <c r="S113" s="4775"/>
    </row>
    <row r="114" spans="1:19" ht="26.25" thickBot="1">
      <c r="A114" s="5007"/>
      <c r="B114" s="3599" t="s">
        <v>80</v>
      </c>
      <c r="C114" s="1709" t="s">
        <v>879</v>
      </c>
      <c r="D114" s="499" t="s">
        <v>784</v>
      </c>
      <c r="E114" s="352">
        <f>'5. Персонал'!I14+'5. Персонал'!O14</f>
        <v>165</v>
      </c>
      <c r="F114" s="292">
        <f>'5. Персонал'!J14+'5. Персонал'!P14</f>
        <v>153</v>
      </c>
      <c r="G114" s="292">
        <f>'5. Персонал'!K14+'5. Персонал'!Q14</f>
        <v>152</v>
      </c>
      <c r="H114" s="292">
        <f>'5. Персонал'!L14+'5. Персонал'!R14</f>
        <v>151</v>
      </c>
      <c r="I114" s="292">
        <f>'5. Персонал'!M14+'5. Персонал'!S14</f>
        <v>149</v>
      </c>
      <c r="J114" s="293">
        <f>'5. Персонал'!N14+'5. Персонал'!T14</f>
        <v>148</v>
      </c>
      <c r="K114" s="85">
        <v>1</v>
      </c>
      <c r="L114" s="78"/>
      <c r="M114" s="78"/>
      <c r="N114" s="78"/>
      <c r="O114" s="78"/>
      <c r="P114" s="79"/>
      <c r="Q114" s="79" t="s">
        <v>1981</v>
      </c>
      <c r="R114" s="79"/>
      <c r="S114" s="4775"/>
    </row>
    <row r="115" spans="1:19" s="3973" customFormat="1" ht="18.75" customHeight="1" thickBot="1">
      <c r="A115" s="5012" t="s">
        <v>1107</v>
      </c>
      <c r="B115" s="5013"/>
      <c r="C115" s="5013"/>
      <c r="D115" s="5013"/>
      <c r="E115" s="5013"/>
      <c r="F115" s="5013"/>
      <c r="G115" s="5013"/>
      <c r="H115" s="5013"/>
      <c r="I115" s="5013"/>
      <c r="J115" s="5013"/>
      <c r="K115" s="5013"/>
      <c r="L115" s="5013"/>
      <c r="M115" s="5013"/>
      <c r="N115" s="5013"/>
      <c r="O115" s="5013"/>
      <c r="P115" s="5013"/>
      <c r="Q115" s="5013"/>
      <c r="R115" s="5014"/>
      <c r="S115" s="4776"/>
    </row>
    <row r="116" spans="1:19" s="3973" customFormat="1" ht="26.25" thickBot="1">
      <c r="A116" s="1755" t="s">
        <v>852</v>
      </c>
      <c r="B116" s="1756" t="s">
        <v>32</v>
      </c>
      <c r="C116" s="1757" t="s">
        <v>1108</v>
      </c>
      <c r="D116" s="509" t="s">
        <v>784</v>
      </c>
      <c r="E116" s="342"/>
      <c r="F116" s="190"/>
      <c r="G116" s="190"/>
      <c r="H116" s="190"/>
      <c r="I116" s="190"/>
      <c r="J116" s="191"/>
      <c r="K116" s="83"/>
      <c r="L116" s="75"/>
      <c r="M116" s="75"/>
      <c r="N116" s="75"/>
      <c r="O116" s="75"/>
      <c r="P116" s="76"/>
      <c r="Q116" s="80"/>
      <c r="R116" s="76"/>
      <c r="S116" s="4776"/>
    </row>
    <row r="117" spans="1:19" s="3973" customFormat="1" ht="39" thickBot="1">
      <c r="A117" s="1755" t="s">
        <v>859</v>
      </c>
      <c r="B117" s="1756"/>
      <c r="C117" s="1757" t="s">
        <v>855</v>
      </c>
      <c r="D117" s="509" t="s">
        <v>784</v>
      </c>
      <c r="E117" s="342"/>
      <c r="F117" s="190"/>
      <c r="G117" s="190"/>
      <c r="H117" s="190"/>
      <c r="I117" s="190"/>
      <c r="J117" s="191"/>
      <c r="K117" s="83"/>
      <c r="L117" s="75"/>
      <c r="M117" s="75"/>
      <c r="N117" s="75"/>
      <c r="O117" s="75"/>
      <c r="P117" s="76"/>
      <c r="Q117" s="80"/>
      <c r="R117" s="76"/>
      <c r="S117" s="4776"/>
    </row>
    <row r="118" spans="1:19" s="3973" customFormat="1" ht="15.75">
      <c r="A118" s="5018" t="s">
        <v>1109</v>
      </c>
      <c r="B118" s="1758"/>
      <c r="C118" s="1759" t="s">
        <v>1006</v>
      </c>
      <c r="D118" s="510" t="s">
        <v>784</v>
      </c>
      <c r="E118" s="452"/>
      <c r="F118" s="453"/>
      <c r="G118" s="453"/>
      <c r="H118" s="453"/>
      <c r="I118" s="453"/>
      <c r="J118" s="454"/>
      <c r="K118" s="452"/>
      <c r="L118" s="453"/>
      <c r="M118" s="453"/>
      <c r="N118" s="453"/>
      <c r="O118" s="453"/>
      <c r="P118" s="454"/>
      <c r="Q118" s="453"/>
      <c r="R118" s="454"/>
      <c r="S118" s="4776"/>
    </row>
    <row r="119" spans="1:19" s="3973" customFormat="1" ht="15.75">
      <c r="A119" s="5025"/>
      <c r="B119" s="1760"/>
      <c r="C119" s="1761" t="s">
        <v>901</v>
      </c>
      <c r="D119" s="511" t="s">
        <v>784</v>
      </c>
      <c r="E119" s="455"/>
      <c r="F119" s="456"/>
      <c r="G119" s="456"/>
      <c r="H119" s="456"/>
      <c r="I119" s="456"/>
      <c r="J119" s="457"/>
      <c r="K119" s="455"/>
      <c r="L119" s="456"/>
      <c r="M119" s="456"/>
      <c r="N119" s="456"/>
      <c r="O119" s="456"/>
      <c r="P119" s="457"/>
      <c r="Q119" s="456"/>
      <c r="R119" s="457"/>
      <c r="S119" s="4776"/>
    </row>
    <row r="120" spans="1:19" s="3973" customFormat="1" ht="15.75">
      <c r="A120" s="5025"/>
      <c r="B120" s="1760"/>
      <c r="C120" s="1762" t="s">
        <v>862</v>
      </c>
      <c r="D120" s="511" t="s">
        <v>784</v>
      </c>
      <c r="E120" s="458"/>
      <c r="F120" s="459"/>
      <c r="G120" s="459"/>
      <c r="H120" s="459"/>
      <c r="I120" s="459"/>
      <c r="J120" s="460"/>
      <c r="K120" s="458"/>
      <c r="L120" s="459"/>
      <c r="M120" s="459"/>
      <c r="N120" s="459"/>
      <c r="O120" s="459"/>
      <c r="P120" s="460"/>
      <c r="Q120" s="459"/>
      <c r="R120" s="460"/>
      <c r="S120" s="4776"/>
    </row>
    <row r="121" spans="1:19" s="3973" customFormat="1" ht="15.75">
      <c r="A121" s="5025"/>
      <c r="B121" s="1763"/>
      <c r="C121" s="1762" t="s">
        <v>863</v>
      </c>
      <c r="D121" s="511" t="s">
        <v>784</v>
      </c>
      <c r="E121" s="455"/>
      <c r="F121" s="456"/>
      <c r="G121" s="456"/>
      <c r="H121" s="456"/>
      <c r="I121" s="456"/>
      <c r="J121" s="457"/>
      <c r="K121" s="455"/>
      <c r="L121" s="456"/>
      <c r="M121" s="456"/>
      <c r="N121" s="456"/>
      <c r="O121" s="456"/>
      <c r="P121" s="457"/>
      <c r="Q121" s="456"/>
      <c r="R121" s="457"/>
      <c r="S121" s="4776"/>
    </row>
    <row r="122" spans="1:19" s="3973" customFormat="1" ht="51">
      <c r="A122" s="5025"/>
      <c r="B122" s="1764" t="s">
        <v>30</v>
      </c>
      <c r="C122" s="1761" t="s">
        <v>814</v>
      </c>
      <c r="D122" s="511" t="s">
        <v>812</v>
      </c>
      <c r="E122" s="455"/>
      <c r="F122" s="462"/>
      <c r="G122" s="461"/>
      <c r="H122" s="462"/>
      <c r="I122" s="461"/>
      <c r="J122" s="463"/>
      <c r="K122" s="455"/>
      <c r="L122" s="464"/>
      <c r="M122" s="464"/>
      <c r="N122" s="462"/>
      <c r="O122" s="461"/>
      <c r="P122" s="463"/>
      <c r="Q122" s="461"/>
      <c r="R122" s="463"/>
      <c r="S122" s="4776"/>
    </row>
    <row r="123" spans="1:19" s="3973" customFormat="1" ht="76.5">
      <c r="A123" s="5025"/>
      <c r="B123" s="1764" t="s">
        <v>28</v>
      </c>
      <c r="C123" s="1761" t="s">
        <v>1110</v>
      </c>
      <c r="D123" s="511" t="s">
        <v>812</v>
      </c>
      <c r="E123" s="458"/>
      <c r="F123" s="459"/>
      <c r="G123" s="459"/>
      <c r="H123" s="459"/>
      <c r="I123" s="459"/>
      <c r="J123" s="460"/>
      <c r="K123" s="458"/>
      <c r="L123" s="459"/>
      <c r="M123" s="459"/>
      <c r="N123" s="459"/>
      <c r="O123" s="459"/>
      <c r="P123" s="460"/>
      <c r="Q123" s="459"/>
      <c r="R123" s="460"/>
      <c r="S123" s="4776"/>
    </row>
    <row r="124" spans="1:19" s="3973" customFormat="1" ht="15.75">
      <c r="A124" s="5025"/>
      <c r="B124" s="1764" t="s">
        <v>79</v>
      </c>
      <c r="C124" s="1765" t="s">
        <v>899</v>
      </c>
      <c r="D124" s="511" t="s">
        <v>784</v>
      </c>
      <c r="E124" s="455"/>
      <c r="F124" s="456"/>
      <c r="G124" s="456"/>
      <c r="H124" s="456"/>
      <c r="I124" s="456"/>
      <c r="J124" s="457"/>
      <c r="K124" s="455"/>
      <c r="L124" s="456"/>
      <c r="M124" s="456"/>
      <c r="N124" s="456"/>
      <c r="O124" s="456"/>
      <c r="P124" s="457"/>
      <c r="Q124" s="456"/>
      <c r="R124" s="457"/>
      <c r="S124" s="4776"/>
    </row>
    <row r="125" spans="1:19" s="3973" customFormat="1" ht="16.5" thickBot="1">
      <c r="A125" s="5019"/>
      <c r="B125" s="1766" t="s">
        <v>843</v>
      </c>
      <c r="C125" s="1767" t="s">
        <v>844</v>
      </c>
      <c r="D125" s="512" t="s">
        <v>784</v>
      </c>
      <c r="E125" s="455"/>
      <c r="F125" s="456"/>
      <c r="G125" s="456"/>
      <c r="H125" s="456"/>
      <c r="I125" s="456"/>
      <c r="J125" s="457"/>
      <c r="K125" s="455"/>
      <c r="L125" s="456"/>
      <c r="M125" s="456"/>
      <c r="N125" s="456"/>
      <c r="O125" s="456"/>
      <c r="P125" s="457"/>
      <c r="Q125" s="456"/>
      <c r="R125" s="457"/>
      <c r="S125" s="4776"/>
    </row>
    <row r="126" spans="1:19" s="3973" customFormat="1" ht="26.25" thickBot="1">
      <c r="A126" s="3928" t="s">
        <v>1111</v>
      </c>
      <c r="B126" s="1768" t="s">
        <v>29</v>
      </c>
      <c r="C126" s="1769" t="s">
        <v>813</v>
      </c>
      <c r="D126" s="513" t="s">
        <v>784</v>
      </c>
      <c r="E126" s="465"/>
      <c r="F126" s="467"/>
      <c r="G126" s="468"/>
      <c r="H126" s="469"/>
      <c r="I126" s="467"/>
      <c r="J126" s="470"/>
      <c r="K126" s="465"/>
      <c r="L126" s="467"/>
      <c r="M126" s="468"/>
      <c r="N126" s="469"/>
      <c r="O126" s="467"/>
      <c r="P126" s="470"/>
      <c r="Q126" s="466"/>
      <c r="R126" s="471"/>
      <c r="S126" s="4776"/>
    </row>
    <row r="127" spans="1:19" s="3973" customFormat="1" ht="51">
      <c r="A127" s="5018" t="s">
        <v>871</v>
      </c>
      <c r="B127" s="1756" t="s">
        <v>41</v>
      </c>
      <c r="C127" s="1757" t="s">
        <v>809</v>
      </c>
      <c r="D127" s="510" t="s">
        <v>1042</v>
      </c>
      <c r="E127" s="514">
        <f>'4. Отчет и прогн. потребление'!D62</f>
        <v>0</v>
      </c>
      <c r="F127" s="515">
        <f>'4. Отчет и прогн. потребление'!E62</f>
        <v>0</v>
      </c>
      <c r="G127" s="515">
        <f>'4. Отчет и прогн. потребление'!F62</f>
        <v>0</v>
      </c>
      <c r="H127" s="515">
        <f>'4. Отчет и прогн. потребление'!G62</f>
        <v>0</v>
      </c>
      <c r="I127" s="515">
        <f>'4. Отчет и прогн. потребление'!H62</f>
        <v>0</v>
      </c>
      <c r="J127" s="579">
        <f>'4. Отчет и прогн. потребление'!I62</f>
        <v>0</v>
      </c>
      <c r="K127" s="1782"/>
      <c r="L127" s="1783"/>
      <c r="M127" s="1784"/>
      <c r="N127" s="1785"/>
      <c r="O127" s="1783"/>
      <c r="P127" s="1786"/>
      <c r="Q127" s="453"/>
      <c r="R127" s="454"/>
      <c r="S127" s="4776"/>
    </row>
    <row r="128" spans="1:19" s="3973" customFormat="1" ht="51">
      <c r="A128" s="5025"/>
      <c r="B128" s="1764" t="s">
        <v>782</v>
      </c>
      <c r="C128" s="1770" t="s">
        <v>811</v>
      </c>
      <c r="D128" s="511" t="s">
        <v>1042</v>
      </c>
      <c r="E128" s="516">
        <f>'4. Отчет и прогн. потребление'!D69</f>
        <v>0</v>
      </c>
      <c r="F128" s="517">
        <f>'4. Отчет и прогн. потребление'!E69</f>
        <v>0</v>
      </c>
      <c r="G128" s="517">
        <f>'4. Отчет и прогн. потребление'!F69</f>
        <v>0</v>
      </c>
      <c r="H128" s="517">
        <f>'4. Отчет и прогн. потребление'!G69</f>
        <v>0</v>
      </c>
      <c r="I128" s="517">
        <f>'4. Отчет и прогн. потребление'!H69</f>
        <v>0</v>
      </c>
      <c r="J128" s="580">
        <f>'4. Отчет и прогн. потребление'!I69</f>
        <v>0</v>
      </c>
      <c r="K128" s="1787"/>
      <c r="L128" s="1788"/>
      <c r="M128" s="1789"/>
      <c r="N128" s="1790"/>
      <c r="O128" s="1788"/>
      <c r="P128" s="1791"/>
      <c r="Q128" s="456"/>
      <c r="R128" s="457"/>
      <c r="S128" s="4776"/>
    </row>
    <row r="129" spans="1:26" s="3973" customFormat="1" ht="51.75" thickBot="1">
      <c r="A129" s="5019"/>
      <c r="B129" s="1764" t="s">
        <v>783</v>
      </c>
      <c r="C129" s="1771" t="s">
        <v>810</v>
      </c>
      <c r="D129" s="512" t="s">
        <v>1042</v>
      </c>
      <c r="E129" s="518">
        <f>'4. Отчет и прогн. потребление'!D88</f>
        <v>0</v>
      </c>
      <c r="F129" s="519">
        <f>'4. Отчет и прогн. потребление'!E88</f>
        <v>0</v>
      </c>
      <c r="G129" s="519">
        <f>'4. Отчет и прогн. потребление'!F88</f>
        <v>0</v>
      </c>
      <c r="H129" s="519">
        <f>'4. Отчет и прогн. потребление'!G88</f>
        <v>0</v>
      </c>
      <c r="I129" s="519">
        <f>'4. Отчет и прогн. потребление'!H88</f>
        <v>0</v>
      </c>
      <c r="J129" s="581">
        <f>'4. Отчет и прогн. потребление'!I88</f>
        <v>0</v>
      </c>
      <c r="K129" s="1792"/>
      <c r="L129" s="1793"/>
      <c r="M129" s="1793"/>
      <c r="N129" s="1793"/>
      <c r="O129" s="1794"/>
      <c r="P129" s="1795"/>
      <c r="Q129" s="456"/>
      <c r="R129" s="457"/>
      <c r="S129" s="4776"/>
    </row>
    <row r="130" spans="1:26" s="3973" customFormat="1" ht="16.5" thickBot="1">
      <c r="A130" s="5018" t="s">
        <v>869</v>
      </c>
      <c r="B130" s="1772" t="s">
        <v>46</v>
      </c>
      <c r="C130" s="1772" t="s">
        <v>827</v>
      </c>
      <c r="D130" s="513" t="s">
        <v>812</v>
      </c>
      <c r="E130" s="886"/>
      <c r="F130" s="472"/>
      <c r="G130" s="474"/>
      <c r="H130" s="475"/>
      <c r="I130" s="473"/>
      <c r="J130" s="476"/>
      <c r="K130" s="454"/>
      <c r="L130" s="478"/>
      <c r="M130" s="453"/>
      <c r="N130" s="453"/>
      <c r="O130" s="479"/>
      <c r="P130" s="480"/>
      <c r="Q130" s="477"/>
      <c r="R130" s="454"/>
      <c r="S130" s="4776"/>
      <c r="T130" s="5003" t="s">
        <v>746</v>
      </c>
      <c r="U130" s="5003" t="s">
        <v>922</v>
      </c>
      <c r="V130" s="5003"/>
      <c r="W130" s="5003"/>
      <c r="X130" s="5003"/>
      <c r="Y130" s="5003"/>
      <c r="Z130" s="5003"/>
    </row>
    <row r="131" spans="1:26" s="3973" customFormat="1" ht="53.25" customHeight="1" thickBot="1">
      <c r="A131" s="5019"/>
      <c r="B131" s="1767" t="s">
        <v>837</v>
      </c>
      <c r="C131" s="1773" t="s">
        <v>868</v>
      </c>
      <c r="D131" s="512" t="s">
        <v>812</v>
      </c>
      <c r="E131" s="520"/>
      <c r="F131" s="481"/>
      <c r="G131" s="482"/>
      <c r="H131" s="483"/>
      <c r="I131" s="481"/>
      <c r="J131" s="484"/>
      <c r="K131" s="484"/>
      <c r="L131" s="486"/>
      <c r="M131" s="481"/>
      <c r="N131" s="481"/>
      <c r="O131" s="487"/>
      <c r="P131" s="488"/>
      <c r="Q131" s="489"/>
      <c r="R131" s="490"/>
      <c r="S131" s="4776"/>
      <c r="T131" s="5003"/>
      <c r="U131" s="4777" t="str">
        <f>'Приложение '!$C$12</f>
        <v>2024 г.</v>
      </c>
      <c r="V131" s="4777" t="str">
        <f>'Приложение '!$C$14</f>
        <v>2027 г.</v>
      </c>
      <c r="W131" s="4777" t="str">
        <f>'Приложение '!$C$15</f>
        <v>2028 г.</v>
      </c>
      <c r="X131" s="4777" t="str">
        <f>'Приложение '!$C$16</f>
        <v>2029 г.</v>
      </c>
      <c r="Y131" s="4777" t="str">
        <f>'Приложение '!$C$17</f>
        <v>2030 г.</v>
      </c>
      <c r="Z131" s="4777" t="str">
        <f>'Приложение '!$C$18</f>
        <v>2031 г.</v>
      </c>
    </row>
    <row r="132" spans="1:26" s="3973" customFormat="1" ht="26.25" thickBot="1">
      <c r="A132" s="5018" t="s">
        <v>1112</v>
      </c>
      <c r="B132" s="1772" t="s">
        <v>48</v>
      </c>
      <c r="C132" s="1757" t="s">
        <v>829</v>
      </c>
      <c r="D132" s="510" t="s">
        <v>828</v>
      </c>
      <c r="E132" s="349"/>
      <c r="F132" s="290">
        <f>'16. Необходими приходи'!D36*1000</f>
        <v>0</v>
      </c>
      <c r="G132" s="290">
        <f>'16. Необходими приходи'!E36*1000</f>
        <v>0</v>
      </c>
      <c r="H132" s="290">
        <f>'16. Необходими приходи'!F36*1000</f>
        <v>0</v>
      </c>
      <c r="I132" s="290">
        <f>'16. Необходими приходи'!G36*1000</f>
        <v>0</v>
      </c>
      <c r="J132" s="290">
        <f>'16. Необходими приходи'!H36*1000</f>
        <v>0</v>
      </c>
      <c r="K132" s="491"/>
      <c r="L132" s="492"/>
      <c r="M132" s="1796"/>
      <c r="N132" s="493"/>
      <c r="O132" s="493"/>
      <c r="P132" s="494"/>
      <c r="Q132" s="477"/>
      <c r="R132" s="454"/>
      <c r="S132" s="4776"/>
      <c r="T132" s="4778" t="s">
        <v>1873</v>
      </c>
      <c r="U132" s="4780">
        <f>IFERROR(E132/$C$1,0)</f>
        <v>0</v>
      </c>
      <c r="V132" s="4780">
        <f t="shared" ref="V132:V133" si="20">IFERROR(F132/$C$1,0)</f>
        <v>0</v>
      </c>
      <c r="W132" s="4780">
        <f t="shared" ref="W132:W133" si="21">IFERROR(G132/$C$1,0)</f>
        <v>0</v>
      </c>
      <c r="X132" s="4780">
        <f t="shared" ref="X132:X133" si="22">IFERROR(H132/$C$1,0)</f>
        <v>0</v>
      </c>
      <c r="Y132" s="4780">
        <f t="shared" ref="Y132:Y133" si="23">IFERROR(I132/$C$1,0)</f>
        <v>0</v>
      </c>
      <c r="Z132" s="4780">
        <f t="shared" ref="Z132:Z133" si="24">IFERROR(J132/$C$1,0)</f>
        <v>0</v>
      </c>
    </row>
    <row r="133" spans="1:26" s="3973" customFormat="1" ht="26.25" thickBot="1">
      <c r="A133" s="5019"/>
      <c r="B133" s="1767" t="s">
        <v>49</v>
      </c>
      <c r="C133" s="1774" t="s">
        <v>830</v>
      </c>
      <c r="D133" s="512" t="s">
        <v>828</v>
      </c>
      <c r="E133" s="352">
        <f>'12. Разходи'!AA88*1000</f>
        <v>0</v>
      </c>
      <c r="F133" s="887">
        <f>'12. Разходи'!AB88*1000</f>
        <v>0</v>
      </c>
      <c r="G133" s="292">
        <f>'12. Разходи'!AC88*1000</f>
        <v>0</v>
      </c>
      <c r="H133" s="888">
        <f>'12. Разходи'!AD88*1000</f>
        <v>0</v>
      </c>
      <c r="I133" s="888">
        <f>'12. Разходи'!AE88*1000</f>
        <v>0</v>
      </c>
      <c r="J133" s="293">
        <f>'12. Разходи'!AF88*1000</f>
        <v>0</v>
      </c>
      <c r="K133" s="1418"/>
      <c r="L133" s="1417"/>
      <c r="M133" s="1797"/>
      <c r="N133" s="495"/>
      <c r="O133" s="495"/>
      <c r="P133" s="496"/>
      <c r="Q133" s="485"/>
      <c r="R133" s="490"/>
      <c r="S133" s="4776"/>
      <c r="T133" s="4778" t="s">
        <v>1873</v>
      </c>
      <c r="U133" s="4780">
        <f t="shared" ref="U133" si="25">IFERROR(E133/$C$1,0)</f>
        <v>0</v>
      </c>
      <c r="V133" s="4780">
        <f t="shared" si="20"/>
        <v>0</v>
      </c>
      <c r="W133" s="4780">
        <f t="shared" si="21"/>
        <v>0</v>
      </c>
      <c r="X133" s="4780">
        <f t="shared" si="22"/>
        <v>0</v>
      </c>
      <c r="Y133" s="4780">
        <f t="shared" si="23"/>
        <v>0</v>
      </c>
      <c r="Z133" s="4780">
        <f t="shared" si="24"/>
        <v>0</v>
      </c>
    </row>
    <row r="135" spans="1:26">
      <c r="D135" s="353"/>
    </row>
    <row r="136" spans="1:26">
      <c r="A136" s="1775" t="str">
        <f>'Приложение '!B82</f>
        <v>Дата: 15.04.2026 г.</v>
      </c>
      <c r="C136" s="5028"/>
      <c r="D136" s="5028"/>
      <c r="E136" s="5028"/>
      <c r="J136" s="1776"/>
      <c r="K136" s="3933"/>
      <c r="L136" s="1698"/>
      <c r="M136" s="1698"/>
    </row>
    <row r="137" spans="1:26" ht="13.5">
      <c r="J137" s="1776"/>
      <c r="K137" s="1777"/>
      <c r="L137" s="1698"/>
      <c r="M137" s="1698"/>
    </row>
    <row r="138" spans="1:26">
      <c r="D138" s="1779"/>
      <c r="J138" s="1776"/>
      <c r="K138" s="3933"/>
      <c r="L138" s="1698"/>
      <c r="M138" s="1698"/>
    </row>
    <row r="139" spans="1:26">
      <c r="A139" s="1780" t="s">
        <v>555</v>
      </c>
      <c r="J139" s="1776"/>
      <c r="K139" s="3933"/>
      <c r="L139" s="1698"/>
      <c r="M139" s="1698"/>
    </row>
    <row r="140" spans="1:26" ht="13.5">
      <c r="A140" s="4472" t="s">
        <v>188</v>
      </c>
      <c r="K140" s="1777"/>
      <c r="L140" s="1698"/>
      <c r="M140" s="1698"/>
    </row>
    <row r="141" spans="1:26">
      <c r="A141" s="4472" t="s">
        <v>1437</v>
      </c>
      <c r="K141" s="1781"/>
      <c r="L141" s="1698"/>
      <c r="M141" s="1698"/>
    </row>
    <row r="142" spans="1:26">
      <c r="A142" s="4472" t="str">
        <f>CONCATENATE("3. Източника на информация се посочва спрямо текущото състояние за отчетната ",E8,", и прогнозното състояние за ",J8," в зависимост от планираното качество на информация.")</f>
        <v>3. Източника на информация се посочва спрямо текущото състояние за отчетната 2024 г., и прогнозното състояние за 2031 г. в зависимост от планираното качество на информация.</v>
      </c>
    </row>
    <row r="143" spans="1:26">
      <c r="A143" s="3947" t="s">
        <v>1398</v>
      </c>
    </row>
    <row r="144" spans="1:26" s="3974" customFormat="1" ht="15.75">
      <c r="D144" s="3975"/>
      <c r="E144" s="3976"/>
      <c r="F144" s="3977"/>
      <c r="G144" s="3978"/>
      <c r="H144" s="3977"/>
      <c r="I144" s="3979"/>
      <c r="J144" s="3976"/>
      <c r="K144" s="3976"/>
      <c r="L144" s="3976"/>
      <c r="M144" s="3976"/>
      <c r="N144" s="3976"/>
      <c r="O144" s="3976"/>
      <c r="P144" s="3976"/>
      <c r="Q144" s="3976"/>
      <c r="R144" s="3976"/>
    </row>
    <row r="145" spans="3:18" s="2101" customFormat="1" ht="12">
      <c r="C145" s="3980"/>
      <c r="D145" s="2105"/>
      <c r="E145" s="3981"/>
      <c r="F145" s="2103"/>
      <c r="G145" s="2103"/>
      <c r="H145" s="2102"/>
      <c r="I145" s="2102"/>
      <c r="J145" s="2102"/>
      <c r="K145" s="2102"/>
      <c r="L145" s="2102"/>
      <c r="M145" s="2102"/>
      <c r="N145" s="2102"/>
      <c r="O145" s="2102"/>
      <c r="P145" s="2102"/>
      <c r="Q145" s="2102"/>
      <c r="R145" s="2102"/>
    </row>
  </sheetData>
  <sheetProtection algorithmName="SHA-512" hashValue="INJcsZAInKp6sYUHSYZylio+dgb5Lh/KcTN0PoRb7UlsAQ2CCJ1uHZn/MxjJ/PFTsIvFtEEpwWjrRHT1aw/oYg==" saltValue="l+alecIEPTOCtDLN6T7lsQ==" spinCount="100000" sheet="1" formatCells="0" formatColumns="0" formatRows="0"/>
  <mergeCells count="43">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4:A16"/>
    <mergeCell ref="A9:R9"/>
    <mergeCell ref="A2:R2"/>
    <mergeCell ref="A3:R3"/>
    <mergeCell ref="A4:R4"/>
    <mergeCell ref="A5:R5"/>
    <mergeCell ref="T82:T83"/>
    <mergeCell ref="U82:Z82"/>
    <mergeCell ref="A1:B1"/>
    <mergeCell ref="C1:D1"/>
    <mergeCell ref="T130:T131"/>
    <mergeCell ref="U130:Z130"/>
    <mergeCell ref="A54:A55"/>
    <mergeCell ref="A80:A81"/>
    <mergeCell ref="A63:A66"/>
    <mergeCell ref="A82:A83"/>
    <mergeCell ref="A84:A92"/>
    <mergeCell ref="A58:A62"/>
    <mergeCell ref="A56:A57"/>
    <mergeCell ref="A78:A79"/>
    <mergeCell ref="A67:A77"/>
    <mergeCell ref="A10:A13"/>
  </mergeCells>
  <conditionalFormatting sqref="B72:B73 B67:B70">
    <cfRule type="duplicateValues" dxfId="337" priority="77"/>
  </conditionalFormatting>
  <conditionalFormatting sqref="A7">
    <cfRule type="duplicateValues" dxfId="336" priority="76"/>
  </conditionalFormatting>
  <conditionalFormatting sqref="B99">
    <cfRule type="duplicateValues" dxfId="335" priority="75"/>
  </conditionalFormatting>
  <conditionalFormatting sqref="B100:B114 B66 B7 B28:B63 B78:B98 B74:B76 B10:B26 B71">
    <cfRule type="duplicateValues" dxfId="334" priority="78"/>
  </conditionalFormatting>
  <conditionalFormatting sqref="B122:B123">
    <cfRule type="duplicateValues" dxfId="333" priority="74"/>
  </conditionalFormatting>
  <conditionalFormatting sqref="B127:B129">
    <cfRule type="duplicateValues" dxfId="332" priority="73"/>
  </conditionalFormatting>
  <conditionalFormatting sqref="B126">
    <cfRule type="duplicateValues" dxfId="331" priority="72"/>
  </conditionalFormatting>
  <conditionalFormatting sqref="B130:B131">
    <cfRule type="duplicateValues" dxfId="330" priority="71"/>
  </conditionalFormatting>
  <conditionalFormatting sqref="B132:B133">
    <cfRule type="duplicateValues" dxfId="329" priority="70"/>
  </conditionalFormatting>
  <conditionalFormatting sqref="B116">
    <cfRule type="duplicateValues" dxfId="328" priority="69"/>
  </conditionalFormatting>
  <conditionalFormatting sqref="B117">
    <cfRule type="duplicateValues" dxfId="327" priority="68"/>
  </conditionalFormatting>
  <conditionalFormatting sqref="B124:B125">
    <cfRule type="duplicateValues" dxfId="326" priority="67"/>
  </conditionalFormatting>
  <conditionalFormatting sqref="E10">
    <cfRule type="cellIs" dxfId="325" priority="66" operator="greaterThan">
      <formula>$E$13</formula>
    </cfRule>
  </conditionalFormatting>
  <conditionalFormatting sqref="F10">
    <cfRule type="cellIs" dxfId="324" priority="65" operator="greaterThan">
      <formula>$F$13</formula>
    </cfRule>
  </conditionalFormatting>
  <conditionalFormatting sqref="G10">
    <cfRule type="cellIs" dxfId="323" priority="64" operator="greaterThan">
      <formula>$G$13</formula>
    </cfRule>
  </conditionalFormatting>
  <conditionalFormatting sqref="H10">
    <cfRule type="cellIs" dxfId="322" priority="63" operator="greaterThan">
      <formula>$H$13</formula>
    </cfRule>
  </conditionalFormatting>
  <conditionalFormatting sqref="I10">
    <cfRule type="cellIs" dxfId="321" priority="62" operator="greaterThan">
      <formula>$I$13</formula>
    </cfRule>
  </conditionalFormatting>
  <conditionalFormatting sqref="J10">
    <cfRule type="cellIs" dxfId="320" priority="61" operator="greaterThan">
      <formula>$J$13</formula>
    </cfRule>
  </conditionalFormatting>
  <conditionalFormatting sqref="E11">
    <cfRule type="cellIs" dxfId="319" priority="60" operator="greaterThan">
      <formula>$E$13</formula>
    </cfRule>
  </conditionalFormatting>
  <conditionalFormatting sqref="F11">
    <cfRule type="cellIs" dxfId="318" priority="59" operator="greaterThan">
      <formula>$F$13</formula>
    </cfRule>
  </conditionalFormatting>
  <conditionalFormatting sqref="G11">
    <cfRule type="cellIs" dxfId="317" priority="58" operator="greaterThan">
      <formula>$G$13</formula>
    </cfRule>
  </conditionalFormatting>
  <conditionalFormatting sqref="H11">
    <cfRule type="cellIs" dxfId="316" priority="57" operator="greaterThan">
      <formula>$H$13</formula>
    </cfRule>
  </conditionalFormatting>
  <conditionalFormatting sqref="I11">
    <cfRule type="cellIs" dxfId="315" priority="56" operator="greaterThan">
      <formula>$I$13</formula>
    </cfRule>
  </conditionalFormatting>
  <conditionalFormatting sqref="J11">
    <cfRule type="cellIs" dxfId="314" priority="55" operator="greaterThan">
      <formula>$J$13</formula>
    </cfRule>
  </conditionalFormatting>
  <conditionalFormatting sqref="E12">
    <cfRule type="cellIs" dxfId="313" priority="54" operator="greaterThan">
      <formula>$E$13</formula>
    </cfRule>
  </conditionalFormatting>
  <conditionalFormatting sqref="F12">
    <cfRule type="cellIs" dxfId="312" priority="53" operator="greaterThan">
      <formula>$F$13</formula>
    </cfRule>
  </conditionalFormatting>
  <conditionalFormatting sqref="G12">
    <cfRule type="cellIs" dxfId="311" priority="52" operator="greaterThan">
      <formula>$G$13</formula>
    </cfRule>
  </conditionalFormatting>
  <conditionalFormatting sqref="H12">
    <cfRule type="cellIs" dxfId="310" priority="51" operator="greaterThan">
      <formula>$H$13</formula>
    </cfRule>
  </conditionalFormatting>
  <conditionalFormatting sqref="I12">
    <cfRule type="cellIs" dxfId="309" priority="50" operator="greaterThan">
      <formula>$I$13</formula>
    </cfRule>
  </conditionalFormatting>
  <conditionalFormatting sqref="J12">
    <cfRule type="cellIs" dxfId="308" priority="49" operator="greaterThan">
      <formula>$J$13</formula>
    </cfRule>
  </conditionalFormatting>
  <conditionalFormatting sqref="E26">
    <cfRule type="cellIs" dxfId="307" priority="48" operator="greaterThan">
      <formula>$E$25</formula>
    </cfRule>
  </conditionalFormatting>
  <conditionalFormatting sqref="F26">
    <cfRule type="cellIs" dxfId="306" priority="47" operator="greaterThan">
      <formula>$F$25</formula>
    </cfRule>
  </conditionalFormatting>
  <conditionalFormatting sqref="G26">
    <cfRule type="cellIs" dxfId="305" priority="46" operator="greaterThan">
      <formula>$G$25</formula>
    </cfRule>
  </conditionalFormatting>
  <conditionalFormatting sqref="H26">
    <cfRule type="cellIs" dxfId="304" priority="45" operator="greaterThan">
      <formula>$H$25</formula>
    </cfRule>
  </conditionalFormatting>
  <conditionalFormatting sqref="I26">
    <cfRule type="cellIs" dxfId="303" priority="44" operator="greaterThan">
      <formula>$I$25</formula>
    </cfRule>
  </conditionalFormatting>
  <conditionalFormatting sqref="J26">
    <cfRule type="cellIs" dxfId="302" priority="43" operator="greaterThan">
      <formula>$J$25</formula>
    </cfRule>
  </conditionalFormatting>
  <conditionalFormatting sqref="E27">
    <cfRule type="cellIs" dxfId="301" priority="42" operator="lessThan">
      <formula>$E$17</formula>
    </cfRule>
  </conditionalFormatting>
  <conditionalFormatting sqref="F27">
    <cfRule type="cellIs" dxfId="300" priority="41" operator="lessThan">
      <formula>$F$17</formula>
    </cfRule>
  </conditionalFormatting>
  <conditionalFormatting sqref="G27">
    <cfRule type="cellIs" dxfId="299" priority="40" operator="lessThan">
      <formula>$G$17</formula>
    </cfRule>
  </conditionalFormatting>
  <conditionalFormatting sqref="H27">
    <cfRule type="cellIs" dxfId="298" priority="39" operator="lessThan">
      <formula>$H$17</formula>
    </cfRule>
  </conditionalFormatting>
  <conditionalFormatting sqref="I27">
    <cfRule type="cellIs" dxfId="297" priority="38" operator="lessThan">
      <formula>$I$17</formula>
    </cfRule>
  </conditionalFormatting>
  <conditionalFormatting sqref="J27">
    <cfRule type="cellIs" dxfId="296" priority="37" operator="lessThan">
      <formula>$J$17</formula>
    </cfRule>
  </conditionalFormatting>
  <conditionalFormatting sqref="E123">
    <cfRule type="cellIs" dxfId="295" priority="30" operator="greaterThan">
      <formula>$E$122</formula>
    </cfRule>
  </conditionalFormatting>
  <conditionalFormatting sqref="F123">
    <cfRule type="cellIs" dxfId="294" priority="29" operator="greaterThan">
      <formula>$F$122</formula>
    </cfRule>
  </conditionalFormatting>
  <conditionalFormatting sqref="G123">
    <cfRule type="cellIs" dxfId="293" priority="28" operator="greaterThan">
      <formula>$G$122</formula>
    </cfRule>
  </conditionalFormatting>
  <conditionalFormatting sqref="H123">
    <cfRule type="cellIs" dxfId="292" priority="27" operator="greaterThan">
      <formula>$H$122</formula>
    </cfRule>
  </conditionalFormatting>
  <conditionalFormatting sqref="I123">
    <cfRule type="cellIs" dxfId="291" priority="26" operator="greaterThan">
      <formula>$I$122</formula>
    </cfRule>
  </conditionalFormatting>
  <conditionalFormatting sqref="J123">
    <cfRule type="cellIs" dxfId="290" priority="25" operator="greaterThan">
      <formula>$J$122</formula>
    </cfRule>
  </conditionalFormatting>
  <conditionalFormatting sqref="E14">
    <cfRule type="cellIs" dxfId="289" priority="24" operator="greaterThanOrEqual">
      <formula>$E$10</formula>
    </cfRule>
  </conditionalFormatting>
  <conditionalFormatting sqref="F14">
    <cfRule type="cellIs" dxfId="288" priority="23" operator="greaterThanOrEqual">
      <formula>$F$10</formula>
    </cfRule>
  </conditionalFormatting>
  <conditionalFormatting sqref="G14">
    <cfRule type="cellIs" dxfId="287" priority="22" operator="greaterThanOrEqual">
      <formula>$G$10</formula>
    </cfRule>
  </conditionalFormatting>
  <conditionalFormatting sqref="H14">
    <cfRule type="cellIs" dxfId="286" priority="21" operator="greaterThanOrEqual">
      <formula>$H$10</formula>
    </cfRule>
  </conditionalFormatting>
  <conditionalFormatting sqref="I14">
    <cfRule type="cellIs" dxfId="285" priority="20" operator="greaterThanOrEqual">
      <formula>$I$10</formula>
    </cfRule>
  </conditionalFormatting>
  <conditionalFormatting sqref="J14">
    <cfRule type="cellIs" dxfId="284" priority="19" operator="greaterThanOrEqual">
      <formula>$J$10</formula>
    </cfRule>
  </conditionalFormatting>
  <conditionalFormatting sqref="E15">
    <cfRule type="cellIs" dxfId="283" priority="18" operator="greaterThanOrEqual">
      <formula>$E$11</formula>
    </cfRule>
  </conditionalFormatting>
  <conditionalFormatting sqref="F15">
    <cfRule type="cellIs" dxfId="282" priority="17" operator="greaterThanOrEqual">
      <formula>$F$11</formula>
    </cfRule>
  </conditionalFormatting>
  <conditionalFormatting sqref="G15">
    <cfRule type="cellIs" dxfId="281" priority="16" operator="greaterThanOrEqual">
      <formula>$G$11</formula>
    </cfRule>
  </conditionalFormatting>
  <conditionalFormatting sqref="H15">
    <cfRule type="cellIs" dxfId="280" priority="15" operator="greaterThanOrEqual">
      <formula>$H$11</formula>
    </cfRule>
  </conditionalFormatting>
  <conditionalFormatting sqref="I15">
    <cfRule type="cellIs" dxfId="279" priority="14" operator="greaterThanOrEqual">
      <formula>$I$11</formula>
    </cfRule>
  </conditionalFormatting>
  <conditionalFormatting sqref="J15">
    <cfRule type="cellIs" dxfId="278" priority="13" operator="greaterThanOrEqual">
      <formula>$J$11</formula>
    </cfRule>
  </conditionalFormatting>
  <conditionalFormatting sqref="E16">
    <cfRule type="cellIs" dxfId="277" priority="12" operator="greaterThanOrEqual">
      <formula>$E$12</formula>
    </cfRule>
  </conditionalFormatting>
  <conditionalFormatting sqref="F16">
    <cfRule type="cellIs" dxfId="276" priority="11" operator="greaterThanOrEqual">
      <formula>$F$12</formula>
    </cfRule>
  </conditionalFormatting>
  <conditionalFormatting sqref="G16">
    <cfRule type="cellIs" dxfId="275" priority="10" operator="greaterThanOrEqual">
      <formula>$G$12</formula>
    </cfRule>
  </conditionalFormatting>
  <conditionalFormatting sqref="H16">
    <cfRule type="cellIs" dxfId="274" priority="9" operator="greaterThanOrEqual">
      <formula>$H$12</formula>
    </cfRule>
  </conditionalFormatting>
  <conditionalFormatting sqref="I16">
    <cfRule type="cellIs" dxfId="273" priority="8" operator="greaterThanOrEqual">
      <formula>$I$12</formula>
    </cfRule>
  </conditionalFormatting>
  <conditionalFormatting sqref="J16">
    <cfRule type="cellIs" dxfId="272" priority="7" operator="greaterThanOrEqual">
      <formula>$J$12</formula>
    </cfRule>
  </conditionalFormatting>
  <conditionalFormatting sqref="E29">
    <cfRule type="cellIs" dxfId="271" priority="6" operator="lessThan">
      <formula>$E$17</formula>
    </cfRule>
  </conditionalFormatting>
  <conditionalFormatting sqref="F29">
    <cfRule type="cellIs" dxfId="270" priority="5" operator="lessThan">
      <formula>$F$17</formula>
    </cfRule>
  </conditionalFormatting>
  <conditionalFormatting sqref="G29">
    <cfRule type="cellIs" dxfId="269" priority="4" operator="lessThan">
      <formula>$G$17</formula>
    </cfRule>
  </conditionalFormatting>
  <conditionalFormatting sqref="H29">
    <cfRule type="cellIs" dxfId="268" priority="3" operator="lessThan">
      <formula>$H$17</formula>
    </cfRule>
  </conditionalFormatting>
  <conditionalFormatting sqref="I29">
    <cfRule type="cellIs" dxfId="267" priority="2" operator="lessThan">
      <formula>$I$17</formula>
    </cfRule>
  </conditionalFormatting>
  <conditionalFormatting sqref="J29">
    <cfRule type="cellIs" dxfId="266" priority="1" operator="lessThan">
      <formula>$J$17</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157"/>
  <sheetViews>
    <sheetView zoomScale="115" zoomScaleNormal="115" workbookViewId="0">
      <selection activeCell="AA33" sqref="AA33"/>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11" width="6.140625" customWidth="1"/>
    <col min="12" max="23" width="5.28515625" customWidth="1"/>
    <col min="24" max="24" width="4.7109375" customWidth="1"/>
    <col min="25" max="25" width="5.28515625" customWidth="1"/>
    <col min="26" max="26" width="28.85546875" customWidth="1"/>
    <col min="27" max="27" width="4.5703125" customWidth="1"/>
    <col min="34" max="35" width="5.85546875" customWidth="1"/>
  </cols>
  <sheetData>
    <row r="1" spans="1:36" ht="15.75">
      <c r="A1" s="3669" t="s">
        <v>1518</v>
      </c>
      <c r="B1" s="3464"/>
      <c r="C1" s="3464"/>
      <c r="D1" s="3464"/>
      <c r="E1" s="3464"/>
      <c r="F1" s="3464"/>
      <c r="G1" s="3464"/>
      <c r="H1" s="3464"/>
      <c r="I1" s="3464"/>
      <c r="J1" s="3669" t="s">
        <v>1548</v>
      </c>
      <c r="K1" s="3464"/>
      <c r="L1" s="3464"/>
      <c r="M1" s="3464"/>
      <c r="N1" s="3464"/>
      <c r="O1" s="3464"/>
      <c r="P1" s="3464"/>
      <c r="Q1" s="3464"/>
      <c r="R1" s="3464"/>
      <c r="S1" s="3464"/>
      <c r="T1" s="3464"/>
      <c r="U1" s="3464"/>
      <c r="V1" s="3464"/>
      <c r="W1" s="3464"/>
      <c r="X1" s="3464"/>
      <c r="Y1" s="3669" t="s">
        <v>1587</v>
      </c>
      <c r="Z1" s="3464"/>
      <c r="AA1" s="3464"/>
      <c r="AB1" s="3464"/>
      <c r="AC1" s="3464"/>
      <c r="AD1" s="3464"/>
      <c r="AE1" s="3464"/>
      <c r="AF1" s="3464"/>
      <c r="AG1" s="3464"/>
      <c r="AH1" s="3464"/>
      <c r="AI1" s="3464"/>
      <c r="AJ1" s="3464"/>
    </row>
    <row r="2" spans="1:36" ht="15.95" customHeight="1">
      <c r="A2" s="5640" t="s">
        <v>2</v>
      </c>
      <c r="B2" s="5641" t="s">
        <v>746</v>
      </c>
      <c r="C2" s="5628" t="s">
        <v>922</v>
      </c>
      <c r="D2" s="5628"/>
      <c r="E2" s="5628"/>
      <c r="F2" s="5628"/>
      <c r="G2" s="5628"/>
      <c r="H2" s="5628"/>
      <c r="I2" s="3464"/>
      <c r="J2" s="5619" t="s">
        <v>347</v>
      </c>
      <c r="K2" s="5622" t="s">
        <v>349</v>
      </c>
      <c r="L2" s="5623"/>
      <c r="M2" s="5623"/>
      <c r="N2" s="5623"/>
      <c r="O2" s="5623"/>
      <c r="P2" s="5623"/>
      <c r="Q2" s="5623"/>
      <c r="R2" s="5623"/>
      <c r="S2" s="5623"/>
      <c r="T2" s="5623"/>
      <c r="U2" s="5623"/>
      <c r="V2" s="5623"/>
      <c r="W2" s="5624"/>
      <c r="X2" s="3464"/>
      <c r="Y2" s="5615" t="s">
        <v>1592</v>
      </c>
      <c r="Z2" s="5616"/>
      <c r="AA2" s="5616"/>
      <c r="AB2" s="5616"/>
      <c r="AC2" s="5616"/>
      <c r="AD2" s="5616"/>
      <c r="AE2" s="5616"/>
      <c r="AF2" s="5616"/>
      <c r="AG2" s="5616"/>
      <c r="AH2" s="5616"/>
      <c r="AI2" s="5617"/>
      <c r="AJ2" s="3464"/>
    </row>
    <row r="3" spans="1:36" ht="37.5" customHeight="1">
      <c r="A3" s="5640"/>
      <c r="B3" s="5642"/>
      <c r="C3" s="4648" t="str">
        <f>+'15. ОПП'!$B$7</f>
        <v>2024 г.</v>
      </c>
      <c r="D3" s="4648" t="str">
        <f>+'15. ОПП'!$C$7</f>
        <v>2027 г.</v>
      </c>
      <c r="E3" s="4648" t="str">
        <f>+'15. ОПП'!$D$7</f>
        <v>2028 г.</v>
      </c>
      <c r="F3" s="4648" t="str">
        <f>+'15. ОПП'!$E$7</f>
        <v>2029 г.</v>
      </c>
      <c r="G3" s="4648" t="str">
        <f>+'15. ОПП'!$F$7</f>
        <v>2030 г.</v>
      </c>
      <c r="H3" s="4648" t="str">
        <f>+'15. ОПП'!$G$7</f>
        <v>2031 г.</v>
      </c>
      <c r="I3" s="3464"/>
      <c r="J3" s="5619"/>
      <c r="K3" s="5619" t="s">
        <v>1537</v>
      </c>
      <c r="L3" s="5620" t="s">
        <v>1554</v>
      </c>
      <c r="M3" s="5620"/>
      <c r="N3" s="5620"/>
      <c r="O3" s="5620"/>
      <c r="P3" s="5620"/>
      <c r="Q3" s="5621"/>
      <c r="R3" s="5619" t="s">
        <v>1901</v>
      </c>
      <c r="S3" s="5619"/>
      <c r="T3" s="5619"/>
      <c r="U3" s="5619"/>
      <c r="V3" s="5619"/>
      <c r="W3" s="5619"/>
      <c r="X3" s="3464"/>
      <c r="Y3" s="3670" t="s">
        <v>773</v>
      </c>
      <c r="Z3" s="3670" t="s">
        <v>1591</v>
      </c>
      <c r="AA3" s="3671" t="s">
        <v>746</v>
      </c>
      <c r="AB3" s="4872" t="str">
        <f>+'15. ОПП'!$B$7</f>
        <v>2024 г.</v>
      </c>
      <c r="AC3" s="4648" t="str">
        <f>+'15. ОПП'!$C$7</f>
        <v>2027 г.</v>
      </c>
      <c r="AD3" s="4648" t="str">
        <f>+'15. ОПП'!$D$7</f>
        <v>2028 г.</v>
      </c>
      <c r="AE3" s="4648" t="str">
        <f>+'15. ОПП'!$E$7</f>
        <v>2029 г.</v>
      </c>
      <c r="AF3" s="4648" t="str">
        <f>+'15. ОПП'!$F$7</f>
        <v>2030 г.</v>
      </c>
      <c r="AG3" s="4648" t="str">
        <f>+'15. ОПП'!$G$7</f>
        <v>2031 г.</v>
      </c>
      <c r="AH3" s="4872" t="str">
        <f>CONCATENATE("Индивидуална цел за ",AG3)</f>
        <v>Индивидуална цел за 2031 г.</v>
      </c>
      <c r="AI3" s="4872" t="s">
        <v>780</v>
      </c>
      <c r="AJ3" s="3464"/>
    </row>
    <row r="4" spans="1:36" ht="15.95" customHeight="1">
      <c r="A4" s="3673" t="s">
        <v>1522</v>
      </c>
      <c r="B4" s="3602" t="s">
        <v>784</v>
      </c>
      <c r="C4" s="3674">
        <f>'2. Променливи'!E10</f>
        <v>200963</v>
      </c>
      <c r="D4" s="3674">
        <f>'2. Променливи'!F10</f>
        <v>188003</v>
      </c>
      <c r="E4" s="3674">
        <f>'2. Променливи'!G10</f>
        <v>181855</v>
      </c>
      <c r="F4" s="3674">
        <f>'2. Променливи'!H10</f>
        <v>175909</v>
      </c>
      <c r="G4" s="3674">
        <f>'2. Променливи'!I10</f>
        <v>170157</v>
      </c>
      <c r="H4" s="3674">
        <f>'2. Променливи'!J10</f>
        <v>164194</v>
      </c>
      <c r="I4" s="3464"/>
      <c r="J4" s="5619"/>
      <c r="K4" s="5619"/>
      <c r="L4" s="4649" t="str">
        <f>+'15. ОПП'!$B$7</f>
        <v>2024 г.</v>
      </c>
      <c r="M4" s="4649" t="str">
        <f>+'15. ОПП'!$C$7</f>
        <v>2027 г.</v>
      </c>
      <c r="N4" s="4649" t="str">
        <f>+'15. ОПП'!$D$7</f>
        <v>2028 г.</v>
      </c>
      <c r="O4" s="4649" t="str">
        <f>+'15. ОПП'!$E$7</f>
        <v>2029 г.</v>
      </c>
      <c r="P4" s="4649" t="str">
        <f>+'15. ОПП'!$F$7</f>
        <v>2030 г.</v>
      </c>
      <c r="Q4" s="4649" t="str">
        <f>+'15. ОПП'!$G$7</f>
        <v>2031 г.</v>
      </c>
      <c r="R4" s="4649" t="str">
        <f>+'15. ОПП'!$B$7</f>
        <v>2024 г.</v>
      </c>
      <c r="S4" s="4649" t="str">
        <f>+'15. ОПП'!$C$7</f>
        <v>2027 г.</v>
      </c>
      <c r="T4" s="4649" t="str">
        <f>+'15. ОПП'!$D$7</f>
        <v>2028 г.</v>
      </c>
      <c r="U4" s="4649" t="str">
        <f>+'15. ОПП'!$E$7</f>
        <v>2029 г.</v>
      </c>
      <c r="V4" s="4649" t="str">
        <f>+'15. ОПП'!$F$7</f>
        <v>2030 г.</v>
      </c>
      <c r="W4" s="4649" t="str">
        <f>+'15. ОПП'!$G$7</f>
        <v>2031 г.</v>
      </c>
      <c r="X4" s="3464"/>
      <c r="Y4" s="3675" t="s">
        <v>116</v>
      </c>
      <c r="Z4" s="3676" t="s">
        <v>751</v>
      </c>
      <c r="AA4" s="3677" t="s">
        <v>170</v>
      </c>
      <c r="AB4" s="3678">
        <f>'3. Показатели за качество'!E9</f>
        <v>0.99690000000000001</v>
      </c>
      <c r="AC4" s="3678">
        <f>'3. Показатели за качество'!F9</f>
        <v>0.99739999999999995</v>
      </c>
      <c r="AD4" s="3678">
        <f>'3. Показатели за качество'!G9</f>
        <v>0.99739999999999995</v>
      </c>
      <c r="AE4" s="3678">
        <f>'3. Показатели за качество'!H9</f>
        <v>0.99739999999999995</v>
      </c>
      <c r="AF4" s="3678">
        <f>'3. Показатели за качество'!I9</f>
        <v>0.99739999999999995</v>
      </c>
      <c r="AG4" s="3678">
        <f>'3. Показатели за качество'!J9</f>
        <v>0.99739999999999995</v>
      </c>
      <c r="AH4" s="3679">
        <f>'3. Показатели за качество'!M9</f>
        <v>0.99690000000000001</v>
      </c>
      <c r="AI4" s="3680">
        <v>0.99</v>
      </c>
      <c r="AJ4" s="3464"/>
    </row>
    <row r="5" spans="1:36" ht="15.95" customHeight="1">
      <c r="A5" s="3673" t="s">
        <v>1523</v>
      </c>
      <c r="B5" s="3603" t="s">
        <v>784</v>
      </c>
      <c r="C5" s="3674">
        <f>'2. Променливи'!E11</f>
        <v>159809</v>
      </c>
      <c r="D5" s="3674">
        <f>'2. Променливи'!F11</f>
        <v>149862</v>
      </c>
      <c r="E5" s="3674">
        <f>'2. Променливи'!G11</f>
        <v>144967</v>
      </c>
      <c r="F5" s="3674">
        <f>'2. Променливи'!H11</f>
        <v>140231</v>
      </c>
      <c r="G5" s="3674">
        <f>'2. Променливи'!I11</f>
        <v>135649</v>
      </c>
      <c r="H5" s="3674">
        <f>'2. Променливи'!J11</f>
        <v>130905</v>
      </c>
      <c r="I5" s="3464"/>
      <c r="J5" s="3681" t="s">
        <v>210</v>
      </c>
      <c r="K5" s="3682" t="s">
        <v>1549</v>
      </c>
      <c r="L5" s="3682">
        <f>'6. Ел.Енергия'!C18/1000</f>
        <v>1423.5519999999999</v>
      </c>
      <c r="M5" s="3682">
        <f>'6. Ел.Енергия'!D18/1000</f>
        <v>1415</v>
      </c>
      <c r="N5" s="3682">
        <f>'6. Ел.Енергия'!E18/1000</f>
        <v>1350</v>
      </c>
      <c r="O5" s="3682">
        <f>'6. Ел.Енергия'!F18/1000</f>
        <v>1295</v>
      </c>
      <c r="P5" s="3682">
        <f>'6. Ел.Енергия'!G18/1000</f>
        <v>1240</v>
      </c>
      <c r="Q5" s="3682">
        <f>'6. Ел.Енергия'!H18/1000</f>
        <v>1175</v>
      </c>
      <c r="R5" s="3682">
        <f>'6. Ел.Енергия'!V18</f>
        <v>183.69150204158845</v>
      </c>
      <c r="S5" s="3682">
        <f>'6. Ел.Енергия'!W18</f>
        <v>189.97142389675997</v>
      </c>
      <c r="T5" s="3682">
        <f>'6. Ел.Енергия'!X18</f>
        <v>181.18369183415737</v>
      </c>
      <c r="U5" s="3682">
        <f>'6. Ел.Енергия'!Y18</f>
        <v>173.91426146444223</v>
      </c>
      <c r="V5" s="3682">
        <f>'6. Ел.Енергия'!Z18</f>
        <v>166.64483109472707</v>
      </c>
      <c r="W5" s="3682">
        <f>'6. Ел.Енергия'!AA18</f>
        <v>158.01156030943386</v>
      </c>
      <c r="X5" s="3464"/>
      <c r="Y5" s="3675" t="s">
        <v>117</v>
      </c>
      <c r="Z5" s="3676" t="s">
        <v>752</v>
      </c>
      <c r="AA5" s="3677" t="s">
        <v>170</v>
      </c>
      <c r="AB5" s="3678">
        <f>'3. Показатели за качество'!E10</f>
        <v>1</v>
      </c>
      <c r="AC5" s="3678">
        <f>'3. Показатели за качество'!F10</f>
        <v>1</v>
      </c>
      <c r="AD5" s="3678">
        <f>'3. Показатели за качество'!G10</f>
        <v>1</v>
      </c>
      <c r="AE5" s="3678">
        <f>'3. Показатели за качество'!H10</f>
        <v>1</v>
      </c>
      <c r="AF5" s="3678">
        <f>'3. Показатели за качество'!I10</f>
        <v>1</v>
      </c>
      <c r="AG5" s="3678">
        <f>'3. Показатели за качество'!J10</f>
        <v>1</v>
      </c>
      <c r="AH5" s="3679">
        <f>'3. Показатели за качество'!M10</f>
        <v>1</v>
      </c>
      <c r="AI5" s="3680">
        <v>0.99</v>
      </c>
      <c r="AJ5" s="3464"/>
    </row>
    <row r="6" spans="1:36" ht="15.95" customHeight="1">
      <c r="A6" s="3673" t="s">
        <v>1524</v>
      </c>
      <c r="B6" s="3603" t="s">
        <v>784</v>
      </c>
      <c r="C6" s="3674">
        <f>'2. Променливи'!E12</f>
        <v>89306</v>
      </c>
      <c r="D6" s="3674">
        <f>'2. Променливи'!F12</f>
        <v>83550</v>
      </c>
      <c r="E6" s="3674">
        <f>'2. Променливи'!G12</f>
        <v>80819</v>
      </c>
      <c r="F6" s="3674">
        <f>'2. Променливи'!H12</f>
        <v>78178</v>
      </c>
      <c r="G6" s="3674">
        <f>'2. Променливи'!I12</f>
        <v>75623</v>
      </c>
      <c r="H6" s="3674">
        <f>'2. Променливи'!J12</f>
        <v>72975</v>
      </c>
      <c r="I6" s="3464"/>
      <c r="J6" s="3683" t="s">
        <v>350</v>
      </c>
      <c r="K6" s="3684" t="s">
        <v>1549</v>
      </c>
      <c r="L6" s="3903"/>
      <c r="M6" s="3686">
        <f>'6. Ел.Енергия'!D19/1000</f>
        <v>-8.5519999999999996</v>
      </c>
      <c r="N6" s="3686">
        <f>'6. Ел.Енергия'!E19/1000</f>
        <v>-65</v>
      </c>
      <c r="O6" s="3686">
        <f>'6. Ел.Енергия'!F19/1000</f>
        <v>-55</v>
      </c>
      <c r="P6" s="3686">
        <f>'6. Ел.Енергия'!G19/1000</f>
        <v>-55</v>
      </c>
      <c r="Q6" s="3686">
        <f>'6. Ел.Енергия'!H19/1000</f>
        <v>-65</v>
      </c>
      <c r="R6" s="3903"/>
      <c r="S6" s="3686">
        <f>'6. Ел.Енергия'!W19</f>
        <v>6.2799218551715228</v>
      </c>
      <c r="T6" s="3686">
        <f>'6. Ел.Енергия'!X19</f>
        <v>-8.7877320626026005</v>
      </c>
      <c r="U6" s="3686">
        <f>'6. Ел.Енергия'!Y19</f>
        <v>-7.2694303697151383</v>
      </c>
      <c r="V6" s="3686">
        <f>'6. Ел.Енергия'!Z19</f>
        <v>-7.2694303697151668</v>
      </c>
      <c r="W6" s="3686">
        <f>'6. Ел.Енергия'!AA19</f>
        <v>-8.633270785293206</v>
      </c>
      <c r="X6" s="3464"/>
      <c r="Y6" s="3675" t="s">
        <v>118</v>
      </c>
      <c r="Z6" s="3676" t="s">
        <v>753</v>
      </c>
      <c r="AA6" s="3677" t="s">
        <v>170</v>
      </c>
      <c r="AB6" s="3678">
        <f>'3. Показатели за качество'!E11</f>
        <v>0.999</v>
      </c>
      <c r="AC6" s="3678">
        <f>'3. Показатели за качество'!F11</f>
        <v>0.99909999999999999</v>
      </c>
      <c r="AD6" s="3678">
        <f>'3. Показатели за качество'!G11</f>
        <v>0.99919999999999998</v>
      </c>
      <c r="AE6" s="3678">
        <f>'3. Показатели за качество'!H11</f>
        <v>0.99929999999999997</v>
      </c>
      <c r="AF6" s="3678">
        <f>'3. Показатели за качество'!I11</f>
        <v>0.99939999999999996</v>
      </c>
      <c r="AG6" s="3678">
        <f>'3. Показатели за качество'!J11</f>
        <v>0.99960000000000004</v>
      </c>
      <c r="AH6" s="3679">
        <f>'3. Показатели за качество'!M11</f>
        <v>0.99960000000000004</v>
      </c>
      <c r="AI6" s="3680">
        <v>0.98</v>
      </c>
      <c r="AJ6" s="3464"/>
    </row>
    <row r="7" spans="1:36" ht="15.95" customHeight="1">
      <c r="A7" s="3687" t="s">
        <v>1526</v>
      </c>
      <c r="B7" s="3604" t="s">
        <v>784</v>
      </c>
      <c r="C7" s="3688">
        <f>'2. Променливи'!E13</f>
        <v>201597</v>
      </c>
      <c r="D7" s="3688">
        <f>'2. Променливи'!F13</f>
        <v>188486</v>
      </c>
      <c r="E7" s="3688">
        <f>'2. Променливи'!G13</f>
        <v>182322</v>
      </c>
      <c r="F7" s="3688">
        <f>'2. Променливи'!H13</f>
        <v>176360</v>
      </c>
      <c r="G7" s="3688">
        <f>'2. Променливи'!I13</f>
        <v>170593</v>
      </c>
      <c r="H7" s="3688">
        <f>'2. Променливи'!J13</f>
        <v>164616</v>
      </c>
      <c r="I7" s="3464"/>
      <c r="J7" s="3689" t="s">
        <v>1556</v>
      </c>
      <c r="K7" s="3690" t="s">
        <v>1551</v>
      </c>
      <c r="L7" s="3691">
        <f>'6. Ел.Енергия'!C20</f>
        <v>7.5988622033642803E-2</v>
      </c>
      <c r="M7" s="3691">
        <f>'6. Ел.Енергия'!D20</f>
        <v>7.6299593724884152E-2</v>
      </c>
      <c r="N7" s="3691">
        <f>'6. Ел.Енергия'!E20</f>
        <v>7.4834598906505748E-2</v>
      </c>
      <c r="O7" s="3691">
        <f>'6. Ел.Енергия'!F20</f>
        <v>7.429184809606057E-2</v>
      </c>
      <c r="P7" s="3691">
        <f>'6. Ел.Енергия'!G20</f>
        <v>7.3491402276408033E-2</v>
      </c>
      <c r="Q7" s="3691">
        <f>'6. Ел.Енергия'!H20</f>
        <v>7.2169163044081788E-2</v>
      </c>
      <c r="R7" s="3685"/>
      <c r="S7" s="3685"/>
      <c r="T7" s="3685"/>
      <c r="U7" s="3685"/>
      <c r="V7" s="3685"/>
      <c r="W7" s="3685"/>
      <c r="X7" s="3464"/>
      <c r="Y7" s="3675" t="s">
        <v>119</v>
      </c>
      <c r="Z7" s="3676" t="s">
        <v>754</v>
      </c>
      <c r="AA7" s="3677" t="s">
        <v>170</v>
      </c>
      <c r="AB7" s="3678">
        <f>'3. Показатели за качество'!E12</f>
        <v>1</v>
      </c>
      <c r="AC7" s="3678">
        <f>'3. Показатели за качество'!F12</f>
        <v>1</v>
      </c>
      <c r="AD7" s="3678">
        <f>'3. Показатели за качество'!G12</f>
        <v>1</v>
      </c>
      <c r="AE7" s="3678">
        <f>'3. Показатели за качество'!H12</f>
        <v>1</v>
      </c>
      <c r="AF7" s="3678">
        <f>'3. Показатели за качество'!I12</f>
        <v>1</v>
      </c>
      <c r="AG7" s="3678">
        <f>'3. Показатели за качество'!J12</f>
        <v>1</v>
      </c>
      <c r="AH7" s="3679">
        <f>'3. Показатели за качество'!M12</f>
        <v>1</v>
      </c>
      <c r="AI7" s="3680">
        <v>1</v>
      </c>
      <c r="AJ7" s="3464"/>
    </row>
    <row r="8" spans="1:36" ht="15.95" customHeight="1">
      <c r="A8" s="3673" t="s">
        <v>1519</v>
      </c>
      <c r="B8" s="3602" t="s">
        <v>784</v>
      </c>
      <c r="C8" s="3674">
        <f>'2. Променливи'!E17</f>
        <v>128</v>
      </c>
      <c r="D8" s="3674">
        <f>'2. Променливи'!F17</f>
        <v>128</v>
      </c>
      <c r="E8" s="3674">
        <f>'2. Променливи'!G17</f>
        <v>128</v>
      </c>
      <c r="F8" s="3674">
        <f>'2. Променливи'!H17</f>
        <v>128</v>
      </c>
      <c r="G8" s="3674">
        <f>'2. Променливи'!I17</f>
        <v>128</v>
      </c>
      <c r="H8" s="3674">
        <f>'2. Променливи'!J17</f>
        <v>128</v>
      </c>
      <c r="I8" s="3464"/>
      <c r="J8" s="3681" t="s">
        <v>174</v>
      </c>
      <c r="K8" s="3682" t="s">
        <v>1549</v>
      </c>
      <c r="L8" s="3682">
        <f>'6. Ел.Енергия'!C34/1000</f>
        <v>0.52300000000000002</v>
      </c>
      <c r="M8" s="3682">
        <f>'6. Ел.Енергия'!D34/1000</f>
        <v>0.5</v>
      </c>
      <c r="N8" s="3682">
        <f>'6. Ел.Енергия'!E34/1000</f>
        <v>0.5</v>
      </c>
      <c r="O8" s="3682">
        <f>'6. Ел.Енергия'!F34/1000</f>
        <v>0.4</v>
      </c>
      <c r="P8" s="3682">
        <f>'6. Ел.Енергия'!G34/1000</f>
        <v>0.4</v>
      </c>
      <c r="Q8" s="3682">
        <f>'6. Ел.Енергия'!H34/1000</f>
        <v>0.4</v>
      </c>
      <c r="R8" s="3682">
        <f>'6. Ел.Енергия'!V34</f>
        <v>3.5197269190062531E-2</v>
      </c>
      <c r="S8" s="3682">
        <f>'6. Ел.Енергия'!W34</f>
        <v>7.0293430410618502E-2</v>
      </c>
      <c r="T8" s="3682">
        <f>'6. Ел.Енергия'!X34</f>
        <v>7.0293430410618502E-2</v>
      </c>
      <c r="U8" s="3682">
        <f>'6. Ел.Енергия'!Y34</f>
        <v>5.6234744328494811E-2</v>
      </c>
      <c r="V8" s="3682">
        <f>'6. Ел.Енергия'!Z34</f>
        <v>5.6234744328494811E-2</v>
      </c>
      <c r="W8" s="3682">
        <f>'6. Ел.Енергия'!AA34</f>
        <v>5.6234744328494811E-2</v>
      </c>
      <c r="X8" s="3464"/>
      <c r="Y8" s="3675" t="s">
        <v>120</v>
      </c>
      <c r="Z8" s="3676" t="s">
        <v>755</v>
      </c>
      <c r="AA8" s="3677" t="s">
        <v>1033</v>
      </c>
      <c r="AB8" s="3693">
        <f>'3. Показатели за качество'!E13</f>
        <v>1.175</v>
      </c>
      <c r="AC8" s="3693">
        <f>'3. Показатели за качество'!F13</f>
        <v>1.1539999999999999</v>
      </c>
      <c r="AD8" s="3693">
        <f>'3. Показатели за качество'!G13</f>
        <v>1.149</v>
      </c>
      <c r="AE8" s="3693">
        <f>'3. Показатели за качество'!H13</f>
        <v>1.1419999999999999</v>
      </c>
      <c r="AF8" s="3693">
        <f>'3. Показатели за качество'!I13</f>
        <v>1.1399999999999999</v>
      </c>
      <c r="AG8" s="3693">
        <f>'3. Показатели за качество'!J13</f>
        <v>1.0780000000000001</v>
      </c>
      <c r="AH8" s="3694">
        <f>'3. Показатели за качество'!M13</f>
        <v>1.08</v>
      </c>
      <c r="AI8" s="3695">
        <v>8</v>
      </c>
      <c r="AJ8" s="3464"/>
    </row>
    <row r="9" spans="1:36" ht="15.95" customHeight="1">
      <c r="A9" s="3673" t="s">
        <v>1520</v>
      </c>
      <c r="B9" s="3602" t="s">
        <v>784</v>
      </c>
      <c r="C9" s="3674">
        <f>'2. Променливи'!E18</f>
        <v>39</v>
      </c>
      <c r="D9" s="3674">
        <f>'2. Променливи'!F18</f>
        <v>39</v>
      </c>
      <c r="E9" s="3674">
        <f>'2. Променливи'!G18</f>
        <v>39</v>
      </c>
      <c r="F9" s="3674">
        <f>'2. Променливи'!H18</f>
        <v>39</v>
      </c>
      <c r="G9" s="3674">
        <f>'2. Променливи'!I18</f>
        <v>39</v>
      </c>
      <c r="H9" s="3674">
        <f>'2. Променливи'!J18</f>
        <v>39</v>
      </c>
      <c r="I9" s="3464"/>
      <c r="J9" s="3683" t="s">
        <v>350</v>
      </c>
      <c r="K9" s="3684" t="s">
        <v>1549</v>
      </c>
      <c r="L9" s="3903"/>
      <c r="M9" s="3686">
        <f>'6. Ел.Енергия'!D35/1000</f>
        <v>-2.3E-2</v>
      </c>
      <c r="N9" s="3686">
        <f>'6. Ел.Енергия'!E35/1000</f>
        <v>0</v>
      </c>
      <c r="O9" s="3686">
        <f>'6. Ел.Енергия'!F35/1000</f>
        <v>-0.1</v>
      </c>
      <c r="P9" s="3686">
        <f>'6. Ел.Енергия'!G35/1000</f>
        <v>0</v>
      </c>
      <c r="Q9" s="3686">
        <f>'6. Ел.Енергия'!H35/1000</f>
        <v>0</v>
      </c>
      <c r="R9" s="3903"/>
      <c r="S9" s="3686">
        <f>'6. Ел.Енергия'!W35</f>
        <v>3.509616122055597E-2</v>
      </c>
      <c r="T9" s="3686">
        <f>'6. Ел.Енергия'!X35</f>
        <v>0</v>
      </c>
      <c r="U9" s="3686">
        <f>'6. Ел.Енергия'!Y35</f>
        <v>-1.4058686082123691E-2</v>
      </c>
      <c r="V9" s="3686">
        <f>'6. Ел.Енергия'!Z35</f>
        <v>0</v>
      </c>
      <c r="W9" s="3686">
        <f>'6. Ел.Енергия'!AA35</f>
        <v>0</v>
      </c>
      <c r="X9" s="3464"/>
      <c r="Y9" s="3675" t="s">
        <v>744</v>
      </c>
      <c r="Z9" s="3676" t="s">
        <v>756</v>
      </c>
      <c r="AA9" s="3677" t="s">
        <v>1588</v>
      </c>
      <c r="AB9" s="3696">
        <f>'3. Показатели за качество'!E14</f>
        <v>11.24</v>
      </c>
      <c r="AC9" s="3696">
        <f>'3. Показатели за качество'!F14</f>
        <v>11.11</v>
      </c>
      <c r="AD9" s="3696">
        <f>'3. Показатели за качество'!G14</f>
        <v>10.8</v>
      </c>
      <c r="AE9" s="3696">
        <f>'3. Показатели за качество'!H14</f>
        <v>10.42</v>
      </c>
      <c r="AF9" s="3696">
        <f>'3. Показатели за качество'!I14</f>
        <v>10.06</v>
      </c>
      <c r="AG9" s="3696">
        <f>'3. Показатели за качество'!J14</f>
        <v>9.67</v>
      </c>
      <c r="AH9" s="3697">
        <f>'3. Показатели за качество'!M14</f>
        <v>10.66</v>
      </c>
      <c r="AI9" s="3695">
        <v>15</v>
      </c>
      <c r="AJ9" s="3464"/>
    </row>
    <row r="10" spans="1:36" ht="15.95" customHeight="1">
      <c r="A10" s="3673" t="s">
        <v>1521</v>
      </c>
      <c r="B10" s="3602" t="s">
        <v>784</v>
      </c>
      <c r="C10" s="3674">
        <f>'2. Променливи'!E19</f>
        <v>11</v>
      </c>
      <c r="D10" s="3674">
        <f>'2. Променливи'!F19</f>
        <v>11</v>
      </c>
      <c r="E10" s="3674">
        <f>'2. Променливи'!G19</f>
        <v>11</v>
      </c>
      <c r="F10" s="3674">
        <f>'2. Променливи'!H19</f>
        <v>11</v>
      </c>
      <c r="G10" s="3674">
        <f>'2. Променливи'!I19</f>
        <v>11</v>
      </c>
      <c r="H10" s="3674">
        <f>'2. Променливи'!J19</f>
        <v>11</v>
      </c>
      <c r="I10" s="3464"/>
      <c r="J10" s="3681" t="s">
        <v>184</v>
      </c>
      <c r="K10" s="3682" t="s">
        <v>1549</v>
      </c>
      <c r="L10" s="3682">
        <f>'6. Ел.Енергия'!C49/1000</f>
        <v>2995.116</v>
      </c>
      <c r="M10" s="3682">
        <f>'6. Ел.Енергия'!D49/1000</f>
        <v>2980</v>
      </c>
      <c r="N10" s="3682">
        <f>'6. Ел.Енергия'!E49/1000</f>
        <v>2940</v>
      </c>
      <c r="O10" s="3682">
        <f>'6. Ел.Енергия'!F49/1000</f>
        <v>2890</v>
      </c>
      <c r="P10" s="3682">
        <f>'6. Ел.Енергия'!G49/1000</f>
        <v>2870</v>
      </c>
      <c r="Q10" s="3682">
        <f>'6. Ел.Енергия'!H49/1000</f>
        <v>2850</v>
      </c>
      <c r="R10" s="3682">
        <f>'6. Ел.Енергия'!V49</f>
        <v>316.58013377952068</v>
      </c>
      <c r="S10" s="3682">
        <f>'6. Ел.Енергия'!W49</f>
        <v>344.81971643752274</v>
      </c>
      <c r="T10" s="3682">
        <f>'6. Ел.Енергия'!X49</f>
        <v>340.02909250804004</v>
      </c>
      <c r="U10" s="3682">
        <f>'6. Ел.Енергия'!Y49</f>
        <v>333.99510693669697</v>
      </c>
      <c r="V10" s="3682">
        <f>'6. Ел.Енергия'!Z49</f>
        <v>331.58151270815972</v>
      </c>
      <c r="W10" s="3682">
        <f>'6. Ел.Енергия'!AA49</f>
        <v>329.16791847962241</v>
      </c>
      <c r="X10" s="3464"/>
      <c r="Y10" s="3675" t="s">
        <v>745</v>
      </c>
      <c r="Z10" s="3676" t="s">
        <v>756</v>
      </c>
      <c r="AA10" s="3677" t="s">
        <v>170</v>
      </c>
      <c r="AB10" s="3678">
        <f>'3. Показатели за качество'!E15</f>
        <v>0.38769999999999999</v>
      </c>
      <c r="AC10" s="3678">
        <f>'3. Показатели за качество'!F15</f>
        <v>0.38769999999999999</v>
      </c>
      <c r="AD10" s="3678">
        <f>'3. Показатели за качество'!G15</f>
        <v>0.38750000000000001</v>
      </c>
      <c r="AE10" s="3678">
        <f>'3. Показатели за качество'!H15</f>
        <v>0.38690000000000002</v>
      </c>
      <c r="AF10" s="3678">
        <f>'3. Показатели за качество'!I15</f>
        <v>0.38569999999999999</v>
      </c>
      <c r="AG10" s="3678">
        <f>'3. Показатели за качество'!J15</f>
        <v>0.38429999999999997</v>
      </c>
      <c r="AH10" s="3679">
        <f>'3. Показатели за качество'!M15</f>
        <v>0.3841</v>
      </c>
      <c r="AI10" s="3680">
        <v>0.49</v>
      </c>
      <c r="AJ10" s="3464"/>
    </row>
    <row r="11" spans="1:36" ht="15.95" customHeight="1">
      <c r="A11" s="3687" t="s">
        <v>1525</v>
      </c>
      <c r="B11" s="3605" t="s">
        <v>784</v>
      </c>
      <c r="C11" s="3688">
        <f>'2. Променливи'!E20</f>
        <v>158</v>
      </c>
      <c r="D11" s="3688">
        <f>'2. Променливи'!F20</f>
        <v>158</v>
      </c>
      <c r="E11" s="3688">
        <f>'2. Променливи'!G20</f>
        <v>158</v>
      </c>
      <c r="F11" s="3688">
        <f>'2. Променливи'!H20</f>
        <v>158</v>
      </c>
      <c r="G11" s="3688">
        <f>'2. Променливи'!I20</f>
        <v>158</v>
      </c>
      <c r="H11" s="3688">
        <f>'2. Променливи'!J20</f>
        <v>158</v>
      </c>
      <c r="I11" s="3464"/>
      <c r="J11" s="3683" t="s">
        <v>350</v>
      </c>
      <c r="K11" s="3684" t="s">
        <v>1549</v>
      </c>
      <c r="L11" s="3903"/>
      <c r="M11" s="3686">
        <f>'6. Ел.Енергия'!D50/1000</f>
        <v>-15.116</v>
      </c>
      <c r="N11" s="3686">
        <f>'6. Ел.Енергия'!E50/1000</f>
        <v>-40</v>
      </c>
      <c r="O11" s="3686">
        <f>'6. Ел.Енергия'!F50/1000</f>
        <v>-50</v>
      </c>
      <c r="P11" s="3686">
        <f>'6. Ел.Енергия'!G50/1000</f>
        <v>-20</v>
      </c>
      <c r="Q11" s="3686">
        <f>'6. Ел.Енергия'!H50/1000</f>
        <v>-20</v>
      </c>
      <c r="R11" s="3903"/>
      <c r="S11" s="3686">
        <f>'6. Ел.Енергия'!W50</f>
        <v>28.239582658002064</v>
      </c>
      <c r="T11" s="3686">
        <f>'6. Ел.Енергия'!X50</f>
        <v>-4.790623929482706</v>
      </c>
      <c r="U11" s="3686">
        <f>'6. Ел.Енергия'!Y50</f>
        <v>-6.0339855713430666</v>
      </c>
      <c r="V11" s="3686">
        <f>'6. Ел.Енергия'!Z50</f>
        <v>-2.4135942285372494</v>
      </c>
      <c r="W11" s="3686">
        <f>'6. Ел.Енергия'!AA50</f>
        <v>-2.4135942285373062</v>
      </c>
      <c r="X11" s="3464"/>
      <c r="Y11" s="3675" t="s">
        <v>121</v>
      </c>
      <c r="Z11" s="3676" t="s">
        <v>757</v>
      </c>
      <c r="AA11" s="3677" t="s">
        <v>749</v>
      </c>
      <c r="AB11" s="3696">
        <f>'3. Показатели за качество'!E16</f>
        <v>64.290000000000006</v>
      </c>
      <c r="AC11" s="3696">
        <f>'3. Показатели за качество'!F16</f>
        <v>62.04</v>
      </c>
      <c r="AD11" s="3696">
        <f>'3. Показатели за качество'!G16</f>
        <v>60.91</v>
      </c>
      <c r="AE11" s="3696">
        <f>'3. Показатели за качество'!H16</f>
        <v>60.35</v>
      </c>
      <c r="AF11" s="3696">
        <f>'3. Показатели за качество'!I16</f>
        <v>59.79</v>
      </c>
      <c r="AG11" s="3696">
        <f>'3. Показатели за качество'!J16</f>
        <v>59.28</v>
      </c>
      <c r="AH11" s="3697">
        <f>'3. Показатели за качество'!M16</f>
        <v>59.32</v>
      </c>
      <c r="AI11" s="3695">
        <v>60</v>
      </c>
      <c r="AJ11" s="3464"/>
    </row>
    <row r="12" spans="1:36" ht="15.95" customHeight="1">
      <c r="A12" s="3464"/>
      <c r="B12" s="3464"/>
      <c r="C12" s="3464"/>
      <c r="D12" s="3464"/>
      <c r="E12" s="3464"/>
      <c r="F12" s="3464"/>
      <c r="G12" s="3464"/>
      <c r="H12" s="3464"/>
      <c r="I12" s="3464"/>
      <c r="J12" s="3689" t="s">
        <v>1555</v>
      </c>
      <c r="K12" s="3690" t="s">
        <v>1551</v>
      </c>
      <c r="L12" s="3698">
        <f>'6. Ел.Енергия'!C51</f>
        <v>0.25810675898976015</v>
      </c>
      <c r="M12" s="3698">
        <f>'6. Ел.Енергия'!D51</f>
        <v>0.25689655172413794</v>
      </c>
      <c r="N12" s="3698">
        <f>'6. Ел.Енергия'!E51</f>
        <v>0.25344827586206897</v>
      </c>
      <c r="O12" s="3698">
        <f>'6. Ел.Енергия'!F51</f>
        <v>0.24913793103448276</v>
      </c>
      <c r="P12" s="3698">
        <f>'6. Ел.Енергия'!G51</f>
        <v>0.24741379310344827</v>
      </c>
      <c r="Q12" s="3698">
        <f>'6. Ел.Енергия'!H51</f>
        <v>0.24568965517241378</v>
      </c>
      <c r="R12" s="3685"/>
      <c r="S12" s="3685"/>
      <c r="T12" s="3685"/>
      <c r="U12" s="3685"/>
      <c r="V12" s="3685"/>
      <c r="W12" s="3685"/>
      <c r="X12" s="3464"/>
      <c r="Y12" s="3675" t="s">
        <v>1248</v>
      </c>
      <c r="Z12" s="3676" t="s">
        <v>758</v>
      </c>
      <c r="AA12" s="3677" t="s">
        <v>170</v>
      </c>
      <c r="AB12" s="3678">
        <f>'3. Показатели за качество'!E17</f>
        <v>0.5696</v>
      </c>
      <c r="AC12" s="3678">
        <f>'3. Показатели за качество'!F17</f>
        <v>0.75949999999999995</v>
      </c>
      <c r="AD12" s="3678">
        <f>'3. Показатели за качество'!G17</f>
        <v>0.79110000000000003</v>
      </c>
      <c r="AE12" s="3678">
        <f>'3. Показатели за качество'!H17</f>
        <v>0.85440000000000005</v>
      </c>
      <c r="AF12" s="3678">
        <f>'3. Показатели за качество'!I17</f>
        <v>0.8861</v>
      </c>
      <c r="AG12" s="3678">
        <f>'3. Показатели за качество'!J17</f>
        <v>1</v>
      </c>
      <c r="AH12" s="3679">
        <f>'3. Показатели за качество'!M17</f>
        <v>1</v>
      </c>
      <c r="AI12" s="3680">
        <v>1</v>
      </c>
      <c r="AJ12" s="3464"/>
    </row>
    <row r="13" spans="1:36" ht="15.95" customHeight="1">
      <c r="A13" s="5640" t="s">
        <v>2</v>
      </c>
      <c r="B13" s="5640" t="s">
        <v>746</v>
      </c>
      <c r="C13" s="5628" t="s">
        <v>922</v>
      </c>
      <c r="D13" s="5628"/>
      <c r="E13" s="5628"/>
      <c r="F13" s="5628"/>
      <c r="G13" s="5628"/>
      <c r="H13" s="5628"/>
      <c r="I13" s="3464"/>
      <c r="J13" s="3699" t="s">
        <v>1236</v>
      </c>
      <c r="K13" s="3682" t="s">
        <v>1549</v>
      </c>
      <c r="L13" s="3682">
        <f>'6. Ел.Енергия'!C65/1000</f>
        <v>0</v>
      </c>
      <c r="M13" s="3682">
        <f>'6. Ел.Енергия'!D65/1000</f>
        <v>0</v>
      </c>
      <c r="N13" s="3682">
        <f>'6. Ел.Енергия'!E65/1000</f>
        <v>0</v>
      </c>
      <c r="O13" s="3682">
        <f>'6. Ел.Енергия'!F65/1000</f>
        <v>0</v>
      </c>
      <c r="P13" s="3682">
        <f>'6. Ел.Енергия'!G65/1000</f>
        <v>0</v>
      </c>
      <c r="Q13" s="3682">
        <f>'6. Ел.Енергия'!H65/1000</f>
        <v>0</v>
      </c>
      <c r="R13" s="3682">
        <f>'6. Ел.Енергия'!V65</f>
        <v>0</v>
      </c>
      <c r="S13" s="3682">
        <f>'6. Ел.Енергия'!W65</f>
        <v>0</v>
      </c>
      <c r="T13" s="3682">
        <f>'6. Ел.Енергия'!X65</f>
        <v>0</v>
      </c>
      <c r="U13" s="3682">
        <f>'6. Ел.Енергия'!Y65</f>
        <v>0</v>
      </c>
      <c r="V13" s="3682">
        <f>'6. Ел.Енергия'!Z65</f>
        <v>0</v>
      </c>
      <c r="W13" s="3682">
        <f>'6. Ел.Енергия'!AA65</f>
        <v>0</v>
      </c>
      <c r="X13" s="3464"/>
      <c r="Y13" s="3675" t="s">
        <v>122</v>
      </c>
      <c r="Z13" s="3676" t="s">
        <v>759</v>
      </c>
      <c r="AA13" s="3677" t="s">
        <v>170</v>
      </c>
      <c r="AB13" s="3678">
        <f>'3. Показатели за качество'!E18</f>
        <v>0.79269999999999996</v>
      </c>
      <c r="AC13" s="3678">
        <f>'3. Показатели за качество'!F18</f>
        <v>0.79510000000000003</v>
      </c>
      <c r="AD13" s="3678">
        <f>'3. Показатели за качество'!G18</f>
        <v>0.79510000000000003</v>
      </c>
      <c r="AE13" s="3678">
        <f>'3. Показатели за качество'!H18</f>
        <v>0.79510000000000003</v>
      </c>
      <c r="AF13" s="3678">
        <f>'3. Показатели за качество'!I18</f>
        <v>0.79520000000000002</v>
      </c>
      <c r="AG13" s="3678">
        <f>'3. Показатели за качество'!J18</f>
        <v>0.79520000000000002</v>
      </c>
      <c r="AH13" s="3679">
        <f>'3. Показатели за качество'!M18</f>
        <v>0.79510000000000003</v>
      </c>
      <c r="AI13" s="3680">
        <v>0.75</v>
      </c>
      <c r="AJ13" s="3464"/>
    </row>
    <row r="14" spans="1:36" ht="15.95" customHeight="1">
      <c r="A14" s="5640"/>
      <c r="B14" s="5640"/>
      <c r="C14" s="4648" t="str">
        <f>+'15. ОПП'!$B$7</f>
        <v>2024 г.</v>
      </c>
      <c r="D14" s="4648" t="str">
        <f>+'15. ОПП'!$C$7</f>
        <v>2027 г.</v>
      </c>
      <c r="E14" s="4648" t="str">
        <f>+'15. ОПП'!$D$7</f>
        <v>2028 г.</v>
      </c>
      <c r="F14" s="4648" t="str">
        <f>+'15. ОПП'!$E$7</f>
        <v>2029 г.</v>
      </c>
      <c r="G14" s="4648" t="str">
        <f>+'15. ОПП'!$F$7</f>
        <v>2030 г.</v>
      </c>
      <c r="H14" s="4648" t="str">
        <f>+'15. ОПП'!$G$7</f>
        <v>2031 г.</v>
      </c>
      <c r="I14" s="3464"/>
      <c r="J14" s="3683" t="s">
        <v>350</v>
      </c>
      <c r="K14" s="3684" t="s">
        <v>1549</v>
      </c>
      <c r="L14" s="3903"/>
      <c r="M14" s="3686">
        <f>'6. Ел.Енергия'!D66/1000</f>
        <v>0</v>
      </c>
      <c r="N14" s="3686">
        <f>'6. Ел.Енергия'!E66/1000</f>
        <v>0</v>
      </c>
      <c r="O14" s="3686">
        <f>'6. Ел.Енергия'!F66/1000</f>
        <v>0</v>
      </c>
      <c r="P14" s="3686">
        <f>'6. Ел.Енергия'!G66/1000</f>
        <v>0</v>
      </c>
      <c r="Q14" s="3686">
        <f>'6. Ел.Енергия'!H66/1000</f>
        <v>0</v>
      </c>
      <c r="R14" s="3903"/>
      <c r="S14" s="3686">
        <f>'6. Ел.Енергия'!W66</f>
        <v>0</v>
      </c>
      <c r="T14" s="3686">
        <f>'6. Ел.Енергия'!X66</f>
        <v>0</v>
      </c>
      <c r="U14" s="3686">
        <f>'6. Ел.Енергия'!Y66</f>
        <v>0</v>
      </c>
      <c r="V14" s="3686">
        <f>'6. Ел.Енергия'!Z66</f>
        <v>0</v>
      </c>
      <c r="W14" s="3686">
        <f>'6. Ел.Енергия'!AA66</f>
        <v>0</v>
      </c>
      <c r="X14" s="3464"/>
      <c r="Y14" s="3675" t="s">
        <v>123</v>
      </c>
      <c r="Z14" s="3676" t="s">
        <v>760</v>
      </c>
      <c r="AA14" s="3677" t="s">
        <v>170</v>
      </c>
      <c r="AB14" s="3678">
        <f>'3. Показатели за качество'!E19</f>
        <v>0.443</v>
      </c>
      <c r="AC14" s="3678">
        <f>'3. Показатели за качество'!F19</f>
        <v>0.44330000000000003</v>
      </c>
      <c r="AD14" s="3678">
        <f>'3. Показатели за качество'!G19</f>
        <v>0.44330000000000003</v>
      </c>
      <c r="AE14" s="3678">
        <f>'3. Показатели за качество'!H19</f>
        <v>0.44330000000000003</v>
      </c>
      <c r="AF14" s="3678">
        <f>'3. Показатели за качество'!I19</f>
        <v>0.44330000000000003</v>
      </c>
      <c r="AG14" s="3678">
        <f>'3. Показатели за качество'!J19</f>
        <v>0.44330000000000003</v>
      </c>
      <c r="AH14" s="3679">
        <f>'3. Показатели за качество'!M19</f>
        <v>0.44330000000000003</v>
      </c>
      <c r="AI14" s="3680">
        <v>0.75</v>
      </c>
      <c r="AJ14" s="3464"/>
    </row>
    <row r="15" spans="1:36" ht="15.95" customHeight="1">
      <c r="A15" s="3700" t="s">
        <v>1006</v>
      </c>
      <c r="B15" s="3606" t="s">
        <v>784</v>
      </c>
      <c r="C15" s="3674">
        <f>'2. Променливи'!E21</f>
        <v>148</v>
      </c>
      <c r="D15" s="3674">
        <f>'2. Променливи'!F21</f>
        <v>148</v>
      </c>
      <c r="E15" s="3674">
        <f>'2. Променливи'!G21</f>
        <v>148</v>
      </c>
      <c r="F15" s="3674">
        <f>'2. Променливи'!H21</f>
        <v>148</v>
      </c>
      <c r="G15" s="3674">
        <f>'2. Променливи'!I21</f>
        <v>148</v>
      </c>
      <c r="H15" s="3674">
        <f>'2. Променливи'!J21</f>
        <v>148</v>
      </c>
      <c r="I15" s="3464"/>
      <c r="J15" s="3699" t="s">
        <v>1237</v>
      </c>
      <c r="K15" s="3682" t="s">
        <v>1549</v>
      </c>
      <c r="L15" s="3682">
        <f>'6. Ел.Енергия'!C81/1000</f>
        <v>0</v>
      </c>
      <c r="M15" s="3682">
        <f>'6. Ел.Енергия'!D81/1000</f>
        <v>0</v>
      </c>
      <c r="N15" s="3682">
        <f>'6. Ел.Енергия'!E81/1000</f>
        <v>0</v>
      </c>
      <c r="O15" s="3682">
        <f>'6. Ел.Енергия'!F81/1000</f>
        <v>0</v>
      </c>
      <c r="P15" s="3682">
        <f>'6. Ел.Енергия'!G81/1000</f>
        <v>0</v>
      </c>
      <c r="Q15" s="3682">
        <f>'6. Ел.Енергия'!H81/1000</f>
        <v>0</v>
      </c>
      <c r="R15" s="3682">
        <f>'6. Ел.Енергия'!V81</f>
        <v>0</v>
      </c>
      <c r="S15" s="3682">
        <f>'6. Ел.Енергия'!W81</f>
        <v>0</v>
      </c>
      <c r="T15" s="3682">
        <f>'6. Ел.Енергия'!X81</f>
        <v>0</v>
      </c>
      <c r="U15" s="3682">
        <f>'6. Ел.Енергия'!Y81</f>
        <v>0</v>
      </c>
      <c r="V15" s="3682">
        <f>'6. Ел.Енергия'!Z81</f>
        <v>0</v>
      </c>
      <c r="W15" s="3682">
        <f>'6. Ел.Енергия'!AA81</f>
        <v>0</v>
      </c>
      <c r="X15" s="3464"/>
      <c r="Y15" s="3675" t="s">
        <v>124</v>
      </c>
      <c r="Z15" s="3676" t="s">
        <v>761</v>
      </c>
      <c r="AA15" s="3677" t="s">
        <v>170</v>
      </c>
      <c r="AB15" s="3678">
        <f>'3. Показатели за качество'!E20</f>
        <v>0.1128</v>
      </c>
      <c r="AC15" s="3678">
        <f>'3. Показатели за качество'!F20</f>
        <v>0.122</v>
      </c>
      <c r="AD15" s="3678">
        <f>'3. Показатели за качество'!G20</f>
        <v>0.12959999999999999</v>
      </c>
      <c r="AE15" s="3678">
        <f>'3. Показатели за качество'!H20</f>
        <v>0.13719999999999999</v>
      </c>
      <c r="AF15" s="3678">
        <f>'3. Показатели за качество'!I20</f>
        <v>0.14480000000000001</v>
      </c>
      <c r="AG15" s="3678">
        <f>'3. Показатели за качество'!J20</f>
        <v>0.15240000000000001</v>
      </c>
      <c r="AH15" s="3679">
        <f>'3. Показатели за качество'!M20</f>
        <v>0.87280000000000002</v>
      </c>
      <c r="AI15" s="3680">
        <v>0.93</v>
      </c>
      <c r="AJ15" s="3464"/>
    </row>
    <row r="16" spans="1:36" ht="15.95" customHeight="1">
      <c r="A16" s="3700" t="s">
        <v>861</v>
      </c>
      <c r="B16" s="3606" t="s">
        <v>784</v>
      </c>
      <c r="C16" s="3674">
        <f>'2. Променливи'!E22</f>
        <v>5</v>
      </c>
      <c r="D16" s="3674">
        <f>'2. Променливи'!F22</f>
        <v>5</v>
      </c>
      <c r="E16" s="3674">
        <f>'2. Променливи'!G22</f>
        <v>5</v>
      </c>
      <c r="F16" s="3674">
        <f>'2. Променливи'!H22</f>
        <v>5</v>
      </c>
      <c r="G16" s="3674">
        <f>'2. Променливи'!I22</f>
        <v>5</v>
      </c>
      <c r="H16" s="3674">
        <f>'2. Променливи'!J22</f>
        <v>5</v>
      </c>
      <c r="I16" s="3464"/>
      <c r="J16" s="3683" t="s">
        <v>350</v>
      </c>
      <c r="K16" s="3684" t="s">
        <v>1549</v>
      </c>
      <c r="L16" s="3903"/>
      <c r="M16" s="3686">
        <f>'6. Ел.Енергия'!D82/1000</f>
        <v>0</v>
      </c>
      <c r="N16" s="3686">
        <f>'6. Ел.Енергия'!E82/1000</f>
        <v>0</v>
      </c>
      <c r="O16" s="3686">
        <f>'6. Ел.Енергия'!F82/1000</f>
        <v>0</v>
      </c>
      <c r="P16" s="3686">
        <f>'6. Ел.Енергия'!G82/1000</f>
        <v>0</v>
      </c>
      <c r="Q16" s="3686">
        <f>'6. Ел.Енергия'!H82/1000</f>
        <v>0</v>
      </c>
      <c r="R16" s="3903"/>
      <c r="S16" s="3686">
        <f>'6. Ел.Енергия'!W82</f>
        <v>0</v>
      </c>
      <c r="T16" s="3686">
        <f>'6. Ел.Енергия'!X82</f>
        <v>0</v>
      </c>
      <c r="U16" s="3686">
        <f>'6. Ел.Енергия'!Y82</f>
        <v>0</v>
      </c>
      <c r="V16" s="3686">
        <f>'6. Ел.Енергия'!Z82</f>
        <v>0</v>
      </c>
      <c r="W16" s="3686">
        <f>'6. Ел.Енергия'!AA82</f>
        <v>0</v>
      </c>
      <c r="X16" s="3464"/>
      <c r="Y16" s="3675" t="s">
        <v>125</v>
      </c>
      <c r="Z16" s="3676" t="s">
        <v>762</v>
      </c>
      <c r="AA16" s="3677" t="s">
        <v>749</v>
      </c>
      <c r="AB16" s="3696">
        <f>'3. Показатели за качество'!E21</f>
        <v>72.86</v>
      </c>
      <c r="AC16" s="3696">
        <f>'3. Показатели за качество'!F21</f>
        <v>65.53</v>
      </c>
      <c r="AD16" s="3696">
        <f>'3. Показатели за качество'!G21</f>
        <v>59.47</v>
      </c>
      <c r="AE16" s="3696">
        <f>'3. Показатели за качество'!H21</f>
        <v>53.4</v>
      </c>
      <c r="AF16" s="3696">
        <f>'3. Показатели за качество'!I21</f>
        <v>47.33</v>
      </c>
      <c r="AG16" s="3696">
        <f>'3. Показатели за качество'!J21</f>
        <v>41.26</v>
      </c>
      <c r="AH16" s="3697">
        <f>'3. Показатели за качество'!M21</f>
        <v>27.38</v>
      </c>
      <c r="AI16" s="3695">
        <v>120</v>
      </c>
      <c r="AJ16" s="3464"/>
    </row>
    <row r="17" spans="1:36" ht="15.95" customHeight="1">
      <c r="A17" s="3700" t="s">
        <v>862</v>
      </c>
      <c r="B17" s="3607" t="s">
        <v>784</v>
      </c>
      <c r="C17" s="3674">
        <f>'2. Променливи'!E23</f>
        <v>128</v>
      </c>
      <c r="D17" s="3674">
        <f>'2. Променливи'!F23</f>
        <v>128</v>
      </c>
      <c r="E17" s="3674">
        <f>'2. Променливи'!G23</f>
        <v>128</v>
      </c>
      <c r="F17" s="3674">
        <f>'2. Променливи'!H23</f>
        <v>128</v>
      </c>
      <c r="G17" s="3674">
        <f>'2. Променливи'!I23</f>
        <v>128</v>
      </c>
      <c r="H17" s="3674">
        <f>'2. Променливи'!J23</f>
        <v>128</v>
      </c>
      <c r="I17" s="3464"/>
      <c r="J17" s="3702" t="s">
        <v>1727</v>
      </c>
      <c r="K17" s="3684" t="s">
        <v>1549</v>
      </c>
      <c r="L17" s="3684">
        <f>'6. Ел.Енергия'!C94/1000</f>
        <v>594.779</v>
      </c>
      <c r="M17" s="3684">
        <f>'6. Ел.Енергия'!D94/1000</f>
        <v>0</v>
      </c>
      <c r="N17" s="3684">
        <f>'6. Ел.Енергия'!E94/1000</f>
        <v>0</v>
      </c>
      <c r="O17" s="3684">
        <f>'6. Ел.Енергия'!F94/1000</f>
        <v>0</v>
      </c>
      <c r="P17" s="3684">
        <f>'6. Ел.Енергия'!G94/1000</f>
        <v>0</v>
      </c>
      <c r="Q17" s="3684">
        <f>'6. Ел.Енергия'!H94/1000</f>
        <v>0</v>
      </c>
      <c r="R17" s="3684">
        <f>'6. Ел.Енергия'!V94</f>
        <v>74.870208679690975</v>
      </c>
      <c r="S17" s="3684">
        <f>'6. Ел.Енергия'!W94</f>
        <v>0</v>
      </c>
      <c r="T17" s="3684">
        <f>'6. Ел.Енергия'!X94</f>
        <v>0</v>
      </c>
      <c r="U17" s="3684">
        <f>'6. Ел.Енергия'!Y94</f>
        <v>0</v>
      </c>
      <c r="V17" s="3684">
        <f>'6. Ел.Енергия'!Z94</f>
        <v>0</v>
      </c>
      <c r="W17" s="3684">
        <f>'6. Ел.Енергия'!AA94</f>
        <v>0</v>
      </c>
      <c r="X17" s="3464"/>
      <c r="Y17" s="3675" t="s">
        <v>126</v>
      </c>
      <c r="Z17" s="3676" t="s">
        <v>763</v>
      </c>
      <c r="AA17" s="3677" t="s">
        <v>750</v>
      </c>
      <c r="AB17" s="3693">
        <f>'3. Показатели за качество'!E22</f>
        <v>0.92100000000000004</v>
      </c>
      <c r="AC17" s="3693">
        <f>'3. Показатели за качество'!F22</f>
        <v>0.86299999999999999</v>
      </c>
      <c r="AD17" s="3693">
        <f>'3. Показатели за качество'!G22</f>
        <v>0.79900000000000004</v>
      </c>
      <c r="AE17" s="3693">
        <f>'3. Показатели за качество'!H22</f>
        <v>0.73199999999999998</v>
      </c>
      <c r="AF17" s="3693">
        <f>'3. Показатели за качество'!I22</f>
        <v>0.65900000000000003</v>
      </c>
      <c r="AG17" s="3693">
        <f>'3. Показатели за качество'!J22</f>
        <v>0.57899999999999996</v>
      </c>
      <c r="AH17" s="3694">
        <f>'3. Показатели за качество'!M22</f>
        <v>0.57999999999999996</v>
      </c>
      <c r="AI17" s="3695">
        <v>0.5</v>
      </c>
      <c r="AJ17" s="3464"/>
    </row>
    <row r="18" spans="1:36" ht="15.95" customHeight="1">
      <c r="A18" s="3700" t="s">
        <v>863</v>
      </c>
      <c r="B18" s="3606" t="s">
        <v>784</v>
      </c>
      <c r="C18" s="3674">
        <f>'2. Променливи'!E24</f>
        <v>38</v>
      </c>
      <c r="D18" s="3674">
        <f>'2. Променливи'!F24</f>
        <v>38</v>
      </c>
      <c r="E18" s="3674">
        <f>'2. Променливи'!G24</f>
        <v>38</v>
      </c>
      <c r="F18" s="3674">
        <f>'2. Променливи'!H24</f>
        <v>38</v>
      </c>
      <c r="G18" s="3674">
        <f>'2. Променливи'!I24</f>
        <v>38</v>
      </c>
      <c r="H18" s="3674">
        <f>'2. Променливи'!J24</f>
        <v>38</v>
      </c>
      <c r="I18" s="3464"/>
      <c r="J18" s="3692" t="s">
        <v>1553</v>
      </c>
      <c r="K18" s="3682" t="s">
        <v>1549</v>
      </c>
      <c r="L18" s="3682">
        <f>SUM(L5,L8,L10,L13,L15,L17)</f>
        <v>5013.9699999999993</v>
      </c>
      <c r="M18" s="3682">
        <f t="shared" ref="M18:W18" si="0">SUM(M5,M8,M10,M13,M15,M17)</f>
        <v>4395.5</v>
      </c>
      <c r="N18" s="3682">
        <f t="shared" si="0"/>
        <v>4290.5</v>
      </c>
      <c r="O18" s="3682">
        <f t="shared" si="0"/>
        <v>4185.3999999999996</v>
      </c>
      <c r="P18" s="3682">
        <f t="shared" si="0"/>
        <v>4110.3999999999996</v>
      </c>
      <c r="Q18" s="3682">
        <f t="shared" si="0"/>
        <v>4025.4</v>
      </c>
      <c r="R18" s="3682">
        <f t="shared" si="0"/>
        <v>575.17704176999018</v>
      </c>
      <c r="S18" s="3682">
        <f t="shared" si="0"/>
        <v>534.8614337646934</v>
      </c>
      <c r="T18" s="3682">
        <f t="shared" si="0"/>
        <v>521.28307777260807</v>
      </c>
      <c r="U18" s="3682">
        <f t="shared" si="0"/>
        <v>507.9656031454677</v>
      </c>
      <c r="V18" s="3682">
        <f t="shared" si="0"/>
        <v>498.28257854721528</v>
      </c>
      <c r="W18" s="3682">
        <f t="shared" si="0"/>
        <v>487.2357135333848</v>
      </c>
      <c r="X18" s="3464"/>
      <c r="Y18" s="3675" t="s">
        <v>127</v>
      </c>
      <c r="Z18" s="3676" t="s">
        <v>1589</v>
      </c>
      <c r="AA18" s="3677" t="s">
        <v>1590</v>
      </c>
      <c r="AB18" s="3693">
        <f>'3. Показатели за качество'!E23</f>
        <v>7.5999999999999998E-2</v>
      </c>
      <c r="AC18" s="3693">
        <f>'3. Показатели за качество'!F23</f>
        <v>7.5999999999999998E-2</v>
      </c>
      <c r="AD18" s="3693">
        <f>'3. Показатели за качество'!G23</f>
        <v>7.4999999999999997E-2</v>
      </c>
      <c r="AE18" s="3693">
        <f>'3. Показатели за качество'!H23</f>
        <v>7.3999999999999996E-2</v>
      </c>
      <c r="AF18" s="3693">
        <f>'3. Показатели за качество'!I23</f>
        <v>7.2999999999999995E-2</v>
      </c>
      <c r="AG18" s="3693">
        <f>'3. Показатели за качество'!J23</f>
        <v>7.1999999999999995E-2</v>
      </c>
      <c r="AH18" s="3694">
        <f>'3. Показатели за качество'!M23</f>
        <v>7.1999999999999995E-2</v>
      </c>
      <c r="AI18" s="3695">
        <v>0.45</v>
      </c>
      <c r="AJ18" s="3464"/>
    </row>
    <row r="19" spans="1:36" ht="15.95" customHeight="1">
      <c r="A19" s="3703" t="s">
        <v>1528</v>
      </c>
      <c r="B19" s="3607" t="s">
        <v>812</v>
      </c>
      <c r="C19" s="3674">
        <f>'2. Променливи'!E25</f>
        <v>1770</v>
      </c>
      <c r="D19" s="3674">
        <f>'2. Променливи'!F25</f>
        <v>1773</v>
      </c>
      <c r="E19" s="3674">
        <f>'2. Променливи'!G25</f>
        <v>1773</v>
      </c>
      <c r="F19" s="3674">
        <f>'2. Променливи'!H25</f>
        <v>1773</v>
      </c>
      <c r="G19" s="3674">
        <f>'2. Променливи'!I25</f>
        <v>1773</v>
      </c>
      <c r="H19" s="3674">
        <f>'2. Променливи'!J25</f>
        <v>1773</v>
      </c>
      <c r="I19" s="3464"/>
      <c r="J19" s="3706" t="s">
        <v>1552</v>
      </c>
      <c r="K19" s="3682" t="s">
        <v>170</v>
      </c>
      <c r="L19" s="3685"/>
      <c r="M19" s="3707">
        <f>IFERROR((M18-L18)/L18,0)</f>
        <v>-0.12334936188289906</v>
      </c>
      <c r="N19" s="3707">
        <f t="shared" ref="N19:Q19" si="1">IFERROR((N18-M18)/M18,0)</f>
        <v>-2.3888067341599362E-2</v>
      </c>
      <c r="O19" s="3707">
        <f t="shared" si="1"/>
        <v>-2.4495979489570066E-2</v>
      </c>
      <c r="P19" s="3707">
        <f t="shared" si="1"/>
        <v>-1.7919434223730112E-2</v>
      </c>
      <c r="Q19" s="3707">
        <f t="shared" si="1"/>
        <v>-2.0679252627481402E-2</v>
      </c>
      <c r="R19" s="3708"/>
      <c r="S19" s="3707">
        <f t="shared" ref="S19:W19" si="2">IFERROR((S18-R18)/R18,0)</f>
        <v>-7.0092519481017024E-2</v>
      </c>
      <c r="T19" s="3707">
        <f t="shared" si="2"/>
        <v>-2.5386679866806379E-2</v>
      </c>
      <c r="U19" s="3707">
        <f t="shared" si="2"/>
        <v>-2.5547490787624732E-2</v>
      </c>
      <c r="V19" s="3707">
        <f t="shared" si="2"/>
        <v>-1.9062362762935856E-2</v>
      </c>
      <c r="W19" s="3707">
        <f t="shared" si="2"/>
        <v>-2.2169880082981323E-2</v>
      </c>
      <c r="X19" s="3464"/>
      <c r="Y19" s="3675" t="s">
        <v>128</v>
      </c>
      <c r="Z19" s="3676" t="s">
        <v>764</v>
      </c>
      <c r="AA19" s="3677" t="s">
        <v>1590</v>
      </c>
      <c r="AB19" s="3693">
        <f>'3. Показатели за качество'!E24</f>
        <v>0.25800000000000001</v>
      </c>
      <c r="AC19" s="3693">
        <f>'3. Показатели за качество'!F24</f>
        <v>0.25700000000000001</v>
      </c>
      <c r="AD19" s="3693">
        <f>'3. Показатели за качество'!G24</f>
        <v>0.253</v>
      </c>
      <c r="AE19" s="3693">
        <f>'3. Показатели за качество'!H24</f>
        <v>0.249</v>
      </c>
      <c r="AF19" s="3693">
        <f>'3. Показатели за качество'!I24</f>
        <v>0.247</v>
      </c>
      <c r="AG19" s="3693">
        <f>'3. Показатели за качество'!J24</f>
        <v>0.246</v>
      </c>
      <c r="AH19" s="3694">
        <f>'3. Показатели за качество'!M24</f>
        <v>0.246</v>
      </c>
      <c r="AI19" s="3695">
        <v>0.25</v>
      </c>
      <c r="AJ19" s="3464"/>
    </row>
    <row r="20" spans="1:36" ht="15.95" customHeight="1">
      <c r="A20" s="3704" t="s">
        <v>1527</v>
      </c>
      <c r="B20" s="3607" t="s">
        <v>784</v>
      </c>
      <c r="C20" s="3705">
        <f>'2. Променливи'!E27</f>
        <v>158</v>
      </c>
      <c r="D20" s="3705">
        <f>'2. Променливи'!F27</f>
        <v>158</v>
      </c>
      <c r="E20" s="3705">
        <f>'2. Променливи'!G27</f>
        <v>158</v>
      </c>
      <c r="F20" s="3705">
        <f>'2. Променливи'!H27</f>
        <v>158</v>
      </c>
      <c r="G20" s="3705">
        <f>'2. Променливи'!I27</f>
        <v>158</v>
      </c>
      <c r="H20" s="3705">
        <f>'2. Променливи'!J27</f>
        <v>158</v>
      </c>
      <c r="I20" s="3464"/>
      <c r="J20" s="4330" t="str">
        <f>CONCATENATE("Темп на изменение спрямо ",L4)</f>
        <v>Темп на изменение спрямо 2024 г.</v>
      </c>
      <c r="K20" s="3682" t="s">
        <v>170</v>
      </c>
      <c r="L20" s="3685"/>
      <c r="M20" s="3709">
        <f>IFERROR((M18-$L$18)/$L$18,0)</f>
        <v>-0.12334936188289906</v>
      </c>
      <c r="N20" s="3709">
        <f t="shared" ref="N20:Q20" si="3">IFERROR((N18-$L$18)/$L$18,0)</f>
        <v>-0.14429085136129643</v>
      </c>
      <c r="O20" s="3709">
        <f t="shared" si="3"/>
        <v>-0.16525228511538756</v>
      </c>
      <c r="P20" s="3709">
        <f t="shared" si="3"/>
        <v>-0.1802104918856714</v>
      </c>
      <c r="Q20" s="3709">
        <f t="shared" si="3"/>
        <v>-0.19716312622532631</v>
      </c>
      <c r="R20" s="3710"/>
      <c r="S20" s="3709">
        <f>IFERROR((S18-$R$18)/$R$18,0)</f>
        <v>-7.0092519481017024E-2</v>
      </c>
      <c r="T20" s="3709">
        <f t="shared" ref="T20:W20" si="4">IFERROR((T18-$R$18)/$R$18,0)</f>
        <v>-9.3699782994700942E-2</v>
      </c>
      <c r="U20" s="3709">
        <f t="shared" si="4"/>
        <v>-0.11685347943946611</v>
      </c>
      <c r="V20" s="3709">
        <f t="shared" si="4"/>
        <v>-0.13368833878721559</v>
      </c>
      <c r="W20" s="3709">
        <f t="shared" si="4"/>
        <v>-0.15289436443079135</v>
      </c>
      <c r="X20" s="3464"/>
      <c r="Y20" s="3675" t="s">
        <v>129</v>
      </c>
      <c r="Z20" s="3676" t="s">
        <v>765</v>
      </c>
      <c r="AA20" s="3677" t="s">
        <v>170</v>
      </c>
      <c r="AB20" s="3678">
        <f>'3. Показатели за качество'!E25</f>
        <v>0</v>
      </c>
      <c r="AC20" s="3678">
        <f>'3. Показатели за качество'!F25</f>
        <v>0.29409999999999997</v>
      </c>
      <c r="AD20" s="3678">
        <f>'3. Показатели за качество'!G25</f>
        <v>0.58819999999999995</v>
      </c>
      <c r="AE20" s="3678">
        <f>'3. Показатели за качество'!H25</f>
        <v>0.58819999999999995</v>
      </c>
      <c r="AF20" s="3678">
        <f>'3. Показатели за качество'!I25</f>
        <v>0.88239999999999996</v>
      </c>
      <c r="AG20" s="3678">
        <f>'3. Показатели за качество'!J25</f>
        <v>0.97060000000000002</v>
      </c>
      <c r="AH20" s="3679">
        <f>'3. Показатели за качество'!M25</f>
        <v>0.96150000000000002</v>
      </c>
      <c r="AI20" s="3680">
        <v>1</v>
      </c>
      <c r="AJ20" s="3464"/>
    </row>
    <row r="21" spans="1:36" ht="18.75" customHeight="1">
      <c r="A21" s="3703" t="s">
        <v>1529</v>
      </c>
      <c r="B21" s="3607" t="s">
        <v>784</v>
      </c>
      <c r="C21" s="3705">
        <f>'2. Променливи'!E28</f>
        <v>58180</v>
      </c>
      <c r="D21" s="3705">
        <f>'2. Променливи'!F28</f>
        <v>58913</v>
      </c>
      <c r="E21" s="3705">
        <f>'2. Променливи'!G28</f>
        <v>59113</v>
      </c>
      <c r="F21" s="3705">
        <f>'2. Променливи'!H28</f>
        <v>59313</v>
      </c>
      <c r="G21" s="3705">
        <f>'2. Променливи'!I28</f>
        <v>59513</v>
      </c>
      <c r="H21" s="3705">
        <f>'2. Променливи'!J28</f>
        <v>59713</v>
      </c>
      <c r="I21" s="3464"/>
      <c r="J21" s="3712" t="s">
        <v>606</v>
      </c>
      <c r="K21" s="3684" t="s">
        <v>1549</v>
      </c>
      <c r="L21" s="3684">
        <f>'6. Ел.Енергия'!C95/1000</f>
        <v>32.593000000000004</v>
      </c>
      <c r="M21" s="3684">
        <f>'6. Ел.Енергия'!D95/1000</f>
        <v>0</v>
      </c>
      <c r="N21" s="3684">
        <f>'6. Ел.Енергия'!E95/1000</f>
        <v>0</v>
      </c>
      <c r="O21" s="3684">
        <f>'6. Ел.Енергия'!F95/1000</f>
        <v>0</v>
      </c>
      <c r="P21" s="3684">
        <f>'6. Ел.Енергия'!G95/1000</f>
        <v>0</v>
      </c>
      <c r="Q21" s="3684">
        <f>'6. Ел.Енергия'!H95/1000</f>
        <v>0</v>
      </c>
      <c r="R21" s="3684">
        <f>'6. Ел.Енергия'!V95</f>
        <v>3.8166954096214911</v>
      </c>
      <c r="S21" s="3684">
        <f>'6. Ел.Енергия'!W95</f>
        <v>0</v>
      </c>
      <c r="T21" s="3684">
        <f>'6. Ел.Енергия'!X95</f>
        <v>0</v>
      </c>
      <c r="U21" s="3684">
        <f>'6. Ел.Енергия'!Y95</f>
        <v>0</v>
      </c>
      <c r="V21" s="3684">
        <f>'6. Ел.Енергия'!Z95</f>
        <v>0</v>
      </c>
      <c r="W21" s="3684">
        <f>'6. Ел.Енергия'!AA95</f>
        <v>0</v>
      </c>
      <c r="X21" s="3464"/>
      <c r="Y21" s="3675" t="s">
        <v>130</v>
      </c>
      <c r="Z21" s="3676" t="s">
        <v>766</v>
      </c>
      <c r="AA21" s="3677" t="s">
        <v>170</v>
      </c>
      <c r="AB21" s="3678">
        <f>'3. Показатели за качество'!E26</f>
        <v>2.2599999999999999E-2</v>
      </c>
      <c r="AC21" s="3678">
        <f>'3. Показатели за качество'!F26</f>
        <v>2.2599999999999999E-2</v>
      </c>
      <c r="AD21" s="3678">
        <f>'3. Показатели за качество'!G26</f>
        <v>2.3099999999999999E-2</v>
      </c>
      <c r="AE21" s="3678">
        <f>'3. Показатели за качество'!H26</f>
        <v>2.3699999999999999E-2</v>
      </c>
      <c r="AF21" s="3678">
        <f>'3. Показатели за качество'!I26</f>
        <v>2.3699999999999999E-2</v>
      </c>
      <c r="AG21" s="3678">
        <f>'3. Показатели за качество'!J26</f>
        <v>2.4299999999999999E-2</v>
      </c>
      <c r="AH21" s="3679">
        <f>'3. Показатели за качество'!M26</f>
        <v>2.4299999999999999E-2</v>
      </c>
      <c r="AI21" s="3711">
        <v>1.2500000000000001E-2</v>
      </c>
      <c r="AJ21" s="3464"/>
    </row>
    <row r="22" spans="1:36" ht="15.75" customHeight="1">
      <c r="A22" s="3703" t="s">
        <v>1531</v>
      </c>
      <c r="B22" s="3607" t="s">
        <v>784</v>
      </c>
      <c r="C22" s="3705">
        <f>'2. Променливи'!E29</f>
        <v>56877</v>
      </c>
      <c r="D22" s="3705">
        <f>'2. Променливи'!F29</f>
        <v>57477</v>
      </c>
      <c r="E22" s="3705">
        <f>'2. Променливи'!G29</f>
        <v>57677</v>
      </c>
      <c r="F22" s="3705">
        <f>'2. Променливи'!H29</f>
        <v>57877</v>
      </c>
      <c r="G22" s="3705">
        <f>'2. Променливи'!I29</f>
        <v>58077</v>
      </c>
      <c r="H22" s="3705">
        <f>'2. Променливи'!J29</f>
        <v>58277</v>
      </c>
      <c r="I22" s="3464"/>
      <c r="J22" s="3464"/>
      <c r="K22" s="3464"/>
      <c r="L22" s="3464"/>
      <c r="M22" s="3464"/>
      <c r="N22" s="3464"/>
      <c r="O22" s="3464"/>
      <c r="P22" s="3464"/>
      <c r="Q22" s="3464"/>
      <c r="R22" s="3464"/>
      <c r="S22" s="3464"/>
      <c r="T22" s="3464"/>
      <c r="U22" s="3464"/>
      <c r="V22" s="3464"/>
      <c r="W22" s="3464"/>
      <c r="X22" s="3464"/>
      <c r="Y22" s="3675" t="s">
        <v>774</v>
      </c>
      <c r="Z22" s="3676" t="s">
        <v>775</v>
      </c>
      <c r="AA22" s="3677" t="s">
        <v>170</v>
      </c>
      <c r="AB22" s="3678">
        <f>'3. Показатели за качество'!E27</f>
        <v>1.24E-2</v>
      </c>
      <c r="AC22" s="3678">
        <f>'3. Показатели за качество'!F27</f>
        <v>1.24E-2</v>
      </c>
      <c r="AD22" s="3678">
        <f>'3. Показатели за качество'!G27</f>
        <v>1.24E-2</v>
      </c>
      <c r="AE22" s="3678">
        <f>'3. Показатели за качество'!H27</f>
        <v>1.24E-2</v>
      </c>
      <c r="AF22" s="3678">
        <f>'3. Показатели за качество'!I27</f>
        <v>1.24E-2</v>
      </c>
      <c r="AG22" s="3678">
        <f>'3. Показатели за качество'!J27</f>
        <v>1.24E-2</v>
      </c>
      <c r="AH22" s="3679">
        <f>'3. Показатели за качество'!M27</f>
        <v>1.41E-2</v>
      </c>
      <c r="AI22" s="3711">
        <v>1.2500000000000001E-2</v>
      </c>
      <c r="AJ22" s="3464"/>
    </row>
    <row r="23" spans="1:36" ht="15.95" customHeight="1">
      <c r="A23" s="3703" t="s">
        <v>1530</v>
      </c>
      <c r="B23" s="3607" t="s">
        <v>784</v>
      </c>
      <c r="C23" s="3705">
        <f>'2. Променливи'!E30</f>
        <v>34406</v>
      </c>
      <c r="D23" s="3705">
        <f>'2. Променливи'!F30</f>
        <v>34796</v>
      </c>
      <c r="E23" s="3705">
        <f>'2. Променливи'!G30</f>
        <v>34926</v>
      </c>
      <c r="F23" s="3705">
        <f>'2. Променливи'!H30</f>
        <v>35056</v>
      </c>
      <c r="G23" s="3705">
        <f>'2. Променливи'!I30</f>
        <v>35186</v>
      </c>
      <c r="H23" s="3705">
        <f>'2. Променливи'!J30</f>
        <v>35316</v>
      </c>
      <c r="I23" s="3464"/>
      <c r="J23" s="3464"/>
      <c r="K23" s="3464"/>
      <c r="L23" s="3464"/>
      <c r="M23" s="3464"/>
      <c r="N23" s="3464"/>
      <c r="O23" s="3464"/>
      <c r="P23" s="3464"/>
      <c r="Q23" s="3464"/>
      <c r="R23" s="3464"/>
      <c r="S23" s="3464"/>
      <c r="T23" s="3464"/>
      <c r="U23" s="3464"/>
      <c r="V23" s="3464"/>
      <c r="W23" s="3464"/>
      <c r="X23" s="3464"/>
      <c r="Y23" s="3675" t="s">
        <v>131</v>
      </c>
      <c r="Z23" s="3676" t="s">
        <v>47</v>
      </c>
      <c r="AA23" s="3677" t="s">
        <v>1033</v>
      </c>
      <c r="AB23" s="3696">
        <f>'3. Показатели за качество'!E28</f>
        <v>1</v>
      </c>
      <c r="AC23" s="3696">
        <f>'3. Показатели за качество'!F28</f>
        <v>1</v>
      </c>
      <c r="AD23" s="3696">
        <f>'3. Показатели за качество'!G28</f>
        <v>1</v>
      </c>
      <c r="AE23" s="3696">
        <f>'3. Показатели за качество'!H28</f>
        <v>1</v>
      </c>
      <c r="AF23" s="3696">
        <f>'3. Показатели за качество'!I28</f>
        <v>1</v>
      </c>
      <c r="AG23" s="3696">
        <f>'3. Показатели за качество'!J28</f>
        <v>1</v>
      </c>
      <c r="AH23" s="3697">
        <f>'3. Показатели за качество'!M28</f>
        <v>1.1000000000000001</v>
      </c>
      <c r="AI23" s="3695">
        <v>1.1000000000000001</v>
      </c>
      <c r="AJ23" s="3464"/>
    </row>
    <row r="24" spans="1:36" ht="15.95" customHeight="1">
      <c r="A24" s="3703" t="s">
        <v>823</v>
      </c>
      <c r="B24" s="3607" t="s">
        <v>822</v>
      </c>
      <c r="C24" s="3705">
        <f>'2. Променливи'!E31</f>
        <v>409</v>
      </c>
      <c r="D24" s="3705">
        <f>'2. Променливи'!F31</f>
        <v>412</v>
      </c>
      <c r="E24" s="3705">
        <f>'2. Променливи'!G31</f>
        <v>412</v>
      </c>
      <c r="F24" s="3705">
        <f>'2. Променливи'!H31</f>
        <v>412</v>
      </c>
      <c r="G24" s="3705">
        <f>'2. Променливи'!I31</f>
        <v>412</v>
      </c>
      <c r="H24" s="3705">
        <f>'2. Променливи'!J31</f>
        <v>412</v>
      </c>
      <c r="I24" s="3464"/>
      <c r="J24" s="3464"/>
      <c r="K24" s="3464"/>
      <c r="L24" s="3464"/>
      <c r="M24" s="3464"/>
      <c r="N24" s="3464"/>
      <c r="O24" s="3464"/>
      <c r="P24" s="3464"/>
      <c r="Q24" s="3464"/>
      <c r="R24" s="3464"/>
      <c r="S24" s="3464"/>
      <c r="T24" s="3464"/>
      <c r="U24" s="3464"/>
      <c r="V24" s="3464"/>
      <c r="W24" s="3464"/>
      <c r="X24" s="3464"/>
      <c r="Y24" s="3675" t="s">
        <v>132</v>
      </c>
      <c r="Z24" s="3676" t="s">
        <v>50</v>
      </c>
      <c r="AA24" s="3677" t="s">
        <v>1033</v>
      </c>
      <c r="AB24" s="3696">
        <f>'3. Показатели за качество'!E29</f>
        <v>0.65</v>
      </c>
      <c r="AC24" s="3696">
        <f>'3. Показатели за качество'!F29</f>
        <v>1</v>
      </c>
      <c r="AD24" s="3696">
        <f>'3. Показатели за качество'!G29</f>
        <v>1</v>
      </c>
      <c r="AE24" s="3696">
        <f>'3. Показатели за качество'!H29</f>
        <v>1</v>
      </c>
      <c r="AF24" s="3696">
        <f>'3. Показатели за качество'!I29</f>
        <v>1</v>
      </c>
      <c r="AG24" s="3696">
        <f>'3. Показатели за качество'!J29</f>
        <v>1</v>
      </c>
      <c r="AH24" s="3697">
        <f>'3. Показатели за качество'!M29</f>
        <v>1.1000000000000001</v>
      </c>
      <c r="AI24" s="3695">
        <v>1.1000000000000001</v>
      </c>
      <c r="AJ24" s="3464"/>
    </row>
    <row r="25" spans="1:36" ht="15.95" customHeight="1">
      <c r="A25" s="3700" t="s">
        <v>864</v>
      </c>
      <c r="B25" s="3606" t="s">
        <v>784</v>
      </c>
      <c r="C25" s="3705">
        <f>'2. Променливи'!E32</f>
        <v>1</v>
      </c>
      <c r="D25" s="3705">
        <f>'2. Променливи'!F32</f>
        <v>1</v>
      </c>
      <c r="E25" s="3705">
        <f>'2. Променливи'!G32</f>
        <v>1</v>
      </c>
      <c r="F25" s="3705">
        <f>'2. Променливи'!H32</f>
        <v>1</v>
      </c>
      <c r="G25" s="3705">
        <f>'2. Променливи'!I32</f>
        <v>1</v>
      </c>
      <c r="H25" s="3705">
        <f>'2. Променливи'!J32</f>
        <v>1</v>
      </c>
      <c r="I25" s="3464"/>
      <c r="J25" s="3464"/>
      <c r="K25" s="3464"/>
      <c r="L25" s="3464"/>
      <c r="M25" s="3464"/>
      <c r="N25" s="3464"/>
      <c r="O25" s="3464"/>
      <c r="P25" s="3464"/>
      <c r="Q25" s="3464"/>
      <c r="R25" s="3464"/>
      <c r="S25" s="3464"/>
      <c r="T25" s="3464"/>
      <c r="U25" s="3464"/>
      <c r="V25" s="3464"/>
      <c r="W25" s="3464"/>
      <c r="X25" s="3464"/>
      <c r="Y25" s="3675" t="s">
        <v>133</v>
      </c>
      <c r="Z25" s="3676" t="s">
        <v>53</v>
      </c>
      <c r="AA25" s="3677" t="s">
        <v>1033</v>
      </c>
      <c r="AB25" s="3696">
        <f>'3. Показатели за качество'!E30</f>
        <v>1</v>
      </c>
      <c r="AC25" s="3696">
        <f>'3. Показатели за качество'!F30</f>
        <v>1</v>
      </c>
      <c r="AD25" s="3696">
        <f>'3. Показатели за качество'!G30</f>
        <v>1</v>
      </c>
      <c r="AE25" s="3696">
        <f>'3. Показатели за качество'!H30</f>
        <v>1</v>
      </c>
      <c r="AF25" s="3696">
        <f>'3. Показатели за качество'!I30</f>
        <v>1</v>
      </c>
      <c r="AG25" s="3696">
        <f>'3. Показатели за качество'!J30</f>
        <v>1</v>
      </c>
      <c r="AH25" s="3697">
        <f>'3. Показатели за качество'!M30</f>
        <v>1.06</v>
      </c>
      <c r="AI25" s="3695">
        <v>1.1000000000000001</v>
      </c>
      <c r="AJ25" s="3464"/>
    </row>
    <row r="26" spans="1:36" ht="15.95" customHeight="1">
      <c r="A26" s="3700" t="s">
        <v>865</v>
      </c>
      <c r="B26" s="3606" t="s">
        <v>784</v>
      </c>
      <c r="C26" s="3705">
        <f>'2. Променливи'!E33</f>
        <v>5</v>
      </c>
      <c r="D26" s="3705">
        <f>'2. Променливи'!F33</f>
        <v>5</v>
      </c>
      <c r="E26" s="3705">
        <f>'2. Променливи'!G33</f>
        <v>5</v>
      </c>
      <c r="F26" s="3705">
        <f>'2. Променливи'!H33</f>
        <v>5</v>
      </c>
      <c r="G26" s="3705">
        <f>'2. Променливи'!I33</f>
        <v>5</v>
      </c>
      <c r="H26" s="3705">
        <f>'2. Променливи'!J33</f>
        <v>5</v>
      </c>
      <c r="I26" s="3464"/>
      <c r="J26" s="3464"/>
      <c r="K26" s="3464"/>
      <c r="L26" s="3464"/>
      <c r="M26" s="3464"/>
      <c r="N26" s="3464"/>
      <c r="O26" s="3464"/>
      <c r="P26" s="3464"/>
      <c r="Q26" s="3464"/>
      <c r="R26" s="3464"/>
      <c r="S26" s="3464"/>
      <c r="T26" s="3464"/>
      <c r="U26" s="3464"/>
      <c r="V26" s="3464"/>
      <c r="W26" s="3464"/>
      <c r="X26" s="3464"/>
      <c r="Y26" s="3675" t="s">
        <v>134</v>
      </c>
      <c r="Z26" s="3676" t="s">
        <v>767</v>
      </c>
      <c r="AA26" s="3677" t="s">
        <v>170</v>
      </c>
      <c r="AB26" s="3678">
        <f>'3. Показатели за качество'!E31</f>
        <v>0.9446</v>
      </c>
      <c r="AC26" s="3678">
        <f>'3. Показатели за качество'!F31</f>
        <v>1</v>
      </c>
      <c r="AD26" s="3678">
        <f>'3. Показатели за качество'!G31</f>
        <v>1</v>
      </c>
      <c r="AE26" s="3678">
        <f>'3. Показатели за качество'!H31</f>
        <v>1</v>
      </c>
      <c r="AF26" s="3678">
        <f>'3. Показатели за качество'!I31</f>
        <v>1</v>
      </c>
      <c r="AG26" s="3678">
        <f>'3. Показатели за качество'!J31</f>
        <v>1</v>
      </c>
      <c r="AH26" s="3679">
        <f>'3. Показатели за качество'!M31</f>
        <v>0.95140000000000002</v>
      </c>
      <c r="AI26" s="3680">
        <v>0.95</v>
      </c>
      <c r="AJ26" s="3464"/>
    </row>
    <row r="27" spans="1:36" ht="15.95" customHeight="1">
      <c r="A27" s="3464"/>
      <c r="B27" s="3464"/>
      <c r="C27" s="3464"/>
      <c r="D27" s="3464"/>
      <c r="E27" s="3464"/>
      <c r="F27" s="3464"/>
      <c r="G27" s="3464"/>
      <c r="H27" s="3464"/>
      <c r="I27" s="3464"/>
      <c r="J27" s="3669"/>
      <c r="K27" s="3464"/>
      <c r="L27" s="3464"/>
      <c r="M27" s="3464"/>
      <c r="N27" s="3464"/>
      <c r="O27" s="3464"/>
      <c r="P27" s="3464"/>
      <c r="Q27" s="3464"/>
      <c r="R27" s="3464"/>
      <c r="S27" s="3464"/>
      <c r="T27" s="3464"/>
      <c r="U27" s="3464"/>
      <c r="V27" s="3464"/>
      <c r="W27" s="3464"/>
      <c r="X27" s="3464"/>
      <c r="Y27" s="3675" t="s">
        <v>776</v>
      </c>
      <c r="Z27" s="3676" t="s">
        <v>778</v>
      </c>
      <c r="AA27" s="3677" t="s">
        <v>170</v>
      </c>
      <c r="AB27" s="3678">
        <f>'3. Показатели за качество'!E32</f>
        <v>0.16259999999999999</v>
      </c>
      <c r="AC27" s="3678">
        <f>'3. Показатели за качество'!F32</f>
        <v>0.17399999999999999</v>
      </c>
      <c r="AD27" s="3678">
        <f>'3. Показатели за качество'!G32</f>
        <v>0.182</v>
      </c>
      <c r="AE27" s="3678">
        <f>'3. Показатели за качество'!H32</f>
        <v>0.19009999999999999</v>
      </c>
      <c r="AF27" s="3678">
        <f>'3. Показатели за качество'!I32</f>
        <v>0.19800000000000001</v>
      </c>
      <c r="AG27" s="3678">
        <f>'3. Показатели за качество'!J32</f>
        <v>0.20030000000000001</v>
      </c>
      <c r="AH27" s="3679">
        <f>'3. Показатели за качество'!M32</f>
        <v>0.20030000000000001</v>
      </c>
      <c r="AI27" s="3680">
        <v>0.2</v>
      </c>
      <c r="AJ27" s="3464"/>
    </row>
    <row r="28" spans="1:36" ht="15.95" customHeight="1">
      <c r="A28" s="3669" t="s">
        <v>871</v>
      </c>
      <c r="B28" s="3464"/>
      <c r="C28" s="3464"/>
      <c r="D28" s="3464"/>
      <c r="E28" s="3464"/>
      <c r="F28" s="3464"/>
      <c r="G28" s="3464"/>
      <c r="H28" s="3464"/>
      <c r="I28" s="3464"/>
      <c r="J28" s="3464"/>
      <c r="K28" s="3464"/>
      <c r="L28" s="3464"/>
      <c r="M28" s="3464"/>
      <c r="N28" s="3464"/>
      <c r="O28" s="3464"/>
      <c r="P28" s="3464"/>
      <c r="Q28" s="3464"/>
      <c r="R28" s="3464"/>
      <c r="S28" s="3464"/>
      <c r="T28" s="3464"/>
      <c r="U28" s="3464"/>
      <c r="V28" s="3464"/>
      <c r="W28" s="3464"/>
      <c r="X28" s="3464"/>
      <c r="Y28" s="3675" t="s">
        <v>777</v>
      </c>
      <c r="Z28" s="3676" t="s">
        <v>779</v>
      </c>
      <c r="AA28" s="3677" t="s">
        <v>170</v>
      </c>
      <c r="AB28" s="3678">
        <f>'3. Показатели за качество'!E33</f>
        <v>0.85960000000000003</v>
      </c>
      <c r="AC28" s="3678">
        <f>'3. Показатели за качество'!F33</f>
        <v>0.86119999999999997</v>
      </c>
      <c r="AD28" s="3678">
        <f>'3. Показатели за качество'!G33</f>
        <v>0.8669</v>
      </c>
      <c r="AE28" s="3678">
        <f>'3. Показатели за качество'!H33</f>
        <v>0.88119999999999998</v>
      </c>
      <c r="AF28" s="3678">
        <f>'3. Показатели за качество'!I33</f>
        <v>0.89539999999999997</v>
      </c>
      <c r="AG28" s="3678">
        <f>'3. Показатели за качество'!J33</f>
        <v>0.9</v>
      </c>
      <c r="AH28" s="3679">
        <f>'3. Показатели за качество'!M33</f>
        <v>0.9</v>
      </c>
      <c r="AI28" s="3680">
        <v>0.9</v>
      </c>
      <c r="AJ28" s="3464"/>
    </row>
    <row r="29" spans="1:36" ht="15.95" customHeight="1">
      <c r="A29" s="5625" t="s">
        <v>2</v>
      </c>
      <c r="B29" s="5627" t="s">
        <v>1534</v>
      </c>
      <c r="C29" s="5628" t="s">
        <v>922</v>
      </c>
      <c r="D29" s="5628"/>
      <c r="E29" s="5628"/>
      <c r="F29" s="5628"/>
      <c r="G29" s="5628"/>
      <c r="H29" s="5628"/>
      <c r="I29" s="3464"/>
      <c r="J29" s="3464"/>
      <c r="K29" s="3464"/>
      <c r="L29" s="3464"/>
      <c r="M29" s="3464"/>
      <c r="N29" s="3464"/>
      <c r="O29" s="3464"/>
      <c r="P29" s="3464"/>
      <c r="Q29" s="3464"/>
      <c r="R29" s="3464"/>
      <c r="S29" s="3464"/>
      <c r="T29" s="3464"/>
      <c r="U29" s="3464"/>
      <c r="V29" s="3464"/>
      <c r="W29" s="3464"/>
      <c r="X29" s="3464"/>
      <c r="Y29" s="3675" t="s">
        <v>135</v>
      </c>
      <c r="Z29" s="3676" t="s">
        <v>768</v>
      </c>
      <c r="AA29" s="3677" t="s">
        <v>170</v>
      </c>
      <c r="AB29" s="3678">
        <f>'3. Показатели за качество'!E34</f>
        <v>0.97829999999999995</v>
      </c>
      <c r="AC29" s="3678">
        <f>'3. Показатели за качество'!F34</f>
        <v>0.98540000000000005</v>
      </c>
      <c r="AD29" s="3678">
        <f>'3. Показатели за качество'!G34</f>
        <v>0.99260000000000004</v>
      </c>
      <c r="AE29" s="3678">
        <f>'3. Показатели за качество'!H34</f>
        <v>1</v>
      </c>
      <c r="AF29" s="3678">
        <f>'3. Показатели за качество'!I34</f>
        <v>1</v>
      </c>
      <c r="AG29" s="3678">
        <f>'3. Показатели за качество'!J34</f>
        <v>1</v>
      </c>
      <c r="AH29" s="3679">
        <f>'3. Показатели за качество'!M34</f>
        <v>1</v>
      </c>
      <c r="AI29" s="3680">
        <v>1</v>
      </c>
      <c r="AJ29" s="3464"/>
    </row>
    <row r="30" spans="1:36" ht="15.95" customHeight="1">
      <c r="A30" s="5626"/>
      <c r="B30" s="5626"/>
      <c r="C30" s="4649" t="str">
        <f>+'15. ОПП'!$B$7</f>
        <v>2024 г.</v>
      </c>
      <c r="D30" s="4649" t="str">
        <f>+'15. ОПП'!$C$7</f>
        <v>2027 г.</v>
      </c>
      <c r="E30" s="4649" t="str">
        <f>+'15. ОПП'!$D$7</f>
        <v>2028 г.</v>
      </c>
      <c r="F30" s="4649" t="str">
        <f>+'15. ОПП'!$E$7</f>
        <v>2029 г.</v>
      </c>
      <c r="G30" s="4649" t="str">
        <f>+'15. ОПП'!$F$7</f>
        <v>2030 г.</v>
      </c>
      <c r="H30" s="4649" t="str">
        <f>+'15. ОПП'!$G$7</f>
        <v>2031 г.</v>
      </c>
      <c r="I30" s="3464"/>
      <c r="J30" s="3464"/>
      <c r="K30" s="3464"/>
      <c r="L30" s="3464"/>
      <c r="M30" s="3464"/>
      <c r="N30" s="3464"/>
      <c r="O30" s="3464"/>
      <c r="P30" s="3464"/>
      <c r="Q30" s="3464"/>
      <c r="R30" s="3464"/>
      <c r="S30" s="3464"/>
      <c r="T30" s="3464"/>
      <c r="U30" s="3464"/>
      <c r="V30" s="3464"/>
      <c r="W30" s="3464"/>
      <c r="X30" s="3464"/>
      <c r="Y30" s="3675" t="s">
        <v>136</v>
      </c>
      <c r="Z30" s="3676" t="s">
        <v>769</v>
      </c>
      <c r="AA30" s="3677" t="s">
        <v>170</v>
      </c>
      <c r="AB30" s="3678">
        <f>'3. Показатели за качество'!E35</f>
        <v>1</v>
      </c>
      <c r="AC30" s="3678">
        <f>'3. Показатели за качество'!F35</f>
        <v>1</v>
      </c>
      <c r="AD30" s="3678">
        <f>'3. Показатели за качество'!G35</f>
        <v>1</v>
      </c>
      <c r="AE30" s="3678">
        <f>'3. Показатели за качество'!H35</f>
        <v>1</v>
      </c>
      <c r="AF30" s="3678">
        <f>'3. Показатели за качество'!I35</f>
        <v>1</v>
      </c>
      <c r="AG30" s="3678">
        <f>'3. Показатели за качество'!J35</f>
        <v>1</v>
      </c>
      <c r="AH30" s="3679">
        <f>'3. Показатели за качество'!M35</f>
        <v>1</v>
      </c>
      <c r="AI30" s="3680">
        <v>1</v>
      </c>
      <c r="AJ30" s="3464"/>
    </row>
    <row r="31" spans="1:36" ht="15.95" customHeight="1">
      <c r="A31" s="5629" t="s">
        <v>168</v>
      </c>
      <c r="B31" s="5630"/>
      <c r="C31" s="5630"/>
      <c r="D31" s="5630"/>
      <c r="E31" s="5630"/>
      <c r="F31" s="5630"/>
      <c r="G31" s="5630"/>
      <c r="H31" s="5631"/>
      <c r="I31" s="3464"/>
      <c r="J31" s="3464"/>
      <c r="K31" s="3464"/>
      <c r="L31" s="3464"/>
      <c r="M31" s="3464"/>
      <c r="N31" s="3464"/>
      <c r="O31" s="3464"/>
      <c r="P31" s="3464"/>
      <c r="Q31" s="3464"/>
      <c r="R31" s="3464"/>
      <c r="S31" s="3464"/>
      <c r="T31" s="3464"/>
      <c r="U31" s="3464"/>
      <c r="V31" s="3464"/>
      <c r="W31" s="3464"/>
      <c r="X31" s="3464"/>
      <c r="Y31" s="3675" t="s">
        <v>137</v>
      </c>
      <c r="Z31" s="3676" t="s">
        <v>770</v>
      </c>
      <c r="AA31" s="3677" t="s">
        <v>170</v>
      </c>
      <c r="AB31" s="3678">
        <f>'3. Показатели за качество'!E36</f>
        <v>1</v>
      </c>
      <c r="AC31" s="3678">
        <f>'3. Показатели за качество'!F36</f>
        <v>1</v>
      </c>
      <c r="AD31" s="3678">
        <f>'3. Показатели за качество'!G36</f>
        <v>1</v>
      </c>
      <c r="AE31" s="3678">
        <f>'3. Показатели за качество'!H36</f>
        <v>1</v>
      </c>
      <c r="AF31" s="3678">
        <f>'3. Показатели за качество'!I36</f>
        <v>1</v>
      </c>
      <c r="AG31" s="3678">
        <f>'3. Показатели за качество'!J36</f>
        <v>1</v>
      </c>
      <c r="AH31" s="3679">
        <f>'3. Показатели за качество'!M36</f>
        <v>1</v>
      </c>
      <c r="AI31" s="3680">
        <v>1</v>
      </c>
      <c r="AJ31" s="3464"/>
    </row>
    <row r="32" spans="1:36" ht="15.95" customHeight="1">
      <c r="A32" s="3654" t="s">
        <v>570</v>
      </c>
      <c r="B32" s="3655" t="s">
        <v>1532</v>
      </c>
      <c r="C32" s="3656">
        <f>'4. Отчет и прогн. потребление'!D9</f>
        <v>18733752</v>
      </c>
      <c r="D32" s="3656">
        <f>'4. Отчет и прогн. потребление'!E9</f>
        <v>18545315</v>
      </c>
      <c r="E32" s="3656">
        <f>'4. Отчет и прогн. потребление'!F9</f>
        <v>18039784</v>
      </c>
      <c r="F32" s="3656">
        <f>'4. Отчет и прогн. потребление'!G9</f>
        <v>17431253</v>
      </c>
      <c r="G32" s="3656">
        <f>'4. Отчет и прогн. потребление'!H9</f>
        <v>16872722</v>
      </c>
      <c r="H32" s="3656">
        <f>'4. Отчет и прогн. потребление'!I9</f>
        <v>16281192</v>
      </c>
      <c r="I32" s="3464"/>
      <c r="J32" s="3464"/>
      <c r="K32" s="3464"/>
      <c r="L32" s="3464"/>
      <c r="M32" s="3464"/>
      <c r="N32" s="3464"/>
      <c r="O32" s="3464"/>
      <c r="P32" s="3464"/>
      <c r="Q32" s="3464"/>
      <c r="R32" s="3464"/>
      <c r="S32" s="3464"/>
      <c r="T32" s="3464"/>
      <c r="U32" s="3464"/>
      <c r="V32" s="3464"/>
      <c r="W32" s="3464"/>
      <c r="X32" s="3464"/>
      <c r="Y32" s="3675" t="s">
        <v>138</v>
      </c>
      <c r="Z32" s="3676" t="s">
        <v>771</v>
      </c>
      <c r="AA32" s="3677" t="s">
        <v>747</v>
      </c>
      <c r="AB32" s="3696">
        <f>'3. Показатели за качество'!E37</f>
        <v>5.69</v>
      </c>
      <c r="AC32" s="3696">
        <f>'3. Показатели за качество'!F37</f>
        <v>5.58</v>
      </c>
      <c r="AD32" s="3696">
        <f>'3. Показатели за качество'!G37</f>
        <v>5.43</v>
      </c>
      <c r="AE32" s="3696">
        <f>'3. Показатели за качество'!H37</f>
        <v>5.33</v>
      </c>
      <c r="AF32" s="3696">
        <f>'3. Показатели за качество'!I37</f>
        <v>5.19</v>
      </c>
      <c r="AG32" s="3696">
        <f>'3. Показатели за качество'!J37</f>
        <v>5.0599999999999996</v>
      </c>
      <c r="AH32" s="3697">
        <f>'3. Показатели за качество'!M37</f>
        <v>5.05</v>
      </c>
      <c r="AI32" s="3695">
        <v>4</v>
      </c>
      <c r="AJ32" s="3464"/>
    </row>
    <row r="33" spans="1:36" ht="15.95" customHeight="1">
      <c r="A33" s="5643" t="s">
        <v>571</v>
      </c>
      <c r="B33" s="3655" t="s">
        <v>1532</v>
      </c>
      <c r="C33" s="3657">
        <f>'4. Отчет и прогн. потребление'!D18</f>
        <v>11747916</v>
      </c>
      <c r="D33" s="3657">
        <f>'4. Отчет и прогн. потребление'!E18</f>
        <v>11629443</v>
      </c>
      <c r="E33" s="3657">
        <f>'4. Отчет и прогн. потребление'!F18</f>
        <v>11316584.020081241</v>
      </c>
      <c r="F33" s="3657">
        <f>'4. Отчет и прогн. потребление'!G18</f>
        <v>10944207.423367359</v>
      </c>
      <c r="G33" s="3657">
        <f>'4. Отчет и прогн. потребление'!H18</f>
        <v>10614373.287091164</v>
      </c>
      <c r="H33" s="3657">
        <f>'4. Отчет и прогн. потребление'!I18</f>
        <v>10266137.521163668</v>
      </c>
      <c r="I33" s="3464"/>
      <c r="J33" s="3464"/>
      <c r="K33" s="3464"/>
      <c r="L33" s="3464"/>
      <c r="M33" s="3464"/>
      <c r="N33" s="3464"/>
      <c r="O33" s="3464"/>
      <c r="P33" s="3464"/>
      <c r="Q33" s="3464"/>
      <c r="R33" s="3464"/>
      <c r="S33" s="3464"/>
      <c r="T33" s="3464"/>
      <c r="U33" s="3464"/>
      <c r="V33" s="3464"/>
      <c r="W33" s="3464"/>
      <c r="X33" s="3464"/>
      <c r="Y33" s="3675" t="s">
        <v>139</v>
      </c>
      <c r="Z33" s="3676" t="s">
        <v>772</v>
      </c>
      <c r="AA33" s="3677" t="s">
        <v>748</v>
      </c>
      <c r="AB33" s="3696">
        <f>'3. Показатели за качество'!E38</f>
        <v>4.8</v>
      </c>
      <c r="AC33" s="3696">
        <f>'3. Показатели за качество'!F38</f>
        <v>4.4000000000000004</v>
      </c>
      <c r="AD33" s="3696">
        <f>'3. Показатели за качество'!G38</f>
        <v>4.3499999999999996</v>
      </c>
      <c r="AE33" s="3696">
        <f>'3. Показатели за качество'!H38</f>
        <v>4.3099999999999996</v>
      </c>
      <c r="AF33" s="3696">
        <f>'3. Показатели за качество'!I38</f>
        <v>4.2300000000000004</v>
      </c>
      <c r="AG33" s="3696">
        <f>'3. Показатели за качество'!J38</f>
        <v>4.1900000000000004</v>
      </c>
      <c r="AH33" s="3697">
        <f>'3. Показатели за качество'!M38</f>
        <v>4.21</v>
      </c>
      <c r="AI33" s="3695">
        <v>3</v>
      </c>
      <c r="AJ33" s="3464"/>
    </row>
    <row r="34" spans="1:36" ht="15.95" customHeight="1">
      <c r="A34" s="5643"/>
      <c r="B34" s="3655" t="s">
        <v>170</v>
      </c>
      <c r="C34" s="3658">
        <f>'4. Отчет и прогн. потребление'!D19</f>
        <v>0.6270989388564554</v>
      </c>
      <c r="D34" s="3658">
        <f>'4. Отчет и прогн. потребление'!E19</f>
        <v>0.62708252731215408</v>
      </c>
      <c r="E34" s="3658">
        <f>'4. Отчет и прогн. потребление'!F19</f>
        <v>0.6273126119515201</v>
      </c>
      <c r="F34" s="3658">
        <f>'4. Отчет и прогн. потребление'!G19</f>
        <v>0.62784972619968049</v>
      </c>
      <c r="G34" s="3658">
        <f>'4. Отчет и прогн. потребление'!H19</f>
        <v>0.62908482028514212</v>
      </c>
      <c r="H34" s="3658">
        <f>'4. Отчет и прогн. потребление'!I19</f>
        <v>0.63055195965772459</v>
      </c>
      <c r="I34" s="3464"/>
      <c r="J34" s="3464"/>
      <c r="K34" s="3464"/>
      <c r="L34" s="3464"/>
      <c r="M34" s="3464"/>
      <c r="N34" s="3464"/>
      <c r="O34" s="3464"/>
      <c r="P34" s="3464"/>
      <c r="Q34" s="3464"/>
      <c r="R34" s="3464"/>
      <c r="S34" s="3464"/>
      <c r="T34" s="3464"/>
      <c r="U34" s="3464"/>
      <c r="V34" s="3464"/>
      <c r="W34" s="3464"/>
      <c r="X34" s="3464"/>
      <c r="Y34" s="3713"/>
      <c r="Z34" s="3714"/>
      <c r="AA34" s="3715"/>
      <c r="AB34" s="3716"/>
      <c r="AC34" s="3716"/>
      <c r="AD34" s="3716"/>
      <c r="AE34" s="3716"/>
      <c r="AF34" s="3716"/>
      <c r="AG34" s="3716"/>
      <c r="AH34" s="3717"/>
      <c r="AI34" s="3718"/>
      <c r="AJ34" s="3464"/>
    </row>
    <row r="35" spans="1:36" ht="15.95" customHeight="1">
      <c r="A35" s="5632" t="s">
        <v>572</v>
      </c>
      <c r="B35" s="3608" t="s">
        <v>1532</v>
      </c>
      <c r="C35" s="3609">
        <f>'4. Отчет и прогн. потребление'!D20</f>
        <v>11471057</v>
      </c>
      <c r="D35" s="3609">
        <f>'4. Отчет и прогн. потребление'!E20</f>
        <v>11354943</v>
      </c>
      <c r="E35" s="3609">
        <f>'4. Отчет и прогн. потребление'!F20</f>
        <v>11050084.020081241</v>
      </c>
      <c r="F35" s="3609">
        <f>'4. Отчет и прогн. потребление'!G20</f>
        <v>10686707.423367359</v>
      </c>
      <c r="G35" s="3609">
        <f>'4. Отчет и прогн. потребление'!H20</f>
        <v>10364373.287091164</v>
      </c>
      <c r="H35" s="3609">
        <f>'4. Отчет и прогн. потребление'!I20</f>
        <v>10025137.521163668</v>
      </c>
      <c r="I35" s="3464"/>
      <c r="J35" s="3464"/>
      <c r="K35" s="3464"/>
      <c r="L35" s="3464"/>
      <c r="M35" s="3464"/>
      <c r="N35" s="3464"/>
      <c r="O35" s="3464"/>
      <c r="P35" s="3464"/>
      <c r="Q35" s="3464"/>
      <c r="R35" s="3464"/>
      <c r="S35" s="3464"/>
      <c r="T35" s="3464"/>
      <c r="U35" s="3464"/>
      <c r="V35" s="3464"/>
      <c r="W35" s="3464"/>
      <c r="X35" s="3464"/>
      <c r="Y35" s="5615" t="s">
        <v>1593</v>
      </c>
      <c r="Z35" s="5616"/>
      <c r="AA35" s="5616"/>
      <c r="AB35" s="5616"/>
      <c r="AC35" s="5616"/>
      <c r="AD35" s="5616"/>
      <c r="AE35" s="5616"/>
      <c r="AF35" s="5616"/>
      <c r="AG35" s="5616"/>
      <c r="AH35" s="5616"/>
      <c r="AI35" s="5617"/>
      <c r="AJ35" s="3464"/>
    </row>
    <row r="36" spans="1:36" ht="42.75" customHeight="1">
      <c r="A36" s="5633"/>
      <c r="B36" s="3608" t="s">
        <v>170</v>
      </c>
      <c r="C36" s="3610">
        <f>'4. Отчет и прогн. потребление'!D21</f>
        <v>0.61232031896226657</v>
      </c>
      <c r="D36" s="3610">
        <f>'4. Отчет и прогн. потребление'!E21</f>
        <v>0.61228094534927013</v>
      </c>
      <c r="E36" s="3610">
        <f>'4. Отчет и прогн. потребление'!F21</f>
        <v>0.61253970779701361</v>
      </c>
      <c r="F36" s="3610">
        <f>'4. Отчет и прогн. потребление'!G21</f>
        <v>0.6130774089141704</v>
      </c>
      <c r="G36" s="3610">
        <f>'4. Отчет и прогн. потребление'!H21</f>
        <v>0.61426800531005987</v>
      </c>
      <c r="H36" s="3610">
        <f>'4. Отчет и прогн. потребление'!I21</f>
        <v>0.61574960366315123</v>
      </c>
      <c r="I36" s="3464"/>
      <c r="J36" s="3464"/>
      <c r="K36" s="3464"/>
      <c r="L36" s="3464"/>
      <c r="M36" s="3464"/>
      <c r="N36" s="3464"/>
      <c r="O36" s="3464"/>
      <c r="P36" s="3464"/>
      <c r="Q36" s="3464"/>
      <c r="R36" s="3464"/>
      <c r="S36" s="3464"/>
      <c r="T36" s="3464"/>
      <c r="U36" s="3464"/>
      <c r="V36" s="3464"/>
      <c r="W36" s="3464"/>
      <c r="X36" s="3464"/>
      <c r="Y36" s="3719" t="s">
        <v>773</v>
      </c>
      <c r="Z36" s="3719" t="s">
        <v>1591</v>
      </c>
      <c r="AA36" s="3719" t="s">
        <v>746</v>
      </c>
      <c r="AB36" s="3719" t="str">
        <f>+'15. ОПП'!$B$7</f>
        <v>2024 г.</v>
      </c>
      <c r="AC36" s="3719" t="str">
        <f>+'15. ОПП'!$C$7</f>
        <v>2027 г.</v>
      </c>
      <c r="AD36" s="3719" t="str">
        <f>+'15. ОПП'!$D$7</f>
        <v>2028 г.</v>
      </c>
      <c r="AE36" s="3719" t="str">
        <f>+'15. ОПП'!$E$7</f>
        <v>2029 г.</v>
      </c>
      <c r="AF36" s="3719" t="str">
        <f>+'15. ОПП'!$F$7</f>
        <v>2030 г.</v>
      </c>
      <c r="AG36" s="3719" t="str">
        <f>+'15. ОПП'!$G$7</f>
        <v>2031 г.</v>
      </c>
      <c r="AH36" s="4872" t="str">
        <f>CONCATENATE("Индивидуална цел за ",AG36)</f>
        <v>Индивидуална цел за 2031 г.</v>
      </c>
      <c r="AI36" s="3720" t="s">
        <v>780</v>
      </c>
      <c r="AJ36" s="3464"/>
    </row>
    <row r="37" spans="1:36" ht="15.95" customHeight="1">
      <c r="A37" s="5644" t="s">
        <v>688</v>
      </c>
      <c r="B37" s="3608" t="s">
        <v>1532</v>
      </c>
      <c r="C37" s="3612">
        <f>'4. Отчет и прогн. потребление'!D26</f>
        <v>276859</v>
      </c>
      <c r="D37" s="3612">
        <f>'4. Отчет и прогн. потребление'!E26</f>
        <v>274500</v>
      </c>
      <c r="E37" s="3612">
        <f>'4. Отчет и прогн. потребление'!F26</f>
        <v>266500</v>
      </c>
      <c r="F37" s="3612">
        <f>'4. Отчет и прогн. потребление'!G26</f>
        <v>257500</v>
      </c>
      <c r="G37" s="3612">
        <f>'4. Отчет и прогн. потребление'!H26</f>
        <v>250000</v>
      </c>
      <c r="H37" s="3612">
        <f>'4. Отчет и прогн. потребление'!I26</f>
        <v>241000</v>
      </c>
      <c r="I37" s="3464"/>
      <c r="J37" s="3464"/>
      <c r="K37" s="3464"/>
      <c r="L37" s="3464"/>
      <c r="M37" s="3464"/>
      <c r="N37" s="3464"/>
      <c r="O37" s="3464"/>
      <c r="P37" s="3464"/>
      <c r="Q37" s="3464"/>
      <c r="R37" s="3464"/>
      <c r="S37" s="3464"/>
      <c r="T37" s="3464"/>
      <c r="U37" s="3464"/>
      <c r="V37" s="3464"/>
      <c r="W37" s="3464"/>
      <c r="X37" s="3464"/>
      <c r="Y37" s="3675" t="s">
        <v>744</v>
      </c>
      <c r="Z37" s="3676" t="s">
        <v>756</v>
      </c>
      <c r="AA37" s="3677" t="s">
        <v>1588</v>
      </c>
      <c r="AB37" s="3696">
        <f>'3. Показатели за качество'!E40</f>
        <v>0</v>
      </c>
      <c r="AC37" s="3696">
        <f>'3. Показатели за качество'!F40</f>
        <v>0</v>
      </c>
      <c r="AD37" s="3696">
        <f>'3. Показатели за качество'!G40</f>
        <v>0</v>
      </c>
      <c r="AE37" s="3696">
        <f>'3. Показатели за качество'!H40</f>
        <v>0</v>
      </c>
      <c r="AF37" s="3696">
        <f>'3. Показатели за качество'!I40</f>
        <v>0</v>
      </c>
      <c r="AG37" s="3696">
        <f>'3. Показатели за качество'!J40</f>
        <v>0</v>
      </c>
      <c r="AH37" s="3708"/>
      <c r="AI37" s="3708"/>
      <c r="AJ37" s="3464"/>
    </row>
    <row r="38" spans="1:36" ht="15.95" customHeight="1">
      <c r="A38" s="5644"/>
      <c r="B38" s="3608" t="s">
        <v>170</v>
      </c>
      <c r="C38" s="3616">
        <f>'4. Отчет и прогн. потребление'!D27</f>
        <v>1.4778619894188841E-2</v>
      </c>
      <c r="D38" s="3616">
        <f>'4. Отчет и прогн. потребление'!E27</f>
        <v>1.4801581962883887E-2</v>
      </c>
      <c r="E38" s="3616">
        <f>'4. Отчет и прогн. потребление'!F27</f>
        <v>1.4772904154506506E-2</v>
      </c>
      <c r="F38" s="3616">
        <f>'4. Отчет и прогн. потребление'!G27</f>
        <v>1.4772317285510112E-2</v>
      </c>
      <c r="G38" s="3616">
        <f>'4. Отчет и прогн. потребление'!H27</f>
        <v>1.4816814975082266E-2</v>
      </c>
      <c r="H38" s="3616">
        <f>'4. Отчет и прогн. потребление'!I27</f>
        <v>1.480235599457337E-2</v>
      </c>
      <c r="I38" s="3464"/>
      <c r="J38" s="3464"/>
      <c r="K38" s="3464"/>
      <c r="L38" s="3464"/>
      <c r="M38" s="3464"/>
      <c r="N38" s="3464"/>
      <c r="O38" s="3464"/>
      <c r="P38" s="3464"/>
      <c r="Q38" s="3464"/>
      <c r="R38" s="3464"/>
      <c r="S38" s="3464"/>
      <c r="T38" s="3464"/>
      <c r="U38" s="3464"/>
      <c r="V38" s="3464"/>
      <c r="W38" s="3464"/>
      <c r="X38" s="3464"/>
      <c r="Y38" s="3675" t="s">
        <v>745</v>
      </c>
      <c r="Z38" s="3676" t="s">
        <v>756</v>
      </c>
      <c r="AA38" s="3677" t="s">
        <v>170</v>
      </c>
      <c r="AB38" s="3721">
        <f>'3. Показатели за качество'!E41</f>
        <v>0</v>
      </c>
      <c r="AC38" s="3721">
        <f>'3. Показатели за качество'!F41</f>
        <v>0</v>
      </c>
      <c r="AD38" s="3721">
        <f>'3. Показатели за качество'!G41</f>
        <v>0</v>
      </c>
      <c r="AE38" s="3721">
        <f>'3. Показатели за качество'!H41</f>
        <v>0</v>
      </c>
      <c r="AF38" s="3721">
        <f>'3. Показатели за качество'!I41</f>
        <v>0</v>
      </c>
      <c r="AG38" s="3721">
        <f>'3. Показатели за качество'!J41</f>
        <v>0</v>
      </c>
      <c r="AH38" s="3708"/>
      <c r="AI38" s="3708"/>
      <c r="AJ38" s="3464"/>
    </row>
    <row r="39" spans="1:36" ht="15.95" customHeight="1">
      <c r="A39" s="5643" t="s">
        <v>689</v>
      </c>
      <c r="B39" s="3655" t="s">
        <v>1532</v>
      </c>
      <c r="C39" s="3657">
        <f>'4. Отчет и прогн. потребление'!D30</f>
        <v>6985836</v>
      </c>
      <c r="D39" s="3657">
        <f>'4. Отчет и прогн. потребление'!E30</f>
        <v>6915872</v>
      </c>
      <c r="E39" s="3657">
        <f>'4. Отчет и прогн. потребление'!F30</f>
        <v>6723200</v>
      </c>
      <c r="F39" s="3657">
        <f>'4. Отчет и прогн. потребление'!G30</f>
        <v>6487046</v>
      </c>
      <c r="G39" s="3657">
        <f>'4. Отчет и прогн. потребление'!H30</f>
        <v>6258349</v>
      </c>
      <c r="H39" s="3657">
        <f>'4. Отчет и прогн. потребление'!I30</f>
        <v>6015054</v>
      </c>
      <c r="I39" s="3464"/>
      <c r="J39" s="3464"/>
      <c r="K39" s="3464"/>
      <c r="L39" s="3464"/>
      <c r="M39" s="3464"/>
      <c r="N39" s="3464"/>
      <c r="O39" s="3464"/>
      <c r="P39" s="3464"/>
      <c r="Q39" s="3464"/>
      <c r="R39" s="3464"/>
      <c r="S39" s="3464"/>
      <c r="T39" s="3464"/>
      <c r="U39" s="3464"/>
      <c r="V39" s="3464"/>
      <c r="W39" s="3464"/>
      <c r="X39" s="3464"/>
      <c r="Y39" s="3675" t="s">
        <v>121</v>
      </c>
      <c r="Z39" s="3676" t="s">
        <v>757</v>
      </c>
      <c r="AA39" s="3677" t="s">
        <v>749</v>
      </c>
      <c r="AB39" s="3696">
        <f>'3. Показатели за качество'!E42</f>
        <v>0</v>
      </c>
      <c r="AC39" s="3696">
        <f>'3. Показатели за качество'!F42</f>
        <v>0</v>
      </c>
      <c r="AD39" s="3696">
        <f>'3. Показатели за качество'!G42</f>
        <v>0</v>
      </c>
      <c r="AE39" s="3696">
        <f>'3. Показатели за качество'!H42</f>
        <v>0</v>
      </c>
      <c r="AF39" s="3696">
        <f>'3. Показатели за качество'!I42</f>
        <v>0</v>
      </c>
      <c r="AG39" s="3696">
        <f>'3. Показатели за качество'!J42</f>
        <v>0</v>
      </c>
      <c r="AH39" s="3708"/>
      <c r="AI39" s="3708"/>
      <c r="AJ39" s="3464"/>
    </row>
    <row r="40" spans="1:36" ht="15.95" customHeight="1">
      <c r="A40" s="5643"/>
      <c r="B40" s="3655" t="s">
        <v>170</v>
      </c>
      <c r="C40" s="3659">
        <f>'4. Отчет и прогн. потребление'!D31</f>
        <v>0.37290106114354454</v>
      </c>
      <c r="D40" s="3659">
        <f>'4. Отчет и прогн. потребление'!E31</f>
        <v>0.37291747268784597</v>
      </c>
      <c r="E40" s="3659">
        <f>'4. Отчет и прогн. потребление'!F31</f>
        <v>0.37268738916164407</v>
      </c>
      <c r="F40" s="3659">
        <f>'4. Отчет и прогн. потребление'!G31</f>
        <v>0.37215029808815236</v>
      </c>
      <c r="G40" s="3659">
        <f>'4. Отчет и прогн. потребление'!H31</f>
        <v>0.37091519672996448</v>
      </c>
      <c r="H40" s="3659">
        <f>'4. Отчет и прогн. потребление'!I31</f>
        <v>0.36944801093187773</v>
      </c>
      <c r="I40" s="3464"/>
      <c r="J40" s="3464"/>
      <c r="K40" s="3464"/>
      <c r="L40" s="3464"/>
      <c r="M40" s="3464"/>
      <c r="N40" s="3464"/>
      <c r="O40" s="3464"/>
      <c r="P40" s="3464"/>
      <c r="Q40" s="3464"/>
      <c r="R40" s="3464"/>
      <c r="S40" s="3464"/>
      <c r="T40" s="3464"/>
      <c r="U40" s="3464"/>
      <c r="V40" s="3464"/>
      <c r="W40" s="3464"/>
      <c r="X40" s="3464"/>
      <c r="Y40" s="3675" t="s">
        <v>130</v>
      </c>
      <c r="Z40" s="3676" t="s">
        <v>766</v>
      </c>
      <c r="AA40" s="3677" t="s">
        <v>170</v>
      </c>
      <c r="AB40" s="3721">
        <f>'3. Показатели за качество'!E43</f>
        <v>0</v>
      </c>
      <c r="AC40" s="3721">
        <f>'3. Показатели за качество'!F43</f>
        <v>0</v>
      </c>
      <c r="AD40" s="3721">
        <f>'3. Показатели за качество'!G43</f>
        <v>0</v>
      </c>
      <c r="AE40" s="3721">
        <f>'3. Показатели за качество'!H43</f>
        <v>0</v>
      </c>
      <c r="AF40" s="3721">
        <f>'3. Показатели за качество'!I43</f>
        <v>0</v>
      </c>
      <c r="AG40" s="3721">
        <f>'3. Показатели за качество'!J43</f>
        <v>0</v>
      </c>
      <c r="AH40" s="3708"/>
      <c r="AI40" s="3708"/>
      <c r="AJ40" s="3464"/>
    </row>
    <row r="41" spans="1:36" ht="15.95" customHeight="1">
      <c r="A41" s="5643"/>
      <c r="B41" s="3655" t="s">
        <v>1533</v>
      </c>
      <c r="C41" s="3660">
        <f>'4. Отчет и прогн. потребление'!D32</f>
        <v>10.813150684931507</v>
      </c>
      <c r="D41" s="3660">
        <f>'4. Отчет и прогн. потребление'!E32</f>
        <v>10.686742538380116</v>
      </c>
      <c r="E41" s="3660">
        <f>'4. Отчет и прогн. потребление'!F32</f>
        <v>10.389016371910468</v>
      </c>
      <c r="F41" s="3660">
        <f>'4. Отчет и прогн. потребление'!G32</f>
        <v>10.024099699449119</v>
      </c>
      <c r="G41" s="3660">
        <f>'4. Отчет и прогн. потребление'!H32</f>
        <v>9.6707059468898002</v>
      </c>
      <c r="H41" s="3660">
        <f>'4. Отчет и прогн. потребление'!I32</f>
        <v>9.2947546531302869</v>
      </c>
      <c r="I41" s="3464"/>
      <c r="J41" s="3464"/>
      <c r="K41" s="3464"/>
      <c r="L41" s="3464"/>
      <c r="M41" s="3464"/>
      <c r="N41" s="3464"/>
      <c r="O41" s="3464"/>
      <c r="P41" s="3464"/>
      <c r="Q41" s="3464"/>
      <c r="R41" s="3464"/>
      <c r="S41" s="3464"/>
      <c r="T41" s="3464"/>
      <c r="U41" s="3464"/>
      <c r="V41" s="3464"/>
      <c r="W41" s="3464"/>
      <c r="X41" s="3464"/>
      <c r="Y41" s="3675" t="s">
        <v>131</v>
      </c>
      <c r="Z41" s="3676" t="s">
        <v>47</v>
      </c>
      <c r="AA41" s="3677" t="s">
        <v>1033</v>
      </c>
      <c r="AB41" s="3696">
        <f>'3. Показатели за качество'!E44</f>
        <v>0</v>
      </c>
      <c r="AC41" s="3696">
        <f>'3. Показатели за качество'!F44</f>
        <v>0</v>
      </c>
      <c r="AD41" s="3696">
        <f>'3. Показатели за качество'!G44</f>
        <v>0</v>
      </c>
      <c r="AE41" s="3696">
        <f>'3. Показатели за качество'!H44</f>
        <v>0</v>
      </c>
      <c r="AF41" s="3696">
        <f>'3. Показатели за качество'!I44</f>
        <v>0</v>
      </c>
      <c r="AG41" s="3696">
        <f>'3. Показатели за качество'!J44</f>
        <v>0</v>
      </c>
      <c r="AH41" s="3708"/>
      <c r="AI41" s="3708"/>
      <c r="AJ41" s="3464"/>
    </row>
    <row r="42" spans="1:36" ht="15.95" customHeight="1">
      <c r="A42" s="5639" t="s">
        <v>580</v>
      </c>
      <c r="B42" s="3608" t="s">
        <v>1532</v>
      </c>
      <c r="C42" s="3614">
        <f>'4. Отчет и прогн. потребление'!D33</f>
        <v>1500000</v>
      </c>
      <c r="D42" s="3614">
        <f>'4. Отчет и прогн. потребление'!E33</f>
        <v>1470000</v>
      </c>
      <c r="E42" s="3614">
        <f>'4. Отчет и прогн. потребление'!F33</f>
        <v>1420000</v>
      </c>
      <c r="F42" s="3614">
        <f>'4. Отчет и прогн. потребление'!G33</f>
        <v>1390000</v>
      </c>
      <c r="G42" s="3614">
        <f>'4. Отчет и прогн. потребление'!H33</f>
        <v>1350000</v>
      </c>
      <c r="H42" s="3614">
        <f>'4. Отчет и прогн. потребление'!I33</f>
        <v>1305000</v>
      </c>
      <c r="I42" s="3464"/>
      <c r="J42" s="3464"/>
      <c r="K42" s="3464"/>
      <c r="L42" s="3464"/>
      <c r="M42" s="3464"/>
      <c r="N42" s="3464"/>
      <c r="O42" s="3464"/>
      <c r="P42" s="3464"/>
      <c r="Q42" s="3464"/>
      <c r="R42" s="3464"/>
      <c r="S42" s="3464"/>
      <c r="T42" s="3464"/>
      <c r="U42" s="3464"/>
      <c r="V42" s="3464"/>
      <c r="W42" s="3464"/>
      <c r="X42" s="3464"/>
      <c r="Y42" s="3464"/>
      <c r="Z42" s="3464"/>
      <c r="AA42" s="3464"/>
      <c r="AB42" s="3464"/>
      <c r="AC42" s="3464"/>
      <c r="AD42" s="3464"/>
      <c r="AE42" s="3464"/>
      <c r="AF42" s="3464"/>
      <c r="AG42" s="3464"/>
      <c r="AH42" s="3464"/>
      <c r="AI42" s="3464"/>
      <c r="AJ42" s="3464"/>
    </row>
    <row r="43" spans="1:36" ht="15.95" customHeight="1">
      <c r="A43" s="5639"/>
      <c r="B43" s="3608" t="s">
        <v>170</v>
      </c>
      <c r="C43" s="3615">
        <f>'4. Отчет и прогн. потребление'!D34</f>
        <v>8.006938492620165E-2</v>
      </c>
      <c r="D43" s="3615">
        <f>'4. Отчет и прогн. потребление'!E34</f>
        <v>7.9265302314897326E-2</v>
      </c>
      <c r="E43" s="3615">
        <f>'4. Отчет и прогн. потребление'!F34</f>
        <v>7.8714911442398644E-2</v>
      </c>
      <c r="F43" s="3615">
        <f>'4. Отчет и прогн. потребление'!G34</f>
        <v>7.9741829230520603E-2</v>
      </c>
      <c r="G43" s="3615">
        <f>'4. Отчет и прогн. потребление'!H34</f>
        <v>8.0010800865444237E-2</v>
      </c>
      <c r="H43" s="3615">
        <f>'4. Отчет и прогн. потребление'!I34</f>
        <v>8.0153836402150402E-2</v>
      </c>
      <c r="I43" s="3464"/>
      <c r="J43" s="3464"/>
      <c r="K43" s="3464"/>
      <c r="L43" s="3464"/>
      <c r="M43" s="3464"/>
      <c r="N43" s="3464"/>
      <c r="O43" s="3464"/>
      <c r="P43" s="3464"/>
      <c r="Q43" s="3464"/>
      <c r="R43" s="3464"/>
      <c r="S43" s="3464"/>
      <c r="T43" s="3464"/>
      <c r="U43" s="3464"/>
      <c r="V43" s="3464"/>
      <c r="W43" s="3464"/>
      <c r="X43" s="3464"/>
      <c r="Y43" s="3464"/>
      <c r="Z43" s="3464"/>
      <c r="AA43" s="3464"/>
      <c r="AB43" s="3464"/>
      <c r="AC43" s="3464"/>
      <c r="AD43" s="3464"/>
      <c r="AE43" s="3464"/>
      <c r="AF43" s="3464"/>
      <c r="AG43" s="3464"/>
      <c r="AH43" s="3464"/>
      <c r="AI43" s="3464"/>
      <c r="AJ43" s="3464"/>
    </row>
    <row r="44" spans="1:36" ht="15.95" customHeight="1">
      <c r="A44" s="5637" t="s">
        <v>585</v>
      </c>
      <c r="B44" s="3608" t="s">
        <v>1532</v>
      </c>
      <c r="C44" s="3614">
        <f>'4. Отчет и прогн. потребление'!D37</f>
        <v>5485836</v>
      </c>
      <c r="D44" s="3614">
        <f>'4. Отчет и прогн. потребление'!E37</f>
        <v>5445872</v>
      </c>
      <c r="E44" s="3614">
        <f>'4. Отчет и прогн. потребление'!F37</f>
        <v>5303200</v>
      </c>
      <c r="F44" s="3614">
        <f>'4. Отчет и прогн. потребление'!G37</f>
        <v>5097046</v>
      </c>
      <c r="G44" s="3614">
        <f>'4. Отчет и прогн. потребление'!H37</f>
        <v>4908349</v>
      </c>
      <c r="H44" s="3614">
        <f>'4. Отчет и прогн. потребление'!I37</f>
        <v>4710054</v>
      </c>
      <c r="I44" s="3464"/>
      <c r="J44" s="3464"/>
      <c r="K44" s="3464"/>
      <c r="L44" s="3464"/>
      <c r="M44" s="3464"/>
      <c r="N44" s="3464"/>
      <c r="O44" s="3464"/>
      <c r="P44" s="3464"/>
      <c r="Q44" s="3464"/>
      <c r="R44" s="3464"/>
      <c r="S44" s="3464"/>
      <c r="T44" s="3464"/>
      <c r="U44" s="3464"/>
      <c r="V44" s="3464"/>
      <c r="W44" s="3464"/>
      <c r="X44" s="3464"/>
      <c r="Y44" s="3464"/>
      <c r="Z44" s="3464"/>
      <c r="AA44" s="3464"/>
      <c r="AB44" s="3464"/>
      <c r="AC44" s="3464"/>
      <c r="AD44" s="3464"/>
      <c r="AE44" s="3464"/>
      <c r="AF44" s="3464"/>
      <c r="AG44" s="3464"/>
      <c r="AH44" s="3464"/>
      <c r="AI44" s="3464"/>
      <c r="AJ44" s="3464"/>
    </row>
    <row r="45" spans="1:36" ht="15.95" customHeight="1">
      <c r="A45" s="5637"/>
      <c r="B45" s="3608" t="s">
        <v>170</v>
      </c>
      <c r="C45" s="3615">
        <f>'4. Отчет и прогн. потребление'!D38</f>
        <v>0.29283167621734291</v>
      </c>
      <c r="D45" s="3615">
        <f>'4. Отчет и прогн. потребление'!E38</f>
        <v>0.29365217037294866</v>
      </c>
      <c r="E45" s="3615">
        <f>'4. Отчет и прогн. потребление'!F38</f>
        <v>0.2939724777192454</v>
      </c>
      <c r="F45" s="3615">
        <f>'4. Отчет и прогн. потребление'!G38</f>
        <v>0.29240846885763178</v>
      </c>
      <c r="G45" s="3615">
        <f>'4. Отчет и прогн. потребление'!H38</f>
        <v>0.29090439586452027</v>
      </c>
      <c r="H45" s="3615">
        <f>'4. Отчет и прогн. потребление'!I38</f>
        <v>0.28929417452972733</v>
      </c>
      <c r="I45" s="3464"/>
      <c r="J45" s="3464"/>
      <c r="K45" s="3464"/>
      <c r="L45" s="3464"/>
      <c r="M45" s="3464"/>
      <c r="N45" s="3464"/>
      <c r="O45" s="3464"/>
      <c r="P45" s="3464"/>
      <c r="Q45" s="3464"/>
      <c r="R45" s="3464"/>
      <c r="S45" s="3464"/>
      <c r="T45" s="3464"/>
      <c r="U45" s="3464"/>
      <c r="V45" s="3464"/>
      <c r="W45" s="3464"/>
      <c r="X45" s="3464"/>
      <c r="Y45" s="3464"/>
      <c r="Z45" s="3464"/>
      <c r="AA45" s="3464"/>
      <c r="AB45" s="3464"/>
      <c r="AC45" s="3464"/>
      <c r="AD45" s="3464"/>
      <c r="AE45" s="3464"/>
      <c r="AF45" s="3464"/>
      <c r="AG45" s="3464"/>
      <c r="AH45" s="3464"/>
      <c r="AI45" s="3464"/>
      <c r="AJ45" s="3464"/>
    </row>
    <row r="46" spans="1:36" ht="15.95" customHeight="1">
      <c r="A46" s="5634" t="s">
        <v>594</v>
      </c>
      <c r="B46" s="3655" t="s">
        <v>1532</v>
      </c>
      <c r="C46" s="3656">
        <f>'4. Отчет и прогн. потребление'!D43</f>
        <v>7262695</v>
      </c>
      <c r="D46" s="3656">
        <f>'4. Отчет и прогн. потребление'!E43</f>
        <v>7190372</v>
      </c>
      <c r="E46" s="3656">
        <f>'4. Отчет и прогн. потребление'!F43</f>
        <v>6989700</v>
      </c>
      <c r="F46" s="3656">
        <f>'4. Отчет и прогн. потребление'!G43</f>
        <v>6744546</v>
      </c>
      <c r="G46" s="3656">
        <f>'4. Отчет и прогн. потребление'!H43</f>
        <v>6508349</v>
      </c>
      <c r="H46" s="3656">
        <f>'4. Отчет и прогн. потребление'!I43</f>
        <v>6256054</v>
      </c>
      <c r="I46" s="3464"/>
      <c r="J46" s="3464"/>
      <c r="K46" s="3464"/>
      <c r="L46" s="3464"/>
      <c r="M46" s="3464"/>
      <c r="N46" s="3464"/>
      <c r="O46" s="3464"/>
      <c r="P46" s="3464"/>
      <c r="Q46" s="3464"/>
      <c r="R46" s="3464"/>
      <c r="S46" s="3464"/>
      <c r="T46" s="3464"/>
      <c r="U46" s="3464"/>
      <c r="V46" s="3464"/>
      <c r="W46" s="3464"/>
      <c r="X46" s="3464"/>
      <c r="Y46" s="3464"/>
      <c r="Z46" s="3464"/>
      <c r="AA46" s="3464"/>
      <c r="AB46" s="3464"/>
      <c r="AC46" s="3464"/>
      <c r="AD46" s="3464"/>
      <c r="AE46" s="3464"/>
      <c r="AF46" s="3464"/>
      <c r="AG46" s="3464"/>
      <c r="AH46" s="3464"/>
      <c r="AI46" s="3464"/>
      <c r="AJ46" s="3464"/>
    </row>
    <row r="47" spans="1:36" ht="15.95" customHeight="1">
      <c r="A47" s="5635"/>
      <c r="B47" s="3655" t="s">
        <v>170</v>
      </c>
      <c r="C47" s="3661">
        <f>'4. Отчет и прогн. потребление'!D44</f>
        <v>0.38767968103773337</v>
      </c>
      <c r="D47" s="3661">
        <f>'4. Отчет и прогн. потребление'!E44</f>
        <v>0.38771905465072987</v>
      </c>
      <c r="E47" s="3661">
        <f>'4. Отчет и прогн. потребление'!F44</f>
        <v>0.38746029331615056</v>
      </c>
      <c r="F47" s="3661">
        <f>'4. Отчет и прогн. потребление'!G44</f>
        <v>0.38692261537366246</v>
      </c>
      <c r="G47" s="3661">
        <f>'4. Отчет и прогн. потребление'!H44</f>
        <v>0.38573201170504678</v>
      </c>
      <c r="H47" s="3661">
        <f>'4. Отчет и прогн. потребление'!I44</f>
        <v>0.38425036692645109</v>
      </c>
      <c r="I47" s="3464"/>
      <c r="J47" s="3464"/>
      <c r="K47" s="3464"/>
      <c r="L47" s="3464"/>
      <c r="M47" s="3464"/>
      <c r="N47" s="3464"/>
      <c r="O47" s="3464"/>
      <c r="P47" s="3464"/>
      <c r="Q47" s="3464"/>
      <c r="R47" s="3464"/>
      <c r="S47" s="3464"/>
      <c r="T47" s="3464"/>
      <c r="U47" s="3464"/>
      <c r="V47" s="3464"/>
      <c r="W47" s="3464"/>
      <c r="X47" s="3464"/>
      <c r="Y47" s="3464"/>
      <c r="Z47" s="3464"/>
      <c r="AA47" s="3464"/>
      <c r="AB47" s="3464"/>
      <c r="AC47" s="3464"/>
      <c r="AD47" s="3464"/>
      <c r="AE47" s="3464"/>
      <c r="AF47" s="3464"/>
      <c r="AG47" s="3464"/>
      <c r="AH47" s="3464"/>
      <c r="AI47" s="3464"/>
      <c r="AJ47" s="3464"/>
    </row>
    <row r="48" spans="1:36" ht="15.95" customHeight="1">
      <c r="A48" s="5636"/>
      <c r="B48" s="3655" t="s">
        <v>1533</v>
      </c>
      <c r="C48" s="3662">
        <f>'4. Отчет и прогн. потребление'!D45</f>
        <v>11.241691819518614</v>
      </c>
      <c r="D48" s="3662">
        <f>'4. Отчет и прогн. потребление'!E45</f>
        <v>11.110913319271571</v>
      </c>
      <c r="E48" s="3662">
        <f>'4. Отчет и прогн. потребление'!F45</f>
        <v>10.800825162830586</v>
      </c>
      <c r="F48" s="3662">
        <f>'4. Отчет и прогн. потребление'!G45</f>
        <v>10.422001251651483</v>
      </c>
      <c r="G48" s="3662">
        <f>'4. Отчет и прогн. потребление'!H45</f>
        <v>10.05701813349404</v>
      </c>
      <c r="H48" s="3662">
        <f>'4. Отчет и прогн. потребление'!I45</f>
        <v>9.667159601016774</v>
      </c>
      <c r="I48" s="3464"/>
      <c r="J48" s="3464"/>
      <c r="K48" s="3464"/>
      <c r="L48" s="3464"/>
      <c r="M48" s="3464"/>
      <c r="N48" s="3464"/>
      <c r="O48" s="3464"/>
      <c r="P48" s="3464"/>
      <c r="Q48" s="3464"/>
      <c r="R48" s="3464"/>
      <c r="S48" s="3464"/>
      <c r="T48" s="3464"/>
      <c r="U48" s="3464"/>
      <c r="V48" s="3464"/>
      <c r="W48" s="3464"/>
      <c r="X48" s="3464"/>
      <c r="Y48" s="3464"/>
      <c r="Z48" s="3464"/>
      <c r="AA48" s="3464"/>
      <c r="AB48" s="3464"/>
      <c r="AC48" s="3464"/>
      <c r="AD48" s="3464"/>
      <c r="AE48" s="3464"/>
      <c r="AF48" s="3464"/>
      <c r="AG48" s="3464"/>
      <c r="AH48" s="3464"/>
      <c r="AI48" s="3464"/>
      <c r="AJ48" s="3464"/>
    </row>
    <row r="49" spans="1:36" ht="15.95" customHeight="1">
      <c r="A49" s="5629" t="s">
        <v>174</v>
      </c>
      <c r="B49" s="5630"/>
      <c r="C49" s="5630"/>
      <c r="D49" s="5630"/>
      <c r="E49" s="5630"/>
      <c r="F49" s="5630"/>
      <c r="G49" s="5630"/>
      <c r="H49" s="5631"/>
      <c r="I49" s="3464"/>
      <c r="J49" s="3464"/>
      <c r="K49" s="3464"/>
      <c r="L49" s="3464"/>
      <c r="M49" s="3464"/>
      <c r="N49" s="3464"/>
      <c r="O49" s="3464"/>
      <c r="P49" s="3464"/>
      <c r="Q49" s="3464"/>
      <c r="R49" s="3464"/>
      <c r="S49" s="3464"/>
      <c r="T49" s="3464"/>
      <c r="U49" s="3464"/>
      <c r="V49" s="3464"/>
      <c r="W49" s="3464"/>
      <c r="X49" s="3464"/>
      <c r="Y49" s="3464"/>
      <c r="Z49" s="3464"/>
      <c r="AA49" s="3464"/>
      <c r="AB49" s="3464"/>
      <c r="AC49" s="3464"/>
      <c r="AD49" s="3464"/>
      <c r="AE49" s="3464"/>
      <c r="AF49" s="3464"/>
      <c r="AG49" s="3464"/>
      <c r="AH49" s="3464"/>
      <c r="AI49" s="3464"/>
      <c r="AJ49" s="3464"/>
    </row>
    <row r="50" spans="1:36" ht="15.95" customHeight="1">
      <c r="A50" s="5638" t="s">
        <v>175</v>
      </c>
      <c r="B50" s="3655" t="s">
        <v>1532</v>
      </c>
      <c r="C50" s="3664">
        <f>'4. Отчет и прогн. потребление'!D48</f>
        <v>9812164</v>
      </c>
      <c r="D50" s="3664">
        <f>'4. Отчет и прогн. потребление'!E48</f>
        <v>9547294.9999999981</v>
      </c>
      <c r="E50" s="3664">
        <f>'4. Отчет и прогн. потребление'!F48</f>
        <v>9248377.691771986</v>
      </c>
      <c r="F50" s="3664">
        <f>'4. Отчет и прогн. потребление'!G48</f>
        <v>8958863.1215095669</v>
      </c>
      <c r="G50" s="3664">
        <f>'4. Отчет и прогн. потребление'!H48</f>
        <v>8678455.362442337</v>
      </c>
      <c r="H50" s="3664">
        <f>'4. Отчет и прогн. потребление'!I48</f>
        <v>8388483.7760139331</v>
      </c>
      <c r="I50" s="3464"/>
      <c r="J50" s="3464"/>
      <c r="K50" s="3464"/>
      <c r="L50" s="3464"/>
      <c r="M50" s="3464"/>
      <c r="N50" s="3464"/>
      <c r="O50" s="3464"/>
      <c r="P50" s="3464"/>
      <c r="Q50" s="3464"/>
      <c r="R50" s="3464"/>
      <c r="S50" s="3464"/>
      <c r="T50" s="3464"/>
      <c r="U50" s="3464"/>
      <c r="V50" s="3464"/>
      <c r="W50" s="3464"/>
      <c r="X50" s="3464"/>
      <c r="Y50" s="3464"/>
      <c r="Z50" s="3464"/>
      <c r="AA50" s="3464"/>
      <c r="AB50" s="3464"/>
      <c r="AC50" s="3464"/>
      <c r="AD50" s="3464"/>
      <c r="AE50" s="3464"/>
      <c r="AF50" s="3464"/>
      <c r="AG50" s="3464"/>
      <c r="AH50" s="3464"/>
      <c r="AI50" s="3464"/>
      <c r="AJ50" s="3464"/>
    </row>
    <row r="51" spans="1:36" ht="15.95" customHeight="1">
      <c r="A51" s="5638"/>
      <c r="B51" s="3655" t="s">
        <v>170</v>
      </c>
      <c r="C51" s="3665">
        <f>'4. Отчет и прогн. потребление'!D49</f>
        <v>0.85538446892906206</v>
      </c>
      <c r="D51" s="3665">
        <f>'4. Отчет и прогн. потребление'!E49</f>
        <v>0.84080518942279125</v>
      </c>
      <c r="E51" s="3665">
        <f>'4. Отчет и прогн. потребление'!F49</f>
        <v>0.83695089331130634</v>
      </c>
      <c r="F51" s="3665">
        <f>'4. Отчет и прогн. потребление'!G49</f>
        <v>0.83831836753762723</v>
      </c>
      <c r="G51" s="3665">
        <f>'4. Отчет и прогн. потребление'!H49</f>
        <v>0.83733527556860199</v>
      </c>
      <c r="H51" s="3665">
        <f>'4. Отчет и прогн. потребление'!I49</f>
        <v>0.83674500806650676</v>
      </c>
      <c r="I51" s="3464"/>
      <c r="J51" s="3464"/>
      <c r="K51" s="3464"/>
      <c r="L51" s="3464"/>
      <c r="M51" s="3464"/>
      <c r="N51" s="3464"/>
      <c r="O51" s="3464"/>
      <c r="P51" s="3464"/>
      <c r="Q51" s="3464"/>
      <c r="R51" s="3464"/>
      <c r="S51" s="3464"/>
      <c r="T51" s="3464"/>
      <c r="U51" s="3464"/>
      <c r="V51" s="3464"/>
      <c r="W51" s="3464"/>
      <c r="X51" s="3464"/>
      <c r="Y51" s="3464"/>
      <c r="Z51" s="3464"/>
      <c r="AA51" s="3464"/>
      <c r="AB51" s="3464"/>
      <c r="AC51" s="3464"/>
      <c r="AD51" s="3464"/>
      <c r="AE51" s="3464"/>
      <c r="AF51" s="3464"/>
      <c r="AG51" s="3464"/>
      <c r="AH51" s="3464"/>
      <c r="AI51" s="3464"/>
      <c r="AJ51" s="3464"/>
    </row>
    <row r="52" spans="1:36" ht="15.95" customHeight="1">
      <c r="A52" s="3611" t="s">
        <v>177</v>
      </c>
      <c r="B52" s="3608" t="s">
        <v>1532</v>
      </c>
      <c r="C52" s="3612">
        <f>'4. Отчет и прогн. потребление'!D50</f>
        <v>8906850</v>
      </c>
      <c r="D52" s="3612">
        <f>'4. Отчет и прогн. потребление'!E50</f>
        <v>8846883.3333333321</v>
      </c>
      <c r="E52" s="3612">
        <f>'4. Отчет и прогн. потребление'!F50</f>
        <v>8557827.691771986</v>
      </c>
      <c r="F52" s="3612">
        <f>'4. Отчет и прогн. потребление'!G50</f>
        <v>8278178.1215095669</v>
      </c>
      <c r="G52" s="3612">
        <f>'4. Отчет и прогн. потребление'!H50</f>
        <v>8007635.362442336</v>
      </c>
      <c r="H52" s="3612">
        <f>'4. Отчет и прогн. потребление'!I50</f>
        <v>7727528.7760139331</v>
      </c>
      <c r="I52" s="3464"/>
      <c r="J52" s="3464"/>
      <c r="K52" s="3464"/>
      <c r="L52" s="3464"/>
      <c r="M52" s="3464"/>
      <c r="N52" s="3464"/>
      <c r="O52" s="3464"/>
      <c r="P52" s="3464"/>
      <c r="Q52" s="3464"/>
      <c r="R52" s="3464"/>
      <c r="S52" s="3464"/>
      <c r="T52" s="3464"/>
      <c r="U52" s="3464"/>
      <c r="V52" s="3464"/>
      <c r="W52" s="3464"/>
      <c r="X52" s="3464"/>
      <c r="Y52" s="3464"/>
      <c r="Z52" s="3464"/>
      <c r="AA52" s="3464"/>
      <c r="AB52" s="3464"/>
      <c r="AC52" s="3464"/>
      <c r="AD52" s="3464"/>
      <c r="AE52" s="3464"/>
      <c r="AF52" s="3464"/>
      <c r="AG52" s="3464"/>
      <c r="AH52" s="3464"/>
      <c r="AI52" s="3464"/>
      <c r="AJ52" s="3464"/>
    </row>
    <row r="53" spans="1:36" ht="15.95" customHeight="1">
      <c r="A53" s="3611" t="s">
        <v>179</v>
      </c>
      <c r="B53" s="3608" t="s">
        <v>1532</v>
      </c>
      <c r="C53" s="3612">
        <f>'4. Отчет и прогн. потребление'!D51</f>
        <v>905314</v>
      </c>
      <c r="D53" s="3612">
        <f>'4. Отчет и прогн. потребление'!E51</f>
        <v>700411.66666666663</v>
      </c>
      <c r="E53" s="3612">
        <f>'4. Отчет и прогн. потребление'!F51</f>
        <v>690550</v>
      </c>
      <c r="F53" s="3612">
        <f>'4. Отчет и прогн. потребление'!G51</f>
        <v>680685</v>
      </c>
      <c r="G53" s="3612">
        <f>'4. Отчет и прогн. потребление'!H51</f>
        <v>670820</v>
      </c>
      <c r="H53" s="3612">
        <f>'4. Отчет и прогн. потребление'!I51</f>
        <v>660955</v>
      </c>
      <c r="I53" s="3464"/>
      <c r="J53" s="3464"/>
      <c r="K53" s="3464"/>
      <c r="L53" s="3464"/>
      <c r="M53" s="3464"/>
      <c r="N53" s="3464"/>
      <c r="O53" s="3464"/>
      <c r="P53" s="3464"/>
      <c r="Q53" s="3464"/>
      <c r="R53" s="3464"/>
      <c r="S53" s="3464"/>
      <c r="T53" s="3464"/>
      <c r="U53" s="3464"/>
      <c r="V53" s="3464"/>
      <c r="W53" s="3464"/>
      <c r="X53" s="3464"/>
      <c r="Y53" s="3464"/>
      <c r="Z53" s="3464"/>
      <c r="AA53" s="3464"/>
      <c r="AB53" s="3464"/>
      <c r="AC53" s="3464"/>
      <c r="AD53" s="3464"/>
      <c r="AE53" s="3464"/>
      <c r="AF53" s="3464"/>
      <c r="AG53" s="3464"/>
      <c r="AH53" s="3464"/>
      <c r="AI53" s="3464"/>
      <c r="AJ53" s="3464"/>
    </row>
    <row r="54" spans="1:36" ht="15.95" customHeight="1">
      <c r="A54" s="5629" t="s">
        <v>184</v>
      </c>
      <c r="B54" s="5630"/>
      <c r="C54" s="5630"/>
      <c r="D54" s="5630"/>
      <c r="E54" s="5630"/>
      <c r="F54" s="5630"/>
      <c r="G54" s="5630"/>
      <c r="H54" s="5631"/>
      <c r="I54" s="3464"/>
      <c r="J54" s="3464"/>
      <c r="K54" s="3464"/>
      <c r="L54" s="3464"/>
      <c r="M54" s="3464"/>
      <c r="N54" s="3464"/>
      <c r="O54" s="3464"/>
      <c r="P54" s="3464"/>
      <c r="Q54" s="3464"/>
      <c r="R54" s="3464"/>
      <c r="S54" s="3464"/>
      <c r="T54" s="3464"/>
      <c r="U54" s="3464"/>
      <c r="V54" s="3464"/>
      <c r="W54" s="3464"/>
      <c r="X54" s="3464"/>
      <c r="Y54" s="3464"/>
      <c r="Z54" s="3464"/>
      <c r="AA54" s="3464"/>
      <c r="AB54" s="3464"/>
      <c r="AC54" s="3464"/>
      <c r="AD54" s="3464"/>
      <c r="AE54" s="3464"/>
      <c r="AF54" s="3464"/>
      <c r="AG54" s="3464"/>
      <c r="AH54" s="3464"/>
      <c r="AI54" s="3464"/>
      <c r="AJ54" s="3464"/>
    </row>
    <row r="55" spans="1:36" ht="15.95" customHeight="1">
      <c r="A55" s="5638" t="s">
        <v>185</v>
      </c>
      <c r="B55" s="3655" t="s">
        <v>1532</v>
      </c>
      <c r="C55" s="3664">
        <f>'4. Отчет и прогн. потребление'!D53</f>
        <v>5349375</v>
      </c>
      <c r="D55" s="3664">
        <f>'4. Отчет и прогн. потребление'!E53</f>
        <v>5338934.666666666</v>
      </c>
      <c r="E55" s="3664">
        <f>'4. Отчет и прогн. потребление'!F53</f>
        <v>5182660.1569519248</v>
      </c>
      <c r="F55" s="3664">
        <f>'4. Отчет и прогн. потребление'!G53</f>
        <v>5030679.2791940952</v>
      </c>
      <c r="G55" s="3664">
        <f>'4. Отчет и прогн. потребление'!H53</f>
        <v>4890313.6719728708</v>
      </c>
      <c r="H55" s="3664">
        <f>'4. Отчет и прогн. потребление'!I53</f>
        <v>3569290.411729503</v>
      </c>
      <c r="I55" s="3464"/>
      <c r="J55" s="3464"/>
      <c r="K55" s="3464"/>
      <c r="L55" s="3464"/>
      <c r="M55" s="3464"/>
      <c r="N55" s="3464"/>
      <c r="O55" s="3464"/>
      <c r="P55" s="3464"/>
      <c r="Q55" s="3464"/>
      <c r="R55" s="3464"/>
      <c r="S55" s="3464"/>
      <c r="T55" s="3464"/>
      <c r="U55" s="3464"/>
      <c r="V55" s="3464"/>
      <c r="W55" s="3464"/>
      <c r="X55" s="3464"/>
      <c r="Y55" s="3464"/>
      <c r="Z55" s="3464"/>
      <c r="AA55" s="3464"/>
      <c r="AB55" s="3464"/>
      <c r="AC55" s="3464"/>
      <c r="AD55" s="3464"/>
      <c r="AE55" s="3464"/>
      <c r="AF55" s="3464"/>
      <c r="AG55" s="3464"/>
      <c r="AH55" s="3464"/>
      <c r="AI55" s="3464"/>
      <c r="AJ55" s="3464"/>
    </row>
    <row r="56" spans="1:36" ht="15.95" customHeight="1">
      <c r="A56" s="5638"/>
      <c r="B56" s="3655" t="s">
        <v>170</v>
      </c>
      <c r="C56" s="3665">
        <f>'4. Отчет и прогн. потребление'!D54</f>
        <v>0.46633671160382167</v>
      </c>
      <c r="D56" s="3665">
        <f>'4. Отчет и прогн. потребление'!E54</f>
        <v>0.47018595044172973</v>
      </c>
      <c r="E56" s="3665">
        <f>'4. Отчет и прогн. потребление'!F54</f>
        <v>0.46901545251000015</v>
      </c>
      <c r="F56" s="3665">
        <f>'4. Отчет и прогн. потребление'!G54</f>
        <v>0.47074174298007859</v>
      </c>
      <c r="G56" s="3665">
        <f>'4. Отчет и прогн. потребление'!H54</f>
        <v>0.47183882097953389</v>
      </c>
      <c r="H56" s="3665">
        <f>'4. Отчет и прогн. потребление'!I54</f>
        <v>0.35603405980162528</v>
      </c>
      <c r="I56" s="3464"/>
      <c r="J56" s="3464"/>
      <c r="K56" s="3464"/>
      <c r="L56" s="3464"/>
      <c r="M56" s="3464"/>
      <c r="N56" s="3464"/>
      <c r="O56" s="3464"/>
      <c r="P56" s="3464"/>
      <c r="Q56" s="3464"/>
      <c r="R56" s="3464"/>
      <c r="S56" s="3464"/>
      <c r="T56" s="3464"/>
      <c r="U56" s="3464"/>
      <c r="V56" s="3464"/>
      <c r="W56" s="3464"/>
      <c r="X56" s="3464"/>
      <c r="Y56" s="3464"/>
      <c r="Z56" s="3464"/>
      <c r="AA56" s="3464"/>
      <c r="AB56" s="3464"/>
      <c r="AC56" s="3464"/>
      <c r="AD56" s="3464"/>
      <c r="AE56" s="3464"/>
      <c r="AF56" s="3464"/>
      <c r="AG56" s="3464"/>
      <c r="AH56" s="3464"/>
      <c r="AI56" s="3464"/>
      <c r="AJ56" s="3464"/>
    </row>
    <row r="57" spans="1:36" ht="15.95" customHeight="1">
      <c r="A57" s="3611" t="s">
        <v>177</v>
      </c>
      <c r="B57" s="3608" t="s">
        <v>1532</v>
      </c>
      <c r="C57" s="3609">
        <f>'4. Отчет и прогн. потребление'!D55</f>
        <v>4981329</v>
      </c>
      <c r="D57" s="3609">
        <f>'4. Отчет и прогн. потребление'!E55</f>
        <v>4955705.333333333</v>
      </c>
      <c r="E57" s="3609">
        <f>'4. Отчет и прогн. потребление'!F55</f>
        <v>4811710.1569519248</v>
      </c>
      <c r="F57" s="3609">
        <f>'4. Отчет и прогн. потребление'!G55</f>
        <v>4672094.2791940952</v>
      </c>
      <c r="G57" s="3609">
        <f>'4. Отчет и прогн. потребление'!H55</f>
        <v>4536674.6719728708</v>
      </c>
      <c r="H57" s="3609">
        <f>'4. Отчет и прогн. потребление'!I55</f>
        <v>3220597.411729503</v>
      </c>
      <c r="I57" s="3464"/>
      <c r="J57" s="3464"/>
      <c r="K57" s="3464"/>
      <c r="L57" s="3464"/>
      <c r="M57" s="3464"/>
      <c r="N57" s="3464"/>
      <c r="O57" s="3464"/>
      <c r="P57" s="3464"/>
      <c r="Q57" s="3464"/>
      <c r="R57" s="3464"/>
      <c r="S57" s="3464"/>
      <c r="T57" s="3464"/>
      <c r="U57" s="3464"/>
      <c r="V57" s="3464"/>
      <c r="W57" s="3464"/>
      <c r="X57" s="3464"/>
      <c r="Y57" s="3464"/>
      <c r="Z57" s="3464"/>
      <c r="AA57" s="3464"/>
      <c r="AB57" s="3464"/>
      <c r="AC57" s="3464"/>
      <c r="AD57" s="3464"/>
      <c r="AE57" s="3464"/>
      <c r="AF57" s="3464"/>
      <c r="AG57" s="3464"/>
      <c r="AH57" s="3464"/>
      <c r="AI57" s="3464"/>
      <c r="AJ57" s="3464"/>
    </row>
    <row r="58" spans="1:36" ht="15.95" customHeight="1">
      <c r="A58" s="3611" t="s">
        <v>179</v>
      </c>
      <c r="B58" s="3608" t="s">
        <v>1532</v>
      </c>
      <c r="C58" s="3609">
        <f>'4. Отчет и прогн. потребление'!D56</f>
        <v>368046</v>
      </c>
      <c r="D58" s="3609">
        <f>'4. Отчет и прогн. потребление'!E56</f>
        <v>383229.33333333331</v>
      </c>
      <c r="E58" s="3609">
        <f>'4. Отчет и прогн. потребление'!F56</f>
        <v>370950</v>
      </c>
      <c r="F58" s="3609">
        <f>'4. Отчет и прогн. потребление'!G56</f>
        <v>358585</v>
      </c>
      <c r="G58" s="3609">
        <f>'4. Отчет и прогн. потребление'!H56</f>
        <v>353639</v>
      </c>
      <c r="H58" s="3609">
        <f>'4. Отчет и прогн. потребление'!I56</f>
        <v>348693</v>
      </c>
      <c r="I58" s="3464"/>
      <c r="J58" s="3464"/>
      <c r="K58" s="3464"/>
      <c r="L58" s="3464"/>
      <c r="M58" s="3464"/>
      <c r="N58" s="3464"/>
      <c r="O58" s="3464"/>
      <c r="P58" s="3464"/>
      <c r="Q58" s="3464"/>
      <c r="R58" s="3464"/>
      <c r="S58" s="3464"/>
      <c r="T58" s="3464"/>
      <c r="U58" s="3464"/>
      <c r="V58" s="3464"/>
      <c r="W58" s="3464"/>
      <c r="X58" s="3464"/>
      <c r="Y58" s="3464"/>
      <c r="Z58" s="3464"/>
      <c r="AA58" s="3464"/>
      <c r="AB58" s="3464"/>
      <c r="AC58" s="3464"/>
      <c r="AD58" s="3464"/>
      <c r="AE58" s="3464"/>
      <c r="AF58" s="3464"/>
      <c r="AG58" s="3464"/>
      <c r="AH58" s="3464"/>
      <c r="AI58" s="3464"/>
      <c r="AJ58" s="3464"/>
    </row>
    <row r="59" spans="1:36" ht="15.95" customHeight="1">
      <c r="A59" s="3613" t="s">
        <v>997</v>
      </c>
      <c r="B59" s="3608" t="s">
        <v>1532</v>
      </c>
      <c r="C59" s="3614">
        <f>'4. Отчет и прогн. потребление'!D58</f>
        <v>200339</v>
      </c>
      <c r="D59" s="3614">
        <f>'4. Отчет и прогн. потребление'!E58</f>
        <v>208590</v>
      </c>
      <c r="E59" s="3614">
        <f>'4. Отчет и прогн. потребление'!F58</f>
        <v>201910</v>
      </c>
      <c r="F59" s="3614">
        <f>'4. Отчет и прогн. потребление'!G58</f>
        <v>195180</v>
      </c>
      <c r="G59" s="3614">
        <f>'4. Отчет и прогн. потребление'!H58</f>
        <v>192485</v>
      </c>
      <c r="H59" s="3614">
        <f>'4. Отчет и прогн. потребление'!I58</f>
        <v>189795</v>
      </c>
      <c r="I59" s="3464"/>
      <c r="J59" s="3464"/>
      <c r="K59" s="3464"/>
      <c r="L59" s="3464"/>
      <c r="M59" s="3464"/>
      <c r="N59" s="3464"/>
      <c r="O59" s="3464"/>
      <c r="P59" s="3464"/>
      <c r="Q59" s="3464"/>
      <c r="R59" s="3464"/>
      <c r="S59" s="3464"/>
      <c r="T59" s="3464"/>
      <c r="U59" s="3464"/>
      <c r="V59" s="3464"/>
      <c r="W59" s="3464"/>
      <c r="X59" s="3464"/>
      <c r="Y59" s="3464"/>
      <c r="Z59" s="3464"/>
      <c r="AA59" s="3464"/>
      <c r="AB59" s="3464"/>
      <c r="AC59" s="3464"/>
      <c r="AD59" s="3464"/>
      <c r="AE59" s="3464"/>
      <c r="AF59" s="3464"/>
      <c r="AG59" s="3464"/>
      <c r="AH59" s="3464"/>
      <c r="AI59" s="3464"/>
      <c r="AJ59" s="3464"/>
    </row>
    <row r="60" spans="1:36" ht="15.95" customHeight="1">
      <c r="A60" s="3613" t="s">
        <v>998</v>
      </c>
      <c r="B60" s="3608" t="s">
        <v>1532</v>
      </c>
      <c r="C60" s="3614">
        <f>'4. Отчет и прогн. потребление'!D59</f>
        <v>28576</v>
      </c>
      <c r="D60" s="3614">
        <f>'4. Отчет и прогн. потребление'!E59</f>
        <v>29738</v>
      </c>
      <c r="E60" s="3614">
        <f>'4. Отчет и прогн. потребление'!F59</f>
        <v>28785</v>
      </c>
      <c r="F60" s="3614">
        <f>'4. Отчет и прогн. потребление'!G59</f>
        <v>27826</v>
      </c>
      <c r="G60" s="3614">
        <f>'4. Отчет и прогн. потребление'!H59</f>
        <v>27445</v>
      </c>
      <c r="H60" s="3614">
        <f>'4. Отчет и прогн. потребление'!I59</f>
        <v>27060</v>
      </c>
      <c r="I60" s="3464"/>
      <c r="J60" s="3464"/>
      <c r="K60" s="3464"/>
      <c r="L60" s="3464"/>
      <c r="M60" s="3464"/>
      <c r="N60" s="3464"/>
      <c r="O60" s="3464"/>
      <c r="P60" s="3464"/>
      <c r="Q60" s="3464"/>
      <c r="R60" s="3464"/>
      <c r="S60" s="3464"/>
      <c r="T60" s="3464"/>
      <c r="U60" s="3464"/>
      <c r="V60" s="3464"/>
      <c r="W60" s="3464"/>
      <c r="X60" s="3464"/>
      <c r="Y60" s="3464"/>
      <c r="Z60" s="3464"/>
      <c r="AA60" s="3464"/>
      <c r="AB60" s="3464"/>
      <c r="AC60" s="3464"/>
      <c r="AD60" s="3464"/>
      <c r="AE60" s="3464"/>
      <c r="AF60" s="3464"/>
      <c r="AG60" s="3464"/>
      <c r="AH60" s="3464"/>
      <c r="AI60" s="3464"/>
      <c r="AJ60" s="3464"/>
    </row>
    <row r="61" spans="1:36" ht="15.95" customHeight="1">
      <c r="A61" s="3613" t="s">
        <v>999</v>
      </c>
      <c r="B61" s="3608" t="s">
        <v>1532</v>
      </c>
      <c r="C61" s="3614">
        <f>'4. Отчет и прогн. потребление'!D60</f>
        <v>139131</v>
      </c>
      <c r="D61" s="3614">
        <f>'4. Отчет и прогн. потребление'!E60</f>
        <v>144901</v>
      </c>
      <c r="E61" s="3614">
        <f>'4. Отчет и прогн. потребление'!F60</f>
        <v>140255</v>
      </c>
      <c r="F61" s="3614">
        <f>'4. Отчет и прогн. потребление'!G60</f>
        <v>135579</v>
      </c>
      <c r="G61" s="3614">
        <f>'4. Отчет и прогн. потребление'!H60</f>
        <v>133709</v>
      </c>
      <c r="H61" s="3614">
        <f>'4. Отчет и прогн. потребление'!I60</f>
        <v>131838</v>
      </c>
      <c r="I61" s="3464"/>
      <c r="J61" s="3464"/>
      <c r="K61" s="3464"/>
      <c r="L61" s="3464"/>
      <c r="M61" s="3464"/>
      <c r="N61" s="3464"/>
      <c r="O61" s="3464"/>
      <c r="P61" s="3464"/>
      <c r="Q61" s="3464"/>
      <c r="R61" s="3464"/>
      <c r="S61" s="3464"/>
      <c r="T61" s="3464"/>
      <c r="U61" s="3464"/>
      <c r="V61" s="3464"/>
      <c r="W61" s="3464"/>
      <c r="X61" s="3464"/>
      <c r="Y61" s="3464"/>
      <c r="Z61" s="3464"/>
      <c r="AA61" s="3464"/>
      <c r="AB61" s="3464"/>
      <c r="AC61" s="3464"/>
      <c r="AD61" s="3464"/>
      <c r="AE61" s="3464"/>
      <c r="AF61" s="3464"/>
      <c r="AG61" s="3464"/>
      <c r="AH61" s="3464"/>
      <c r="AI61" s="3464"/>
      <c r="AJ61" s="3464"/>
    </row>
    <row r="62" spans="1:36" ht="15.95" customHeight="1">
      <c r="A62" s="5629" t="s">
        <v>1236</v>
      </c>
      <c r="B62" s="5630"/>
      <c r="C62" s="5630"/>
      <c r="D62" s="5630"/>
      <c r="E62" s="5630"/>
      <c r="F62" s="5630"/>
      <c r="G62" s="5630"/>
      <c r="H62" s="5631"/>
      <c r="I62" s="3464"/>
      <c r="J62" s="3464"/>
      <c r="K62" s="3464"/>
      <c r="L62" s="3464"/>
      <c r="M62" s="3464"/>
      <c r="N62" s="3464"/>
      <c r="O62" s="3464"/>
      <c r="P62" s="3464"/>
      <c r="Q62" s="3464"/>
      <c r="R62" s="3464"/>
      <c r="S62" s="3464"/>
      <c r="T62" s="3464"/>
      <c r="U62" s="3464"/>
      <c r="V62" s="3464"/>
      <c r="W62" s="3464"/>
      <c r="X62" s="3464"/>
      <c r="Y62" s="3464"/>
      <c r="Z62" s="3464"/>
      <c r="AA62" s="3464"/>
      <c r="AB62" s="3464"/>
      <c r="AC62" s="3464"/>
      <c r="AD62" s="3464"/>
      <c r="AE62" s="3464"/>
      <c r="AF62" s="3464"/>
      <c r="AG62" s="3464"/>
      <c r="AH62" s="3464"/>
      <c r="AI62" s="3464"/>
      <c r="AJ62" s="3464"/>
    </row>
    <row r="63" spans="1:36" ht="15.95" customHeight="1">
      <c r="A63" s="3654" t="s">
        <v>570</v>
      </c>
      <c r="B63" s="3655" t="s">
        <v>1532</v>
      </c>
      <c r="C63" s="3656">
        <f>'4. Отчет и прогн. потребление'!D62</f>
        <v>0</v>
      </c>
      <c r="D63" s="3656">
        <f>'4. Отчет и прогн. потребление'!E62</f>
        <v>0</v>
      </c>
      <c r="E63" s="3656">
        <f>'4. Отчет и прогн. потребление'!F62</f>
        <v>0</v>
      </c>
      <c r="F63" s="3656">
        <f>'4. Отчет и прогн. потребление'!G62</f>
        <v>0</v>
      </c>
      <c r="G63" s="3656">
        <f>'4. Отчет и прогн. потребление'!H62</f>
        <v>0</v>
      </c>
      <c r="H63" s="3656">
        <f>'4. Отчет и прогн. потребление'!I62</f>
        <v>0</v>
      </c>
      <c r="I63" s="3464"/>
      <c r="J63" s="3464"/>
      <c r="K63" s="3464"/>
      <c r="L63" s="3464"/>
      <c r="M63" s="3464"/>
      <c r="N63" s="3464"/>
      <c r="O63" s="3464"/>
      <c r="P63" s="3464"/>
      <c r="Q63" s="3464"/>
      <c r="R63" s="3464"/>
      <c r="S63" s="3464"/>
      <c r="T63" s="3464"/>
      <c r="U63" s="3464"/>
      <c r="V63" s="3464"/>
      <c r="W63" s="3464"/>
      <c r="X63" s="3464"/>
      <c r="Y63" s="3464"/>
      <c r="Z63" s="3464"/>
      <c r="AA63" s="3464"/>
      <c r="AB63" s="3464"/>
      <c r="AC63" s="3464"/>
      <c r="AD63" s="3464"/>
      <c r="AE63" s="3464"/>
      <c r="AF63" s="3464"/>
      <c r="AG63" s="3464"/>
      <c r="AH63" s="3464"/>
      <c r="AI63" s="3464"/>
      <c r="AJ63" s="3464"/>
    </row>
    <row r="64" spans="1:36" ht="15.95" customHeight="1">
      <c r="A64" s="5632" t="s">
        <v>572</v>
      </c>
      <c r="B64" s="3608" t="s">
        <v>1532</v>
      </c>
      <c r="C64" s="3609">
        <f>'4. Отчет и прогн. потребление'!D69</f>
        <v>0</v>
      </c>
      <c r="D64" s="3609">
        <f>'4. Отчет и прогн. потребление'!E69</f>
        <v>0</v>
      </c>
      <c r="E64" s="3609">
        <f>'4. Отчет и прогн. потребление'!F69</f>
        <v>0</v>
      </c>
      <c r="F64" s="3609">
        <f>'4. Отчет и прогн. потребление'!G69</f>
        <v>0</v>
      </c>
      <c r="G64" s="3609">
        <f>'4. Отчет и прогн. потребление'!H69</f>
        <v>0</v>
      </c>
      <c r="H64" s="3609">
        <f>'4. Отчет и прогн. потребление'!I69</f>
        <v>0</v>
      </c>
      <c r="I64" s="3464"/>
      <c r="J64" s="3464"/>
      <c r="K64" s="3464"/>
      <c r="L64" s="3464"/>
      <c r="M64" s="3464"/>
      <c r="N64" s="3464"/>
      <c r="O64" s="3464"/>
      <c r="P64" s="3464"/>
      <c r="Q64" s="3464"/>
      <c r="R64" s="3464"/>
      <c r="S64" s="3464"/>
      <c r="T64" s="3464"/>
      <c r="U64" s="3464"/>
      <c r="V64" s="3464"/>
      <c r="W64" s="3464"/>
      <c r="X64" s="3464"/>
      <c r="Y64" s="3464"/>
      <c r="Z64" s="3464"/>
      <c r="AA64" s="3464"/>
      <c r="AB64" s="3464"/>
      <c r="AC64" s="3464"/>
      <c r="AD64" s="3464"/>
      <c r="AE64" s="3464"/>
      <c r="AF64" s="3464"/>
      <c r="AG64" s="3464"/>
      <c r="AH64" s="3464"/>
      <c r="AI64" s="3464"/>
      <c r="AJ64" s="3464"/>
    </row>
    <row r="65" spans="1:36" ht="15.95" customHeight="1">
      <c r="A65" s="5633"/>
      <c r="B65" s="3608" t="s">
        <v>170</v>
      </c>
      <c r="C65" s="3610">
        <f>'4. Отчет и прогн. потребление'!D70</f>
        <v>0</v>
      </c>
      <c r="D65" s="3610">
        <f>'4. Отчет и прогн. потребление'!E70</f>
        <v>0</v>
      </c>
      <c r="E65" s="3610">
        <f>'4. Отчет и прогн. потребление'!F70</f>
        <v>0</v>
      </c>
      <c r="F65" s="3610">
        <f>'4. Отчет и прогн. потребление'!G70</f>
        <v>0</v>
      </c>
      <c r="G65" s="3610">
        <f>'4. Отчет и прогн. потребление'!H70</f>
        <v>0</v>
      </c>
      <c r="H65" s="3610">
        <f>'4. Отчет и прогн. потребление'!I70</f>
        <v>0</v>
      </c>
      <c r="I65" s="3464"/>
      <c r="J65" s="3464"/>
      <c r="K65" s="3464"/>
      <c r="L65" s="3464"/>
      <c r="M65" s="3464"/>
      <c r="N65" s="3464"/>
      <c r="O65" s="3464"/>
      <c r="P65" s="3464"/>
      <c r="Q65" s="3464"/>
      <c r="R65" s="3464"/>
      <c r="S65" s="3464"/>
      <c r="T65" s="3464"/>
      <c r="U65" s="3464"/>
      <c r="V65" s="3464"/>
      <c r="W65" s="3464"/>
      <c r="X65" s="3464"/>
      <c r="Y65" s="3464"/>
      <c r="Z65" s="3464"/>
      <c r="AA65" s="3464"/>
      <c r="AB65" s="3464"/>
      <c r="AC65" s="3464"/>
      <c r="AD65" s="3464"/>
      <c r="AE65" s="3464"/>
      <c r="AF65" s="3464"/>
      <c r="AG65" s="3464"/>
      <c r="AH65" s="3464"/>
      <c r="AI65" s="3464"/>
      <c r="AJ65" s="3464"/>
    </row>
    <row r="66" spans="1:36" ht="15.95" customHeight="1">
      <c r="A66" s="5634" t="s">
        <v>594</v>
      </c>
      <c r="B66" s="3655" t="s">
        <v>1532</v>
      </c>
      <c r="C66" s="3656">
        <f>'4. Отчет и прогн. потребление'!D88</f>
        <v>0</v>
      </c>
      <c r="D66" s="3656">
        <f>'4. Отчет и прогн. потребление'!E88</f>
        <v>0</v>
      </c>
      <c r="E66" s="3656">
        <f>'4. Отчет и прогн. потребление'!F88</f>
        <v>0</v>
      </c>
      <c r="F66" s="3656">
        <f>'4. Отчет и прогн. потребление'!G88</f>
        <v>0</v>
      </c>
      <c r="G66" s="3656">
        <f>'4. Отчет и прогн. потребление'!H88</f>
        <v>0</v>
      </c>
      <c r="H66" s="3656">
        <f>'4. Отчет и прогн. потребление'!I88</f>
        <v>0</v>
      </c>
      <c r="I66" s="3464"/>
      <c r="J66" s="3464"/>
      <c r="K66" s="3464"/>
      <c r="L66" s="3464"/>
      <c r="M66" s="3464"/>
      <c r="N66" s="3464"/>
      <c r="O66" s="3464"/>
      <c r="P66" s="3464"/>
      <c r="Q66" s="3464"/>
      <c r="R66" s="3464"/>
      <c r="S66" s="3464"/>
      <c r="T66" s="3464"/>
      <c r="U66" s="3464"/>
      <c r="V66" s="3464"/>
      <c r="W66" s="3464"/>
      <c r="X66" s="3464"/>
      <c r="Y66" s="3464"/>
      <c r="Z66" s="3464"/>
      <c r="AA66" s="3464"/>
      <c r="AB66" s="3464"/>
      <c r="AC66" s="3464"/>
      <c r="AD66" s="3464"/>
      <c r="AE66" s="3464"/>
      <c r="AF66" s="3464"/>
      <c r="AG66" s="3464"/>
      <c r="AH66" s="3464"/>
      <c r="AI66" s="3464"/>
      <c r="AJ66" s="3464"/>
    </row>
    <row r="67" spans="1:36" ht="15.95" customHeight="1">
      <c r="A67" s="5635"/>
      <c r="B67" s="3655" t="s">
        <v>170</v>
      </c>
      <c r="C67" s="3663">
        <f>'4. Отчет и прогн. потребление'!D89</f>
        <v>0</v>
      </c>
      <c r="D67" s="3663">
        <f>'4. Отчет и прогн. потребление'!E89</f>
        <v>0</v>
      </c>
      <c r="E67" s="3663">
        <f>'4. Отчет и прогн. потребление'!F89</f>
        <v>0</v>
      </c>
      <c r="F67" s="3663">
        <f>'4. Отчет и прогн. потребление'!G89</f>
        <v>0</v>
      </c>
      <c r="G67" s="3663">
        <f>'4. Отчет и прогн. потребление'!H89</f>
        <v>0</v>
      </c>
      <c r="H67" s="3663">
        <f>'4. Отчет и прогн. потребление'!I89</f>
        <v>0</v>
      </c>
      <c r="I67" s="3464"/>
      <c r="J67" s="3464"/>
      <c r="K67" s="3464"/>
      <c r="L67" s="3464"/>
      <c r="M67" s="3464"/>
      <c r="N67" s="3464"/>
      <c r="O67" s="3464"/>
      <c r="P67" s="3464"/>
      <c r="Q67" s="3464"/>
      <c r="R67" s="3464"/>
      <c r="S67" s="3464"/>
      <c r="T67" s="3464"/>
      <c r="U67" s="3464"/>
      <c r="V67" s="3464"/>
      <c r="W67" s="3464"/>
      <c r="X67" s="3464"/>
      <c r="Y67" s="3464"/>
      <c r="Z67" s="3464"/>
      <c r="AA67" s="3464"/>
      <c r="AB67" s="3464"/>
      <c r="AC67" s="3464"/>
      <c r="AD67" s="3464"/>
      <c r="AE67" s="3464"/>
      <c r="AF67" s="3464"/>
      <c r="AG67" s="3464"/>
      <c r="AH67" s="3464"/>
      <c r="AI67" s="3464"/>
      <c r="AJ67" s="3464"/>
    </row>
    <row r="68" spans="1:36" ht="15.95" customHeight="1">
      <c r="A68" s="5636"/>
      <c r="B68" s="3655" t="s">
        <v>1533</v>
      </c>
      <c r="C68" s="3662">
        <f>'4. Отчет и прогн. потребление'!D90</f>
        <v>0</v>
      </c>
      <c r="D68" s="3662">
        <f>'4. Отчет и прогн. потребление'!E90</f>
        <v>0</v>
      </c>
      <c r="E68" s="3662">
        <f>'4. Отчет и прогн. потребление'!F90</f>
        <v>0</v>
      </c>
      <c r="F68" s="3662">
        <f>'4. Отчет и прогн. потребление'!G90</f>
        <v>0</v>
      </c>
      <c r="G68" s="3662">
        <f>'4. Отчет и прогн. потребление'!H90</f>
        <v>0</v>
      </c>
      <c r="H68" s="3662">
        <f>'4. Отчет и прогн. потребление'!I90</f>
        <v>0</v>
      </c>
      <c r="I68" s="3464"/>
      <c r="J68" s="3464"/>
      <c r="K68" s="3464"/>
      <c r="L68" s="3464"/>
      <c r="M68" s="3464"/>
      <c r="N68" s="3464"/>
      <c r="O68" s="3464"/>
      <c r="P68" s="3464"/>
      <c r="Q68" s="3464"/>
      <c r="R68" s="3464"/>
      <c r="S68" s="3464"/>
      <c r="T68" s="3464"/>
      <c r="U68" s="3464"/>
      <c r="V68" s="3464"/>
      <c r="W68" s="3464"/>
      <c r="X68" s="3464"/>
      <c r="Y68" s="3464"/>
      <c r="Z68" s="3464"/>
      <c r="AA68" s="3464"/>
      <c r="AB68" s="3464"/>
      <c r="AC68" s="3464"/>
      <c r="AD68" s="3464"/>
      <c r="AE68" s="3464"/>
      <c r="AF68" s="3464"/>
      <c r="AG68" s="3464"/>
      <c r="AH68" s="3464"/>
      <c r="AI68" s="3464"/>
      <c r="AJ68" s="3464"/>
    </row>
    <row r="69" spans="1:36" ht="15.95" customHeight="1">
      <c r="A69" s="5629" t="s">
        <v>1092</v>
      </c>
      <c r="B69" s="5630"/>
      <c r="C69" s="5630"/>
      <c r="D69" s="5630"/>
      <c r="E69" s="5630"/>
      <c r="F69" s="5630"/>
      <c r="G69" s="5630"/>
      <c r="H69" s="5631"/>
      <c r="I69" s="3464"/>
      <c r="J69" s="3464"/>
      <c r="K69" s="3464"/>
      <c r="L69" s="3464"/>
      <c r="M69" s="3464"/>
      <c r="N69" s="3464"/>
      <c r="O69" s="3464"/>
      <c r="P69" s="3464"/>
      <c r="Q69" s="3464"/>
      <c r="R69" s="3464"/>
      <c r="S69" s="3464"/>
      <c r="T69" s="3464"/>
      <c r="U69" s="3464"/>
      <c r="V69" s="3464"/>
      <c r="W69" s="3464"/>
      <c r="X69" s="3464"/>
      <c r="Y69" s="3464"/>
      <c r="Z69" s="3464"/>
      <c r="AA69" s="3464"/>
      <c r="AB69" s="3464"/>
      <c r="AC69" s="3464"/>
      <c r="AD69" s="3464"/>
      <c r="AE69" s="3464"/>
      <c r="AF69" s="3464"/>
      <c r="AG69" s="3464"/>
      <c r="AH69" s="3464"/>
      <c r="AI69" s="3464"/>
      <c r="AJ69" s="3464"/>
    </row>
    <row r="70" spans="1:36" ht="15.95" customHeight="1">
      <c r="A70" s="3654" t="s">
        <v>570</v>
      </c>
      <c r="B70" s="3655" t="s">
        <v>1532</v>
      </c>
      <c r="C70" s="3656">
        <f>'4. Отчет и прогн. потребление'!D93</f>
        <v>0</v>
      </c>
      <c r="D70" s="3656">
        <f>'4. Отчет и прогн. потребление'!E93</f>
        <v>0</v>
      </c>
      <c r="E70" s="3656">
        <f>'4. Отчет и прогн. потребление'!F93</f>
        <v>0</v>
      </c>
      <c r="F70" s="3656">
        <f>'4. Отчет и прогн. потребление'!G93</f>
        <v>0</v>
      </c>
      <c r="G70" s="3656">
        <f>'4. Отчет и прогн. потребление'!H93</f>
        <v>0</v>
      </c>
      <c r="H70" s="3656">
        <f>'4. Отчет и прогн. потребление'!I93</f>
        <v>0</v>
      </c>
      <c r="I70" s="3464"/>
      <c r="J70" s="3464"/>
      <c r="K70" s="3464"/>
      <c r="L70" s="3464"/>
      <c r="M70" s="3464"/>
      <c r="N70" s="3464"/>
      <c r="O70" s="3464"/>
      <c r="P70" s="3464"/>
      <c r="Q70" s="3464"/>
      <c r="R70" s="3464"/>
      <c r="S70" s="3464"/>
      <c r="T70" s="3464"/>
      <c r="U70" s="3464"/>
      <c r="V70" s="3464"/>
      <c r="W70" s="3464"/>
      <c r="X70" s="3464"/>
      <c r="Y70" s="3464"/>
      <c r="Z70" s="3464"/>
      <c r="AA70" s="3464"/>
      <c r="AB70" s="3464"/>
      <c r="AC70" s="3464"/>
      <c r="AD70" s="3464"/>
      <c r="AE70" s="3464"/>
      <c r="AF70" s="3464"/>
      <c r="AG70" s="3464"/>
      <c r="AH70" s="3464"/>
      <c r="AI70" s="3464"/>
      <c r="AJ70" s="3464"/>
    </row>
    <row r="71" spans="1:36" ht="15.95" customHeight="1">
      <c r="A71" s="5632" t="s">
        <v>572</v>
      </c>
      <c r="B71" s="3608" t="s">
        <v>1532</v>
      </c>
      <c r="C71" s="3609">
        <f>'4. Отчет и прогн. потребление'!D100</f>
        <v>0</v>
      </c>
      <c r="D71" s="3609">
        <f>'4. Отчет и прогн. потребление'!E100</f>
        <v>0</v>
      </c>
      <c r="E71" s="3609">
        <f>'4. Отчет и прогн. потребление'!F100</f>
        <v>0</v>
      </c>
      <c r="F71" s="3609">
        <f>'4. Отчет и прогн. потребление'!G100</f>
        <v>0</v>
      </c>
      <c r="G71" s="3609">
        <f>'4. Отчет и прогн. потребление'!H100</f>
        <v>0</v>
      </c>
      <c r="H71" s="3609">
        <f>'4. Отчет и прогн. потребление'!I100</f>
        <v>0</v>
      </c>
      <c r="I71" s="3464"/>
      <c r="J71" s="3464"/>
      <c r="K71" s="3464"/>
      <c r="L71" s="3464"/>
      <c r="M71" s="3464"/>
      <c r="N71" s="3464"/>
      <c r="O71" s="3464"/>
      <c r="P71" s="3464"/>
      <c r="Q71" s="3464"/>
      <c r="R71" s="3464"/>
      <c r="S71" s="3464"/>
      <c r="T71" s="3464"/>
      <c r="U71" s="3464"/>
      <c r="V71" s="3464"/>
      <c r="W71" s="3464"/>
      <c r="X71" s="3464"/>
      <c r="Y71" s="3464"/>
      <c r="Z71" s="3464"/>
      <c r="AA71" s="3464"/>
      <c r="AB71" s="3464"/>
      <c r="AC71" s="3464"/>
      <c r="AD71" s="3464"/>
      <c r="AE71" s="3464"/>
      <c r="AF71" s="3464"/>
      <c r="AG71" s="3464"/>
      <c r="AH71" s="3464"/>
      <c r="AI71" s="3464"/>
      <c r="AJ71" s="3464"/>
    </row>
    <row r="72" spans="1:36" ht="15.95" customHeight="1">
      <c r="A72" s="5633"/>
      <c r="B72" s="3608" t="s">
        <v>170</v>
      </c>
      <c r="C72" s="3610">
        <f>'4. Отчет и прогн. потребление'!D101</f>
        <v>0</v>
      </c>
      <c r="D72" s="3610">
        <f>'4. Отчет и прогн. потребление'!E101</f>
        <v>0</v>
      </c>
      <c r="E72" s="3610">
        <f>'4. Отчет и прогн. потребление'!F101</f>
        <v>0</v>
      </c>
      <c r="F72" s="3610">
        <f>'4. Отчет и прогн. потребление'!G101</f>
        <v>0</v>
      </c>
      <c r="G72" s="3610">
        <f>'4. Отчет и прогн. потребление'!H101</f>
        <v>0</v>
      </c>
      <c r="H72" s="3610">
        <f>'4. Отчет и прогн. потребление'!I101</f>
        <v>0</v>
      </c>
      <c r="I72" s="3464"/>
      <c r="J72" s="3464"/>
      <c r="K72" s="3464"/>
      <c r="L72" s="3464"/>
      <c r="M72" s="3464"/>
      <c r="N72" s="3464"/>
      <c r="O72" s="3464"/>
      <c r="P72" s="3464"/>
      <c r="Q72" s="3464"/>
      <c r="R72" s="3464"/>
      <c r="S72" s="3464"/>
      <c r="T72" s="3464"/>
      <c r="U72" s="3464"/>
      <c r="V72" s="3464"/>
      <c r="W72" s="3464"/>
      <c r="X72" s="3464"/>
      <c r="Y72" s="3464"/>
      <c r="Z72" s="3464"/>
      <c r="AA72" s="3464"/>
      <c r="AB72" s="3464"/>
      <c r="AC72" s="3464"/>
      <c r="AD72" s="3464"/>
      <c r="AE72" s="3464"/>
      <c r="AF72" s="3464"/>
      <c r="AG72" s="3464"/>
      <c r="AH72" s="3464"/>
      <c r="AI72" s="3464"/>
      <c r="AJ72" s="3464"/>
    </row>
    <row r="73" spans="1:36" ht="15.95" customHeight="1">
      <c r="A73" s="5634" t="s">
        <v>594</v>
      </c>
      <c r="B73" s="3655" t="s">
        <v>1532</v>
      </c>
      <c r="C73" s="3656">
        <f>'4. Отчет и прогн. потребление'!D110</f>
        <v>0</v>
      </c>
      <c r="D73" s="3656">
        <f>'4. Отчет и прогн. потребление'!E110</f>
        <v>0</v>
      </c>
      <c r="E73" s="3656">
        <f>'4. Отчет и прогн. потребление'!F110</f>
        <v>0</v>
      </c>
      <c r="F73" s="3656">
        <f>'4. Отчет и прогн. потребление'!G110</f>
        <v>0</v>
      </c>
      <c r="G73" s="3656">
        <f>'4. Отчет и прогн. потребление'!H110</f>
        <v>0</v>
      </c>
      <c r="H73" s="3656">
        <f>'4. Отчет и прогн. потребление'!I110</f>
        <v>0</v>
      </c>
      <c r="I73" s="3464"/>
      <c r="J73" s="3464"/>
      <c r="K73" s="3464"/>
      <c r="L73" s="3464"/>
      <c r="M73" s="3464"/>
      <c r="N73" s="3464"/>
      <c r="O73" s="3464"/>
      <c r="P73" s="3464"/>
      <c r="Q73" s="3464"/>
      <c r="R73" s="3464"/>
      <c r="S73" s="3464"/>
      <c r="T73" s="3464"/>
      <c r="U73" s="3464"/>
      <c r="V73" s="3464"/>
      <c r="W73" s="3464"/>
      <c r="X73" s="3464"/>
      <c r="Y73" s="3464"/>
      <c r="Z73" s="3464"/>
      <c r="AA73" s="3464"/>
      <c r="AB73" s="3464"/>
      <c r="AC73" s="3464"/>
      <c r="AD73" s="3464"/>
      <c r="AE73" s="3464"/>
      <c r="AF73" s="3464"/>
      <c r="AG73" s="3464"/>
      <c r="AH73" s="3464"/>
      <c r="AI73" s="3464"/>
      <c r="AJ73" s="3464"/>
    </row>
    <row r="74" spans="1:36" ht="15.95" customHeight="1">
      <c r="A74" s="5636"/>
      <c r="B74" s="3655" t="s">
        <v>170</v>
      </c>
      <c r="C74" s="3663">
        <f>'4. Отчет и прогн. потребление'!D111</f>
        <v>0</v>
      </c>
      <c r="D74" s="3663">
        <f>'4. Отчет и прогн. потребление'!E111</f>
        <v>0</v>
      </c>
      <c r="E74" s="3663">
        <f>'4. Отчет и прогн. потребление'!F111</f>
        <v>0</v>
      </c>
      <c r="F74" s="3663">
        <f>'4. Отчет и прогн. потребление'!G111</f>
        <v>0</v>
      </c>
      <c r="G74" s="3663">
        <f>'4. Отчет и прогн. потребление'!H111</f>
        <v>0</v>
      </c>
      <c r="H74" s="3663">
        <f>'4. Отчет и прогн. потребление'!I111</f>
        <v>0</v>
      </c>
      <c r="I74" s="3464"/>
      <c r="J74" s="3464"/>
      <c r="K74" s="3464"/>
      <c r="L74" s="3464"/>
      <c r="M74" s="3464"/>
      <c r="N74" s="3464"/>
      <c r="O74" s="3464"/>
      <c r="P74" s="3464"/>
      <c r="Q74" s="3464"/>
      <c r="R74" s="3464"/>
      <c r="S74" s="3464"/>
      <c r="T74" s="3464"/>
      <c r="U74" s="3464"/>
      <c r="V74" s="3464"/>
      <c r="W74" s="3464"/>
      <c r="X74" s="3464"/>
      <c r="Y74" s="3464"/>
      <c r="Z74" s="3464"/>
      <c r="AA74" s="3464"/>
      <c r="AB74" s="3464"/>
      <c r="AC74" s="3464"/>
      <c r="AD74" s="3464"/>
      <c r="AE74" s="3464"/>
      <c r="AF74" s="3464"/>
      <c r="AG74" s="3464"/>
      <c r="AH74" s="3464"/>
      <c r="AI74" s="3464"/>
      <c r="AJ74" s="3464"/>
    </row>
    <row r="75" spans="1:36">
      <c r="A75" s="3464"/>
      <c r="B75" s="3464"/>
      <c r="C75" s="3464"/>
      <c r="D75" s="3464"/>
      <c r="E75" s="3464"/>
      <c r="F75" s="3464"/>
      <c r="G75" s="3464"/>
      <c r="H75" s="3464"/>
      <c r="I75" s="3464"/>
      <c r="J75" s="3464"/>
      <c r="K75" s="3464"/>
      <c r="L75" s="3464"/>
      <c r="M75" s="3464"/>
      <c r="N75" s="3464"/>
      <c r="O75" s="3464"/>
      <c r="P75" s="3464"/>
      <c r="Q75" s="3464"/>
      <c r="R75" s="3464"/>
      <c r="S75" s="3464"/>
      <c r="T75" s="3464"/>
      <c r="U75" s="3464"/>
      <c r="V75" s="3464"/>
      <c r="W75" s="3464"/>
      <c r="X75" s="3464"/>
      <c r="Y75" s="3464"/>
      <c r="Z75" s="3464"/>
      <c r="AA75" s="3464"/>
      <c r="AB75" s="3464"/>
      <c r="AC75" s="3464"/>
      <c r="AD75" s="3464"/>
      <c r="AE75" s="3464"/>
      <c r="AF75" s="3464"/>
      <c r="AG75" s="3464"/>
      <c r="AH75" s="3464"/>
      <c r="AI75" s="3464"/>
      <c r="AJ75" s="3464"/>
    </row>
    <row r="76" spans="1:36" ht="15.75">
      <c r="A76" s="3669" t="s">
        <v>872</v>
      </c>
      <c r="B76" s="3464"/>
      <c r="C76" s="3464"/>
      <c r="D76" s="3464"/>
      <c r="E76" s="3464"/>
      <c r="F76" s="3464"/>
      <c r="G76" s="3464"/>
      <c r="H76" s="3464"/>
      <c r="I76" s="3464"/>
      <c r="J76" s="3464"/>
      <c r="K76" s="3464"/>
      <c r="L76" s="3464"/>
      <c r="M76" s="3464"/>
      <c r="N76" s="3464"/>
      <c r="O76" s="3464"/>
      <c r="P76" s="3464"/>
      <c r="Q76" s="3464"/>
      <c r="R76" s="3464"/>
      <c r="S76" s="3464"/>
      <c r="T76" s="3464"/>
      <c r="U76" s="3464"/>
      <c r="V76" s="3464"/>
      <c r="W76" s="3464"/>
      <c r="X76" s="3464"/>
      <c r="Y76" s="3464"/>
      <c r="Z76" s="3464"/>
      <c r="AA76" s="3464"/>
      <c r="AB76" s="3464"/>
      <c r="AC76" s="3464"/>
      <c r="AD76" s="3464"/>
      <c r="AE76" s="3464"/>
      <c r="AF76" s="3464"/>
      <c r="AG76" s="3464"/>
      <c r="AH76" s="3464"/>
      <c r="AI76" s="3464"/>
      <c r="AJ76" s="3464"/>
    </row>
    <row r="77" spans="1:36" ht="18" customHeight="1">
      <c r="A77" s="4873" t="s">
        <v>2</v>
      </c>
      <c r="B77" s="4874" t="s">
        <v>1534</v>
      </c>
      <c r="C77" s="4648" t="str">
        <f>+'15. ОПП'!$B$7</f>
        <v>2024 г.</v>
      </c>
      <c r="D77" s="4648" t="str">
        <f>+'15. ОПП'!$C$7</f>
        <v>2027 г.</v>
      </c>
      <c r="E77" s="4648" t="str">
        <f>+'15. ОПП'!$D$7</f>
        <v>2028 г.</v>
      </c>
      <c r="F77" s="4648" t="str">
        <f>+'15. ОПП'!$E$7</f>
        <v>2029 г.</v>
      </c>
      <c r="G77" s="4648" t="str">
        <f>+'15. ОПП'!$F$7</f>
        <v>2030 г.</v>
      </c>
      <c r="H77" s="4648" t="str">
        <f>+'15. ОПП'!$G$7</f>
        <v>2031 г.</v>
      </c>
      <c r="I77" s="3464"/>
      <c r="J77" s="3464"/>
      <c r="K77" s="3464"/>
      <c r="L77" s="3464"/>
      <c r="M77" s="3464"/>
      <c r="N77" s="3464"/>
      <c r="O77" s="3464"/>
      <c r="P77" s="3464"/>
      <c r="Q77" s="3464"/>
      <c r="R77" s="3464"/>
      <c r="S77" s="3464"/>
      <c r="T77" s="3464"/>
      <c r="U77" s="3464"/>
      <c r="V77" s="3464"/>
      <c r="W77" s="3464"/>
      <c r="X77" s="3464"/>
      <c r="Y77" s="3464"/>
      <c r="Z77" s="3464"/>
      <c r="AA77" s="3464"/>
      <c r="AB77" s="3464"/>
      <c r="AC77" s="3464"/>
      <c r="AD77" s="3464"/>
      <c r="AE77" s="3464"/>
      <c r="AF77" s="3464"/>
      <c r="AG77" s="3464"/>
      <c r="AH77" s="3464"/>
      <c r="AI77" s="3464"/>
      <c r="AJ77" s="3464"/>
    </row>
    <row r="78" spans="1:36" ht="18" customHeight="1">
      <c r="A78" s="3722" t="s">
        <v>1126</v>
      </c>
      <c r="B78" s="4871" t="s">
        <v>595</v>
      </c>
      <c r="C78" s="3779">
        <f>'7. Утайки от ПСОВ'!D19</f>
        <v>0</v>
      </c>
      <c r="D78" s="3779">
        <f>'7. Утайки от ПСОВ'!G19</f>
        <v>0</v>
      </c>
      <c r="E78" s="3779">
        <f>'7. Утайки от ПСОВ'!H19</f>
        <v>0</v>
      </c>
      <c r="F78" s="3779">
        <f>'7. Утайки от ПСОВ'!I19</f>
        <v>0</v>
      </c>
      <c r="G78" s="3779">
        <f>'7. Утайки от ПСОВ'!J19</f>
        <v>0</v>
      </c>
      <c r="H78" s="3779">
        <f>'7. Утайки от ПСОВ'!K19</f>
        <v>0</v>
      </c>
      <c r="I78" s="3464"/>
      <c r="J78" s="3464"/>
      <c r="K78" s="3464"/>
      <c r="L78" s="3464"/>
      <c r="M78" s="3464"/>
      <c r="N78" s="3464"/>
      <c r="O78" s="3464"/>
      <c r="P78" s="3464"/>
      <c r="Q78" s="3464"/>
      <c r="R78" s="3464"/>
      <c r="S78" s="3464"/>
      <c r="T78" s="3464"/>
      <c r="U78" s="3464"/>
      <c r="V78" s="3464"/>
      <c r="W78" s="3464"/>
      <c r="X78" s="3464"/>
      <c r="Y78" s="3464"/>
      <c r="Z78" s="3464"/>
      <c r="AA78" s="3464"/>
      <c r="AB78" s="3464"/>
      <c r="AC78" s="3464"/>
      <c r="AD78" s="3464"/>
      <c r="AE78" s="3464"/>
      <c r="AF78" s="3464"/>
      <c r="AG78" s="3464"/>
      <c r="AH78" s="3464"/>
      <c r="AI78" s="3464"/>
      <c r="AJ78" s="3464"/>
    </row>
    <row r="79" spans="1:36" ht="18" customHeight="1">
      <c r="A79" s="3723" t="s">
        <v>1557</v>
      </c>
      <c r="B79" s="4871" t="s">
        <v>595</v>
      </c>
      <c r="C79" s="3779">
        <f>'7. Утайки от ПСОВ'!D14</f>
        <v>0</v>
      </c>
      <c r="D79" s="3779">
        <f>'7. Утайки от ПСОВ'!G14</f>
        <v>300</v>
      </c>
      <c r="E79" s="3779">
        <f>'7. Утайки от ПСОВ'!H14</f>
        <v>300</v>
      </c>
      <c r="F79" s="3779">
        <f>'7. Утайки от ПСОВ'!I14</f>
        <v>400</v>
      </c>
      <c r="G79" s="3779">
        <f>'7. Утайки от ПСОВ'!J14</f>
        <v>500</v>
      </c>
      <c r="H79" s="3779">
        <f>'7. Утайки от ПСОВ'!K14</f>
        <v>530</v>
      </c>
      <c r="I79" s="3464"/>
      <c r="J79" s="3464"/>
      <c r="K79" s="3464"/>
      <c r="L79" s="3464"/>
      <c r="M79" s="3464"/>
      <c r="N79" s="3464"/>
      <c r="O79" s="3464"/>
      <c r="P79" s="3464"/>
      <c r="Q79" s="3464"/>
      <c r="R79" s="3464"/>
      <c r="S79" s="3464"/>
      <c r="T79" s="3464"/>
      <c r="U79" s="3464"/>
      <c r="V79" s="3464"/>
      <c r="W79" s="3464"/>
      <c r="X79" s="3464"/>
      <c r="Y79" s="3464"/>
      <c r="Z79" s="3464"/>
      <c r="AA79" s="3464"/>
      <c r="AB79" s="3464"/>
      <c r="AC79" s="3464"/>
      <c r="AD79" s="3464"/>
      <c r="AE79" s="3464"/>
      <c r="AF79" s="3464"/>
      <c r="AG79" s="3464"/>
      <c r="AH79" s="3464"/>
      <c r="AI79" s="3464"/>
      <c r="AJ79" s="3464"/>
    </row>
    <row r="80" spans="1:36" ht="18" customHeight="1">
      <c r="A80" s="3724" t="s">
        <v>1000</v>
      </c>
      <c r="B80" s="3725" t="s">
        <v>595</v>
      </c>
      <c r="C80" s="3904">
        <f>C78+C79</f>
        <v>0</v>
      </c>
      <c r="D80" s="3904">
        <f>D78+D79</f>
        <v>300</v>
      </c>
      <c r="E80" s="3904">
        <f>E78+E79</f>
        <v>300</v>
      </c>
      <c r="F80" s="3904">
        <f>F78+F79</f>
        <v>400</v>
      </c>
      <c r="G80" s="3904">
        <f t="shared" ref="G80:H80" si="5">G78+G79</f>
        <v>500</v>
      </c>
      <c r="H80" s="3904">
        <f t="shared" si="5"/>
        <v>530</v>
      </c>
      <c r="I80" s="3464"/>
      <c r="J80" s="3464"/>
      <c r="K80" s="3464"/>
      <c r="L80" s="3464"/>
      <c r="M80" s="3464"/>
      <c r="N80" s="3464"/>
      <c r="O80" s="3464"/>
      <c r="P80" s="3464"/>
      <c r="Q80" s="3464"/>
      <c r="R80" s="3464"/>
      <c r="S80" s="3464"/>
      <c r="T80" s="3464"/>
      <c r="U80" s="3464"/>
      <c r="V80" s="3464"/>
      <c r="W80" s="3464"/>
      <c r="X80" s="3464"/>
      <c r="Y80" s="3464"/>
      <c r="Z80" s="3464"/>
      <c r="AA80" s="3464"/>
      <c r="AB80" s="3464"/>
      <c r="AC80" s="3464"/>
      <c r="AD80" s="3464"/>
      <c r="AE80" s="3464"/>
      <c r="AF80" s="3464"/>
      <c r="AG80" s="3464"/>
      <c r="AH80" s="3464"/>
      <c r="AI80" s="3464"/>
      <c r="AJ80" s="3464"/>
    </row>
    <row r="81" spans="1:36" ht="18" customHeight="1">
      <c r="A81" s="3726" t="s">
        <v>622</v>
      </c>
      <c r="B81" s="3726" t="s">
        <v>1902</v>
      </c>
      <c r="C81" s="4650">
        <f>'7. Утайки от ПСОВ'!N32</f>
        <v>0</v>
      </c>
      <c r="D81" s="4650">
        <f>'7. Утайки от ПСОВ'!Q32</f>
        <v>103.96268250989776</v>
      </c>
      <c r="E81" s="4650">
        <f>'7. Утайки от ПСОВ'!R32</f>
        <v>103.96268250989776</v>
      </c>
      <c r="F81" s="4650">
        <f>'7. Утайки от ПСОВ'!S32</f>
        <v>77.972011882423317</v>
      </c>
      <c r="G81" s="4650">
        <f>'7. Утайки от ПСОВ'!T32</f>
        <v>62.377609505938658</v>
      </c>
      <c r="H81" s="4650">
        <f>'7. Утайки от ПСОВ'!U32</f>
        <v>58.846801420696849</v>
      </c>
      <c r="I81" s="3464"/>
      <c r="J81" s="3464"/>
      <c r="K81" s="3464"/>
      <c r="L81" s="3464"/>
      <c r="M81" s="3464"/>
      <c r="N81" s="3464"/>
      <c r="O81" s="3464"/>
      <c r="P81" s="3464"/>
      <c r="Q81" s="3464"/>
      <c r="R81" s="3464"/>
      <c r="S81" s="3464"/>
      <c r="T81" s="3464"/>
      <c r="U81" s="3464"/>
      <c r="V81" s="3464"/>
      <c r="W81" s="3464"/>
      <c r="X81" s="3464"/>
      <c r="Y81" s="3464"/>
      <c r="Z81" s="3464"/>
      <c r="AA81" s="3464"/>
      <c r="AB81" s="3464"/>
      <c r="AC81" s="3464"/>
      <c r="AD81" s="3464"/>
      <c r="AE81" s="3464"/>
      <c r="AF81" s="3464"/>
      <c r="AG81" s="3464"/>
      <c r="AH81" s="3464"/>
      <c r="AI81" s="3464"/>
      <c r="AJ81" s="3464"/>
    </row>
    <row r="82" spans="1:36" ht="18" customHeight="1">
      <c r="A82" s="3727"/>
      <c r="B82" s="3727"/>
      <c r="C82" s="4651"/>
      <c r="D82" s="4651"/>
      <c r="E82" s="4651"/>
      <c r="F82" s="4651"/>
      <c r="G82" s="4651"/>
      <c r="H82" s="4651"/>
      <c r="I82" s="3464"/>
      <c r="J82" s="3464"/>
      <c r="K82" s="3464"/>
      <c r="L82" s="3464"/>
      <c r="M82" s="3464"/>
      <c r="N82" s="3464"/>
      <c r="O82" s="3464"/>
      <c r="P82" s="3464"/>
      <c r="Q82" s="3464"/>
      <c r="R82" s="3464"/>
      <c r="S82" s="3464"/>
      <c r="T82" s="3464"/>
      <c r="U82" s="3464"/>
      <c r="V82" s="3464"/>
      <c r="W82" s="3464"/>
      <c r="X82" s="3464"/>
      <c r="Y82" s="3464"/>
      <c r="Z82" s="3464"/>
      <c r="AA82" s="3464"/>
      <c r="AB82" s="3464"/>
      <c r="AC82" s="3464"/>
      <c r="AD82" s="3464"/>
      <c r="AE82" s="3464"/>
      <c r="AF82" s="3464"/>
      <c r="AG82" s="3464"/>
      <c r="AH82" s="3464"/>
      <c r="AI82" s="3464"/>
      <c r="AJ82" s="3464"/>
    </row>
    <row r="83" spans="1:36" ht="18" customHeight="1">
      <c r="A83" s="4873" t="s">
        <v>2</v>
      </c>
      <c r="B83" s="4874" t="s">
        <v>1534</v>
      </c>
      <c r="C83" s="4648" t="str">
        <f>+'15. ОПП'!$B$7</f>
        <v>2024 г.</v>
      </c>
      <c r="D83" s="4648" t="str">
        <f>+'15. ОПП'!$C$7</f>
        <v>2027 г.</v>
      </c>
      <c r="E83" s="4648" t="str">
        <f>+'15. ОПП'!$D$7</f>
        <v>2028 г.</v>
      </c>
      <c r="F83" s="4648" t="str">
        <f>+'15. ОПП'!$E$7</f>
        <v>2029 г.</v>
      </c>
      <c r="G83" s="4648" t="str">
        <f>+'15. ОПП'!$F$7</f>
        <v>2030 г.</v>
      </c>
      <c r="H83" s="4648" t="str">
        <f>+'15. ОПП'!$G$7</f>
        <v>2031 г.</v>
      </c>
      <c r="I83" s="3464"/>
      <c r="J83" s="3464"/>
      <c r="K83" s="3464"/>
      <c r="L83" s="3464"/>
      <c r="M83" s="3464"/>
      <c r="N83" s="3464"/>
      <c r="O83" s="3464"/>
      <c r="P83" s="3464"/>
      <c r="Q83" s="3464"/>
      <c r="R83" s="3464"/>
      <c r="S83" s="3464"/>
      <c r="T83" s="3464"/>
      <c r="U83" s="3464"/>
      <c r="V83" s="3464"/>
      <c r="W83" s="3464"/>
      <c r="X83" s="3464"/>
      <c r="Y83" s="3464"/>
      <c r="Z83" s="3464"/>
      <c r="AA83" s="3464"/>
      <c r="AB83" s="3464"/>
      <c r="AC83" s="3464"/>
      <c r="AD83" s="3464"/>
      <c r="AE83" s="3464"/>
      <c r="AF83" s="3464"/>
      <c r="AG83" s="3464"/>
      <c r="AH83" s="3464"/>
      <c r="AI83" s="3464"/>
      <c r="AJ83" s="3464"/>
    </row>
    <row r="84" spans="1:36" ht="18" customHeight="1">
      <c r="A84" s="5618" t="s">
        <v>1126</v>
      </c>
      <c r="B84" s="3725" t="s">
        <v>1558</v>
      </c>
      <c r="C84" s="3904">
        <f>'7. Утайки от ПСОВ'!D39</f>
        <v>0</v>
      </c>
      <c r="D84" s="3904">
        <f>'7. Утайки от ПСОВ'!G39</f>
        <v>0</v>
      </c>
      <c r="E84" s="3904">
        <f>'7. Утайки от ПСОВ'!H39</f>
        <v>0</v>
      </c>
      <c r="F84" s="3904">
        <f>'7. Утайки от ПСОВ'!I39</f>
        <v>0</v>
      </c>
      <c r="G84" s="3904">
        <f>'7. Утайки от ПСОВ'!J39</f>
        <v>0</v>
      </c>
      <c r="H84" s="3904">
        <f>'7. Утайки от ПСОВ'!K39</f>
        <v>0</v>
      </c>
      <c r="I84" s="3464"/>
      <c r="J84" s="3464"/>
      <c r="K84" s="3464"/>
      <c r="L84" s="3464"/>
      <c r="M84" s="3464"/>
      <c r="N84" s="3464"/>
      <c r="O84" s="3464"/>
      <c r="P84" s="3464"/>
      <c r="Q84" s="3464"/>
      <c r="R84" s="3464"/>
      <c r="S84" s="3464"/>
      <c r="T84" s="3464"/>
      <c r="U84" s="3464"/>
      <c r="V84" s="3464"/>
      <c r="W84" s="3464"/>
      <c r="X84" s="3464"/>
      <c r="Y84" s="3464"/>
      <c r="Z84" s="3464"/>
      <c r="AA84" s="3464"/>
      <c r="AB84" s="3464"/>
      <c r="AC84" s="3464"/>
      <c r="AD84" s="3464"/>
      <c r="AE84" s="3464"/>
      <c r="AF84" s="3464"/>
      <c r="AG84" s="3464"/>
      <c r="AH84" s="3464"/>
      <c r="AI84" s="3464"/>
      <c r="AJ84" s="3464"/>
    </row>
    <row r="85" spans="1:36" ht="18" customHeight="1">
      <c r="A85" s="5618"/>
      <c r="B85" s="4871" t="s">
        <v>1903</v>
      </c>
      <c r="C85" s="4650">
        <f>'7. Утайки от ПСОВ'!N42</f>
        <v>0</v>
      </c>
      <c r="D85" s="4650">
        <f>'7. Утайки от ПСОВ'!Q42</f>
        <v>0</v>
      </c>
      <c r="E85" s="4650">
        <f>'7. Утайки от ПСОВ'!R42</f>
        <v>0</v>
      </c>
      <c r="F85" s="4650">
        <f>'7. Утайки от ПСОВ'!S42</f>
        <v>0</v>
      </c>
      <c r="G85" s="4650">
        <f>'7. Утайки от ПСОВ'!T42</f>
        <v>0</v>
      </c>
      <c r="H85" s="4650">
        <f>'7. Утайки от ПСОВ'!U42</f>
        <v>0</v>
      </c>
      <c r="I85" s="3464"/>
      <c r="J85" s="3464"/>
      <c r="K85" s="3464"/>
      <c r="L85" s="3464"/>
      <c r="M85" s="3464"/>
      <c r="N85" s="3464"/>
      <c r="O85" s="3464"/>
      <c r="P85" s="3464"/>
      <c r="Q85" s="3464"/>
      <c r="R85" s="3464"/>
      <c r="S85" s="3464"/>
      <c r="T85" s="3464"/>
      <c r="U85" s="3464"/>
      <c r="V85" s="3464"/>
      <c r="W85" s="3464"/>
      <c r="X85" s="3464"/>
      <c r="Y85" s="3464"/>
      <c r="Z85" s="3464"/>
      <c r="AA85" s="3464"/>
      <c r="AB85" s="3464"/>
      <c r="AC85" s="3464"/>
      <c r="AD85" s="3464"/>
      <c r="AE85" s="3464"/>
      <c r="AF85" s="3464"/>
      <c r="AG85" s="3464"/>
      <c r="AH85" s="3464"/>
      <c r="AI85" s="3464"/>
      <c r="AJ85" s="3464"/>
    </row>
    <row r="86" spans="1:36" ht="18" customHeight="1">
      <c r="A86" s="5618" t="s">
        <v>1124</v>
      </c>
      <c r="B86" s="3725" t="s">
        <v>1558</v>
      </c>
      <c r="C86" s="3904">
        <f>'7. Утайки от ПСОВ'!D38</f>
        <v>0</v>
      </c>
      <c r="D86" s="3904">
        <f>'7. Утайки от ПСОВ'!G38</f>
        <v>300</v>
      </c>
      <c r="E86" s="3904">
        <f>'7. Утайки от ПСОВ'!H38</f>
        <v>300</v>
      </c>
      <c r="F86" s="3904">
        <f>'7. Утайки от ПСОВ'!I38</f>
        <v>400</v>
      </c>
      <c r="G86" s="3904">
        <f>'7. Утайки от ПСОВ'!J38</f>
        <v>500</v>
      </c>
      <c r="H86" s="3904">
        <f>'7. Утайки от ПСОВ'!K38</f>
        <v>530</v>
      </c>
      <c r="I86" s="3464"/>
      <c r="J86" s="3464"/>
      <c r="K86" s="3464"/>
      <c r="L86" s="3464"/>
      <c r="M86" s="3464"/>
      <c r="N86" s="3464"/>
      <c r="O86" s="3464"/>
      <c r="P86" s="3464"/>
      <c r="Q86" s="3464"/>
      <c r="R86" s="3464"/>
      <c r="S86" s="3464"/>
      <c r="T86" s="3464"/>
      <c r="U86" s="3464"/>
      <c r="V86" s="3464"/>
      <c r="W86" s="3464"/>
      <c r="X86" s="3464"/>
      <c r="Y86" s="3464"/>
      <c r="Z86" s="3464"/>
      <c r="AA86" s="3464"/>
      <c r="AB86" s="3464"/>
      <c r="AC86" s="3464"/>
      <c r="AD86" s="3464"/>
      <c r="AE86" s="3464"/>
      <c r="AF86" s="3464"/>
      <c r="AG86" s="3464"/>
      <c r="AH86" s="3464"/>
      <c r="AI86" s="3464"/>
      <c r="AJ86" s="3464"/>
    </row>
    <row r="87" spans="1:36" ht="18" customHeight="1">
      <c r="A87" s="5618"/>
      <c r="B87" s="4871" t="s">
        <v>1903</v>
      </c>
      <c r="C87" s="4650">
        <f>'7. Утайки от ПСОВ'!N41</f>
        <v>0</v>
      </c>
      <c r="D87" s="4650">
        <f>'7. Утайки от ПСОВ'!Q41</f>
        <v>103.96268250989776</v>
      </c>
      <c r="E87" s="4650">
        <f>'7. Утайки от ПСОВ'!R41</f>
        <v>103.96268250989776</v>
      </c>
      <c r="F87" s="4650">
        <f>'7. Утайки от ПСОВ'!S41</f>
        <v>77.972011882423317</v>
      </c>
      <c r="G87" s="4650">
        <f>'7. Утайки от ПСОВ'!T41</f>
        <v>62.377609505938658</v>
      </c>
      <c r="H87" s="4650">
        <f>'7. Утайки от ПСОВ'!U41</f>
        <v>58.846801420696849</v>
      </c>
      <c r="I87" s="3464"/>
      <c r="J87" s="3464"/>
      <c r="K87" s="3464"/>
      <c r="L87" s="3464"/>
      <c r="M87" s="3464"/>
      <c r="N87" s="3464"/>
      <c r="O87" s="3464"/>
      <c r="P87" s="3464"/>
      <c r="Q87" s="3464"/>
      <c r="R87" s="3464"/>
      <c r="S87" s="3464"/>
      <c r="T87" s="3464"/>
      <c r="U87" s="3464"/>
      <c r="V87" s="3464"/>
      <c r="W87" s="3464"/>
      <c r="X87" s="3464"/>
      <c r="Y87" s="3464"/>
      <c r="Z87" s="3464"/>
      <c r="AA87" s="3464"/>
      <c r="AB87" s="3464"/>
      <c r="AC87" s="3464"/>
      <c r="AD87" s="3464"/>
      <c r="AE87" s="3464"/>
      <c r="AF87" s="3464"/>
      <c r="AG87" s="3464"/>
      <c r="AH87" s="3464"/>
      <c r="AI87" s="3464"/>
      <c r="AJ87" s="3464"/>
    </row>
    <row r="88" spans="1:36">
      <c r="A88" s="3464"/>
      <c r="B88" s="3464"/>
      <c r="C88" s="3464"/>
      <c r="D88" s="3464"/>
      <c r="E88" s="3464"/>
      <c r="F88" s="3464"/>
      <c r="G88" s="3464"/>
      <c r="H88" s="3464"/>
      <c r="I88" s="3464"/>
      <c r="J88" s="3464"/>
      <c r="K88" s="3464"/>
      <c r="L88" s="3464"/>
      <c r="M88" s="3464"/>
      <c r="N88" s="3464"/>
      <c r="O88" s="3464"/>
      <c r="P88" s="3464"/>
      <c r="Q88" s="3464"/>
      <c r="R88" s="3464"/>
      <c r="S88" s="3464"/>
      <c r="T88" s="3464"/>
      <c r="U88" s="3464"/>
      <c r="V88" s="3464"/>
      <c r="W88" s="3464"/>
      <c r="X88" s="3464"/>
      <c r="Y88" s="3464"/>
      <c r="Z88" s="3464"/>
      <c r="AA88" s="3464"/>
      <c r="AB88" s="3464"/>
      <c r="AC88" s="3464"/>
      <c r="AD88" s="3464"/>
      <c r="AE88" s="3464"/>
      <c r="AF88" s="3464"/>
      <c r="AG88" s="3464"/>
      <c r="AH88" s="3464"/>
      <c r="AI88" s="3464"/>
      <c r="AJ88" s="3464"/>
    </row>
    <row r="89" spans="1:36">
      <c r="A89" s="3464"/>
      <c r="B89" s="3464"/>
      <c r="C89" s="3464"/>
      <c r="D89" s="3464"/>
      <c r="E89" s="3464"/>
      <c r="F89" s="3464"/>
      <c r="G89" s="3464"/>
      <c r="H89" s="3464"/>
      <c r="I89" s="3464"/>
      <c r="J89" s="3464"/>
      <c r="K89" s="3464"/>
      <c r="L89" s="3464"/>
      <c r="M89" s="3464"/>
      <c r="N89" s="3464"/>
      <c r="O89" s="3464"/>
      <c r="P89" s="3464"/>
      <c r="Q89" s="3464"/>
      <c r="R89" s="3464"/>
      <c r="S89" s="3464"/>
      <c r="T89" s="3464"/>
      <c r="U89" s="3464"/>
      <c r="V89" s="3464"/>
      <c r="W89" s="3464"/>
      <c r="X89" s="3464"/>
      <c r="Y89" s="3464"/>
      <c r="Z89" s="3464"/>
      <c r="AA89" s="3464"/>
      <c r="AB89" s="3464"/>
      <c r="AC89" s="3464"/>
      <c r="AD89" s="3464"/>
      <c r="AE89" s="3464"/>
      <c r="AF89" s="3464"/>
      <c r="AG89" s="3464"/>
      <c r="AH89" s="3464"/>
      <c r="AI89" s="3464"/>
      <c r="AJ89" s="3464"/>
    </row>
    <row r="90" spans="1:36">
      <c r="A90" s="3464"/>
      <c r="B90" s="3464"/>
      <c r="C90" s="3464"/>
      <c r="D90" s="3464"/>
      <c r="E90" s="3464"/>
      <c r="F90" s="3464"/>
      <c r="G90" s="3464"/>
      <c r="H90" s="3464"/>
      <c r="I90" s="3464"/>
      <c r="J90" s="3464"/>
      <c r="K90" s="3464"/>
      <c r="L90" s="3464"/>
      <c r="M90" s="3464"/>
      <c r="N90" s="3464"/>
      <c r="O90" s="3464"/>
      <c r="P90" s="3464"/>
      <c r="Q90" s="3464"/>
      <c r="R90" s="3464"/>
      <c r="S90" s="3464"/>
      <c r="T90" s="3464"/>
      <c r="U90" s="3464"/>
      <c r="V90" s="3464"/>
      <c r="W90" s="3464"/>
      <c r="X90" s="3464"/>
      <c r="Y90" s="3464"/>
      <c r="Z90" s="3464"/>
      <c r="AA90" s="3464"/>
      <c r="AB90" s="3464"/>
      <c r="AC90" s="3464"/>
      <c r="AD90" s="3464"/>
      <c r="AE90" s="3464"/>
      <c r="AF90" s="3464"/>
      <c r="AG90" s="3464"/>
      <c r="AH90" s="3464"/>
      <c r="AI90" s="3464"/>
      <c r="AJ90" s="3464"/>
    </row>
    <row r="91" spans="1:36">
      <c r="A91" s="3464"/>
      <c r="B91" s="3464"/>
      <c r="C91" s="3464"/>
      <c r="D91" s="3464"/>
      <c r="E91" s="3464"/>
      <c r="F91" s="3464"/>
      <c r="G91" s="3464"/>
      <c r="H91" s="3464"/>
      <c r="I91" s="3464"/>
      <c r="J91" s="3464"/>
      <c r="K91" s="3464"/>
      <c r="L91" s="3464"/>
      <c r="M91" s="3464"/>
      <c r="N91" s="3464"/>
      <c r="O91" s="3464"/>
      <c r="P91" s="3464"/>
      <c r="Q91" s="3464"/>
      <c r="R91" s="3464"/>
      <c r="S91" s="3464"/>
      <c r="T91" s="3464"/>
      <c r="U91" s="3464"/>
      <c r="V91" s="3464"/>
      <c r="W91" s="3464"/>
      <c r="X91" s="3464"/>
      <c r="Y91" s="3464"/>
      <c r="Z91" s="3464"/>
      <c r="AA91" s="3464"/>
      <c r="AB91" s="3464"/>
      <c r="AC91" s="3464"/>
      <c r="AD91" s="3464"/>
      <c r="AE91" s="3464"/>
      <c r="AF91" s="3464"/>
      <c r="AG91" s="3464"/>
      <c r="AH91" s="3464"/>
      <c r="AI91" s="3464"/>
      <c r="AJ91" s="3464"/>
    </row>
    <row r="92" spans="1:36">
      <c r="A92" s="3464"/>
      <c r="B92" s="3464"/>
      <c r="C92" s="3464"/>
      <c r="D92" s="3464"/>
      <c r="E92" s="3464"/>
      <c r="F92" s="3464"/>
      <c r="G92" s="3464"/>
      <c r="H92" s="3464"/>
      <c r="I92" s="3464"/>
      <c r="J92" s="3464"/>
      <c r="K92" s="3464"/>
      <c r="L92" s="3464"/>
      <c r="M92" s="3464"/>
      <c r="N92" s="3464"/>
      <c r="O92" s="3464"/>
      <c r="P92" s="3464"/>
      <c r="Q92" s="3464"/>
      <c r="R92" s="3464"/>
      <c r="S92" s="3464"/>
      <c r="T92" s="3464"/>
      <c r="U92" s="3464"/>
      <c r="V92" s="3464"/>
      <c r="W92" s="3464"/>
      <c r="X92" s="3464"/>
      <c r="Y92" s="3464"/>
      <c r="Z92" s="3464"/>
      <c r="AA92" s="3464"/>
      <c r="AB92" s="3464"/>
      <c r="AC92" s="3464"/>
      <c r="AD92" s="3464"/>
      <c r="AE92" s="3464"/>
      <c r="AF92" s="3464"/>
      <c r="AG92" s="3464"/>
      <c r="AH92" s="3464"/>
      <c r="AI92" s="3464"/>
      <c r="AJ92" s="3464"/>
    </row>
    <row r="93" spans="1:36">
      <c r="A93" s="3464"/>
      <c r="B93" s="3464"/>
      <c r="C93" s="3464"/>
      <c r="D93" s="3464"/>
      <c r="E93" s="3464"/>
      <c r="F93" s="3464"/>
      <c r="G93" s="3464"/>
      <c r="H93" s="3464"/>
      <c r="I93" s="3464"/>
      <c r="J93" s="3464"/>
      <c r="K93" s="3464"/>
      <c r="L93" s="3464"/>
      <c r="M93" s="3464"/>
      <c r="N93" s="3464"/>
      <c r="O93" s="3464"/>
      <c r="P93" s="3464"/>
      <c r="Q93" s="3464"/>
      <c r="R93" s="3464"/>
      <c r="S93" s="3464"/>
      <c r="T93" s="3464"/>
      <c r="U93" s="3464"/>
      <c r="V93" s="3464"/>
      <c r="W93" s="3464"/>
      <c r="X93" s="3464"/>
      <c r="Y93" s="3464"/>
      <c r="Z93" s="3464"/>
      <c r="AA93" s="3464"/>
      <c r="AB93" s="3464"/>
      <c r="AC93" s="3464"/>
      <c r="AD93" s="3464"/>
      <c r="AE93" s="3464"/>
      <c r="AF93" s="3464"/>
      <c r="AG93" s="3464"/>
      <c r="AH93" s="3464"/>
      <c r="AI93" s="3464"/>
      <c r="AJ93" s="3464"/>
    </row>
    <row r="94" spans="1:36">
      <c r="A94" s="3464"/>
      <c r="B94" s="3464"/>
      <c r="C94" s="3464"/>
      <c r="D94" s="3464"/>
      <c r="E94" s="3464"/>
      <c r="F94" s="3464"/>
      <c r="G94" s="3464"/>
      <c r="H94" s="3464"/>
      <c r="I94" s="3464"/>
      <c r="J94" s="3464"/>
      <c r="K94" s="3464"/>
      <c r="L94" s="3464"/>
      <c r="M94" s="3464"/>
      <c r="N94" s="3464"/>
      <c r="O94" s="3464"/>
      <c r="P94" s="3464"/>
      <c r="Q94" s="3464"/>
      <c r="R94" s="3464"/>
      <c r="S94" s="3464"/>
      <c r="T94" s="3464"/>
      <c r="U94" s="3464"/>
      <c r="V94" s="3464"/>
      <c r="W94" s="3464"/>
      <c r="X94" s="3464"/>
      <c r="Y94" s="3464"/>
      <c r="Z94" s="3464"/>
      <c r="AA94" s="3464"/>
      <c r="AB94" s="3464"/>
      <c r="AC94" s="3464"/>
      <c r="AD94" s="3464"/>
      <c r="AE94" s="3464"/>
      <c r="AF94" s="3464"/>
      <c r="AG94" s="3464"/>
      <c r="AH94" s="3464"/>
      <c r="AI94" s="3464"/>
      <c r="AJ94" s="3464"/>
    </row>
    <row r="95" spans="1:36">
      <c r="A95" s="3464"/>
      <c r="B95" s="3464"/>
      <c r="C95" s="3464"/>
      <c r="D95" s="3464"/>
      <c r="E95" s="3464"/>
      <c r="F95" s="3464"/>
      <c r="G95" s="3464"/>
      <c r="H95" s="3464"/>
      <c r="I95" s="3464"/>
      <c r="J95" s="3464"/>
      <c r="K95" s="3464"/>
      <c r="L95" s="3464"/>
      <c r="M95" s="3464"/>
      <c r="N95" s="3464"/>
      <c r="O95" s="3464"/>
      <c r="P95" s="3464"/>
      <c r="Q95" s="3464"/>
      <c r="R95" s="3464"/>
      <c r="S95" s="3464"/>
      <c r="T95" s="3464"/>
      <c r="U95" s="3464"/>
      <c r="V95" s="3464"/>
      <c r="W95" s="3464"/>
      <c r="X95" s="3464"/>
      <c r="Y95" s="3464"/>
      <c r="Z95" s="3464"/>
      <c r="AA95" s="3464"/>
      <c r="AB95" s="3464"/>
      <c r="AC95" s="3464"/>
      <c r="AD95" s="3464"/>
      <c r="AE95" s="3464"/>
      <c r="AF95" s="3464"/>
      <c r="AG95" s="3464"/>
      <c r="AH95" s="3464"/>
      <c r="AI95" s="3464"/>
      <c r="AJ95" s="3464"/>
    </row>
    <row r="96" spans="1:36">
      <c r="A96" s="3464"/>
      <c r="B96" s="3464"/>
      <c r="C96" s="3464"/>
      <c r="D96" s="3464"/>
      <c r="E96" s="3464"/>
      <c r="F96" s="3464"/>
      <c r="G96" s="3464"/>
      <c r="H96" s="3464"/>
      <c r="I96" s="3464"/>
      <c r="J96" s="3464"/>
      <c r="K96" s="3464"/>
      <c r="L96" s="3464"/>
      <c r="M96" s="3464"/>
      <c r="N96" s="3464"/>
      <c r="O96" s="3464"/>
      <c r="P96" s="3464"/>
      <c r="Q96" s="3464"/>
      <c r="R96" s="3464"/>
      <c r="S96" s="3464"/>
      <c r="T96" s="3464"/>
      <c r="U96" s="3464"/>
      <c r="V96" s="3464"/>
      <c r="W96" s="3464"/>
      <c r="X96" s="3464"/>
      <c r="Y96" s="3464"/>
      <c r="Z96" s="3464"/>
      <c r="AA96" s="3464"/>
      <c r="AB96" s="3464"/>
      <c r="AC96" s="3464"/>
      <c r="AD96" s="3464"/>
      <c r="AE96" s="3464"/>
      <c r="AF96" s="3464"/>
      <c r="AG96" s="3464"/>
      <c r="AH96" s="3464"/>
      <c r="AI96" s="3464"/>
      <c r="AJ96" s="3464"/>
    </row>
    <row r="97" spans="1:36">
      <c r="A97" s="3464"/>
      <c r="B97" s="3464"/>
      <c r="C97" s="3464"/>
      <c r="D97" s="3464"/>
      <c r="E97" s="3464"/>
      <c r="F97" s="3464"/>
      <c r="G97" s="3464"/>
      <c r="H97" s="3464"/>
      <c r="I97" s="3464"/>
      <c r="J97" s="3464"/>
      <c r="K97" s="3464"/>
      <c r="L97" s="3464"/>
      <c r="M97" s="3464"/>
      <c r="N97" s="3464"/>
      <c r="O97" s="3464"/>
      <c r="P97" s="3464"/>
      <c r="Q97" s="3464"/>
      <c r="R97" s="3464"/>
      <c r="S97" s="3464"/>
      <c r="T97" s="3464"/>
      <c r="U97" s="3464"/>
      <c r="V97" s="3464"/>
      <c r="W97" s="3464"/>
      <c r="X97" s="3464"/>
      <c r="Y97" s="3464"/>
      <c r="Z97" s="3464"/>
      <c r="AA97" s="3464"/>
      <c r="AB97" s="3464"/>
      <c r="AC97" s="3464"/>
      <c r="AD97" s="3464"/>
      <c r="AE97" s="3464"/>
      <c r="AF97" s="3464"/>
      <c r="AG97" s="3464"/>
      <c r="AH97" s="3464"/>
      <c r="AI97" s="3464"/>
      <c r="AJ97" s="3464"/>
    </row>
    <row r="98" spans="1:36">
      <c r="A98" s="3464"/>
      <c r="B98" s="3464"/>
      <c r="C98" s="3464"/>
      <c r="D98" s="3464"/>
      <c r="E98" s="3464"/>
      <c r="F98" s="3464"/>
      <c r="G98" s="3464"/>
      <c r="H98" s="3464"/>
      <c r="I98" s="3464"/>
      <c r="J98" s="3464"/>
      <c r="K98" s="3464"/>
      <c r="L98" s="3464"/>
      <c r="M98" s="3464"/>
      <c r="N98" s="3464"/>
      <c r="O98" s="3464"/>
      <c r="P98" s="3464"/>
      <c r="Q98" s="3464"/>
      <c r="R98" s="3464"/>
      <c r="S98" s="3464"/>
      <c r="T98" s="3464"/>
      <c r="U98" s="3464"/>
      <c r="V98" s="3464"/>
      <c r="W98" s="3464"/>
      <c r="X98" s="3464"/>
      <c r="Y98" s="3464"/>
      <c r="Z98" s="3464"/>
      <c r="AA98" s="3464"/>
      <c r="AB98" s="3464"/>
      <c r="AC98" s="3464"/>
      <c r="AD98" s="3464"/>
      <c r="AE98" s="3464"/>
      <c r="AF98" s="3464"/>
      <c r="AG98" s="3464"/>
      <c r="AH98" s="3464"/>
      <c r="AI98" s="3464"/>
      <c r="AJ98" s="3464"/>
    </row>
    <row r="99" spans="1:36">
      <c r="A99" s="3464"/>
      <c r="B99" s="3464"/>
      <c r="C99" s="3464"/>
      <c r="D99" s="3464"/>
      <c r="E99" s="3464"/>
      <c r="F99" s="3464"/>
      <c r="G99" s="3464"/>
      <c r="H99" s="3464"/>
      <c r="I99" s="3464"/>
      <c r="J99" s="3464"/>
      <c r="K99" s="3464"/>
      <c r="L99" s="3464"/>
      <c r="M99" s="3464"/>
      <c r="N99" s="3464"/>
      <c r="O99" s="3464"/>
      <c r="P99" s="3464"/>
      <c r="Q99" s="3464"/>
      <c r="R99" s="3464"/>
      <c r="S99" s="3464"/>
      <c r="T99" s="3464"/>
      <c r="U99" s="3464"/>
      <c r="V99" s="3464"/>
      <c r="W99" s="3464"/>
      <c r="X99" s="3464"/>
      <c r="Y99" s="3464"/>
      <c r="Z99" s="3464"/>
      <c r="AA99" s="3464"/>
      <c r="AB99" s="3464"/>
      <c r="AC99" s="3464"/>
      <c r="AD99" s="3464"/>
      <c r="AE99" s="3464"/>
      <c r="AF99" s="3464"/>
      <c r="AG99" s="3464"/>
      <c r="AH99" s="3464"/>
      <c r="AI99" s="3464"/>
      <c r="AJ99" s="3464"/>
    </row>
    <row r="100" spans="1:36">
      <c r="A100" s="3464"/>
      <c r="B100" s="3464"/>
      <c r="C100" s="3464"/>
      <c r="D100" s="3464"/>
      <c r="E100" s="3464"/>
      <c r="F100" s="3464"/>
      <c r="G100" s="3464"/>
      <c r="H100" s="3464"/>
      <c r="I100" s="3464"/>
      <c r="J100" s="3464"/>
      <c r="K100" s="3464"/>
      <c r="L100" s="3464"/>
      <c r="M100" s="3464"/>
      <c r="N100" s="3464"/>
      <c r="O100" s="3464"/>
      <c r="P100" s="3464"/>
      <c r="Q100" s="3464"/>
      <c r="R100" s="3464"/>
      <c r="S100" s="3464"/>
      <c r="T100" s="3464"/>
      <c r="U100" s="3464"/>
      <c r="V100" s="3464"/>
      <c r="W100" s="3464"/>
      <c r="X100" s="3464"/>
      <c r="Y100" s="3464"/>
      <c r="Z100" s="3464"/>
      <c r="AA100" s="3464"/>
      <c r="AB100" s="3464"/>
      <c r="AC100" s="3464"/>
      <c r="AD100" s="3464"/>
      <c r="AE100" s="3464"/>
      <c r="AF100" s="3464"/>
      <c r="AG100" s="3464"/>
      <c r="AH100" s="3464"/>
      <c r="AI100" s="3464"/>
      <c r="AJ100" s="3464"/>
    </row>
    <row r="101" spans="1:36">
      <c r="A101" s="3464"/>
      <c r="B101" s="3464"/>
      <c r="C101" s="3464"/>
      <c r="D101" s="3464"/>
      <c r="E101" s="3464"/>
      <c r="F101" s="3464"/>
      <c r="G101" s="3464"/>
      <c r="H101" s="3464"/>
      <c r="I101" s="3464"/>
      <c r="J101" s="3464"/>
      <c r="K101" s="3464"/>
      <c r="L101" s="3464"/>
      <c r="M101" s="3464"/>
      <c r="N101" s="3464"/>
      <c r="O101" s="3464"/>
      <c r="P101" s="3464"/>
      <c r="Q101" s="3464"/>
      <c r="R101" s="3464"/>
      <c r="S101" s="3464"/>
      <c r="T101" s="3464"/>
      <c r="U101" s="3464"/>
      <c r="V101" s="3464"/>
      <c r="W101" s="3464"/>
      <c r="X101" s="3464"/>
      <c r="Y101" s="3464"/>
      <c r="Z101" s="3464"/>
      <c r="AA101" s="3464"/>
      <c r="AB101" s="3464"/>
      <c r="AC101" s="3464"/>
      <c r="AD101" s="3464"/>
      <c r="AE101" s="3464"/>
      <c r="AF101" s="3464"/>
      <c r="AG101" s="3464"/>
      <c r="AH101" s="3464"/>
      <c r="AI101" s="3464"/>
      <c r="AJ101" s="3464"/>
    </row>
    <row r="102" spans="1:36">
      <c r="A102" s="3464"/>
      <c r="B102" s="3464"/>
      <c r="C102" s="3464"/>
      <c r="D102" s="3464"/>
      <c r="E102" s="3464"/>
      <c r="F102" s="3464"/>
      <c r="G102" s="3464"/>
      <c r="H102" s="3464"/>
      <c r="I102" s="3464"/>
      <c r="J102" s="3464"/>
      <c r="K102" s="3464"/>
      <c r="L102" s="3464"/>
      <c r="M102" s="3464"/>
      <c r="N102" s="3464"/>
      <c r="O102" s="3464"/>
      <c r="P102" s="3464"/>
      <c r="Q102" s="3464"/>
      <c r="R102" s="3464"/>
      <c r="S102" s="3464"/>
      <c r="T102" s="3464"/>
      <c r="U102" s="3464"/>
      <c r="V102" s="3464"/>
      <c r="W102" s="3464"/>
      <c r="X102" s="3464"/>
      <c r="Y102" s="3464"/>
      <c r="Z102" s="3464"/>
      <c r="AA102" s="3464"/>
      <c r="AB102" s="3464"/>
      <c r="AC102" s="3464"/>
      <c r="AD102" s="3464"/>
      <c r="AE102" s="3464"/>
      <c r="AF102" s="3464"/>
      <c r="AG102" s="3464"/>
      <c r="AH102" s="3464"/>
      <c r="AI102" s="3464"/>
      <c r="AJ102" s="3464"/>
    </row>
    <row r="103" spans="1:36">
      <c r="A103" s="3464"/>
      <c r="B103" s="3464"/>
      <c r="C103" s="3464"/>
      <c r="D103" s="3464"/>
      <c r="E103" s="3464"/>
      <c r="F103" s="3464"/>
      <c r="G103" s="3464"/>
      <c r="H103" s="3464"/>
      <c r="I103" s="3464"/>
      <c r="J103" s="3464"/>
      <c r="K103" s="3464"/>
      <c r="L103" s="3464"/>
      <c r="M103" s="3464"/>
      <c r="N103" s="3464"/>
      <c r="O103" s="3464"/>
      <c r="P103" s="3464"/>
      <c r="Q103" s="3464"/>
      <c r="R103" s="3464"/>
      <c r="S103" s="3464"/>
      <c r="T103" s="3464"/>
      <c r="U103" s="3464"/>
      <c r="V103" s="3464"/>
      <c r="W103" s="3464"/>
      <c r="X103" s="3464"/>
      <c r="Y103" s="3464"/>
      <c r="Z103" s="3464"/>
      <c r="AA103" s="3464"/>
      <c r="AB103" s="3464"/>
      <c r="AC103" s="3464"/>
      <c r="AD103" s="3464"/>
      <c r="AE103" s="3464"/>
      <c r="AF103" s="3464"/>
      <c r="AG103" s="3464"/>
      <c r="AH103" s="3464"/>
      <c r="AI103" s="3464"/>
      <c r="AJ103" s="3464"/>
    </row>
    <row r="104" spans="1:36">
      <c r="A104" s="3464"/>
      <c r="B104" s="3464"/>
      <c r="C104" s="3464"/>
      <c r="D104" s="3464"/>
      <c r="E104" s="3464"/>
      <c r="F104" s="3464"/>
      <c r="G104" s="3464"/>
      <c r="H104" s="3464"/>
      <c r="I104" s="3464"/>
      <c r="J104" s="3464"/>
      <c r="K104" s="3464"/>
      <c r="L104" s="3464"/>
      <c r="M104" s="3464"/>
      <c r="N104" s="3464"/>
      <c r="O104" s="3464"/>
      <c r="P104" s="3464"/>
      <c r="Q104" s="3464"/>
      <c r="R104" s="3464"/>
      <c r="S104" s="3464"/>
      <c r="T104" s="3464"/>
      <c r="U104" s="3464"/>
      <c r="V104" s="3464"/>
      <c r="W104" s="3464"/>
      <c r="X104" s="3464"/>
      <c r="Y104" s="3464"/>
      <c r="Z104" s="3464"/>
      <c r="AA104" s="3464"/>
      <c r="AB104" s="3464"/>
      <c r="AC104" s="3464"/>
      <c r="AD104" s="3464"/>
      <c r="AE104" s="3464"/>
      <c r="AF104" s="3464"/>
      <c r="AG104" s="3464"/>
      <c r="AH104" s="3464"/>
      <c r="AI104" s="3464"/>
      <c r="AJ104" s="3464"/>
    </row>
    <row r="105" spans="1:36">
      <c r="A105" s="3464"/>
      <c r="B105" s="3464"/>
      <c r="C105" s="3464"/>
      <c r="D105" s="3464"/>
      <c r="E105" s="3464"/>
      <c r="F105" s="3464"/>
      <c r="G105" s="3464"/>
      <c r="H105" s="3464"/>
      <c r="I105" s="3464"/>
      <c r="J105" s="3464"/>
      <c r="K105" s="3464"/>
      <c r="L105" s="3464"/>
      <c r="M105" s="3464"/>
      <c r="N105" s="3464"/>
      <c r="O105" s="3464"/>
      <c r="P105" s="3464"/>
      <c r="Q105" s="3464"/>
      <c r="R105" s="3464"/>
      <c r="S105" s="3464"/>
      <c r="T105" s="3464"/>
      <c r="U105" s="3464"/>
      <c r="V105" s="3464"/>
      <c r="W105" s="3464"/>
      <c r="X105" s="3464"/>
      <c r="Y105" s="3464"/>
      <c r="Z105" s="3464"/>
      <c r="AA105" s="3464"/>
      <c r="AB105" s="3464"/>
      <c r="AC105" s="3464"/>
      <c r="AD105" s="3464"/>
      <c r="AE105" s="3464"/>
      <c r="AF105" s="3464"/>
      <c r="AG105" s="3464"/>
      <c r="AH105" s="3464"/>
      <c r="AI105" s="3464"/>
      <c r="AJ105" s="3464"/>
    </row>
    <row r="106" spans="1:36">
      <c r="A106" s="3464"/>
      <c r="B106" s="3464"/>
      <c r="C106" s="3464"/>
      <c r="D106" s="3464"/>
      <c r="E106" s="3464"/>
      <c r="F106" s="3464"/>
      <c r="G106" s="3464"/>
      <c r="H106" s="3464"/>
      <c r="I106" s="3464"/>
      <c r="J106" s="3464"/>
      <c r="K106" s="3464"/>
      <c r="L106" s="3464"/>
      <c r="M106" s="3464"/>
      <c r="N106" s="3464"/>
      <c r="O106" s="3464"/>
      <c r="P106" s="3464"/>
      <c r="Q106" s="3464"/>
      <c r="R106" s="3464"/>
      <c r="S106" s="3464"/>
      <c r="T106" s="3464"/>
      <c r="U106" s="3464"/>
      <c r="V106" s="3464"/>
      <c r="W106" s="3464"/>
      <c r="X106" s="3464"/>
      <c r="Y106" s="3464"/>
      <c r="Z106" s="3464"/>
      <c r="AA106" s="3464"/>
      <c r="AB106" s="3464"/>
      <c r="AC106" s="3464"/>
      <c r="AD106" s="3464"/>
      <c r="AE106" s="3464"/>
      <c r="AF106" s="3464"/>
      <c r="AG106" s="3464"/>
      <c r="AH106" s="3464"/>
      <c r="AI106" s="3464"/>
      <c r="AJ106" s="3464"/>
    </row>
    <row r="107" spans="1:36">
      <c r="A107" s="3464"/>
      <c r="B107" s="3464"/>
      <c r="C107" s="3464"/>
      <c r="D107" s="3464"/>
      <c r="E107" s="3464"/>
      <c r="F107" s="3464"/>
      <c r="G107" s="3464"/>
      <c r="H107" s="3464"/>
      <c r="I107" s="3464"/>
      <c r="J107" s="3464"/>
      <c r="K107" s="3464"/>
      <c r="L107" s="3464"/>
      <c r="M107" s="3464"/>
      <c r="N107" s="3464"/>
      <c r="O107" s="3464"/>
      <c r="P107" s="3464"/>
      <c r="Q107" s="3464"/>
      <c r="R107" s="3464"/>
      <c r="S107" s="3464"/>
      <c r="T107" s="3464"/>
      <c r="U107" s="3464"/>
      <c r="V107" s="3464"/>
      <c r="W107" s="3464"/>
      <c r="X107" s="3464"/>
      <c r="Y107" s="3464"/>
      <c r="Z107" s="3464"/>
      <c r="AA107" s="3464"/>
      <c r="AB107" s="3464"/>
      <c r="AC107" s="3464"/>
      <c r="AD107" s="3464"/>
      <c r="AE107" s="3464"/>
      <c r="AF107" s="3464"/>
      <c r="AG107" s="3464"/>
      <c r="AH107" s="3464"/>
      <c r="AI107" s="3464"/>
      <c r="AJ107" s="3464"/>
    </row>
    <row r="108" spans="1:36">
      <c r="A108" s="3464"/>
      <c r="B108" s="3464"/>
      <c r="C108" s="3464"/>
      <c r="D108" s="3464"/>
      <c r="E108" s="3464"/>
      <c r="F108" s="3464"/>
      <c r="G108" s="3464"/>
      <c r="H108" s="3464"/>
      <c r="I108" s="3464"/>
      <c r="J108" s="3464"/>
      <c r="K108" s="3464"/>
      <c r="L108" s="3464"/>
      <c r="M108" s="3464"/>
      <c r="N108" s="3464"/>
      <c r="O108" s="3464"/>
      <c r="P108" s="3464"/>
      <c r="Q108" s="3464"/>
      <c r="R108" s="3464"/>
      <c r="S108" s="3464"/>
      <c r="T108" s="3464"/>
      <c r="U108" s="3464"/>
      <c r="V108" s="3464"/>
      <c r="W108" s="3464"/>
      <c r="X108" s="3464"/>
      <c r="Y108" s="3464"/>
      <c r="Z108" s="3464"/>
      <c r="AA108" s="3464"/>
      <c r="AB108" s="3464"/>
      <c r="AC108" s="3464"/>
      <c r="AD108" s="3464"/>
      <c r="AE108" s="3464"/>
      <c r="AF108" s="3464"/>
      <c r="AG108" s="3464"/>
      <c r="AH108" s="3464"/>
      <c r="AI108" s="3464"/>
      <c r="AJ108" s="3464"/>
    </row>
    <row r="109" spans="1:36">
      <c r="A109" s="3464"/>
      <c r="B109" s="3464"/>
      <c r="C109" s="3464"/>
      <c r="D109" s="3464"/>
      <c r="E109" s="3464"/>
      <c r="F109" s="3464"/>
      <c r="G109" s="3464"/>
      <c r="H109" s="3464"/>
      <c r="I109" s="3464"/>
      <c r="J109" s="3464"/>
      <c r="K109" s="3464"/>
      <c r="L109" s="3464"/>
      <c r="M109" s="3464"/>
      <c r="N109" s="3464"/>
      <c r="O109" s="3464"/>
      <c r="P109" s="3464"/>
      <c r="Q109" s="3464"/>
      <c r="R109" s="3464"/>
      <c r="S109" s="3464"/>
      <c r="T109" s="3464"/>
      <c r="U109" s="3464"/>
      <c r="V109" s="3464"/>
      <c r="W109" s="3464"/>
      <c r="X109" s="3464"/>
      <c r="Y109" s="3464"/>
      <c r="Z109" s="3464"/>
      <c r="AA109" s="3464"/>
      <c r="AB109" s="3464"/>
      <c r="AC109" s="3464"/>
      <c r="AD109" s="3464"/>
      <c r="AE109" s="3464"/>
      <c r="AF109" s="3464"/>
      <c r="AG109" s="3464"/>
      <c r="AH109" s="3464"/>
      <c r="AI109" s="3464"/>
      <c r="AJ109" s="3464"/>
    </row>
    <row r="110" spans="1:36">
      <c r="A110" s="3464"/>
      <c r="B110" s="3464"/>
      <c r="C110" s="3464"/>
      <c r="D110" s="3464"/>
      <c r="E110" s="3464"/>
      <c r="F110" s="3464"/>
      <c r="G110" s="3464"/>
      <c r="H110" s="3464"/>
      <c r="I110" s="3464"/>
      <c r="J110" s="3464"/>
      <c r="K110" s="3464"/>
      <c r="L110" s="3464"/>
      <c r="M110" s="3464"/>
      <c r="N110" s="3464"/>
      <c r="O110" s="3464"/>
      <c r="P110" s="3464"/>
      <c r="Q110" s="3464"/>
      <c r="R110" s="3464"/>
      <c r="S110" s="3464"/>
      <c r="T110" s="3464"/>
      <c r="U110" s="3464"/>
      <c r="V110" s="3464"/>
      <c r="W110" s="3464"/>
      <c r="X110" s="3464"/>
      <c r="Y110" s="3464"/>
      <c r="Z110" s="3464"/>
      <c r="AA110" s="3464"/>
      <c r="AB110" s="3464"/>
      <c r="AC110" s="3464"/>
      <c r="AD110" s="3464"/>
      <c r="AE110" s="3464"/>
      <c r="AF110" s="3464"/>
      <c r="AG110" s="3464"/>
      <c r="AH110" s="3464"/>
      <c r="AI110" s="3464"/>
      <c r="AJ110" s="3464"/>
    </row>
    <row r="111" spans="1:36">
      <c r="A111" s="3464"/>
      <c r="B111" s="3464"/>
      <c r="C111" s="3464"/>
      <c r="D111" s="3464"/>
      <c r="E111" s="3464"/>
      <c r="F111" s="3464"/>
      <c r="G111" s="3464"/>
      <c r="H111" s="3464"/>
      <c r="I111" s="3464"/>
      <c r="J111" s="3464"/>
      <c r="K111" s="3464"/>
      <c r="L111" s="3464"/>
      <c r="M111" s="3464"/>
      <c r="N111" s="3464"/>
      <c r="O111" s="3464"/>
      <c r="P111" s="3464"/>
      <c r="Q111" s="3464"/>
      <c r="R111" s="3464"/>
      <c r="S111" s="3464"/>
      <c r="T111" s="3464"/>
      <c r="U111" s="3464"/>
      <c r="V111" s="3464"/>
      <c r="W111" s="3464"/>
      <c r="X111" s="3464"/>
      <c r="Y111" s="3464"/>
      <c r="Z111" s="3464"/>
      <c r="AA111" s="3464"/>
      <c r="AB111" s="3464"/>
      <c r="AC111" s="3464"/>
      <c r="AD111" s="3464"/>
      <c r="AE111" s="3464"/>
      <c r="AF111" s="3464"/>
      <c r="AG111" s="3464"/>
      <c r="AH111" s="3464"/>
      <c r="AI111" s="3464"/>
      <c r="AJ111" s="3464"/>
    </row>
    <row r="112" spans="1:36">
      <c r="A112" s="3464"/>
      <c r="B112" s="3464"/>
      <c r="C112" s="3464"/>
      <c r="D112" s="3464"/>
      <c r="E112" s="3464"/>
      <c r="F112" s="3464"/>
      <c r="G112" s="3464"/>
      <c r="H112" s="3464"/>
      <c r="I112" s="3464"/>
      <c r="J112" s="3464"/>
      <c r="K112" s="3464"/>
      <c r="L112" s="3464"/>
      <c r="M112" s="3464"/>
      <c r="N112" s="3464"/>
      <c r="O112" s="3464"/>
      <c r="P112" s="3464"/>
      <c r="Q112" s="3464"/>
      <c r="R112" s="3464"/>
      <c r="S112" s="3464"/>
      <c r="T112" s="3464"/>
      <c r="U112" s="3464"/>
      <c r="V112" s="3464"/>
      <c r="W112" s="3464"/>
      <c r="X112" s="3464"/>
      <c r="Y112" s="3464"/>
      <c r="Z112" s="3464"/>
      <c r="AA112" s="3464"/>
      <c r="AB112" s="3464"/>
      <c r="AC112" s="3464"/>
      <c r="AD112" s="3464"/>
      <c r="AE112" s="3464"/>
      <c r="AF112" s="3464"/>
      <c r="AG112" s="3464"/>
      <c r="AH112" s="3464"/>
      <c r="AI112" s="3464"/>
      <c r="AJ112" s="3464"/>
    </row>
    <row r="113" spans="1:36">
      <c r="A113" s="3464"/>
      <c r="B113" s="3464"/>
      <c r="C113" s="3464"/>
      <c r="D113" s="3464"/>
      <c r="E113" s="3464"/>
      <c r="F113" s="3464"/>
      <c r="G113" s="3464"/>
      <c r="H113" s="3464"/>
      <c r="I113" s="3464"/>
      <c r="J113" s="3464"/>
      <c r="K113" s="3464"/>
      <c r="L113" s="3464"/>
      <c r="M113" s="3464"/>
      <c r="N113" s="3464"/>
      <c r="O113" s="3464"/>
      <c r="P113" s="3464"/>
      <c r="Q113" s="3464"/>
      <c r="R113" s="3464"/>
      <c r="S113" s="3464"/>
      <c r="T113" s="3464"/>
      <c r="U113" s="3464"/>
      <c r="V113" s="3464"/>
      <c r="W113" s="3464"/>
      <c r="X113" s="3464"/>
      <c r="Y113" s="3464"/>
      <c r="Z113" s="3464"/>
      <c r="AA113" s="3464"/>
      <c r="AB113" s="3464"/>
      <c r="AC113" s="3464"/>
      <c r="AD113" s="3464"/>
      <c r="AE113" s="3464"/>
      <c r="AF113" s="3464"/>
      <c r="AG113" s="3464"/>
      <c r="AH113" s="3464"/>
      <c r="AI113" s="3464"/>
      <c r="AJ113" s="3464"/>
    </row>
    <row r="114" spans="1:36">
      <c r="A114" s="3464"/>
      <c r="B114" s="3464"/>
      <c r="C114" s="3464"/>
      <c r="D114" s="3464"/>
      <c r="E114" s="3464"/>
      <c r="F114" s="3464"/>
      <c r="G114" s="3464"/>
      <c r="H114" s="3464"/>
      <c r="I114" s="3464"/>
      <c r="J114" s="3464"/>
      <c r="K114" s="3464"/>
      <c r="L114" s="3464"/>
      <c r="M114" s="3464"/>
      <c r="N114" s="3464"/>
      <c r="O114" s="3464"/>
      <c r="P114" s="3464"/>
      <c r="Q114" s="3464"/>
      <c r="R114" s="3464"/>
      <c r="S114" s="3464"/>
      <c r="T114" s="3464"/>
      <c r="U114" s="3464"/>
      <c r="V114" s="3464"/>
      <c r="W114" s="3464"/>
      <c r="X114" s="3464"/>
      <c r="Y114" s="3464"/>
      <c r="Z114" s="3464"/>
      <c r="AA114" s="3464"/>
      <c r="AB114" s="3464"/>
      <c r="AC114" s="3464"/>
      <c r="AD114" s="3464"/>
      <c r="AE114" s="3464"/>
      <c r="AF114" s="3464"/>
      <c r="AG114" s="3464"/>
      <c r="AH114" s="3464"/>
      <c r="AI114" s="3464"/>
      <c r="AJ114" s="3464"/>
    </row>
    <row r="115" spans="1:36">
      <c r="A115" s="3464"/>
      <c r="B115" s="3464"/>
      <c r="C115" s="3464"/>
      <c r="D115" s="3464"/>
      <c r="E115" s="3464"/>
      <c r="F115" s="3464"/>
      <c r="G115" s="3464"/>
      <c r="H115" s="3464"/>
      <c r="I115" s="3464"/>
      <c r="J115" s="3464"/>
      <c r="K115" s="3464"/>
      <c r="L115" s="3464"/>
      <c r="M115" s="3464"/>
      <c r="N115" s="3464"/>
      <c r="O115" s="3464"/>
      <c r="P115" s="3464"/>
      <c r="Q115" s="3464"/>
      <c r="R115" s="3464"/>
      <c r="S115" s="3464"/>
      <c r="T115" s="3464"/>
      <c r="U115" s="3464"/>
      <c r="V115" s="3464"/>
      <c r="W115" s="3464"/>
      <c r="X115" s="3464"/>
      <c r="Y115" s="3464"/>
      <c r="Z115" s="3464"/>
      <c r="AA115" s="3464"/>
      <c r="AB115" s="3464"/>
      <c r="AC115" s="3464"/>
      <c r="AD115" s="3464"/>
      <c r="AE115" s="3464"/>
      <c r="AF115" s="3464"/>
      <c r="AG115" s="3464"/>
      <c r="AH115" s="3464"/>
      <c r="AI115" s="3464"/>
      <c r="AJ115" s="3464"/>
    </row>
    <row r="116" spans="1:36">
      <c r="A116" s="3464"/>
      <c r="B116" s="3464"/>
      <c r="C116" s="3464"/>
      <c r="D116" s="3464"/>
      <c r="E116" s="3464"/>
      <c r="F116" s="3464"/>
      <c r="G116" s="3464"/>
      <c r="H116" s="3464"/>
      <c r="I116" s="3464"/>
      <c r="J116" s="3464"/>
      <c r="K116" s="3464"/>
      <c r="L116" s="3464"/>
      <c r="M116" s="3464"/>
      <c r="N116" s="3464"/>
      <c r="O116" s="3464"/>
      <c r="P116" s="3464"/>
      <c r="Q116" s="3464"/>
      <c r="R116" s="3464"/>
      <c r="S116" s="3464"/>
      <c r="T116" s="3464"/>
      <c r="U116" s="3464"/>
      <c r="V116" s="3464"/>
      <c r="W116" s="3464"/>
      <c r="X116" s="3464"/>
      <c r="Y116" s="3464"/>
      <c r="Z116" s="3464"/>
      <c r="AA116" s="3464"/>
      <c r="AB116" s="3464"/>
      <c r="AC116" s="3464"/>
      <c r="AD116" s="3464"/>
      <c r="AE116" s="3464"/>
      <c r="AF116" s="3464"/>
      <c r="AG116" s="3464"/>
      <c r="AH116" s="3464"/>
      <c r="AI116" s="3464"/>
      <c r="AJ116" s="3464"/>
    </row>
    <row r="117" spans="1:36">
      <c r="A117" s="3464"/>
      <c r="B117" s="3464"/>
      <c r="C117" s="3464"/>
      <c r="D117" s="3464"/>
      <c r="E117" s="3464"/>
      <c r="F117" s="3464"/>
      <c r="G117" s="3464"/>
      <c r="H117" s="3464"/>
      <c r="I117" s="3464"/>
      <c r="J117" s="3464"/>
      <c r="K117" s="3464"/>
      <c r="L117" s="3464"/>
      <c r="M117" s="3464"/>
      <c r="N117" s="3464"/>
      <c r="O117" s="3464"/>
      <c r="P117" s="3464"/>
      <c r="Q117" s="3464"/>
      <c r="R117" s="3464"/>
      <c r="S117" s="3464"/>
      <c r="T117" s="3464"/>
      <c r="U117" s="3464"/>
      <c r="V117" s="3464"/>
      <c r="W117" s="3464"/>
      <c r="X117" s="3464"/>
      <c r="Y117" s="3464"/>
      <c r="Z117" s="3464"/>
      <c r="AA117" s="3464"/>
      <c r="AB117" s="3464"/>
      <c r="AC117" s="3464"/>
      <c r="AD117" s="3464"/>
      <c r="AE117" s="3464"/>
      <c r="AF117" s="3464"/>
      <c r="AG117" s="3464"/>
      <c r="AH117" s="3464"/>
      <c r="AI117" s="3464"/>
      <c r="AJ117" s="3464"/>
    </row>
    <row r="118" spans="1:36">
      <c r="A118" s="3464"/>
      <c r="B118" s="3464"/>
      <c r="C118" s="3464"/>
      <c r="D118" s="3464"/>
      <c r="E118" s="3464"/>
      <c r="F118" s="3464"/>
      <c r="G118" s="3464"/>
      <c r="H118" s="3464"/>
      <c r="I118" s="3464"/>
      <c r="J118" s="3464"/>
      <c r="K118" s="3464"/>
      <c r="L118" s="3464"/>
      <c r="M118" s="3464"/>
      <c r="N118" s="3464"/>
      <c r="O118" s="3464"/>
      <c r="P118" s="3464"/>
      <c r="Q118" s="3464"/>
      <c r="R118" s="3464"/>
      <c r="S118" s="3464"/>
      <c r="T118" s="3464"/>
      <c r="U118" s="3464"/>
      <c r="V118" s="3464"/>
      <c r="W118" s="3464"/>
      <c r="X118" s="3464"/>
      <c r="Y118" s="3464"/>
      <c r="Z118" s="3464"/>
      <c r="AA118" s="3464"/>
      <c r="AB118" s="3464"/>
      <c r="AC118" s="3464"/>
      <c r="AD118" s="3464"/>
      <c r="AE118" s="3464"/>
      <c r="AF118" s="3464"/>
      <c r="AG118" s="3464"/>
      <c r="AH118" s="3464"/>
      <c r="AI118" s="3464"/>
      <c r="AJ118" s="3464"/>
    </row>
    <row r="119" spans="1:36">
      <c r="A119" s="3464"/>
      <c r="B119" s="3464"/>
      <c r="C119" s="3464"/>
      <c r="D119" s="3464"/>
      <c r="E119" s="3464"/>
      <c r="F119" s="3464"/>
      <c r="G119" s="3464"/>
      <c r="H119" s="3464"/>
      <c r="I119" s="3464"/>
      <c r="J119" s="3464"/>
      <c r="K119" s="3464"/>
      <c r="L119" s="3464"/>
      <c r="M119" s="3464"/>
      <c r="N119" s="3464"/>
      <c r="O119" s="3464"/>
      <c r="P119" s="3464"/>
      <c r="Q119" s="3464"/>
      <c r="R119" s="3464"/>
      <c r="S119" s="3464"/>
      <c r="T119" s="3464"/>
      <c r="U119" s="3464"/>
      <c r="V119" s="3464"/>
      <c r="W119" s="3464"/>
      <c r="X119" s="3464"/>
      <c r="Y119" s="3464"/>
      <c r="Z119" s="3464"/>
      <c r="AA119" s="3464"/>
      <c r="AB119" s="3464"/>
      <c r="AC119" s="3464"/>
      <c r="AD119" s="3464"/>
      <c r="AE119" s="3464"/>
      <c r="AF119" s="3464"/>
      <c r="AG119" s="3464"/>
      <c r="AH119" s="3464"/>
      <c r="AI119" s="3464"/>
      <c r="AJ119" s="3464"/>
    </row>
    <row r="120" spans="1:36">
      <c r="A120" s="3464"/>
      <c r="B120" s="3464"/>
      <c r="C120" s="3464"/>
      <c r="D120" s="3464"/>
      <c r="E120" s="3464"/>
      <c r="F120" s="3464"/>
      <c r="G120" s="3464"/>
      <c r="H120" s="3464"/>
      <c r="I120" s="3464"/>
      <c r="J120" s="3464"/>
      <c r="K120" s="3464"/>
      <c r="L120" s="3464"/>
      <c r="M120" s="3464"/>
      <c r="N120" s="3464"/>
      <c r="O120" s="3464"/>
      <c r="P120" s="3464"/>
      <c r="Q120" s="3464"/>
      <c r="R120" s="3464"/>
      <c r="S120" s="3464"/>
      <c r="T120" s="3464"/>
      <c r="U120" s="3464"/>
      <c r="V120" s="3464"/>
      <c r="W120" s="3464"/>
      <c r="X120" s="3464"/>
      <c r="Y120" s="3464"/>
      <c r="Z120" s="3464"/>
      <c r="AA120" s="3464"/>
      <c r="AB120" s="3464"/>
      <c r="AC120" s="3464"/>
      <c r="AD120" s="3464"/>
      <c r="AE120" s="3464"/>
      <c r="AF120" s="3464"/>
      <c r="AG120" s="3464"/>
      <c r="AH120" s="3464"/>
      <c r="AI120" s="3464"/>
      <c r="AJ120" s="3464"/>
    </row>
    <row r="121" spans="1:36">
      <c r="A121" s="3464"/>
      <c r="B121" s="3464"/>
      <c r="C121" s="3464"/>
      <c r="D121" s="3464"/>
      <c r="E121" s="3464"/>
      <c r="F121" s="3464"/>
      <c r="G121" s="3464"/>
      <c r="H121" s="3464"/>
      <c r="I121" s="3464"/>
      <c r="J121" s="3464"/>
      <c r="K121" s="3464"/>
      <c r="L121" s="3464"/>
      <c r="M121" s="3464"/>
      <c r="N121" s="3464"/>
      <c r="O121" s="3464"/>
      <c r="P121" s="3464"/>
      <c r="Q121" s="3464"/>
      <c r="R121" s="3464"/>
      <c r="S121" s="3464"/>
      <c r="T121" s="3464"/>
      <c r="U121" s="3464"/>
      <c r="V121" s="3464"/>
      <c r="W121" s="3464"/>
      <c r="X121" s="3464"/>
      <c r="Y121" s="3464"/>
      <c r="Z121" s="3464"/>
      <c r="AA121" s="3464"/>
      <c r="AB121" s="3464"/>
      <c r="AC121" s="3464"/>
      <c r="AD121" s="3464"/>
      <c r="AE121" s="3464"/>
      <c r="AF121" s="3464"/>
      <c r="AG121" s="3464"/>
      <c r="AH121" s="3464"/>
      <c r="AI121" s="3464"/>
      <c r="AJ121" s="3464"/>
    </row>
    <row r="122" spans="1:36">
      <c r="A122" s="3464"/>
      <c r="B122" s="3464"/>
      <c r="C122" s="3464"/>
      <c r="D122" s="3464"/>
      <c r="E122" s="3464"/>
      <c r="F122" s="3464"/>
      <c r="G122" s="3464"/>
      <c r="H122" s="3464"/>
      <c r="I122" s="3464"/>
      <c r="J122" s="3464"/>
      <c r="K122" s="3464"/>
      <c r="L122" s="3464"/>
      <c r="M122" s="3464"/>
      <c r="N122" s="3464"/>
      <c r="O122" s="3464"/>
      <c r="P122" s="3464"/>
      <c r="Q122" s="3464"/>
      <c r="R122" s="3464"/>
      <c r="S122" s="3464"/>
      <c r="T122" s="3464"/>
      <c r="U122" s="3464"/>
      <c r="V122" s="3464"/>
      <c r="W122" s="3464"/>
      <c r="X122" s="3464"/>
      <c r="Y122" s="3464"/>
      <c r="Z122" s="3464"/>
      <c r="AA122" s="3464"/>
      <c r="AB122" s="3464"/>
      <c r="AC122" s="3464"/>
      <c r="AD122" s="3464"/>
      <c r="AE122" s="3464"/>
      <c r="AF122" s="3464"/>
      <c r="AG122" s="3464"/>
      <c r="AH122" s="3464"/>
      <c r="AI122" s="3464"/>
      <c r="AJ122" s="3464"/>
    </row>
    <row r="123" spans="1:36">
      <c r="A123" s="3464"/>
      <c r="B123" s="3464"/>
      <c r="C123" s="3464"/>
      <c r="D123" s="3464"/>
      <c r="E123" s="3464"/>
      <c r="F123" s="3464"/>
      <c r="G123" s="3464"/>
      <c r="H123" s="3464"/>
      <c r="I123" s="3464"/>
      <c r="J123" s="3464"/>
      <c r="K123" s="3464"/>
      <c r="L123" s="3464"/>
      <c r="M123" s="3464"/>
      <c r="N123" s="3464"/>
      <c r="O123" s="3464"/>
      <c r="P123" s="3464"/>
      <c r="Q123" s="3464"/>
      <c r="R123" s="3464"/>
      <c r="S123" s="3464"/>
      <c r="T123" s="3464"/>
      <c r="U123" s="3464"/>
      <c r="V123" s="3464"/>
      <c r="W123" s="3464"/>
      <c r="X123" s="3464"/>
      <c r="Y123" s="3464"/>
      <c r="Z123" s="3464"/>
      <c r="AA123" s="3464"/>
      <c r="AB123" s="3464"/>
      <c r="AC123" s="3464"/>
      <c r="AD123" s="3464"/>
      <c r="AE123" s="3464"/>
      <c r="AF123" s="3464"/>
      <c r="AG123" s="3464"/>
      <c r="AH123" s="3464"/>
      <c r="AI123" s="3464"/>
      <c r="AJ123" s="3464"/>
    </row>
    <row r="124" spans="1:36">
      <c r="A124" s="3464"/>
      <c r="B124" s="3464"/>
      <c r="C124" s="3464"/>
      <c r="D124" s="3464"/>
      <c r="E124" s="3464"/>
      <c r="F124" s="3464"/>
      <c r="G124" s="3464"/>
      <c r="H124" s="3464"/>
      <c r="I124" s="3464"/>
      <c r="J124" s="3464"/>
      <c r="K124" s="3464"/>
      <c r="L124" s="3464"/>
      <c r="M124" s="3464"/>
      <c r="N124" s="3464"/>
      <c r="O124" s="3464"/>
      <c r="P124" s="3464"/>
      <c r="Q124" s="3464"/>
      <c r="R124" s="3464"/>
      <c r="S124" s="3464"/>
      <c r="T124" s="3464"/>
      <c r="U124" s="3464"/>
      <c r="V124" s="3464"/>
      <c r="W124" s="3464"/>
      <c r="X124" s="3464"/>
      <c r="Y124" s="3464"/>
      <c r="Z124" s="3464"/>
      <c r="AA124" s="3464"/>
      <c r="AB124" s="3464"/>
      <c r="AC124" s="3464"/>
      <c r="AD124" s="3464"/>
      <c r="AE124" s="3464"/>
      <c r="AF124" s="3464"/>
      <c r="AG124" s="3464"/>
      <c r="AH124" s="3464"/>
      <c r="AI124" s="3464"/>
      <c r="AJ124" s="3464"/>
    </row>
    <row r="125" spans="1:36">
      <c r="A125" s="3464"/>
      <c r="B125" s="3464"/>
      <c r="C125" s="3464"/>
      <c r="D125" s="3464"/>
      <c r="E125" s="3464"/>
      <c r="F125" s="3464"/>
      <c r="G125" s="3464"/>
      <c r="H125" s="3464"/>
      <c r="I125" s="3464"/>
      <c r="J125" s="3464"/>
      <c r="K125" s="3464"/>
      <c r="L125" s="3464"/>
      <c r="M125" s="3464"/>
      <c r="N125" s="3464"/>
      <c r="O125" s="3464"/>
      <c r="P125" s="3464"/>
      <c r="Q125" s="3464"/>
      <c r="R125" s="3464"/>
      <c r="S125" s="3464"/>
      <c r="T125" s="3464"/>
      <c r="U125" s="3464"/>
      <c r="V125" s="3464"/>
      <c r="W125" s="3464"/>
      <c r="X125" s="3464"/>
      <c r="Y125" s="3464"/>
      <c r="Z125" s="3464"/>
      <c r="AA125" s="3464"/>
      <c r="AB125" s="3464"/>
      <c r="AC125" s="3464"/>
      <c r="AD125" s="3464"/>
      <c r="AE125" s="3464"/>
      <c r="AF125" s="3464"/>
      <c r="AG125" s="3464"/>
      <c r="AH125" s="3464"/>
      <c r="AI125" s="3464"/>
      <c r="AJ125" s="3464"/>
    </row>
    <row r="126" spans="1:36">
      <c r="A126" s="3464"/>
      <c r="B126" s="3464"/>
      <c r="C126" s="3464"/>
      <c r="D126" s="3464"/>
      <c r="E126" s="3464"/>
      <c r="F126" s="3464"/>
      <c r="G126" s="3464"/>
      <c r="H126" s="3464"/>
      <c r="I126" s="3464"/>
      <c r="J126" s="3464"/>
      <c r="K126" s="3464"/>
      <c r="L126" s="3464"/>
      <c r="M126" s="3464"/>
      <c r="N126" s="3464"/>
      <c r="O126" s="3464"/>
      <c r="P126" s="3464"/>
      <c r="Q126" s="3464"/>
      <c r="R126" s="3464"/>
      <c r="S126" s="3464"/>
      <c r="T126" s="3464"/>
      <c r="U126" s="3464"/>
      <c r="V126" s="3464"/>
      <c r="W126" s="3464"/>
      <c r="X126" s="3464"/>
      <c r="Y126" s="3464"/>
      <c r="Z126" s="3464"/>
      <c r="AA126" s="3464"/>
      <c r="AB126" s="3464"/>
      <c r="AC126" s="3464"/>
      <c r="AD126" s="3464"/>
      <c r="AE126" s="3464"/>
      <c r="AF126" s="3464"/>
      <c r="AG126" s="3464"/>
      <c r="AH126" s="3464"/>
      <c r="AI126" s="3464"/>
      <c r="AJ126" s="3464"/>
    </row>
    <row r="127" spans="1:36">
      <c r="A127" s="3464"/>
      <c r="B127" s="3464"/>
      <c r="C127" s="3464"/>
      <c r="D127" s="3464"/>
      <c r="E127" s="3464"/>
      <c r="F127" s="3464"/>
      <c r="G127" s="3464"/>
      <c r="H127" s="3464"/>
      <c r="I127" s="3464"/>
      <c r="J127" s="3464"/>
      <c r="K127" s="3464"/>
      <c r="L127" s="3464"/>
      <c r="M127" s="3464"/>
      <c r="N127" s="3464"/>
      <c r="O127" s="3464"/>
      <c r="P127" s="3464"/>
      <c r="Q127" s="3464"/>
      <c r="R127" s="3464"/>
      <c r="S127" s="3464"/>
      <c r="T127" s="3464"/>
      <c r="U127" s="3464"/>
      <c r="V127" s="3464"/>
      <c r="W127" s="3464"/>
      <c r="X127" s="3464"/>
      <c r="Y127" s="3464"/>
      <c r="Z127" s="3464"/>
      <c r="AA127" s="3464"/>
      <c r="AB127" s="3464"/>
      <c r="AC127" s="3464"/>
      <c r="AD127" s="3464"/>
      <c r="AE127" s="3464"/>
      <c r="AF127" s="3464"/>
      <c r="AG127" s="3464"/>
      <c r="AH127" s="3464"/>
      <c r="AI127" s="3464"/>
      <c r="AJ127" s="3464"/>
    </row>
    <row r="128" spans="1:36">
      <c r="A128" s="3464"/>
      <c r="B128" s="3464"/>
      <c r="C128" s="3464"/>
      <c r="D128" s="3464"/>
      <c r="E128" s="3464"/>
      <c r="F128" s="3464"/>
      <c r="G128" s="3464"/>
      <c r="H128" s="3464"/>
      <c r="I128" s="3464"/>
      <c r="J128" s="3464"/>
      <c r="K128" s="3464"/>
      <c r="L128" s="3464"/>
      <c r="M128" s="3464"/>
      <c r="N128" s="3464"/>
      <c r="O128" s="3464"/>
      <c r="P128" s="3464"/>
      <c r="Q128" s="3464"/>
      <c r="R128" s="3464"/>
      <c r="S128" s="3464"/>
      <c r="T128" s="3464"/>
      <c r="U128" s="3464"/>
      <c r="V128" s="3464"/>
      <c r="W128" s="3464"/>
      <c r="X128" s="3464"/>
      <c r="Y128" s="3464"/>
      <c r="Z128" s="3464"/>
      <c r="AA128" s="3464"/>
      <c r="AB128" s="3464"/>
      <c r="AC128" s="3464"/>
      <c r="AD128" s="3464"/>
      <c r="AE128" s="3464"/>
      <c r="AF128" s="3464"/>
      <c r="AG128" s="3464"/>
      <c r="AH128" s="3464"/>
      <c r="AI128" s="3464"/>
      <c r="AJ128" s="3464"/>
    </row>
    <row r="129" spans="1:36">
      <c r="A129" s="3464"/>
      <c r="B129" s="3464"/>
      <c r="C129" s="3464"/>
      <c r="D129" s="3464"/>
      <c r="E129" s="3464"/>
      <c r="F129" s="3464"/>
      <c r="G129" s="3464"/>
      <c r="H129" s="3464"/>
      <c r="I129" s="3464"/>
      <c r="J129" s="3464"/>
      <c r="K129" s="3464"/>
      <c r="L129" s="3464"/>
      <c r="M129" s="3464"/>
      <c r="N129" s="3464"/>
      <c r="O129" s="3464"/>
      <c r="P129" s="3464"/>
      <c r="Q129" s="3464"/>
      <c r="R129" s="3464"/>
      <c r="S129" s="3464"/>
      <c r="T129" s="3464"/>
      <c r="U129" s="3464"/>
      <c r="V129" s="3464"/>
      <c r="W129" s="3464"/>
      <c r="X129" s="3464"/>
      <c r="Y129" s="3464"/>
      <c r="Z129" s="3464"/>
      <c r="AA129" s="3464"/>
      <c r="AB129" s="3464"/>
      <c r="AC129" s="3464"/>
      <c r="AD129" s="3464"/>
      <c r="AE129" s="3464"/>
      <c r="AF129" s="3464"/>
      <c r="AG129" s="3464"/>
      <c r="AH129" s="3464"/>
      <c r="AI129" s="3464"/>
      <c r="AJ129" s="3464"/>
    </row>
    <row r="130" spans="1:36">
      <c r="A130" s="3464"/>
      <c r="B130" s="3464"/>
      <c r="C130" s="3464"/>
      <c r="D130" s="3464"/>
      <c r="E130" s="3464"/>
      <c r="F130" s="3464"/>
      <c r="G130" s="3464"/>
      <c r="H130" s="3464"/>
      <c r="I130" s="3464"/>
      <c r="J130" s="3464"/>
      <c r="K130" s="3464"/>
      <c r="L130" s="3464"/>
      <c r="M130" s="3464"/>
      <c r="N130" s="3464"/>
      <c r="O130" s="3464"/>
      <c r="P130" s="3464"/>
      <c r="Q130" s="3464"/>
      <c r="R130" s="3464"/>
      <c r="S130" s="3464"/>
      <c r="T130" s="3464"/>
      <c r="U130" s="3464"/>
      <c r="V130" s="3464"/>
      <c r="W130" s="3464"/>
      <c r="X130" s="3464"/>
      <c r="Y130" s="3464"/>
      <c r="Z130" s="3464"/>
      <c r="AA130" s="3464"/>
      <c r="AB130" s="3464"/>
      <c r="AC130" s="3464"/>
      <c r="AD130" s="3464"/>
      <c r="AE130" s="3464"/>
      <c r="AF130" s="3464"/>
      <c r="AG130" s="3464"/>
      <c r="AH130" s="3464"/>
      <c r="AI130" s="3464"/>
      <c r="AJ130" s="3464"/>
    </row>
    <row r="131" spans="1:36">
      <c r="A131" s="3464"/>
      <c r="B131" s="3464"/>
      <c r="C131" s="3464"/>
      <c r="D131" s="3464"/>
      <c r="E131" s="3464"/>
      <c r="F131" s="3464"/>
      <c r="G131" s="3464"/>
      <c r="H131" s="3464"/>
      <c r="I131" s="3464"/>
      <c r="J131" s="3464"/>
      <c r="K131" s="3464"/>
      <c r="L131" s="3464"/>
      <c r="M131" s="3464"/>
      <c r="N131" s="3464"/>
      <c r="O131" s="3464"/>
      <c r="P131" s="3464"/>
      <c r="Q131" s="3464"/>
      <c r="R131" s="3464"/>
      <c r="S131" s="3464"/>
      <c r="T131" s="3464"/>
      <c r="U131" s="3464"/>
      <c r="V131" s="3464"/>
      <c r="W131" s="3464"/>
      <c r="X131" s="3464"/>
      <c r="Y131" s="3464"/>
      <c r="Z131" s="3464"/>
      <c r="AA131" s="3464"/>
      <c r="AB131" s="3464"/>
      <c r="AC131" s="3464"/>
      <c r="AD131" s="3464"/>
      <c r="AE131" s="3464"/>
      <c r="AF131" s="3464"/>
      <c r="AG131" s="3464"/>
      <c r="AH131" s="3464"/>
      <c r="AI131" s="3464"/>
      <c r="AJ131" s="3464"/>
    </row>
    <row r="132" spans="1:36">
      <c r="A132" s="3464"/>
      <c r="B132" s="3464"/>
      <c r="C132" s="3464"/>
      <c r="D132" s="3464"/>
      <c r="E132" s="3464"/>
      <c r="F132" s="3464"/>
      <c r="G132" s="3464"/>
      <c r="H132" s="3464"/>
      <c r="I132" s="3464"/>
      <c r="J132" s="3464"/>
      <c r="K132" s="3464"/>
      <c r="L132" s="3464"/>
      <c r="M132" s="3464"/>
      <c r="N132" s="3464"/>
      <c r="O132" s="3464"/>
      <c r="P132" s="3464"/>
      <c r="Q132" s="3464"/>
      <c r="R132" s="3464"/>
      <c r="S132" s="3464"/>
      <c r="T132" s="3464"/>
      <c r="U132" s="3464"/>
      <c r="V132" s="3464"/>
      <c r="W132" s="3464"/>
      <c r="X132" s="3464"/>
      <c r="Y132" s="3464"/>
      <c r="Z132" s="3464"/>
      <c r="AA132" s="3464"/>
      <c r="AB132" s="3464"/>
      <c r="AC132" s="3464"/>
      <c r="AD132" s="3464"/>
      <c r="AE132" s="3464"/>
      <c r="AF132" s="3464"/>
      <c r="AG132" s="3464"/>
      <c r="AH132" s="3464"/>
      <c r="AI132" s="3464"/>
      <c r="AJ132" s="3464"/>
    </row>
    <row r="133" spans="1:36">
      <c r="A133" s="3464"/>
      <c r="B133" s="3464"/>
      <c r="C133" s="3464"/>
      <c r="D133" s="3464"/>
      <c r="E133" s="3464"/>
      <c r="F133" s="3464"/>
      <c r="G133" s="3464"/>
      <c r="H133" s="3464"/>
      <c r="I133" s="3464"/>
      <c r="J133" s="3464"/>
      <c r="K133" s="3464"/>
      <c r="L133" s="3464"/>
      <c r="M133" s="3464"/>
      <c r="N133" s="3464"/>
      <c r="O133" s="3464"/>
      <c r="P133" s="3464"/>
      <c r="Q133" s="3464"/>
      <c r="R133" s="3464"/>
      <c r="S133" s="3464"/>
      <c r="T133" s="3464"/>
      <c r="U133" s="3464"/>
      <c r="V133" s="3464"/>
      <c r="W133" s="3464"/>
      <c r="X133" s="3464"/>
      <c r="Y133" s="3464"/>
      <c r="Z133" s="3464"/>
      <c r="AA133" s="3464"/>
      <c r="AB133" s="3464"/>
      <c r="AC133" s="3464"/>
      <c r="AD133" s="3464"/>
      <c r="AE133" s="3464"/>
      <c r="AF133" s="3464"/>
      <c r="AG133" s="3464"/>
      <c r="AH133" s="3464"/>
      <c r="AI133" s="3464"/>
      <c r="AJ133" s="3464"/>
    </row>
    <row r="134" spans="1:36">
      <c r="A134" s="3464"/>
      <c r="B134" s="3464"/>
      <c r="C134" s="3464"/>
      <c r="D134" s="3464"/>
      <c r="E134" s="3464"/>
      <c r="F134" s="3464"/>
      <c r="G134" s="3464"/>
      <c r="H134" s="3464"/>
      <c r="I134" s="3464"/>
      <c r="J134" s="3464"/>
      <c r="K134" s="3464"/>
      <c r="L134" s="3464"/>
      <c r="M134" s="3464"/>
      <c r="N134" s="3464"/>
      <c r="O134" s="3464"/>
      <c r="P134" s="3464"/>
      <c r="Q134" s="3464"/>
      <c r="R134" s="3464"/>
      <c r="S134" s="3464"/>
      <c r="T134" s="3464"/>
      <c r="U134" s="3464"/>
      <c r="V134" s="3464"/>
      <c r="W134" s="3464"/>
      <c r="X134" s="3464"/>
      <c r="Y134" s="3464"/>
      <c r="Z134" s="3464"/>
      <c r="AA134" s="3464"/>
      <c r="AB134" s="3464"/>
      <c r="AC134" s="3464"/>
      <c r="AD134" s="3464"/>
      <c r="AE134" s="3464"/>
      <c r="AF134" s="3464"/>
      <c r="AG134" s="3464"/>
      <c r="AH134" s="3464"/>
      <c r="AI134" s="3464"/>
      <c r="AJ134" s="3464"/>
    </row>
    <row r="135" spans="1:36">
      <c r="A135" s="3464"/>
      <c r="B135" s="3464"/>
      <c r="C135" s="3464"/>
      <c r="D135" s="3464"/>
      <c r="E135" s="3464"/>
      <c r="F135" s="3464"/>
      <c r="G135" s="3464"/>
      <c r="H135" s="3464"/>
      <c r="I135" s="3464"/>
      <c r="J135" s="3464"/>
      <c r="K135" s="3464"/>
      <c r="L135" s="3464"/>
      <c r="M135" s="3464"/>
      <c r="N135" s="3464"/>
      <c r="O135" s="3464"/>
      <c r="P135" s="3464"/>
      <c r="Q135" s="3464"/>
      <c r="R135" s="3464"/>
      <c r="S135" s="3464"/>
      <c r="T135" s="3464"/>
      <c r="U135" s="3464"/>
      <c r="V135" s="3464"/>
      <c r="W135" s="3464"/>
      <c r="X135" s="3464"/>
      <c r="Y135" s="3464"/>
      <c r="Z135" s="3464"/>
      <c r="AA135" s="3464"/>
      <c r="AB135" s="3464"/>
      <c r="AC135" s="3464"/>
      <c r="AD135" s="3464"/>
      <c r="AE135" s="3464"/>
      <c r="AF135" s="3464"/>
      <c r="AG135" s="3464"/>
      <c r="AH135" s="3464"/>
      <c r="AI135" s="3464"/>
      <c r="AJ135" s="3464"/>
    </row>
    <row r="136" spans="1:36">
      <c r="A136" s="3464"/>
      <c r="B136" s="3464"/>
      <c r="C136" s="3464"/>
      <c r="D136" s="3464"/>
      <c r="E136" s="3464"/>
      <c r="F136" s="3464"/>
      <c r="G136" s="3464"/>
      <c r="H136" s="3464"/>
      <c r="I136" s="3464"/>
      <c r="J136" s="3464"/>
      <c r="K136" s="3464"/>
      <c r="L136" s="3464"/>
      <c r="M136" s="3464"/>
      <c r="N136" s="3464"/>
      <c r="O136" s="3464"/>
      <c r="P136" s="3464"/>
      <c r="Q136" s="3464"/>
      <c r="R136" s="3464"/>
      <c r="S136" s="3464"/>
      <c r="T136" s="3464"/>
      <c r="U136" s="3464"/>
      <c r="V136" s="3464"/>
      <c r="W136" s="3464"/>
      <c r="X136" s="3464"/>
      <c r="Y136" s="3464"/>
      <c r="Z136" s="3464"/>
      <c r="AA136" s="3464"/>
      <c r="AB136" s="3464"/>
      <c r="AC136" s="3464"/>
      <c r="AD136" s="3464"/>
      <c r="AE136" s="3464"/>
      <c r="AF136" s="3464"/>
      <c r="AG136" s="3464"/>
      <c r="AH136" s="3464"/>
      <c r="AI136" s="3464"/>
      <c r="AJ136" s="3464"/>
    </row>
    <row r="137" spans="1:36">
      <c r="A137" s="3464"/>
      <c r="B137" s="3464"/>
      <c r="C137" s="3464"/>
      <c r="D137" s="3464"/>
      <c r="E137" s="3464"/>
      <c r="F137" s="3464"/>
      <c r="G137" s="3464"/>
      <c r="H137" s="3464"/>
      <c r="I137" s="3464"/>
      <c r="J137" s="3464"/>
      <c r="K137" s="3464"/>
      <c r="L137" s="3464"/>
      <c r="M137" s="3464"/>
      <c r="N137" s="3464"/>
      <c r="O137" s="3464"/>
      <c r="P137" s="3464"/>
      <c r="Q137" s="3464"/>
      <c r="R137" s="3464"/>
      <c r="S137" s="3464"/>
      <c r="T137" s="3464"/>
      <c r="U137" s="3464"/>
      <c r="V137" s="3464"/>
      <c r="W137" s="3464"/>
      <c r="X137" s="3464"/>
      <c r="Y137" s="3464"/>
      <c r="Z137" s="3464"/>
      <c r="AA137" s="3464"/>
      <c r="AB137" s="3464"/>
      <c r="AC137" s="3464"/>
      <c r="AD137" s="3464"/>
      <c r="AE137" s="3464"/>
      <c r="AF137" s="3464"/>
      <c r="AG137" s="3464"/>
      <c r="AH137" s="3464"/>
      <c r="AI137" s="3464"/>
      <c r="AJ137" s="3464"/>
    </row>
    <row r="138" spans="1:36">
      <c r="A138" s="3464"/>
      <c r="B138" s="3464"/>
      <c r="C138" s="3464"/>
      <c r="D138" s="3464"/>
      <c r="E138" s="3464"/>
      <c r="F138" s="3464"/>
      <c r="G138" s="3464"/>
      <c r="H138" s="3464"/>
      <c r="I138" s="3464"/>
      <c r="J138" s="3464"/>
      <c r="K138" s="3464"/>
      <c r="L138" s="3464"/>
      <c r="M138" s="3464"/>
      <c r="N138" s="3464"/>
      <c r="O138" s="3464"/>
      <c r="P138" s="3464"/>
      <c r="Q138" s="3464"/>
      <c r="R138" s="3464"/>
      <c r="S138" s="3464"/>
      <c r="T138" s="3464"/>
      <c r="U138" s="3464"/>
      <c r="V138" s="3464"/>
      <c r="W138" s="3464"/>
      <c r="X138" s="3464"/>
      <c r="Y138" s="3464"/>
      <c r="Z138" s="3464"/>
      <c r="AA138" s="3464"/>
      <c r="AB138" s="3464"/>
      <c r="AC138" s="3464"/>
      <c r="AD138" s="3464"/>
      <c r="AE138" s="3464"/>
      <c r="AF138" s="3464"/>
      <c r="AG138" s="3464"/>
      <c r="AH138" s="3464"/>
      <c r="AI138" s="3464"/>
      <c r="AJ138" s="3464"/>
    </row>
    <row r="139" spans="1:36">
      <c r="A139" s="3464"/>
      <c r="B139" s="3464"/>
      <c r="C139" s="3464"/>
      <c r="D139" s="3464"/>
      <c r="E139" s="3464"/>
      <c r="F139" s="3464"/>
      <c r="G139" s="3464"/>
      <c r="H139" s="3464"/>
      <c r="I139" s="3464"/>
      <c r="J139" s="3464"/>
      <c r="K139" s="3464"/>
      <c r="L139" s="3464"/>
      <c r="M139" s="3464"/>
      <c r="N139" s="3464"/>
      <c r="O139" s="3464"/>
      <c r="P139" s="3464"/>
      <c r="Q139" s="3464"/>
      <c r="R139" s="3464"/>
      <c r="S139" s="3464"/>
      <c r="T139" s="3464"/>
      <c r="U139" s="3464"/>
      <c r="V139" s="3464"/>
      <c r="W139" s="3464"/>
      <c r="X139" s="3464"/>
      <c r="Y139" s="3464"/>
      <c r="Z139" s="3464"/>
      <c r="AA139" s="3464"/>
      <c r="AB139" s="3464"/>
      <c r="AC139" s="3464"/>
      <c r="AD139" s="3464"/>
      <c r="AE139" s="3464"/>
      <c r="AF139" s="3464"/>
      <c r="AG139" s="3464"/>
      <c r="AH139" s="3464"/>
      <c r="AI139" s="3464"/>
      <c r="AJ139" s="3464"/>
    </row>
    <row r="140" spans="1:36">
      <c r="A140" s="3464"/>
      <c r="B140" s="3464"/>
      <c r="C140" s="3464"/>
      <c r="D140" s="3464"/>
      <c r="E140" s="3464"/>
      <c r="F140" s="3464"/>
      <c r="G140" s="3464"/>
      <c r="H140" s="3464"/>
      <c r="I140" s="3464"/>
      <c r="J140" s="3464"/>
      <c r="K140" s="3464"/>
      <c r="L140" s="3464"/>
      <c r="M140" s="3464"/>
      <c r="N140" s="3464"/>
      <c r="O140" s="3464"/>
      <c r="P140" s="3464"/>
      <c r="Q140" s="3464"/>
      <c r="R140" s="3464"/>
      <c r="S140" s="3464"/>
      <c r="T140" s="3464"/>
      <c r="U140" s="3464"/>
      <c r="V140" s="3464"/>
      <c r="W140" s="3464"/>
      <c r="X140" s="3464"/>
      <c r="Y140" s="3464"/>
      <c r="Z140" s="3464"/>
      <c r="AA140" s="3464"/>
      <c r="AB140" s="3464"/>
      <c r="AC140" s="3464"/>
      <c r="AD140" s="3464"/>
      <c r="AE140" s="3464"/>
      <c r="AF140" s="3464"/>
      <c r="AG140" s="3464"/>
      <c r="AH140" s="3464"/>
      <c r="AI140" s="3464"/>
      <c r="AJ140" s="3464"/>
    </row>
    <row r="141" spans="1:36">
      <c r="A141" s="3464"/>
      <c r="B141" s="3464"/>
      <c r="C141" s="3464"/>
      <c r="D141" s="3464"/>
      <c r="E141" s="3464"/>
      <c r="F141" s="3464"/>
      <c r="G141" s="3464"/>
      <c r="H141" s="3464"/>
      <c r="I141" s="3464"/>
      <c r="J141" s="3464"/>
      <c r="K141" s="3464"/>
      <c r="L141" s="3464"/>
      <c r="M141" s="3464"/>
      <c r="N141" s="3464"/>
      <c r="O141" s="3464"/>
      <c r="P141" s="3464"/>
      <c r="Q141" s="3464"/>
      <c r="R141" s="3464"/>
      <c r="S141" s="3464"/>
      <c r="T141" s="3464"/>
      <c r="U141" s="3464"/>
      <c r="V141" s="3464"/>
      <c r="W141" s="3464"/>
      <c r="X141" s="3464"/>
      <c r="Y141" s="3464"/>
      <c r="Z141" s="3464"/>
      <c r="AA141" s="3464"/>
      <c r="AB141" s="3464"/>
      <c r="AC141" s="3464"/>
      <c r="AD141" s="3464"/>
      <c r="AE141" s="3464"/>
      <c r="AF141" s="3464"/>
      <c r="AG141" s="3464"/>
      <c r="AH141" s="3464"/>
      <c r="AI141" s="3464"/>
      <c r="AJ141" s="3464"/>
    </row>
    <row r="142" spans="1:36">
      <c r="A142" s="3464"/>
      <c r="B142" s="3464"/>
      <c r="C142" s="3464"/>
      <c r="D142" s="3464"/>
      <c r="E142" s="3464"/>
      <c r="F142" s="3464"/>
      <c r="G142" s="3464"/>
      <c r="H142" s="3464"/>
      <c r="I142" s="3464"/>
      <c r="J142" s="3464"/>
      <c r="K142" s="3464"/>
      <c r="L142" s="3464"/>
      <c r="M142" s="3464"/>
      <c r="N142" s="3464"/>
      <c r="O142" s="3464"/>
      <c r="P142" s="3464"/>
      <c r="Q142" s="3464"/>
      <c r="R142" s="3464"/>
      <c r="S142" s="3464"/>
      <c r="T142" s="3464"/>
      <c r="U142" s="3464"/>
      <c r="V142" s="3464"/>
      <c r="W142" s="3464"/>
      <c r="X142" s="3464"/>
      <c r="Y142" s="3464"/>
      <c r="Z142" s="3464"/>
      <c r="AA142" s="3464"/>
      <c r="AB142" s="3464"/>
      <c r="AC142" s="3464"/>
      <c r="AD142" s="3464"/>
      <c r="AE142" s="3464"/>
      <c r="AF142" s="3464"/>
      <c r="AG142" s="3464"/>
      <c r="AH142" s="3464"/>
      <c r="AI142" s="3464"/>
      <c r="AJ142" s="3464"/>
    </row>
    <row r="143" spans="1:36">
      <c r="A143" s="3464"/>
      <c r="B143" s="3464"/>
      <c r="C143" s="3464"/>
      <c r="D143" s="3464"/>
      <c r="E143" s="3464"/>
      <c r="F143" s="3464"/>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c r="AJ143" s="3464"/>
    </row>
    <row r="144" spans="1:36">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c r="AJ144" s="3464"/>
    </row>
    <row r="145" spans="1:36">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c r="AJ145" s="3464"/>
    </row>
    <row r="146" spans="1:36">
      <c r="A146" s="3464"/>
      <c r="B146" s="3464"/>
      <c r="C146" s="3464"/>
      <c r="D146" s="3464"/>
      <c r="E146" s="3464"/>
      <c r="F146" s="3464"/>
      <c r="G146" s="3464"/>
      <c r="H146" s="3464"/>
      <c r="I146" s="3464"/>
      <c r="J146" s="3464"/>
      <c r="K146" s="3464"/>
      <c r="L146" s="3464"/>
      <c r="M146" s="3464"/>
      <c r="N146" s="3464"/>
      <c r="O146" s="3464"/>
      <c r="P146" s="3464"/>
      <c r="Q146" s="3464"/>
      <c r="R146" s="3464"/>
      <c r="S146" s="3464"/>
      <c r="T146" s="3464"/>
      <c r="U146" s="3464"/>
      <c r="V146" s="3464"/>
      <c r="W146" s="3464"/>
      <c r="X146" s="3464"/>
      <c r="Y146" s="3464"/>
      <c r="Z146" s="3464"/>
      <c r="AA146" s="3464"/>
      <c r="AB146" s="3464"/>
      <c r="AC146" s="3464"/>
      <c r="AD146" s="3464"/>
      <c r="AE146" s="3464"/>
      <c r="AF146" s="3464"/>
      <c r="AG146" s="3464"/>
      <c r="AH146" s="3464"/>
      <c r="AI146" s="3464"/>
      <c r="AJ146" s="3464"/>
    </row>
    <row r="147" spans="1:36">
      <c r="A147" s="3464"/>
      <c r="B147" s="3464"/>
      <c r="C147" s="3464"/>
      <c r="D147" s="3464"/>
      <c r="E147" s="3464"/>
      <c r="F147" s="3464"/>
      <c r="G147" s="3464"/>
      <c r="H147" s="3464"/>
      <c r="I147" s="3464"/>
      <c r="J147" s="3464"/>
      <c r="K147" s="3464"/>
      <c r="L147" s="3464"/>
      <c r="M147" s="3464"/>
      <c r="N147" s="3464"/>
      <c r="O147" s="3464"/>
      <c r="P147" s="3464"/>
      <c r="Q147" s="3464"/>
      <c r="R147" s="3464"/>
      <c r="S147" s="3464"/>
      <c r="T147" s="3464"/>
      <c r="U147" s="3464"/>
      <c r="V147" s="3464"/>
      <c r="W147" s="3464"/>
      <c r="X147" s="3464"/>
      <c r="Y147" s="3464"/>
      <c r="Z147" s="3464"/>
      <c r="AA147" s="3464"/>
      <c r="AB147" s="3464"/>
      <c r="AC147" s="3464"/>
      <c r="AD147" s="3464"/>
      <c r="AE147" s="3464"/>
      <c r="AF147" s="3464"/>
      <c r="AG147" s="3464"/>
      <c r="AH147" s="3464"/>
      <c r="AI147" s="3464"/>
      <c r="AJ147" s="3464"/>
    </row>
    <row r="148" spans="1:36">
      <c r="A148" s="3464"/>
      <c r="B148" s="3464"/>
      <c r="C148" s="3464"/>
      <c r="D148" s="3464"/>
      <c r="E148" s="3464"/>
      <c r="F148" s="3464"/>
      <c r="G148" s="3464"/>
      <c r="H148" s="3464"/>
      <c r="I148" s="3464"/>
      <c r="J148" s="3464"/>
      <c r="K148" s="3464"/>
      <c r="L148" s="3464"/>
      <c r="M148" s="3464"/>
      <c r="N148" s="3464"/>
      <c r="O148" s="3464"/>
      <c r="P148" s="3464"/>
      <c r="Q148" s="3464"/>
      <c r="R148" s="3464"/>
      <c r="S148" s="3464"/>
      <c r="T148" s="3464"/>
      <c r="U148" s="3464"/>
      <c r="V148" s="3464"/>
      <c r="W148" s="3464"/>
      <c r="X148" s="3464"/>
      <c r="Y148" s="3464"/>
      <c r="Z148" s="3464"/>
      <c r="AA148" s="3464"/>
      <c r="AB148" s="3464"/>
      <c r="AC148" s="3464"/>
      <c r="AD148" s="3464"/>
      <c r="AE148" s="3464"/>
      <c r="AF148" s="3464"/>
      <c r="AG148" s="3464"/>
      <c r="AH148" s="3464"/>
      <c r="AI148" s="3464"/>
      <c r="AJ148" s="3464"/>
    </row>
    <row r="149" spans="1:36">
      <c r="A149" s="3464"/>
      <c r="B149" s="3464"/>
      <c r="C149" s="3464"/>
      <c r="D149" s="3464"/>
      <c r="E149" s="3464"/>
      <c r="F149" s="3464"/>
      <c r="G149" s="3464"/>
      <c r="H149" s="3464"/>
      <c r="I149" s="3464"/>
      <c r="J149" s="3464"/>
      <c r="K149" s="3464"/>
      <c r="L149" s="3464"/>
      <c r="M149" s="3464"/>
      <c r="N149" s="3464"/>
      <c r="O149" s="3464"/>
      <c r="P149" s="3464"/>
      <c r="Q149" s="3464"/>
      <c r="R149" s="3464"/>
      <c r="S149" s="3464"/>
      <c r="T149" s="3464"/>
      <c r="U149" s="3464"/>
      <c r="V149" s="3464"/>
      <c r="W149" s="3464"/>
      <c r="X149" s="3464"/>
      <c r="Y149" s="3464"/>
      <c r="Z149" s="3464"/>
      <c r="AA149" s="3464"/>
      <c r="AB149" s="3464"/>
      <c r="AC149" s="3464"/>
      <c r="AD149" s="3464"/>
      <c r="AE149" s="3464"/>
      <c r="AF149" s="3464"/>
      <c r="AG149" s="3464"/>
      <c r="AH149" s="3464"/>
      <c r="AI149" s="3464"/>
      <c r="AJ149" s="3464"/>
    </row>
    <row r="150" spans="1:36">
      <c r="A150" s="3464"/>
      <c r="B150" s="3464"/>
      <c r="C150" s="3464"/>
      <c r="D150" s="3464"/>
      <c r="E150" s="3464"/>
      <c r="F150" s="3464"/>
      <c r="G150" s="3464"/>
      <c r="H150" s="3464"/>
      <c r="I150" s="3464"/>
      <c r="J150" s="3464"/>
      <c r="K150" s="3464"/>
      <c r="L150" s="3464"/>
      <c r="M150" s="3464"/>
      <c r="N150" s="3464"/>
      <c r="O150" s="3464"/>
      <c r="P150" s="3464"/>
      <c r="Q150" s="3464"/>
      <c r="R150" s="3464"/>
      <c r="S150" s="3464"/>
      <c r="T150" s="3464"/>
      <c r="U150" s="3464"/>
      <c r="V150" s="3464"/>
      <c r="W150" s="3464"/>
      <c r="X150" s="3464"/>
      <c r="Y150" s="3464"/>
      <c r="Z150" s="3464"/>
      <c r="AA150" s="3464"/>
      <c r="AB150" s="3464"/>
      <c r="AC150" s="3464"/>
      <c r="AD150" s="3464"/>
      <c r="AE150" s="3464"/>
      <c r="AF150" s="3464"/>
      <c r="AG150" s="3464"/>
      <c r="AH150" s="3464"/>
      <c r="AI150" s="3464"/>
      <c r="AJ150" s="3464"/>
    </row>
    <row r="151" spans="1:36">
      <c r="A151" s="3464"/>
      <c r="B151" s="3464"/>
      <c r="C151" s="3464"/>
      <c r="D151" s="3464"/>
      <c r="E151" s="3464"/>
      <c r="F151" s="3464"/>
      <c r="G151" s="3464"/>
      <c r="H151" s="3464"/>
      <c r="I151" s="3464"/>
      <c r="J151" s="3464"/>
      <c r="K151" s="3464"/>
      <c r="L151" s="3464"/>
      <c r="M151" s="3464"/>
      <c r="N151" s="3464"/>
      <c r="O151" s="3464"/>
      <c r="P151" s="3464"/>
      <c r="Q151" s="3464"/>
      <c r="R151" s="3464"/>
      <c r="S151" s="3464"/>
      <c r="T151" s="3464"/>
      <c r="U151" s="3464"/>
      <c r="V151" s="3464"/>
      <c r="W151" s="3464"/>
      <c r="X151" s="3464"/>
      <c r="Y151" s="3464"/>
      <c r="Z151" s="3464"/>
      <c r="AA151" s="3464"/>
      <c r="AB151" s="3464"/>
      <c r="AC151" s="3464"/>
      <c r="AD151" s="3464"/>
      <c r="AE151" s="3464"/>
      <c r="AF151" s="3464"/>
      <c r="AG151" s="3464"/>
      <c r="AH151" s="3464"/>
      <c r="AI151" s="3464"/>
      <c r="AJ151" s="3464"/>
    </row>
    <row r="152" spans="1:36">
      <c r="A152" s="3464"/>
      <c r="B152" s="3464"/>
      <c r="C152" s="3464"/>
      <c r="D152" s="3464"/>
      <c r="E152" s="3464"/>
      <c r="F152" s="3464"/>
      <c r="G152" s="3464"/>
      <c r="H152" s="3464"/>
      <c r="I152" s="3464"/>
      <c r="J152" s="3464"/>
      <c r="K152" s="3464"/>
      <c r="L152" s="3464"/>
      <c r="M152" s="3464"/>
      <c r="N152" s="3464"/>
      <c r="O152" s="3464"/>
      <c r="P152" s="3464"/>
      <c r="Q152" s="3464"/>
      <c r="R152" s="3464"/>
      <c r="S152" s="3464"/>
      <c r="T152" s="3464"/>
      <c r="U152" s="3464"/>
      <c r="V152" s="3464"/>
      <c r="W152" s="3464"/>
      <c r="X152" s="3464"/>
      <c r="Y152" s="3464"/>
      <c r="Z152" s="3464"/>
      <c r="AA152" s="3464"/>
      <c r="AB152" s="3464"/>
      <c r="AC152" s="3464"/>
      <c r="AD152" s="3464"/>
      <c r="AE152" s="3464"/>
      <c r="AF152" s="3464"/>
      <c r="AG152" s="3464"/>
      <c r="AH152" s="3464"/>
      <c r="AI152" s="3464"/>
      <c r="AJ152" s="3464"/>
    </row>
    <row r="153" spans="1:36">
      <c r="A153" s="3464"/>
      <c r="B153" s="3464"/>
      <c r="C153" s="3464"/>
      <c r="D153" s="3464"/>
      <c r="E153" s="3464"/>
      <c r="F153" s="3464"/>
      <c r="G153" s="3464"/>
      <c r="H153" s="3464"/>
      <c r="I153" s="3464"/>
      <c r="J153" s="3464"/>
      <c r="K153" s="3464"/>
      <c r="L153" s="3464"/>
      <c r="M153" s="3464"/>
      <c r="N153" s="3464"/>
      <c r="O153" s="3464"/>
      <c r="P153" s="3464"/>
      <c r="Q153" s="3464"/>
      <c r="R153" s="3464"/>
      <c r="S153" s="3464"/>
      <c r="T153" s="3464"/>
      <c r="U153" s="3464"/>
      <c r="V153" s="3464"/>
      <c r="W153" s="3464"/>
      <c r="X153" s="3464"/>
      <c r="Y153" s="3464"/>
      <c r="Z153" s="3464"/>
      <c r="AA153" s="3464"/>
      <c r="AB153" s="3464"/>
      <c r="AC153" s="3464"/>
      <c r="AD153" s="3464"/>
      <c r="AE153" s="3464"/>
      <c r="AF153" s="3464"/>
      <c r="AG153" s="3464"/>
      <c r="AH153" s="3464"/>
      <c r="AI153" s="3464"/>
      <c r="AJ153" s="3464"/>
    </row>
    <row r="154" spans="1:36">
      <c r="A154" s="3464"/>
      <c r="B154" s="3464"/>
      <c r="C154" s="3464"/>
      <c r="D154" s="3464"/>
      <c r="E154" s="3464"/>
      <c r="F154" s="3464"/>
      <c r="G154" s="3464"/>
      <c r="H154" s="3464"/>
      <c r="I154" s="3464"/>
      <c r="J154" s="3464"/>
      <c r="K154" s="3464"/>
      <c r="L154" s="3464"/>
      <c r="M154" s="3464"/>
      <c r="N154" s="3464"/>
      <c r="O154" s="3464"/>
      <c r="P154" s="3464"/>
      <c r="Q154" s="3464"/>
      <c r="R154" s="3464"/>
      <c r="S154" s="3464"/>
      <c r="T154" s="3464"/>
      <c r="U154" s="3464"/>
      <c r="V154" s="3464"/>
      <c r="W154" s="3464"/>
      <c r="X154" s="3464"/>
      <c r="Y154" s="3464"/>
      <c r="Z154" s="3464"/>
      <c r="AA154" s="3464"/>
      <c r="AB154" s="3464"/>
      <c r="AC154" s="3464"/>
      <c r="AD154" s="3464"/>
      <c r="AE154" s="3464"/>
      <c r="AF154" s="3464"/>
      <c r="AG154" s="3464"/>
      <c r="AH154" s="3464"/>
      <c r="AI154" s="3464"/>
      <c r="AJ154" s="3464"/>
    </row>
    <row r="155" spans="1:36">
      <c r="A155" s="3464"/>
      <c r="B155" s="3464"/>
      <c r="C155" s="3464"/>
      <c r="D155" s="3464"/>
      <c r="E155" s="3464"/>
      <c r="F155" s="3464"/>
      <c r="G155" s="3464"/>
      <c r="H155" s="3464"/>
      <c r="I155" s="3464"/>
      <c r="J155" s="3464"/>
      <c r="K155" s="3464"/>
      <c r="L155" s="3464"/>
      <c r="M155" s="3464"/>
      <c r="N155" s="3464"/>
      <c r="O155" s="3464"/>
      <c r="P155" s="3464"/>
      <c r="Q155" s="3464"/>
      <c r="R155" s="3464"/>
      <c r="S155" s="3464"/>
      <c r="T155" s="3464"/>
      <c r="U155" s="3464"/>
      <c r="V155" s="3464"/>
      <c r="W155" s="3464"/>
      <c r="X155" s="3464"/>
      <c r="Y155" s="3464"/>
      <c r="Z155" s="3464"/>
      <c r="AA155" s="3464"/>
      <c r="AB155" s="3464"/>
      <c r="AC155" s="3464"/>
      <c r="AD155" s="3464"/>
      <c r="AE155" s="3464"/>
      <c r="AF155" s="3464"/>
      <c r="AG155" s="3464"/>
      <c r="AH155" s="3464"/>
      <c r="AI155" s="3464"/>
      <c r="AJ155" s="3464"/>
    </row>
    <row r="156" spans="1:36">
      <c r="A156" s="3464"/>
      <c r="B156" s="3464"/>
      <c r="C156" s="3464"/>
      <c r="D156" s="3464"/>
      <c r="E156" s="3464"/>
      <c r="F156" s="3464"/>
      <c r="G156" s="3464"/>
      <c r="H156" s="3464"/>
      <c r="I156" s="3464"/>
      <c r="J156" s="3464"/>
      <c r="K156" s="3464"/>
      <c r="L156" s="3464"/>
      <c r="M156" s="3464"/>
      <c r="N156" s="3464"/>
      <c r="O156" s="3464"/>
      <c r="P156" s="3464"/>
      <c r="Q156" s="3464"/>
      <c r="R156" s="3464"/>
      <c r="S156" s="3464"/>
      <c r="T156" s="3464"/>
      <c r="U156" s="3464"/>
      <c r="V156" s="3464"/>
      <c r="W156" s="3464"/>
      <c r="X156" s="3464"/>
      <c r="Y156" s="3464"/>
      <c r="Z156" s="3464"/>
      <c r="AA156" s="3464"/>
      <c r="AB156" s="3464"/>
      <c r="AC156" s="3464"/>
      <c r="AD156" s="3464"/>
      <c r="AE156" s="3464"/>
      <c r="AF156" s="3464"/>
      <c r="AG156" s="3464"/>
      <c r="AH156" s="3464"/>
      <c r="AI156" s="3464"/>
      <c r="AJ156" s="3464"/>
    </row>
    <row r="157" spans="1:36">
      <c r="A157" s="3464"/>
      <c r="B157" s="3464"/>
      <c r="C157" s="3464"/>
      <c r="D157" s="3464"/>
      <c r="E157" s="3464"/>
      <c r="F157" s="3464"/>
      <c r="G157" s="3464"/>
      <c r="H157" s="3464"/>
      <c r="I157" s="3464"/>
      <c r="X157" s="3464"/>
      <c r="Y157" s="3464"/>
      <c r="Z157" s="3464"/>
      <c r="AA157" s="3464"/>
      <c r="AB157" s="3464"/>
      <c r="AC157" s="3464"/>
      <c r="AD157" s="3464"/>
      <c r="AE157" s="3464"/>
      <c r="AF157" s="3464"/>
      <c r="AG157" s="3464"/>
      <c r="AH157" s="3464"/>
      <c r="AI157" s="3464"/>
      <c r="AJ157" s="3464"/>
    </row>
  </sheetData>
  <mergeCells count="36">
    <mergeCell ref="A73:A74"/>
    <mergeCell ref="A84:A85"/>
    <mergeCell ref="A86:A87"/>
    <mergeCell ref="A55:A56"/>
    <mergeCell ref="A62:H62"/>
    <mergeCell ref="A64:A65"/>
    <mergeCell ref="A66:A68"/>
    <mergeCell ref="A69:H69"/>
    <mergeCell ref="A71:A72"/>
    <mergeCell ref="A54:H54"/>
    <mergeCell ref="A31:H31"/>
    <mergeCell ref="A33:A34"/>
    <mergeCell ref="A35:A36"/>
    <mergeCell ref="Y35:AI35"/>
    <mergeCell ref="A37:A38"/>
    <mergeCell ref="A39:A41"/>
    <mergeCell ref="A42:A43"/>
    <mergeCell ref="A44:A45"/>
    <mergeCell ref="A46:A48"/>
    <mergeCell ref="A49:H49"/>
    <mergeCell ref="A50:A51"/>
    <mergeCell ref="A13:A14"/>
    <mergeCell ref="B13:B14"/>
    <mergeCell ref="C13:H13"/>
    <mergeCell ref="A29:A30"/>
    <mergeCell ref="B29:B30"/>
    <mergeCell ref="C29:H29"/>
    <mergeCell ref="Y2:AI2"/>
    <mergeCell ref="K3:K4"/>
    <mergeCell ref="L3:Q3"/>
    <mergeCell ref="R3:W3"/>
    <mergeCell ref="A2:A3"/>
    <mergeCell ref="B2:B3"/>
    <mergeCell ref="C2:H2"/>
    <mergeCell ref="J2:J4"/>
    <mergeCell ref="K2:W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V61"/>
  <sheetViews>
    <sheetView zoomScaleNormal="100" workbookViewId="0">
      <selection activeCell="AK32" sqref="AK32:AP32"/>
    </sheetView>
  </sheetViews>
  <sheetFormatPr defaultColWidth="9.140625" defaultRowHeight="12.75"/>
  <cols>
    <col min="1" max="1" width="32" style="11" customWidth="1"/>
    <col min="2" max="2" width="4.85546875" style="4647" customWidth="1"/>
    <col min="3" max="10" width="5" style="11" customWidth="1"/>
    <col min="11" max="11" width="5" style="3619" customWidth="1"/>
    <col min="12" max="14" width="5" style="11" customWidth="1"/>
    <col min="15" max="15" width="6.85546875" style="11" customWidth="1"/>
    <col min="16" max="16" width="6.42578125" style="11" customWidth="1"/>
    <col min="17" max="17" width="4.5703125" style="11" customWidth="1"/>
    <col min="18" max="18" width="26.5703125" style="11" customWidth="1"/>
    <col min="19" max="24" width="6.5703125" style="11" customWidth="1"/>
    <col min="25" max="26" width="7" style="11" customWidth="1"/>
    <col min="27" max="27" width="4.42578125" style="11" customWidth="1"/>
    <col min="28" max="28" width="39.7109375" style="4625" customWidth="1"/>
    <col min="29" max="35" width="9.140625" style="4588"/>
    <col min="36" max="36" width="5.28515625" style="11" customWidth="1"/>
    <col min="37" max="37" width="39.7109375" style="4625" customWidth="1"/>
    <col min="38" max="43" width="9.140625" style="11"/>
    <col min="44" max="44" width="10" style="11" bestFit="1" customWidth="1"/>
    <col min="45" max="16384" width="9.140625" style="11"/>
  </cols>
  <sheetData>
    <row r="1" spans="1:42" ht="15.75">
      <c r="A1" s="3669" t="s">
        <v>877</v>
      </c>
      <c r="B1" s="4626"/>
      <c r="C1" s="3524"/>
      <c r="D1" s="3524"/>
      <c r="E1" s="3524"/>
      <c r="F1" s="3524"/>
      <c r="G1" s="3524"/>
      <c r="H1" s="3524"/>
      <c r="I1" s="3524"/>
      <c r="J1" s="3524"/>
      <c r="K1" s="3728"/>
      <c r="L1" s="3524"/>
      <c r="M1" s="3524"/>
      <c r="N1" s="3524"/>
      <c r="O1" s="3524"/>
      <c r="P1" s="3524"/>
      <c r="Q1" s="3524"/>
      <c r="R1" s="3669" t="s">
        <v>1403</v>
      </c>
      <c r="S1" s="3524"/>
      <c r="T1" s="3524"/>
      <c r="U1" s="3524"/>
      <c r="V1" s="3524"/>
      <c r="W1" s="3524"/>
      <c r="X1" s="3524"/>
      <c r="Y1" s="3524"/>
      <c r="Z1" s="3524"/>
      <c r="AA1" s="3524"/>
      <c r="AB1" s="3729" t="s">
        <v>1699</v>
      </c>
      <c r="AC1" s="4524"/>
      <c r="AD1" s="4524"/>
      <c r="AE1" s="4524"/>
      <c r="AF1" s="4524"/>
      <c r="AG1" s="4524"/>
      <c r="AH1" s="4524"/>
      <c r="AI1" s="4524"/>
      <c r="AJ1" s="3524"/>
      <c r="AK1" s="3729" t="s">
        <v>1700</v>
      </c>
      <c r="AL1" s="4524"/>
      <c r="AM1" s="4524"/>
      <c r="AN1" s="4524"/>
      <c r="AO1" s="4524"/>
      <c r="AP1" s="4524"/>
    </row>
    <row r="2" spans="1:42" ht="12.6" customHeight="1">
      <c r="A2" s="5647" t="s">
        <v>2</v>
      </c>
      <c r="B2" s="5656" t="s">
        <v>1537</v>
      </c>
      <c r="C2" s="5658" t="s">
        <v>207</v>
      </c>
      <c r="D2" s="5659"/>
      <c r="E2" s="5659"/>
      <c r="F2" s="5659"/>
      <c r="G2" s="5659"/>
      <c r="H2" s="5660"/>
      <c r="I2" s="5658" t="s">
        <v>208</v>
      </c>
      <c r="J2" s="5659"/>
      <c r="K2" s="5659"/>
      <c r="L2" s="5659"/>
      <c r="M2" s="5659"/>
      <c r="N2" s="5660"/>
      <c r="O2" s="5647" t="str">
        <f>CONCATENATE("Изменение ", H3,"спрямо ",D3)</f>
        <v>Изменение 2031 г.спрямо 2027 г.</v>
      </c>
      <c r="P2" s="5647" t="str">
        <f>CONCATENATE("Изменение ", N3,"спрямо ",J3)</f>
        <v>Изменение 2031 г.спрямо 2027 г.</v>
      </c>
      <c r="Q2" s="3524"/>
      <c r="R2" s="5647" t="s">
        <v>1726</v>
      </c>
      <c r="S2" s="5664" t="s">
        <v>1562</v>
      </c>
      <c r="T2" s="5664"/>
      <c r="U2" s="5664"/>
      <c r="V2" s="5664"/>
      <c r="W2" s="5664"/>
      <c r="X2" s="5664"/>
      <c r="Y2" s="5647" t="str">
        <f>CONCATENATE("Изменение ", T3,"спрямо ",S3)</f>
        <v>Изменение 2027 г.спрямо 2024 г.</v>
      </c>
      <c r="Z2" s="5647" t="str">
        <f>CONCATENATE("Изменение ", X3,"спрямо ",T3)</f>
        <v>Изменение 2031 г.спрямо 2027 г.</v>
      </c>
      <c r="AA2" s="3524"/>
      <c r="AB2" s="5646" t="s">
        <v>1704</v>
      </c>
      <c r="AC2" s="5646" t="s">
        <v>210</v>
      </c>
      <c r="AD2" s="5646"/>
      <c r="AE2" s="5646"/>
      <c r="AF2" s="5646"/>
      <c r="AG2" s="5646"/>
      <c r="AH2" s="3524"/>
      <c r="AI2" s="3524"/>
      <c r="AJ2" s="3524"/>
      <c r="AK2" s="5646" t="s">
        <v>1697</v>
      </c>
      <c r="AL2" s="5647" t="str">
        <f>+'15. ОПП'!$C$7</f>
        <v>2027 г.</v>
      </c>
      <c r="AM2" s="5647" t="str">
        <f>+'15. ОПП'!$D$7</f>
        <v>2028 г.</v>
      </c>
      <c r="AN2" s="5647" t="str">
        <f>+'15. ОПП'!$E$7</f>
        <v>2029 г.</v>
      </c>
      <c r="AO2" s="5647" t="str">
        <f>+'15. ОПП'!$F$7</f>
        <v>2030 г.</v>
      </c>
      <c r="AP2" s="5647" t="str">
        <f>+'15. ОПП'!$G$7</f>
        <v>2031 г.</v>
      </c>
    </row>
    <row r="3" spans="1:42" ht="27.75" customHeight="1">
      <c r="A3" s="5648"/>
      <c r="B3" s="5657"/>
      <c r="C3" s="4627" t="str">
        <f>+'15. ОПП'!$B$7</f>
        <v>2024 г.</v>
      </c>
      <c r="D3" s="4627" t="str">
        <f>+'15. ОПП'!$C$7</f>
        <v>2027 г.</v>
      </c>
      <c r="E3" s="4627" t="str">
        <f>+'15. ОПП'!$D$7</f>
        <v>2028 г.</v>
      </c>
      <c r="F3" s="4627" t="str">
        <f>+'15. ОПП'!$E$7</f>
        <v>2029 г.</v>
      </c>
      <c r="G3" s="4627" t="str">
        <f>+'15. ОПП'!$F$7</f>
        <v>2030 г.</v>
      </c>
      <c r="H3" s="4627" t="str">
        <f>+'15. ОПП'!$G$7</f>
        <v>2031 г.</v>
      </c>
      <c r="I3" s="4627" t="str">
        <f>+'15. ОПП'!$B$7</f>
        <v>2024 г.</v>
      </c>
      <c r="J3" s="4627" t="str">
        <f>+'15. ОПП'!$C$7</f>
        <v>2027 г.</v>
      </c>
      <c r="K3" s="4627" t="str">
        <f>+'15. ОПП'!$D$7</f>
        <v>2028 г.</v>
      </c>
      <c r="L3" s="4627" t="str">
        <f>+'15. ОПП'!$E$7</f>
        <v>2029 г.</v>
      </c>
      <c r="M3" s="4627" t="str">
        <f>+'15. ОПП'!$F$7</f>
        <v>2030 г.</v>
      </c>
      <c r="N3" s="4627" t="str">
        <f>+'15. ОПП'!$G$7</f>
        <v>2031 г.</v>
      </c>
      <c r="O3" s="5648"/>
      <c r="P3" s="5648"/>
      <c r="Q3" s="3524"/>
      <c r="R3" s="5648"/>
      <c r="S3" s="4528" t="str">
        <f>+'15. ОПП'!$B$7</f>
        <v>2024 г.</v>
      </c>
      <c r="T3" s="4528" t="str">
        <f>+'15. ОПП'!$C$7</f>
        <v>2027 г.</v>
      </c>
      <c r="U3" s="4528" t="str">
        <f>+'15. ОПП'!$D$7</f>
        <v>2028 г.</v>
      </c>
      <c r="V3" s="4528" t="str">
        <f>+'15. ОПП'!$E$7</f>
        <v>2029 г.</v>
      </c>
      <c r="W3" s="4528" t="str">
        <f>+'15. ОПП'!$F$7</f>
        <v>2030 г.</v>
      </c>
      <c r="X3" s="4528" t="str">
        <f>+'15. ОПП'!$G$7</f>
        <v>2031 г.</v>
      </c>
      <c r="Y3" s="5648"/>
      <c r="Z3" s="5648"/>
      <c r="AA3" s="3524"/>
      <c r="AB3" s="5646"/>
      <c r="AC3" s="4528" t="str">
        <f>+'15. ОПП'!$C$7</f>
        <v>2027 г.</v>
      </c>
      <c r="AD3" s="4528" t="str">
        <f>+'15. ОПП'!$D$7</f>
        <v>2028 г.</v>
      </c>
      <c r="AE3" s="4528" t="str">
        <f>+'15. ОПП'!$E$7</f>
        <v>2029 г.</v>
      </c>
      <c r="AF3" s="4528" t="str">
        <f>+'15. ОПП'!$F$7</f>
        <v>2030 г.</v>
      </c>
      <c r="AG3" s="4528" t="str">
        <f>+'15. ОПП'!$G$7</f>
        <v>2031 г.</v>
      </c>
      <c r="AH3" s="3524"/>
      <c r="AI3" s="3524"/>
      <c r="AJ3" s="3524"/>
      <c r="AK3" s="5646"/>
      <c r="AL3" s="5648" t="str">
        <f>+'15. ОПП'!$C$7</f>
        <v>2027 г.</v>
      </c>
      <c r="AM3" s="5648" t="str">
        <f>+'15. ОПП'!$D$7</f>
        <v>2028 г.</v>
      </c>
      <c r="AN3" s="5648" t="str">
        <f>+'15. ОПП'!$E$7</f>
        <v>2029 г.</v>
      </c>
      <c r="AO3" s="5648" t="str">
        <f>+'15. ОПП'!$F$7</f>
        <v>2030 г.</v>
      </c>
      <c r="AP3" s="5648" t="str">
        <f>+'15. ОПП'!$G$7</f>
        <v>2031 г.</v>
      </c>
    </row>
    <row r="4" spans="1:42" ht="15.95" customHeight="1">
      <c r="A4" s="3620" t="s">
        <v>1542</v>
      </c>
      <c r="B4" s="3730" t="s">
        <v>676</v>
      </c>
      <c r="C4" s="3731">
        <f>'5. Персонал'!C11</f>
        <v>331</v>
      </c>
      <c r="D4" s="3731">
        <f>'5. Персонал'!D11</f>
        <v>329</v>
      </c>
      <c r="E4" s="3731">
        <f>'5. Персонал'!E11</f>
        <v>321</v>
      </c>
      <c r="F4" s="3731">
        <f>'5. Персонал'!F11</f>
        <v>316</v>
      </c>
      <c r="G4" s="3731">
        <f>'5. Персонал'!G11</f>
        <v>309</v>
      </c>
      <c r="H4" s="3731">
        <f>'5. Персонал'!H11</f>
        <v>302</v>
      </c>
      <c r="I4" s="3731">
        <f>'5. Персонал'!I11</f>
        <v>45</v>
      </c>
      <c r="J4" s="3731">
        <f>'5. Персонал'!J11</f>
        <v>39</v>
      </c>
      <c r="K4" s="3731">
        <f>'5. Персонал'!K11</f>
        <v>39</v>
      </c>
      <c r="L4" s="3731">
        <f>'5. Персонал'!L11</f>
        <v>39</v>
      </c>
      <c r="M4" s="3731">
        <f>'5. Персонал'!M11</f>
        <v>38</v>
      </c>
      <c r="N4" s="3731">
        <f>'5. Персонал'!N11</f>
        <v>38</v>
      </c>
      <c r="O4" s="4523">
        <f>IFERROR((H4-D4)/D4,0)</f>
        <v>-8.2066869300911852E-2</v>
      </c>
      <c r="P4" s="4523">
        <f>IFERROR((N4-J4)/J4,0)</f>
        <v>-2.564102564102564E-2</v>
      </c>
      <c r="Q4" s="3524"/>
      <c r="R4" s="4542" t="s">
        <v>207</v>
      </c>
      <c r="S4" s="3779">
        <f>'8. Ремонтна програма'!D24</f>
        <v>3120</v>
      </c>
      <c r="T4" s="3779">
        <f>'8. Ремонтна програма'!E24</f>
        <v>3112</v>
      </c>
      <c r="U4" s="3779">
        <f>'8. Ремонтна програма'!F24</f>
        <v>3102</v>
      </c>
      <c r="V4" s="3779">
        <f>'8. Ремонтна програма'!G24</f>
        <v>3085</v>
      </c>
      <c r="W4" s="3779">
        <f>'8. Ремонтна програма'!H24</f>
        <v>3072</v>
      </c>
      <c r="X4" s="3779">
        <f>'8. Ремонтна програма'!I24</f>
        <v>3055</v>
      </c>
      <c r="Y4" s="4628">
        <f>IFERROR((T4-S4)/S4,0)</f>
        <v>-2.5641025641025641E-3</v>
      </c>
      <c r="Z4" s="4535">
        <f>IFERROR((X4-T4)/T4,0)</f>
        <v>-1.8316195372750643E-2</v>
      </c>
      <c r="AA4" s="3524"/>
      <c r="AB4" s="3732" t="s">
        <v>1706</v>
      </c>
      <c r="AC4" s="3733">
        <f>'4. Отчет и прогн. потребление'!E20/1000</f>
        <v>11354.942999999999</v>
      </c>
      <c r="AD4" s="3733">
        <f>'4. Отчет и прогн. потребление'!F20/1000</f>
        <v>11050.08402008124</v>
      </c>
      <c r="AE4" s="3733">
        <f>'4. Отчет и прогн. потребление'!G20/1000</f>
        <v>10686.707423367359</v>
      </c>
      <c r="AF4" s="3733">
        <f>'4. Отчет и прогн. потребление'!H20/1000</f>
        <v>10364.373287091164</v>
      </c>
      <c r="AG4" s="3733">
        <f>'4. Отчет и прогн. потребление'!I20/1000</f>
        <v>10025.137521163668</v>
      </c>
      <c r="AH4" s="3524"/>
      <c r="AI4" s="3524"/>
      <c r="AJ4" s="3524"/>
      <c r="AK4" s="5651" t="s">
        <v>207</v>
      </c>
      <c r="AL4" s="5652"/>
      <c r="AM4" s="5652"/>
      <c r="AN4" s="5652"/>
      <c r="AO4" s="5652"/>
      <c r="AP4" s="5653"/>
    </row>
    <row r="5" spans="1:42" ht="14.1" customHeight="1">
      <c r="A5" s="3617" t="s">
        <v>1535</v>
      </c>
      <c r="B5" s="3734" t="s">
        <v>1540</v>
      </c>
      <c r="C5" s="3735">
        <f>'5. Персонал'!C14</f>
        <v>331</v>
      </c>
      <c r="D5" s="3735">
        <f>'5. Персонал'!D14</f>
        <v>329</v>
      </c>
      <c r="E5" s="3735">
        <f>'5. Персонал'!E14</f>
        <v>321</v>
      </c>
      <c r="F5" s="3735">
        <f>'5. Персонал'!F14</f>
        <v>316</v>
      </c>
      <c r="G5" s="3735">
        <f>'5. Персонал'!G14</f>
        <v>309</v>
      </c>
      <c r="H5" s="3735">
        <f>'5. Персонал'!H14</f>
        <v>302</v>
      </c>
      <c r="I5" s="3735">
        <f>'5. Персонал'!I14</f>
        <v>45</v>
      </c>
      <c r="J5" s="3735">
        <f>'5. Персонал'!J14</f>
        <v>39</v>
      </c>
      <c r="K5" s="3735">
        <f>'5. Персонал'!K14</f>
        <v>39</v>
      </c>
      <c r="L5" s="3735">
        <f>'5. Персонал'!L14</f>
        <v>39</v>
      </c>
      <c r="M5" s="3735">
        <f>'5. Персонал'!M14</f>
        <v>38</v>
      </c>
      <c r="N5" s="3735">
        <f>'5. Персонал'!N14</f>
        <v>38</v>
      </c>
      <c r="O5" s="4523">
        <f t="shared" ref="O5:O12" si="0">IFERROR((H5-D5)/D5,0)</f>
        <v>-8.2066869300911852E-2</v>
      </c>
      <c r="P5" s="4523">
        <f t="shared" ref="P5:P12" si="1">IFERROR((N5-J5)/J5,0)</f>
        <v>-2.564102564102564E-2</v>
      </c>
      <c r="Q5" s="3524"/>
      <c r="R5" s="4542" t="s">
        <v>174</v>
      </c>
      <c r="S5" s="3779">
        <f>'8. Ремонтна програма'!D53</f>
        <v>477</v>
      </c>
      <c r="T5" s="3779">
        <f>'8. Ремонтна програма'!E53</f>
        <v>476</v>
      </c>
      <c r="U5" s="3779">
        <f>'8. Ремонтна програма'!F53</f>
        <v>476</v>
      </c>
      <c r="V5" s="3779">
        <f>'8. Ремонтна програма'!G53</f>
        <v>474</v>
      </c>
      <c r="W5" s="3779">
        <f>'8. Ремонтна програма'!H53</f>
        <v>474</v>
      </c>
      <c r="X5" s="3779">
        <f>'8. Ремонтна програма'!I53</f>
        <v>471</v>
      </c>
      <c r="Y5" s="4628">
        <f t="shared" ref="Y5:Y7" si="2">IFERROR((T5-S5)/S5,0)</f>
        <v>-2.0964360587002098E-3</v>
      </c>
      <c r="Z5" s="4535">
        <f t="shared" ref="Z5:Z7" si="3">IFERROR((X5-T5)/T5,0)</f>
        <v>-1.050420168067227E-2</v>
      </c>
      <c r="AA5" s="3524"/>
      <c r="AB5" s="5646" t="s">
        <v>1704</v>
      </c>
      <c r="AC5" s="5646" t="s">
        <v>174</v>
      </c>
      <c r="AD5" s="5646"/>
      <c r="AE5" s="5646"/>
      <c r="AF5" s="5646"/>
      <c r="AG5" s="5646"/>
      <c r="AH5" s="3524"/>
      <c r="AI5" s="3524"/>
      <c r="AJ5" s="3524"/>
      <c r="AK5" s="1488" t="s">
        <v>608</v>
      </c>
      <c r="AL5" s="3736">
        <f>'20.Цени '!D10</f>
        <v>1.9510000000000001</v>
      </c>
      <c r="AM5" s="3736">
        <f>'20.Цени '!E10</f>
        <v>2.12</v>
      </c>
      <c r="AN5" s="3736">
        <f>'20.Цени '!F10</f>
        <v>2.395</v>
      </c>
      <c r="AO5" s="3736">
        <f>'20.Цени '!G10</f>
        <v>2.6869999999999998</v>
      </c>
      <c r="AP5" s="3736">
        <f>'20.Цени '!H10</f>
        <v>3.0550000000000002</v>
      </c>
    </row>
    <row r="6" spans="1:42" ht="17.25" customHeight="1">
      <c r="A6" s="3623" t="s">
        <v>1545</v>
      </c>
      <c r="B6" s="3737" t="s">
        <v>170</v>
      </c>
      <c r="C6" s="3738"/>
      <c r="D6" s="3739">
        <f>IFERROR((D5-C5)/C5,0)</f>
        <v>-6.0422960725075529E-3</v>
      </c>
      <c r="E6" s="3739">
        <f t="shared" ref="E6:H6" si="4">IFERROR((E5-D5)/D5,0)</f>
        <v>-2.4316109422492401E-2</v>
      </c>
      <c r="F6" s="3739">
        <f t="shared" si="4"/>
        <v>-1.5576323987538941E-2</v>
      </c>
      <c r="G6" s="3739">
        <f t="shared" si="4"/>
        <v>-2.2151898734177215E-2</v>
      </c>
      <c r="H6" s="3739">
        <f t="shared" si="4"/>
        <v>-2.2653721682847898E-2</v>
      </c>
      <c r="I6" s="3738"/>
      <c r="J6" s="3740">
        <f>IFERROR((J5-I5)/I5,0)</f>
        <v>-0.13333333333333333</v>
      </c>
      <c r="K6" s="3740">
        <f t="shared" ref="K6" si="5">IFERROR((K5-J5)/J5,0)</f>
        <v>0</v>
      </c>
      <c r="L6" s="3740">
        <f t="shared" ref="L6" si="6">IFERROR((L5-K5)/K5,0)</f>
        <v>0</v>
      </c>
      <c r="M6" s="3740">
        <f t="shared" ref="M6" si="7">IFERROR((M5-L5)/L5,0)</f>
        <v>-2.564102564102564E-2</v>
      </c>
      <c r="N6" s="3740">
        <f t="shared" ref="N6" si="8">IFERROR((N5-M5)/M5,0)</f>
        <v>0</v>
      </c>
      <c r="O6" s="4523">
        <f t="shared" si="0"/>
        <v>2.7491909385113273</v>
      </c>
      <c r="P6" s="4523">
        <f t="shared" si="1"/>
        <v>-1</v>
      </c>
      <c r="Q6" s="3524"/>
      <c r="R6" s="4542" t="s">
        <v>184</v>
      </c>
      <c r="S6" s="3779">
        <f>'8. Ремонтна програма'!D79</f>
        <v>15</v>
      </c>
      <c r="T6" s="3779">
        <f>'8. Ремонтна програма'!E79</f>
        <v>15</v>
      </c>
      <c r="U6" s="3779">
        <f>'8. Ремонтна програма'!F79</f>
        <v>15</v>
      </c>
      <c r="V6" s="3779">
        <f>'8. Ремонтна програма'!G79</f>
        <v>15</v>
      </c>
      <c r="W6" s="3779">
        <f>'8. Ремонтна програма'!H79</f>
        <v>15</v>
      </c>
      <c r="X6" s="3779">
        <f>'8. Ремонтна програма'!I79</f>
        <v>15</v>
      </c>
      <c r="Y6" s="4628">
        <f t="shared" si="2"/>
        <v>0</v>
      </c>
      <c r="Z6" s="4535">
        <f t="shared" si="3"/>
        <v>0</v>
      </c>
      <c r="AA6" s="3524"/>
      <c r="AB6" s="5646"/>
      <c r="AC6" s="4528" t="str">
        <f>+'15. ОПП'!$C$7</f>
        <v>2027 г.</v>
      </c>
      <c r="AD6" s="4528" t="str">
        <f>+'15. ОПП'!$D$7</f>
        <v>2028 г.</v>
      </c>
      <c r="AE6" s="4528" t="str">
        <f>+'15. ОПП'!$E$7</f>
        <v>2029 г.</v>
      </c>
      <c r="AF6" s="4528" t="str">
        <f>+'15. ОПП'!$F$7</f>
        <v>2030 г.</v>
      </c>
      <c r="AG6" s="4528" t="str">
        <f>+'15. ОПП'!$G$7</f>
        <v>2031 г.</v>
      </c>
      <c r="AH6" s="3524"/>
      <c r="AI6" s="3524"/>
      <c r="AJ6" s="3524"/>
      <c r="AK6" s="5651" t="s">
        <v>174</v>
      </c>
      <c r="AL6" s="5652"/>
      <c r="AM6" s="5652"/>
      <c r="AN6" s="5652"/>
      <c r="AO6" s="5652"/>
      <c r="AP6" s="5653"/>
    </row>
    <row r="7" spans="1:42" ht="15" customHeight="1">
      <c r="A7" s="3623" t="s">
        <v>1544</v>
      </c>
      <c r="B7" s="3737" t="s">
        <v>170</v>
      </c>
      <c r="C7" s="3738"/>
      <c r="D7" s="3739">
        <f>IFERROR((D5-$C$5)/$C$5,0)</f>
        <v>-6.0422960725075529E-3</v>
      </c>
      <c r="E7" s="3739">
        <f t="shared" ref="E7:H7" si="9">IFERROR((E5-$C$5)/$C$5,0)</f>
        <v>-3.0211480362537766E-2</v>
      </c>
      <c r="F7" s="3739">
        <f t="shared" si="9"/>
        <v>-4.5317220543806644E-2</v>
      </c>
      <c r="G7" s="3739">
        <f t="shared" si="9"/>
        <v>-6.6465256797583083E-2</v>
      </c>
      <c r="H7" s="3739">
        <f t="shared" si="9"/>
        <v>-8.7613293051359523E-2</v>
      </c>
      <c r="I7" s="3738"/>
      <c r="J7" s="3740">
        <f>IFERROR((J5-$I$5)/$I$5,0)</f>
        <v>-0.13333333333333333</v>
      </c>
      <c r="K7" s="3740">
        <f t="shared" ref="K7:N7" si="10">IFERROR((K5-$I$5)/$I$5,0)</f>
        <v>-0.13333333333333333</v>
      </c>
      <c r="L7" s="3739">
        <f t="shared" si="10"/>
        <v>-0.13333333333333333</v>
      </c>
      <c r="M7" s="3739">
        <f t="shared" si="10"/>
        <v>-0.15555555555555556</v>
      </c>
      <c r="N7" s="3739">
        <f t="shared" si="10"/>
        <v>-0.15555555555555556</v>
      </c>
      <c r="O7" s="4523">
        <f t="shared" si="0"/>
        <v>13.5</v>
      </c>
      <c r="P7" s="4523">
        <f t="shared" si="1"/>
        <v>0.16666666666666671</v>
      </c>
      <c r="Q7" s="3524"/>
      <c r="R7" s="3778" t="s">
        <v>1236</v>
      </c>
      <c r="S7" s="3779">
        <f>'8. Ремонтна програма'!D110</f>
        <v>0</v>
      </c>
      <c r="T7" s="3779">
        <f>'8. Ремонтна програма'!E110</f>
        <v>0</v>
      </c>
      <c r="U7" s="3779">
        <f>'8. Ремонтна програма'!F110</f>
        <v>0</v>
      </c>
      <c r="V7" s="3779">
        <f>'8. Ремонтна програма'!G110</f>
        <v>0</v>
      </c>
      <c r="W7" s="3779">
        <f>'8. Ремонтна програма'!H110</f>
        <v>0</v>
      </c>
      <c r="X7" s="3779">
        <f>'8. Ремонтна програма'!I110</f>
        <v>0</v>
      </c>
      <c r="Y7" s="4628">
        <f t="shared" si="2"/>
        <v>0</v>
      </c>
      <c r="Z7" s="4535">
        <f t="shared" si="3"/>
        <v>0</v>
      </c>
      <c r="AA7" s="3524"/>
      <c r="AB7" s="3741" t="s">
        <v>1694</v>
      </c>
      <c r="AC7" s="3742">
        <f>AC8+AC9</f>
        <v>9547.2949999999983</v>
      </c>
      <c r="AD7" s="3742">
        <f t="shared" ref="AD7:AG7" si="11">AD8+AD9</f>
        <v>9248.3776917719861</v>
      </c>
      <c r="AE7" s="3742">
        <f t="shared" si="11"/>
        <v>8958.8631215095666</v>
      </c>
      <c r="AF7" s="3742">
        <f t="shared" si="11"/>
        <v>8678.455362442337</v>
      </c>
      <c r="AG7" s="3742">
        <f t="shared" si="11"/>
        <v>8388.4837760139344</v>
      </c>
      <c r="AH7" s="3524"/>
      <c r="AI7" s="3524"/>
      <c r="AJ7" s="3524"/>
      <c r="AK7" s="1488" t="s">
        <v>608</v>
      </c>
      <c r="AL7" s="3736">
        <f>'20.Цени '!D12</f>
        <v>0.48099999999999998</v>
      </c>
      <c r="AM7" s="3736">
        <f>'20.Цени '!E12</f>
        <v>0.55200000000000005</v>
      </c>
      <c r="AN7" s="3736">
        <f>'20.Цени '!F12</f>
        <v>0.624</v>
      </c>
      <c r="AO7" s="3736">
        <f>'20.Цени '!G12</f>
        <v>0.71499999999999997</v>
      </c>
      <c r="AP7" s="3736">
        <f>'20.Цени '!H12</f>
        <v>0.82799999999999996</v>
      </c>
    </row>
    <row r="8" spans="1:42" ht="21" customHeight="1">
      <c r="A8" s="3618" t="s">
        <v>1536</v>
      </c>
      <c r="B8" s="3743" t="s">
        <v>1541</v>
      </c>
      <c r="C8" s="3744">
        <f>'5. Персонал'!C50</f>
        <v>20.876132930513595</v>
      </c>
      <c r="D8" s="3744">
        <f>'5. Персонал'!D50</f>
        <v>30.887537993920972</v>
      </c>
      <c r="E8" s="3744">
        <f>'5. Персонал'!E50</f>
        <v>35.738317757009348</v>
      </c>
      <c r="F8" s="3744">
        <f>'5. Персонал'!F50</f>
        <v>41.367088607594937</v>
      </c>
      <c r="G8" s="3744">
        <f>'5. Персонал'!G50</f>
        <v>47.446601941747574</v>
      </c>
      <c r="H8" s="3744">
        <f>'5. Персонал'!H50</f>
        <v>54.539735099337747</v>
      </c>
      <c r="I8" s="3744">
        <f>'5. Персонал'!I50</f>
        <v>37.977777777777774</v>
      </c>
      <c r="J8" s="3744">
        <f>'5. Персонал'!J50</f>
        <v>62.256410256410255</v>
      </c>
      <c r="K8" s="3744">
        <f>'5. Персонал'!K50</f>
        <v>71.794871794871796</v>
      </c>
      <c r="L8" s="3744">
        <f>'5. Персонал'!L50</f>
        <v>79.974358974358978</v>
      </c>
      <c r="M8" s="3744">
        <f>'5. Персонал'!M50</f>
        <v>93.736842105263165</v>
      </c>
      <c r="N8" s="3744">
        <f>'5. Персонал'!N50</f>
        <v>107.26315789473684</v>
      </c>
      <c r="O8" s="4523">
        <f t="shared" si="0"/>
        <v>0.76575210073628408</v>
      </c>
      <c r="P8" s="4523">
        <f t="shared" si="1"/>
        <v>0.72292551807855709</v>
      </c>
      <c r="Q8" s="3524"/>
      <c r="R8" s="5647" t="s">
        <v>1726</v>
      </c>
      <c r="S8" s="5661" t="s">
        <v>1561</v>
      </c>
      <c r="T8" s="5662"/>
      <c r="U8" s="5662"/>
      <c r="V8" s="5662"/>
      <c r="W8" s="5662"/>
      <c r="X8" s="5662"/>
      <c r="Y8" s="5647" t="str">
        <f>+Y2</f>
        <v>Изменение 2027 г.спрямо 2024 г.</v>
      </c>
      <c r="Z8" s="5647" t="str">
        <f>+Z2</f>
        <v>Изменение 2031 г.спрямо 2027 г.</v>
      </c>
      <c r="AA8" s="3524"/>
      <c r="AB8" s="3745" t="s">
        <v>299</v>
      </c>
      <c r="AC8" s="3742">
        <f>'4. Отчет и прогн. потребление'!E50/1000</f>
        <v>8846.8833333333314</v>
      </c>
      <c r="AD8" s="3742">
        <f>'4. Отчет и прогн. потребление'!F50/1000</f>
        <v>8557.8276917719868</v>
      </c>
      <c r="AE8" s="3742">
        <f>'4. Отчет и прогн. потребление'!G50/1000</f>
        <v>8278.1781215095671</v>
      </c>
      <c r="AF8" s="3742">
        <f>'4. Отчет и прогн. потребление'!H50/1000</f>
        <v>8007.6353624423364</v>
      </c>
      <c r="AG8" s="3742">
        <f>'4. Отчет и прогн. потребление'!I50/1000</f>
        <v>7727.5287760139336</v>
      </c>
      <c r="AH8" s="3524"/>
      <c r="AI8" s="3524"/>
      <c r="AJ8" s="3524"/>
      <c r="AK8" s="5651" t="s">
        <v>184</v>
      </c>
      <c r="AL8" s="5652"/>
      <c r="AM8" s="5652"/>
      <c r="AN8" s="5652"/>
      <c r="AO8" s="5652"/>
      <c r="AP8" s="5653"/>
    </row>
    <row r="9" spans="1:42" ht="12.6" customHeight="1">
      <c r="A9" s="3623" t="s">
        <v>1545</v>
      </c>
      <c r="B9" s="3737" t="s">
        <v>170</v>
      </c>
      <c r="C9" s="3738"/>
      <c r="D9" s="3739">
        <f>IFERROR((D8-C8)/C8,0)</f>
        <v>0.47956223965091777</v>
      </c>
      <c r="E9" s="3739">
        <f t="shared" ref="E9" si="12">IFERROR((E8-D8)/D8,0)</f>
        <v>0.15704650089117062</v>
      </c>
      <c r="F9" s="3739">
        <f t="shared" ref="F9" si="13">IFERROR((F8-E8)/E8,0)</f>
        <v>0.15749960277527666</v>
      </c>
      <c r="G9" s="3739">
        <f t="shared" ref="G9" si="14">IFERROR((G8-F8)/F8,0)</f>
        <v>0.14696497961996888</v>
      </c>
      <c r="H9" s="3739">
        <f t="shared" ref="H9" si="15">IFERROR((H8-G8)/G8,0)</f>
        <v>0.14949717929850376</v>
      </c>
      <c r="I9" s="3738"/>
      <c r="J9" s="3739">
        <f>IFERROR((J8-I8)/I8,0)</f>
        <v>0.63928523202952703</v>
      </c>
      <c r="K9" s="3739">
        <f t="shared" ref="K9" si="16">IFERROR((K8-J8)/J8,0)</f>
        <v>0.15321252059308074</v>
      </c>
      <c r="L9" s="3739">
        <f t="shared" ref="L9" si="17">IFERROR((L8-K8)/K8,0)</f>
        <v>0.11392857142857146</v>
      </c>
      <c r="M9" s="3739">
        <f t="shared" ref="M9" si="18">IFERROR((M8-L8)/L8,0)</f>
        <v>0.17208619496802285</v>
      </c>
      <c r="N9" s="3739">
        <f t="shared" ref="N9" si="19">IFERROR((N8-M8)/M8,0)</f>
        <v>0.14430095451993247</v>
      </c>
      <c r="O9" s="4523">
        <f t="shared" si="0"/>
        <v>-0.68826323897535069</v>
      </c>
      <c r="P9" s="4523">
        <f t="shared" si="1"/>
        <v>-0.77427766622760408</v>
      </c>
      <c r="Q9" s="3524"/>
      <c r="R9" s="5648"/>
      <c r="S9" s="4528" t="str">
        <f>+'15. ОПП'!$B$7</f>
        <v>2024 г.</v>
      </c>
      <c r="T9" s="4528" t="str">
        <f>+'15. ОПП'!$C$7</f>
        <v>2027 г.</v>
      </c>
      <c r="U9" s="4528" t="str">
        <f>+'15. ОПП'!$D$7</f>
        <v>2028 г.</v>
      </c>
      <c r="V9" s="4528" t="str">
        <f>+'15. ОПП'!$E$7</f>
        <v>2029 г.</v>
      </c>
      <c r="W9" s="4528" t="str">
        <f>+'15. ОПП'!$F$7</f>
        <v>2030 г.</v>
      </c>
      <c r="X9" s="4528" t="str">
        <f>+'15. ОПП'!$G$7</f>
        <v>2031 г.</v>
      </c>
      <c r="Y9" s="5648"/>
      <c r="Z9" s="5648"/>
      <c r="AA9" s="3524"/>
      <c r="AB9" s="3746" t="s">
        <v>300</v>
      </c>
      <c r="AC9" s="3742">
        <f>'4. Отчет и прогн. потребление'!E51/1000</f>
        <v>700.41166666666663</v>
      </c>
      <c r="AD9" s="3742">
        <f>'4. Отчет и прогн. потребление'!F51/1000</f>
        <v>690.55</v>
      </c>
      <c r="AE9" s="3742">
        <f>'4. Отчет и прогн. потребление'!G51/1000</f>
        <v>680.68499999999995</v>
      </c>
      <c r="AF9" s="3742">
        <f>'4. Отчет и прогн. потребление'!H51/1000</f>
        <v>670.82</v>
      </c>
      <c r="AG9" s="3742">
        <f>'4. Отчет и прогн. потребление'!I51/1000</f>
        <v>660.95500000000004</v>
      </c>
      <c r="AH9" s="3524"/>
      <c r="AI9" s="3524"/>
      <c r="AJ9" s="3524"/>
      <c r="AK9" s="1488" t="s">
        <v>608</v>
      </c>
      <c r="AL9" s="3736">
        <f>'20.Цени '!D14</f>
        <v>0.86899999999999999</v>
      </c>
      <c r="AM9" s="3736">
        <f>'20.Цени '!E14</f>
        <v>0.95799999999999996</v>
      </c>
      <c r="AN9" s="3736">
        <f>'20.Цени '!F14</f>
        <v>1.077</v>
      </c>
      <c r="AO9" s="3736">
        <f>'20.Цени '!G14</f>
        <v>1.2150000000000001</v>
      </c>
      <c r="AP9" s="3736">
        <f>'20.Цени '!H14</f>
        <v>1.804</v>
      </c>
    </row>
    <row r="10" spans="1:42">
      <c r="A10" s="3622" t="s">
        <v>1543</v>
      </c>
      <c r="B10" s="3737" t="s">
        <v>170</v>
      </c>
      <c r="C10" s="3738"/>
      <c r="D10" s="3739">
        <f>IFERROR((D8-$C$8)/$C$8,0)</f>
        <v>0.47956223965091777</v>
      </c>
      <c r="E10" s="3739">
        <f>IFERROR((E8-$C$8)/$C$8,0)</f>
        <v>0.71192231223879798</v>
      </c>
      <c r="F10" s="3739">
        <f>IFERROR((F8-$C$8)/$C$8,0)</f>
        <v>0.98154939639854188</v>
      </c>
      <c r="G10" s="3739">
        <f>IFERROR((G8-$C$8)/$C$8,0)</f>
        <v>1.2727677630562151</v>
      </c>
      <c r="H10" s="3739">
        <f>IFERROR((H8-$C$8)/$C$8,0)</f>
        <v>1.6125401328336897</v>
      </c>
      <c r="I10" s="3738"/>
      <c r="J10" s="3739">
        <f>IFERROR((J8-$I$8)/$I$8,0)</f>
        <v>0.63928523202952703</v>
      </c>
      <c r="K10" s="3740">
        <f>IFERROR((K8-$I$8)/$I$8,0)</f>
        <v>0.89044425439978414</v>
      </c>
      <c r="L10" s="3739">
        <f>IFERROR((L8-$I$8)/$I$8,0)</f>
        <v>1.1058198676689024</v>
      </c>
      <c r="M10" s="3739">
        <f>IFERROR((M8-$I$8)/$I$8,0)</f>
        <v>1.4682023959841093</v>
      </c>
      <c r="N10" s="3739">
        <f>IFERROR((N8-$I$8)/$I$8,0)</f>
        <v>1.8243663576730007</v>
      </c>
      <c r="O10" s="4523">
        <f t="shared" si="0"/>
        <v>2.3625252355304025</v>
      </c>
      <c r="P10" s="4523">
        <f t="shared" si="1"/>
        <v>1.8537595837795573</v>
      </c>
      <c r="Q10" s="3524"/>
      <c r="R10" s="4542" t="s">
        <v>207</v>
      </c>
      <c r="S10" s="3779">
        <f>'8. Ремонтна програма'!J24</f>
        <v>1887</v>
      </c>
      <c r="T10" s="3779">
        <f>'8. Ремонтна програма'!K24</f>
        <v>2124</v>
      </c>
      <c r="U10" s="3779">
        <f>'8. Ремонтна програма'!L24</f>
        <v>2232</v>
      </c>
      <c r="V10" s="3779">
        <f>'8. Ремонтна програма'!M24</f>
        <v>2357</v>
      </c>
      <c r="W10" s="3779">
        <f>'8. Ремонтна програма'!N24</f>
        <v>2500</v>
      </c>
      <c r="X10" s="3779">
        <f>'8. Ремонтна програма'!O24</f>
        <v>2665</v>
      </c>
      <c r="Y10" s="3752">
        <f t="shared" ref="Y10:Y14" si="20">IFERROR((T10-S10)/S10,0)</f>
        <v>0.12559618441971382</v>
      </c>
      <c r="Z10" s="4535">
        <f t="shared" ref="Z10:Z14" si="21">IFERROR((X10-T10)/T10,0)</f>
        <v>0.25470809792843691</v>
      </c>
      <c r="AA10" s="3524"/>
      <c r="AB10" s="5646" t="s">
        <v>1704</v>
      </c>
      <c r="AC10" s="5646" t="s">
        <v>184</v>
      </c>
      <c r="AD10" s="5646"/>
      <c r="AE10" s="5646"/>
      <c r="AF10" s="5646"/>
      <c r="AG10" s="5646"/>
      <c r="AH10" s="3524"/>
      <c r="AI10" s="3524"/>
      <c r="AJ10" s="3524"/>
      <c r="AK10" s="1488" t="s">
        <v>179</v>
      </c>
      <c r="AL10" s="3747"/>
      <c r="AM10" s="3747"/>
      <c r="AN10" s="3747"/>
      <c r="AO10" s="3747"/>
      <c r="AP10" s="3747"/>
    </row>
    <row r="11" spans="1:42" ht="18.75" customHeight="1">
      <c r="A11" s="3621" t="s">
        <v>1547</v>
      </c>
      <c r="B11" s="3748" t="s">
        <v>170</v>
      </c>
      <c r="C11" s="3615">
        <f>'5. Персонал'!C62</f>
        <v>0.21157742402315485</v>
      </c>
      <c r="D11" s="3615">
        <f>'5. Персонал'!D62</f>
        <v>0.21216296004723478</v>
      </c>
      <c r="E11" s="3615">
        <f>'5. Персонал'!E62</f>
        <v>0.21609135285913528</v>
      </c>
      <c r="F11" s="3615">
        <f>'5. Персонал'!F62</f>
        <v>0.21809975520195837</v>
      </c>
      <c r="G11" s="3615">
        <f>'5. Персонал'!G62</f>
        <v>0.22365459382033967</v>
      </c>
      <c r="H11" s="3615">
        <f>'5. Персонал'!H62</f>
        <v>0.22888713496448304</v>
      </c>
      <c r="I11" s="3615">
        <f>'5. Персонал'!I62</f>
        <v>0.23054417788180223</v>
      </c>
      <c r="J11" s="3615">
        <f>'5. Персонал'!J62</f>
        <v>0.24299835255354202</v>
      </c>
      <c r="K11" s="3615">
        <f>'5. Персонал'!K62</f>
        <v>0.24214285714285713</v>
      </c>
      <c r="L11" s="3615">
        <f>'5. Персонал'!L62</f>
        <v>0.25008015389547933</v>
      </c>
      <c r="M11" s="3615">
        <f>'5. Персонал'!M62</f>
        <v>0.2518248175182482</v>
      </c>
      <c r="N11" s="3615">
        <f>'5. Персонал'!N62</f>
        <v>0.25318940137389595</v>
      </c>
      <c r="O11" s="4523">
        <f t="shared" si="0"/>
        <v>7.8827024818681271E-2</v>
      </c>
      <c r="P11" s="4523">
        <f t="shared" si="1"/>
        <v>4.1938756840371773E-2</v>
      </c>
      <c r="Q11" s="3524"/>
      <c r="R11" s="4542" t="s">
        <v>174</v>
      </c>
      <c r="S11" s="3779">
        <f>'8. Ремонтна програма'!J53</f>
        <v>470</v>
      </c>
      <c r="T11" s="3779">
        <f>'8. Ремонтна програма'!K53</f>
        <v>519</v>
      </c>
      <c r="U11" s="3779">
        <f>'8. Ремонтна програма'!L53</f>
        <v>534</v>
      </c>
      <c r="V11" s="3779">
        <f>'8. Ремонтна програма'!M53</f>
        <v>552</v>
      </c>
      <c r="W11" s="3779">
        <f>'8. Ремонтна програма'!N53</f>
        <v>573</v>
      </c>
      <c r="X11" s="3779">
        <f>'8. Ремонтна програма'!O53</f>
        <v>597</v>
      </c>
      <c r="Y11" s="3752">
        <f t="shared" si="20"/>
        <v>0.10425531914893617</v>
      </c>
      <c r="Z11" s="4535">
        <f t="shared" si="21"/>
        <v>0.15028901734104047</v>
      </c>
      <c r="AA11" s="3524"/>
      <c r="AB11" s="5646"/>
      <c r="AC11" s="4528" t="str">
        <f>+'15. ОПП'!$C$7</f>
        <v>2027 г.</v>
      </c>
      <c r="AD11" s="4528" t="str">
        <f>+'15. ОПП'!$D$7</f>
        <v>2028 г.</v>
      </c>
      <c r="AE11" s="4528" t="str">
        <f>+'15. ОПП'!$E$7</f>
        <v>2029 г.</v>
      </c>
      <c r="AF11" s="4528" t="str">
        <f>+'15. ОПП'!$F$7</f>
        <v>2030 г.</v>
      </c>
      <c r="AG11" s="4528" t="str">
        <f>+'15. ОПП'!$G$7</f>
        <v>2031 г.</v>
      </c>
      <c r="AH11" s="3524"/>
      <c r="AI11" s="3524"/>
      <c r="AJ11" s="3524"/>
      <c r="AK11" s="3749" t="s">
        <v>180</v>
      </c>
      <c r="AL11" s="3750">
        <f>'20.Цени '!D16</f>
        <v>1.1919999999999999</v>
      </c>
      <c r="AM11" s="3750">
        <f>'20.Цени '!E16</f>
        <v>1.3149999999999999</v>
      </c>
      <c r="AN11" s="3750">
        <f>'20.Цени '!F16</f>
        <v>1.478</v>
      </c>
      <c r="AO11" s="3750">
        <f>'20.Цени '!G16</f>
        <v>1.667</v>
      </c>
      <c r="AP11" s="3750">
        <f>'20.Цени '!H16</f>
        <v>2.4750000000000001</v>
      </c>
    </row>
    <row r="12" spans="1:42" ht="21.75" customHeight="1">
      <c r="A12" s="3621" t="s">
        <v>1546</v>
      </c>
      <c r="B12" s="3748" t="s">
        <v>170</v>
      </c>
      <c r="C12" s="3615">
        <f>'5. Персонал'!C63</f>
        <v>0.14688856729377714</v>
      </c>
      <c r="D12" s="3615">
        <f>'5. Персонал'!D63</f>
        <v>0.13796496752607754</v>
      </c>
      <c r="E12" s="3615">
        <f>'5. Персонал'!E63</f>
        <v>0.1405160390516039</v>
      </c>
      <c r="F12" s="3615">
        <f>'5. Персонал'!F63</f>
        <v>0.14182986536107711</v>
      </c>
      <c r="G12" s="3615">
        <f>'5. Персонал'!G63</f>
        <v>0.14541982129459108</v>
      </c>
      <c r="H12" s="3615">
        <f>'5. Персонал'!H63</f>
        <v>0.14886770687875661</v>
      </c>
      <c r="I12" s="3615">
        <f>'5. Персонал'!I63</f>
        <v>0.14628437682855472</v>
      </c>
      <c r="J12" s="3615">
        <f>'5. Персонал'!J63</f>
        <v>0.13962108731466227</v>
      </c>
      <c r="K12" s="3615">
        <f>'5. Персонал'!K63</f>
        <v>0.13892857142857143</v>
      </c>
      <c r="L12" s="3615">
        <f>'5. Персонал'!L63</f>
        <v>0.14363578069894198</v>
      </c>
      <c r="M12" s="3615">
        <f>'5. Персонал'!M63</f>
        <v>0.14458169567658619</v>
      </c>
      <c r="N12" s="3615">
        <f>'5. Персонал'!N63</f>
        <v>0.14524043179587831</v>
      </c>
      <c r="O12" s="4523">
        <f t="shared" si="0"/>
        <v>7.9025418902942055E-2</v>
      </c>
      <c r="P12" s="4523">
        <f t="shared" si="1"/>
        <v>4.0247104425936694E-2</v>
      </c>
      <c r="Q12" s="3524"/>
      <c r="R12" s="4542" t="s">
        <v>184</v>
      </c>
      <c r="S12" s="3779">
        <f>'8. Ремонтна програма'!J79</f>
        <v>276.39999999999998</v>
      </c>
      <c r="T12" s="3779">
        <f>'8. Ремонтна програма'!K79</f>
        <v>276</v>
      </c>
      <c r="U12" s="3779">
        <f>'8. Ремонтна програма'!L79</f>
        <v>276</v>
      </c>
      <c r="V12" s="3779">
        <f>'8. Ремонтна програма'!M79</f>
        <v>276</v>
      </c>
      <c r="W12" s="3779">
        <f>'8. Ремонтна програма'!N79</f>
        <v>277</v>
      </c>
      <c r="X12" s="3779">
        <f>'8. Ремонтна програма'!O79</f>
        <v>277</v>
      </c>
      <c r="Y12" s="3752">
        <f t="shared" si="20"/>
        <v>-1.4471780028942739E-3</v>
      </c>
      <c r="Z12" s="4535">
        <f t="shared" si="21"/>
        <v>3.6231884057971015E-3</v>
      </c>
      <c r="AA12" s="3524"/>
      <c r="AB12" s="3741" t="s">
        <v>1695</v>
      </c>
      <c r="AC12" s="3742">
        <f>AC13+AC14</f>
        <v>5338.9343333333336</v>
      </c>
      <c r="AD12" s="3742">
        <f t="shared" ref="AD12:AG12" si="22">AD13+AD14</f>
        <v>5182.6601569519244</v>
      </c>
      <c r="AE12" s="3742">
        <f t="shared" si="22"/>
        <v>5030.6792791940952</v>
      </c>
      <c r="AF12" s="3742">
        <f t="shared" si="22"/>
        <v>4890.3136719728709</v>
      </c>
      <c r="AG12" s="3742">
        <f t="shared" si="22"/>
        <v>3569.2904117295029</v>
      </c>
      <c r="AH12" s="3524"/>
      <c r="AI12" s="3524"/>
      <c r="AJ12" s="3524"/>
      <c r="AK12" s="3749" t="s">
        <v>181</v>
      </c>
      <c r="AL12" s="3750">
        <f>'20.Цени '!D17</f>
        <v>1.417</v>
      </c>
      <c r="AM12" s="3750">
        <f>'20.Цени '!E17</f>
        <v>1.5629999999999999</v>
      </c>
      <c r="AN12" s="3750">
        <f>'20.Цени '!F17</f>
        <v>1.7569999999999999</v>
      </c>
      <c r="AO12" s="3750">
        <f>'20.Цени '!G17</f>
        <v>1.982</v>
      </c>
      <c r="AP12" s="3750">
        <f>'20.Цени '!H17</f>
        <v>2.9420000000000002</v>
      </c>
    </row>
    <row r="13" spans="1:42" ht="14.25" customHeight="1">
      <c r="A13" s="5647" t="s">
        <v>2</v>
      </c>
      <c r="B13" s="5656" t="s">
        <v>1537</v>
      </c>
      <c r="C13" s="5658" t="s">
        <v>184</v>
      </c>
      <c r="D13" s="5659"/>
      <c r="E13" s="5659"/>
      <c r="F13" s="5659"/>
      <c r="G13" s="5659"/>
      <c r="H13" s="5660"/>
      <c r="I13" s="5661" t="s">
        <v>1028</v>
      </c>
      <c r="J13" s="5662"/>
      <c r="K13" s="5662"/>
      <c r="L13" s="5662"/>
      <c r="M13" s="5662"/>
      <c r="N13" s="5663"/>
      <c r="O13" s="5647" t="str">
        <f>CONCATENATE("Изменение ", H14,"спрямо ",D14)</f>
        <v>Изменение 2031 г.спрямо 2027 г.</v>
      </c>
      <c r="P13" s="5647" t="str">
        <f>CONCATENATE("Изменение ", N14,"спрямо ",J14)</f>
        <v>Изменение 2031 г.спрямо 2027 г.</v>
      </c>
      <c r="Q13" s="3524"/>
      <c r="R13" s="3778" t="s">
        <v>1236</v>
      </c>
      <c r="S13" s="3779">
        <f>'8. Ремонтна програма'!J110</f>
        <v>0</v>
      </c>
      <c r="T13" s="3779">
        <f>'8. Ремонтна програма'!K110</f>
        <v>0</v>
      </c>
      <c r="U13" s="3779">
        <f>'8. Ремонтна програма'!L110</f>
        <v>0</v>
      </c>
      <c r="V13" s="3779">
        <f>'8. Ремонтна програма'!M110</f>
        <v>0</v>
      </c>
      <c r="W13" s="3779">
        <f>'8. Ремонтна програма'!N110</f>
        <v>0</v>
      </c>
      <c r="X13" s="3779">
        <f>'8. Ремонтна програма'!O110</f>
        <v>0</v>
      </c>
      <c r="Y13" s="3752">
        <f t="shared" si="20"/>
        <v>0</v>
      </c>
      <c r="Z13" s="4535">
        <f t="shared" si="21"/>
        <v>0</v>
      </c>
      <c r="AA13" s="3524"/>
      <c r="AB13" s="3745" t="s">
        <v>299</v>
      </c>
      <c r="AC13" s="3742">
        <f>'4. Отчет и прогн. потребление'!E55/1000</f>
        <v>4955.7053333333333</v>
      </c>
      <c r="AD13" s="3742">
        <f>'4. Отчет и прогн. потребление'!F55/1000</f>
        <v>4811.7101569519245</v>
      </c>
      <c r="AE13" s="3742">
        <f>'4. Отчет и прогн. потребление'!G55/1000</f>
        <v>4672.0942791940952</v>
      </c>
      <c r="AF13" s="3742">
        <f>'4. Отчет и прогн. потребление'!H55/1000</f>
        <v>4536.6746719728708</v>
      </c>
      <c r="AG13" s="3742">
        <f>'4. Отчет и прогн. потребление'!I55/1000</f>
        <v>3220.5974117295032</v>
      </c>
      <c r="AH13" s="3524"/>
      <c r="AI13" s="3524"/>
      <c r="AJ13" s="3524"/>
      <c r="AK13" s="3749" t="s">
        <v>182</v>
      </c>
      <c r="AL13" s="3750">
        <f>'20.Цени '!D18</f>
        <v>1.9019999999999999</v>
      </c>
      <c r="AM13" s="3750">
        <f>'20.Цени '!E18</f>
        <v>2.097</v>
      </c>
      <c r="AN13" s="3750">
        <f>'20.Цени '!F18</f>
        <v>2.3580000000000001</v>
      </c>
      <c r="AO13" s="3750">
        <f>'20.Цени '!G18</f>
        <v>2.66</v>
      </c>
      <c r="AP13" s="3750">
        <f>'20.Цени '!H18</f>
        <v>3.9489999999999998</v>
      </c>
    </row>
    <row r="14" spans="1:42" ht="14.25" customHeight="1">
      <c r="A14" s="5648"/>
      <c r="B14" s="5657"/>
      <c r="C14" s="4627" t="str">
        <f>+'15. ОПП'!$B$7</f>
        <v>2024 г.</v>
      </c>
      <c r="D14" s="4627" t="str">
        <f>+'15. ОПП'!$C$7</f>
        <v>2027 г.</v>
      </c>
      <c r="E14" s="4627" t="str">
        <f>+'15. ОПП'!$D$7</f>
        <v>2028 г.</v>
      </c>
      <c r="F14" s="4627" t="str">
        <f>+'15. ОПП'!$E$7</f>
        <v>2029 г.</v>
      </c>
      <c r="G14" s="4627" t="str">
        <f>+'15. ОПП'!$F$7</f>
        <v>2030 г.</v>
      </c>
      <c r="H14" s="4627" t="str">
        <f>+'15. ОПП'!$G$7</f>
        <v>2031 г.</v>
      </c>
      <c r="I14" s="4627" t="str">
        <f>+'15. ОПП'!$B$7</f>
        <v>2024 г.</v>
      </c>
      <c r="J14" s="4627" t="str">
        <f>+'15. ОПП'!$C$7</f>
        <v>2027 г.</v>
      </c>
      <c r="K14" s="4627" t="str">
        <f>+'15. ОПП'!$D$7</f>
        <v>2028 г.</v>
      </c>
      <c r="L14" s="4627" t="str">
        <f>+'15. ОПП'!$E$7</f>
        <v>2029 г.</v>
      </c>
      <c r="M14" s="4627" t="str">
        <f>+'15. ОПП'!$F$7</f>
        <v>2030 г.</v>
      </c>
      <c r="N14" s="4627" t="str">
        <f>+'15. ОПП'!$G$7</f>
        <v>2031 г.</v>
      </c>
      <c r="O14" s="5648"/>
      <c r="P14" s="5648"/>
      <c r="Q14" s="3524"/>
      <c r="R14" s="3778" t="s">
        <v>1092</v>
      </c>
      <c r="S14" s="3779">
        <f>'8. Ремонтна програма'!J141</f>
        <v>0</v>
      </c>
      <c r="T14" s="3779">
        <f>'8. Ремонтна програма'!K141</f>
        <v>0</v>
      </c>
      <c r="U14" s="3779">
        <f>'8. Ремонтна програма'!L141</f>
        <v>0</v>
      </c>
      <c r="V14" s="3779">
        <f>'8. Ремонтна програма'!M141</f>
        <v>0</v>
      </c>
      <c r="W14" s="3779">
        <f>'8. Ремонтна програма'!N141</f>
        <v>0</v>
      </c>
      <c r="X14" s="3779">
        <f>'8. Ремонтна програма'!O141</f>
        <v>0</v>
      </c>
      <c r="Y14" s="3752">
        <f t="shared" si="20"/>
        <v>0</v>
      </c>
      <c r="Z14" s="4535">
        <f t="shared" si="21"/>
        <v>0</v>
      </c>
      <c r="AA14" s="3524"/>
      <c r="AB14" s="3746" t="s">
        <v>300</v>
      </c>
      <c r="AC14" s="3742">
        <f>SUM(AC15:AC17)</f>
        <v>383.22900000000004</v>
      </c>
      <c r="AD14" s="3742">
        <f t="shared" ref="AD14:AG14" si="23">SUM(AD15:AD17)</f>
        <v>370.95</v>
      </c>
      <c r="AE14" s="3742">
        <f t="shared" si="23"/>
        <v>358.58500000000004</v>
      </c>
      <c r="AF14" s="3742">
        <f t="shared" si="23"/>
        <v>353.63900000000001</v>
      </c>
      <c r="AG14" s="3742">
        <f t="shared" si="23"/>
        <v>348.69299999999998</v>
      </c>
      <c r="AH14" s="3524"/>
      <c r="AI14" s="3524"/>
      <c r="AJ14" s="3524"/>
      <c r="AK14" s="5651" t="str">
        <f>AC18</f>
        <v>Доставяне вода с непитейни качества</v>
      </c>
      <c r="AL14" s="5652"/>
      <c r="AM14" s="5652"/>
      <c r="AN14" s="5652"/>
      <c r="AO14" s="5652"/>
      <c r="AP14" s="5653"/>
    </row>
    <row r="15" spans="1:42" ht="20.100000000000001" customHeight="1">
      <c r="A15" s="3620" t="s">
        <v>1542</v>
      </c>
      <c r="B15" s="3730" t="s">
        <v>676</v>
      </c>
      <c r="C15" s="3731">
        <f>'5. Персонал'!O11</f>
        <v>120</v>
      </c>
      <c r="D15" s="3731">
        <f>'5. Персонал'!P11</f>
        <v>114</v>
      </c>
      <c r="E15" s="3731">
        <f>'5. Персонал'!Q11</f>
        <v>113</v>
      </c>
      <c r="F15" s="3731">
        <f>'5. Персонал'!R11</f>
        <v>112</v>
      </c>
      <c r="G15" s="3731">
        <f>'5. Персонал'!S11</f>
        <v>111</v>
      </c>
      <c r="H15" s="3731">
        <f>'5. Персонал'!T11</f>
        <v>110</v>
      </c>
      <c r="I15" s="3731">
        <f>C4+I4+C15</f>
        <v>496</v>
      </c>
      <c r="J15" s="3731">
        <f t="shared" ref="J15:N15" si="24">D4+J4+D15</f>
        <v>482</v>
      </c>
      <c r="K15" s="3731">
        <f t="shared" si="24"/>
        <v>473</v>
      </c>
      <c r="L15" s="3731">
        <f t="shared" si="24"/>
        <v>467</v>
      </c>
      <c r="M15" s="3731">
        <f t="shared" si="24"/>
        <v>458</v>
      </c>
      <c r="N15" s="3731">
        <f t="shared" si="24"/>
        <v>450</v>
      </c>
      <c r="O15" s="4523">
        <f t="shared" ref="O15:O23" si="25">IFERROR((H15-D15)/D15,0)</f>
        <v>-3.5087719298245612E-2</v>
      </c>
      <c r="P15" s="4523">
        <f t="shared" ref="P15:P23" si="26">IFERROR((N15-J15)/J15,0)</f>
        <v>-6.6390041493775934E-2</v>
      </c>
      <c r="Q15" s="3524"/>
      <c r="R15" s="4629"/>
      <c r="S15" s="4630"/>
      <c r="T15" s="4630"/>
      <c r="U15" s="4630"/>
      <c r="V15" s="4630"/>
      <c r="W15" s="4630"/>
      <c r="X15" s="4630"/>
      <c r="Y15" s="4565"/>
      <c r="Z15" s="4631"/>
      <c r="AA15" s="3524"/>
      <c r="AB15" s="3751" t="s">
        <v>997</v>
      </c>
      <c r="AC15" s="3742">
        <f>'4. Отчет и прогн. потребление'!E58/1000</f>
        <v>208.59</v>
      </c>
      <c r="AD15" s="3742">
        <f>'4. Отчет и прогн. потребление'!F58/1000</f>
        <v>201.91</v>
      </c>
      <c r="AE15" s="3742">
        <f>'4. Отчет и прогн. потребление'!G58/1000</f>
        <v>195.18</v>
      </c>
      <c r="AF15" s="3742">
        <f>'4. Отчет и прогн. потребление'!H58/1000</f>
        <v>192.48500000000001</v>
      </c>
      <c r="AG15" s="3742">
        <f>'4. Отчет и прогн. потребление'!I58/1000</f>
        <v>189.79499999999999</v>
      </c>
      <c r="AH15" s="3524"/>
      <c r="AI15" s="3524"/>
      <c r="AJ15" s="3524"/>
      <c r="AK15" s="1488"/>
      <c r="AL15" s="3736">
        <f>'20.Цени '!D19</f>
        <v>0</v>
      </c>
      <c r="AM15" s="3736">
        <f>'20.Цени '!E19</f>
        <v>0</v>
      </c>
      <c r="AN15" s="3736">
        <f>'20.Цени '!F19</f>
        <v>0</v>
      </c>
      <c r="AO15" s="3736">
        <f>'20.Цени '!G19</f>
        <v>0</v>
      </c>
      <c r="AP15" s="3736">
        <f>'20.Цени '!H19</f>
        <v>0</v>
      </c>
    </row>
    <row r="16" spans="1:42" ht="24" customHeight="1">
      <c r="A16" s="3617" t="s">
        <v>1535</v>
      </c>
      <c r="B16" s="3734" t="s">
        <v>1540</v>
      </c>
      <c r="C16" s="3735">
        <f>'5. Персонал'!O14</f>
        <v>120</v>
      </c>
      <c r="D16" s="3735">
        <f>'5. Персонал'!P14</f>
        <v>114</v>
      </c>
      <c r="E16" s="3735">
        <f>'5. Персонал'!Q14</f>
        <v>113</v>
      </c>
      <c r="F16" s="3735">
        <f>'5. Персонал'!R14</f>
        <v>112</v>
      </c>
      <c r="G16" s="3735">
        <f>'5. Персонал'!S14</f>
        <v>111</v>
      </c>
      <c r="H16" s="3735">
        <f>'5. Персонал'!T14</f>
        <v>110</v>
      </c>
      <c r="I16" s="3731">
        <f>C5+I5+C16</f>
        <v>496</v>
      </c>
      <c r="J16" s="3731">
        <f t="shared" ref="J16:N16" si="27">D5+J5+D16</f>
        <v>482</v>
      </c>
      <c r="K16" s="3731">
        <f t="shared" si="27"/>
        <v>473</v>
      </c>
      <c r="L16" s="3731">
        <f t="shared" si="27"/>
        <v>467</v>
      </c>
      <c r="M16" s="3731">
        <f t="shared" si="27"/>
        <v>458</v>
      </c>
      <c r="N16" s="3731">
        <f t="shared" si="27"/>
        <v>450</v>
      </c>
      <c r="O16" s="4523">
        <f t="shared" si="25"/>
        <v>-3.5087719298245612E-2</v>
      </c>
      <c r="P16" s="4523">
        <f t="shared" si="26"/>
        <v>-6.6390041493775934E-2</v>
      </c>
      <c r="Q16" s="3524"/>
      <c r="R16" s="4632" t="s">
        <v>1858</v>
      </c>
      <c r="S16" s="4633" t="str">
        <f>+'15. ОПП'!$B$7</f>
        <v>2024 г.</v>
      </c>
      <c r="T16" s="4633" t="str">
        <f>+'15. ОПП'!$C$7</f>
        <v>2027 г.</v>
      </c>
      <c r="U16" s="4633" t="str">
        <f>+'15. ОПП'!$D$7</f>
        <v>2028 г.</v>
      </c>
      <c r="V16" s="4633" t="str">
        <f>+'15. ОПП'!$E$7</f>
        <v>2029 г.</v>
      </c>
      <c r="W16" s="4633" t="str">
        <f>+'15. ОПП'!$F$7</f>
        <v>2030 г.</v>
      </c>
      <c r="X16" s="4633" t="str">
        <f>+'15. ОПП'!$G$7</f>
        <v>2031 г.</v>
      </c>
      <c r="Y16" s="4633" t="str">
        <f>+Y8</f>
        <v>Изменение 2027 г.спрямо 2024 г.</v>
      </c>
      <c r="Z16" s="4633" t="str">
        <f>+Z8</f>
        <v>Изменение 2031 г.спрямо 2027 г.</v>
      </c>
      <c r="AA16" s="3524"/>
      <c r="AB16" s="3751" t="s">
        <v>998</v>
      </c>
      <c r="AC16" s="3742">
        <f>'4. Отчет и прогн. потребление'!E59/1000</f>
        <v>29.738</v>
      </c>
      <c r="AD16" s="3742">
        <f>'4. Отчет и прогн. потребление'!F59/1000</f>
        <v>28.785</v>
      </c>
      <c r="AE16" s="3742">
        <f>'4. Отчет и прогн. потребление'!G59/1000</f>
        <v>27.826000000000001</v>
      </c>
      <c r="AF16" s="3742">
        <f>'4. Отчет и прогн. потребление'!H59/1000</f>
        <v>27.445</v>
      </c>
      <c r="AG16" s="3742">
        <f>'4. Отчет и прогн. потребление'!I59/1000</f>
        <v>27.06</v>
      </c>
      <c r="AH16" s="3524"/>
      <c r="AI16" s="3524"/>
      <c r="AJ16" s="3524"/>
      <c r="AK16" s="5651" t="str">
        <f>AC21</f>
        <v>Доставяне вода на друг ВиК оператор</v>
      </c>
      <c r="AL16" s="5652"/>
      <c r="AM16" s="5652"/>
      <c r="AN16" s="5652"/>
      <c r="AO16" s="5652"/>
      <c r="AP16" s="5653"/>
    </row>
    <row r="17" spans="1:48" ht="14.25" customHeight="1">
      <c r="A17" s="3623" t="s">
        <v>1545</v>
      </c>
      <c r="B17" s="3737" t="s">
        <v>170</v>
      </c>
      <c r="C17" s="3738"/>
      <c r="D17" s="3739">
        <f>IFERROR((D16-C16)/C16,0)</f>
        <v>-0.05</v>
      </c>
      <c r="E17" s="3739">
        <f t="shared" ref="E17" si="28">IFERROR((E16-D16)/D16,0)</f>
        <v>-8.771929824561403E-3</v>
      </c>
      <c r="F17" s="3739">
        <f t="shared" ref="F17" si="29">IFERROR((F16-E16)/E16,0)</f>
        <v>-8.8495575221238937E-3</v>
      </c>
      <c r="G17" s="3739">
        <f t="shared" ref="G17" si="30">IFERROR((G16-F16)/F16,0)</f>
        <v>-8.9285714285714281E-3</v>
      </c>
      <c r="H17" s="3739">
        <f t="shared" ref="H17" si="31">IFERROR((H16-G16)/G16,0)</f>
        <v>-9.0090090090090089E-3</v>
      </c>
      <c r="I17" s="3738"/>
      <c r="J17" s="3740">
        <f>IFERROR((J16-I16)/I16,0)</f>
        <v>-2.8225806451612902E-2</v>
      </c>
      <c r="K17" s="3740">
        <f t="shared" ref="K17" si="32">IFERROR((K16-J16)/J16,0)</f>
        <v>-1.8672199170124481E-2</v>
      </c>
      <c r="L17" s="3740">
        <f t="shared" ref="L17" si="33">IFERROR((L16-K16)/K16,0)</f>
        <v>-1.2684989429175475E-2</v>
      </c>
      <c r="M17" s="3740">
        <f t="shared" ref="M17" si="34">IFERROR((M16-L16)/L16,0)</f>
        <v>-1.9271948608137045E-2</v>
      </c>
      <c r="N17" s="3740">
        <f t="shared" ref="N17" si="35">IFERROR((N16-M16)/M16,0)</f>
        <v>-1.7467248908296942E-2</v>
      </c>
      <c r="O17" s="4523">
        <f t="shared" si="25"/>
        <v>-0.81981981981981988</v>
      </c>
      <c r="P17" s="4523">
        <f t="shared" si="26"/>
        <v>-0.38116032439176545</v>
      </c>
      <c r="Q17" s="3524"/>
      <c r="R17" s="4634" t="s">
        <v>1564</v>
      </c>
      <c r="S17" s="4635">
        <f>IFERROR('8. Ремонтна програма'!J10/'8. Ремонтна програма'!J$24,0)</f>
        <v>1.483836777954425E-2</v>
      </c>
      <c r="T17" s="4635">
        <f>IFERROR('8. Ремонтна програма'!K10/'8. Ремонтна програма'!K$24,0)</f>
        <v>1.6478342749529189E-2</v>
      </c>
      <c r="U17" s="4635">
        <f>IFERROR('8. Ремонтна програма'!L10/'8. Ремонтна програма'!L$24,0)</f>
        <v>1.6129032258064516E-2</v>
      </c>
      <c r="V17" s="4635">
        <f>IFERROR('8. Ремонтна програма'!M10/'8. Ремонтна програма'!M$24,0)</f>
        <v>1.6122189223589309E-2</v>
      </c>
      <c r="W17" s="4635">
        <f>IFERROR('8. Ремонтна програма'!N10/'8. Ремонтна програма'!N$24,0)</f>
        <v>1.6E-2</v>
      </c>
      <c r="X17" s="4635">
        <f>IFERROR('8. Ремонтна програма'!O10/'8. Ремонтна програма'!O$24,0)</f>
        <v>1.5759849906191371E-2</v>
      </c>
      <c r="Y17" s="3752">
        <f>IFERROR((T17-S17)/S17,0)</f>
        <v>0.11052259887005639</v>
      </c>
      <c r="Z17" s="3752">
        <f t="shared" ref="Z17:Z30" si="36">IFERROR((X17-T17)/T17,0)</f>
        <v>-4.3602251407129262E-2</v>
      </c>
      <c r="AA17" s="3524"/>
      <c r="AB17" s="3751" t="s">
        <v>999</v>
      </c>
      <c r="AC17" s="3742">
        <f>'4. Отчет и прогн. потребление'!E60/1000</f>
        <v>144.90100000000001</v>
      </c>
      <c r="AD17" s="3742">
        <f>'4. Отчет и прогн. потребление'!F60/1000</f>
        <v>140.255</v>
      </c>
      <c r="AE17" s="3742">
        <f>'4. Отчет и прогн. потребление'!G60/1000</f>
        <v>135.57900000000001</v>
      </c>
      <c r="AF17" s="3742">
        <f>'4. Отчет и прогн. потребление'!H60/1000</f>
        <v>133.709</v>
      </c>
      <c r="AG17" s="3742">
        <f>'4. Отчет и прогн. потребление'!I60/1000</f>
        <v>131.83799999999999</v>
      </c>
      <c r="AH17" s="3524"/>
      <c r="AI17" s="3524"/>
      <c r="AJ17" s="3524"/>
      <c r="AK17" s="1488"/>
      <c r="AL17" s="3736">
        <f>'20.Цени '!D20</f>
        <v>0</v>
      </c>
      <c r="AM17" s="3736">
        <f>'20.Цени '!E20</f>
        <v>0</v>
      </c>
      <c r="AN17" s="3736">
        <f>'20.Цени '!F20</f>
        <v>0</v>
      </c>
      <c r="AO17" s="3736">
        <f>'20.Цени '!G20</f>
        <v>0</v>
      </c>
      <c r="AP17" s="3736">
        <f>'20.Цени '!H20</f>
        <v>0</v>
      </c>
    </row>
    <row r="18" spans="1:48">
      <c r="A18" s="3623" t="s">
        <v>1544</v>
      </c>
      <c r="B18" s="3737" t="s">
        <v>170</v>
      </c>
      <c r="C18" s="3738"/>
      <c r="D18" s="3739">
        <f>IFERROR((D16-$C$16)/$C$16,0)</f>
        <v>-0.05</v>
      </c>
      <c r="E18" s="3739">
        <f t="shared" ref="E18:H18" si="37">IFERROR((E16-$C$16)/$C$16,0)</f>
        <v>-5.8333333333333334E-2</v>
      </c>
      <c r="F18" s="3739">
        <f t="shared" si="37"/>
        <v>-6.6666666666666666E-2</v>
      </c>
      <c r="G18" s="3739">
        <f t="shared" si="37"/>
        <v>-7.4999999999999997E-2</v>
      </c>
      <c r="H18" s="3739">
        <f t="shared" si="37"/>
        <v>-8.3333333333333329E-2</v>
      </c>
      <c r="I18" s="3738"/>
      <c r="J18" s="3753">
        <f>IFERROR((J16-$I$16)/$I$16,0)</f>
        <v>-2.8225806451612902E-2</v>
      </c>
      <c r="K18" s="3740">
        <f t="shared" ref="K18:N18" si="38">IFERROR((K16-$I$16)/$I$16,0)</f>
        <v>-4.6370967741935484E-2</v>
      </c>
      <c r="L18" s="3739">
        <f t="shared" si="38"/>
        <v>-5.8467741935483868E-2</v>
      </c>
      <c r="M18" s="3739">
        <f t="shared" si="38"/>
        <v>-7.6612903225806453E-2</v>
      </c>
      <c r="N18" s="3739">
        <f t="shared" si="38"/>
        <v>-9.2741935483870969E-2</v>
      </c>
      <c r="O18" s="4523">
        <f t="shared" si="25"/>
        <v>0.66666666666666652</v>
      </c>
      <c r="P18" s="4523">
        <f t="shared" si="26"/>
        <v>2.2857142857142856</v>
      </c>
      <c r="Q18" s="3524"/>
      <c r="R18" s="4634" t="s">
        <v>1565</v>
      </c>
      <c r="S18" s="4635">
        <f>IFERROR('8. Ремонтна програма'!J11/'8. Ремонтна програма'!J$24,0)</f>
        <v>9.6979332273449917E-2</v>
      </c>
      <c r="T18" s="4635">
        <f>IFERROR('8. Ремонтна програма'!K11/'8. Ремонтна програма'!K$24,0)</f>
        <v>0.11534839924670433</v>
      </c>
      <c r="U18" s="4635">
        <f>IFERROR('8. Ремонтна програма'!L11/'8. Ремонтна програма'!L$24,0)</f>
        <v>0.11469534050179211</v>
      </c>
      <c r="V18" s="4635">
        <f>IFERROR('8. Ремонтна програма'!M11/'8. Ремонтна програма'!M$24,0)</f>
        <v>0.1192193466270683</v>
      </c>
      <c r="W18" s="4635">
        <f>IFERROR('8. Ремонтна програма'!N11/'8. Ремонтна програма'!N$24,0)</f>
        <v>0.1244</v>
      </c>
      <c r="X18" s="4635">
        <f>IFERROR('8. Ремонтна програма'!O11/'8. Ремонтна програма'!O$24,0)</f>
        <v>0.12307692307692308</v>
      </c>
      <c r="Y18" s="3752">
        <f t="shared" ref="Y18:Y30" si="39">IFERROR((T18-S18)/S18,0)</f>
        <v>0.18941218239634466</v>
      </c>
      <c r="Z18" s="3752">
        <f t="shared" si="36"/>
        <v>6.7001569858712806E-2</v>
      </c>
      <c r="AA18" s="3524"/>
      <c r="AB18" s="5646" t="s">
        <v>1705</v>
      </c>
      <c r="AC18" s="5654" t="str">
        <f>C24</f>
        <v>Доставяне вода с непитейни качества</v>
      </c>
      <c r="AD18" s="5646"/>
      <c r="AE18" s="5646"/>
      <c r="AF18" s="5646"/>
      <c r="AG18" s="5646"/>
      <c r="AH18" s="3524"/>
      <c r="AI18" s="3524"/>
      <c r="AJ18" s="3524"/>
      <c r="AK18" s="3524"/>
      <c r="AL18" s="3524"/>
      <c r="AM18" s="3524"/>
      <c r="AN18" s="3524"/>
      <c r="AO18" s="3524"/>
      <c r="AP18" s="3524"/>
    </row>
    <row r="19" spans="1:48" ht="21.75" customHeight="1">
      <c r="A19" s="3618" t="s">
        <v>1536</v>
      </c>
      <c r="B19" s="3743" t="s">
        <v>1541</v>
      </c>
      <c r="C19" s="3744">
        <f>'5. Персонал'!O50</f>
        <v>12.616666666666667</v>
      </c>
      <c r="D19" s="3744">
        <f>'5. Персонал'!P50</f>
        <v>19.157894736842106</v>
      </c>
      <c r="E19" s="3744">
        <f>'5. Персонал'!Q50</f>
        <v>21.292035398230087</v>
      </c>
      <c r="F19" s="3744">
        <f>'5. Персонал'!R50</f>
        <v>24.517857142857142</v>
      </c>
      <c r="G19" s="3744">
        <f>'5. Персонал'!S50</f>
        <v>28.243243243243242</v>
      </c>
      <c r="H19" s="3744">
        <f>'5. Персонал'!T50</f>
        <v>32.6</v>
      </c>
      <c r="I19" s="3744">
        <f>IFERROR(('5. Персонал'!C29+'5. Персонал'!I29+'5. Персонал'!O29)/I16,0)</f>
        <v>20.429435483870968</v>
      </c>
      <c r="J19" s="3744">
        <f>IFERROR(('5. Персонал'!D29+'5. Персонал'!J29+'5. Персонал'!P29)/J16,0)</f>
        <v>30.651452282157678</v>
      </c>
      <c r="K19" s="3744">
        <f>IFERROR(('5. Персонал'!E29+'5. Персонал'!K29+'5. Персонал'!Q29)/K16,0)</f>
        <v>35.260042283298098</v>
      </c>
      <c r="L19" s="3744">
        <f>IFERROR(('5. Персонал'!F29+'5. Персонал'!L29+'5. Персонал'!R29)/L16,0)</f>
        <v>40.550321199143468</v>
      </c>
      <c r="M19" s="3744">
        <f>IFERROR(('5. Персонал'!G29+'5. Персонал'!M29+'5. Персонал'!S29)/M16,0)</f>
        <v>46.633187772925766</v>
      </c>
      <c r="N19" s="3744">
        <f>IFERROR(('5. Персонал'!H29+'5. Персонал'!N29+'5. Персонал'!T29)/N16,0)</f>
        <v>53.628888888888888</v>
      </c>
      <c r="O19" s="4523">
        <f t="shared" si="25"/>
        <v>0.7016483516483516</v>
      </c>
      <c r="P19" s="4523">
        <f t="shared" si="26"/>
        <v>0.74963614758660102</v>
      </c>
      <c r="Q19" s="3524"/>
      <c r="R19" s="4636" t="s">
        <v>1566</v>
      </c>
      <c r="S19" s="4635">
        <f>IFERROR('8. Ремонтна програма'!J12/'8. Ремонтна програма'!J$24,0)</f>
        <v>0.46740858505564387</v>
      </c>
      <c r="T19" s="4635">
        <f>IFERROR('8. Ремонтна програма'!K12/'8. Ремонтна програма'!K$24,0)</f>
        <v>0.45903954802259889</v>
      </c>
      <c r="U19" s="4635">
        <f>IFERROR('8. Ремонтна програма'!L12/'8. Ремонтна програма'!L$24,0)</f>
        <v>0.46415770609318996</v>
      </c>
      <c r="V19" s="4635">
        <f>IFERROR('8. Ремонтна програма'!M12/'8. Ремонтна програма'!M$24,0)</f>
        <v>0.46287653797199829</v>
      </c>
      <c r="W19" s="4635">
        <f>IFERROR('8. Ремонтна програма'!N12/'8. Ремонтна програма'!N$24,0)</f>
        <v>0.46079999999999999</v>
      </c>
      <c r="X19" s="4635">
        <f>IFERROR('8. Ремонтна програма'!O12/'8. Ремонтна програма'!O$24,0)</f>
        <v>0.45440900562851783</v>
      </c>
      <c r="Y19" s="3752">
        <f t="shared" si="39"/>
        <v>-1.7905184672739088E-2</v>
      </c>
      <c r="Z19" s="3752">
        <f t="shared" si="36"/>
        <v>-1.0087458507721202E-2</v>
      </c>
      <c r="AA19" s="3524"/>
      <c r="AB19" s="5646"/>
      <c r="AC19" s="4528" t="str">
        <f>+'15. ОПП'!$C$7</f>
        <v>2027 г.</v>
      </c>
      <c r="AD19" s="4528" t="str">
        <f>+'15. ОПП'!$D$7</f>
        <v>2028 г.</v>
      </c>
      <c r="AE19" s="4528" t="str">
        <f>+'15. ОПП'!$E$7</f>
        <v>2029 г.</v>
      </c>
      <c r="AF19" s="4528" t="str">
        <f>+'15. ОПП'!$F$7</f>
        <v>2030 г.</v>
      </c>
      <c r="AG19" s="4528" t="str">
        <f>+'15. ОПП'!$G$7</f>
        <v>2031 г.</v>
      </c>
      <c r="AH19" s="3524"/>
      <c r="AI19" s="3524"/>
      <c r="AJ19" s="3524"/>
      <c r="AK19" s="5655" t="s">
        <v>279</v>
      </c>
      <c r="AL19" s="5655" t="s">
        <v>280</v>
      </c>
      <c r="AM19" s="5655" t="s">
        <v>192</v>
      </c>
      <c r="AN19" s="5655"/>
      <c r="AO19" s="5655" t="s">
        <v>193</v>
      </c>
      <c r="AP19" s="5655"/>
      <c r="AQ19" s="5655"/>
      <c r="AR19" s="5655"/>
      <c r="AS19" s="5655"/>
    </row>
    <row r="20" spans="1:48" ht="15.75" customHeight="1">
      <c r="A20" s="3623" t="s">
        <v>1545</v>
      </c>
      <c r="B20" s="3737" t="s">
        <v>170</v>
      </c>
      <c r="C20" s="3738"/>
      <c r="D20" s="3739">
        <f>IFERROR((D19-C19)/C19,0)</f>
        <v>0.51845929221998199</v>
      </c>
      <c r="E20" s="3739">
        <f t="shared" ref="E20" si="40">IFERROR((E19-D19)/D19,0)</f>
        <v>0.1113974521054166</v>
      </c>
      <c r="F20" s="3739">
        <f t="shared" ref="F20" si="41">IFERROR((F19-E19)/E19,0)</f>
        <v>0.15150368127300798</v>
      </c>
      <c r="G20" s="3739">
        <f t="shared" ref="G20" si="42">IFERROR((G19-F19)/F19,0)</f>
        <v>0.15194582783803467</v>
      </c>
      <c r="H20" s="3739">
        <f t="shared" ref="H20" si="43">IFERROR((H19-G19)/G19,0)</f>
        <v>0.15425837320574173</v>
      </c>
      <c r="I20" s="3738"/>
      <c r="J20" s="3740">
        <f>IFERROR((J19-I19)/I19,0)</f>
        <v>0.5003572813530256</v>
      </c>
      <c r="K20" s="3740">
        <f t="shared" ref="K20" si="44">IFERROR((K19-J19)/J19,0)</f>
        <v>0.15035470289357539</v>
      </c>
      <c r="L20" s="3740">
        <f t="shared" ref="L20" si="45">IFERROR((L19-K19)/K19,0)</f>
        <v>0.15003609108975058</v>
      </c>
      <c r="M20" s="3740">
        <f t="shared" ref="M20" si="46">IFERROR((M19-L19)/L19,0)</f>
        <v>0.1500078518221647</v>
      </c>
      <c r="N20" s="3740">
        <f t="shared" ref="N20" si="47">IFERROR((N19-M19)/M19,0)</f>
        <v>0.15001550290809579</v>
      </c>
      <c r="O20" s="4523">
        <f t="shared" si="25"/>
        <v>-0.70246772404208346</v>
      </c>
      <c r="P20" s="4523">
        <f t="shared" si="26"/>
        <v>-0.70018323206482369</v>
      </c>
      <c r="Q20" s="3524"/>
      <c r="R20" s="4634" t="s">
        <v>1567</v>
      </c>
      <c r="S20" s="4635">
        <f>IFERROR('8. Ремонтна програма'!J13/'8. Ремонтна програма'!J$24,0)</f>
        <v>0.25384207737148912</v>
      </c>
      <c r="T20" s="4635">
        <f>IFERROR('8. Ремонтна програма'!K13/'8. Ремонтна програма'!K$24,0)</f>
        <v>0.2443502824858757</v>
      </c>
      <c r="U20" s="4635">
        <f>IFERROR('8. Ремонтна програма'!L13/'8. Ремонтна програма'!L$24,0)</f>
        <v>0.239247311827957</v>
      </c>
      <c r="V20" s="4635">
        <f>IFERROR('8. Ремонтна програма'!M13/'8. Ремонтна програма'!M$24,0)</f>
        <v>0.237165888841748</v>
      </c>
      <c r="W20" s="4635">
        <f>IFERROR('8. Ремонтна програма'!N13/'8. Ремонтна програма'!N$24,0)</f>
        <v>0.2336</v>
      </c>
      <c r="X20" s="4635">
        <f>IFERROR('8. Ремонтна програма'!O13/'8. Ремонтна програма'!O$24,0)</f>
        <v>0.23677298311444653</v>
      </c>
      <c r="Y20" s="3752">
        <f t="shared" si="39"/>
        <v>-3.7392519726831969E-2</v>
      </c>
      <c r="Z20" s="3752">
        <f t="shared" si="36"/>
        <v>-3.1009988179028069E-2</v>
      </c>
      <c r="AA20" s="3524"/>
      <c r="AB20" s="3732" t="s">
        <v>340</v>
      </c>
      <c r="AC20" s="3733">
        <f>'4. Отчет и прогн. потребление'!E69/1000</f>
        <v>0</v>
      </c>
      <c r="AD20" s="3733">
        <f>'4. Отчет и прогн. потребление'!F69/1000</f>
        <v>0</v>
      </c>
      <c r="AE20" s="3733">
        <f>'4. Отчет и прогн. потребление'!G69/1000</f>
        <v>0</v>
      </c>
      <c r="AF20" s="3733">
        <f>'4. Отчет и прогн. потребление'!H69/1000</f>
        <v>0</v>
      </c>
      <c r="AG20" s="3733">
        <f>'4. Отчет и прогн. потребление'!I69/1000</f>
        <v>0</v>
      </c>
      <c r="AH20" s="3524"/>
      <c r="AI20" s="3524"/>
      <c r="AJ20" s="3524"/>
      <c r="AK20" s="5655"/>
      <c r="AL20" s="5655"/>
      <c r="AM20" s="4637" t="str">
        <f>+'9.Инвестиционна програма'!G9</f>
        <v>2025 г.</v>
      </c>
      <c r="AN20" s="4637" t="str">
        <f>+'9.Инвестиционна програма'!H9</f>
        <v>2026 г.</v>
      </c>
      <c r="AO20" s="4637" t="str">
        <f>+'9.Инвестиционна програма'!I9</f>
        <v>2027 г.</v>
      </c>
      <c r="AP20" s="4637" t="str">
        <f>+'9.Инвестиционна програма'!J9</f>
        <v>2028 г.</v>
      </c>
      <c r="AQ20" s="4637" t="str">
        <f>+'9.Инвестиционна програма'!K9</f>
        <v>2029 г.</v>
      </c>
      <c r="AR20" s="4637" t="str">
        <f>+'9.Инвестиционна програма'!L9</f>
        <v>2030 г.</v>
      </c>
      <c r="AS20" s="4637" t="str">
        <f>+'9.Инвестиционна програма'!M9</f>
        <v>2031 г.</v>
      </c>
    </row>
    <row r="21" spans="1:48" ht="22.5">
      <c r="A21" s="3622" t="s">
        <v>1543</v>
      </c>
      <c r="B21" s="3737" t="s">
        <v>170</v>
      </c>
      <c r="C21" s="3738"/>
      <c r="D21" s="3739">
        <f>IFERROR((D19-$C$19)/$C$19,0)</f>
        <v>0.51845929221998199</v>
      </c>
      <c r="E21" s="3739">
        <f t="shared" ref="E21:H21" si="48">IFERROR((E19-$C$19)/$C$19,0)</f>
        <v>0.68761178849908211</v>
      </c>
      <c r="F21" s="3739">
        <f t="shared" si="48"/>
        <v>0.94329118701641812</v>
      </c>
      <c r="G21" s="3739">
        <f t="shared" si="48"/>
        <v>1.2385661751579848</v>
      </c>
      <c r="H21" s="3739">
        <f t="shared" si="48"/>
        <v>1.5838837516512549</v>
      </c>
      <c r="I21" s="3738"/>
      <c r="J21" s="3739">
        <f>IFERROR((J19-$I$19)/$I$19,0)</f>
        <v>0.5003572813530256</v>
      </c>
      <c r="K21" s="3740">
        <f t="shared" ref="K21:N21" si="49">IFERROR((K19-$I$19)/$I$19,0)</f>
        <v>0.72594305462507214</v>
      </c>
      <c r="L21" s="3739">
        <f t="shared" si="49"/>
        <v>0.98489680398452184</v>
      </c>
      <c r="M21" s="3739">
        <f t="shared" si="49"/>
        <v>1.2826469096389204</v>
      </c>
      <c r="N21" s="3739">
        <f t="shared" si="49"/>
        <v>1.6250793337500136</v>
      </c>
      <c r="O21" s="4523">
        <f t="shared" si="25"/>
        <v>2.0549818962049078</v>
      </c>
      <c r="P21" s="4523">
        <f t="shared" si="26"/>
        <v>2.2478378836730539</v>
      </c>
      <c r="Q21" s="3524"/>
      <c r="R21" s="4634" t="s">
        <v>1568</v>
      </c>
      <c r="S21" s="4635">
        <f>IFERROR('8. Ремонтна програма'!J14/'8. Ремонтна програма'!J$24,0)</f>
        <v>5.3524112347641761E-2</v>
      </c>
      <c r="T21" s="4635">
        <f>IFERROR('8. Ремонтна програма'!K14/'8. Ремонтна програма'!K$24,0)</f>
        <v>5.4143126177024485E-2</v>
      </c>
      <c r="U21" s="4635">
        <f>IFERROR('8. Ремонтна програма'!L14/'8. Ремонтна програма'!L$24,0)</f>
        <v>5.7347670250896057E-2</v>
      </c>
      <c r="V21" s="4635">
        <f>IFERROR('8. Ремонтна програма'!M14/'8. Ремонтна програма'!M$24,0)</f>
        <v>5.6851930420025454E-2</v>
      </c>
      <c r="W21" s="4635">
        <f>IFERROR('8. Ремонтна програма'!N14/'8. Ремонтна програма'!N$24,0)</f>
        <v>5.6800000000000003E-2</v>
      </c>
      <c r="X21" s="4635">
        <f>IFERROR('8. Ремонтна програма'!O14/'8. Ремонтна програма'!O$24,0)</f>
        <v>5.8911819887429641E-2</v>
      </c>
      <c r="Y21" s="3752">
        <f t="shared" si="39"/>
        <v>1.1565139564803959E-2</v>
      </c>
      <c r="Z21" s="3752">
        <f t="shared" si="36"/>
        <v>8.8075699486091744E-2</v>
      </c>
      <c r="AA21" s="3524"/>
      <c r="AB21" s="5646" t="s">
        <v>1704</v>
      </c>
      <c r="AC21" s="5646" t="str">
        <f>I24</f>
        <v>Доставяне вода на друг ВиК оператор</v>
      </c>
      <c r="AD21" s="5646"/>
      <c r="AE21" s="5646"/>
      <c r="AF21" s="5646"/>
      <c r="AG21" s="5646"/>
      <c r="AH21" s="3524"/>
      <c r="AI21" s="3524"/>
      <c r="AJ21" s="3524"/>
      <c r="AK21" s="3630" t="s">
        <v>286</v>
      </c>
      <c r="AL21" s="3624" t="s">
        <v>1729</v>
      </c>
      <c r="AM21" s="4638">
        <f>'13. Соц. поносимост'!C12</f>
        <v>2.8</v>
      </c>
      <c r="AN21" s="4638">
        <f>'13. Соц. поносимост'!D12</f>
        <v>2.8</v>
      </c>
      <c r="AO21" s="4638">
        <f>'13. Соц. поносимост'!E12</f>
        <v>2.8</v>
      </c>
      <c r="AP21" s="4638">
        <f>'13. Соц. поносимост'!F12</f>
        <v>2.8</v>
      </c>
      <c r="AQ21" s="4638">
        <f>'13. Соц. поносимост'!G12</f>
        <v>2.8</v>
      </c>
      <c r="AR21" s="4638">
        <f>'13. Соц. поносимост'!H12</f>
        <v>2.8</v>
      </c>
      <c r="AS21" s="4638">
        <f>'13. Соц. поносимост'!I12</f>
        <v>2.8</v>
      </c>
    </row>
    <row r="22" spans="1:48" ht="21" customHeight="1">
      <c r="A22" s="3621" t="s">
        <v>1547</v>
      </c>
      <c r="B22" s="3748" t="s">
        <v>170</v>
      </c>
      <c r="C22" s="3615">
        <f>'5. Персонал'!O62</f>
        <v>0.21268163804491413</v>
      </c>
      <c r="D22" s="3615">
        <f>'5. Персонал'!P62</f>
        <v>0.222985347985348</v>
      </c>
      <c r="E22" s="3615">
        <f>'5. Персонал'!Q62</f>
        <v>0.23275145469659186</v>
      </c>
      <c r="F22" s="3615">
        <f>'5. Персонал'!R62</f>
        <v>0.23452294246176256</v>
      </c>
      <c r="G22" s="3615">
        <f>'5. Персонал'!S62</f>
        <v>0.23604465709728867</v>
      </c>
      <c r="H22" s="3615">
        <f>'5. Персонал'!T62</f>
        <v>0.2373117679866146</v>
      </c>
      <c r="I22" s="3615">
        <f>IFERROR(('5. Персонал'!C42+'5. Персонал'!I42+'5. Персонал'!O42)/('5. Персонал'!C29+'5. Персонал'!I29+'5. Персонал'!O29),0)</f>
        <v>0.21494128096318957</v>
      </c>
      <c r="J22" s="3615">
        <f>IFERROR(('5. Персонал'!D42+'5. Персонал'!J42+'5. Персонал'!P42)/('5. Персонал'!D29+'5. Персонал'!J29+'5. Персонал'!P29),0)</f>
        <v>0.21883037769053743</v>
      </c>
      <c r="K22" s="3615">
        <f>IFERROR(('5. Персонал'!E42+'5. Персонал'!K42+'5. Персонал'!Q42)/('5. Персонал'!E29+'5. Персонал'!K29+'5. Персонал'!Q29),0)</f>
        <v>0.22286844945437104</v>
      </c>
      <c r="L22" s="3615">
        <f>IFERROR(('5. Персонал'!F42+'5. Персонал'!L42+'5. Персонал'!R42)/('5. Персонал'!F29+'5. Персонал'!L29+'5. Персонал'!R29),0)</f>
        <v>0.22574853461477531</v>
      </c>
      <c r="M22" s="3615">
        <f>IFERROR(('5. Персонал'!G42+'5. Персонал'!M42+'5. Персонал'!S42)/('5. Персонал'!G29+'5. Персонал'!M29+'5. Персонал'!S29),0)</f>
        <v>0.2301713643599588</v>
      </c>
      <c r="N22" s="3615">
        <f>IFERROR(('5. Персонал'!H42+'5. Персонал'!N42+'5. Персонал'!T42)/('5. Персонал'!H29+'5. Персонал'!N29+'5. Персонал'!T29),0)</f>
        <v>0.23424356690009532</v>
      </c>
      <c r="O22" s="4523">
        <f t="shared" si="25"/>
        <v>6.424825725414017E-2</v>
      </c>
      <c r="P22" s="4523">
        <f t="shared" si="26"/>
        <v>7.0434413047327032E-2</v>
      </c>
      <c r="Q22" s="3524"/>
      <c r="R22" s="4636" t="s">
        <v>1569</v>
      </c>
      <c r="S22" s="4635">
        <f>IFERROR('8. Ремонтна програма'!J15/'8. Ремонтна програма'!J$24,0)</f>
        <v>5.2994170641229468E-4</v>
      </c>
      <c r="T22" s="4635">
        <f>IFERROR('8. Ремонтна програма'!K15/'8. Ремонтна програма'!K$24,0)</f>
        <v>4.7080979284369113E-4</v>
      </c>
      <c r="U22" s="4635">
        <f>IFERROR('8. Ремонтна програма'!L15/'8. Ремонтна програма'!L$24,0)</f>
        <v>4.4802867383512545E-4</v>
      </c>
      <c r="V22" s="4635">
        <f>IFERROR('8. Ремонтна програма'!M15/'8. Ремонтна програма'!M$24,0)</f>
        <v>4.2426813746287653E-4</v>
      </c>
      <c r="W22" s="4635">
        <f>IFERROR('8. Ремонтна програма'!N15/'8. Ремонтна програма'!N$24,0)</f>
        <v>4.0000000000000002E-4</v>
      </c>
      <c r="X22" s="4635">
        <f>IFERROR('8. Ремонтна програма'!O15/'8. Ремонтна програма'!O$24,0)</f>
        <v>3.7523452157598499E-4</v>
      </c>
      <c r="Y22" s="3752">
        <f t="shared" si="39"/>
        <v>-0.1115819209039549</v>
      </c>
      <c r="Z22" s="3752">
        <f t="shared" si="36"/>
        <v>-0.20300187617260784</v>
      </c>
      <c r="AA22" s="3524"/>
      <c r="AB22" s="5646"/>
      <c r="AC22" s="4528" t="str">
        <f>+'15. ОПП'!$C$7</f>
        <v>2027 г.</v>
      </c>
      <c r="AD22" s="4528" t="str">
        <f>+'15. ОПП'!$D$7</f>
        <v>2028 г.</v>
      </c>
      <c r="AE22" s="4528" t="str">
        <f>+'15. ОПП'!$E$7</f>
        <v>2029 г.</v>
      </c>
      <c r="AF22" s="4528" t="str">
        <f>+'15. ОПП'!$F$7</f>
        <v>2030 г.</v>
      </c>
      <c r="AG22" s="4528" t="str">
        <f>+'15. ОПП'!$G$7</f>
        <v>2031 г.</v>
      </c>
      <c r="AH22" s="3524"/>
      <c r="AI22" s="3524"/>
      <c r="AJ22" s="3524"/>
      <c r="AK22" s="3630" t="s">
        <v>339</v>
      </c>
      <c r="AL22" s="4639" t="s">
        <v>288</v>
      </c>
      <c r="AM22" s="4638">
        <f>'13. Соц. поносимост'!C13</f>
        <v>9.0585599999999999</v>
      </c>
      <c r="AN22" s="4638">
        <f>'13. Соц. поносимост'!D13</f>
        <v>10.164</v>
      </c>
      <c r="AO22" s="4638">
        <f>'13. Соц. поносимост'!E13</f>
        <v>11.091359999999998</v>
      </c>
      <c r="AP22" s="4638">
        <f>'13. Соц. поносимост'!F13</f>
        <v>12.1968</v>
      </c>
      <c r="AQ22" s="4638">
        <f>'13. Соц. поносимост'!G13</f>
        <v>13.762559999999999</v>
      </c>
      <c r="AR22" s="4638">
        <f>'13. Соц. поносимост'!H13</f>
        <v>15.513119999999999</v>
      </c>
      <c r="AS22" s="4638">
        <f>'13. Соц. поносимост'!I13</f>
        <v>19.108319999999999</v>
      </c>
    </row>
    <row r="23" spans="1:48" ht="19.5" customHeight="1">
      <c r="A23" s="3621" t="s">
        <v>1546</v>
      </c>
      <c r="B23" s="3748" t="s">
        <v>170</v>
      </c>
      <c r="C23" s="3615">
        <f>'5. Персонал'!O63</f>
        <v>0.14927344782034346</v>
      </c>
      <c r="D23" s="3615">
        <f>'5. Персонал'!P63</f>
        <v>0.14148351648351648</v>
      </c>
      <c r="E23" s="3615">
        <f>'5. Персонал'!Q63</f>
        <v>0.14796342477140481</v>
      </c>
      <c r="F23" s="3615">
        <f>'5. Персонал'!R63</f>
        <v>0.14894391842680263</v>
      </c>
      <c r="G23" s="3615">
        <f>'5. Персонал'!S63</f>
        <v>0.15023923444976076</v>
      </c>
      <c r="H23" s="3615">
        <f>'5. Персонал'!T63</f>
        <v>0.15086447295036251</v>
      </c>
      <c r="I23" s="3615">
        <f>IFERROR(('5. Персонал'!C46+'5. Персонал'!I46+'5. Персонал'!O46)/('5. Персонал'!C29+'5. Персонал'!I29+'5. Персонал'!O29),0)</f>
        <v>0.14714299812493831</v>
      </c>
      <c r="J23" s="3615">
        <f>IFERROR(('5. Персонал'!D46+'5. Персонал'!J46+'5. Персонал'!P46)/('5. Персонал'!D29+'5. Персонал'!J29+'5. Персонал'!P29),0)</f>
        <v>0.13875727629619602</v>
      </c>
      <c r="K23" s="3615">
        <f>IFERROR(('5. Персонал'!E46+'5. Персонал'!K46+'5. Персонал'!Q46)/('5. Персонал'!E29+'5. Персонал'!K29+'5. Персонал'!Q29),0)</f>
        <v>0.14132389974817125</v>
      </c>
      <c r="L23" s="3615">
        <f>IFERROR(('5. Персонал'!F46+'5. Персонал'!L46+'5. Персонал'!R46)/('5. Персонал'!F29+'5. Персонал'!L29+'5. Персонал'!R29),0)</f>
        <v>0.14315889528436396</v>
      </c>
      <c r="M23" s="3615">
        <f>IFERROR(('5. Персонал'!G46+'5. Персонал'!M46+'5. Персонал'!S46)/('5. Персонал'!G29+'5. Персонал'!M29+'5. Персонал'!S29),0)</f>
        <v>0.14598745200861504</v>
      </c>
      <c r="N23" s="3615">
        <f>IFERROR(('5. Персонал'!H46+'5. Персонал'!N46+'5. Персонал'!T46)/('5. Персонал'!H29+'5. Персонал'!N29+'5. Персонал'!T29),0)</f>
        <v>0.14855177557701074</v>
      </c>
      <c r="O23" s="4523">
        <f t="shared" si="25"/>
        <v>6.630423599867874E-2</v>
      </c>
      <c r="P23" s="4523">
        <f t="shared" si="26"/>
        <v>7.0587284085247129E-2</v>
      </c>
      <c r="Q23" s="3524"/>
      <c r="R23" s="4636" t="s">
        <v>1570</v>
      </c>
      <c r="S23" s="4635">
        <f>IFERROR('8. Ремонтна програма'!J16/'8. Ремонтна програма'!J$24,0)</f>
        <v>1.1658717541070483E-2</v>
      </c>
      <c r="T23" s="4635">
        <f>IFERROR('8. Ремонтна програма'!K16/'8. Ремонтна програма'!K$24,0)</f>
        <v>1.1770244821092278E-2</v>
      </c>
      <c r="U23" s="4635">
        <f>IFERROR('8. Ремонтна програма'!L16/'8. Ремонтна програма'!L$24,0)</f>
        <v>1.1648745519713262E-2</v>
      </c>
      <c r="V23" s="4635">
        <f>IFERROR('8. Ремонтна програма'!M16/'8. Ремонтна програма'!M$24,0)</f>
        <v>1.1030971574034791E-2</v>
      </c>
      <c r="W23" s="4635">
        <f>IFERROR('8. Ремонтна програма'!N16/'8. Ремонтна програма'!N$24,0)</f>
        <v>1.0800000000000001E-2</v>
      </c>
      <c r="X23" s="4635">
        <f>IFERROR('8. Ремонтна програма'!O16/'8. Ремонтна програма'!O$24,0)</f>
        <v>1.0881801125703566E-2</v>
      </c>
      <c r="Y23" s="3752">
        <f t="shared" si="39"/>
        <v>9.5659989727785791E-3</v>
      </c>
      <c r="Z23" s="3752">
        <f t="shared" si="36"/>
        <v>-7.5482176360225042E-2</v>
      </c>
      <c r="AA23" s="3524"/>
      <c r="AB23" s="3732" t="s">
        <v>340</v>
      </c>
      <c r="AC23" s="3733">
        <f>'4. Отчет и прогн. потребление'!E100/1000</f>
        <v>0</v>
      </c>
      <c r="AD23" s="3733">
        <f>'4. Отчет и прогн. потребление'!F100/1000</f>
        <v>0</v>
      </c>
      <c r="AE23" s="3733">
        <f>'4. Отчет и прогн. потребление'!G100/1000</f>
        <v>0</v>
      </c>
      <c r="AF23" s="3733">
        <f>'4. Отчет и прогн. потребление'!H100/1000</f>
        <v>0</v>
      </c>
      <c r="AG23" s="3733">
        <f>'4. Отчет и прогн. потребление'!I100/1000</f>
        <v>0</v>
      </c>
      <c r="AH23" s="3524"/>
      <c r="AI23" s="3524"/>
      <c r="AJ23" s="3524"/>
      <c r="AK23" s="3630" t="s">
        <v>289</v>
      </c>
      <c r="AL23" s="4639" t="s">
        <v>290</v>
      </c>
      <c r="AM23" s="4592">
        <f>'13. Соц. поносимост'!C14</f>
        <v>1061.25</v>
      </c>
      <c r="AN23" s="4592">
        <f>'13. Соц. поносимост'!D14</f>
        <v>1084.5975000000001</v>
      </c>
      <c r="AO23" s="4592">
        <f>'13. Соц. поносимост'!E14</f>
        <v>1118.2200224999999</v>
      </c>
      <c r="AP23" s="4592">
        <f>'13. Соц. поносимост'!F14</f>
        <v>1152.8848431974998</v>
      </c>
      <c r="AQ23" s="4592">
        <f>'13. Соц. поносимост'!G14</f>
        <v>1188.6242733366221</v>
      </c>
      <c r="AR23" s="4592">
        <f>'13. Соц. поносимост'!H14</f>
        <v>1225.4716258100573</v>
      </c>
      <c r="AS23" s="4592">
        <f>'13. Соц. поносимост'!I14</f>
        <v>1263.4612462101688</v>
      </c>
    </row>
    <row r="24" spans="1:48" ht="12.6" customHeight="1">
      <c r="A24" s="5647" t="s">
        <v>2</v>
      </c>
      <c r="B24" s="5656" t="s">
        <v>1537</v>
      </c>
      <c r="C24" s="5658" t="s">
        <v>1236</v>
      </c>
      <c r="D24" s="5659"/>
      <c r="E24" s="5659"/>
      <c r="F24" s="5659"/>
      <c r="G24" s="5659"/>
      <c r="H24" s="5660"/>
      <c r="I24" s="5661" t="s">
        <v>1237</v>
      </c>
      <c r="J24" s="5662"/>
      <c r="K24" s="5662"/>
      <c r="L24" s="5662"/>
      <c r="M24" s="5662"/>
      <c r="N24" s="5663"/>
      <c r="O24" s="5647" t="str">
        <f>CONCATENATE("Изменение ", H25,"спрямо ",D25)</f>
        <v>Изменение 2031 г.спрямо 2027 г.</v>
      </c>
      <c r="P24" s="5647" t="str">
        <f>CONCATENATE("Изменение ", N25,"спрямо ",J25)</f>
        <v>Изменение 2031 г.спрямо 2027 г.</v>
      </c>
      <c r="Q24" s="3524"/>
      <c r="R24" s="4634" t="s">
        <v>1571</v>
      </c>
      <c r="S24" s="4635">
        <f>IFERROR('8. Ремонтна програма'!J17/'8. Ремонтна програма'!J$24,0)</f>
        <v>2.1197668256491787E-3</v>
      </c>
      <c r="T24" s="4635">
        <f>IFERROR('8. Ремонтна програма'!K17/'8. Ремонтна програма'!K$24,0)</f>
        <v>1.8832391713747645E-3</v>
      </c>
      <c r="U24" s="4635">
        <f>IFERROR('8. Ремонтна програма'!L17/'8. Ремонтна програма'!L$24,0)</f>
        <v>2.2401433691756271E-3</v>
      </c>
      <c r="V24" s="4635">
        <f>IFERROR('8. Ремонтна програма'!M17/'8. Ремонтна програма'!M$24,0)</f>
        <v>2.1213406873143827E-3</v>
      </c>
      <c r="W24" s="4635">
        <f>IFERROR('8. Ремонтна програма'!N17/'8. Ремонтна програма'!N$24,0)</f>
        <v>2E-3</v>
      </c>
      <c r="X24" s="4635">
        <f>IFERROR('8. Ремонтна програма'!O17/'8. Ремонтна програма'!O$24,0)</f>
        <v>2.2514071294559099E-3</v>
      </c>
      <c r="Y24" s="3752">
        <f t="shared" si="39"/>
        <v>-0.1115819209039549</v>
      </c>
      <c r="Z24" s="3752">
        <f t="shared" si="36"/>
        <v>0.19549718574108824</v>
      </c>
      <c r="AA24" s="3524"/>
      <c r="AB24" s="3754"/>
      <c r="AC24" s="3755"/>
      <c r="AD24" s="3755"/>
      <c r="AE24" s="3755"/>
      <c r="AF24" s="3755"/>
      <c r="AG24" s="3755"/>
      <c r="AH24" s="3524"/>
      <c r="AI24" s="3524"/>
      <c r="AJ24" s="3524"/>
      <c r="AK24" s="3630" t="s">
        <v>1786</v>
      </c>
      <c r="AL24" s="4639" t="s">
        <v>170</v>
      </c>
      <c r="AM24" s="4640"/>
      <c r="AN24" s="4641">
        <f>'13. Соц. поносимост'!D15</f>
        <v>2.1999999999999999E-2</v>
      </c>
      <c r="AO24" s="4641">
        <f>'13. Соц. поносимост'!E15</f>
        <v>3.1E-2</v>
      </c>
      <c r="AP24" s="4641">
        <f>'13. Соц. поносимост'!F15</f>
        <v>3.1E-2</v>
      </c>
      <c r="AQ24" s="4641">
        <f>'13. Соц. поносимост'!G15</f>
        <v>3.1E-2</v>
      </c>
      <c r="AR24" s="4641">
        <f>'13. Соц. поносимост'!H15</f>
        <v>3.1E-2</v>
      </c>
      <c r="AS24" s="4641">
        <f>'13. Соц. поносимост'!I15</f>
        <v>3.1E-2</v>
      </c>
    </row>
    <row r="25" spans="1:48" ht="14.25" customHeight="1">
      <c r="A25" s="5648"/>
      <c r="B25" s="5657"/>
      <c r="C25" s="4627" t="str">
        <f>+'15. ОПП'!$B$7</f>
        <v>2024 г.</v>
      </c>
      <c r="D25" s="4627" t="str">
        <f>+'15. ОПП'!$C$7</f>
        <v>2027 г.</v>
      </c>
      <c r="E25" s="4627" t="str">
        <f>+'15. ОПП'!$D$7</f>
        <v>2028 г.</v>
      </c>
      <c r="F25" s="4627" t="str">
        <f>+'15. ОПП'!$E$7</f>
        <v>2029 г.</v>
      </c>
      <c r="G25" s="4627" t="str">
        <f>+'15. ОПП'!$F$7</f>
        <v>2030 г.</v>
      </c>
      <c r="H25" s="4627" t="str">
        <f>+'15. ОПП'!$G$7</f>
        <v>2031 г.</v>
      </c>
      <c r="I25" s="4627" t="str">
        <f>+'15. ОПП'!$B$7</f>
        <v>2024 г.</v>
      </c>
      <c r="J25" s="4627" t="str">
        <f>+'15. ОПП'!$C$7</f>
        <v>2027 г.</v>
      </c>
      <c r="K25" s="4627" t="str">
        <f>+'15. ОПП'!$D$7</f>
        <v>2028 г.</v>
      </c>
      <c r="L25" s="4627" t="str">
        <f>+'15. ОПП'!$E$7</f>
        <v>2029 г.</v>
      </c>
      <c r="M25" s="4627" t="str">
        <f>+'15. ОПП'!$F$7</f>
        <v>2030 г.</v>
      </c>
      <c r="N25" s="4627" t="str">
        <f>+'15. ОПП'!$G$7</f>
        <v>2031 г.</v>
      </c>
      <c r="O25" s="5648"/>
      <c r="P25" s="5648"/>
      <c r="Q25" s="3524"/>
      <c r="R25" s="4636" t="s">
        <v>1573</v>
      </c>
      <c r="S25" s="4635">
        <f>IFERROR('8. Ремонтна програма'!J18/'8. Ремонтна програма'!J$24,0)</f>
        <v>1.589825119236884E-3</v>
      </c>
      <c r="T25" s="4635">
        <f>IFERROR('8. Ремонтна програма'!K18/'8. Ремонтна програма'!K$24,0)</f>
        <v>1.4124293785310734E-3</v>
      </c>
      <c r="U25" s="4635">
        <f>IFERROR('8. Ремонтна програма'!L18/'8. Ремонтна програма'!L$24,0)</f>
        <v>1.7921146953405018E-3</v>
      </c>
      <c r="V25" s="4635">
        <f>IFERROR('8. Ремонтна програма'!M18/'8. Ремонтна програма'!M$24,0)</f>
        <v>1.6970725498515061E-3</v>
      </c>
      <c r="W25" s="4635">
        <f>IFERROR('8. Ремонтна програма'!N18/'8. Ремонтна програма'!N$24,0)</f>
        <v>1.6000000000000001E-3</v>
      </c>
      <c r="X25" s="4635">
        <f>IFERROR('8. Ремонтна програма'!O18/'8. Ремонтна програма'!O$24,0)</f>
        <v>1.50093808630394E-3</v>
      </c>
      <c r="Y25" s="3752">
        <f t="shared" si="39"/>
        <v>-0.11158192090395486</v>
      </c>
      <c r="Z25" s="3752">
        <f t="shared" si="36"/>
        <v>6.2664165103189493E-2</v>
      </c>
      <c r="AA25" s="3524"/>
      <c r="AB25" s="5649" t="s">
        <v>1696</v>
      </c>
      <c r="AC25" s="5646" t="s">
        <v>184</v>
      </c>
      <c r="AD25" s="5646"/>
      <c r="AE25" s="5646"/>
      <c r="AF25" s="5646"/>
      <c r="AG25" s="5646"/>
      <c r="AH25" s="3524"/>
      <c r="AI25" s="3524"/>
      <c r="AJ25" s="3524"/>
      <c r="AK25" s="3630" t="s">
        <v>740</v>
      </c>
      <c r="AL25" s="4639" t="s">
        <v>288</v>
      </c>
      <c r="AM25" s="4638">
        <f>'13. Соц. поносимост'!C16</f>
        <v>26.53125</v>
      </c>
      <c r="AN25" s="4638">
        <f>'13. Соц. поносимост'!D16</f>
        <v>27.114937500000003</v>
      </c>
      <c r="AO25" s="4638">
        <f>'13. Соц. поносимост'!E16</f>
        <v>27.955500562499999</v>
      </c>
      <c r="AP25" s="4638">
        <f>'13. Соц. поносимост'!F16</f>
        <v>28.822121079937496</v>
      </c>
      <c r="AQ25" s="4638">
        <f>'13. Соц. поносимост'!G16</f>
        <v>29.715606833415553</v>
      </c>
      <c r="AR25" s="4638">
        <f>'13. Соц. поносимост'!H16</f>
        <v>30.636790645251434</v>
      </c>
      <c r="AS25" s="4638">
        <f>'13. Соц. поносимост'!I16</f>
        <v>31.586531155254221</v>
      </c>
    </row>
    <row r="26" spans="1:48" ht="20.45" customHeight="1">
      <c r="A26" s="3620" t="s">
        <v>1542</v>
      </c>
      <c r="B26" s="3730" t="s">
        <v>676</v>
      </c>
      <c r="C26" s="3731">
        <f>'5. Персонал'!U11</f>
        <v>0</v>
      </c>
      <c r="D26" s="3731">
        <f>'5. Персонал'!V11</f>
        <v>0</v>
      </c>
      <c r="E26" s="3731">
        <f>'5. Персонал'!W11</f>
        <v>0</v>
      </c>
      <c r="F26" s="3731">
        <f>'5. Персонал'!X11</f>
        <v>0</v>
      </c>
      <c r="G26" s="3731">
        <f>'5. Персонал'!Y11</f>
        <v>0</v>
      </c>
      <c r="H26" s="3731">
        <f>'5. Персонал'!Z11</f>
        <v>0</v>
      </c>
      <c r="I26" s="3731">
        <f>'5. Персонал'!AA11</f>
        <v>0</v>
      </c>
      <c r="J26" s="3731">
        <f>'5. Персонал'!AB11</f>
        <v>0</v>
      </c>
      <c r="K26" s="3731">
        <f>'5. Персонал'!AC11</f>
        <v>0</v>
      </c>
      <c r="L26" s="3731">
        <f>'5. Персонал'!AD11</f>
        <v>0</v>
      </c>
      <c r="M26" s="3731">
        <f>'5. Персонал'!AE11</f>
        <v>0</v>
      </c>
      <c r="N26" s="3731">
        <f>'5. Персонал'!AF11</f>
        <v>0</v>
      </c>
      <c r="O26" s="4523">
        <f t="shared" ref="O26:O34" si="50">IFERROR((H26-D26)/D26,0)</f>
        <v>0</v>
      </c>
      <c r="P26" s="4523">
        <f t="shared" ref="P26:P34" si="51">IFERROR((N26-J26)/J26,0)</f>
        <v>0</v>
      </c>
      <c r="Q26" s="3524"/>
      <c r="R26" s="4636" t="s">
        <v>1572</v>
      </c>
      <c r="S26" s="4635">
        <f>IFERROR('8. Ремонтна програма'!J19/'8. Ремонтна програма'!J$24,0)</f>
        <v>7.2072072072072071E-2</v>
      </c>
      <c r="T26" s="4635">
        <f>IFERROR('8. Ремонтна програма'!K19/'8. Ремонтна програма'!K$24,0)</f>
        <v>6.9679849340866296E-2</v>
      </c>
      <c r="U26" s="4635">
        <f>IFERROR('8. Ремонтна програма'!L19/'8. Ремонтна програма'!L$24,0)</f>
        <v>6.7652329749103943E-2</v>
      </c>
      <c r="V26" s="4635">
        <f>IFERROR('8. Ремонтна програма'!M19/'8. Ремонтна програма'!M$24,0)</f>
        <v>6.9155706406448872E-2</v>
      </c>
      <c r="W26" s="4635">
        <f>IFERROR('8. Ремонтна програма'!N19/'8. Ремонтна програма'!N$24,0)</f>
        <v>7.0400000000000004E-2</v>
      </c>
      <c r="X26" s="4635">
        <f>IFERROR('8. Ремонтна програма'!O19/'8. Ремонтна програма'!O$24,0)</f>
        <v>7.3170731707317069E-2</v>
      </c>
      <c r="Y26" s="3752">
        <f t="shared" si="39"/>
        <v>-3.3192090395480142E-2</v>
      </c>
      <c r="Z26" s="3752">
        <f t="shared" si="36"/>
        <v>5.0098879367171903E-2</v>
      </c>
      <c r="AA26" s="3524"/>
      <c r="AB26" s="5650"/>
      <c r="AC26" s="4528" t="str">
        <f>+'15. ОПП'!$C$7</f>
        <v>2027 г.</v>
      </c>
      <c r="AD26" s="4528" t="str">
        <f>+'15. ОПП'!$D$7</f>
        <v>2028 г.</v>
      </c>
      <c r="AE26" s="4528" t="str">
        <f>+'15. ОПП'!$E$7</f>
        <v>2029 г.</v>
      </c>
      <c r="AF26" s="4528" t="str">
        <f>+'15. ОПП'!$F$7</f>
        <v>2030 г.</v>
      </c>
      <c r="AG26" s="4528" t="str">
        <f>+'15. ОПП'!$G$7</f>
        <v>2031 г.</v>
      </c>
      <c r="AH26" s="3524"/>
      <c r="AI26" s="3524"/>
      <c r="AJ26" s="3524"/>
      <c r="AK26" s="3632" t="s">
        <v>1730</v>
      </c>
      <c r="AL26" s="4639" t="s">
        <v>292</v>
      </c>
      <c r="AM26" s="4642">
        <f>'13. Соц. поносимост'!C17</f>
        <v>9.4754464285714288</v>
      </c>
      <c r="AN26" s="4642">
        <f>'13. Соц. поносимост'!D17</f>
        <v>9.6839062500000015</v>
      </c>
      <c r="AO26" s="4642">
        <f>'13. Соц. поносимост'!E17</f>
        <v>9.9841073437500008</v>
      </c>
      <c r="AP26" s="4642">
        <f>'13. Соц. поносимост'!F17</f>
        <v>10.29361467140625</v>
      </c>
      <c r="AQ26" s="4642">
        <f>'13. Соц. поносимост'!G17</f>
        <v>10.612716726219841</v>
      </c>
      <c r="AR26" s="4642">
        <f>'13. Соц. поносимост'!H17</f>
        <v>10.941710944732655</v>
      </c>
      <c r="AS26" s="4642">
        <f>'13. Соц. поносимост'!I17</f>
        <v>11.280903984019366</v>
      </c>
    </row>
    <row r="27" spans="1:48" ht="22.5" customHeight="1">
      <c r="A27" s="3617" t="s">
        <v>1535</v>
      </c>
      <c r="B27" s="3734" t="s">
        <v>1540</v>
      </c>
      <c r="C27" s="3735">
        <f>'5. Персонал'!U14</f>
        <v>0</v>
      </c>
      <c r="D27" s="3735">
        <f>'5. Персонал'!V14</f>
        <v>0</v>
      </c>
      <c r="E27" s="3735">
        <f>'5. Персонал'!W14</f>
        <v>0</v>
      </c>
      <c r="F27" s="3735">
        <f>'5. Персонал'!X14</f>
        <v>0</v>
      </c>
      <c r="G27" s="3735">
        <f>'5. Персонал'!Y14</f>
        <v>0</v>
      </c>
      <c r="H27" s="3735">
        <f>'5. Персонал'!Z14</f>
        <v>0</v>
      </c>
      <c r="I27" s="3735">
        <f>'5. Персонал'!AA14</f>
        <v>0</v>
      </c>
      <c r="J27" s="3735">
        <f>'5. Персонал'!AB14</f>
        <v>0</v>
      </c>
      <c r="K27" s="3735">
        <f>'5. Персонал'!AC14</f>
        <v>0</v>
      </c>
      <c r="L27" s="3735">
        <f>'5. Персонал'!AD14</f>
        <v>0</v>
      </c>
      <c r="M27" s="3735">
        <f>'5. Персонал'!AE14</f>
        <v>0</v>
      </c>
      <c r="N27" s="3735">
        <f>'5. Персонал'!AF14</f>
        <v>0</v>
      </c>
      <c r="O27" s="4523">
        <f t="shared" si="50"/>
        <v>0</v>
      </c>
      <c r="P27" s="4523">
        <f t="shared" si="51"/>
        <v>0</v>
      </c>
      <c r="Q27" s="3524"/>
      <c r="R27" s="4636" t="s">
        <v>914</v>
      </c>
      <c r="S27" s="4635">
        <f>IFERROR('8. Ремонтна програма'!J20/'8. Ремонтна програма'!J$24,0)</f>
        <v>1.2188659247482777E-2</v>
      </c>
      <c r="T27" s="4635">
        <f>IFERROR('8. Ремонтна програма'!K20/'8. Ремонтна програма'!K$24,0)</f>
        <v>1.2241054613935969E-2</v>
      </c>
      <c r="U27" s="4635">
        <f>IFERROR('8. Ремонтна програма'!L20/'8. Ремонтна програма'!L$24,0)</f>
        <v>1.1648745519713262E-2</v>
      </c>
      <c r="V27" s="4635">
        <f>IFERROR('8. Ремонтна програма'!M20/'8. Ремонтна програма'!M$24,0)</f>
        <v>1.1030971574034791E-2</v>
      </c>
      <c r="W27" s="4635">
        <f>IFERROR('8. Ремонтна програма'!N20/'8. Ремонтна програма'!N$24,0)</f>
        <v>1.0800000000000001E-2</v>
      </c>
      <c r="X27" s="4635">
        <f>IFERROR('8. Ремонтна програма'!O20/'8. Ремонтна програма'!O$24,0)</f>
        <v>1.050656660412758E-2</v>
      </c>
      <c r="Y27" s="3752">
        <f t="shared" si="39"/>
        <v>4.2986981085728071E-3</v>
      </c>
      <c r="Z27" s="3752">
        <f t="shared" si="36"/>
        <v>-0.14169432818588537</v>
      </c>
      <c r="AA27" s="3524"/>
      <c r="AB27" s="3756" t="s">
        <v>302</v>
      </c>
      <c r="AC27" s="3650">
        <f>'16. Необходими приходи'!D49</f>
        <v>1.3721479846253808</v>
      </c>
      <c r="AD27" s="3650">
        <f>'16. Необходими приходи'!E49</f>
        <v>1.3721525812104058</v>
      </c>
      <c r="AE27" s="3650">
        <f>'16. Необходими приходи'!F49</f>
        <v>1.3721530460002511</v>
      </c>
      <c r="AF27" s="3650">
        <f>'16. Необходими приходи'!G49</f>
        <v>1.3721489994033464</v>
      </c>
      <c r="AG27" s="3650">
        <f>'16. Необходими приходи'!H49</f>
        <v>1.3721520076399585</v>
      </c>
      <c r="AH27" s="3524"/>
      <c r="AI27" s="3524"/>
      <c r="AJ27" s="3524"/>
      <c r="AK27" s="3632" t="s">
        <v>1731</v>
      </c>
      <c r="AL27" s="4639" t="s">
        <v>328</v>
      </c>
      <c r="AM27" s="4643"/>
      <c r="AN27" s="4644"/>
      <c r="AO27" s="4645">
        <f>(AL5+AL7+AL9)*1.2</f>
        <v>3.9611999999999998</v>
      </c>
      <c r="AP27" s="4645">
        <f t="shared" ref="AP27:AS27" si="52">(AM5+AM7+AM9)*1.2</f>
        <v>4.3559999999999999</v>
      </c>
      <c r="AQ27" s="4645">
        <f t="shared" si="52"/>
        <v>4.9151999999999996</v>
      </c>
      <c r="AR27" s="4645">
        <f t="shared" si="52"/>
        <v>5.5404</v>
      </c>
      <c r="AS27" s="4645">
        <f t="shared" si="52"/>
        <v>6.8243999999999998</v>
      </c>
    </row>
    <row r="28" spans="1:48" ht="16.5" customHeight="1">
      <c r="A28" s="3623" t="s">
        <v>1545</v>
      </c>
      <c r="B28" s="3737" t="s">
        <v>170</v>
      </c>
      <c r="C28" s="3738"/>
      <c r="D28" s="3739">
        <f>IFERROR((D27-C27)/C27,0)</f>
        <v>0</v>
      </c>
      <c r="E28" s="3739">
        <f t="shared" ref="E28" si="53">IFERROR((E27-D27)/D27,0)</f>
        <v>0</v>
      </c>
      <c r="F28" s="3739">
        <f t="shared" ref="F28" si="54">IFERROR((F27-E27)/E27,0)</f>
        <v>0</v>
      </c>
      <c r="G28" s="3739">
        <f t="shared" ref="G28" si="55">IFERROR((G27-F27)/F27,0)</f>
        <v>0</v>
      </c>
      <c r="H28" s="3739">
        <f t="shared" ref="H28" si="56">IFERROR((H27-G27)/G27,0)</f>
        <v>0</v>
      </c>
      <c r="I28" s="3738"/>
      <c r="J28" s="3740">
        <f>IFERROR((J27-I27)/I27,0)</f>
        <v>0</v>
      </c>
      <c r="K28" s="3740">
        <f t="shared" ref="K28" si="57">IFERROR((K27-J27)/J27,0)</f>
        <v>0</v>
      </c>
      <c r="L28" s="3740">
        <f t="shared" ref="L28" si="58">IFERROR((L27-K27)/K27,0)</f>
        <v>0</v>
      </c>
      <c r="M28" s="3740">
        <f t="shared" ref="M28" si="59">IFERROR((M27-L27)/L27,0)</f>
        <v>0</v>
      </c>
      <c r="N28" s="3740">
        <f t="shared" ref="N28" si="60">IFERROR((N27-M27)/M27,0)</f>
        <v>0</v>
      </c>
      <c r="O28" s="4523">
        <f t="shared" si="50"/>
        <v>0</v>
      </c>
      <c r="P28" s="4523">
        <f t="shared" si="51"/>
        <v>0</v>
      </c>
      <c r="Q28" s="3524"/>
      <c r="R28" s="4634" t="s">
        <v>915</v>
      </c>
      <c r="S28" s="4635">
        <f>IFERROR('8. Ремонтна програма'!J21/'8. Ремонтна програма'!J$24,0)</f>
        <v>5.2994170641229468E-4</v>
      </c>
      <c r="T28" s="4635">
        <f>IFERROR('8. Ремонтна програма'!K21/'8. Ремонтна програма'!K$24,0)</f>
        <v>4.7080979284369113E-4</v>
      </c>
      <c r="U28" s="4635">
        <f>IFERROR('8. Ремонтна програма'!L21/'8. Ремонтна програма'!L$24,0)</f>
        <v>4.4802867383512545E-4</v>
      </c>
      <c r="V28" s="4635">
        <f>IFERROR('8. Ремонтна програма'!M21/'8. Ремонтна програма'!M$24,0)</f>
        <v>4.2426813746287653E-4</v>
      </c>
      <c r="W28" s="4635">
        <f>IFERROR('8. Ремонтна програма'!N21/'8. Ремонтна програма'!N$24,0)</f>
        <v>4.0000000000000002E-4</v>
      </c>
      <c r="X28" s="4635">
        <f>IFERROR('8. Ремонтна програма'!O21/'8. Ремонтна програма'!O$24,0)</f>
        <v>3.7523452157598499E-4</v>
      </c>
      <c r="Y28" s="3752">
        <f t="shared" si="39"/>
        <v>-0.1115819209039549</v>
      </c>
      <c r="Z28" s="3752">
        <f t="shared" si="36"/>
        <v>-0.20300187617260784</v>
      </c>
      <c r="AA28" s="3524"/>
      <c r="AB28" s="3756" t="s">
        <v>303</v>
      </c>
      <c r="AC28" s="3650">
        <f>'16. Необходими приходи'!D50</f>
        <v>1.6310394046379582</v>
      </c>
      <c r="AD28" s="3650">
        <f>'16. Необходими приходи'!E50</f>
        <v>1.6310392236150426</v>
      </c>
      <c r="AE28" s="3650">
        <f>'16. Необходими приходи'!F50</f>
        <v>1.6310397813628568</v>
      </c>
      <c r="AF28" s="3650">
        <f>'16. Необходими приходи'!G50</f>
        <v>1.6310429562350308</v>
      </c>
      <c r="AG28" s="3650">
        <f>'16. Необходими приходи'!H50</f>
        <v>1.6310416326109214</v>
      </c>
      <c r="AH28" s="3524"/>
      <c r="AI28" s="3524"/>
      <c r="AJ28" s="3524"/>
      <c r="AK28" s="3524"/>
      <c r="AL28" s="3524"/>
      <c r="AM28" s="3524"/>
      <c r="AN28" s="3524"/>
      <c r="AO28" s="3524"/>
      <c r="AP28" s="3524"/>
    </row>
    <row r="29" spans="1:48">
      <c r="A29" s="3623" t="s">
        <v>1544</v>
      </c>
      <c r="B29" s="3737" t="s">
        <v>170</v>
      </c>
      <c r="C29" s="3738"/>
      <c r="D29" s="3739">
        <f>IFERROR((D27-$C$27)/$C$27,0)</f>
        <v>0</v>
      </c>
      <c r="E29" s="3739">
        <f t="shared" ref="E29:H29" si="61">IFERROR((E27-$C$27)/$C$27,0)</f>
        <v>0</v>
      </c>
      <c r="F29" s="3739">
        <f t="shared" si="61"/>
        <v>0</v>
      </c>
      <c r="G29" s="3739">
        <f t="shared" si="61"/>
        <v>0</v>
      </c>
      <c r="H29" s="3739">
        <f t="shared" si="61"/>
        <v>0</v>
      </c>
      <c r="I29" s="3738"/>
      <c r="J29" s="3753">
        <f>IFERROR((J27-$I$27)/$I$27,0)</f>
        <v>0</v>
      </c>
      <c r="K29" s="3740">
        <f t="shared" ref="K29:N29" si="62">IFERROR((K27-$I$27)/$I$27,0)</f>
        <v>0</v>
      </c>
      <c r="L29" s="3739">
        <f t="shared" si="62"/>
        <v>0</v>
      </c>
      <c r="M29" s="3739">
        <f t="shared" si="62"/>
        <v>0</v>
      </c>
      <c r="N29" s="3739">
        <f t="shared" si="62"/>
        <v>0</v>
      </c>
      <c r="O29" s="4523">
        <f t="shared" si="50"/>
        <v>0</v>
      </c>
      <c r="P29" s="4523">
        <f t="shared" si="51"/>
        <v>0</v>
      </c>
      <c r="Q29" s="3524"/>
      <c r="R29" s="4634" t="s">
        <v>1350</v>
      </c>
      <c r="S29" s="4635">
        <f>IFERROR('8. Ремонтна програма'!J22/'8. Ремонтна програма'!J$24,0)</f>
        <v>1.1128775834658187E-2</v>
      </c>
      <c r="T29" s="4635">
        <f>IFERROR('8. Ремонтна програма'!K22/'8. Ремонтна програма'!K$24,0)</f>
        <v>1.0828625235404897E-2</v>
      </c>
      <c r="U29" s="4635">
        <f>IFERROR('8. Ремонтна програма'!L22/'8. Ремонтна програма'!L$24,0)</f>
        <v>1.0752688172043012E-2</v>
      </c>
      <c r="V29" s="4635">
        <f>IFERROR('8. Ремонтна програма'!M22/'8. Ремонтна програма'!M$24,0)</f>
        <v>1.0182435299109036E-2</v>
      </c>
      <c r="W29" s="4635">
        <f>IFERROR('8. Ремонтна програма'!N22/'8. Ремонтна програма'!N$24,0)</f>
        <v>1.04E-2</v>
      </c>
      <c r="X29" s="4635">
        <f>IFERROR('8. Ремонтна програма'!O22/'8. Ремонтна програма'!O$24,0)</f>
        <v>1.0131332082551596E-2</v>
      </c>
      <c r="Y29" s="3752">
        <f t="shared" si="39"/>
        <v>-2.6970675275759928E-2</v>
      </c>
      <c r="Z29" s="3752">
        <f t="shared" si="36"/>
        <v>-6.4393506811322235E-2</v>
      </c>
      <c r="AA29" s="3524"/>
      <c r="AB29" s="3756" t="s">
        <v>304</v>
      </c>
      <c r="AC29" s="3650">
        <f>'16. Необходими приходи'!D51</f>
        <v>2.189052759577172</v>
      </c>
      <c r="AD29" s="3650">
        <f>'16. Необходими приходи'!E51</f>
        <v>2.1890483892707913</v>
      </c>
      <c r="AE29" s="3650">
        <f>'16. Необходими приходи'!F51</f>
        <v>2.1890472272961778</v>
      </c>
      <c r="AF29" s="3650">
        <f>'16. Необходими приходи'!G51</f>
        <v>2.1890473053028652</v>
      </c>
      <c r="AG29" s="3650">
        <f>'16. Необходими приходи'!H51</f>
        <v>2.1890459515963898</v>
      </c>
      <c r="AH29" s="3524"/>
      <c r="AI29" s="3524"/>
      <c r="AJ29" s="3524"/>
      <c r="AK29" s="3524"/>
      <c r="AL29" s="3524"/>
      <c r="AM29" s="3524"/>
      <c r="AN29" s="3524"/>
      <c r="AO29" s="3524"/>
      <c r="AP29" s="3524"/>
    </row>
    <row r="30" spans="1:48" ht="19.5" customHeight="1">
      <c r="A30" s="3618" t="s">
        <v>1536</v>
      </c>
      <c r="B30" s="3743" t="s">
        <v>1541</v>
      </c>
      <c r="C30" s="3744">
        <f>'5. Персонал'!U50</f>
        <v>0</v>
      </c>
      <c r="D30" s="3744">
        <f>'5. Персонал'!V50</f>
        <v>0</v>
      </c>
      <c r="E30" s="3744">
        <f>'5. Персонал'!W50</f>
        <v>0</v>
      </c>
      <c r="F30" s="3744">
        <f>'5. Персонал'!X50</f>
        <v>0</v>
      </c>
      <c r="G30" s="3744">
        <f>'5. Персонал'!Y50</f>
        <v>0</v>
      </c>
      <c r="H30" s="3744">
        <f>'5. Персонал'!Z50</f>
        <v>0</v>
      </c>
      <c r="I30" s="3744">
        <f>'5. Персонал'!AA50</f>
        <v>0</v>
      </c>
      <c r="J30" s="3744">
        <f>'5. Персонал'!AB50</f>
        <v>0</v>
      </c>
      <c r="K30" s="3744">
        <f>'5. Персонал'!AC50</f>
        <v>0</v>
      </c>
      <c r="L30" s="3744">
        <f>'5. Персонал'!AD50</f>
        <v>0</v>
      </c>
      <c r="M30" s="3744">
        <f>'5. Персонал'!AE50</f>
        <v>0</v>
      </c>
      <c r="N30" s="3744">
        <f>'5. Персонал'!AF50</f>
        <v>0</v>
      </c>
      <c r="O30" s="4523">
        <f t="shared" si="50"/>
        <v>0</v>
      </c>
      <c r="P30" s="4523">
        <f t="shared" si="51"/>
        <v>0</v>
      </c>
      <c r="Q30" s="3524"/>
      <c r="R30" s="4634" t="s">
        <v>1563</v>
      </c>
      <c r="S30" s="4635">
        <f>IFERROR('8. Ремонтна програма'!J23/'8. Ремонтна програма'!J$24,0)</f>
        <v>1.589825119236884E-3</v>
      </c>
      <c r="T30" s="4635">
        <f>IFERROR('8. Ремонтна програма'!K23/'8. Ремонтна програма'!K$24,0)</f>
        <v>1.8832391713747645E-3</v>
      </c>
      <c r="U30" s="4635">
        <f>IFERROR('8. Ремонтна програма'!L23/'8. Ремонтна програма'!L$24,0)</f>
        <v>1.7921146953405018E-3</v>
      </c>
      <c r="V30" s="4635">
        <f>IFERROR('8. Ремонтна програма'!M23/'8. Ремонтна програма'!M$24,0)</f>
        <v>1.6970725498515061E-3</v>
      </c>
      <c r="W30" s="4635">
        <f>IFERROR('8. Ремонтна програма'!N23/'8. Ремонтна програма'!N$24,0)</f>
        <v>1.6000000000000001E-3</v>
      </c>
      <c r="X30" s="4635">
        <f>IFERROR('8. Ремонтна програма'!O23/'8. Ремонтна програма'!O$24,0)</f>
        <v>1.876172607879925E-3</v>
      </c>
      <c r="Y30" s="3752">
        <f t="shared" si="39"/>
        <v>0.1845574387947268</v>
      </c>
      <c r="Z30" s="3752">
        <f t="shared" si="36"/>
        <v>-3.7523452157598091E-3</v>
      </c>
      <c r="AA30" s="3524"/>
      <c r="AB30" s="3757" t="s">
        <v>1711</v>
      </c>
      <c r="AC30" s="3755"/>
      <c r="AD30" s="3755"/>
      <c r="AE30" s="3755"/>
      <c r="AF30" s="3755"/>
      <c r="AG30" s="3755"/>
      <c r="AH30" s="3524"/>
      <c r="AI30" s="3524"/>
      <c r="AJ30" s="3524"/>
      <c r="AK30" s="5646" t="s">
        <v>1908</v>
      </c>
      <c r="AL30" s="5647" t="str">
        <f>+'15. ОПП'!$C$7</f>
        <v>2027 г.</v>
      </c>
      <c r="AM30" s="5647" t="str">
        <f>+'15. ОПП'!$D$7</f>
        <v>2028 г.</v>
      </c>
      <c r="AN30" s="5647" t="str">
        <f>+'15. ОПП'!$E$7</f>
        <v>2029 г.</v>
      </c>
      <c r="AO30" s="5647" t="str">
        <f>+'15. ОПП'!$F$7</f>
        <v>2030 г.</v>
      </c>
      <c r="AP30" s="5647" t="str">
        <f>+'15. ОПП'!$G$7</f>
        <v>2031 г.</v>
      </c>
      <c r="AR30" s="5647" t="str">
        <f>+'15. ОПП'!$C$7</f>
        <v>2027 г.</v>
      </c>
      <c r="AS30" s="5647" t="str">
        <f>+'15. ОПП'!$D$7</f>
        <v>2028 г.</v>
      </c>
      <c r="AT30" s="5647" t="str">
        <f>+'15. ОПП'!$E$7</f>
        <v>2029 г.</v>
      </c>
      <c r="AU30" s="5647" t="str">
        <f>+'15. ОПП'!$F$7</f>
        <v>2030 г.</v>
      </c>
      <c r="AV30" s="5647" t="str">
        <f>+'15. ОПП'!$G$7</f>
        <v>2031 г.</v>
      </c>
    </row>
    <row r="31" spans="1:48" ht="13.5" customHeight="1">
      <c r="A31" s="3623" t="s">
        <v>1545</v>
      </c>
      <c r="B31" s="3737" t="s">
        <v>170</v>
      </c>
      <c r="C31" s="3738"/>
      <c r="D31" s="3739">
        <f>IFERROR((D30-C30)/C30,0)</f>
        <v>0</v>
      </c>
      <c r="E31" s="3739">
        <f t="shared" ref="E31" si="63">IFERROR((E30-D30)/D30,0)</f>
        <v>0</v>
      </c>
      <c r="F31" s="3739">
        <f t="shared" ref="F31" si="64">IFERROR((F30-E30)/E30,0)</f>
        <v>0</v>
      </c>
      <c r="G31" s="3739">
        <f t="shared" ref="G31" si="65">IFERROR((G30-F30)/F30,0)</f>
        <v>0</v>
      </c>
      <c r="H31" s="3739">
        <f t="shared" ref="H31" si="66">IFERROR((H30-G30)/G30,0)</f>
        <v>0</v>
      </c>
      <c r="I31" s="3738"/>
      <c r="J31" s="3740">
        <f>IFERROR((J30-I30)/I30,0)</f>
        <v>0</v>
      </c>
      <c r="K31" s="3740">
        <f t="shared" ref="K31" si="67">IFERROR((K30-J30)/J30,0)</f>
        <v>0</v>
      </c>
      <c r="L31" s="3740">
        <f t="shared" ref="L31" si="68">IFERROR((L30-K30)/K30,0)</f>
        <v>0</v>
      </c>
      <c r="M31" s="3740">
        <f t="shared" ref="M31" si="69">IFERROR((M30-L30)/L30,0)</f>
        <v>0</v>
      </c>
      <c r="N31" s="3740">
        <f t="shared" ref="N31" si="70">IFERROR((N30-M30)/M30,0)</f>
        <v>0</v>
      </c>
      <c r="O31" s="4523">
        <f t="shared" si="50"/>
        <v>0</v>
      </c>
      <c r="P31" s="4523">
        <f t="shared" si="51"/>
        <v>0</v>
      </c>
      <c r="Q31" s="3524"/>
      <c r="R31" s="3524"/>
      <c r="S31" s="3524"/>
      <c r="T31" s="3524"/>
      <c r="U31" s="3524"/>
      <c r="V31" s="3524"/>
      <c r="W31" s="3524"/>
      <c r="X31" s="3524"/>
      <c r="Y31" s="3524"/>
      <c r="Z31" s="3524"/>
      <c r="AA31" s="3524"/>
      <c r="AB31" s="5645" t="s">
        <v>1724</v>
      </c>
      <c r="AC31" s="5646" t="s">
        <v>184</v>
      </c>
      <c r="AD31" s="5646"/>
      <c r="AE31" s="5646"/>
      <c r="AF31" s="5646"/>
      <c r="AG31" s="5646"/>
      <c r="AH31" s="4524"/>
      <c r="AI31" s="4524"/>
      <c r="AJ31" s="3524"/>
      <c r="AK31" s="5646"/>
      <c r="AL31" s="5648" t="str">
        <f>+'15. ОПП'!$C$7</f>
        <v>2027 г.</v>
      </c>
      <c r="AM31" s="5648" t="str">
        <f>+'15. ОПП'!$D$7</f>
        <v>2028 г.</v>
      </c>
      <c r="AN31" s="5648" t="str">
        <f>+'15. ОПП'!$E$7</f>
        <v>2029 г.</v>
      </c>
      <c r="AO31" s="5648" t="str">
        <f>+'15. ОПП'!$F$7</f>
        <v>2030 г.</v>
      </c>
      <c r="AP31" s="5648" t="str">
        <f>+'15. ОПП'!$G$7</f>
        <v>2031 г.</v>
      </c>
      <c r="AR31" s="5648" t="str">
        <f>+'15. ОПП'!$C$7</f>
        <v>2027 г.</v>
      </c>
      <c r="AS31" s="5648" t="str">
        <f>+'15. ОПП'!$D$7</f>
        <v>2028 г.</v>
      </c>
      <c r="AT31" s="5648" t="str">
        <f>+'15. ОПП'!$E$7</f>
        <v>2029 г.</v>
      </c>
      <c r="AU31" s="5648" t="str">
        <f>+'15. ОПП'!$F$7</f>
        <v>2030 г.</v>
      </c>
      <c r="AV31" s="5648" t="str">
        <f>+'15. ОПП'!$G$7</f>
        <v>2031 г.</v>
      </c>
    </row>
    <row r="32" spans="1:48">
      <c r="A32" s="3622" t="s">
        <v>1543</v>
      </c>
      <c r="B32" s="3737" t="s">
        <v>170</v>
      </c>
      <c r="C32" s="3738"/>
      <c r="D32" s="3739">
        <f>IFERROR((D30-$C$30)/$C$30,0)</f>
        <v>0</v>
      </c>
      <c r="E32" s="3739">
        <f t="shared" ref="E32:H32" si="71">IFERROR((E30-$C$30)/$C$30,0)</f>
        <v>0</v>
      </c>
      <c r="F32" s="3739">
        <f t="shared" si="71"/>
        <v>0</v>
      </c>
      <c r="G32" s="3739">
        <f t="shared" si="71"/>
        <v>0</v>
      </c>
      <c r="H32" s="3739">
        <f t="shared" si="71"/>
        <v>0</v>
      </c>
      <c r="I32" s="3738"/>
      <c r="J32" s="3739">
        <f>IFERROR((J30-$I$30)/$I$30,0)</f>
        <v>0</v>
      </c>
      <c r="K32" s="3740">
        <f t="shared" ref="K32:N32" si="72">IFERROR((K30-$I$30)/$I$30,0)</f>
        <v>0</v>
      </c>
      <c r="L32" s="3739">
        <f t="shared" si="72"/>
        <v>0</v>
      </c>
      <c r="M32" s="3739">
        <f t="shared" si="72"/>
        <v>0</v>
      </c>
      <c r="N32" s="3739">
        <f t="shared" si="72"/>
        <v>0</v>
      </c>
      <c r="O32" s="4523">
        <f t="shared" si="50"/>
        <v>0</v>
      </c>
      <c r="P32" s="4523">
        <f t="shared" si="51"/>
        <v>0</v>
      </c>
      <c r="Q32" s="3524"/>
      <c r="R32" s="3524"/>
      <c r="S32" s="3524"/>
      <c r="T32" s="3524"/>
      <c r="U32" s="3524"/>
      <c r="V32" s="3524"/>
      <c r="W32" s="3524"/>
      <c r="X32" s="3524"/>
      <c r="Y32" s="3524"/>
      <c r="Z32" s="3524"/>
      <c r="AA32" s="3524"/>
      <c r="AB32" s="5645"/>
      <c r="AC32" s="4528" t="str">
        <f>+'15. ОПП'!$C$7</f>
        <v>2027 г.</v>
      </c>
      <c r="AD32" s="4528" t="str">
        <f>+'15. ОПП'!$D$7</f>
        <v>2028 г.</v>
      </c>
      <c r="AE32" s="4528" t="str">
        <f>+'15. ОПП'!$E$7</f>
        <v>2029 г.</v>
      </c>
      <c r="AF32" s="4528" t="str">
        <f>+'15. ОПП'!$F$7</f>
        <v>2030 г.</v>
      </c>
      <c r="AG32" s="4528" t="str">
        <f>+'15. ОПП'!$G$7</f>
        <v>2031 г.</v>
      </c>
      <c r="AH32" s="4524"/>
      <c r="AI32" s="4524"/>
      <c r="AJ32" s="3524"/>
      <c r="AK32" s="5651" t="s">
        <v>207</v>
      </c>
      <c r="AL32" s="5652"/>
      <c r="AM32" s="5652"/>
      <c r="AN32" s="5652"/>
      <c r="AO32" s="5652"/>
      <c r="AP32" s="5653"/>
      <c r="AR32" s="4894"/>
      <c r="AS32" s="4894"/>
      <c r="AT32" s="4894"/>
      <c r="AU32" s="4894"/>
      <c r="AV32" s="4895"/>
    </row>
    <row r="33" spans="1:48" ht="21" customHeight="1">
      <c r="A33" s="3621" t="s">
        <v>1547</v>
      </c>
      <c r="B33" s="3748" t="s">
        <v>170</v>
      </c>
      <c r="C33" s="3615">
        <f>'5. Персонал'!U62</f>
        <v>0</v>
      </c>
      <c r="D33" s="3615">
        <f>'5. Персонал'!V62</f>
        <v>0</v>
      </c>
      <c r="E33" s="3615">
        <f>'5. Персонал'!W62</f>
        <v>0</v>
      </c>
      <c r="F33" s="3615">
        <f>'5. Персонал'!X62</f>
        <v>0</v>
      </c>
      <c r="G33" s="3615">
        <f>'5. Персонал'!Y62</f>
        <v>0</v>
      </c>
      <c r="H33" s="3615">
        <f>'5. Персонал'!Z62</f>
        <v>0</v>
      </c>
      <c r="I33" s="3615">
        <f>'5. Персонал'!AA62</f>
        <v>0</v>
      </c>
      <c r="J33" s="3615">
        <f>'5. Персонал'!AB62</f>
        <v>0</v>
      </c>
      <c r="K33" s="3615">
        <f>'5. Персонал'!AC62</f>
        <v>0</v>
      </c>
      <c r="L33" s="3615">
        <f>'5. Персонал'!AD62</f>
        <v>0</v>
      </c>
      <c r="M33" s="3615">
        <f>'5. Персонал'!AE62</f>
        <v>0</v>
      </c>
      <c r="N33" s="3615">
        <f>'5. Персонал'!AF62</f>
        <v>0</v>
      </c>
      <c r="O33" s="4523">
        <f t="shared" si="50"/>
        <v>0</v>
      </c>
      <c r="P33" s="4523">
        <f t="shared" si="51"/>
        <v>0</v>
      </c>
      <c r="Q33" s="3524"/>
      <c r="R33" s="4632" t="s">
        <v>1859</v>
      </c>
      <c r="S33" s="4633" t="str">
        <f>+'15. ОПП'!$B$7</f>
        <v>2024 г.</v>
      </c>
      <c r="T33" s="4633" t="str">
        <f>+'15. ОПП'!$C$7</f>
        <v>2027 г.</v>
      </c>
      <c r="U33" s="4633" t="str">
        <f>+'15. ОПП'!$D$7</f>
        <v>2028 г.</v>
      </c>
      <c r="V33" s="4633" t="str">
        <f>+'15. ОПП'!$E$7</f>
        <v>2029 г.</v>
      </c>
      <c r="W33" s="4633" t="str">
        <f>+'15. ОПП'!$F$7</f>
        <v>2030 г.</v>
      </c>
      <c r="X33" s="4633" t="str">
        <f>+'15. ОПП'!$G$7</f>
        <v>2031 г.</v>
      </c>
      <c r="Y33" s="4633" t="str">
        <f>+Y16</f>
        <v>Изменение 2027 г.спрямо 2024 г.</v>
      </c>
      <c r="Z33" s="4633" t="str">
        <f>+Z16</f>
        <v>Изменение 2031 г.спрямо 2027 г.</v>
      </c>
      <c r="AA33" s="3524"/>
      <c r="AB33" s="4542" t="s">
        <v>1707</v>
      </c>
      <c r="AC33" s="3779">
        <f>'16. Необходими приходи'!D55</f>
        <v>208590</v>
      </c>
      <c r="AD33" s="3779">
        <f>'16. Необходими приходи'!E55</f>
        <v>201910</v>
      </c>
      <c r="AE33" s="3779">
        <f>'16. Необходими приходи'!F55</f>
        <v>195180</v>
      </c>
      <c r="AF33" s="3779">
        <f>'16. Необходими приходи'!G55</f>
        <v>192485</v>
      </c>
      <c r="AG33" s="3779">
        <f>'16. Необходими приходи'!H55</f>
        <v>189795</v>
      </c>
      <c r="AH33" s="4524"/>
      <c r="AI33" s="4524"/>
      <c r="AJ33" s="3524"/>
      <c r="AK33" s="1488" t="s">
        <v>608</v>
      </c>
      <c r="AL33" s="3736">
        <f>AR33</f>
        <v>1.9510000000000001</v>
      </c>
      <c r="AM33" s="3736">
        <f t="shared" ref="AM33:AP33" si="73">AS33</f>
        <v>2.12</v>
      </c>
      <c r="AN33" s="3736">
        <f t="shared" si="73"/>
        <v>2.395</v>
      </c>
      <c r="AO33" s="3736">
        <f t="shared" si="73"/>
        <v>2.6869999999999998</v>
      </c>
      <c r="AP33" s="3736">
        <f t="shared" si="73"/>
        <v>3.0550000000000002</v>
      </c>
      <c r="AR33" s="3736">
        <f>AL5</f>
        <v>1.9510000000000001</v>
      </c>
      <c r="AS33" s="3736">
        <f>AM5</f>
        <v>2.12</v>
      </c>
      <c r="AT33" s="3736">
        <f>AN5</f>
        <v>2.395</v>
      </c>
      <c r="AU33" s="3736">
        <f>AO5</f>
        <v>2.6869999999999998</v>
      </c>
      <c r="AV33" s="3736">
        <f>AP5</f>
        <v>3.0550000000000002</v>
      </c>
    </row>
    <row r="34" spans="1:48" ht="18.75" customHeight="1">
      <c r="A34" s="3621" t="s">
        <v>1546</v>
      </c>
      <c r="B34" s="3748" t="s">
        <v>170</v>
      </c>
      <c r="C34" s="3615">
        <f>'5. Персонал'!U63</f>
        <v>0</v>
      </c>
      <c r="D34" s="3615">
        <f>'5. Персонал'!V63</f>
        <v>0</v>
      </c>
      <c r="E34" s="3615">
        <f>'5. Персонал'!W63</f>
        <v>0</v>
      </c>
      <c r="F34" s="3615">
        <f>'5. Персонал'!X63</f>
        <v>0</v>
      </c>
      <c r="G34" s="3615">
        <f>'5. Персонал'!Y63</f>
        <v>0</v>
      </c>
      <c r="H34" s="3615">
        <f>'5. Персонал'!Z63</f>
        <v>0</v>
      </c>
      <c r="I34" s="3615">
        <f>'5. Персонал'!AA63</f>
        <v>0</v>
      </c>
      <c r="J34" s="3615">
        <f>'5. Персонал'!AB63</f>
        <v>0</v>
      </c>
      <c r="K34" s="3615">
        <f>'5. Персонал'!AC63</f>
        <v>0</v>
      </c>
      <c r="L34" s="3615">
        <f>'5. Персонал'!AD63</f>
        <v>0</v>
      </c>
      <c r="M34" s="3615">
        <f>'5. Персонал'!AE63</f>
        <v>0</v>
      </c>
      <c r="N34" s="3615">
        <f>'5. Персонал'!AF63</f>
        <v>0</v>
      </c>
      <c r="O34" s="4523">
        <f t="shared" si="50"/>
        <v>0</v>
      </c>
      <c r="P34" s="4523">
        <f t="shared" si="51"/>
        <v>0</v>
      </c>
      <c r="Q34" s="3524"/>
      <c r="R34" s="4636" t="s">
        <v>1575</v>
      </c>
      <c r="S34" s="4635">
        <f>IFERROR('8. Ремонтна програма'!J41/'8. Ремонтна програма'!J$54,0)</f>
        <v>0</v>
      </c>
      <c r="T34" s="4635">
        <f>IFERROR('8. Ремонтна програма'!K41/'8. Ремонтна програма'!K$54,0)</f>
        <v>2724.0816326530612</v>
      </c>
      <c r="U34" s="4635">
        <f>IFERROR('8. Ремонтна програма'!L41/'8. Ремонтна програма'!L$54,0)</f>
        <v>10068.6</v>
      </c>
      <c r="V34" s="4635">
        <f>IFERROR('8. Ремонтна програма'!M41/'8. Ремонтна програма'!M$54,0)</f>
        <v>9018.6666666666661</v>
      </c>
      <c r="W34" s="4635">
        <f>IFERROR('8. Ремонтна програма'!N41/'8. Ремонтна програма'!N$54,0)</f>
        <v>8332.5714285714275</v>
      </c>
      <c r="X34" s="4635">
        <f>IFERROR('8. Ремонтна програма'!O41/'8. Ремонтна програма'!O$54,0)</f>
        <v>7902.6249999999991</v>
      </c>
      <c r="Y34" s="3752">
        <f t="shared" ref="Y34:Y45" si="74">IFERROR((T34-S34)/S34,0)</f>
        <v>0</v>
      </c>
      <c r="Z34" s="3752">
        <f t="shared" ref="Z34:Z55" si="75">IFERROR((X34-T34)/T34,0)</f>
        <v>1.9010235615822593</v>
      </c>
      <c r="AA34" s="3524"/>
      <c r="AB34" s="4542" t="s">
        <v>1708</v>
      </c>
      <c r="AC34" s="3779">
        <f>'16. Необходими приходи'!D56</f>
        <v>29738</v>
      </c>
      <c r="AD34" s="3779">
        <f>'16. Необходими приходи'!E56</f>
        <v>28785</v>
      </c>
      <c r="AE34" s="3779">
        <f>'16. Необходими приходи'!F56</f>
        <v>27826</v>
      </c>
      <c r="AF34" s="3779">
        <f>'16. Необходими приходи'!G56</f>
        <v>27445</v>
      </c>
      <c r="AG34" s="3779">
        <f>'16. Необходими приходи'!H56</f>
        <v>27060</v>
      </c>
      <c r="AH34" s="4524"/>
      <c r="AI34" s="4524"/>
      <c r="AJ34" s="3524"/>
      <c r="AK34" s="3632" t="s">
        <v>1927</v>
      </c>
      <c r="AL34" s="4645">
        <f>IFERROR(ROUND(AR34,5),"-")</f>
        <v>1.86297</v>
      </c>
      <c r="AM34" s="4645">
        <f t="shared" ref="AM34:AM39" si="76">IFERROR(ROUND(AS34,5),"-")</f>
        <v>2.0321799999999999</v>
      </c>
      <c r="AN34" s="4645">
        <f t="shared" ref="AN34:AN39" si="77">IFERROR(ROUND(AT34,5),"-")</f>
        <v>2.3064100000000001</v>
      </c>
      <c r="AO34" s="4645">
        <f t="shared" ref="AO34:AO39" si="78">IFERROR(ROUND(AU34,5),"-")</f>
        <v>2.5981900000000002</v>
      </c>
      <c r="AP34" s="4645">
        <f t="shared" ref="AP34:AP39" si="79">IFERROR(ROUND(AV34,5),"-")</f>
        <v>2.9660899999999999</v>
      </c>
      <c r="AR34" s="4645">
        <f>IFERROR(('12. Разходи'!D88-'12. Разходи'!D89)/'16. Необходими приходи'!D12,"-")</f>
        <v>1.8629697066330897</v>
      </c>
      <c r="AS34" s="4645">
        <f>IFERROR(('12. Разходи'!E88-'12. Разходи'!E89)/'16. Необходими приходи'!E12,"-")</f>
        <v>2.0321771204669097</v>
      </c>
      <c r="AT34" s="4645">
        <f>IFERROR(('12. Разходи'!F88-'12. Разходи'!F89)/'16. Необходими приходи'!F12,"-")</f>
        <v>2.3064116136293751</v>
      </c>
      <c r="AU34" s="4645">
        <f>IFERROR(('12. Разходи'!G88-'12. Разходи'!G89)/'16. Необходими приходи'!G12,"-")</f>
        <v>2.5981931906450297</v>
      </c>
      <c r="AV34" s="4645">
        <f>IFERROR(('12. Разходи'!H88-'12. Разходи'!H89)/'16. Необходими приходи'!H12,"-")</f>
        <v>2.9660915083746593</v>
      </c>
    </row>
    <row r="35" spans="1:48" ht="14.25" customHeight="1">
      <c r="A35" s="5647" t="s">
        <v>2</v>
      </c>
      <c r="B35" s="5656" t="s">
        <v>1537</v>
      </c>
      <c r="C35" s="5658" t="s">
        <v>1538</v>
      </c>
      <c r="D35" s="5659"/>
      <c r="E35" s="5659"/>
      <c r="F35" s="5659"/>
      <c r="G35" s="5659"/>
      <c r="H35" s="5660"/>
      <c r="I35" s="5661" t="s">
        <v>1539</v>
      </c>
      <c r="J35" s="5662"/>
      <c r="K35" s="5662"/>
      <c r="L35" s="5662"/>
      <c r="M35" s="5662"/>
      <c r="N35" s="5663"/>
      <c r="O35" s="5647" t="str">
        <f>CONCATENATE("Изменение ", H36,"спрямо ",D36)</f>
        <v>Изменение 2031 г.спрямо 2027 г.</v>
      </c>
      <c r="P35" s="5647" t="str">
        <f>CONCATENATE("Изменение ", N36,"спрямо ",J36)</f>
        <v>Изменение 2031 г.спрямо 2027 г.</v>
      </c>
      <c r="Q35" s="3524"/>
      <c r="R35" s="4634" t="s">
        <v>1574</v>
      </c>
      <c r="S35" s="4635">
        <f>IFERROR('8. Ремонтна програма'!J42/'8. Ремонтна програма'!J$54,0)</f>
        <v>0</v>
      </c>
      <c r="T35" s="4635">
        <f>IFERROR('8. Ремонтна програма'!K42/'8. Ремонтна програма'!K$54,0)</f>
        <v>1400.4081632653063</v>
      </c>
      <c r="U35" s="4635">
        <f>IFERROR('8. Ремонтна програма'!L42/'8. Ремонтна програма'!L$54,0)</f>
        <v>5328.4000000000005</v>
      </c>
      <c r="V35" s="4635">
        <f>IFERROR('8. Ремонтна програма'!M42/'8. Ремонтна програма'!M$54,0)</f>
        <v>4717</v>
      </c>
      <c r="W35" s="4635">
        <f>IFERROR('8. Ремонтна програма'!N42/'8. Ремонтна програма'!N$54,0)</f>
        <v>4337.1428571428569</v>
      </c>
      <c r="X35" s="4635">
        <f>IFERROR('8. Ремонтна програма'!O42/'8. Ремонтна програма'!O$54,0)</f>
        <v>4178.125</v>
      </c>
      <c r="Y35" s="3752">
        <f t="shared" si="74"/>
        <v>0</v>
      </c>
      <c r="Z35" s="3752">
        <f t="shared" si="75"/>
        <v>1.9835051734188283</v>
      </c>
      <c r="AA35" s="3524"/>
      <c r="AB35" s="4542" t="s">
        <v>1709</v>
      </c>
      <c r="AC35" s="3779">
        <f>'16. Необходими приходи'!D57</f>
        <v>144901</v>
      </c>
      <c r="AD35" s="3779">
        <f>'16. Необходими приходи'!E57</f>
        <v>140255</v>
      </c>
      <c r="AE35" s="3779">
        <f>'16. Необходими приходи'!F57</f>
        <v>135579</v>
      </c>
      <c r="AF35" s="3779">
        <f>'16. Необходими приходи'!G57</f>
        <v>133709</v>
      </c>
      <c r="AG35" s="3779">
        <f>'16. Необходими приходи'!H57</f>
        <v>131838</v>
      </c>
      <c r="AH35" s="4524"/>
      <c r="AI35" s="4524"/>
      <c r="AJ35" s="3524"/>
      <c r="AK35" s="3630" t="s">
        <v>1928</v>
      </c>
      <c r="AL35" s="4902">
        <f t="shared" ref="AL35:AL39" si="80">IFERROR(ROUND(AR35,5),"-")</f>
        <v>0.38238</v>
      </c>
      <c r="AM35" s="4902">
        <f t="shared" si="76"/>
        <v>0.34277999999999997</v>
      </c>
      <c r="AN35" s="4902">
        <f t="shared" si="77"/>
        <v>0.35099000000000002</v>
      </c>
      <c r="AO35" s="4902">
        <f t="shared" si="78"/>
        <v>0.35898000000000002</v>
      </c>
      <c r="AP35" s="4902">
        <f t="shared" si="79"/>
        <v>0.38767000000000001</v>
      </c>
      <c r="AR35" s="4902">
        <f>IFERROR('12. Разходи'!D55/'16. Необходими приходи'!D12,"-")</f>
        <v>0.38238103260804168</v>
      </c>
      <c r="AS35" s="4902">
        <f>IFERROR('12. Разходи'!E55/'16. Необходими приходи'!E12,"-")</f>
        <v>0.34277819825057221</v>
      </c>
      <c r="AT35" s="4902">
        <f>IFERROR('12. Разходи'!F55/'16. Необходими приходи'!F12,"-")</f>
        <v>0.35099166995542608</v>
      </c>
      <c r="AU35" s="4902">
        <f>IFERROR('12. Разходи'!G55/'16. Необходими приходи'!G12,"-")</f>
        <v>0.35898393022956593</v>
      </c>
      <c r="AV35" s="4902">
        <f>IFERROR('12. Разходи'!H55/'16. Необходими приходи'!H12,"-")</f>
        <v>0.38767313647793339</v>
      </c>
    </row>
    <row r="36" spans="1:48" ht="12.75" customHeight="1">
      <c r="A36" s="5648"/>
      <c r="B36" s="5657"/>
      <c r="C36" s="4627" t="str">
        <f>+'15. ОПП'!$B$7</f>
        <v>2024 г.</v>
      </c>
      <c r="D36" s="4627" t="str">
        <f>+'15. ОПП'!$C$7</f>
        <v>2027 г.</v>
      </c>
      <c r="E36" s="4627" t="str">
        <f>+'15. ОПП'!$D$7</f>
        <v>2028 г.</v>
      </c>
      <c r="F36" s="4627" t="str">
        <f>+'15. ОПП'!$E$7</f>
        <v>2029 г.</v>
      </c>
      <c r="G36" s="4627" t="str">
        <f>+'15. ОПП'!$F$7</f>
        <v>2030 г.</v>
      </c>
      <c r="H36" s="4627" t="str">
        <f>+'15. ОПП'!$G$7</f>
        <v>2031 г.</v>
      </c>
      <c r="I36" s="4627" t="str">
        <f>+'15. ОПП'!$B$7</f>
        <v>2024 г.</v>
      </c>
      <c r="J36" s="4627" t="str">
        <f>+'15. ОПП'!$C$7</f>
        <v>2027 г.</v>
      </c>
      <c r="K36" s="4627" t="str">
        <f>+'15. ОПП'!$D$7</f>
        <v>2028 г.</v>
      </c>
      <c r="L36" s="4627" t="str">
        <f>+'15. ОПП'!$E$7</f>
        <v>2029 г.</v>
      </c>
      <c r="M36" s="4627" t="str">
        <f>+'15. ОПП'!$F$7</f>
        <v>2030 г.</v>
      </c>
      <c r="N36" s="4627" t="str">
        <f>+'15. ОПП'!$G$7</f>
        <v>2031 г.</v>
      </c>
      <c r="O36" s="5648"/>
      <c r="P36" s="5648"/>
      <c r="Q36" s="3524"/>
      <c r="R36" s="4634" t="s">
        <v>1576</v>
      </c>
      <c r="S36" s="4635">
        <f>IFERROR('8. Ремонтна програма'!J43/'8. Ремонтна програма'!J$54,0)</f>
        <v>0</v>
      </c>
      <c r="T36" s="4635">
        <f>IFERROR('8. Ремонтна програма'!K43/'8. Ремонтна програма'!K$54,0)</f>
        <v>0</v>
      </c>
      <c r="U36" s="4635">
        <f>IFERROR('8. Ремонтна програма'!L43/'8. Ремонтна програма'!L$54,0)</f>
        <v>0</v>
      </c>
      <c r="V36" s="4635">
        <f>IFERROR('8. Ремонтна програма'!M43/'8. Ремонтна програма'!M$54,0)</f>
        <v>0</v>
      </c>
      <c r="W36" s="4635">
        <f>IFERROR('8. Ремонтна програма'!N43/'8. Ремонтна програма'!N$54,0)</f>
        <v>0</v>
      </c>
      <c r="X36" s="4635">
        <f>IFERROR('8. Ремонтна програма'!O43/'8. Ремонтна програма'!O$54,0)</f>
        <v>0</v>
      </c>
      <c r="Y36" s="3752">
        <f t="shared" si="74"/>
        <v>0</v>
      </c>
      <c r="Z36" s="3752">
        <f t="shared" si="75"/>
        <v>0</v>
      </c>
      <c r="AA36" s="3524"/>
      <c r="AB36" s="4646" t="s">
        <v>1710</v>
      </c>
      <c r="AC36" s="3904">
        <f>SUM(AC33:AC35)</f>
        <v>383229</v>
      </c>
      <c r="AD36" s="3904">
        <f t="shared" ref="AD36:AG36" si="81">SUM(AD33:AD35)</f>
        <v>370950</v>
      </c>
      <c r="AE36" s="3904">
        <f t="shared" si="81"/>
        <v>358585</v>
      </c>
      <c r="AF36" s="3904">
        <f t="shared" si="81"/>
        <v>353639</v>
      </c>
      <c r="AG36" s="3904">
        <f t="shared" si="81"/>
        <v>348693</v>
      </c>
      <c r="AH36" s="4524"/>
      <c r="AI36" s="4524"/>
      <c r="AJ36" s="3524"/>
      <c r="AK36" s="3630" t="s">
        <v>1929</v>
      </c>
      <c r="AL36" s="4902">
        <f t="shared" si="80"/>
        <v>1.21577</v>
      </c>
      <c r="AM36" s="4902">
        <f t="shared" si="76"/>
        <v>1.41727</v>
      </c>
      <c r="AN36" s="4902">
        <f t="shared" si="77"/>
        <v>1.67404</v>
      </c>
      <c r="AO36" s="4902">
        <f t="shared" si="78"/>
        <v>1.9490799999999999</v>
      </c>
      <c r="AP36" s="4902">
        <f t="shared" si="79"/>
        <v>2.27847</v>
      </c>
      <c r="AR36" s="4902">
        <f>IFERROR(('12. Разходи'!D59+'12. Разходи'!D63)/'16. Необходими приходи'!D12,"-")</f>
        <v>1.2157700835662495</v>
      </c>
      <c r="AS36" s="4902">
        <f>IFERROR(('12. Разходи'!E59+'12. Разходи'!E63)/'16. Необходими приходи'!E12,"-")</f>
        <v>1.4172742940234662</v>
      </c>
      <c r="AT36" s="4902">
        <f>IFERROR(('12. Разходи'!F59+'12. Разходи'!F63)/'16. Необходими приходи'!F12,"-")</f>
        <v>1.6740423406387019</v>
      </c>
      <c r="AU36" s="4902">
        <f>IFERROR(('12. Разходи'!G59+'12. Разходи'!G63)/'16. Необходими приходи'!G12,"-")</f>
        <v>1.9490807596368831</v>
      </c>
      <c r="AV36" s="4902">
        <f>IFERROR(('12. Разходи'!H59+'12. Разходи'!H63)/'16. Необходими приходи'!H12,"-")</f>
        <v>2.278472376140857</v>
      </c>
    </row>
    <row r="37" spans="1:48" ht="20.45" customHeight="1">
      <c r="A37" s="3620" t="s">
        <v>1542</v>
      </c>
      <c r="B37" s="3730" t="s">
        <v>676</v>
      </c>
      <c r="C37" s="3731">
        <f>C4+C26+I26</f>
        <v>331</v>
      </c>
      <c r="D37" s="3731">
        <f t="shared" ref="D37:H37" si="82">D4+D26+J26</f>
        <v>329</v>
      </c>
      <c r="E37" s="3731">
        <f t="shared" si="82"/>
        <v>321</v>
      </c>
      <c r="F37" s="3731">
        <f t="shared" si="82"/>
        <v>316</v>
      </c>
      <c r="G37" s="3731">
        <f t="shared" si="82"/>
        <v>309</v>
      </c>
      <c r="H37" s="3731">
        <f t="shared" si="82"/>
        <v>302</v>
      </c>
      <c r="I37" s="3731">
        <f>I4+C15</f>
        <v>165</v>
      </c>
      <c r="J37" s="3731">
        <f t="shared" ref="J37:N37" si="83">J4+D15</f>
        <v>153</v>
      </c>
      <c r="K37" s="3731">
        <f t="shared" si="83"/>
        <v>152</v>
      </c>
      <c r="L37" s="3731">
        <f t="shared" si="83"/>
        <v>151</v>
      </c>
      <c r="M37" s="3731">
        <f t="shared" si="83"/>
        <v>149</v>
      </c>
      <c r="N37" s="3731">
        <f t="shared" si="83"/>
        <v>148</v>
      </c>
      <c r="O37" s="4523">
        <f t="shared" ref="O37:O45" si="84">IFERROR((H37-D37)/D37,0)</f>
        <v>-8.2066869300911852E-2</v>
      </c>
      <c r="P37" s="4523">
        <f t="shared" ref="P37:P45" si="85">IFERROR((N37-J37)/J37,0)</f>
        <v>-3.2679738562091505E-2</v>
      </c>
      <c r="Q37" s="3524"/>
      <c r="R37" s="4636" t="s">
        <v>1577</v>
      </c>
      <c r="S37" s="4635">
        <f>IFERROR('8. Ремонтна програма'!J44/'8. Ремонтна програма'!J$54,0)</f>
        <v>0</v>
      </c>
      <c r="T37" s="4635">
        <f>IFERROR('8. Ремонтна програма'!K44/'8. Ремонтна програма'!K$54,0)</f>
        <v>0</v>
      </c>
      <c r="U37" s="4635">
        <f>IFERROR('8. Ремонтна програма'!L44/'8. Ремонтна програма'!L$54,0)</f>
        <v>0</v>
      </c>
      <c r="V37" s="4635">
        <f>IFERROR('8. Ремонтна програма'!M44/'8. Ремонтна програма'!M$54,0)</f>
        <v>0</v>
      </c>
      <c r="W37" s="4635">
        <f>IFERROR('8. Ремонтна програма'!N44/'8. Ремонтна програма'!N$54,0)</f>
        <v>0</v>
      </c>
      <c r="X37" s="4635">
        <f>IFERROR('8. Ремонтна програма'!O44/'8. Ремонтна програма'!O$54,0)</f>
        <v>0</v>
      </c>
      <c r="Y37" s="3752">
        <f t="shared" si="74"/>
        <v>0</v>
      </c>
      <c r="Z37" s="3752">
        <f t="shared" si="75"/>
        <v>0</v>
      </c>
      <c r="AA37" s="3524"/>
      <c r="AB37" s="3528"/>
      <c r="AC37" s="4524"/>
      <c r="AD37" s="4524"/>
      <c r="AE37" s="4524"/>
      <c r="AF37" s="4524"/>
      <c r="AG37" s="4524"/>
      <c r="AH37" s="4524"/>
      <c r="AI37" s="4524"/>
      <c r="AJ37" s="3524"/>
      <c r="AK37" s="3632" t="s">
        <v>1930</v>
      </c>
      <c r="AL37" s="4645">
        <f t="shared" si="80"/>
        <v>8.8289999999999993E-2</v>
      </c>
      <c r="AM37" s="4645">
        <f t="shared" si="76"/>
        <v>8.8179999999999994E-2</v>
      </c>
      <c r="AN37" s="4645">
        <f t="shared" si="77"/>
        <v>8.863E-2</v>
      </c>
      <c r="AO37" s="4645">
        <f t="shared" si="78"/>
        <v>8.8859999999999995E-2</v>
      </c>
      <c r="AP37" s="4645">
        <f t="shared" si="79"/>
        <v>8.8980000000000004E-2</v>
      </c>
      <c r="AR37" s="4645">
        <f>IFERROR('12. Разходи'!D89/'16. Необходими приходи'!D12,"-")</f>
        <v>8.8292104152350226E-2</v>
      </c>
      <c r="AS37" s="4645">
        <f>IFERROR('12. Разходи'!E89/'16. Необходими приходи'!E12,"-")</f>
        <v>8.8177112499778276E-2</v>
      </c>
      <c r="AT37" s="4645">
        <f>IFERROR('12. Разходи'!F89/'16. Необходими приходи'!F12,"-")</f>
        <v>8.8628492387786056E-2</v>
      </c>
      <c r="AU37" s="4645">
        <f>IFERROR('12. Разходи'!G89/'16. Необходими приходи'!G12,"-")</f>
        <v>8.8855250578110223E-2</v>
      </c>
      <c r="AV37" s="4645">
        <f>IFERROR('12. Разходи'!H89/'16. Необходими приходи'!H12,"-")</f>
        <v>8.8980695328084253E-2</v>
      </c>
    </row>
    <row r="38" spans="1:48" ht="21">
      <c r="A38" s="3617" t="s">
        <v>1535</v>
      </c>
      <c r="B38" s="3734" t="s">
        <v>1540</v>
      </c>
      <c r="C38" s="3731">
        <f>C5+C27+I27</f>
        <v>331</v>
      </c>
      <c r="D38" s="3731">
        <f t="shared" ref="D38:H38" si="86">D5+D27+J27</f>
        <v>329</v>
      </c>
      <c r="E38" s="3731">
        <f t="shared" si="86"/>
        <v>321</v>
      </c>
      <c r="F38" s="3731">
        <f t="shared" si="86"/>
        <v>316</v>
      </c>
      <c r="G38" s="3731">
        <f t="shared" si="86"/>
        <v>309</v>
      </c>
      <c r="H38" s="3731">
        <f t="shared" si="86"/>
        <v>302</v>
      </c>
      <c r="I38" s="3731">
        <f>I5+C16</f>
        <v>165</v>
      </c>
      <c r="J38" s="3731">
        <f t="shared" ref="J38:N38" si="87">J5+D16</f>
        <v>153</v>
      </c>
      <c r="K38" s="3731">
        <f t="shared" si="87"/>
        <v>152</v>
      </c>
      <c r="L38" s="3731">
        <f t="shared" si="87"/>
        <v>151</v>
      </c>
      <c r="M38" s="3731">
        <f t="shared" si="87"/>
        <v>149</v>
      </c>
      <c r="N38" s="3731">
        <f t="shared" si="87"/>
        <v>148</v>
      </c>
      <c r="O38" s="4523">
        <f t="shared" si="84"/>
        <v>-8.2066869300911852E-2</v>
      </c>
      <c r="P38" s="4523">
        <f t="shared" si="85"/>
        <v>-3.2679738562091505E-2</v>
      </c>
      <c r="Q38" s="3524"/>
      <c r="R38" s="4634" t="s">
        <v>1578</v>
      </c>
      <c r="S38" s="4635">
        <f>IFERROR('8. Ремонтна програма'!J45/'8. Ремонтна програма'!J$54,0)</f>
        <v>0</v>
      </c>
      <c r="T38" s="4635">
        <f>IFERROR('8. Ремонтна програма'!K45/'8. Ремонтна програма'!K$54,0)</f>
        <v>0</v>
      </c>
      <c r="U38" s="4635">
        <f>IFERROR('8. Ремонтна програма'!L45/'8. Ремонтна програма'!L$54,0)</f>
        <v>0</v>
      </c>
      <c r="V38" s="4635">
        <f>IFERROR('8. Ремонтна програма'!M45/'8. Ремонтна програма'!M$54,0)</f>
        <v>0</v>
      </c>
      <c r="W38" s="4635">
        <f>IFERROR('8. Ремонтна програма'!N45/'8. Ремонтна програма'!N$54,0)</f>
        <v>0</v>
      </c>
      <c r="X38" s="4635">
        <f>IFERROR('8. Ремонтна програма'!O45/'8. Ремонтна програма'!O$54,0)</f>
        <v>0</v>
      </c>
      <c r="Y38" s="3752">
        <f t="shared" si="74"/>
        <v>0</v>
      </c>
      <c r="Z38" s="3752">
        <f t="shared" si="75"/>
        <v>0</v>
      </c>
      <c r="AA38" s="3524"/>
      <c r="AB38" s="3528"/>
      <c r="AC38" s="4524"/>
      <c r="AD38" s="4524"/>
      <c r="AE38" s="4524"/>
      <c r="AF38" s="4524"/>
      <c r="AG38" s="4524"/>
      <c r="AH38" s="4524"/>
      <c r="AI38" s="4524"/>
      <c r="AJ38" s="3524"/>
      <c r="AK38" s="3630" t="s">
        <v>1931</v>
      </c>
      <c r="AL38" s="4902">
        <f t="shared" si="80"/>
        <v>3.2719999999999999E-2</v>
      </c>
      <c r="AM38" s="4902">
        <f t="shared" si="76"/>
        <v>3.2070000000000001E-2</v>
      </c>
      <c r="AN38" s="4902">
        <f t="shared" si="77"/>
        <v>3.1829999999999997E-2</v>
      </c>
      <c r="AO38" s="4902">
        <f t="shared" si="78"/>
        <v>3.1449999999999999E-2</v>
      </c>
      <c r="AP38" s="4902">
        <f t="shared" si="79"/>
        <v>3.083E-2</v>
      </c>
      <c r="AR38" s="4902">
        <f>IFERROR('12. Разходи'!D17/'16. Необходими приходи'!D12,"-")</f>
        <v>3.272159182128876E-2</v>
      </c>
      <c r="AS38" s="4902">
        <f>IFERROR('12. Разходи'!E17/'16. Необходими приходи'!E12,"-")</f>
        <v>3.2068941738361445E-2</v>
      </c>
      <c r="AT38" s="4902">
        <f>IFERROR('12. Разходи'!F17/'16. Необходими приходи'!F12,"-")</f>
        <v>3.1828956291213004E-2</v>
      </c>
      <c r="AU38" s="4902">
        <f>IFERROR('12. Разходи'!G17/'16. Необходими приходи'!G12,"-")</f>
        <v>3.144705039079547E-2</v>
      </c>
      <c r="AV38" s="4902">
        <f>IFERROR('12. Разходи'!H17/'16. Необходими приходи'!H12,"-")</f>
        <v>3.0826882383065451E-2</v>
      </c>
    </row>
    <row r="39" spans="1:48" ht="15" customHeight="1">
      <c r="A39" s="3623" t="s">
        <v>1545</v>
      </c>
      <c r="B39" s="3737" t="s">
        <v>170</v>
      </c>
      <c r="C39" s="3738"/>
      <c r="D39" s="3739">
        <f>IFERROR((D38-C38)/C38,0)</f>
        <v>-6.0422960725075529E-3</v>
      </c>
      <c r="E39" s="3739">
        <f t="shared" ref="E39" si="88">IFERROR((E38-D38)/D38,0)</f>
        <v>-2.4316109422492401E-2</v>
      </c>
      <c r="F39" s="3739">
        <f t="shared" ref="F39" si="89">IFERROR((F38-E38)/E38,0)</f>
        <v>-1.5576323987538941E-2</v>
      </c>
      <c r="G39" s="3739">
        <f t="shared" ref="G39" si="90">IFERROR((G38-F38)/F38,0)</f>
        <v>-2.2151898734177215E-2</v>
      </c>
      <c r="H39" s="3739">
        <f t="shared" ref="H39" si="91">IFERROR((H38-G38)/G38,0)</f>
        <v>-2.2653721682847898E-2</v>
      </c>
      <c r="I39" s="3738"/>
      <c r="J39" s="3740">
        <f>IFERROR((J38-I38)/I38,0)</f>
        <v>-7.2727272727272724E-2</v>
      </c>
      <c r="K39" s="3740">
        <f t="shared" ref="K39" si="92">IFERROR((K38-J38)/J38,0)</f>
        <v>-6.5359477124183009E-3</v>
      </c>
      <c r="L39" s="3740">
        <f t="shared" ref="L39" si="93">IFERROR((L38-K38)/K38,0)</f>
        <v>-6.5789473684210523E-3</v>
      </c>
      <c r="M39" s="3740">
        <f t="shared" ref="M39" si="94">IFERROR((M38-L38)/L38,0)</f>
        <v>-1.3245033112582781E-2</v>
      </c>
      <c r="N39" s="3740">
        <f t="shared" ref="N39" si="95">IFERROR((N38-M38)/M38,0)</f>
        <v>-6.7114093959731542E-3</v>
      </c>
      <c r="O39" s="4523">
        <f t="shared" si="84"/>
        <v>2.7491909385113273</v>
      </c>
      <c r="P39" s="4523">
        <f t="shared" si="85"/>
        <v>-0.90771812080536907</v>
      </c>
      <c r="Q39" s="3524"/>
      <c r="R39" s="4634" t="s">
        <v>1579</v>
      </c>
      <c r="S39" s="4635">
        <f>IFERROR('8. Ремонтна програма'!J46/'8. Ремонтна програма'!J$54,0)</f>
        <v>0</v>
      </c>
      <c r="T39" s="4635">
        <f>IFERROR('8. Ремонтна програма'!K46/'8. Ремонтна програма'!K$54,0)</f>
        <v>191.83673469387756</v>
      </c>
      <c r="U39" s="4635">
        <f>IFERROR('8. Ремонтна програма'!L46/'8. Ремонтна програма'!L$54,0)</f>
        <v>692</v>
      </c>
      <c r="V39" s="4635">
        <f>IFERROR('8. Ремонтна програма'!M46/'8. Ремонтна програма'!M$54,0)</f>
        <v>593.33333333333337</v>
      </c>
      <c r="W39" s="4635">
        <f>IFERROR('8. Ремонтна програма'!N46/'8. Ремонтна програма'!N$54,0)</f>
        <v>525.71428571428567</v>
      </c>
      <c r="X39" s="4635">
        <f>IFERROR('8. Ремонтна програма'!O46/'8. Ремонтна програма'!O$54,0)</f>
        <v>477.49999999999994</v>
      </c>
      <c r="Y39" s="3752">
        <f t="shared" si="74"/>
        <v>0</v>
      </c>
      <c r="Z39" s="3752">
        <f t="shared" si="75"/>
        <v>1.4890957446808508</v>
      </c>
      <c r="AA39" s="3524"/>
      <c r="AB39" s="3528"/>
      <c r="AC39" s="4524"/>
      <c r="AD39" s="4524"/>
      <c r="AE39" s="4524"/>
      <c r="AF39" s="4524"/>
      <c r="AG39" s="4524"/>
      <c r="AH39" s="4524"/>
      <c r="AI39" s="4524"/>
      <c r="AJ39" s="3524"/>
      <c r="AK39" s="3632" t="s">
        <v>1932</v>
      </c>
      <c r="AL39" s="4645">
        <f t="shared" si="80"/>
        <v>0</v>
      </c>
      <c r="AM39" s="4903">
        <f t="shared" si="76"/>
        <v>0</v>
      </c>
      <c r="AN39" s="4903">
        <f t="shared" si="77"/>
        <v>0</v>
      </c>
      <c r="AO39" s="4903">
        <f t="shared" si="78"/>
        <v>0</v>
      </c>
      <c r="AP39" s="4903">
        <f t="shared" si="79"/>
        <v>0</v>
      </c>
      <c r="AR39" s="4645">
        <f>IFERROR('16. Необходими приходи'!D9/'16. Необходими приходи'!D12,"-")</f>
        <v>0</v>
      </c>
      <c r="AS39" s="4903">
        <f>IFERROR('16. Необходими приходи'!E9/'16. Необходими приходи'!E12,"-")</f>
        <v>0</v>
      </c>
      <c r="AT39" s="4903">
        <f>IFERROR('16. Необходими приходи'!F9/'16. Необходими приходи'!F12,"-")</f>
        <v>0</v>
      </c>
      <c r="AU39" s="4903">
        <f>IFERROR('16. Необходими приходи'!G9/'16. Необходими приходи'!G12,"-")</f>
        <v>0</v>
      </c>
      <c r="AV39" s="4903">
        <f>IFERROR('16. Необходими приходи'!H9/'16. Необходими приходи'!H12,"-")</f>
        <v>0</v>
      </c>
    </row>
    <row r="40" spans="1:48">
      <c r="A40" s="3623" t="s">
        <v>1544</v>
      </c>
      <c r="B40" s="3737" t="s">
        <v>170</v>
      </c>
      <c r="C40" s="3738"/>
      <c r="D40" s="3739">
        <f>IFERROR((D38-$C$38)/$C$38,0)</f>
        <v>-6.0422960725075529E-3</v>
      </c>
      <c r="E40" s="3739">
        <f t="shared" ref="E40:H40" si="96">IFERROR((E38-$C$38)/$C$38,0)</f>
        <v>-3.0211480362537766E-2</v>
      </c>
      <c r="F40" s="3739">
        <f t="shared" si="96"/>
        <v>-4.5317220543806644E-2</v>
      </c>
      <c r="G40" s="3739">
        <f t="shared" si="96"/>
        <v>-6.6465256797583083E-2</v>
      </c>
      <c r="H40" s="3739">
        <f t="shared" si="96"/>
        <v>-8.7613293051359523E-2</v>
      </c>
      <c r="I40" s="3738"/>
      <c r="J40" s="3753">
        <f>IFERROR((J38-$I$38)/$I$38,0)</f>
        <v>-7.2727272727272724E-2</v>
      </c>
      <c r="K40" s="3740">
        <f t="shared" ref="K40:N40" si="97">IFERROR((K38-$I$38)/$I$38,0)</f>
        <v>-7.8787878787878782E-2</v>
      </c>
      <c r="L40" s="3739">
        <f t="shared" si="97"/>
        <v>-8.4848484848484854E-2</v>
      </c>
      <c r="M40" s="3739">
        <f t="shared" si="97"/>
        <v>-9.696969696969697E-2</v>
      </c>
      <c r="N40" s="3739">
        <f t="shared" si="97"/>
        <v>-0.10303030303030303</v>
      </c>
      <c r="O40" s="4523">
        <f t="shared" si="84"/>
        <v>13.5</v>
      </c>
      <c r="P40" s="4523">
        <f t="shared" si="85"/>
        <v>0.41666666666666669</v>
      </c>
      <c r="Q40" s="3524"/>
      <c r="R40" s="4634" t="s">
        <v>1580</v>
      </c>
      <c r="S40" s="4635">
        <f>IFERROR('8. Ремонтна програма'!J47/'8. Ремонтна програма'!J$54,0)</f>
        <v>0</v>
      </c>
      <c r="T40" s="4635">
        <f>IFERROR('8. Ремонтна програма'!K47/'8. Ремонтна програма'!K$54,0)</f>
        <v>364.48979591836735</v>
      </c>
      <c r="U40" s="4635">
        <f>IFERROR('8. Ремонтна програма'!L47/'8. Ремонтна програма'!L$54,0)</f>
        <v>1314.8</v>
      </c>
      <c r="V40" s="4635">
        <f>IFERROR('8. Ремонтна програма'!M47/'8. Ремонтна програма'!M$54,0)</f>
        <v>1127.3333333333333</v>
      </c>
      <c r="W40" s="4635">
        <f>IFERROR('8. Ремонтна програма'!N47/'8. Ремонтна програма'!N$54,0)</f>
        <v>1025.1428571428571</v>
      </c>
      <c r="X40" s="4635">
        <f>IFERROR('8. Ремонтна програма'!O47/'8. Ремонтна програма'!O$54,0)</f>
        <v>931.125</v>
      </c>
      <c r="Y40" s="3752">
        <f t="shared" si="74"/>
        <v>0</v>
      </c>
      <c r="Z40" s="3752">
        <f t="shared" si="75"/>
        <v>1.5545982642777156</v>
      </c>
      <c r="AA40" s="3524"/>
      <c r="AB40" s="3528"/>
      <c r="AC40" s="4524"/>
      <c r="AD40" s="4524"/>
      <c r="AE40" s="4524"/>
      <c r="AF40" s="4524"/>
      <c r="AG40" s="4524"/>
      <c r="AH40" s="4524"/>
      <c r="AI40" s="4524"/>
      <c r="AJ40" s="3524"/>
      <c r="AK40" s="5651" t="s">
        <v>174</v>
      </c>
      <c r="AL40" s="5652"/>
      <c r="AM40" s="5652"/>
      <c r="AN40" s="5652"/>
      <c r="AO40" s="5652"/>
      <c r="AP40" s="5653"/>
      <c r="AR40" s="4894"/>
      <c r="AS40" s="4894"/>
      <c r="AT40" s="4894"/>
      <c r="AU40" s="4894"/>
      <c r="AV40" s="4895"/>
    </row>
    <row r="41" spans="1:48" ht="31.5">
      <c r="A41" s="3618" t="s">
        <v>1536</v>
      </c>
      <c r="B41" s="3743" t="s">
        <v>1541</v>
      </c>
      <c r="C41" s="3744">
        <f>IFERROR(('5. Персонал'!C29+'5. Персонал'!U29+'5. Персонал'!AA29)/C38,0)</f>
        <v>20.876132930513595</v>
      </c>
      <c r="D41" s="3744">
        <f>IFERROR(('5. Персонал'!D29+'5. Персонал'!V29+'5. Персонал'!AB29)/D38,0)</f>
        <v>30.887537993920972</v>
      </c>
      <c r="E41" s="3744">
        <f>IFERROR(('5. Персонал'!E29+'5. Персонал'!W29+'5. Персонал'!AC29)/E38,0)</f>
        <v>35.738317757009348</v>
      </c>
      <c r="F41" s="3744">
        <f>IFERROR(('5. Персонал'!F29+'5. Персонал'!X29+'5. Персонал'!AD29)/F38,0)</f>
        <v>41.367088607594937</v>
      </c>
      <c r="G41" s="3744">
        <f>IFERROR(('5. Персонал'!G29+'5. Персонал'!Y29+'5. Персонал'!AE29)/G38,0)</f>
        <v>47.446601941747574</v>
      </c>
      <c r="H41" s="3744">
        <f>IFERROR(('5. Персонал'!H29+'5. Персонал'!Z29+'5. Персонал'!AF29)/H38,0)</f>
        <v>54.539735099337747</v>
      </c>
      <c r="I41" s="3744">
        <f>IFERROR(('5. Персонал'!I29+'5. Персонал'!O29)/I38,0)</f>
        <v>19.533333333333335</v>
      </c>
      <c r="J41" s="3744">
        <f>IFERROR(('5. Персонал'!J29+'5. Персонал'!P29)/J38,0)</f>
        <v>30.143790849673202</v>
      </c>
      <c r="K41" s="3744">
        <f>IFERROR(('5. Персонал'!K29+'5. Персонал'!Q29)/K38,0)</f>
        <v>34.25</v>
      </c>
      <c r="L41" s="3744">
        <f>IFERROR(('5. Персонал'!L29+'5. Персонал'!R29)/L38,0)</f>
        <v>38.841059602649004</v>
      </c>
      <c r="M41" s="3744">
        <f>IFERROR(('5. Персонал'!M29+'5. Персонал'!S29)/M38,0)</f>
        <v>44.946308724832214</v>
      </c>
      <c r="N41" s="3744">
        <f>IFERROR(('5. Персонал'!N29+'5. Персонал'!T29)/N38,0)</f>
        <v>51.770270270270274</v>
      </c>
      <c r="O41" s="4523">
        <f t="shared" si="84"/>
        <v>0.76575210073628408</v>
      </c>
      <c r="P41" s="4523">
        <f t="shared" si="85"/>
        <v>0.71744391833290377</v>
      </c>
      <c r="Q41" s="3524"/>
      <c r="R41" s="4634" t="s">
        <v>1070</v>
      </c>
      <c r="S41" s="4635">
        <f>IFERROR('8. Ремонтна програма'!J48/'8. Ремонтна програма'!J$54,0)</f>
        <v>0</v>
      </c>
      <c r="T41" s="4635">
        <f>IFERROR('8. Ремонтна програма'!K48/'8. Ремонтна програма'!K$54,0)</f>
        <v>28.775510204081634</v>
      </c>
      <c r="U41" s="4635">
        <f>IFERROR('8. Ремонтна програма'!L48/'8. Ремонтна програма'!L$54,0)</f>
        <v>103.8</v>
      </c>
      <c r="V41" s="4635">
        <f>IFERROR('8. Ремонтна програма'!M48/'8. Ремонтна програма'!M$54,0)</f>
        <v>89</v>
      </c>
      <c r="W41" s="4635">
        <f>IFERROR('8. Ремонтна програма'!N48/'8. Ремонтна програма'!N$54,0)</f>
        <v>78.857142857142847</v>
      </c>
      <c r="X41" s="4635">
        <f>IFERROR('8. Ремонтна програма'!O48/'8. Ремонтна програма'!O$54,0)</f>
        <v>71.625</v>
      </c>
      <c r="Y41" s="3752">
        <f t="shared" si="74"/>
        <v>0</v>
      </c>
      <c r="Z41" s="3752">
        <f t="shared" si="75"/>
        <v>1.489095744680851</v>
      </c>
      <c r="AA41" s="3524"/>
      <c r="AB41" s="3528"/>
      <c r="AC41" s="4524"/>
      <c r="AD41" s="4524"/>
      <c r="AE41" s="4524"/>
      <c r="AF41" s="4524"/>
      <c r="AG41" s="4524"/>
      <c r="AH41" s="4524"/>
      <c r="AI41" s="4524"/>
      <c r="AJ41" s="3524"/>
      <c r="AK41" s="1488" t="s">
        <v>608</v>
      </c>
      <c r="AL41" s="3736">
        <f>AR41</f>
        <v>0.48099999999999998</v>
      </c>
      <c r="AM41" s="3736">
        <f t="shared" ref="AM41:AP41" si="98">AS41</f>
        <v>0.55200000000000005</v>
      </c>
      <c r="AN41" s="3736">
        <f t="shared" si="98"/>
        <v>0.624</v>
      </c>
      <c r="AO41" s="3736">
        <f t="shared" si="98"/>
        <v>0.71499999999999997</v>
      </c>
      <c r="AP41" s="3736">
        <f t="shared" si="98"/>
        <v>0.82799999999999996</v>
      </c>
      <c r="AR41" s="3736">
        <f>AL7</f>
        <v>0.48099999999999998</v>
      </c>
      <c r="AS41" s="3736">
        <f>AM7</f>
        <v>0.55200000000000005</v>
      </c>
      <c r="AT41" s="3736">
        <f>AN7</f>
        <v>0.624</v>
      </c>
      <c r="AU41" s="3736">
        <f>AO7</f>
        <v>0.71499999999999997</v>
      </c>
      <c r="AV41" s="3736">
        <f>AP7</f>
        <v>0.82799999999999996</v>
      </c>
    </row>
    <row r="42" spans="1:48" ht="15.75" customHeight="1">
      <c r="A42" s="3623" t="s">
        <v>1545</v>
      </c>
      <c r="B42" s="3737" t="s">
        <v>170</v>
      </c>
      <c r="C42" s="3738"/>
      <c r="D42" s="3739">
        <f>IFERROR((D41-C41)/C41,0)</f>
        <v>0.47956223965091777</v>
      </c>
      <c r="E42" s="3739">
        <f t="shared" ref="E42" si="99">IFERROR((E41-D41)/D41,0)</f>
        <v>0.15704650089117062</v>
      </c>
      <c r="F42" s="3739">
        <f t="shared" ref="F42" si="100">IFERROR((F41-E41)/E41,0)</f>
        <v>0.15749960277527666</v>
      </c>
      <c r="G42" s="3739">
        <f t="shared" ref="G42" si="101">IFERROR((G41-F41)/F41,0)</f>
        <v>0.14696497961996888</v>
      </c>
      <c r="H42" s="3739">
        <f t="shared" ref="H42" si="102">IFERROR((H41-G41)/G41,0)</f>
        <v>0.14949717929850376</v>
      </c>
      <c r="I42" s="3738"/>
      <c r="J42" s="3740">
        <f>IFERROR((J41-I41)/I41,0)</f>
        <v>0.54319748377166555</v>
      </c>
      <c r="K42" s="3740">
        <f t="shared" ref="K42" si="103">IFERROR((K41-J41)/J41,0)</f>
        <v>0.13622072853425848</v>
      </c>
      <c r="L42" s="3740">
        <f t="shared" ref="L42" si="104">IFERROR((L41-K41)/K41,0)</f>
        <v>0.13404553584376655</v>
      </c>
      <c r="M42" s="3740">
        <f t="shared" ref="M42" si="105">IFERROR((M41-L41)/L41,0)</f>
        <v>0.15718544202040319</v>
      </c>
      <c r="N42" s="3740">
        <f t="shared" ref="N42" si="106">IFERROR((N41-M41)/M41,0)</f>
        <v>0.15182473798271925</v>
      </c>
      <c r="O42" s="4523">
        <f t="shared" si="84"/>
        <v>-0.68826323897535069</v>
      </c>
      <c r="P42" s="4523">
        <f t="shared" si="85"/>
        <v>-0.72049808307554841</v>
      </c>
      <c r="Q42" s="3524"/>
      <c r="R42" s="4634" t="s">
        <v>1072</v>
      </c>
      <c r="S42" s="4635">
        <f>IFERROR('8. Ремонтна програма'!J49/'8. Ремонтна програма'!J$54,0)</f>
        <v>0</v>
      </c>
      <c r="T42" s="4635">
        <f>IFERROR('8. Ремонтна програма'!K49/'8. Ремонтна програма'!K$54,0)</f>
        <v>0</v>
      </c>
      <c r="U42" s="4635">
        <f>IFERROR('8. Ремонтна програма'!L49/'8. Ремонтна програма'!L$54,0)</f>
        <v>0</v>
      </c>
      <c r="V42" s="4635">
        <f>IFERROR('8. Ремонтна програма'!M49/'8. Ремонтна програма'!M$54,0)</f>
        <v>0</v>
      </c>
      <c r="W42" s="4635">
        <f>IFERROR('8. Ремонтна програма'!N49/'8. Ремонтна програма'!N$54,0)</f>
        <v>0</v>
      </c>
      <c r="X42" s="4635">
        <f>IFERROR('8. Ремонтна програма'!O49/'8. Ремонтна програма'!O$54,0)</f>
        <v>0</v>
      </c>
      <c r="Y42" s="3752">
        <f t="shared" si="74"/>
        <v>0</v>
      </c>
      <c r="Z42" s="3752">
        <f t="shared" si="75"/>
        <v>0</v>
      </c>
      <c r="AA42" s="3524"/>
      <c r="AB42" s="3528"/>
      <c r="AC42" s="4524"/>
      <c r="AD42" s="4524"/>
      <c r="AE42" s="4524"/>
      <c r="AF42" s="4524"/>
      <c r="AG42" s="4524"/>
      <c r="AH42" s="4524"/>
      <c r="AI42" s="4524"/>
      <c r="AJ42" s="3524"/>
      <c r="AK42" s="3632" t="s">
        <v>1927</v>
      </c>
      <c r="AL42" s="4645">
        <f>IFERROR(ROUND(AR42,5),"-")</f>
        <v>0.47369</v>
      </c>
      <c r="AM42" s="4645">
        <f t="shared" ref="AM42:AM47" si="107">IFERROR(ROUND(AS42,5),"-")</f>
        <v>0.54466999999999999</v>
      </c>
      <c r="AN42" s="4645">
        <f t="shared" ref="AN42:AN47" si="108">IFERROR(ROUND(AT42,5),"-")</f>
        <v>0.61639999999999995</v>
      </c>
      <c r="AO42" s="4645">
        <f t="shared" ref="AO42:AO47" si="109">IFERROR(ROUND(AU42,5),"-")</f>
        <v>0.70808000000000004</v>
      </c>
      <c r="AP42" s="4645">
        <f t="shared" ref="AP42:AP47" si="110">IFERROR(ROUND(AV42,5),"-")</f>
        <v>0.81986000000000003</v>
      </c>
      <c r="AR42" s="4645">
        <f>IFERROR(('12. Разходи'!L88-'12. Разходи'!L89)/'16. Необходими приходи'!D18,"-")</f>
        <v>0.47369190856169374</v>
      </c>
      <c r="AS42" s="4645">
        <f>IFERROR(('12. Разходи'!M88-'12. Разходи'!M89)/'16. Необходими приходи'!E18,"-")</f>
        <v>0.54467182032080008</v>
      </c>
      <c r="AT42" s="4645">
        <f>IFERROR(('12. Разходи'!N88-'12. Разходи'!N89)/'16. Необходими приходи'!F18,"-")</f>
        <v>0.61640047944459198</v>
      </c>
      <c r="AU42" s="4645">
        <f>IFERROR(('12. Разходи'!O88-'12. Разходи'!O89)/'16. Необходими приходи'!G18,"-")</f>
        <v>0.70807735058632948</v>
      </c>
      <c r="AV42" s="4645">
        <f>IFERROR(('12. Разходи'!P88-'12. Разходи'!P89)/'16. Необходими приходи'!H18,"-")</f>
        <v>0.81986472403067345</v>
      </c>
    </row>
    <row r="43" spans="1:48" ht="22.5">
      <c r="A43" s="3622" t="s">
        <v>1543</v>
      </c>
      <c r="B43" s="3737" t="s">
        <v>170</v>
      </c>
      <c r="C43" s="3738"/>
      <c r="D43" s="3739">
        <f>IFERROR((D41-$C$41)/$C$41,0)</f>
        <v>0.47956223965091777</v>
      </c>
      <c r="E43" s="3739">
        <f t="shared" ref="E43:H43" si="111">IFERROR((E41-$C$41)/$C$41,0)</f>
        <v>0.71192231223879798</v>
      </c>
      <c r="F43" s="3739">
        <f t="shared" si="111"/>
        <v>0.98154939639854188</v>
      </c>
      <c r="G43" s="3739">
        <f t="shared" si="111"/>
        <v>1.2727677630562151</v>
      </c>
      <c r="H43" s="3739">
        <f t="shared" si="111"/>
        <v>1.6125401328336897</v>
      </c>
      <c r="I43" s="3738"/>
      <c r="J43" s="3739">
        <f>IFERROR((J41-$I$41)/$I$41,0)</f>
        <v>0.54319748377166555</v>
      </c>
      <c r="K43" s="3740">
        <f t="shared" ref="K43:N43" si="112">IFERROR((K41-$I$41)/$I$41,0)</f>
        <v>0.75341296928327628</v>
      </c>
      <c r="L43" s="3739">
        <f t="shared" si="112"/>
        <v>0.98845015030626282</v>
      </c>
      <c r="M43" s="3739">
        <f t="shared" si="112"/>
        <v>1.30100556611769</v>
      </c>
      <c r="N43" s="3739">
        <f t="shared" si="112"/>
        <v>1.650355133290287</v>
      </c>
      <c r="O43" s="4523">
        <f t="shared" si="84"/>
        <v>2.3625252355304025</v>
      </c>
      <c r="P43" s="4523">
        <f t="shared" si="85"/>
        <v>2.0382230820200524</v>
      </c>
      <c r="Q43" s="3524"/>
      <c r="R43" s="4634" t="s">
        <v>916</v>
      </c>
      <c r="S43" s="4635">
        <f>IFERROR('8. Ремонтна програма'!J50/'8. Ремонтна програма'!J$54,0)</f>
        <v>0</v>
      </c>
      <c r="T43" s="4635">
        <f>IFERROR('8. Ремонтна програма'!K50/'8. Ремонтна програма'!K$54,0)</f>
        <v>268.57142857142856</v>
      </c>
      <c r="U43" s="4635">
        <f>IFERROR('8. Ремонтна програма'!L50/'8. Ремонтна програма'!L$54,0)</f>
        <v>968.80000000000007</v>
      </c>
      <c r="V43" s="4635">
        <f>IFERROR('8. Ремонтна програма'!M50/'8. Ремонтна програма'!M$54,0)</f>
        <v>830.66666666666674</v>
      </c>
      <c r="W43" s="4635">
        <f>IFERROR('8. Ремонтна програма'!N50/'8. Ремонтна програма'!N$54,0)</f>
        <v>762.28571428571422</v>
      </c>
      <c r="X43" s="4635">
        <f>IFERROR('8. Ремонтна програма'!O50/'8. Ремонтна програма'!O$54,0)</f>
        <v>692.375</v>
      </c>
      <c r="Y43" s="3752">
        <f t="shared" si="74"/>
        <v>0</v>
      </c>
      <c r="Z43" s="3752">
        <f t="shared" si="75"/>
        <v>1.5779920212765959</v>
      </c>
      <c r="AA43" s="3524"/>
      <c r="AB43" s="3528"/>
      <c r="AC43" s="4524"/>
      <c r="AD43" s="4524"/>
      <c r="AE43" s="4524"/>
      <c r="AF43" s="4524"/>
      <c r="AG43" s="4524"/>
      <c r="AH43" s="4524"/>
      <c r="AI43" s="4524"/>
      <c r="AJ43" s="3524"/>
      <c r="AK43" s="3630" t="s">
        <v>1928</v>
      </c>
      <c r="AL43" s="4902">
        <f t="shared" ref="AL43:AL47" si="113">IFERROR(ROUND(AR43,5),"-")</f>
        <v>4.1209999999999997E-2</v>
      </c>
      <c r="AM43" s="4902">
        <f t="shared" si="107"/>
        <v>4.2750000000000003E-2</v>
      </c>
      <c r="AN43" s="4902">
        <f t="shared" si="108"/>
        <v>4.4339999999999997E-2</v>
      </c>
      <c r="AO43" s="4902">
        <f t="shared" si="109"/>
        <v>4.4830000000000002E-2</v>
      </c>
      <c r="AP43" s="4902">
        <f t="shared" si="110"/>
        <v>4.6539999999999998E-2</v>
      </c>
      <c r="AR43" s="4902">
        <f>IFERROR('12. Разходи'!L55/'16. Необходими приходи'!D18,"-")</f>
        <v>4.1213389777053626E-2</v>
      </c>
      <c r="AS43" s="4902">
        <f>IFERROR('12. Разходи'!M55/'16. Необходими приходи'!E18,"-")</f>
        <v>4.2745952378592987E-2</v>
      </c>
      <c r="AT43" s="4902">
        <f>IFERROR('12. Разходи'!N55/'16. Необходими приходи'!F18,"-")</f>
        <v>4.4341287280437243E-2</v>
      </c>
      <c r="AU43" s="4902">
        <f>IFERROR('12. Разходи'!O55/'16. Необходими приходи'!G18,"-")</f>
        <v>4.4825681987539175E-2</v>
      </c>
      <c r="AV43" s="4902">
        <f>IFERROR('12. Разходи'!P55/'16. Необходими приходи'!H18,"-")</f>
        <v>4.6542610855828295E-2</v>
      </c>
    </row>
    <row r="44" spans="1:48" ht="18.75" customHeight="1">
      <c r="A44" s="3621" t="s">
        <v>1547</v>
      </c>
      <c r="B44" s="3748" t="s">
        <v>170</v>
      </c>
      <c r="C44" s="3615">
        <f>IFERROR(('5. Персонал'!C42+'5. Персонал'!U42+'5. Персонал'!AA42)/('5. Персонал'!C29+'5. Персонал'!U29+'5. Персонал'!AA29),0)</f>
        <v>0.21157742402315485</v>
      </c>
      <c r="D44" s="3615">
        <f>IFERROR(('5. Персонал'!D42+'5. Персонал'!V42+'5. Персонал'!AB42)/('5. Персонал'!D29+'5. Персонал'!V29+'5. Персонал'!AB29),0)</f>
        <v>0.21216296004723478</v>
      </c>
      <c r="E44" s="3615">
        <f>IFERROR(('5. Персонал'!E42+'5. Персонал'!W42+'5. Персонал'!AC42)/('5. Персонал'!E29+'5. Персонал'!W29+'5. Персонал'!AC29),0)</f>
        <v>0.21609135285913528</v>
      </c>
      <c r="F44" s="3615">
        <f>IFERROR(('5. Персонал'!F42+'5. Персонал'!X42+'5. Персонал'!AD42)/('5. Персонал'!F29+'5. Персонал'!X29+'5. Персонал'!AD29),0)</f>
        <v>0.21809975520195837</v>
      </c>
      <c r="G44" s="3615">
        <f>IFERROR(('5. Персонал'!G42+'5. Персонал'!Y42+'5. Персонал'!AE42)/('5. Персонал'!G29+'5. Персонал'!Y29+'5. Персонал'!AE29),0)</f>
        <v>0.22365459382033967</v>
      </c>
      <c r="H44" s="3615">
        <f>IFERROR(('5. Персонал'!H42+'5. Персонал'!Z42+'5. Персонал'!AF42)/('5. Персонал'!H29+'5. Персонал'!Z29+'5. Персонал'!AF29),0)</f>
        <v>0.22888713496448304</v>
      </c>
      <c r="I44" s="3615">
        <f>IFERROR(('5. Персонал'!I42+'5. Персонал'!O42)/('5. Персонал'!I29+'5. Персонал'!O29),0)</f>
        <v>0.2221532733478126</v>
      </c>
      <c r="J44" s="3615">
        <f>IFERROR(('5. Персонал'!J42+'5. Персонал'!P42)/('5. Персонал'!J29+'5. Персонал'!P29),0)</f>
        <v>0.23352124891587164</v>
      </c>
      <c r="K44" s="3615">
        <f>IFERROR(('5. Персонал'!K42+'5. Персонал'!Q42)/('5. Персонал'!K29+'5. Персонал'!Q29),0)</f>
        <v>0.2378025355359201</v>
      </c>
      <c r="L44" s="3615">
        <f>IFERROR(('5. Персонал'!L42+'5. Персонал'!R42)/('5. Персонал'!L29+'5. Персонал'!R29),0)</f>
        <v>0.24279624893435636</v>
      </c>
      <c r="M44" s="3615">
        <f>IFERROR(('5. Персонал'!M42+'5. Персонал'!S42)/('5. Персонал'!M29+'5. Персонал'!S29),0)</f>
        <v>0.24443780797371958</v>
      </c>
      <c r="N44" s="3615">
        <f>IFERROR(('5. Персонал'!N42+'5. Персонал'!T42)/('5. Персонал'!N29+'5. Персонал'!T29),0)</f>
        <v>0.24575828765335422</v>
      </c>
      <c r="O44" s="4523">
        <f t="shared" si="84"/>
        <v>7.8827024818681271E-2</v>
      </c>
      <c r="P44" s="4523">
        <f t="shared" si="85"/>
        <v>5.2402249449646852E-2</v>
      </c>
      <c r="Q44" s="3524"/>
      <c r="R44" s="4636" t="s">
        <v>1356</v>
      </c>
      <c r="S44" s="4635">
        <f>IFERROR('8. Ремонтна програма'!J51/'8. Ремонтна програма'!J$54,0)</f>
        <v>0</v>
      </c>
      <c r="T44" s="4635">
        <f>IFERROR('8. Ремонтна програма'!K51/'8. Ремонтна програма'!K$54,0)</f>
        <v>28.775510204081634</v>
      </c>
      <c r="U44" s="4635">
        <f>IFERROR('8. Ремонтна програма'!L51/'8. Ремонтна програма'!L$54,0)</f>
        <v>103.8</v>
      </c>
      <c r="V44" s="4635">
        <f>IFERROR('8. Ремонтна програма'!M51/'8. Ремонтна програма'!M$54,0)</f>
        <v>89</v>
      </c>
      <c r="W44" s="4635">
        <f>IFERROR('8. Ремонтна програма'!N51/'8. Ремонтна програма'!N$54,0)</f>
        <v>78.857142857142847</v>
      </c>
      <c r="X44" s="4635">
        <f>IFERROR('8. Ремонтна програма'!O51/'8. Ремонтна програма'!O$54,0)</f>
        <v>71.625</v>
      </c>
      <c r="Y44" s="3752">
        <f t="shared" si="74"/>
        <v>0</v>
      </c>
      <c r="Z44" s="3752">
        <f t="shared" si="75"/>
        <v>1.489095744680851</v>
      </c>
      <c r="AA44" s="3524"/>
      <c r="AB44" s="3528"/>
      <c r="AC44" s="4524"/>
      <c r="AD44" s="4524"/>
      <c r="AE44" s="4524"/>
      <c r="AF44" s="4524"/>
      <c r="AG44" s="4524"/>
      <c r="AH44" s="4524"/>
      <c r="AI44" s="4524"/>
      <c r="AJ44" s="3524"/>
      <c r="AK44" s="3630" t="s">
        <v>1929</v>
      </c>
      <c r="AL44" s="4902">
        <f t="shared" si="113"/>
        <v>0.35382000000000002</v>
      </c>
      <c r="AM44" s="4902">
        <f t="shared" si="107"/>
        <v>0.42071999999999998</v>
      </c>
      <c r="AN44" s="4902">
        <f t="shared" si="108"/>
        <v>0.48823</v>
      </c>
      <c r="AO44" s="4902">
        <f t="shared" si="109"/>
        <v>0.57672000000000001</v>
      </c>
      <c r="AP44" s="4902">
        <f t="shared" si="110"/>
        <v>0.68379000000000001</v>
      </c>
      <c r="AR44" s="4902">
        <f>IFERROR(('12. Разходи'!L59+'12. Разходи'!L63)/'16. Необходими приходи'!D18,"-")</f>
        <v>0.35381749490300662</v>
      </c>
      <c r="AS44" s="4902">
        <f>IFERROR(('12. Разходи'!M59+'12. Разходи'!M63)/'16. Необходими приходи'!E18,"-")</f>
        <v>0.42072243691579658</v>
      </c>
      <c r="AT44" s="4902">
        <f>IFERROR(('12. Разходи'!N59+'12. Разходи'!N63)/'16. Необходими приходи'!F18,"-")</f>
        <v>0.48823159151727075</v>
      </c>
      <c r="AU44" s="4902">
        <f>IFERROR(('12. Разходи'!O59+'12. Разходи'!O63)/'16. Необходими приходи'!G18,"-")</f>
        <v>0.57671553185144997</v>
      </c>
      <c r="AV44" s="4902">
        <f>IFERROR(('12. Разходи'!P59+'12. Разходи'!P63)/'16. Необходими приходи'!H18,"-")</f>
        <v>0.68379461094048277</v>
      </c>
    </row>
    <row r="45" spans="1:48" ht="18" customHeight="1">
      <c r="A45" s="3621" t="s">
        <v>1546</v>
      </c>
      <c r="B45" s="3748" t="s">
        <v>170</v>
      </c>
      <c r="C45" s="3615">
        <f>IFERROR(('5. Персонал'!C46+'5. Персонал'!U46+'5. Персонал'!AA46)/('5. Персонал'!C29+'5. Персонал'!U29+'5. Персонал'!AA29),0)</f>
        <v>0.14688856729377714</v>
      </c>
      <c r="D45" s="3615">
        <f>IFERROR(('5. Персонал'!D46+'5. Персонал'!V46+'5. Персонал'!AB46)/('5. Персонал'!D29+'5. Персонал'!V29+'5. Персонал'!AB29),0)</f>
        <v>0.13796496752607754</v>
      </c>
      <c r="E45" s="3615">
        <f>IFERROR(('5. Персонал'!E46+'5. Персонал'!W46+'5. Персонал'!AC46)/('5. Персонал'!E29+'5. Персонал'!W29+'5. Персонал'!AC29),0)</f>
        <v>0.1405160390516039</v>
      </c>
      <c r="F45" s="3615">
        <f>IFERROR(('5. Персонал'!F46+'5. Персонал'!X46+'5. Персонал'!AD46)/('5. Персонал'!F29+'5. Персонал'!X29+'5. Персонал'!AD29),0)</f>
        <v>0.14182986536107711</v>
      </c>
      <c r="G45" s="3615">
        <f>IFERROR(('5. Персонал'!G46+'5. Персонал'!Y46+'5. Персонал'!AE46)/('5. Персонал'!G29+'5. Персонал'!Y29+'5. Персонал'!AE29),0)</f>
        <v>0.14541982129459108</v>
      </c>
      <c r="H45" s="3615">
        <f>IFERROR(('5. Персонал'!H46+'5. Персонал'!Z46+'5. Персонал'!AF46)/('5. Персонал'!H29+'5. Персонал'!Z29+'5. Персонал'!AF29),0)</f>
        <v>0.14886770687875661</v>
      </c>
      <c r="I45" s="3615">
        <f>IFERROR(('5. Персонал'!I46+'5. Персонал'!O46)/('5. Персонал'!I29+'5. Персонал'!O29),0)</f>
        <v>0.14768848898541731</v>
      </c>
      <c r="J45" s="3615">
        <f>IFERROR(('5. Персонал'!J46+'5. Персонал'!P46)/('5. Персонал'!J29+'5. Персонал'!P29),0)</f>
        <v>0.14050303555941024</v>
      </c>
      <c r="K45" s="3615">
        <f>IFERROR(('5. Персонал'!K46+'5. Персонал'!Q46)/('5. Персонал'!K29+'5. Персонал'!Q29),0)</f>
        <v>0.14310411064156742</v>
      </c>
      <c r="L45" s="3615">
        <f>IFERROR(('5. Персонал'!L46+'5. Персонал'!R46)/('5. Персонал'!L29+'5. Персонал'!R29),0)</f>
        <v>0.14612105711849957</v>
      </c>
      <c r="M45" s="3615">
        <f>IFERROR(('5. Персонал'!M46+'5. Персонал'!S46)/('5. Персонал'!M29+'5. Персонал'!S29),0)</f>
        <v>0.14723010303120801</v>
      </c>
      <c r="N45" s="3615">
        <f>IFERROR(('5. Персонал'!N46+'5. Персонал'!T46)/('5. Персонал'!N29+'5. Персонал'!T29),0)</f>
        <v>0.14787261811537458</v>
      </c>
      <c r="O45" s="4523">
        <f t="shared" si="84"/>
        <v>7.9025418902942055E-2</v>
      </c>
      <c r="P45" s="4523">
        <f t="shared" si="85"/>
        <v>5.2451411648314121E-2</v>
      </c>
      <c r="Q45" s="3524"/>
      <c r="R45" s="4636" t="s">
        <v>1581</v>
      </c>
      <c r="S45" s="4635">
        <f>IFERROR('8. Ремонтна програма'!J52/'8. Ремонтна програма'!J$54,0)</f>
        <v>0</v>
      </c>
      <c r="T45" s="4635">
        <f>IFERROR('8. Ремонтна програма'!K52/'8. Ремонтна програма'!K$54,0)</f>
        <v>0</v>
      </c>
      <c r="U45" s="4635">
        <f>IFERROR('8. Ремонтна програма'!L52/'8. Ремонтна програма'!L$54,0)</f>
        <v>0</v>
      </c>
      <c r="V45" s="4635">
        <f>IFERROR('8. Ремонтна програма'!M52/'8. Ремонтна програма'!M$54,0)</f>
        <v>0</v>
      </c>
      <c r="W45" s="4635">
        <f>IFERROR('8. Ремонтна програма'!N52/'8. Ремонтна програма'!N$54,0)</f>
        <v>0</v>
      </c>
      <c r="X45" s="4635">
        <f>IFERROR('8. Ремонтна програма'!O52/'8. Ремонтна програма'!O$54,0)</f>
        <v>0</v>
      </c>
      <c r="Y45" s="3752">
        <f t="shared" si="74"/>
        <v>0</v>
      </c>
      <c r="Z45" s="3752">
        <f t="shared" si="75"/>
        <v>0</v>
      </c>
      <c r="AA45" s="3524"/>
      <c r="AB45" s="3528"/>
      <c r="AC45" s="4524"/>
      <c r="AD45" s="4524"/>
      <c r="AE45" s="4524"/>
      <c r="AF45" s="4524"/>
      <c r="AG45" s="4524"/>
      <c r="AH45" s="4524"/>
      <c r="AI45" s="4524"/>
      <c r="AJ45" s="3524"/>
      <c r="AK45" s="3632" t="s">
        <v>1930</v>
      </c>
      <c r="AL45" s="4645">
        <f t="shared" si="113"/>
        <v>6.9300000000000004E-3</v>
      </c>
      <c r="AM45" s="4645">
        <f t="shared" si="107"/>
        <v>7.1500000000000001E-3</v>
      </c>
      <c r="AN45" s="4645">
        <f t="shared" si="108"/>
        <v>7.2700000000000004E-3</v>
      </c>
      <c r="AO45" s="4645">
        <f t="shared" si="109"/>
        <v>7.3899999999999999E-3</v>
      </c>
      <c r="AP45" s="4645">
        <f t="shared" si="110"/>
        <v>7.6400000000000001E-3</v>
      </c>
      <c r="AR45" s="4645">
        <f>IFERROR('12. Разходи'!L89/'16. Необходими приходи'!D18,"-")</f>
        <v>6.9273529308563333E-3</v>
      </c>
      <c r="AS45" s="4645">
        <f>IFERROR('12. Разходи'!M89/'16. Необходими приходи'!E18,"-")</f>
        <v>7.1512522740978246E-3</v>
      </c>
      <c r="AT45" s="4645">
        <f>IFERROR('12. Разходи'!N89/'16. Необходими приходи'!F18,"-")</f>
        <v>7.2676616125181941E-3</v>
      </c>
      <c r="AU45" s="4645">
        <f>IFERROR('12. Разходи'!O89/'16. Необходими приходи'!G18,"-")</f>
        <v>7.3872576308277316E-3</v>
      </c>
      <c r="AV45" s="4645">
        <f>IFERROR('12. Разходи'!P89/'16. Необходими приходи'!H18,"-")</f>
        <v>7.6426190133807451E-3</v>
      </c>
    </row>
    <row r="46" spans="1:48" ht="24.75" customHeight="1">
      <c r="A46" s="3524"/>
      <c r="B46" s="4626"/>
      <c r="C46" s="3524"/>
      <c r="D46" s="3524"/>
      <c r="E46" s="3524"/>
      <c r="F46" s="3524"/>
      <c r="G46" s="3524"/>
      <c r="H46" s="3524"/>
      <c r="I46" s="3524"/>
      <c r="J46" s="3524"/>
      <c r="K46" s="3728"/>
      <c r="L46" s="3524"/>
      <c r="M46" s="3524"/>
      <c r="N46" s="3524"/>
      <c r="O46" s="3524"/>
      <c r="P46" s="3524"/>
      <c r="Q46" s="3524"/>
      <c r="R46" s="4632" t="s">
        <v>1860</v>
      </c>
      <c r="S46" s="4633" t="str">
        <f>+'15. ОПП'!$B$7</f>
        <v>2024 г.</v>
      </c>
      <c r="T46" s="4633" t="str">
        <f>+'15. ОПП'!$C$7</f>
        <v>2027 г.</v>
      </c>
      <c r="U46" s="4633" t="str">
        <f>+'15. ОПП'!$D$7</f>
        <v>2028 г.</v>
      </c>
      <c r="V46" s="4633" t="str">
        <f>+'15. ОПП'!$E$7</f>
        <v>2029 г.</v>
      </c>
      <c r="W46" s="4633" t="str">
        <f>+'15. ОПП'!$F$7</f>
        <v>2030 г.</v>
      </c>
      <c r="X46" s="4633" t="str">
        <f>+'15. ОПП'!$G$7</f>
        <v>2031 г.</v>
      </c>
      <c r="Y46" s="4633" t="str">
        <f>+Y33</f>
        <v>Изменение 2027 г.спрямо 2024 г.</v>
      </c>
      <c r="Z46" s="4633" t="str">
        <f>+Z33</f>
        <v>Изменение 2031 г.спрямо 2027 г.</v>
      </c>
      <c r="AA46" s="3524"/>
      <c r="AB46" s="3528"/>
      <c r="AC46" s="4524"/>
      <c r="AD46" s="4524"/>
      <c r="AE46" s="4524"/>
      <c r="AF46" s="4524"/>
      <c r="AG46" s="4524"/>
      <c r="AH46" s="4524"/>
      <c r="AI46" s="4524"/>
      <c r="AJ46" s="3524"/>
      <c r="AK46" s="3630" t="s">
        <v>1931</v>
      </c>
      <c r="AL46" s="4902">
        <f t="shared" si="113"/>
        <v>1.0000000000000001E-5</v>
      </c>
      <c r="AM46" s="4902">
        <f t="shared" si="107"/>
        <v>1.0000000000000001E-5</v>
      </c>
      <c r="AN46" s="4902">
        <f t="shared" si="108"/>
        <v>1.0000000000000001E-5</v>
      </c>
      <c r="AO46" s="4902">
        <f t="shared" si="109"/>
        <v>1.0000000000000001E-5</v>
      </c>
      <c r="AP46" s="4902">
        <f t="shared" si="110"/>
        <v>1.0000000000000001E-5</v>
      </c>
      <c r="AR46" s="4902">
        <f>IFERROR('12. Разходи'!L17/'16. Необходими приходи'!D18,"-")</f>
        <v>1.4400099714107506E-5</v>
      </c>
      <c r="AS46" s="4902">
        <f>IFERROR('12. Разходи'!M17/'16. Необходими приходи'!E18,"-")</f>
        <v>1.4865526104358145E-5</v>
      </c>
      <c r="AT46" s="4902">
        <f>IFERROR('12. Разходи'!N17/'16. Необходими приходи'!F18,"-")</f>
        <v>1.2276736289890703E-5</v>
      </c>
      <c r="AU46" s="4902">
        <f>IFERROR('12. Разходи'!O17/'16. Необходими приходи'!G18,"-")</f>
        <v>1.2673407352647519E-5</v>
      </c>
      <c r="AV46" s="4902">
        <f>IFERROR('12. Разходи'!P17/'16. Необходими приходи'!H18,"-")</f>
        <v>1.3111499400462965E-5</v>
      </c>
    </row>
    <row r="47" spans="1:48" ht="22.5">
      <c r="A47" s="3524"/>
      <c r="B47" s="4626"/>
      <c r="C47" s="3524"/>
      <c r="D47" s="3524"/>
      <c r="E47" s="3524"/>
      <c r="F47" s="3524"/>
      <c r="G47" s="3524"/>
      <c r="H47" s="3524"/>
      <c r="I47" s="3524"/>
      <c r="J47" s="3524"/>
      <c r="K47" s="3728"/>
      <c r="L47" s="3524"/>
      <c r="M47" s="3524"/>
      <c r="N47" s="3524"/>
      <c r="O47" s="3524"/>
      <c r="P47" s="3524"/>
      <c r="Q47" s="3524"/>
      <c r="R47" s="4636" t="s">
        <v>1582</v>
      </c>
      <c r="S47" s="4635">
        <f>IFERROR('8. Ремонтна програма'!J71/'8. Ремонтна програма'!J$80,0)</f>
        <v>0</v>
      </c>
      <c r="T47" s="4635">
        <f>IFERROR('8. Ремонтна програма'!K71/'8. Ремонтна програма'!K$80,0)</f>
        <v>-44224.00000000251</v>
      </c>
      <c r="U47" s="4635">
        <f>IFERROR('8. Ремонтна програма'!L71/'8. Ремонтна програма'!L$80,0)</f>
        <v>0</v>
      </c>
      <c r="V47" s="4635">
        <f>IFERROR('8. Ремонтна програма'!M71/'8. Ремонтна програма'!M$80,0)</f>
        <v>0</v>
      </c>
      <c r="W47" s="4635">
        <f>IFERROR('8. Ремонтна програма'!N71/'8. Ремонтна програма'!N$80,0)</f>
        <v>17664</v>
      </c>
      <c r="X47" s="4635">
        <f>IFERROR('8. Ремонтна програма'!O71/'8. Ремонтна програма'!O$80,0)</f>
        <v>0</v>
      </c>
      <c r="Y47" s="3752">
        <f t="shared" ref="Y47:Y48" si="114">IFERROR((T47-S47)/S47,0)</f>
        <v>0</v>
      </c>
      <c r="Z47" s="3752">
        <f t="shared" si="75"/>
        <v>-1</v>
      </c>
      <c r="AA47" s="3524"/>
      <c r="AB47" s="3528"/>
      <c r="AC47" s="4524"/>
      <c r="AD47" s="4524"/>
      <c r="AE47" s="4524"/>
      <c r="AF47" s="4524"/>
      <c r="AG47" s="4524"/>
      <c r="AH47" s="4524"/>
      <c r="AI47" s="4524"/>
      <c r="AJ47" s="3524"/>
      <c r="AK47" s="3632" t="s">
        <v>1932</v>
      </c>
      <c r="AL47" s="4645">
        <f t="shared" si="113"/>
        <v>0</v>
      </c>
      <c r="AM47" s="4903">
        <f t="shared" si="107"/>
        <v>0</v>
      </c>
      <c r="AN47" s="4903">
        <f t="shared" si="108"/>
        <v>0</v>
      </c>
      <c r="AO47" s="4903">
        <f t="shared" si="109"/>
        <v>0</v>
      </c>
      <c r="AP47" s="4903">
        <f t="shared" si="110"/>
        <v>0</v>
      </c>
      <c r="AR47" s="4645">
        <f>IFERROR('16. Необходими приходи'!D15/'16. Необходими приходи'!D18,"-")</f>
        <v>0</v>
      </c>
      <c r="AS47" s="4903">
        <f>IFERROR('16. Необходими приходи'!E15/'16. Необходими приходи'!E18,"-")</f>
        <v>0</v>
      </c>
      <c r="AT47" s="4903">
        <f>IFERROR('16. Необходими приходи'!F15/'16. Необходими приходи'!F18,"-")</f>
        <v>0</v>
      </c>
      <c r="AU47" s="4903">
        <f>IFERROR('16. Необходими приходи'!G15/'16. Необходими приходи'!G18,"-")</f>
        <v>0</v>
      </c>
      <c r="AV47" s="4903">
        <f>IFERROR('16. Необходими приходи'!H15/'16. Необходими приходи'!H18,"-")</f>
        <v>0</v>
      </c>
    </row>
    <row r="48" spans="1:48" ht="14.25" customHeight="1">
      <c r="A48" s="3524"/>
      <c r="B48" s="4626"/>
      <c r="C48" s="3524"/>
      <c r="D48" s="3524"/>
      <c r="E48" s="3524"/>
      <c r="F48" s="3524"/>
      <c r="G48" s="3524"/>
      <c r="H48" s="3524"/>
      <c r="I48" s="3524"/>
      <c r="J48" s="3524"/>
      <c r="K48" s="3728"/>
      <c r="L48" s="3524"/>
      <c r="M48" s="3524"/>
      <c r="N48" s="3524"/>
      <c r="O48" s="3524"/>
      <c r="P48" s="3524"/>
      <c r="Q48" s="3524"/>
      <c r="R48" s="4636" t="s">
        <v>1583</v>
      </c>
      <c r="S48" s="4635">
        <f>IFERROR('8. Ремонтна програма'!J72/'8. Ремонтна програма'!J$80,0)</f>
        <v>0</v>
      </c>
      <c r="T48" s="4635">
        <f>IFERROR('8. Ремонтна програма'!K72/'8. Ремонтна програма'!K$80,0)</f>
        <v>-38005.000000002154</v>
      </c>
      <c r="U48" s="4635">
        <f>IFERROR('8. Ремонтна програма'!L72/'8. Ремонтна програма'!L$80,0)</f>
        <v>0</v>
      </c>
      <c r="V48" s="4635">
        <f>IFERROR('8. Ремонтна програма'!M72/'8. Ремонтна програма'!M$80,0)</f>
        <v>0</v>
      </c>
      <c r="W48" s="4635">
        <f>IFERROR('8. Ремонтна програма'!N72/'8. Ремонтна програма'!N$80,0)</f>
        <v>15180</v>
      </c>
      <c r="X48" s="4635">
        <f>IFERROR('8. Ремонтна програма'!O72/'8. Ремонтна програма'!O$80,0)</f>
        <v>0</v>
      </c>
      <c r="Y48" s="3752">
        <f t="shared" si="114"/>
        <v>0</v>
      </c>
      <c r="Z48" s="3752">
        <f t="shared" si="75"/>
        <v>-1</v>
      </c>
      <c r="AA48" s="3524"/>
      <c r="AB48" s="3528"/>
      <c r="AC48" s="4524"/>
      <c r="AD48" s="4524"/>
      <c r="AE48" s="4524"/>
      <c r="AF48" s="4524"/>
      <c r="AG48" s="4524"/>
      <c r="AH48" s="4524"/>
      <c r="AI48" s="4524"/>
      <c r="AJ48" s="3524"/>
      <c r="AK48" s="5651" t="s">
        <v>184</v>
      </c>
      <c r="AL48" s="5652"/>
      <c r="AM48" s="5652"/>
      <c r="AN48" s="5652"/>
      <c r="AO48" s="5652"/>
      <c r="AP48" s="5653"/>
      <c r="AR48" s="4894"/>
      <c r="AS48" s="4894"/>
      <c r="AT48" s="4894"/>
      <c r="AU48" s="4894"/>
      <c r="AV48" s="4895"/>
    </row>
    <row r="49" spans="1:48" ht="22.5">
      <c r="A49" s="3524"/>
      <c r="B49" s="4626"/>
      <c r="C49" s="3524"/>
      <c r="D49" s="3524"/>
      <c r="E49" s="3524"/>
      <c r="F49" s="3524"/>
      <c r="G49" s="3524"/>
      <c r="H49" s="3524"/>
      <c r="I49" s="3524"/>
      <c r="J49" s="3524"/>
      <c r="K49" s="3728"/>
      <c r="L49" s="3524"/>
      <c r="M49" s="3524"/>
      <c r="N49" s="3524"/>
      <c r="O49" s="3524"/>
      <c r="P49" s="3524"/>
      <c r="Q49" s="3524"/>
      <c r="R49" s="4636" t="s">
        <v>1584</v>
      </c>
      <c r="S49" s="4635">
        <f>IFERROR('8. Ремонтна програма'!J73/'8. Ремонтна програма'!J$80,0)</f>
        <v>0</v>
      </c>
      <c r="T49" s="4635">
        <f>IFERROR('8. Ремонтна програма'!K73/'8. Ремонтна програма'!K$80,0)</f>
        <v>0</v>
      </c>
      <c r="U49" s="4635">
        <f>IFERROR('8. Ремонтна програма'!L73/'8. Ремонтна програма'!L$80,0)</f>
        <v>0</v>
      </c>
      <c r="V49" s="4635">
        <f>IFERROR('8. Ремонтна програма'!M73/'8. Ремонтна програма'!M$80,0)</f>
        <v>0</v>
      </c>
      <c r="W49" s="4635">
        <f>IFERROR('8. Ремонтна програма'!N73/'8. Ремонтна програма'!N$80,0)</f>
        <v>0</v>
      </c>
      <c r="X49" s="4635">
        <f>IFERROR('8. Ремонтна програма'!O73/'8. Ремонтна програма'!O$80,0)</f>
        <v>0</v>
      </c>
      <c r="Y49" s="3752">
        <f t="shared" ref="Y49:Y55" si="115">IFERROR((T49-S49)/S49,0)</f>
        <v>0</v>
      </c>
      <c r="Z49" s="3752">
        <f t="shared" si="75"/>
        <v>0</v>
      </c>
      <c r="AA49" s="3524"/>
      <c r="AB49" s="3528"/>
      <c r="AC49" s="4524"/>
      <c r="AD49" s="4524"/>
      <c r="AE49" s="4524"/>
      <c r="AF49" s="4524"/>
      <c r="AG49" s="4524"/>
      <c r="AH49" s="4524"/>
      <c r="AI49" s="4524"/>
      <c r="AJ49" s="3524"/>
      <c r="AK49" s="1488" t="s">
        <v>608</v>
      </c>
      <c r="AL49" s="3736">
        <f>AR49</f>
        <v>0.86899999999999999</v>
      </c>
      <c r="AM49" s="3736">
        <f t="shared" ref="AM49:AP49" si="116">AS49</f>
        <v>0.95799999999999996</v>
      </c>
      <c r="AN49" s="3736">
        <f t="shared" si="116"/>
        <v>1.077</v>
      </c>
      <c r="AO49" s="3736">
        <f t="shared" si="116"/>
        <v>1.2150000000000001</v>
      </c>
      <c r="AP49" s="3736">
        <f t="shared" si="116"/>
        <v>1.804</v>
      </c>
      <c r="AR49" s="3736">
        <f>AL9</f>
        <v>0.86899999999999999</v>
      </c>
      <c r="AS49" s="3736">
        <f>AM9</f>
        <v>0.95799999999999996</v>
      </c>
      <c r="AT49" s="3736">
        <f>AN9</f>
        <v>1.077</v>
      </c>
      <c r="AU49" s="3736">
        <f>AO9</f>
        <v>1.2150000000000001</v>
      </c>
      <c r="AV49" s="3736">
        <f>AP9</f>
        <v>1.804</v>
      </c>
    </row>
    <row r="50" spans="1:48" ht="20.25" customHeight="1">
      <c r="A50" s="3524"/>
      <c r="B50" s="4626"/>
      <c r="C50" s="3524"/>
      <c r="D50" s="3524"/>
      <c r="E50" s="3524"/>
      <c r="F50" s="3524"/>
      <c r="G50" s="3524"/>
      <c r="H50" s="3524"/>
      <c r="I50" s="3524"/>
      <c r="J50" s="3524"/>
      <c r="K50" s="3728"/>
      <c r="L50" s="3524"/>
      <c r="M50" s="3524"/>
      <c r="N50" s="3524"/>
      <c r="O50" s="3524"/>
      <c r="P50" s="3524"/>
      <c r="Q50" s="3524"/>
      <c r="R50" s="4636" t="s">
        <v>1585</v>
      </c>
      <c r="S50" s="4635">
        <f>IFERROR('8. Ремонтна програма'!J74/'8. Ремонтна програма'!J$80,0)</f>
        <v>0</v>
      </c>
      <c r="T50" s="4635">
        <f>IFERROR('8. Ремонтна програма'!K74/'8. Ремонтна програма'!K$80,0)</f>
        <v>0</v>
      </c>
      <c r="U50" s="4635">
        <f>IFERROR('8. Ремонтна програма'!L74/'8. Ремонтна програма'!L$80,0)</f>
        <v>0</v>
      </c>
      <c r="V50" s="4635">
        <f>IFERROR('8. Ремонтна програма'!M74/'8. Ремонтна програма'!M$80,0)</f>
        <v>0</v>
      </c>
      <c r="W50" s="4635">
        <f>IFERROR('8. Ремонтна програма'!N74/'8. Ремонтна програма'!N$80,0)</f>
        <v>0</v>
      </c>
      <c r="X50" s="4635">
        <f>IFERROR('8. Ремонтна програма'!O74/'8. Ремонтна програма'!O$80,0)</f>
        <v>0</v>
      </c>
      <c r="Y50" s="3752">
        <f t="shared" si="115"/>
        <v>0</v>
      </c>
      <c r="Z50" s="3752">
        <f t="shared" si="75"/>
        <v>0</v>
      </c>
      <c r="AA50" s="3524"/>
      <c r="AB50" s="3528"/>
      <c r="AC50" s="4524"/>
      <c r="AD50" s="4524"/>
      <c r="AE50" s="4524"/>
      <c r="AF50" s="4524"/>
      <c r="AG50" s="4524"/>
      <c r="AH50" s="4524"/>
      <c r="AI50" s="4524"/>
      <c r="AJ50" s="3524"/>
      <c r="AK50" s="3632" t="s">
        <v>1927</v>
      </c>
      <c r="AL50" s="4645">
        <f>IFERROR(ROUND(AR50,5),"-")</f>
        <v>0.71748999999999996</v>
      </c>
      <c r="AM50" s="4645">
        <f t="shared" ref="AM50:AM55" si="117">IFERROR(ROUND(AS50,5),"-")</f>
        <v>0.80396999999999996</v>
      </c>
      <c r="AN50" s="4645">
        <f t="shared" ref="AN50:AN55" si="118">IFERROR(ROUND(AT50,5),"-")</f>
        <v>0.92069000000000001</v>
      </c>
      <c r="AO50" s="4645">
        <f t="shared" ref="AO50:AO55" si="119">IFERROR(ROUND(AU50,5),"-")</f>
        <v>1.0552999999999999</v>
      </c>
      <c r="AP50" s="4645">
        <f t="shared" ref="AP50:AP55" si="120">IFERROR(ROUND(AV50,5),"-")</f>
        <v>1.5905400000000001</v>
      </c>
      <c r="AR50" s="4645">
        <f>IFERROR(('12. Разходи'!T88-'12. Разходи'!T89)/AR57,"-")</f>
        <v>0.71748633628144975</v>
      </c>
      <c r="AS50" s="4645">
        <f>IFERROR(('12. Разходи'!U88-'12. Разходи'!U89)/AS57,"-")</f>
        <v>0.80396540626550705</v>
      </c>
      <c r="AT50" s="4645">
        <f>IFERROR(('12. Разходи'!V88-'12. Разходи'!V89)/AT57,"-")</f>
        <v>0.9206860743644848</v>
      </c>
      <c r="AU50" s="4645">
        <f>IFERROR(('12. Разходи'!W88-'12. Разходи'!W89)/AU57,"-")</f>
        <v>1.0553041948273889</v>
      </c>
      <c r="AV50" s="4645">
        <f>IFERROR(('12. Разходи'!X88-'12. Разходи'!X89)/AV57,"-")</f>
        <v>1.5905391765322492</v>
      </c>
    </row>
    <row r="51" spans="1:48" ht="22.5" customHeight="1">
      <c r="A51" s="3524"/>
      <c r="B51" s="4626"/>
      <c r="C51" s="3524"/>
      <c r="D51" s="3524"/>
      <c r="E51" s="3524"/>
      <c r="F51" s="3524"/>
      <c r="G51" s="3524"/>
      <c r="H51" s="3524"/>
      <c r="I51" s="3524"/>
      <c r="J51" s="3524"/>
      <c r="K51" s="3728"/>
      <c r="L51" s="3524"/>
      <c r="M51" s="3524"/>
      <c r="N51" s="3524"/>
      <c r="O51" s="3524"/>
      <c r="P51" s="3524"/>
      <c r="Q51" s="3524"/>
      <c r="R51" s="4636" t="s">
        <v>1586</v>
      </c>
      <c r="S51" s="4635">
        <f>IFERROR('8. Ремонтна програма'!J75/'8. Ремонтна програма'!J$80,0)</f>
        <v>0</v>
      </c>
      <c r="T51" s="4635">
        <f>IFERROR('8. Ремонтна програма'!K75/'8. Ремонтна програма'!K$80,0)</f>
        <v>0</v>
      </c>
      <c r="U51" s="4635">
        <f>IFERROR('8. Ремонтна програма'!L75/'8. Ремонтна програма'!L$80,0)</f>
        <v>0</v>
      </c>
      <c r="V51" s="4635">
        <f>IFERROR('8. Ремонтна програма'!M75/'8. Ремонтна програма'!M$80,0)</f>
        <v>0</v>
      </c>
      <c r="W51" s="4635">
        <f>IFERROR('8. Ремонтна програма'!N75/'8. Ремонтна програма'!N$80,0)</f>
        <v>0</v>
      </c>
      <c r="X51" s="4635">
        <f>IFERROR('8. Ремонтна програма'!O75/'8. Ремонтна програма'!O$80,0)</f>
        <v>0</v>
      </c>
      <c r="Y51" s="3752">
        <f t="shared" si="115"/>
        <v>0</v>
      </c>
      <c r="Z51" s="3752">
        <f t="shared" si="75"/>
        <v>0</v>
      </c>
      <c r="AA51" s="3524"/>
      <c r="AB51" s="3528"/>
      <c r="AC51" s="4524"/>
      <c r="AD51" s="4524"/>
      <c r="AE51" s="4524"/>
      <c r="AF51" s="4524"/>
      <c r="AG51" s="4524"/>
      <c r="AH51" s="4524"/>
      <c r="AI51" s="4524"/>
      <c r="AJ51" s="3524"/>
      <c r="AK51" s="3630" t="s">
        <v>1928</v>
      </c>
      <c r="AL51" s="4902">
        <f t="shared" ref="AL51:AL55" si="121">IFERROR(ROUND(AR51,5),"-")</f>
        <v>3.9120000000000002E-2</v>
      </c>
      <c r="AM51" s="4902">
        <f t="shared" si="117"/>
        <v>4.1660000000000003E-2</v>
      </c>
      <c r="AN51" s="4902">
        <f t="shared" si="118"/>
        <v>4.4139999999999999E-2</v>
      </c>
      <c r="AO51" s="4902">
        <f t="shared" si="119"/>
        <v>4.6789999999999998E-2</v>
      </c>
      <c r="AP51" s="4902">
        <f t="shared" si="120"/>
        <v>6.4750000000000002E-2</v>
      </c>
      <c r="AR51" s="4902">
        <f>IFERROR('12. Разходи'!T55/AR57,"-")</f>
        <v>3.9123856998094841E-2</v>
      </c>
      <c r="AS51" s="4902">
        <f>IFERROR('12. Разходи'!U55/AS57,"-")</f>
        <v>4.1664965279588899E-2</v>
      </c>
      <c r="AT51" s="4902">
        <f>IFERROR('12. Разходи'!V55/AT57,"-")</f>
        <v>4.4138314509199174E-2</v>
      </c>
      <c r="AU51" s="4902">
        <f>IFERROR('12. Разходи'!W55/AU57,"-")</f>
        <v>4.6790029468502636E-2</v>
      </c>
      <c r="AV51" s="4902">
        <f>IFERROR('12. Разходи'!X55/AV57,"-")</f>
        <v>6.4748527462809513E-2</v>
      </c>
    </row>
    <row r="52" spans="1:48" ht="22.5">
      <c r="A52" s="3524"/>
      <c r="B52" s="4626"/>
      <c r="C52" s="3524"/>
      <c r="D52" s="3524"/>
      <c r="E52" s="3524"/>
      <c r="F52" s="3524"/>
      <c r="G52" s="3524"/>
      <c r="H52" s="3524"/>
      <c r="I52" s="3524"/>
      <c r="J52" s="3524"/>
      <c r="K52" s="3728"/>
      <c r="L52" s="3524"/>
      <c r="M52" s="3524"/>
      <c r="N52" s="3524"/>
      <c r="O52" s="3524"/>
      <c r="P52" s="3524"/>
      <c r="Q52" s="3524"/>
      <c r="R52" s="4636" t="s">
        <v>914</v>
      </c>
      <c r="S52" s="4635">
        <f>IFERROR('8. Ремонтна програма'!J76/'8. Ремонтна програма'!J$80,0)</f>
        <v>0</v>
      </c>
      <c r="T52" s="4635">
        <f>IFERROR('8. Ремонтна програма'!K76/'8. Ремонтна програма'!K$80,0)</f>
        <v>0</v>
      </c>
      <c r="U52" s="4635">
        <f>IFERROR('8. Ремонтна програма'!L76/'8. Ремонтна програма'!L$80,0)</f>
        <v>0</v>
      </c>
      <c r="V52" s="4635">
        <f>IFERROR('8. Ремонтна програма'!M76/'8. Ремонтна програма'!M$80,0)</f>
        <v>0</v>
      </c>
      <c r="W52" s="4635">
        <f>IFERROR('8. Ремонтна програма'!N76/'8. Ремонтна програма'!N$80,0)</f>
        <v>0</v>
      </c>
      <c r="X52" s="4635">
        <f>IFERROR('8. Ремонтна програма'!O76/'8. Ремонтна програма'!O$80,0)</f>
        <v>0</v>
      </c>
      <c r="Y52" s="3752">
        <f t="shared" si="115"/>
        <v>0</v>
      </c>
      <c r="Z52" s="3752">
        <f t="shared" si="75"/>
        <v>0</v>
      </c>
      <c r="AA52" s="3524"/>
      <c r="AB52" s="3528"/>
      <c r="AC52" s="4524"/>
      <c r="AD52" s="4524"/>
      <c r="AE52" s="4524"/>
      <c r="AF52" s="4524"/>
      <c r="AG52" s="4524"/>
      <c r="AH52" s="4524"/>
      <c r="AI52" s="4524"/>
      <c r="AJ52" s="3524"/>
      <c r="AK52" s="3630" t="s">
        <v>1929</v>
      </c>
      <c r="AL52" s="4902">
        <f t="shared" si="121"/>
        <v>0.53552</v>
      </c>
      <c r="AM52" s="4902">
        <f t="shared" si="117"/>
        <v>0.61512999999999995</v>
      </c>
      <c r="AN52" s="4902">
        <f t="shared" si="118"/>
        <v>0.72489999999999999</v>
      </c>
      <c r="AO52" s="4902">
        <f t="shared" si="119"/>
        <v>0.85262000000000004</v>
      </c>
      <c r="AP52" s="4902">
        <f t="shared" si="120"/>
        <v>1.31576</v>
      </c>
      <c r="AR52" s="4902">
        <f>IFERROR(('12. Разходи'!T59+'12. Разходи'!T63)/AR57,"-")</f>
        <v>0.5355211685825223</v>
      </c>
      <c r="AS52" s="4902">
        <f>IFERROR(('12. Разходи'!U59+'12. Разходи'!U63)/AS57,"-")</f>
        <v>0.61513180921206401</v>
      </c>
      <c r="AT52" s="4902">
        <f>IFERROR(('12. Разходи'!V59+'12. Разходи'!V63)/AT57,"-")</f>
        <v>0.72490310420861515</v>
      </c>
      <c r="AU52" s="4902">
        <f>IFERROR(('12. Разходи'!W59+'12. Разходи'!W63)/AU57,"-")</f>
        <v>0.85262457708168293</v>
      </c>
      <c r="AV52" s="4902">
        <f>IFERROR(('12. Разходи'!X59+'12. Разходи'!X63)/AV57,"-")</f>
        <v>1.3157617248720481</v>
      </c>
    </row>
    <row r="53" spans="1:48" ht="33.75">
      <c r="A53" s="3524"/>
      <c r="B53" s="4626"/>
      <c r="C53" s="3524"/>
      <c r="D53" s="3524"/>
      <c r="E53" s="3524"/>
      <c r="F53" s="3524"/>
      <c r="G53" s="3524"/>
      <c r="H53" s="3524"/>
      <c r="I53" s="3524"/>
      <c r="J53" s="3524"/>
      <c r="K53" s="3728"/>
      <c r="L53" s="3524"/>
      <c r="M53" s="3524"/>
      <c r="N53" s="3524"/>
      <c r="O53" s="3524"/>
      <c r="P53" s="3524"/>
      <c r="Q53" s="3524"/>
      <c r="R53" s="4636" t="s">
        <v>918</v>
      </c>
      <c r="S53" s="4635">
        <f>IFERROR('8. Ремонтна програма'!J77/'8. Ремонтна програма'!J$80,0)</f>
        <v>0</v>
      </c>
      <c r="T53" s="4635">
        <f>IFERROR('8. Ремонтна програма'!K77/'8. Ремонтна програма'!K$80,0)</f>
        <v>0</v>
      </c>
      <c r="U53" s="4635">
        <f>IFERROR('8. Ремонтна програма'!L77/'8. Ремонтна програма'!L$80,0)</f>
        <v>0</v>
      </c>
      <c r="V53" s="4635">
        <f>IFERROR('8. Ремонтна програма'!M77/'8. Ремонтна програма'!M$80,0)</f>
        <v>0</v>
      </c>
      <c r="W53" s="4635">
        <f>IFERROR('8. Ремонтна програма'!N77/'8. Ремонтна програма'!N$80,0)</f>
        <v>0</v>
      </c>
      <c r="X53" s="4635">
        <f>IFERROR('8. Ремонтна програма'!O77/'8. Ремонтна програма'!O$80,0)</f>
        <v>0</v>
      </c>
      <c r="Y53" s="3752">
        <f t="shared" si="115"/>
        <v>0</v>
      </c>
      <c r="Z53" s="3752">
        <f t="shared" si="75"/>
        <v>0</v>
      </c>
      <c r="AA53" s="3524"/>
      <c r="AB53" s="3528"/>
      <c r="AC53" s="4524"/>
      <c r="AD53" s="4524"/>
      <c r="AE53" s="4524"/>
      <c r="AF53" s="4524"/>
      <c r="AG53" s="4524"/>
      <c r="AH53" s="4524"/>
      <c r="AI53" s="4524"/>
      <c r="AJ53" s="3524"/>
      <c r="AK53" s="3632" t="s">
        <v>1930</v>
      </c>
      <c r="AL53" s="4645">
        <f t="shared" si="121"/>
        <v>0.15129999999999999</v>
      </c>
      <c r="AM53" s="4645">
        <f t="shared" si="117"/>
        <v>0.15415999999999999</v>
      </c>
      <c r="AN53" s="4645">
        <f t="shared" si="118"/>
        <v>0.15642</v>
      </c>
      <c r="AO53" s="4645">
        <f t="shared" si="119"/>
        <v>0.15969</v>
      </c>
      <c r="AP53" s="4645">
        <f t="shared" si="120"/>
        <v>0.21390999999999999</v>
      </c>
      <c r="AR53" s="4645">
        <f>IFERROR('12. Разходи'!T89/AR57,"-")</f>
        <v>0.151295652045805</v>
      </c>
      <c r="AS53" s="4645">
        <f>IFERROR('12. Разходи'!U89/AS57,"-")</f>
        <v>0.15415759844165527</v>
      </c>
      <c r="AT53" s="4645">
        <f>IFERROR('12. Разходи'!V89/AT57,"-")</f>
        <v>0.15642262661243964</v>
      </c>
      <c r="AU53" s="4645">
        <f>IFERROR('12. Разходи'!W89/AU57,"-")</f>
        <v>0.15968797530176937</v>
      </c>
      <c r="AV53" s="4645">
        <f>IFERROR('12. Разходи'!X89/AV57,"-")</f>
        <v>0.21390868808827471</v>
      </c>
    </row>
    <row r="54" spans="1:48" ht="22.5">
      <c r="A54" s="3524"/>
      <c r="B54" s="4626"/>
      <c r="C54" s="3524"/>
      <c r="D54" s="3524"/>
      <c r="E54" s="3524"/>
      <c r="F54" s="3524"/>
      <c r="G54" s="3524"/>
      <c r="H54" s="3524"/>
      <c r="I54" s="3524"/>
      <c r="J54" s="3524"/>
      <c r="K54" s="3728"/>
      <c r="L54" s="3524"/>
      <c r="M54" s="3524"/>
      <c r="N54" s="3524"/>
      <c r="O54" s="3524"/>
      <c r="P54" s="3524"/>
      <c r="Q54" s="3524"/>
      <c r="R54" s="4636" t="s">
        <v>1361</v>
      </c>
      <c r="S54" s="4635">
        <f>IFERROR('8. Ремонтна програма'!J78/'8. Ремонтна програма'!J$80,0)</f>
        <v>0</v>
      </c>
      <c r="T54" s="4635">
        <f>IFERROR('8. Ремонтна програма'!K78/'8. Ремонтна програма'!K$80,0)</f>
        <v>0</v>
      </c>
      <c r="U54" s="4635">
        <f>IFERROR('8. Ремонтна програма'!L78/'8. Ремонтна програма'!L$80,0)</f>
        <v>0</v>
      </c>
      <c r="V54" s="4635">
        <f>IFERROR('8. Ремонтна програма'!M78/'8. Ремонтна програма'!M$80,0)</f>
        <v>0</v>
      </c>
      <c r="W54" s="4635">
        <f>IFERROR('8. Ремонтна програма'!N78/'8. Ремонтна програма'!N$80,0)</f>
        <v>0</v>
      </c>
      <c r="X54" s="4635">
        <f>IFERROR('8. Ремонтна програма'!O78/'8. Ремонтна програма'!O$80,0)</f>
        <v>0</v>
      </c>
      <c r="Y54" s="3752">
        <f t="shared" si="115"/>
        <v>0</v>
      </c>
      <c r="Z54" s="3752">
        <f t="shared" si="75"/>
        <v>0</v>
      </c>
      <c r="AA54" s="3524"/>
      <c r="AB54" s="3528"/>
      <c r="AC54" s="4524"/>
      <c r="AD54" s="4524"/>
      <c r="AE54" s="4524"/>
      <c r="AF54" s="4524"/>
      <c r="AG54" s="4524"/>
      <c r="AH54" s="4524"/>
      <c r="AI54" s="4524"/>
      <c r="AJ54" s="3524"/>
      <c r="AK54" s="3630" t="s">
        <v>1931</v>
      </c>
      <c r="AL54" s="4902">
        <f t="shared" si="121"/>
        <v>0.12027</v>
      </c>
      <c r="AM54" s="4902">
        <f t="shared" si="117"/>
        <v>0.12218999999999999</v>
      </c>
      <c r="AN54" s="4902">
        <f t="shared" si="118"/>
        <v>0.12367</v>
      </c>
      <c r="AO54" s="4902">
        <f t="shared" si="119"/>
        <v>0.12620999999999999</v>
      </c>
      <c r="AP54" s="4902">
        <f t="shared" si="120"/>
        <v>0.16880999999999999</v>
      </c>
      <c r="AR54" s="4902">
        <f>IFERROR('12. Разходи'!T17/AR57,"-")</f>
        <v>0.12026645346659791</v>
      </c>
      <c r="AS54" s="4902">
        <f>IFERROR('12. Разходи'!U17/AS57,"-")</f>
        <v>0.12218838255070572</v>
      </c>
      <c r="AT54" s="4902">
        <f>IFERROR('12. Разходи'!V17/AT57,"-")</f>
        <v>0.12367041009948836</v>
      </c>
      <c r="AU54" s="4902">
        <f>IFERROR('12. Разходи'!W17/AU57,"-")</f>
        <v>0.1262135568452413</v>
      </c>
      <c r="AV54" s="4902">
        <f>IFERROR('12. Разходи'!X17/AV57,"-")</f>
        <v>0.16880884419070749</v>
      </c>
    </row>
    <row r="55" spans="1:48" ht="22.5">
      <c r="A55" s="3524"/>
      <c r="B55" s="4626"/>
      <c r="C55" s="3524"/>
      <c r="D55" s="3524"/>
      <c r="E55" s="3524"/>
      <c r="F55" s="3524"/>
      <c r="G55" s="3524"/>
      <c r="H55" s="3524"/>
      <c r="I55" s="3524"/>
      <c r="J55" s="3524"/>
      <c r="K55" s="3728"/>
      <c r="L55" s="3524"/>
      <c r="M55" s="3524"/>
      <c r="N55" s="3524"/>
      <c r="O55" s="3524"/>
      <c r="P55" s="3524"/>
      <c r="Q55" s="3524"/>
      <c r="R55" s="4636" t="s">
        <v>1581</v>
      </c>
      <c r="S55" s="4635">
        <f>IFERROR('8. Ремонтна програма'!J79/'8. Ремонтна програма'!J$80,0)</f>
        <v>0</v>
      </c>
      <c r="T55" s="4635">
        <f>IFERROR('8. Ремонтна програма'!K79/'8. Ремонтна програма'!K$80,0)</f>
        <v>-190716.00000001083</v>
      </c>
      <c r="U55" s="4635">
        <f>IFERROR('8. Ремонтна програма'!L79/'8. Ремонтна програма'!L$80,0)</f>
        <v>0</v>
      </c>
      <c r="V55" s="4635">
        <f>IFERROR('8. Ремонтна програма'!M79/'8. Ремонтна програма'!M$80,0)</f>
        <v>0</v>
      </c>
      <c r="W55" s="4635">
        <f>IFERROR('8. Ремонтна програма'!N79/'8. Ремонтна програма'!N$80,0)</f>
        <v>76452</v>
      </c>
      <c r="X55" s="4635">
        <f>IFERROR('8. Ремонтна програма'!O79/'8. Ремонтна програма'!O$80,0)</f>
        <v>0</v>
      </c>
      <c r="Y55" s="3752">
        <f t="shared" si="115"/>
        <v>0</v>
      </c>
      <c r="Z55" s="3752">
        <f t="shared" si="75"/>
        <v>-1</v>
      </c>
      <c r="AA55" s="3524"/>
      <c r="AB55" s="3528"/>
      <c r="AC55" s="4524"/>
      <c r="AD55" s="4524"/>
      <c r="AE55" s="4524"/>
      <c r="AF55" s="4524"/>
      <c r="AG55" s="4524"/>
      <c r="AH55" s="4524"/>
      <c r="AI55" s="4524"/>
      <c r="AJ55" s="3524"/>
      <c r="AK55" s="3632" t="s">
        <v>1932</v>
      </c>
      <c r="AL55" s="4645">
        <f t="shared" si="121"/>
        <v>0</v>
      </c>
      <c r="AM55" s="4903">
        <f t="shared" si="117"/>
        <v>0</v>
      </c>
      <c r="AN55" s="4903">
        <f t="shared" si="118"/>
        <v>0</v>
      </c>
      <c r="AO55" s="4903">
        <f t="shared" si="119"/>
        <v>0</v>
      </c>
      <c r="AP55" s="4903">
        <f t="shared" si="120"/>
        <v>0</v>
      </c>
      <c r="AR55" s="4645">
        <f>IFERROR('16. Необходими приходи'!D23/AR57,"-")</f>
        <v>0</v>
      </c>
      <c r="AS55" s="4645">
        <f>IFERROR('16. Необходими приходи'!E23/AS57,"-")</f>
        <v>0</v>
      </c>
      <c r="AT55" s="4645">
        <f>IFERROR('16. Необходими приходи'!F23/AT57,"-")</f>
        <v>0</v>
      </c>
      <c r="AU55" s="4645">
        <f>IFERROR('16. Необходими приходи'!G23/AU57,"-")</f>
        <v>0</v>
      </c>
      <c r="AV55" s="4645">
        <f>IFERROR('16. Необходими приходи'!H23/AV57,"-")</f>
        <v>0</v>
      </c>
    </row>
    <row r="56" spans="1:48">
      <c r="A56" s="3524"/>
      <c r="B56" s="4626"/>
      <c r="C56" s="3524"/>
      <c r="D56" s="3524"/>
      <c r="E56" s="3524"/>
      <c r="F56" s="3524"/>
      <c r="G56" s="3524"/>
      <c r="H56" s="3524"/>
      <c r="I56" s="3524"/>
      <c r="J56" s="3524"/>
      <c r="K56" s="3728"/>
      <c r="L56" s="3524"/>
      <c r="M56" s="3524"/>
      <c r="N56" s="3524"/>
      <c r="O56" s="3524"/>
      <c r="P56" s="3524"/>
      <c r="Q56" s="3524"/>
      <c r="R56" s="3524"/>
      <c r="S56" s="3524"/>
      <c r="T56" s="3524"/>
      <c r="U56" s="3524"/>
      <c r="V56" s="3524"/>
      <c r="W56" s="3524"/>
      <c r="X56" s="3524"/>
      <c r="Y56" s="3524"/>
      <c r="Z56" s="3524"/>
      <c r="AA56" s="3524"/>
      <c r="AB56" s="3528"/>
      <c r="AC56" s="4524"/>
      <c r="AD56" s="4524"/>
      <c r="AE56" s="4524"/>
      <c r="AF56" s="4524"/>
      <c r="AG56" s="4524"/>
      <c r="AH56" s="4524"/>
      <c r="AI56" s="4524"/>
      <c r="AJ56" s="3524"/>
      <c r="AK56" s="1348"/>
      <c r="AL56"/>
      <c r="AM56"/>
      <c r="AN56"/>
      <c r="AO56"/>
      <c r="AP56"/>
      <c r="AQ56"/>
      <c r="AR56"/>
      <c r="AS56"/>
      <c r="AT56"/>
      <c r="AU56"/>
      <c r="AV56"/>
    </row>
    <row r="57" spans="1:48">
      <c r="AK57" s="1"/>
      <c r="AL57" s="4896"/>
      <c r="AM57" s="4896"/>
      <c r="AN57" s="4896"/>
      <c r="AO57" s="4896"/>
      <c r="AP57" s="4896"/>
      <c r="AQ57" s="4897" t="s">
        <v>1933</v>
      </c>
      <c r="AR57" s="4898">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5607.6214651769569</v>
      </c>
      <c r="AS57" s="4898">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5442.7359305130512</v>
      </c>
      <c r="AT57" s="4898">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5282.0852576982161</v>
      </c>
      <c r="AU57" s="4898">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5138.2520722016352</v>
      </c>
      <c r="AV57" s="4898">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3813.7604287645454</v>
      </c>
    </row>
    <row r="58" spans="1:48">
      <c r="AK58" s="1" t="s">
        <v>1934</v>
      </c>
      <c r="AL58" s="4896"/>
      <c r="AM58" s="4896"/>
      <c r="AN58" s="4896"/>
      <c r="AO58" s="4896"/>
      <c r="AP58" s="4896"/>
      <c r="AQ58" s="4899"/>
      <c r="AR58" s="4896"/>
      <c r="AS58" s="4896"/>
      <c r="AT58" s="4896"/>
      <c r="AU58" s="4896"/>
      <c r="AV58" s="4896"/>
    </row>
    <row r="59" spans="1:48">
      <c r="AK59" s="4900" t="s">
        <v>1935</v>
      </c>
      <c r="AL59" s="4901">
        <f>IFERROR(AL33-AL34-AL37-AL39,0)</f>
        <v>-2.5999999999994083E-4</v>
      </c>
      <c r="AM59" s="4901">
        <f t="shared" ref="AM59:AP59" si="122">IFERROR(AM33-AM34-AM37-AM39,0)</f>
        <v>-3.5999999999976329E-4</v>
      </c>
      <c r="AN59" s="4901">
        <f t="shared" si="122"/>
        <v>-4.0000000000053881E-5</v>
      </c>
      <c r="AO59" s="4901">
        <f t="shared" si="122"/>
        <v>-5.0000000000383071E-5</v>
      </c>
      <c r="AP59" s="4901">
        <f t="shared" si="122"/>
        <v>-6.9999999999736939E-5</v>
      </c>
      <c r="AQ59" s="4896"/>
      <c r="AR59" s="4896"/>
      <c r="AS59" s="4896"/>
      <c r="AT59" s="4896"/>
      <c r="AU59" s="4896"/>
      <c r="AV59" s="4896"/>
    </row>
    <row r="60" spans="1:48">
      <c r="AK60" s="4900" t="s">
        <v>1936</v>
      </c>
      <c r="AL60" s="4901">
        <f>IFERROR(AL41-AL42-AL45-AL47,0)</f>
        <v>3.7999999999998278E-4</v>
      </c>
      <c r="AM60" s="4901">
        <f t="shared" ref="AM60:AP60" si="123">IFERROR(AM41-AM42-AM45-AM47,0)</f>
        <v>1.8000000000005859E-4</v>
      </c>
      <c r="AN60" s="4901">
        <f t="shared" si="123"/>
        <v>3.3000000000005074E-4</v>
      </c>
      <c r="AO60" s="4901">
        <f t="shared" si="123"/>
        <v>-4.7000000000007366E-4</v>
      </c>
      <c r="AP60" s="4901">
        <f t="shared" si="123"/>
        <v>4.9999999999992498E-4</v>
      </c>
      <c r="AQ60" s="4896"/>
      <c r="AR60" s="4896"/>
      <c r="AS60" s="4896"/>
      <c r="AT60" s="4896"/>
      <c r="AU60" s="4896"/>
      <c r="AV60" s="4896"/>
    </row>
    <row r="61" spans="1:48">
      <c r="AK61" s="4900" t="s">
        <v>1937</v>
      </c>
      <c r="AL61" s="4901">
        <f>IFERROR(AL49-AL50-AL53-AL55,0)</f>
        <v>2.1000000000004349E-4</v>
      </c>
      <c r="AM61" s="4901">
        <f t="shared" ref="AM61:AP61" si="124">IFERROR(AM49-AM50-AM53-AM55,0)</f>
        <v>-1.2999999999999123E-4</v>
      </c>
      <c r="AN61" s="4901">
        <f t="shared" si="124"/>
        <v>-1.100000000000545E-4</v>
      </c>
      <c r="AO61" s="4901">
        <f t="shared" si="124"/>
        <v>1.0000000000176534E-5</v>
      </c>
      <c r="AP61" s="4901">
        <f t="shared" si="124"/>
        <v>-4.5000000000000595E-4</v>
      </c>
      <c r="AQ61" s="4896"/>
      <c r="AR61" s="4896"/>
      <c r="AS61" s="4896"/>
      <c r="AT61" s="4896"/>
      <c r="AU61" s="4896"/>
      <c r="AV61" s="4896"/>
    </row>
  </sheetData>
  <mergeCells count="75">
    <mergeCell ref="AK40:AP40"/>
    <mergeCell ref="AK48:AP48"/>
    <mergeCell ref="AK32:AP32"/>
    <mergeCell ref="AV30:AV31"/>
    <mergeCell ref="AK30:AK31"/>
    <mergeCell ref="AR30:AR31"/>
    <mergeCell ref="AS30:AS31"/>
    <mergeCell ref="AT30:AT31"/>
    <mergeCell ref="AU30:AU31"/>
    <mergeCell ref="AL30:AL31"/>
    <mergeCell ref="AM30:AM31"/>
    <mergeCell ref="AN30:AN31"/>
    <mergeCell ref="AO30:AO31"/>
    <mergeCell ref="AP30:AP31"/>
    <mergeCell ref="O35:O36"/>
    <mergeCell ref="P35:P36"/>
    <mergeCell ref="O2:O3"/>
    <mergeCell ref="P2:P3"/>
    <mergeCell ref="O13:O14"/>
    <mergeCell ref="P13:P14"/>
    <mergeCell ref="O24:O25"/>
    <mergeCell ref="P24:P25"/>
    <mergeCell ref="R8:R9"/>
    <mergeCell ref="S8:X8"/>
    <mergeCell ref="Y8:Y9"/>
    <mergeCell ref="Z8:Z9"/>
    <mergeCell ref="R2:R3"/>
    <mergeCell ref="S2:X2"/>
    <mergeCell ref="Y2:Y3"/>
    <mergeCell ref="Z2:Z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C18:AG18"/>
    <mergeCell ref="AB21:AB22"/>
    <mergeCell ref="AC21:AG21"/>
    <mergeCell ref="AK2:AK3"/>
    <mergeCell ref="AL2:AL3"/>
    <mergeCell ref="AK19:AK20"/>
    <mergeCell ref="AL19:AL20"/>
    <mergeCell ref="AK6:AP6"/>
    <mergeCell ref="AK8:AP8"/>
    <mergeCell ref="AK14:AP14"/>
    <mergeCell ref="AK16:AP16"/>
    <mergeCell ref="AM19:AN19"/>
    <mergeCell ref="AO19:AS19"/>
    <mergeCell ref="AB31:AB32"/>
    <mergeCell ref="AC31:AG31"/>
    <mergeCell ref="AM2:AM3"/>
    <mergeCell ref="AN2:AN3"/>
    <mergeCell ref="AO2:AO3"/>
    <mergeCell ref="AB25:AB26"/>
    <mergeCell ref="AC25:AG25"/>
    <mergeCell ref="AK4:AP4"/>
    <mergeCell ref="AB2:AB3"/>
    <mergeCell ref="AC2:AG2"/>
    <mergeCell ref="AB5:AB6"/>
    <mergeCell ref="AC5:AG5"/>
    <mergeCell ref="AB10:AB11"/>
    <mergeCell ref="AC10:AG10"/>
    <mergeCell ref="AP2:AP3"/>
    <mergeCell ref="AB18:AB19"/>
  </mergeCells>
  <conditionalFormatting sqref="S17:X30">
    <cfRule type="top10" dxfId="7" priority="9" rank="7"/>
  </conditionalFormatting>
  <conditionalFormatting sqref="S34:X45">
    <cfRule type="top10" dxfId="6" priority="6" rank="7"/>
  </conditionalFormatting>
  <conditionalFormatting sqref="S47:X55">
    <cfRule type="top10" dxfId="5"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V61"/>
  <sheetViews>
    <sheetView zoomScaleNormal="100" workbookViewId="0">
      <selection activeCell="AL34" sqref="AL34"/>
    </sheetView>
  </sheetViews>
  <sheetFormatPr defaultColWidth="9.140625" defaultRowHeight="12.75"/>
  <cols>
    <col min="1" max="1" width="32" style="11" customWidth="1"/>
    <col min="2" max="2" width="4.85546875" style="4647" customWidth="1"/>
    <col min="3" max="10" width="5" style="11" customWidth="1"/>
    <col min="11" max="11" width="5" style="3619" customWidth="1"/>
    <col min="12" max="14" width="5" style="11" customWidth="1"/>
    <col min="15" max="15" width="6.85546875" style="11" customWidth="1"/>
    <col min="16" max="16" width="6.42578125" style="11" customWidth="1"/>
    <col min="17" max="17" width="4.5703125" style="11" customWidth="1"/>
    <col min="18" max="18" width="26.5703125" style="11" customWidth="1"/>
    <col min="19" max="24" width="6.5703125" style="11" customWidth="1"/>
    <col min="25" max="26" width="7" style="11" customWidth="1"/>
    <col min="27" max="27" width="4.42578125" style="11" customWidth="1"/>
    <col min="28" max="28" width="39.7109375" style="4625" customWidth="1"/>
    <col min="29" max="35" width="9.140625" style="4588"/>
    <col min="36" max="36" width="5.28515625" style="11" customWidth="1"/>
    <col min="37" max="37" width="39.7109375" style="4625" customWidth="1"/>
    <col min="38" max="16384" width="9.140625" style="11"/>
  </cols>
  <sheetData>
    <row r="1" spans="1:42" ht="15.75">
      <c r="A1" s="3669" t="s">
        <v>877</v>
      </c>
      <c r="B1" s="4626"/>
      <c r="C1" s="3524"/>
      <c r="D1" s="3524"/>
      <c r="E1" s="3524"/>
      <c r="F1" s="3524"/>
      <c r="G1" s="3524"/>
      <c r="H1" s="3524"/>
      <c r="I1" s="3524"/>
      <c r="J1" s="3524"/>
      <c r="K1" s="3728"/>
      <c r="L1" s="3524"/>
      <c r="M1" s="3524"/>
      <c r="N1" s="3524"/>
      <c r="O1" s="3524"/>
      <c r="P1" s="3524"/>
      <c r="Q1" s="3524"/>
      <c r="R1" s="3669" t="s">
        <v>1403</v>
      </c>
      <c r="S1" s="3524"/>
      <c r="T1" s="3524"/>
      <c r="U1" s="3524"/>
      <c r="V1" s="3524"/>
      <c r="W1" s="3524"/>
      <c r="X1" s="3524"/>
      <c r="Y1" s="3524"/>
      <c r="Z1" s="3524"/>
      <c r="AA1" s="3524"/>
      <c r="AB1" s="3729" t="s">
        <v>1699</v>
      </c>
      <c r="AC1" s="4524"/>
      <c r="AD1" s="4524"/>
      <c r="AE1" s="4524"/>
      <c r="AF1" s="4524"/>
      <c r="AG1" s="4524"/>
      <c r="AH1" s="4524"/>
      <c r="AI1" s="4524"/>
      <c r="AJ1" s="3524"/>
      <c r="AK1" s="3729" t="s">
        <v>1700</v>
      </c>
      <c r="AL1" s="4524"/>
      <c r="AM1" s="4524"/>
      <c r="AN1" s="4524"/>
      <c r="AO1" s="4524"/>
      <c r="AP1" s="4524"/>
    </row>
    <row r="2" spans="1:42" ht="12.6" customHeight="1">
      <c r="A2" s="5647" t="s">
        <v>2</v>
      </c>
      <c r="B2" s="5656" t="s">
        <v>1537</v>
      </c>
      <c r="C2" s="5658" t="s">
        <v>207</v>
      </c>
      <c r="D2" s="5659"/>
      <c r="E2" s="5659"/>
      <c r="F2" s="5659"/>
      <c r="G2" s="5659"/>
      <c r="H2" s="5660"/>
      <c r="I2" s="5658" t="s">
        <v>208</v>
      </c>
      <c r="J2" s="5659"/>
      <c r="K2" s="5659"/>
      <c r="L2" s="5659"/>
      <c r="M2" s="5659"/>
      <c r="N2" s="5660"/>
      <c r="O2" s="5647" t="str">
        <f>CONCATENATE("Изменение ", H3,"спрямо ",D3)</f>
        <v>Изменение 2031 г.спрямо 2027 г.</v>
      </c>
      <c r="P2" s="5647" t="str">
        <f>CONCATENATE("Изменение ", N3,"спрямо ",J3)</f>
        <v>Изменение 2031 г.спрямо 2027 г.</v>
      </c>
      <c r="Q2" s="3524"/>
      <c r="R2" s="5647" t="s">
        <v>1726</v>
      </c>
      <c r="S2" s="5664" t="s">
        <v>1562</v>
      </c>
      <c r="T2" s="5664"/>
      <c r="U2" s="5664"/>
      <c r="V2" s="5664"/>
      <c r="W2" s="5664"/>
      <c r="X2" s="5664"/>
      <c r="Y2" s="5647" t="str">
        <f>CONCATENATE("Изменение ", T3,"спрямо ",S3)</f>
        <v>Изменение 2027 г.спрямо 2024 г.</v>
      </c>
      <c r="Z2" s="5647" t="str">
        <f>CONCATENATE("Изменение ", X3,"спрямо ",T3)</f>
        <v>Изменение 2031 г.спрямо 2027 г.</v>
      </c>
      <c r="AA2" s="3524"/>
      <c r="AB2" s="5646" t="s">
        <v>1704</v>
      </c>
      <c r="AC2" s="5646" t="s">
        <v>210</v>
      </c>
      <c r="AD2" s="5646"/>
      <c r="AE2" s="5646"/>
      <c r="AF2" s="5646"/>
      <c r="AG2" s="5646"/>
      <c r="AH2" s="3524"/>
      <c r="AI2" s="3524"/>
      <c r="AJ2" s="3524"/>
      <c r="AK2" s="5646" t="s">
        <v>1908</v>
      </c>
      <c r="AL2" s="5647" t="str">
        <f>+'15. ОПП'!$C$7</f>
        <v>2027 г.</v>
      </c>
      <c r="AM2" s="5647" t="str">
        <f>+'15. ОПП'!$D$7</f>
        <v>2028 г.</v>
      </c>
      <c r="AN2" s="5647" t="str">
        <f>+'15. ОПП'!$E$7</f>
        <v>2029 г.</v>
      </c>
      <c r="AO2" s="5647" t="str">
        <f>+'15. ОПП'!$F$7</f>
        <v>2030 г.</v>
      </c>
      <c r="AP2" s="5647" t="str">
        <f>+'15. ОПП'!$G$7</f>
        <v>2031 г.</v>
      </c>
    </row>
    <row r="3" spans="1:42" ht="27.75" customHeight="1">
      <c r="A3" s="5648"/>
      <c r="B3" s="5657"/>
      <c r="C3" s="4627" t="str">
        <f>+'15. ОПП'!$B$7</f>
        <v>2024 г.</v>
      </c>
      <c r="D3" s="4627" t="str">
        <f>+'15. ОПП'!$C$7</f>
        <v>2027 г.</v>
      </c>
      <c r="E3" s="4627" t="str">
        <f>+'15. ОПП'!$D$7</f>
        <v>2028 г.</v>
      </c>
      <c r="F3" s="4627" t="str">
        <f>+'15. ОПП'!$E$7</f>
        <v>2029 г.</v>
      </c>
      <c r="G3" s="4627" t="str">
        <f>+'15. ОПП'!$F$7</f>
        <v>2030 г.</v>
      </c>
      <c r="H3" s="4627" t="str">
        <f>+'15. ОПП'!$G$7</f>
        <v>2031 г.</v>
      </c>
      <c r="I3" s="4627" t="str">
        <f>+'15. ОПП'!$B$7</f>
        <v>2024 г.</v>
      </c>
      <c r="J3" s="4627" t="str">
        <f>+'15. ОПП'!$C$7</f>
        <v>2027 г.</v>
      </c>
      <c r="K3" s="4627" t="str">
        <f>+'15. ОПП'!$D$7</f>
        <v>2028 г.</v>
      </c>
      <c r="L3" s="4627" t="str">
        <f>+'15. ОПП'!$E$7</f>
        <v>2029 г.</v>
      </c>
      <c r="M3" s="4627" t="str">
        <f>+'15. ОПП'!$F$7</f>
        <v>2030 г.</v>
      </c>
      <c r="N3" s="4627" t="str">
        <f>+'15. ОПП'!$G$7</f>
        <v>2031 г.</v>
      </c>
      <c r="O3" s="5648"/>
      <c r="P3" s="5648"/>
      <c r="Q3" s="3524"/>
      <c r="R3" s="5648"/>
      <c r="S3" s="4528" t="str">
        <f>+'15. ОПП'!$B$7</f>
        <v>2024 г.</v>
      </c>
      <c r="T3" s="4528" t="str">
        <f>+'15. ОПП'!$C$7</f>
        <v>2027 г.</v>
      </c>
      <c r="U3" s="4528" t="str">
        <f>+'15. ОПП'!$D$7</f>
        <v>2028 г.</v>
      </c>
      <c r="V3" s="4528" t="str">
        <f>+'15. ОПП'!$E$7</f>
        <v>2029 г.</v>
      </c>
      <c r="W3" s="4528" t="str">
        <f>+'15. ОПП'!$F$7</f>
        <v>2030 г.</v>
      </c>
      <c r="X3" s="4528" t="str">
        <f>+'15. ОПП'!$G$7</f>
        <v>2031 г.</v>
      </c>
      <c r="Y3" s="5648"/>
      <c r="Z3" s="5648"/>
      <c r="AA3" s="3524"/>
      <c r="AB3" s="5646"/>
      <c r="AC3" s="4528" t="str">
        <f>+'15. ОПП'!$C$7</f>
        <v>2027 г.</v>
      </c>
      <c r="AD3" s="4528" t="str">
        <f>+'15. ОПП'!$D$7</f>
        <v>2028 г.</v>
      </c>
      <c r="AE3" s="4528" t="str">
        <f>+'15. ОПП'!$E$7</f>
        <v>2029 г.</v>
      </c>
      <c r="AF3" s="4528" t="str">
        <f>+'15. ОПП'!$F$7</f>
        <v>2030 г.</v>
      </c>
      <c r="AG3" s="4528" t="str">
        <f>+'15. ОПП'!$G$7</f>
        <v>2031 г.</v>
      </c>
      <c r="AH3" s="3524"/>
      <c r="AI3" s="3524"/>
      <c r="AJ3" s="3524"/>
      <c r="AK3" s="5646"/>
      <c r="AL3" s="5648" t="str">
        <f>+'15. ОПП'!$C$7</f>
        <v>2027 г.</v>
      </c>
      <c r="AM3" s="5648" t="str">
        <f>+'15. ОПП'!$D$7</f>
        <v>2028 г.</v>
      </c>
      <c r="AN3" s="5648" t="str">
        <f>+'15. ОПП'!$E$7</f>
        <v>2029 г.</v>
      </c>
      <c r="AO3" s="5648" t="str">
        <f>+'15. ОПП'!$F$7</f>
        <v>2030 г.</v>
      </c>
      <c r="AP3" s="5648" t="str">
        <f>+'15. ОПП'!$G$7</f>
        <v>2031 г.</v>
      </c>
    </row>
    <row r="4" spans="1:42" ht="15.95" customHeight="1">
      <c r="A4" s="3620" t="s">
        <v>1542</v>
      </c>
      <c r="B4" s="3730" t="s">
        <v>676</v>
      </c>
      <c r="C4" s="3731">
        <f>'5. Персонал'!C11</f>
        <v>331</v>
      </c>
      <c r="D4" s="3731">
        <f>'5. Персонал'!D11</f>
        <v>329</v>
      </c>
      <c r="E4" s="3731">
        <f>'5. Персонал'!E11</f>
        <v>321</v>
      </c>
      <c r="F4" s="3731">
        <f>'5. Персонал'!F11</f>
        <v>316</v>
      </c>
      <c r="G4" s="3731">
        <f>'5. Персонал'!G11</f>
        <v>309</v>
      </c>
      <c r="H4" s="3731">
        <f>'5. Персонал'!H11</f>
        <v>302</v>
      </c>
      <c r="I4" s="3731">
        <f>'5. Персонал'!I11</f>
        <v>45</v>
      </c>
      <c r="J4" s="3731">
        <f>'5. Персонал'!J11</f>
        <v>39</v>
      </c>
      <c r="K4" s="3731">
        <f>'5. Персонал'!K11</f>
        <v>39</v>
      </c>
      <c r="L4" s="3731">
        <f>'5. Персонал'!L11</f>
        <v>39</v>
      </c>
      <c r="M4" s="3731">
        <f>'5. Персонал'!M11</f>
        <v>38</v>
      </c>
      <c r="N4" s="3731">
        <f>'5. Персонал'!N11</f>
        <v>38</v>
      </c>
      <c r="O4" s="4523">
        <f>IFERROR((H4-D4)/D4,0)</f>
        <v>-8.2066869300911852E-2</v>
      </c>
      <c r="P4" s="4523">
        <f>IFERROR((N4-J4)/J4,0)</f>
        <v>-2.564102564102564E-2</v>
      </c>
      <c r="Q4" s="3524"/>
      <c r="R4" s="4542" t="s">
        <v>207</v>
      </c>
      <c r="S4" s="3779">
        <f>'8. Ремонтна програма'!D24</f>
        <v>3120</v>
      </c>
      <c r="T4" s="3779">
        <f>'8. Ремонтна програма'!E24</f>
        <v>3112</v>
      </c>
      <c r="U4" s="3779">
        <f>'8. Ремонтна програма'!F24</f>
        <v>3102</v>
      </c>
      <c r="V4" s="3779">
        <f>'8. Ремонтна програма'!G24</f>
        <v>3085</v>
      </c>
      <c r="W4" s="3779">
        <f>'8. Ремонтна програма'!H24</f>
        <v>3072</v>
      </c>
      <c r="X4" s="3779">
        <f>'8. Ремонтна програма'!I24</f>
        <v>3055</v>
      </c>
      <c r="Y4" s="4628">
        <f>IFERROR((T4-S4)/S4,0)</f>
        <v>-2.5641025641025641E-3</v>
      </c>
      <c r="Z4" s="4535">
        <f>IFERROR((X4-T4)/T4,0)</f>
        <v>-1.8316195372750643E-2</v>
      </c>
      <c r="AA4" s="3524"/>
      <c r="AB4" s="3732" t="s">
        <v>1706</v>
      </c>
      <c r="AC4" s="3733">
        <f>'4. Отчет и прогн. потребление'!E20/1000</f>
        <v>11354.942999999999</v>
      </c>
      <c r="AD4" s="3733">
        <f>'4. Отчет и прогн. потребление'!F20/1000</f>
        <v>11050.08402008124</v>
      </c>
      <c r="AE4" s="3733">
        <f>'4. Отчет и прогн. потребление'!G20/1000</f>
        <v>10686.707423367359</v>
      </c>
      <c r="AF4" s="3733">
        <f>'4. Отчет и прогн. потребление'!H20/1000</f>
        <v>10364.373287091164</v>
      </c>
      <c r="AG4" s="3733">
        <f>'4. Отчет и прогн. потребление'!I20/1000</f>
        <v>10025.137521163668</v>
      </c>
      <c r="AH4" s="3524"/>
      <c r="AI4" s="3524"/>
      <c r="AJ4" s="3524"/>
      <c r="AK4" s="5651" t="s">
        <v>207</v>
      </c>
      <c r="AL4" s="5652"/>
      <c r="AM4" s="5652"/>
      <c r="AN4" s="5652"/>
      <c r="AO4" s="5652"/>
      <c r="AP4" s="5653"/>
    </row>
    <row r="5" spans="1:42" ht="14.1" customHeight="1">
      <c r="A5" s="3617" t="s">
        <v>1535</v>
      </c>
      <c r="B5" s="3734" t="s">
        <v>1540</v>
      </c>
      <c r="C5" s="3735">
        <f>'5. Персонал'!C14</f>
        <v>331</v>
      </c>
      <c r="D5" s="3735">
        <f>'5. Персонал'!D14</f>
        <v>329</v>
      </c>
      <c r="E5" s="3735">
        <f>'5. Персонал'!E14</f>
        <v>321</v>
      </c>
      <c r="F5" s="3735">
        <f>'5. Персонал'!F14</f>
        <v>316</v>
      </c>
      <c r="G5" s="3735">
        <f>'5. Персонал'!G14</f>
        <v>309</v>
      </c>
      <c r="H5" s="3735">
        <f>'5. Персонал'!H14</f>
        <v>302</v>
      </c>
      <c r="I5" s="3735">
        <f>'5. Персонал'!I14</f>
        <v>45</v>
      </c>
      <c r="J5" s="3735">
        <f>'5. Персонал'!J14</f>
        <v>39</v>
      </c>
      <c r="K5" s="3735">
        <f>'5. Персонал'!K14</f>
        <v>39</v>
      </c>
      <c r="L5" s="3735">
        <f>'5. Персонал'!L14</f>
        <v>39</v>
      </c>
      <c r="M5" s="3735">
        <f>'5. Персонал'!M14</f>
        <v>38</v>
      </c>
      <c r="N5" s="3735">
        <f>'5. Персонал'!N14</f>
        <v>38</v>
      </c>
      <c r="O5" s="4523">
        <f t="shared" ref="O5:O12" si="0">IFERROR((H5-D5)/D5,0)</f>
        <v>-8.2066869300911852E-2</v>
      </c>
      <c r="P5" s="4523">
        <f t="shared" ref="P5:P12" si="1">IFERROR((N5-J5)/J5,0)</f>
        <v>-2.564102564102564E-2</v>
      </c>
      <c r="Q5" s="3524"/>
      <c r="R5" s="4542" t="s">
        <v>174</v>
      </c>
      <c r="S5" s="3779">
        <f>'8. Ремонтна програма'!D53</f>
        <v>477</v>
      </c>
      <c r="T5" s="3779">
        <f>'8. Ремонтна програма'!E53</f>
        <v>476</v>
      </c>
      <c r="U5" s="3779">
        <f>'8. Ремонтна програма'!F53</f>
        <v>476</v>
      </c>
      <c r="V5" s="3779">
        <f>'8. Ремонтна програма'!G53</f>
        <v>474</v>
      </c>
      <c r="W5" s="3779">
        <f>'8. Ремонтна програма'!H53</f>
        <v>474</v>
      </c>
      <c r="X5" s="3779">
        <f>'8. Ремонтна програма'!I53</f>
        <v>471</v>
      </c>
      <c r="Y5" s="4628">
        <f t="shared" ref="Y5:Y7" si="2">IFERROR((T5-S5)/S5,0)</f>
        <v>-2.0964360587002098E-3</v>
      </c>
      <c r="Z5" s="4535">
        <f t="shared" ref="Z5:Z7" si="3">IFERROR((X5-T5)/T5,0)</f>
        <v>-1.050420168067227E-2</v>
      </c>
      <c r="AA5" s="3524"/>
      <c r="AB5" s="5646" t="s">
        <v>1704</v>
      </c>
      <c r="AC5" s="5646" t="s">
        <v>174</v>
      </c>
      <c r="AD5" s="5646"/>
      <c r="AE5" s="5646"/>
      <c r="AF5" s="5646"/>
      <c r="AG5" s="5646"/>
      <c r="AH5" s="3524"/>
      <c r="AI5" s="3524"/>
      <c r="AJ5" s="3524"/>
      <c r="AK5" s="1488" t="s">
        <v>608</v>
      </c>
      <c r="AL5" s="3736">
        <f>'20.Цени '!J10</f>
        <v>0.998</v>
      </c>
      <c r="AM5" s="3736">
        <f>'20.Цени '!K10</f>
        <v>1.0840000000000001</v>
      </c>
      <c r="AN5" s="3736">
        <f>'20.Цени '!L10</f>
        <v>1.2250000000000001</v>
      </c>
      <c r="AO5" s="3736">
        <f>'20.Цени '!M10</f>
        <v>1.3740000000000001</v>
      </c>
      <c r="AP5" s="3736">
        <f>'20.Цени '!N10</f>
        <v>1.5620000000000001</v>
      </c>
    </row>
    <row r="6" spans="1:42" ht="17.25" customHeight="1">
      <c r="A6" s="3623" t="s">
        <v>1545</v>
      </c>
      <c r="B6" s="3737" t="s">
        <v>170</v>
      </c>
      <c r="C6" s="3738"/>
      <c r="D6" s="3739">
        <f>IFERROR((D5-C5)/C5,0)</f>
        <v>-6.0422960725075529E-3</v>
      </c>
      <c r="E6" s="3739">
        <f t="shared" ref="E6:H6" si="4">IFERROR((E5-D5)/D5,0)</f>
        <v>-2.4316109422492401E-2</v>
      </c>
      <c r="F6" s="3739">
        <f t="shared" si="4"/>
        <v>-1.5576323987538941E-2</v>
      </c>
      <c r="G6" s="3739">
        <f t="shared" si="4"/>
        <v>-2.2151898734177215E-2</v>
      </c>
      <c r="H6" s="3739">
        <f t="shared" si="4"/>
        <v>-2.2653721682847898E-2</v>
      </c>
      <c r="I6" s="3738"/>
      <c r="J6" s="3740">
        <f>IFERROR((J5-I5)/I5,0)</f>
        <v>-0.13333333333333333</v>
      </c>
      <c r="K6" s="3740">
        <f t="shared" ref="K6:N6" si="5">IFERROR((K5-J5)/J5,0)</f>
        <v>0</v>
      </c>
      <c r="L6" s="3740">
        <f t="shared" si="5"/>
        <v>0</v>
      </c>
      <c r="M6" s="3740">
        <f t="shared" si="5"/>
        <v>-2.564102564102564E-2</v>
      </c>
      <c r="N6" s="3740">
        <f t="shared" si="5"/>
        <v>0</v>
      </c>
      <c r="O6" s="4523">
        <f t="shared" si="0"/>
        <v>2.7491909385113273</v>
      </c>
      <c r="P6" s="4523">
        <f t="shared" si="1"/>
        <v>-1</v>
      </c>
      <c r="Q6" s="3524"/>
      <c r="R6" s="4542" t="s">
        <v>184</v>
      </c>
      <c r="S6" s="3779">
        <f>'8. Ремонтна програма'!D79</f>
        <v>15</v>
      </c>
      <c r="T6" s="3779">
        <f>'8. Ремонтна програма'!E79</f>
        <v>15</v>
      </c>
      <c r="U6" s="3779">
        <f>'8. Ремонтна програма'!F79</f>
        <v>15</v>
      </c>
      <c r="V6" s="3779">
        <f>'8. Ремонтна програма'!G79</f>
        <v>15</v>
      </c>
      <c r="W6" s="3779">
        <f>'8. Ремонтна програма'!H79</f>
        <v>15</v>
      </c>
      <c r="X6" s="3779">
        <f>'8. Ремонтна програма'!I79</f>
        <v>15</v>
      </c>
      <c r="Y6" s="4628">
        <f t="shared" si="2"/>
        <v>0</v>
      </c>
      <c r="Z6" s="4535">
        <f t="shared" si="3"/>
        <v>0</v>
      </c>
      <c r="AA6" s="3524"/>
      <c r="AB6" s="5646"/>
      <c r="AC6" s="4528" t="str">
        <f>+'15. ОПП'!$C$7</f>
        <v>2027 г.</v>
      </c>
      <c r="AD6" s="4528" t="str">
        <f>+'15. ОПП'!$D$7</f>
        <v>2028 г.</v>
      </c>
      <c r="AE6" s="4528" t="str">
        <f>+'15. ОПП'!$E$7</f>
        <v>2029 г.</v>
      </c>
      <c r="AF6" s="4528" t="str">
        <f>+'15. ОПП'!$F$7</f>
        <v>2030 г.</v>
      </c>
      <c r="AG6" s="4528" t="str">
        <f>+'15. ОПП'!$G$7</f>
        <v>2031 г.</v>
      </c>
      <c r="AH6" s="3524"/>
      <c r="AI6" s="3524"/>
      <c r="AJ6" s="3524"/>
      <c r="AK6" s="5651" t="s">
        <v>174</v>
      </c>
      <c r="AL6" s="5652"/>
      <c r="AM6" s="5652"/>
      <c r="AN6" s="5652"/>
      <c r="AO6" s="5652"/>
      <c r="AP6" s="5653"/>
    </row>
    <row r="7" spans="1:42" ht="15" customHeight="1">
      <c r="A7" s="3623" t="s">
        <v>1544</v>
      </c>
      <c r="B7" s="3737" t="s">
        <v>170</v>
      </c>
      <c r="C7" s="3738"/>
      <c r="D7" s="3739">
        <f>IFERROR((D5-$C$5)/$C$5,0)</f>
        <v>-6.0422960725075529E-3</v>
      </c>
      <c r="E7" s="3739">
        <f t="shared" ref="E7:H7" si="6">IFERROR((E5-$C$5)/$C$5,0)</f>
        <v>-3.0211480362537766E-2</v>
      </c>
      <c r="F7" s="3739">
        <f t="shared" si="6"/>
        <v>-4.5317220543806644E-2</v>
      </c>
      <c r="G7" s="3739">
        <f t="shared" si="6"/>
        <v>-6.6465256797583083E-2</v>
      </c>
      <c r="H7" s="3739">
        <f t="shared" si="6"/>
        <v>-8.7613293051359523E-2</v>
      </c>
      <c r="I7" s="3738"/>
      <c r="J7" s="3740">
        <f>IFERROR((J5-$I$5)/$I$5,0)</f>
        <v>-0.13333333333333333</v>
      </c>
      <c r="K7" s="3740">
        <f t="shared" ref="K7:N7" si="7">IFERROR((K5-$I$5)/$I$5,0)</f>
        <v>-0.13333333333333333</v>
      </c>
      <c r="L7" s="3739">
        <f t="shared" si="7"/>
        <v>-0.13333333333333333</v>
      </c>
      <c r="M7" s="3739">
        <f t="shared" si="7"/>
        <v>-0.15555555555555556</v>
      </c>
      <c r="N7" s="3739">
        <f t="shared" si="7"/>
        <v>-0.15555555555555556</v>
      </c>
      <c r="O7" s="4523">
        <f t="shared" si="0"/>
        <v>13.5</v>
      </c>
      <c r="P7" s="4523">
        <f t="shared" si="1"/>
        <v>0.16666666666666671</v>
      </c>
      <c r="Q7" s="3524"/>
      <c r="R7" s="3778" t="s">
        <v>1236</v>
      </c>
      <c r="S7" s="3779">
        <f>'8. Ремонтна програма'!D110</f>
        <v>0</v>
      </c>
      <c r="T7" s="3779">
        <f>'8. Ремонтна програма'!E110</f>
        <v>0</v>
      </c>
      <c r="U7" s="3779">
        <f>'8. Ремонтна програма'!F110</f>
        <v>0</v>
      </c>
      <c r="V7" s="3779">
        <f>'8. Ремонтна програма'!G110</f>
        <v>0</v>
      </c>
      <c r="W7" s="3779">
        <f>'8. Ремонтна програма'!H110</f>
        <v>0</v>
      </c>
      <c r="X7" s="3779">
        <f>'8. Ремонтна програма'!I110</f>
        <v>0</v>
      </c>
      <c r="Y7" s="4628">
        <f t="shared" si="2"/>
        <v>0</v>
      </c>
      <c r="Z7" s="4535">
        <f t="shared" si="3"/>
        <v>0</v>
      </c>
      <c r="AA7" s="3524"/>
      <c r="AB7" s="3741" t="s">
        <v>1694</v>
      </c>
      <c r="AC7" s="3742">
        <f>AC8+AC9</f>
        <v>9547.2949999999983</v>
      </c>
      <c r="AD7" s="3742">
        <f t="shared" ref="AD7:AG7" si="8">AD8+AD9</f>
        <v>9248.3776917719861</v>
      </c>
      <c r="AE7" s="3742">
        <f t="shared" si="8"/>
        <v>8958.8631215095666</v>
      </c>
      <c r="AF7" s="3742">
        <f t="shared" si="8"/>
        <v>8678.455362442337</v>
      </c>
      <c r="AG7" s="3742">
        <f t="shared" si="8"/>
        <v>8388.4837760139344</v>
      </c>
      <c r="AH7" s="3524"/>
      <c r="AI7" s="3524"/>
      <c r="AJ7" s="3524"/>
      <c r="AK7" s="1488" t="s">
        <v>608</v>
      </c>
      <c r="AL7" s="3736">
        <f>'20.Цени '!J12</f>
        <v>0.246</v>
      </c>
      <c r="AM7" s="3736">
        <f>'20.Цени '!K12</f>
        <v>0.28199999999999997</v>
      </c>
      <c r="AN7" s="3736">
        <f>'20.Цени '!L12</f>
        <v>0.31900000000000001</v>
      </c>
      <c r="AO7" s="3736">
        <f>'20.Цени '!M12</f>
        <v>0.36599999999999999</v>
      </c>
      <c r="AP7" s="3736">
        <f>'20.Цени '!N12</f>
        <v>0.42299999999999999</v>
      </c>
    </row>
    <row r="8" spans="1:42" ht="21" customHeight="1">
      <c r="A8" s="3618" t="s">
        <v>1907</v>
      </c>
      <c r="B8" s="3743" t="s">
        <v>1904</v>
      </c>
      <c r="C8" s="3744">
        <f>'5. Персонал'!AZ50</f>
        <v>10.673797278144622</v>
      </c>
      <c r="D8" s="3744">
        <f>'5. Персонал'!BA50</f>
        <v>15.792547406431527</v>
      </c>
      <c r="E8" s="3744">
        <f>'5. Персонал'!BB50</f>
        <v>18.272711716769528</v>
      </c>
      <c r="F8" s="3744">
        <f>'5. Персонал'!BC50</f>
        <v>21.150656553787876</v>
      </c>
      <c r="G8" s="3744">
        <f>'5. Персонал'!BD50</f>
        <v>24.259062363164269</v>
      </c>
      <c r="H8" s="3744">
        <f>'5. Персонал'!BE50</f>
        <v>27.885723758883824</v>
      </c>
      <c r="I8" s="3744">
        <f>'5. Персонал'!BF50</f>
        <v>19.41772944365194</v>
      </c>
      <c r="J8" s="3744">
        <f>'5. Персонал'!BG50</f>
        <v>31.831197116523551</v>
      </c>
      <c r="K8" s="3744">
        <f>'5. Персонал'!BH50</f>
        <v>36.708135060241325</v>
      </c>
      <c r="L8" s="3744">
        <f>'5. Персонал'!BI50</f>
        <v>40.890240447461679</v>
      </c>
      <c r="M8" s="3744">
        <f>'5. Персонал'!BJ50</f>
        <v>47.926886337392908</v>
      </c>
      <c r="N8" s="3744">
        <f>'5. Персонал'!BK50</f>
        <v>54.842781783047009</v>
      </c>
      <c r="O8" s="4523">
        <f t="shared" si="0"/>
        <v>0.76575210073628408</v>
      </c>
      <c r="P8" s="4523">
        <f t="shared" si="1"/>
        <v>0.72292551807855698</v>
      </c>
      <c r="Q8" s="3524"/>
      <c r="R8" s="5647" t="s">
        <v>1726</v>
      </c>
      <c r="S8" s="5661" t="s">
        <v>1906</v>
      </c>
      <c r="T8" s="5662"/>
      <c r="U8" s="5662"/>
      <c r="V8" s="5662"/>
      <c r="W8" s="5662"/>
      <c r="X8" s="5662"/>
      <c r="Y8" s="5647" t="str">
        <f>+Y2</f>
        <v>Изменение 2027 г.спрямо 2024 г.</v>
      </c>
      <c r="Z8" s="5647" t="str">
        <f>+Z2</f>
        <v>Изменение 2031 г.спрямо 2027 г.</v>
      </c>
      <c r="AA8" s="3524"/>
      <c r="AB8" s="3745" t="s">
        <v>299</v>
      </c>
      <c r="AC8" s="3742">
        <f>'4. Отчет и прогн. потребление'!E50/1000</f>
        <v>8846.8833333333314</v>
      </c>
      <c r="AD8" s="3742">
        <f>'4. Отчет и прогн. потребление'!F50/1000</f>
        <v>8557.8276917719868</v>
      </c>
      <c r="AE8" s="3742">
        <f>'4. Отчет и прогн. потребление'!G50/1000</f>
        <v>8278.1781215095671</v>
      </c>
      <c r="AF8" s="3742">
        <f>'4. Отчет и прогн. потребление'!H50/1000</f>
        <v>8007.6353624423364</v>
      </c>
      <c r="AG8" s="3742">
        <f>'4. Отчет и прогн. потребление'!I50/1000</f>
        <v>7727.5287760139336</v>
      </c>
      <c r="AH8" s="3524"/>
      <c r="AI8" s="3524"/>
      <c r="AJ8" s="3524"/>
      <c r="AK8" s="5651" t="s">
        <v>184</v>
      </c>
      <c r="AL8" s="5652"/>
      <c r="AM8" s="5652"/>
      <c r="AN8" s="5652"/>
      <c r="AO8" s="5652"/>
      <c r="AP8" s="5653"/>
    </row>
    <row r="9" spans="1:42" ht="12.6" customHeight="1">
      <c r="A9" s="3623" t="s">
        <v>1545</v>
      </c>
      <c r="B9" s="3737" t="s">
        <v>170</v>
      </c>
      <c r="C9" s="3738"/>
      <c r="D9" s="3739">
        <f>IFERROR((D8-C8)/C8,0)</f>
        <v>0.47956223965091777</v>
      </c>
      <c r="E9" s="3739">
        <f t="shared" ref="E9:H9" si="9">IFERROR((E8-D8)/D8,0)</f>
        <v>0.15704650089117048</v>
      </c>
      <c r="F9" s="3739">
        <f t="shared" si="9"/>
        <v>0.15749960277527683</v>
      </c>
      <c r="G9" s="3739">
        <f t="shared" si="9"/>
        <v>0.14696497961996871</v>
      </c>
      <c r="H9" s="3739">
        <f t="shared" si="9"/>
        <v>0.14949717929850384</v>
      </c>
      <c r="I9" s="3738"/>
      <c r="J9" s="3739">
        <f>IFERROR((J8-I8)/I8,0)</f>
        <v>0.63928523202952714</v>
      </c>
      <c r="K9" s="3739">
        <f t="shared" ref="K9:N9" si="10">IFERROR((K8-J8)/J8,0)</f>
        <v>0.15321252059308066</v>
      </c>
      <c r="L9" s="3739">
        <f t="shared" si="10"/>
        <v>0.1139285714285715</v>
      </c>
      <c r="M9" s="3739">
        <f t="shared" si="10"/>
        <v>0.17208619496802297</v>
      </c>
      <c r="N9" s="3739">
        <f t="shared" si="10"/>
        <v>0.14430095451993236</v>
      </c>
      <c r="O9" s="4523">
        <f t="shared" si="0"/>
        <v>-0.68826323897535047</v>
      </c>
      <c r="P9" s="4523">
        <f t="shared" si="1"/>
        <v>-0.7742776662276043</v>
      </c>
      <c r="Q9" s="3524"/>
      <c r="R9" s="5648"/>
      <c r="S9" s="4528" t="str">
        <f>+'15. ОПП'!$B$7</f>
        <v>2024 г.</v>
      </c>
      <c r="T9" s="4528" t="str">
        <f>+'15. ОПП'!$C$7</f>
        <v>2027 г.</v>
      </c>
      <c r="U9" s="4528" t="str">
        <f>+'15. ОПП'!$D$7</f>
        <v>2028 г.</v>
      </c>
      <c r="V9" s="4528" t="str">
        <f>+'15. ОПП'!$E$7</f>
        <v>2029 г.</v>
      </c>
      <c r="W9" s="4528" t="str">
        <f>+'15. ОПП'!$F$7</f>
        <v>2030 г.</v>
      </c>
      <c r="X9" s="4528" t="str">
        <f>+'15. ОПП'!$G$7</f>
        <v>2031 г.</v>
      </c>
      <c r="Y9" s="5648"/>
      <c r="Z9" s="5648"/>
      <c r="AA9" s="3524"/>
      <c r="AB9" s="3746" t="s">
        <v>300</v>
      </c>
      <c r="AC9" s="3742">
        <f>'4. Отчет и прогн. потребление'!E51/1000</f>
        <v>700.41166666666663</v>
      </c>
      <c r="AD9" s="3742">
        <f>'4. Отчет и прогн. потребление'!F51/1000</f>
        <v>690.55</v>
      </c>
      <c r="AE9" s="3742">
        <f>'4. Отчет и прогн. потребление'!G51/1000</f>
        <v>680.68499999999995</v>
      </c>
      <c r="AF9" s="3742">
        <f>'4. Отчет и прогн. потребление'!H51/1000</f>
        <v>670.82</v>
      </c>
      <c r="AG9" s="3742">
        <f>'4. Отчет и прогн. потребление'!I51/1000</f>
        <v>660.95500000000004</v>
      </c>
      <c r="AH9" s="3524"/>
      <c r="AI9" s="3524"/>
      <c r="AJ9" s="3524"/>
      <c r="AK9" s="1488" t="s">
        <v>608</v>
      </c>
      <c r="AL9" s="3736">
        <f>'20.Цени '!J14</f>
        <v>0.44400000000000001</v>
      </c>
      <c r="AM9" s="3736">
        <f>'20.Цени '!K14</f>
        <v>0.49</v>
      </c>
      <c r="AN9" s="3736">
        <f>'20.Цени '!L14</f>
        <v>0.55100000000000005</v>
      </c>
      <c r="AO9" s="3736">
        <f>'20.Цени '!M14</f>
        <v>0.621</v>
      </c>
      <c r="AP9" s="3736">
        <f>'20.Цени '!N14</f>
        <v>0.92200000000000004</v>
      </c>
    </row>
    <row r="10" spans="1:42">
      <c r="A10" s="3622" t="s">
        <v>1543</v>
      </c>
      <c r="B10" s="3737" t="s">
        <v>170</v>
      </c>
      <c r="C10" s="3738"/>
      <c r="D10" s="3739">
        <f>IFERROR((D8-$C$8)/$C$8,0)</f>
        <v>0.47956223965091777</v>
      </c>
      <c r="E10" s="3739">
        <f>IFERROR((E8-$C$8)/$C$8,0)</f>
        <v>0.71192231223879776</v>
      </c>
      <c r="F10" s="3739">
        <f>IFERROR((F8-$C$8)/$C$8,0)</f>
        <v>0.98154939639854188</v>
      </c>
      <c r="G10" s="3739">
        <f>IFERROR((G8-$C$8)/$C$8,0)</f>
        <v>1.2727677630562149</v>
      </c>
      <c r="H10" s="3739">
        <f>IFERROR((H8-$C$8)/$C$8,0)</f>
        <v>1.6125401328336895</v>
      </c>
      <c r="I10" s="3738"/>
      <c r="J10" s="3739">
        <f>IFERROR((J8-$I$8)/$I$8,0)</f>
        <v>0.63928523202952714</v>
      </c>
      <c r="K10" s="3740">
        <f>IFERROR((K8-$I$8)/$I$8,0)</f>
        <v>0.89044425439978403</v>
      </c>
      <c r="L10" s="3739">
        <f>IFERROR((L8-$I$8)/$I$8,0)</f>
        <v>1.1058198676689024</v>
      </c>
      <c r="M10" s="3739">
        <f>IFERROR((M8-$I$8)/$I$8,0)</f>
        <v>1.4682023959841095</v>
      </c>
      <c r="N10" s="3739">
        <f>IFERROR((N8-$I$8)/$I$8,0)</f>
        <v>1.8243663576730005</v>
      </c>
      <c r="O10" s="4523">
        <f t="shared" si="0"/>
        <v>2.3625252355304021</v>
      </c>
      <c r="P10" s="4523">
        <f t="shared" si="1"/>
        <v>1.8537595837795562</v>
      </c>
      <c r="Q10" s="3524"/>
      <c r="R10" s="4542" t="s">
        <v>207</v>
      </c>
      <c r="S10" s="3779">
        <f>'8. Ремонтна програма'!X24</f>
        <v>964.8077798172643</v>
      </c>
      <c r="T10" s="3779">
        <f>'8. Ремонтна програма'!Y24</f>
        <v>1085.9839556607681</v>
      </c>
      <c r="U10" s="3779">
        <f>'8. Ремонтна програма'!Z24</f>
        <v>1141.2034788299597</v>
      </c>
      <c r="V10" s="3779">
        <f>'8. Ремонтна програма'!AA24</f>
        <v>1205.1149639794869</v>
      </c>
      <c r="W10" s="3779">
        <f>'8. Ремонтна програма'!AB24</f>
        <v>1278.2297029905462</v>
      </c>
      <c r="X10" s="3779">
        <f>'8. Ремонтна програма'!AC24</f>
        <v>1362.5928633879223</v>
      </c>
      <c r="Y10" s="3752">
        <f t="shared" ref="Y10:Y14" si="11">IFERROR((T10-S10)/S10,0)</f>
        <v>0.12559618441971379</v>
      </c>
      <c r="Z10" s="4535">
        <f t="shared" ref="Z10:Z14" si="12">IFERROR((X10-T10)/T10,0)</f>
        <v>0.25470809792843696</v>
      </c>
      <c r="AA10" s="3524"/>
      <c r="AB10" s="5646" t="s">
        <v>1704</v>
      </c>
      <c r="AC10" s="5646" t="s">
        <v>184</v>
      </c>
      <c r="AD10" s="5646"/>
      <c r="AE10" s="5646"/>
      <c r="AF10" s="5646"/>
      <c r="AG10" s="5646"/>
      <c r="AH10" s="3524"/>
      <c r="AI10" s="3524"/>
      <c r="AJ10" s="3524"/>
      <c r="AK10" s="1488" t="s">
        <v>179</v>
      </c>
      <c r="AL10" s="3747"/>
      <c r="AM10" s="3747"/>
      <c r="AN10" s="3747"/>
      <c r="AO10" s="3747"/>
      <c r="AP10" s="3747"/>
    </row>
    <row r="11" spans="1:42" ht="18.75" customHeight="1">
      <c r="A11" s="3621" t="s">
        <v>1547</v>
      </c>
      <c r="B11" s="3748" t="s">
        <v>170</v>
      </c>
      <c r="C11" s="3615">
        <f>'5. Персонал'!C62</f>
        <v>0.21157742402315485</v>
      </c>
      <c r="D11" s="3615">
        <f>'5. Персонал'!D62</f>
        <v>0.21216296004723478</v>
      </c>
      <c r="E11" s="3615">
        <f>'5. Персонал'!E62</f>
        <v>0.21609135285913528</v>
      </c>
      <c r="F11" s="3615">
        <f>'5. Персонал'!F62</f>
        <v>0.21809975520195837</v>
      </c>
      <c r="G11" s="3615">
        <f>'5. Персонал'!G62</f>
        <v>0.22365459382033967</v>
      </c>
      <c r="H11" s="3615">
        <f>'5. Персонал'!H62</f>
        <v>0.22888713496448304</v>
      </c>
      <c r="I11" s="3615">
        <f>'5. Персонал'!I62</f>
        <v>0.23054417788180223</v>
      </c>
      <c r="J11" s="3615">
        <f>'5. Персонал'!J62</f>
        <v>0.24299835255354202</v>
      </c>
      <c r="K11" s="3615">
        <f>'5. Персонал'!K62</f>
        <v>0.24214285714285713</v>
      </c>
      <c r="L11" s="3615">
        <f>'5. Персонал'!L62</f>
        <v>0.25008015389547933</v>
      </c>
      <c r="M11" s="3615">
        <f>'5. Персонал'!M62</f>
        <v>0.2518248175182482</v>
      </c>
      <c r="N11" s="3615">
        <f>'5. Персонал'!N62</f>
        <v>0.25318940137389595</v>
      </c>
      <c r="O11" s="4523">
        <f t="shared" si="0"/>
        <v>7.8827024818681271E-2</v>
      </c>
      <c r="P11" s="4523">
        <f t="shared" si="1"/>
        <v>4.1938756840371773E-2</v>
      </c>
      <c r="Q11" s="3524"/>
      <c r="R11" s="4542" t="s">
        <v>174</v>
      </c>
      <c r="S11" s="3779">
        <f>'8. Ремонтна програма'!X53</f>
        <v>240.30718416222268</v>
      </c>
      <c r="T11" s="3779">
        <f>'8. Ремонтна програма'!Y53</f>
        <v>265.36048634083738</v>
      </c>
      <c r="U11" s="3779">
        <f>'8. Ремонтна програма'!Z53</f>
        <v>273.02986455878067</v>
      </c>
      <c r="V11" s="3779">
        <f>'8. Ремонтна програма'!AA53</f>
        <v>282.23311842031262</v>
      </c>
      <c r="W11" s="3779">
        <f>'8. Ремонтна програма'!AB53</f>
        <v>292.97024792543317</v>
      </c>
      <c r="X11" s="3779">
        <f>'8. Ремонтна програма'!AC53</f>
        <v>305.24125307414243</v>
      </c>
      <c r="Y11" s="3752">
        <f t="shared" si="11"/>
        <v>0.10425531914893615</v>
      </c>
      <c r="Z11" s="4535">
        <f t="shared" si="12"/>
        <v>0.1502890173410405</v>
      </c>
      <c r="AA11" s="3524"/>
      <c r="AB11" s="5646"/>
      <c r="AC11" s="4528" t="str">
        <f>+'15. ОПП'!$C$7</f>
        <v>2027 г.</v>
      </c>
      <c r="AD11" s="4528" t="str">
        <f>+'15. ОПП'!$D$7</f>
        <v>2028 г.</v>
      </c>
      <c r="AE11" s="4528" t="str">
        <f>+'15. ОПП'!$E$7</f>
        <v>2029 г.</v>
      </c>
      <c r="AF11" s="4528" t="str">
        <f>+'15. ОПП'!$F$7</f>
        <v>2030 г.</v>
      </c>
      <c r="AG11" s="4528" t="str">
        <f>+'15. ОПП'!$G$7</f>
        <v>2031 г.</v>
      </c>
      <c r="AH11" s="3524"/>
      <c r="AI11" s="3524"/>
      <c r="AJ11" s="3524"/>
      <c r="AK11" s="3749" t="s">
        <v>180</v>
      </c>
      <c r="AL11" s="3750">
        <f>'20.Цени '!J16</f>
        <v>0.60899999999999999</v>
      </c>
      <c r="AM11" s="3750">
        <f>'20.Цени '!K16</f>
        <v>0.67200000000000004</v>
      </c>
      <c r="AN11" s="3750">
        <f>'20.Цени '!L16</f>
        <v>0.75600000000000001</v>
      </c>
      <c r="AO11" s="3750">
        <f>'20.Цени '!M16</f>
        <v>0.85199999999999998</v>
      </c>
      <c r="AP11" s="3750">
        <f>'20.Цени '!N16</f>
        <v>1.2649999999999999</v>
      </c>
    </row>
    <row r="12" spans="1:42" ht="21.75" customHeight="1">
      <c r="A12" s="3621" t="s">
        <v>1546</v>
      </c>
      <c r="B12" s="3748" t="s">
        <v>170</v>
      </c>
      <c r="C12" s="3615">
        <f>'5. Персонал'!C63</f>
        <v>0.14688856729377714</v>
      </c>
      <c r="D12" s="3615">
        <f>'5. Персонал'!D63</f>
        <v>0.13796496752607754</v>
      </c>
      <c r="E12" s="3615">
        <f>'5. Персонал'!E63</f>
        <v>0.1405160390516039</v>
      </c>
      <c r="F12" s="3615">
        <f>'5. Персонал'!F63</f>
        <v>0.14182986536107711</v>
      </c>
      <c r="G12" s="3615">
        <f>'5. Персонал'!G63</f>
        <v>0.14541982129459108</v>
      </c>
      <c r="H12" s="3615">
        <f>'5. Персонал'!H63</f>
        <v>0.14886770687875661</v>
      </c>
      <c r="I12" s="3615">
        <f>'5. Персонал'!I63</f>
        <v>0.14628437682855472</v>
      </c>
      <c r="J12" s="3615">
        <f>'5. Персонал'!J63</f>
        <v>0.13962108731466227</v>
      </c>
      <c r="K12" s="3615">
        <f>'5. Персонал'!K63</f>
        <v>0.13892857142857143</v>
      </c>
      <c r="L12" s="3615">
        <f>'5. Персонал'!L63</f>
        <v>0.14363578069894198</v>
      </c>
      <c r="M12" s="3615">
        <f>'5. Персонал'!M63</f>
        <v>0.14458169567658619</v>
      </c>
      <c r="N12" s="3615">
        <f>'5. Персонал'!N63</f>
        <v>0.14524043179587831</v>
      </c>
      <c r="O12" s="4523">
        <f t="shared" si="0"/>
        <v>7.9025418902942055E-2</v>
      </c>
      <c r="P12" s="4523">
        <f t="shared" si="1"/>
        <v>4.0247104425936694E-2</v>
      </c>
      <c r="Q12" s="3524"/>
      <c r="R12" s="4542" t="s">
        <v>184</v>
      </c>
      <c r="S12" s="3779">
        <f>'8. Ремонтна програма'!X79</f>
        <v>141.32107596263478</v>
      </c>
      <c r="T12" s="3779">
        <f>'8. Ремонтна програма'!Y79</f>
        <v>141.11655921015631</v>
      </c>
      <c r="U12" s="3779">
        <f>'8. Ремонтна програма'!Z79</f>
        <v>141.11655921015631</v>
      </c>
      <c r="V12" s="3779">
        <f>'8. Ремонтна програма'!AA79</f>
        <v>141.11655921015631</v>
      </c>
      <c r="W12" s="3779">
        <f>'8. Ремонтна програма'!AB79</f>
        <v>141.62785109135251</v>
      </c>
      <c r="X12" s="3779">
        <f>'8. Ремонтна програма'!AC79</f>
        <v>141.62785109135251</v>
      </c>
      <c r="Y12" s="3752">
        <f t="shared" si="11"/>
        <v>-1.4471780028942245E-3</v>
      </c>
      <c r="Z12" s="4535">
        <f t="shared" si="12"/>
        <v>3.6231884057969731E-3</v>
      </c>
      <c r="AA12" s="3524"/>
      <c r="AB12" s="3741" t="s">
        <v>1695</v>
      </c>
      <c r="AC12" s="3742">
        <f>AC13+AC14</f>
        <v>5338.9343333333336</v>
      </c>
      <c r="AD12" s="3742">
        <f t="shared" ref="AD12:AG12" si="13">AD13+AD14</f>
        <v>5182.6601569519244</v>
      </c>
      <c r="AE12" s="3742">
        <f t="shared" si="13"/>
        <v>5030.6792791940952</v>
      </c>
      <c r="AF12" s="3742">
        <f t="shared" si="13"/>
        <v>4890.3136719728709</v>
      </c>
      <c r="AG12" s="3742">
        <f t="shared" si="13"/>
        <v>3569.2904117295029</v>
      </c>
      <c r="AH12" s="3524"/>
      <c r="AI12" s="3524"/>
      <c r="AJ12" s="3524"/>
      <c r="AK12" s="3749" t="s">
        <v>181</v>
      </c>
      <c r="AL12" s="3750">
        <f>'20.Цени '!J17</f>
        <v>0.72499999999999998</v>
      </c>
      <c r="AM12" s="3750">
        <f>'20.Цени '!K17</f>
        <v>0.79900000000000004</v>
      </c>
      <c r="AN12" s="3750">
        <f>'20.Цени '!L17</f>
        <v>0.89800000000000002</v>
      </c>
      <c r="AO12" s="3750">
        <f>'20.Цени '!M17</f>
        <v>1.0129999999999999</v>
      </c>
      <c r="AP12" s="3750">
        <f>'20.Цени '!N17</f>
        <v>1.504</v>
      </c>
    </row>
    <row r="13" spans="1:42" ht="14.25" customHeight="1">
      <c r="A13" s="5647" t="s">
        <v>2</v>
      </c>
      <c r="B13" s="5656" t="s">
        <v>1537</v>
      </c>
      <c r="C13" s="5658" t="s">
        <v>184</v>
      </c>
      <c r="D13" s="5659"/>
      <c r="E13" s="5659"/>
      <c r="F13" s="5659"/>
      <c r="G13" s="5659"/>
      <c r="H13" s="5660"/>
      <c r="I13" s="5661" t="s">
        <v>1028</v>
      </c>
      <c r="J13" s="5662"/>
      <c r="K13" s="5662"/>
      <c r="L13" s="5662"/>
      <c r="M13" s="5662"/>
      <c r="N13" s="5663"/>
      <c r="O13" s="5647" t="str">
        <f>CONCATENATE("Изменение ", H14,"спрямо ",D14)</f>
        <v>Изменение 2031 г.спрямо 2027 г.</v>
      </c>
      <c r="P13" s="5647" t="str">
        <f>CONCATENATE("Изменение ", N14,"спрямо ",J14)</f>
        <v>Изменение 2031 г.спрямо 2027 г.</v>
      </c>
      <c r="Q13" s="3524"/>
      <c r="R13" s="3778" t="s">
        <v>1236</v>
      </c>
      <c r="S13" s="3779">
        <f>'8. Ремонтна програма'!X110</f>
        <v>0</v>
      </c>
      <c r="T13" s="3779">
        <f>'8. Ремонтна програма'!Y110</f>
        <v>0</v>
      </c>
      <c r="U13" s="3779">
        <f>'8. Ремонтна програма'!Z110</f>
        <v>0</v>
      </c>
      <c r="V13" s="3779">
        <f>'8. Ремонтна програма'!AA110</f>
        <v>0</v>
      </c>
      <c r="W13" s="3779">
        <f>'8. Ремонтна програма'!AB110</f>
        <v>0</v>
      </c>
      <c r="X13" s="3779">
        <f>'8. Ремонтна програма'!AC110</f>
        <v>0</v>
      </c>
      <c r="Y13" s="3752">
        <f t="shared" si="11"/>
        <v>0</v>
      </c>
      <c r="Z13" s="4535">
        <f t="shared" si="12"/>
        <v>0</v>
      </c>
      <c r="AA13" s="3524"/>
      <c r="AB13" s="3745" t="s">
        <v>299</v>
      </c>
      <c r="AC13" s="3742">
        <f>'4. Отчет и прогн. потребление'!E55/1000</f>
        <v>4955.7053333333333</v>
      </c>
      <c r="AD13" s="3742">
        <f>'4. Отчет и прогн. потребление'!F55/1000</f>
        <v>4811.7101569519245</v>
      </c>
      <c r="AE13" s="3742">
        <f>'4. Отчет и прогн. потребление'!G55/1000</f>
        <v>4672.0942791940952</v>
      </c>
      <c r="AF13" s="3742">
        <f>'4. Отчет и прогн. потребление'!H55/1000</f>
        <v>4536.6746719728708</v>
      </c>
      <c r="AG13" s="3742">
        <f>'4. Отчет и прогн. потребление'!I55/1000</f>
        <v>3220.5974117295032</v>
      </c>
      <c r="AH13" s="3524"/>
      <c r="AI13" s="3524"/>
      <c r="AJ13" s="3524"/>
      <c r="AK13" s="3749" t="s">
        <v>182</v>
      </c>
      <c r="AL13" s="3750">
        <f>'20.Цени '!J18</f>
        <v>0.97199999999999998</v>
      </c>
      <c r="AM13" s="3750">
        <f>'20.Цени '!K18</f>
        <v>1.0720000000000001</v>
      </c>
      <c r="AN13" s="3750">
        <f>'20.Цени '!L18</f>
        <v>1.206</v>
      </c>
      <c r="AO13" s="3750">
        <f>'20.Цени '!M18</f>
        <v>1.36</v>
      </c>
      <c r="AP13" s="3750">
        <f>'20.Цени '!N18</f>
        <v>2.0190000000000001</v>
      </c>
    </row>
    <row r="14" spans="1:42" ht="14.25" customHeight="1">
      <c r="A14" s="5648"/>
      <c r="B14" s="5657"/>
      <c r="C14" s="4627" t="str">
        <f>+'15. ОПП'!$B$7</f>
        <v>2024 г.</v>
      </c>
      <c r="D14" s="4627" t="str">
        <f>+'15. ОПП'!$C$7</f>
        <v>2027 г.</v>
      </c>
      <c r="E14" s="4627" t="str">
        <f>+'15. ОПП'!$D$7</f>
        <v>2028 г.</v>
      </c>
      <c r="F14" s="4627" t="str">
        <f>+'15. ОПП'!$E$7</f>
        <v>2029 г.</v>
      </c>
      <c r="G14" s="4627" t="str">
        <f>+'15. ОПП'!$F$7</f>
        <v>2030 г.</v>
      </c>
      <c r="H14" s="4627" t="str">
        <f>+'15. ОПП'!$G$7</f>
        <v>2031 г.</v>
      </c>
      <c r="I14" s="4627" t="str">
        <f>+'15. ОПП'!$B$7</f>
        <v>2024 г.</v>
      </c>
      <c r="J14" s="4627" t="str">
        <f>+'15. ОПП'!$C$7</f>
        <v>2027 г.</v>
      </c>
      <c r="K14" s="4627" t="str">
        <f>+'15. ОПП'!$D$7</f>
        <v>2028 г.</v>
      </c>
      <c r="L14" s="4627" t="str">
        <f>+'15. ОПП'!$E$7</f>
        <v>2029 г.</v>
      </c>
      <c r="M14" s="4627" t="str">
        <f>+'15. ОПП'!$F$7</f>
        <v>2030 г.</v>
      </c>
      <c r="N14" s="4627" t="str">
        <f>+'15. ОПП'!$G$7</f>
        <v>2031 г.</v>
      </c>
      <c r="O14" s="5648"/>
      <c r="P14" s="5648"/>
      <c r="Q14" s="3524"/>
      <c r="R14" s="3778" t="s">
        <v>1092</v>
      </c>
      <c r="S14" s="3779">
        <f>'8. Ремонтна програма'!X141</f>
        <v>0</v>
      </c>
      <c r="T14" s="3779">
        <f>'8. Ремонтна програма'!Y141</f>
        <v>0</v>
      </c>
      <c r="U14" s="3779">
        <f>'8. Ремонтна програма'!Z141</f>
        <v>0</v>
      </c>
      <c r="V14" s="3779">
        <f>'8. Ремонтна програма'!AA141</f>
        <v>0</v>
      </c>
      <c r="W14" s="3779">
        <f>'8. Ремонтна програма'!AB141</f>
        <v>0</v>
      </c>
      <c r="X14" s="3779">
        <f>'8. Ремонтна програма'!AC141</f>
        <v>0</v>
      </c>
      <c r="Y14" s="3752">
        <f t="shared" si="11"/>
        <v>0</v>
      </c>
      <c r="Z14" s="4535">
        <f t="shared" si="12"/>
        <v>0</v>
      </c>
      <c r="AA14" s="3524"/>
      <c r="AB14" s="3746" t="s">
        <v>300</v>
      </c>
      <c r="AC14" s="3742">
        <f>SUM(AC15:AC17)</f>
        <v>383.22900000000004</v>
      </c>
      <c r="AD14" s="3742">
        <f t="shared" ref="AD14:AG14" si="14">SUM(AD15:AD17)</f>
        <v>370.95</v>
      </c>
      <c r="AE14" s="3742">
        <f t="shared" si="14"/>
        <v>358.58500000000004</v>
      </c>
      <c r="AF14" s="3742">
        <f t="shared" si="14"/>
        <v>353.63900000000001</v>
      </c>
      <c r="AG14" s="3742">
        <f t="shared" si="14"/>
        <v>348.69299999999998</v>
      </c>
      <c r="AH14" s="3524"/>
      <c r="AI14" s="3524"/>
      <c r="AJ14" s="3524"/>
      <c r="AK14" s="5651" t="str">
        <f>AC18</f>
        <v>Доставяне вода с непитейни качества</v>
      </c>
      <c r="AL14" s="5652"/>
      <c r="AM14" s="5652"/>
      <c r="AN14" s="5652"/>
      <c r="AO14" s="5652"/>
      <c r="AP14" s="5653"/>
    </row>
    <row r="15" spans="1:42" ht="20.100000000000001" customHeight="1">
      <c r="A15" s="3620" t="s">
        <v>1542</v>
      </c>
      <c r="B15" s="3730" t="s">
        <v>676</v>
      </c>
      <c r="C15" s="3731">
        <f>'5. Персонал'!O11</f>
        <v>120</v>
      </c>
      <c r="D15" s="3731">
        <f>'5. Персонал'!P11</f>
        <v>114</v>
      </c>
      <c r="E15" s="3731">
        <f>'5. Персонал'!Q11</f>
        <v>113</v>
      </c>
      <c r="F15" s="3731">
        <f>'5. Персонал'!R11</f>
        <v>112</v>
      </c>
      <c r="G15" s="3731">
        <f>'5. Персонал'!S11</f>
        <v>111</v>
      </c>
      <c r="H15" s="3731">
        <f>'5. Персонал'!T11</f>
        <v>110</v>
      </c>
      <c r="I15" s="3731">
        <f>C4+I4+C15</f>
        <v>496</v>
      </c>
      <c r="J15" s="3731">
        <f t="shared" ref="J15:N16" si="15">D4+J4+D15</f>
        <v>482</v>
      </c>
      <c r="K15" s="3731">
        <f t="shared" si="15"/>
        <v>473</v>
      </c>
      <c r="L15" s="3731">
        <f t="shared" si="15"/>
        <v>467</v>
      </c>
      <c r="M15" s="3731">
        <f t="shared" si="15"/>
        <v>458</v>
      </c>
      <c r="N15" s="3731">
        <f t="shared" si="15"/>
        <v>450</v>
      </c>
      <c r="O15" s="4523">
        <f t="shared" ref="O15:O23" si="16">IFERROR((H15-D15)/D15,0)</f>
        <v>-3.5087719298245612E-2</v>
      </c>
      <c r="P15" s="4523">
        <f t="shared" ref="P15:P23" si="17">IFERROR((N15-J15)/J15,0)</f>
        <v>-6.6390041493775934E-2</v>
      </c>
      <c r="Q15" s="3524"/>
      <c r="R15" s="4629"/>
      <c r="S15" s="4630"/>
      <c r="T15" s="4630"/>
      <c r="U15" s="4630"/>
      <c r="V15" s="4630"/>
      <c r="W15" s="4630"/>
      <c r="X15" s="4630"/>
      <c r="Y15" s="4565"/>
      <c r="Z15" s="4631"/>
      <c r="AA15" s="3524"/>
      <c r="AB15" s="3751" t="s">
        <v>997</v>
      </c>
      <c r="AC15" s="3742">
        <f>'4. Отчет и прогн. потребление'!E58/1000</f>
        <v>208.59</v>
      </c>
      <c r="AD15" s="3742">
        <f>'4. Отчет и прогн. потребление'!F58/1000</f>
        <v>201.91</v>
      </c>
      <c r="AE15" s="3742">
        <f>'4. Отчет и прогн. потребление'!G58/1000</f>
        <v>195.18</v>
      </c>
      <c r="AF15" s="3742">
        <f>'4. Отчет и прогн. потребление'!H58/1000</f>
        <v>192.48500000000001</v>
      </c>
      <c r="AG15" s="3742">
        <f>'4. Отчет и прогн. потребление'!I58/1000</f>
        <v>189.79499999999999</v>
      </c>
      <c r="AH15" s="3524"/>
      <c r="AI15" s="3524"/>
      <c r="AJ15" s="3524"/>
      <c r="AK15" s="1488"/>
      <c r="AL15" s="3736">
        <f>'20.Цени '!J19</f>
        <v>0</v>
      </c>
      <c r="AM15" s="3736">
        <f>'20.Цени '!K19</f>
        <v>0</v>
      </c>
      <c r="AN15" s="3736">
        <f>'20.Цени '!L19</f>
        <v>0</v>
      </c>
      <c r="AO15" s="3736">
        <f>'20.Цени '!M19</f>
        <v>0</v>
      </c>
      <c r="AP15" s="3736">
        <f>'20.Цени '!N19</f>
        <v>0</v>
      </c>
    </row>
    <row r="16" spans="1:42" ht="24" customHeight="1">
      <c r="A16" s="3617" t="s">
        <v>1535</v>
      </c>
      <c r="B16" s="3734" t="s">
        <v>1540</v>
      </c>
      <c r="C16" s="3735">
        <f>'5. Персонал'!O14</f>
        <v>120</v>
      </c>
      <c r="D16" s="3735">
        <f>'5. Персонал'!P14</f>
        <v>114</v>
      </c>
      <c r="E16" s="3735">
        <f>'5. Персонал'!Q14</f>
        <v>113</v>
      </c>
      <c r="F16" s="3735">
        <f>'5. Персонал'!R14</f>
        <v>112</v>
      </c>
      <c r="G16" s="3735">
        <f>'5. Персонал'!S14</f>
        <v>111</v>
      </c>
      <c r="H16" s="3735">
        <f>'5. Персонал'!T14</f>
        <v>110</v>
      </c>
      <c r="I16" s="3731">
        <f>C5+I5+C16</f>
        <v>496</v>
      </c>
      <c r="J16" s="3731">
        <f t="shared" si="15"/>
        <v>482</v>
      </c>
      <c r="K16" s="3731">
        <f t="shared" si="15"/>
        <v>473</v>
      </c>
      <c r="L16" s="3731">
        <f t="shared" si="15"/>
        <v>467</v>
      </c>
      <c r="M16" s="3731">
        <f t="shared" si="15"/>
        <v>458</v>
      </c>
      <c r="N16" s="3731">
        <f t="shared" si="15"/>
        <v>450</v>
      </c>
      <c r="O16" s="4523">
        <f t="shared" si="16"/>
        <v>-3.5087719298245612E-2</v>
      </c>
      <c r="P16" s="4523">
        <f t="shared" si="17"/>
        <v>-6.6390041493775934E-2</v>
      </c>
      <c r="Q16" s="3524"/>
      <c r="R16" s="4632" t="s">
        <v>1858</v>
      </c>
      <c r="S16" s="4633" t="str">
        <f>+'15. ОПП'!$B$7</f>
        <v>2024 г.</v>
      </c>
      <c r="T16" s="4633" t="str">
        <f>+'15. ОПП'!$C$7</f>
        <v>2027 г.</v>
      </c>
      <c r="U16" s="4633" t="str">
        <f>+'15. ОПП'!$D$7</f>
        <v>2028 г.</v>
      </c>
      <c r="V16" s="4633" t="str">
        <f>+'15. ОПП'!$E$7</f>
        <v>2029 г.</v>
      </c>
      <c r="W16" s="4633" t="str">
        <f>+'15. ОПП'!$F$7</f>
        <v>2030 г.</v>
      </c>
      <c r="X16" s="4633" t="str">
        <f>+'15. ОПП'!$G$7</f>
        <v>2031 г.</v>
      </c>
      <c r="Y16" s="4633" t="str">
        <f>+Y8</f>
        <v>Изменение 2027 г.спрямо 2024 г.</v>
      </c>
      <c r="Z16" s="4633" t="str">
        <f>+Z8</f>
        <v>Изменение 2031 г.спрямо 2027 г.</v>
      </c>
      <c r="AA16" s="3524"/>
      <c r="AB16" s="3751" t="s">
        <v>998</v>
      </c>
      <c r="AC16" s="3742">
        <f>'4. Отчет и прогн. потребление'!E59/1000</f>
        <v>29.738</v>
      </c>
      <c r="AD16" s="3742">
        <f>'4. Отчет и прогн. потребление'!F59/1000</f>
        <v>28.785</v>
      </c>
      <c r="AE16" s="3742">
        <f>'4. Отчет и прогн. потребление'!G59/1000</f>
        <v>27.826000000000001</v>
      </c>
      <c r="AF16" s="3742">
        <f>'4. Отчет и прогн. потребление'!H59/1000</f>
        <v>27.445</v>
      </c>
      <c r="AG16" s="3742">
        <f>'4. Отчет и прогн. потребление'!I59/1000</f>
        <v>27.06</v>
      </c>
      <c r="AH16" s="3524"/>
      <c r="AI16" s="3524"/>
      <c r="AJ16" s="3524"/>
      <c r="AK16" s="5651" t="str">
        <f>AC21</f>
        <v>Доставяне вода на друг ВиК оператор</v>
      </c>
      <c r="AL16" s="5652"/>
      <c r="AM16" s="5652"/>
      <c r="AN16" s="5652"/>
      <c r="AO16" s="5652"/>
      <c r="AP16" s="5653"/>
    </row>
    <row r="17" spans="1:48" ht="14.25" customHeight="1">
      <c r="A17" s="3623" t="s">
        <v>1545</v>
      </c>
      <c r="B17" s="3737" t="s">
        <v>170</v>
      </c>
      <c r="C17" s="3738"/>
      <c r="D17" s="3739">
        <f>IFERROR((D16-C16)/C16,0)</f>
        <v>-0.05</v>
      </c>
      <c r="E17" s="3739">
        <f t="shared" ref="E17:H17" si="18">IFERROR((E16-D16)/D16,0)</f>
        <v>-8.771929824561403E-3</v>
      </c>
      <c r="F17" s="3739">
        <f t="shared" si="18"/>
        <v>-8.8495575221238937E-3</v>
      </c>
      <c r="G17" s="3739">
        <f t="shared" si="18"/>
        <v>-8.9285714285714281E-3</v>
      </c>
      <c r="H17" s="3739">
        <f t="shared" si="18"/>
        <v>-9.0090090090090089E-3</v>
      </c>
      <c r="I17" s="3738"/>
      <c r="J17" s="3740">
        <f>IFERROR((J16-I16)/I16,0)</f>
        <v>-2.8225806451612902E-2</v>
      </c>
      <c r="K17" s="3740">
        <f t="shared" ref="K17:N17" si="19">IFERROR((K16-J16)/J16,0)</f>
        <v>-1.8672199170124481E-2</v>
      </c>
      <c r="L17" s="3740">
        <f t="shared" si="19"/>
        <v>-1.2684989429175475E-2</v>
      </c>
      <c r="M17" s="3740">
        <f t="shared" si="19"/>
        <v>-1.9271948608137045E-2</v>
      </c>
      <c r="N17" s="3740">
        <f t="shared" si="19"/>
        <v>-1.7467248908296942E-2</v>
      </c>
      <c r="O17" s="4523">
        <f t="shared" si="16"/>
        <v>-0.81981981981981988</v>
      </c>
      <c r="P17" s="4523">
        <f t="shared" si="17"/>
        <v>-0.38116032439176545</v>
      </c>
      <c r="Q17" s="3524"/>
      <c r="R17" s="4634" t="s">
        <v>1564</v>
      </c>
      <c r="S17" s="4635">
        <f>IFERROR('8. Ремонтна програма'!J10/'8. Ремонтна програма'!J$24,0)</f>
        <v>1.483836777954425E-2</v>
      </c>
      <c r="T17" s="4635">
        <f>IFERROR('8. Ремонтна програма'!K10/'8. Ремонтна програма'!K$24,0)</f>
        <v>1.6478342749529189E-2</v>
      </c>
      <c r="U17" s="4635">
        <f>IFERROR('8. Ремонтна програма'!L10/'8. Ремонтна програма'!L$24,0)</f>
        <v>1.6129032258064516E-2</v>
      </c>
      <c r="V17" s="4635">
        <f>IFERROR('8. Ремонтна програма'!M10/'8. Ремонтна програма'!M$24,0)</f>
        <v>1.6122189223589309E-2</v>
      </c>
      <c r="W17" s="4635">
        <f>IFERROR('8. Ремонтна програма'!N10/'8. Ремонтна програма'!N$24,0)</f>
        <v>1.6E-2</v>
      </c>
      <c r="X17" s="4635">
        <f>IFERROR('8. Ремонтна програма'!O10/'8. Ремонтна програма'!O$24,0)</f>
        <v>1.5759849906191371E-2</v>
      </c>
      <c r="Y17" s="3752">
        <f>IFERROR((T17-S17)/S17,0)</f>
        <v>0.11052259887005639</v>
      </c>
      <c r="Z17" s="3752">
        <f t="shared" ref="Z17:Z30" si="20">IFERROR((X17-T17)/T17,0)</f>
        <v>-4.3602251407129262E-2</v>
      </c>
      <c r="AA17" s="3524"/>
      <c r="AB17" s="3751" t="s">
        <v>999</v>
      </c>
      <c r="AC17" s="3742">
        <f>'4. Отчет и прогн. потребление'!E60/1000</f>
        <v>144.90100000000001</v>
      </c>
      <c r="AD17" s="3742">
        <f>'4. Отчет и прогн. потребление'!F60/1000</f>
        <v>140.255</v>
      </c>
      <c r="AE17" s="3742">
        <f>'4. Отчет и прогн. потребление'!G60/1000</f>
        <v>135.57900000000001</v>
      </c>
      <c r="AF17" s="3742">
        <f>'4. Отчет и прогн. потребление'!H60/1000</f>
        <v>133.709</v>
      </c>
      <c r="AG17" s="3742">
        <f>'4. Отчет и прогн. потребление'!I60/1000</f>
        <v>131.83799999999999</v>
      </c>
      <c r="AH17" s="3524"/>
      <c r="AI17" s="3524"/>
      <c r="AJ17" s="3524"/>
      <c r="AK17" s="1488"/>
      <c r="AL17" s="3736">
        <f>'20.Цени '!J20</f>
        <v>0</v>
      </c>
      <c r="AM17" s="3736">
        <f>'20.Цени '!K20</f>
        <v>0</v>
      </c>
      <c r="AN17" s="3736">
        <f>'20.Цени '!L20</f>
        <v>0</v>
      </c>
      <c r="AO17" s="3736">
        <f>'20.Цени '!M20</f>
        <v>0</v>
      </c>
      <c r="AP17" s="3736">
        <f>'20.Цени '!N20</f>
        <v>0</v>
      </c>
    </row>
    <row r="18" spans="1:48">
      <c r="A18" s="3623" t="s">
        <v>1544</v>
      </c>
      <c r="B18" s="3737" t="s">
        <v>170</v>
      </c>
      <c r="C18" s="3738"/>
      <c r="D18" s="3739">
        <f>IFERROR((D16-$C$16)/$C$16,0)</f>
        <v>-0.05</v>
      </c>
      <c r="E18" s="3739">
        <f t="shared" ref="E18:H18" si="21">IFERROR((E16-$C$16)/$C$16,0)</f>
        <v>-5.8333333333333334E-2</v>
      </c>
      <c r="F18" s="3739">
        <f t="shared" si="21"/>
        <v>-6.6666666666666666E-2</v>
      </c>
      <c r="G18" s="3739">
        <f t="shared" si="21"/>
        <v>-7.4999999999999997E-2</v>
      </c>
      <c r="H18" s="3739">
        <f t="shared" si="21"/>
        <v>-8.3333333333333329E-2</v>
      </c>
      <c r="I18" s="3738"/>
      <c r="J18" s="3753">
        <f>IFERROR((J16-$I$16)/$I$16,0)</f>
        <v>-2.8225806451612902E-2</v>
      </c>
      <c r="K18" s="3740">
        <f t="shared" ref="K18:N18" si="22">IFERROR((K16-$I$16)/$I$16,0)</f>
        <v>-4.6370967741935484E-2</v>
      </c>
      <c r="L18" s="3739">
        <f t="shared" si="22"/>
        <v>-5.8467741935483868E-2</v>
      </c>
      <c r="M18" s="3739">
        <f t="shared" si="22"/>
        <v>-7.6612903225806453E-2</v>
      </c>
      <c r="N18" s="3739">
        <f t="shared" si="22"/>
        <v>-9.2741935483870969E-2</v>
      </c>
      <c r="O18" s="4523">
        <f t="shared" si="16"/>
        <v>0.66666666666666652</v>
      </c>
      <c r="P18" s="4523">
        <f t="shared" si="17"/>
        <v>2.2857142857142856</v>
      </c>
      <c r="Q18" s="3524"/>
      <c r="R18" s="4634" t="s">
        <v>1565</v>
      </c>
      <c r="S18" s="4635">
        <f>IFERROR('8. Ремонтна програма'!J11/'8. Ремонтна програма'!J$24,0)</f>
        <v>9.6979332273449917E-2</v>
      </c>
      <c r="T18" s="4635">
        <f>IFERROR('8. Ремонтна програма'!K11/'8. Ремонтна програма'!K$24,0)</f>
        <v>0.11534839924670433</v>
      </c>
      <c r="U18" s="4635">
        <f>IFERROR('8. Ремонтна програма'!L11/'8. Ремонтна програма'!L$24,0)</f>
        <v>0.11469534050179211</v>
      </c>
      <c r="V18" s="4635">
        <f>IFERROR('8. Ремонтна програма'!M11/'8. Ремонтна програма'!M$24,0)</f>
        <v>0.1192193466270683</v>
      </c>
      <c r="W18" s="4635">
        <f>IFERROR('8. Ремонтна програма'!N11/'8. Ремонтна програма'!N$24,0)</f>
        <v>0.1244</v>
      </c>
      <c r="X18" s="4635">
        <f>IFERROR('8. Ремонтна програма'!O11/'8. Ремонтна програма'!O$24,0)</f>
        <v>0.12307692307692308</v>
      </c>
      <c r="Y18" s="3752">
        <f t="shared" ref="Y18:Y30" si="23">IFERROR((T18-S18)/S18,0)</f>
        <v>0.18941218239634466</v>
      </c>
      <c r="Z18" s="3752">
        <f t="shared" si="20"/>
        <v>6.7001569858712806E-2</v>
      </c>
      <c r="AA18" s="3524"/>
      <c r="AB18" s="5646" t="s">
        <v>1705</v>
      </c>
      <c r="AC18" s="5654" t="str">
        <f>C24</f>
        <v>Доставяне вода с непитейни качества</v>
      </c>
      <c r="AD18" s="5646"/>
      <c r="AE18" s="5646"/>
      <c r="AF18" s="5646"/>
      <c r="AG18" s="5646"/>
      <c r="AH18" s="3524"/>
      <c r="AI18" s="3524"/>
      <c r="AJ18" s="3524"/>
      <c r="AK18" s="3524"/>
      <c r="AL18" s="3524"/>
      <c r="AM18" s="3524"/>
      <c r="AN18" s="3524"/>
      <c r="AO18" s="3524"/>
      <c r="AP18" s="3524"/>
    </row>
    <row r="19" spans="1:48" ht="21.75" customHeight="1">
      <c r="A19" s="3618" t="s">
        <v>1907</v>
      </c>
      <c r="B19" s="3743" t="s">
        <v>1905</v>
      </c>
      <c r="C19" s="3744">
        <f>'5. Персонал'!BL50</f>
        <v>6.4507992344256238</v>
      </c>
      <c r="D19" s="3744">
        <f>'5. Персонал'!BM50</f>
        <v>9.7952760397591341</v>
      </c>
      <c r="E19" s="3744">
        <f>'5. Персонал'!BN50</f>
        <v>10.886444833257537</v>
      </c>
      <c r="F19" s="3744">
        <f>'5. Персонал'!BO50</f>
        <v>12.535781301471571</v>
      </c>
      <c r="G19" s="3744">
        <f>'5. Персонал'!BP50</f>
        <v>14.440540968920224</v>
      </c>
      <c r="H19" s="3744">
        <f>'5. Персонал'!BQ50</f>
        <v>16.668115326996723</v>
      </c>
      <c r="I19" s="3744">
        <f>IFERROR(('5. Персонал'!AZ29+'5. Персонал'!BF29+'5. Персонал'!BL29)/I16,0)</f>
        <v>10.445404500325164</v>
      </c>
      <c r="J19" s="3744">
        <f>IFERROR(('5. Персонал'!BA29+'5. Персонал'!BG29+'5. Персонал'!BM29)/J16,0)</f>
        <v>15.671838698740522</v>
      </c>
      <c r="K19" s="3744">
        <f>IFERROR(('5. Персонал'!BB29+'5. Персонал'!BH29+'5. Персонал'!BN29)/K16,0)</f>
        <v>18.028173350085691</v>
      </c>
      <c r="L19" s="3744">
        <f>IFERROR(('5. Персонал'!BC29+'5. Персонал'!BI29+'5. Персонал'!BO29)/L16,0)</f>
        <v>20.733050009020964</v>
      </c>
      <c r="M19" s="3744">
        <f>IFERROR(('5. Персонал'!BD29+'5. Персонал'!BJ29+'5. Персонал'!BP29)/M16,0)</f>
        <v>23.843170302595706</v>
      </c>
      <c r="N19" s="3744">
        <f>IFERROR(('5. Персонал'!BE29+'5. Персонал'!BK29+'5. Персонал'!BQ29)/N16,0)</f>
        <v>27.420015486462979</v>
      </c>
      <c r="O19" s="4523">
        <f t="shared" si="16"/>
        <v>0.70164835164835149</v>
      </c>
      <c r="P19" s="4523">
        <f t="shared" si="17"/>
        <v>0.74963614758660113</v>
      </c>
      <c r="Q19" s="3524"/>
      <c r="R19" s="4636" t="s">
        <v>1566</v>
      </c>
      <c r="S19" s="4635">
        <f>IFERROR('8. Ремонтна програма'!J12/'8. Ремонтна програма'!J$24,0)</f>
        <v>0.46740858505564387</v>
      </c>
      <c r="T19" s="4635">
        <f>IFERROR('8. Ремонтна програма'!K12/'8. Ремонтна програма'!K$24,0)</f>
        <v>0.45903954802259889</v>
      </c>
      <c r="U19" s="4635">
        <f>IFERROR('8. Ремонтна програма'!L12/'8. Ремонтна програма'!L$24,0)</f>
        <v>0.46415770609318996</v>
      </c>
      <c r="V19" s="4635">
        <f>IFERROR('8. Ремонтна програма'!M12/'8. Ремонтна програма'!M$24,0)</f>
        <v>0.46287653797199829</v>
      </c>
      <c r="W19" s="4635">
        <f>IFERROR('8. Ремонтна програма'!N12/'8. Ремонтна програма'!N$24,0)</f>
        <v>0.46079999999999999</v>
      </c>
      <c r="X19" s="4635">
        <f>IFERROR('8. Ремонтна програма'!O12/'8. Ремонтна програма'!O$24,0)</f>
        <v>0.45440900562851783</v>
      </c>
      <c r="Y19" s="3752">
        <f t="shared" si="23"/>
        <v>-1.7905184672739088E-2</v>
      </c>
      <c r="Z19" s="3752">
        <f t="shared" si="20"/>
        <v>-1.0087458507721202E-2</v>
      </c>
      <c r="AA19" s="3524"/>
      <c r="AB19" s="5646"/>
      <c r="AC19" s="4528" t="str">
        <f>+'15. ОПП'!$C$7</f>
        <v>2027 г.</v>
      </c>
      <c r="AD19" s="4528" t="str">
        <f>+'15. ОПП'!$D$7</f>
        <v>2028 г.</v>
      </c>
      <c r="AE19" s="4528" t="str">
        <f>+'15. ОПП'!$E$7</f>
        <v>2029 г.</v>
      </c>
      <c r="AF19" s="4528" t="str">
        <f>+'15. ОПП'!$F$7</f>
        <v>2030 г.</v>
      </c>
      <c r="AG19" s="4528" t="str">
        <f>+'15. ОПП'!$G$7</f>
        <v>2031 г.</v>
      </c>
      <c r="AH19" s="3524"/>
      <c r="AI19" s="3524"/>
      <c r="AJ19" s="3524"/>
      <c r="AK19" s="5655" t="s">
        <v>279</v>
      </c>
      <c r="AL19" s="5655" t="s">
        <v>280</v>
      </c>
      <c r="AM19" s="5655" t="s">
        <v>192</v>
      </c>
      <c r="AN19" s="5655"/>
      <c r="AO19" s="5655" t="s">
        <v>193</v>
      </c>
      <c r="AP19" s="5655"/>
      <c r="AQ19" s="5655"/>
      <c r="AR19" s="5655"/>
      <c r="AS19" s="5655"/>
    </row>
    <row r="20" spans="1:48" ht="15.75" customHeight="1">
      <c r="A20" s="3623" t="s">
        <v>1545</v>
      </c>
      <c r="B20" s="3737" t="s">
        <v>170</v>
      </c>
      <c r="C20" s="3738"/>
      <c r="D20" s="3739">
        <f>IFERROR((D19-C19)/C19,0)</f>
        <v>0.51845929221998199</v>
      </c>
      <c r="E20" s="3739">
        <f t="shared" ref="E20:H20" si="24">IFERROR((E19-D19)/D19,0)</f>
        <v>0.11139745210541657</v>
      </c>
      <c r="F20" s="3739">
        <f t="shared" si="24"/>
        <v>0.15150368127300801</v>
      </c>
      <c r="G20" s="3739">
        <f t="shared" si="24"/>
        <v>0.15194582783803462</v>
      </c>
      <c r="H20" s="3739">
        <f t="shared" si="24"/>
        <v>0.15425837320574171</v>
      </c>
      <c r="I20" s="3738"/>
      <c r="J20" s="3740">
        <f>IFERROR((J19-I19)/I19,0)</f>
        <v>0.5003572813530256</v>
      </c>
      <c r="K20" s="3740">
        <f t="shared" ref="K20:N20" si="25">IFERROR((K19-J19)/J19,0)</f>
        <v>0.15035470289357539</v>
      </c>
      <c r="L20" s="3740">
        <f t="shared" si="25"/>
        <v>0.15003609108975072</v>
      </c>
      <c r="M20" s="3740">
        <f t="shared" si="25"/>
        <v>0.15000785182216442</v>
      </c>
      <c r="N20" s="3740">
        <f t="shared" si="25"/>
        <v>0.15001550290809598</v>
      </c>
      <c r="O20" s="4523">
        <f t="shared" si="16"/>
        <v>-0.70246772404208357</v>
      </c>
      <c r="P20" s="4523">
        <f t="shared" si="17"/>
        <v>-0.70018323206482336</v>
      </c>
      <c r="Q20" s="3524"/>
      <c r="R20" s="4634" t="s">
        <v>1567</v>
      </c>
      <c r="S20" s="4635">
        <f>IFERROR('8. Ремонтна програма'!J13/'8. Ремонтна програма'!J$24,0)</f>
        <v>0.25384207737148912</v>
      </c>
      <c r="T20" s="4635">
        <f>IFERROR('8. Ремонтна програма'!K13/'8. Ремонтна програма'!K$24,0)</f>
        <v>0.2443502824858757</v>
      </c>
      <c r="U20" s="4635">
        <f>IFERROR('8. Ремонтна програма'!L13/'8. Ремонтна програма'!L$24,0)</f>
        <v>0.239247311827957</v>
      </c>
      <c r="V20" s="4635">
        <f>IFERROR('8. Ремонтна програма'!M13/'8. Ремонтна програма'!M$24,0)</f>
        <v>0.237165888841748</v>
      </c>
      <c r="W20" s="4635">
        <f>IFERROR('8. Ремонтна програма'!N13/'8. Ремонтна програма'!N$24,0)</f>
        <v>0.2336</v>
      </c>
      <c r="X20" s="4635">
        <f>IFERROR('8. Ремонтна програма'!O13/'8. Ремонтна програма'!O$24,0)</f>
        <v>0.23677298311444653</v>
      </c>
      <c r="Y20" s="3752">
        <f t="shared" si="23"/>
        <v>-3.7392519726831969E-2</v>
      </c>
      <c r="Z20" s="3752">
        <f t="shared" si="20"/>
        <v>-3.1009988179028069E-2</v>
      </c>
      <c r="AA20" s="3524"/>
      <c r="AB20" s="3732" t="s">
        <v>340</v>
      </c>
      <c r="AC20" s="3733">
        <f>'4. Отчет и прогн. потребление'!E69/1000</f>
        <v>0</v>
      </c>
      <c r="AD20" s="3733">
        <f>'4. Отчет и прогн. потребление'!F69/1000</f>
        <v>0</v>
      </c>
      <c r="AE20" s="3733">
        <f>'4. Отчет и прогн. потребление'!G69/1000</f>
        <v>0</v>
      </c>
      <c r="AF20" s="3733">
        <f>'4. Отчет и прогн. потребление'!H69/1000</f>
        <v>0</v>
      </c>
      <c r="AG20" s="3733">
        <f>'4. Отчет и прогн. потребление'!I69/1000</f>
        <v>0</v>
      </c>
      <c r="AH20" s="3524"/>
      <c r="AI20" s="3524"/>
      <c r="AJ20" s="3524"/>
      <c r="AK20" s="5655"/>
      <c r="AL20" s="5655"/>
      <c r="AM20" s="4637" t="str">
        <f>+'9.Инвестиционна програма'!G9</f>
        <v>2025 г.</v>
      </c>
      <c r="AN20" s="4637" t="str">
        <f>+'9.Инвестиционна програма'!H9</f>
        <v>2026 г.</v>
      </c>
      <c r="AO20" s="4637" t="str">
        <f>+'9.Инвестиционна програма'!I9</f>
        <v>2027 г.</v>
      </c>
      <c r="AP20" s="4637" t="str">
        <f>+'9.Инвестиционна програма'!J9</f>
        <v>2028 г.</v>
      </c>
      <c r="AQ20" s="4637" t="str">
        <f>+'9.Инвестиционна програма'!K9</f>
        <v>2029 г.</v>
      </c>
      <c r="AR20" s="4637" t="str">
        <f>+'9.Инвестиционна програма'!L9</f>
        <v>2030 г.</v>
      </c>
      <c r="AS20" s="4637" t="str">
        <f>+'9.Инвестиционна програма'!M9</f>
        <v>2031 г.</v>
      </c>
    </row>
    <row r="21" spans="1:48" ht="22.5">
      <c r="A21" s="3622" t="s">
        <v>1543</v>
      </c>
      <c r="B21" s="3737" t="s">
        <v>170</v>
      </c>
      <c r="C21" s="3738"/>
      <c r="D21" s="3739">
        <f>IFERROR((D19-$C$19)/$C$19,0)</f>
        <v>0.51845929221998199</v>
      </c>
      <c r="E21" s="3739">
        <f t="shared" ref="E21:H21" si="26">IFERROR((E19-$C$19)/$C$19,0)</f>
        <v>0.68761178849908211</v>
      </c>
      <c r="F21" s="3739">
        <f t="shared" si="26"/>
        <v>0.94329118701641812</v>
      </c>
      <c r="G21" s="3739">
        <f t="shared" si="26"/>
        <v>1.2385661751579846</v>
      </c>
      <c r="H21" s="3739">
        <f t="shared" si="26"/>
        <v>1.5838837516512549</v>
      </c>
      <c r="I21" s="3738"/>
      <c r="J21" s="3739">
        <f>IFERROR((J19-$I$19)/$I$19,0)</f>
        <v>0.5003572813530256</v>
      </c>
      <c r="K21" s="3740">
        <f t="shared" ref="K21:N21" si="27">IFERROR((K19-$I$19)/$I$19,0)</f>
        <v>0.72594305462507225</v>
      </c>
      <c r="L21" s="3739">
        <f t="shared" si="27"/>
        <v>0.98489680398452217</v>
      </c>
      <c r="M21" s="3739">
        <f t="shared" si="27"/>
        <v>1.2826469096389201</v>
      </c>
      <c r="N21" s="3739">
        <f t="shared" si="27"/>
        <v>1.625079333750014</v>
      </c>
      <c r="O21" s="4523">
        <f t="shared" si="16"/>
        <v>2.0549818962049078</v>
      </c>
      <c r="P21" s="4523">
        <f t="shared" si="17"/>
        <v>2.2478378836730548</v>
      </c>
      <c r="Q21" s="3524"/>
      <c r="R21" s="4634" t="s">
        <v>1568</v>
      </c>
      <c r="S21" s="4635">
        <f>IFERROR('8. Ремонтна програма'!J14/'8. Ремонтна програма'!J$24,0)</f>
        <v>5.3524112347641761E-2</v>
      </c>
      <c r="T21" s="4635">
        <f>IFERROR('8. Ремонтна програма'!K14/'8. Ремонтна програма'!K$24,0)</f>
        <v>5.4143126177024485E-2</v>
      </c>
      <c r="U21" s="4635">
        <f>IFERROR('8. Ремонтна програма'!L14/'8. Ремонтна програма'!L$24,0)</f>
        <v>5.7347670250896057E-2</v>
      </c>
      <c r="V21" s="4635">
        <f>IFERROR('8. Ремонтна програма'!M14/'8. Ремонтна програма'!M$24,0)</f>
        <v>5.6851930420025454E-2</v>
      </c>
      <c r="W21" s="4635">
        <f>IFERROR('8. Ремонтна програма'!N14/'8. Ремонтна програма'!N$24,0)</f>
        <v>5.6800000000000003E-2</v>
      </c>
      <c r="X21" s="4635">
        <f>IFERROR('8. Ремонтна програма'!O14/'8. Ремонтна програма'!O$24,0)</f>
        <v>5.8911819887429641E-2</v>
      </c>
      <c r="Y21" s="3752">
        <f t="shared" si="23"/>
        <v>1.1565139564803959E-2</v>
      </c>
      <c r="Z21" s="3752">
        <f t="shared" si="20"/>
        <v>8.8075699486091744E-2</v>
      </c>
      <c r="AA21" s="3524"/>
      <c r="AB21" s="5646" t="s">
        <v>1704</v>
      </c>
      <c r="AC21" s="5646" t="str">
        <f>I24</f>
        <v>Доставяне вода на друг ВиК оператор</v>
      </c>
      <c r="AD21" s="5646"/>
      <c r="AE21" s="5646"/>
      <c r="AF21" s="5646"/>
      <c r="AG21" s="5646"/>
      <c r="AH21" s="3524"/>
      <c r="AI21" s="3524"/>
      <c r="AJ21" s="3524"/>
      <c r="AK21" s="3630" t="s">
        <v>286</v>
      </c>
      <c r="AL21" s="3624" t="s">
        <v>1729</v>
      </c>
      <c r="AM21" s="4638">
        <f>'13. Соц. поносимост'!C12</f>
        <v>2.8</v>
      </c>
      <c r="AN21" s="4638">
        <f>'13. Соц. поносимост'!D12</f>
        <v>2.8</v>
      </c>
      <c r="AO21" s="4638">
        <f>'13. Соц. поносимост'!E12</f>
        <v>2.8</v>
      </c>
      <c r="AP21" s="4638">
        <f>'13. Соц. поносимост'!F12</f>
        <v>2.8</v>
      </c>
      <c r="AQ21" s="4638">
        <f>'13. Соц. поносимост'!G12</f>
        <v>2.8</v>
      </c>
      <c r="AR21" s="4638">
        <f>'13. Соц. поносимост'!H12</f>
        <v>2.8</v>
      </c>
      <c r="AS21" s="4638">
        <f>'13. Соц. поносимост'!I12</f>
        <v>2.8</v>
      </c>
    </row>
    <row r="22" spans="1:48" ht="21" customHeight="1">
      <c r="A22" s="3621" t="s">
        <v>1547</v>
      </c>
      <c r="B22" s="3748" t="s">
        <v>170</v>
      </c>
      <c r="C22" s="3615">
        <f>'5. Персонал'!O62</f>
        <v>0.21268163804491413</v>
      </c>
      <c r="D22" s="3615">
        <f>'5. Персонал'!P62</f>
        <v>0.222985347985348</v>
      </c>
      <c r="E22" s="3615">
        <f>'5. Персонал'!Q62</f>
        <v>0.23275145469659186</v>
      </c>
      <c r="F22" s="3615">
        <f>'5. Персонал'!R62</f>
        <v>0.23452294246176256</v>
      </c>
      <c r="G22" s="3615">
        <f>'5. Персонал'!S62</f>
        <v>0.23604465709728867</v>
      </c>
      <c r="H22" s="3615">
        <f>'5. Персонал'!T62</f>
        <v>0.2373117679866146</v>
      </c>
      <c r="I22" s="3615">
        <f>IFERROR(('5. Персонал'!C42+'5. Персонал'!I42+'5. Персонал'!O42)/('5. Персонал'!C29+'5. Персонал'!I29+'5. Персонал'!O29),0)</f>
        <v>0.21494128096318957</v>
      </c>
      <c r="J22" s="3615">
        <f>IFERROR(('5. Персонал'!D42+'5. Персонал'!J42+'5. Персонал'!P42)/('5. Персонал'!D29+'5. Персонал'!J29+'5. Персонал'!P29),0)</f>
        <v>0.21883037769053743</v>
      </c>
      <c r="K22" s="3615">
        <f>IFERROR(('5. Персонал'!E42+'5. Персонал'!K42+'5. Персонал'!Q42)/('5. Персонал'!E29+'5. Персонал'!K29+'5. Персонал'!Q29),0)</f>
        <v>0.22286844945437104</v>
      </c>
      <c r="L22" s="3615">
        <f>IFERROR(('5. Персонал'!F42+'5. Персонал'!L42+'5. Персонал'!R42)/('5. Персонал'!F29+'5. Персонал'!L29+'5. Персонал'!R29),0)</f>
        <v>0.22574853461477531</v>
      </c>
      <c r="M22" s="3615">
        <f>IFERROR(('5. Персонал'!G42+'5. Персонал'!M42+'5. Персонал'!S42)/('5. Персонал'!G29+'5. Персонал'!M29+'5. Персонал'!S29),0)</f>
        <v>0.2301713643599588</v>
      </c>
      <c r="N22" s="3615">
        <f>IFERROR(('5. Персонал'!H42+'5. Персонал'!N42+'5. Персонал'!T42)/('5. Персонал'!H29+'5. Персонал'!N29+'5. Персонал'!T29),0)</f>
        <v>0.23424356690009532</v>
      </c>
      <c r="O22" s="4523">
        <f t="shared" si="16"/>
        <v>6.424825725414017E-2</v>
      </c>
      <c r="P22" s="4523">
        <f t="shared" si="17"/>
        <v>7.0434413047327032E-2</v>
      </c>
      <c r="Q22" s="3524"/>
      <c r="R22" s="4636" t="s">
        <v>1569</v>
      </c>
      <c r="S22" s="4635">
        <f>IFERROR('8. Ремонтна програма'!J15/'8. Ремонтна програма'!J$24,0)</f>
        <v>5.2994170641229468E-4</v>
      </c>
      <c r="T22" s="4635">
        <f>IFERROR('8. Ремонтна програма'!K15/'8. Ремонтна програма'!K$24,0)</f>
        <v>4.7080979284369113E-4</v>
      </c>
      <c r="U22" s="4635">
        <f>IFERROR('8. Ремонтна програма'!L15/'8. Ремонтна програма'!L$24,0)</f>
        <v>4.4802867383512545E-4</v>
      </c>
      <c r="V22" s="4635">
        <f>IFERROR('8. Ремонтна програма'!M15/'8. Ремонтна програма'!M$24,0)</f>
        <v>4.2426813746287653E-4</v>
      </c>
      <c r="W22" s="4635">
        <f>IFERROR('8. Ремонтна програма'!N15/'8. Ремонтна програма'!N$24,0)</f>
        <v>4.0000000000000002E-4</v>
      </c>
      <c r="X22" s="4635">
        <f>IFERROR('8. Ремонтна програма'!O15/'8. Ремонтна програма'!O$24,0)</f>
        <v>3.7523452157598499E-4</v>
      </c>
      <c r="Y22" s="3752">
        <f t="shared" si="23"/>
        <v>-0.1115819209039549</v>
      </c>
      <c r="Z22" s="3752">
        <f t="shared" si="20"/>
        <v>-0.20300187617260784</v>
      </c>
      <c r="AA22" s="3524"/>
      <c r="AB22" s="5646"/>
      <c r="AC22" s="4528" t="str">
        <f>+'15. ОПП'!$C$7</f>
        <v>2027 г.</v>
      </c>
      <c r="AD22" s="4528" t="str">
        <f>+'15. ОПП'!$D$7</f>
        <v>2028 г.</v>
      </c>
      <c r="AE22" s="4528" t="str">
        <f>+'15. ОПП'!$E$7</f>
        <v>2029 г.</v>
      </c>
      <c r="AF22" s="4528" t="str">
        <f>+'15. ОПП'!$F$7</f>
        <v>2030 г.</v>
      </c>
      <c r="AG22" s="4528" t="str">
        <f>+'15. ОПП'!$G$7</f>
        <v>2031 г.</v>
      </c>
      <c r="AH22" s="3524"/>
      <c r="AI22" s="3524"/>
      <c r="AJ22" s="3524"/>
      <c r="AK22" s="3630" t="s">
        <v>339</v>
      </c>
      <c r="AL22" s="4639" t="s">
        <v>1873</v>
      </c>
      <c r="AM22" s="4638">
        <f>'13. Соц. поносимост'!L13</f>
        <v>4.6315681833288167</v>
      </c>
      <c r="AN22" s="4638">
        <f>'13. Соц. поносимост'!M13</f>
        <v>5.1967706804783642</v>
      </c>
      <c r="AO22" s="4638">
        <f>'13. Соц. поносимост'!N13</f>
        <v>5.6709223194244887</v>
      </c>
      <c r="AP22" s="4638">
        <f>'13. Соц. поносимост'!O13</f>
        <v>6.2361248165740379</v>
      </c>
      <c r="AQ22" s="4638">
        <f>'13. Соц. поносимост'!P13</f>
        <v>7.0366851924758285</v>
      </c>
      <c r="AR22" s="4638">
        <f>'13. Соц. поносимост'!Q13</f>
        <v>7.9317323080226805</v>
      </c>
      <c r="AS22" s="4638">
        <f>'13. Соц. поносимост'!R13</f>
        <v>9.7699288792993251</v>
      </c>
    </row>
    <row r="23" spans="1:48" ht="19.5" customHeight="1">
      <c r="A23" s="3621" t="s">
        <v>1546</v>
      </c>
      <c r="B23" s="3748" t="s">
        <v>170</v>
      </c>
      <c r="C23" s="3615">
        <f>'5. Персонал'!O63</f>
        <v>0.14927344782034346</v>
      </c>
      <c r="D23" s="3615">
        <f>'5. Персонал'!P63</f>
        <v>0.14148351648351648</v>
      </c>
      <c r="E23" s="3615">
        <f>'5. Персонал'!Q63</f>
        <v>0.14796342477140481</v>
      </c>
      <c r="F23" s="3615">
        <f>'5. Персонал'!R63</f>
        <v>0.14894391842680263</v>
      </c>
      <c r="G23" s="3615">
        <f>'5. Персонал'!S63</f>
        <v>0.15023923444976076</v>
      </c>
      <c r="H23" s="3615">
        <f>'5. Персонал'!T63</f>
        <v>0.15086447295036251</v>
      </c>
      <c r="I23" s="3615">
        <f>IFERROR(('5. Персонал'!C46+'5. Персонал'!I46+'5. Персонал'!O46)/('5. Персонал'!C29+'5. Персонал'!I29+'5. Персонал'!O29),0)</f>
        <v>0.14714299812493831</v>
      </c>
      <c r="J23" s="3615">
        <f>IFERROR(('5. Персонал'!D46+'5. Персонал'!J46+'5. Персонал'!P46)/('5. Персонал'!D29+'5. Персонал'!J29+'5. Персонал'!P29),0)</f>
        <v>0.13875727629619602</v>
      </c>
      <c r="K23" s="3615">
        <f>IFERROR(('5. Персонал'!E46+'5. Персонал'!K46+'5. Персонал'!Q46)/('5. Персонал'!E29+'5. Персонал'!K29+'5. Персонал'!Q29),0)</f>
        <v>0.14132389974817125</v>
      </c>
      <c r="L23" s="3615">
        <f>IFERROR(('5. Персонал'!F46+'5. Персонал'!L46+'5. Персонал'!R46)/('5. Персонал'!F29+'5. Персонал'!L29+'5. Персонал'!R29),0)</f>
        <v>0.14315889528436396</v>
      </c>
      <c r="M23" s="3615">
        <f>IFERROR(('5. Персонал'!G46+'5. Персонал'!M46+'5. Персонал'!S46)/('5. Персонал'!G29+'5. Персонал'!M29+'5. Персонал'!S29),0)</f>
        <v>0.14598745200861504</v>
      </c>
      <c r="N23" s="3615">
        <f>IFERROR(('5. Персонал'!H46+'5. Персонал'!N46+'5. Персонал'!T46)/('5. Персонал'!H29+'5. Персонал'!N29+'5. Персонал'!T29),0)</f>
        <v>0.14855177557701074</v>
      </c>
      <c r="O23" s="4523">
        <f t="shared" si="16"/>
        <v>6.630423599867874E-2</v>
      </c>
      <c r="P23" s="4523">
        <f t="shared" si="17"/>
        <v>7.0587284085247129E-2</v>
      </c>
      <c r="Q23" s="3524"/>
      <c r="R23" s="4636" t="s">
        <v>1570</v>
      </c>
      <c r="S23" s="4635">
        <f>IFERROR('8. Ремонтна програма'!J16/'8. Ремонтна програма'!J$24,0)</f>
        <v>1.1658717541070483E-2</v>
      </c>
      <c r="T23" s="4635">
        <f>IFERROR('8. Ремонтна програма'!K16/'8. Ремонтна програма'!K$24,0)</f>
        <v>1.1770244821092278E-2</v>
      </c>
      <c r="U23" s="4635">
        <f>IFERROR('8. Ремонтна програма'!L16/'8. Ремонтна програма'!L$24,0)</f>
        <v>1.1648745519713262E-2</v>
      </c>
      <c r="V23" s="4635">
        <f>IFERROR('8. Ремонтна програма'!M16/'8. Ремонтна програма'!M$24,0)</f>
        <v>1.1030971574034791E-2</v>
      </c>
      <c r="W23" s="4635">
        <f>IFERROR('8. Ремонтна програма'!N16/'8. Ремонтна програма'!N$24,0)</f>
        <v>1.0800000000000001E-2</v>
      </c>
      <c r="X23" s="4635">
        <f>IFERROR('8. Ремонтна програма'!O16/'8. Ремонтна програма'!O$24,0)</f>
        <v>1.0881801125703566E-2</v>
      </c>
      <c r="Y23" s="3752">
        <f t="shared" si="23"/>
        <v>9.5659989727785791E-3</v>
      </c>
      <c r="Z23" s="3752">
        <f t="shared" si="20"/>
        <v>-7.5482176360225042E-2</v>
      </c>
      <c r="AA23" s="3524"/>
      <c r="AB23" s="3732" t="s">
        <v>340</v>
      </c>
      <c r="AC23" s="3733">
        <f>'4. Отчет и прогн. потребление'!E100/1000</f>
        <v>0</v>
      </c>
      <c r="AD23" s="3733">
        <f>'4. Отчет и прогн. потребление'!F100/1000</f>
        <v>0</v>
      </c>
      <c r="AE23" s="3733">
        <f>'4. Отчет и прогн. потребление'!G100/1000</f>
        <v>0</v>
      </c>
      <c r="AF23" s="3733">
        <f>'4. Отчет и прогн. потребление'!H100/1000</f>
        <v>0</v>
      </c>
      <c r="AG23" s="3733">
        <f>'4. Отчет и прогн. потребление'!I100/1000</f>
        <v>0</v>
      </c>
      <c r="AH23" s="3524"/>
      <c r="AI23" s="3524"/>
      <c r="AJ23" s="3524"/>
      <c r="AK23" s="3630" t="s">
        <v>289</v>
      </c>
      <c r="AL23" s="4639" t="s">
        <v>1894</v>
      </c>
      <c r="AM23" s="4592">
        <f>'13. Соц. поносимост'!L14</f>
        <v>542.60850891948689</v>
      </c>
      <c r="AN23" s="4592">
        <f>'13. Соц. поносимост'!M14</f>
        <v>554.54589611571566</v>
      </c>
      <c r="AO23" s="4592">
        <f>'13. Соц. поносимост'!N14</f>
        <v>571.73681889530269</v>
      </c>
      <c r="AP23" s="4592">
        <f>'13. Соц. поносимост'!O14</f>
        <v>589.46066028105702</v>
      </c>
      <c r="AQ23" s="4592">
        <f>'13. Соц. поносимост'!P14</f>
        <v>607.73394074976977</v>
      </c>
      <c r="AR23" s="4592">
        <f>'13. Соц. поносимост'!Q14</f>
        <v>626.57369291301256</v>
      </c>
      <c r="AS23" s="4592">
        <f>'13. Соц. поносимост'!R14</f>
        <v>645.99747739331576</v>
      </c>
    </row>
    <row r="24" spans="1:48" ht="12.6" customHeight="1">
      <c r="A24" s="5647" t="s">
        <v>2</v>
      </c>
      <c r="B24" s="5656" t="s">
        <v>1537</v>
      </c>
      <c r="C24" s="5658" t="s">
        <v>1236</v>
      </c>
      <c r="D24" s="5659"/>
      <c r="E24" s="5659"/>
      <c r="F24" s="5659"/>
      <c r="G24" s="5659"/>
      <c r="H24" s="5660"/>
      <c r="I24" s="5661" t="s">
        <v>1237</v>
      </c>
      <c r="J24" s="5662"/>
      <c r="K24" s="5662"/>
      <c r="L24" s="5662"/>
      <c r="M24" s="5662"/>
      <c r="N24" s="5663"/>
      <c r="O24" s="5647" t="str">
        <f>CONCATENATE("Изменение ", H25,"спрямо ",D25)</f>
        <v>Изменение 2031 г.спрямо 2027 г.</v>
      </c>
      <c r="P24" s="5647" t="str">
        <f>CONCATENATE("Изменение ", N25,"спрямо ",J25)</f>
        <v>Изменение 2031 г.спрямо 2027 г.</v>
      </c>
      <c r="Q24" s="3524"/>
      <c r="R24" s="4634" t="s">
        <v>1571</v>
      </c>
      <c r="S24" s="4635">
        <f>IFERROR('8. Ремонтна програма'!J17/'8. Ремонтна програма'!J$24,0)</f>
        <v>2.1197668256491787E-3</v>
      </c>
      <c r="T24" s="4635">
        <f>IFERROR('8. Ремонтна програма'!K17/'8. Ремонтна програма'!K$24,0)</f>
        <v>1.8832391713747645E-3</v>
      </c>
      <c r="U24" s="4635">
        <f>IFERROR('8. Ремонтна програма'!L17/'8. Ремонтна програма'!L$24,0)</f>
        <v>2.2401433691756271E-3</v>
      </c>
      <c r="V24" s="4635">
        <f>IFERROR('8. Ремонтна програма'!M17/'8. Ремонтна програма'!M$24,0)</f>
        <v>2.1213406873143827E-3</v>
      </c>
      <c r="W24" s="4635">
        <f>IFERROR('8. Ремонтна програма'!N17/'8. Ремонтна програма'!N$24,0)</f>
        <v>2E-3</v>
      </c>
      <c r="X24" s="4635">
        <f>IFERROR('8. Ремонтна програма'!O17/'8. Ремонтна програма'!O$24,0)</f>
        <v>2.2514071294559099E-3</v>
      </c>
      <c r="Y24" s="3752">
        <f t="shared" si="23"/>
        <v>-0.1115819209039549</v>
      </c>
      <c r="Z24" s="3752">
        <f t="shared" si="20"/>
        <v>0.19549718574108824</v>
      </c>
      <c r="AA24" s="3524"/>
      <c r="AB24" s="3754"/>
      <c r="AC24" s="3755"/>
      <c r="AD24" s="3755"/>
      <c r="AE24" s="3755"/>
      <c r="AF24" s="3755"/>
      <c r="AG24" s="3755"/>
      <c r="AH24" s="3524"/>
      <c r="AI24" s="3524"/>
      <c r="AJ24" s="3524"/>
      <c r="AK24" s="3630" t="s">
        <v>1786</v>
      </c>
      <c r="AL24" s="4639" t="s">
        <v>170</v>
      </c>
      <c r="AM24" s="4640"/>
      <c r="AN24" s="4641">
        <f>'13. Соц. поносимост'!D15</f>
        <v>2.1999999999999999E-2</v>
      </c>
      <c r="AO24" s="4641">
        <f>'13. Соц. поносимост'!E15</f>
        <v>3.1E-2</v>
      </c>
      <c r="AP24" s="4641">
        <f>'13. Соц. поносимост'!F15</f>
        <v>3.1E-2</v>
      </c>
      <c r="AQ24" s="4641">
        <f>'13. Соц. поносимост'!G15</f>
        <v>3.1E-2</v>
      </c>
      <c r="AR24" s="4641">
        <f>'13. Соц. поносимост'!H15</f>
        <v>3.1E-2</v>
      </c>
      <c r="AS24" s="4641">
        <f>'13. Соц. поносимост'!I15</f>
        <v>3.1E-2</v>
      </c>
    </row>
    <row r="25" spans="1:48" ht="14.25" customHeight="1">
      <c r="A25" s="5648"/>
      <c r="B25" s="5657"/>
      <c r="C25" s="4627" t="str">
        <f>+'15. ОПП'!$B$7</f>
        <v>2024 г.</v>
      </c>
      <c r="D25" s="4627" t="str">
        <f>+'15. ОПП'!$C$7</f>
        <v>2027 г.</v>
      </c>
      <c r="E25" s="4627" t="str">
        <f>+'15. ОПП'!$D$7</f>
        <v>2028 г.</v>
      </c>
      <c r="F25" s="4627" t="str">
        <f>+'15. ОПП'!$E$7</f>
        <v>2029 г.</v>
      </c>
      <c r="G25" s="4627" t="str">
        <f>+'15. ОПП'!$F$7</f>
        <v>2030 г.</v>
      </c>
      <c r="H25" s="4627" t="str">
        <f>+'15. ОПП'!$G$7</f>
        <v>2031 г.</v>
      </c>
      <c r="I25" s="4627" t="str">
        <f>+'15. ОПП'!$B$7</f>
        <v>2024 г.</v>
      </c>
      <c r="J25" s="4627" t="str">
        <f>+'15. ОПП'!$C$7</f>
        <v>2027 г.</v>
      </c>
      <c r="K25" s="4627" t="str">
        <f>+'15. ОПП'!$D$7</f>
        <v>2028 г.</v>
      </c>
      <c r="L25" s="4627" t="str">
        <f>+'15. ОПП'!$E$7</f>
        <v>2029 г.</v>
      </c>
      <c r="M25" s="4627" t="str">
        <f>+'15. ОПП'!$F$7</f>
        <v>2030 г.</v>
      </c>
      <c r="N25" s="4627" t="str">
        <f>+'15. ОПП'!$G$7</f>
        <v>2031 г.</v>
      </c>
      <c r="O25" s="5648"/>
      <c r="P25" s="5648"/>
      <c r="Q25" s="3524"/>
      <c r="R25" s="4636" t="s">
        <v>1573</v>
      </c>
      <c r="S25" s="4635">
        <f>IFERROR('8. Ремонтна програма'!J18/'8. Ремонтна програма'!J$24,0)</f>
        <v>1.589825119236884E-3</v>
      </c>
      <c r="T25" s="4635">
        <f>IFERROR('8. Ремонтна програма'!K18/'8. Ремонтна програма'!K$24,0)</f>
        <v>1.4124293785310734E-3</v>
      </c>
      <c r="U25" s="4635">
        <f>IFERROR('8. Ремонтна програма'!L18/'8. Ремонтна програма'!L$24,0)</f>
        <v>1.7921146953405018E-3</v>
      </c>
      <c r="V25" s="4635">
        <f>IFERROR('8. Ремонтна програма'!M18/'8. Ремонтна програма'!M$24,0)</f>
        <v>1.6970725498515061E-3</v>
      </c>
      <c r="W25" s="4635">
        <f>IFERROR('8. Ремонтна програма'!N18/'8. Ремонтна програма'!N$24,0)</f>
        <v>1.6000000000000001E-3</v>
      </c>
      <c r="X25" s="4635">
        <f>IFERROR('8. Ремонтна програма'!O18/'8. Ремонтна програма'!O$24,0)</f>
        <v>1.50093808630394E-3</v>
      </c>
      <c r="Y25" s="3752">
        <f t="shared" si="23"/>
        <v>-0.11158192090395486</v>
      </c>
      <c r="Z25" s="3752">
        <f t="shared" si="20"/>
        <v>6.2664165103189493E-2</v>
      </c>
      <c r="AA25" s="3524"/>
      <c r="AB25" s="5649" t="s">
        <v>1696</v>
      </c>
      <c r="AC25" s="5646" t="s">
        <v>184</v>
      </c>
      <c r="AD25" s="5646"/>
      <c r="AE25" s="5646"/>
      <c r="AF25" s="5646"/>
      <c r="AG25" s="5646"/>
      <c r="AH25" s="3524"/>
      <c r="AI25" s="3524"/>
      <c r="AJ25" s="3524"/>
      <c r="AK25" s="3630" t="s">
        <v>740</v>
      </c>
      <c r="AL25" s="4639" t="s">
        <v>1873</v>
      </c>
      <c r="AM25" s="4638">
        <f>'13. Соц. поносимост'!L16</f>
        <v>13.565212722987171</v>
      </c>
      <c r="AN25" s="4638">
        <f>'13. Соц. поносимост'!M16</f>
        <v>13.863647402892891</v>
      </c>
      <c r="AO25" s="4638">
        <f>'13. Соц. поносимост'!N16</f>
        <v>14.29342047238257</v>
      </c>
      <c r="AP25" s="4638">
        <f>'13. Соц. поносимост'!O16</f>
        <v>14.736516507026426</v>
      </c>
      <c r="AQ25" s="4638">
        <f>'13. Соц. поносимост'!P16</f>
        <v>15.193348518744243</v>
      </c>
      <c r="AR25" s="4638">
        <f>'13. Соц. поносимост'!Q16</f>
        <v>15.664342322825314</v>
      </c>
      <c r="AS25" s="4638">
        <f>'13. Соц. поносимост'!R16</f>
        <v>16.149936934832894</v>
      </c>
    </row>
    <row r="26" spans="1:48" ht="20.45" customHeight="1">
      <c r="A26" s="3620" t="s">
        <v>1542</v>
      </c>
      <c r="B26" s="3730" t="s">
        <v>676</v>
      </c>
      <c r="C26" s="3731">
        <f>'5. Персонал'!U11</f>
        <v>0</v>
      </c>
      <c r="D26" s="3731">
        <f>'5. Персонал'!V11</f>
        <v>0</v>
      </c>
      <c r="E26" s="3731">
        <f>'5. Персонал'!W11</f>
        <v>0</v>
      </c>
      <c r="F26" s="3731">
        <f>'5. Персонал'!X11</f>
        <v>0</v>
      </c>
      <c r="G26" s="3731">
        <f>'5. Персонал'!Y11</f>
        <v>0</v>
      </c>
      <c r="H26" s="3731">
        <f>'5. Персонал'!Z11</f>
        <v>0</v>
      </c>
      <c r="I26" s="3731">
        <f>'5. Персонал'!AA11</f>
        <v>0</v>
      </c>
      <c r="J26" s="3731">
        <f>'5. Персонал'!AB11</f>
        <v>0</v>
      </c>
      <c r="K26" s="3731">
        <f>'5. Персонал'!AC11</f>
        <v>0</v>
      </c>
      <c r="L26" s="3731">
        <f>'5. Персонал'!AD11</f>
        <v>0</v>
      </c>
      <c r="M26" s="3731">
        <f>'5. Персонал'!AE11</f>
        <v>0</v>
      </c>
      <c r="N26" s="3731">
        <f>'5. Персонал'!AF11</f>
        <v>0</v>
      </c>
      <c r="O26" s="4523">
        <f t="shared" ref="O26:O34" si="28">IFERROR((H26-D26)/D26,0)</f>
        <v>0</v>
      </c>
      <c r="P26" s="4523">
        <f t="shared" ref="P26:P34" si="29">IFERROR((N26-J26)/J26,0)</f>
        <v>0</v>
      </c>
      <c r="Q26" s="3524"/>
      <c r="R26" s="4636" t="s">
        <v>1572</v>
      </c>
      <c r="S26" s="4635">
        <f>IFERROR('8. Ремонтна програма'!J19/'8. Ремонтна програма'!J$24,0)</f>
        <v>7.2072072072072071E-2</v>
      </c>
      <c r="T26" s="4635">
        <f>IFERROR('8. Ремонтна програма'!K19/'8. Ремонтна програма'!K$24,0)</f>
        <v>6.9679849340866296E-2</v>
      </c>
      <c r="U26" s="4635">
        <f>IFERROR('8. Ремонтна програма'!L19/'8. Ремонтна програма'!L$24,0)</f>
        <v>6.7652329749103943E-2</v>
      </c>
      <c r="V26" s="4635">
        <f>IFERROR('8. Ремонтна програма'!M19/'8. Ремонтна програма'!M$24,0)</f>
        <v>6.9155706406448872E-2</v>
      </c>
      <c r="W26" s="4635">
        <f>IFERROR('8. Ремонтна програма'!N19/'8. Ремонтна програма'!N$24,0)</f>
        <v>7.0400000000000004E-2</v>
      </c>
      <c r="X26" s="4635">
        <f>IFERROR('8. Ремонтна програма'!O19/'8. Ремонтна програма'!O$24,0)</f>
        <v>7.3170731707317069E-2</v>
      </c>
      <c r="Y26" s="3752">
        <f t="shared" si="23"/>
        <v>-3.3192090395480142E-2</v>
      </c>
      <c r="Z26" s="3752">
        <f t="shared" si="20"/>
        <v>5.0098879367171903E-2</v>
      </c>
      <c r="AA26" s="3524"/>
      <c r="AB26" s="5650"/>
      <c r="AC26" s="4528" t="str">
        <f>+'15. ОПП'!$C$7</f>
        <v>2027 г.</v>
      </c>
      <c r="AD26" s="4528" t="str">
        <f>+'15. ОПП'!$D$7</f>
        <v>2028 г.</v>
      </c>
      <c r="AE26" s="4528" t="str">
        <f>+'15. ОПП'!$E$7</f>
        <v>2029 г.</v>
      </c>
      <c r="AF26" s="4528" t="str">
        <f>+'15. ОПП'!$F$7</f>
        <v>2030 г.</v>
      </c>
      <c r="AG26" s="4528" t="str">
        <f>+'15. ОПП'!$G$7</f>
        <v>2031 г.</v>
      </c>
      <c r="AH26" s="3524"/>
      <c r="AI26" s="3524"/>
      <c r="AJ26" s="3524"/>
      <c r="AK26" s="3632" t="s">
        <v>1730</v>
      </c>
      <c r="AL26" s="4639" t="s">
        <v>1909</v>
      </c>
      <c r="AM26" s="4893">
        <f>'13. Соц. поносимост'!L17</f>
        <v>4.8447188296382757</v>
      </c>
      <c r="AN26" s="4893">
        <f>'13. Соц. поносимост'!M17</f>
        <v>4.9513026438903189</v>
      </c>
      <c r="AO26" s="4893">
        <f>'13. Соц. поносимост'!N17</f>
        <v>5.1047930258509178</v>
      </c>
      <c r="AP26" s="4893">
        <f>'13. Соц. поносимост'!O17</f>
        <v>5.2630416096522961</v>
      </c>
      <c r="AQ26" s="4893">
        <f>'13. Соц. поносимост'!P17</f>
        <v>5.4261958995515158</v>
      </c>
      <c r="AR26" s="4893">
        <f>'13. Соц. поносимост'!Q17</f>
        <v>5.5944079724376126</v>
      </c>
      <c r="AS26" s="4893">
        <f>'13. Соц. поносимост'!R17</f>
        <v>5.7678346195831773</v>
      </c>
    </row>
    <row r="27" spans="1:48" ht="22.5" customHeight="1">
      <c r="A27" s="3617" t="s">
        <v>1535</v>
      </c>
      <c r="B27" s="3734" t="s">
        <v>1540</v>
      </c>
      <c r="C27" s="3735">
        <f>'5. Персонал'!U14</f>
        <v>0</v>
      </c>
      <c r="D27" s="3735">
        <f>'5. Персонал'!V14</f>
        <v>0</v>
      </c>
      <c r="E27" s="3735">
        <f>'5. Персонал'!W14</f>
        <v>0</v>
      </c>
      <c r="F27" s="3735">
        <f>'5. Персонал'!X14</f>
        <v>0</v>
      </c>
      <c r="G27" s="3735">
        <f>'5. Персонал'!Y14</f>
        <v>0</v>
      </c>
      <c r="H27" s="3735">
        <f>'5. Персонал'!Z14</f>
        <v>0</v>
      </c>
      <c r="I27" s="3735">
        <f>'5. Персонал'!AA14</f>
        <v>0</v>
      </c>
      <c r="J27" s="3735">
        <f>'5. Персонал'!AB14</f>
        <v>0</v>
      </c>
      <c r="K27" s="3735">
        <f>'5. Персонал'!AC14</f>
        <v>0</v>
      </c>
      <c r="L27" s="3735">
        <f>'5. Персонал'!AD14</f>
        <v>0</v>
      </c>
      <c r="M27" s="3735">
        <f>'5. Персонал'!AE14</f>
        <v>0</v>
      </c>
      <c r="N27" s="3735">
        <f>'5. Персонал'!AF14</f>
        <v>0</v>
      </c>
      <c r="O27" s="4523">
        <f t="shared" si="28"/>
        <v>0</v>
      </c>
      <c r="P27" s="4523">
        <f t="shared" si="29"/>
        <v>0</v>
      </c>
      <c r="Q27" s="3524"/>
      <c r="R27" s="4636" t="s">
        <v>914</v>
      </c>
      <c r="S27" s="4635">
        <f>IFERROR('8. Ремонтна програма'!J20/'8. Ремонтна програма'!J$24,0)</f>
        <v>1.2188659247482777E-2</v>
      </c>
      <c r="T27" s="4635">
        <f>IFERROR('8. Ремонтна програма'!K20/'8. Ремонтна програма'!K$24,0)</f>
        <v>1.2241054613935969E-2</v>
      </c>
      <c r="U27" s="4635">
        <f>IFERROR('8. Ремонтна програма'!L20/'8. Ремонтна програма'!L$24,0)</f>
        <v>1.1648745519713262E-2</v>
      </c>
      <c r="V27" s="4635">
        <f>IFERROR('8. Ремонтна програма'!M20/'8. Ремонтна програма'!M$24,0)</f>
        <v>1.1030971574034791E-2</v>
      </c>
      <c r="W27" s="4635">
        <f>IFERROR('8. Ремонтна програма'!N20/'8. Ремонтна програма'!N$24,0)</f>
        <v>1.0800000000000001E-2</v>
      </c>
      <c r="X27" s="4635">
        <f>IFERROR('8. Ремонтна програма'!O20/'8. Ремонтна програма'!O$24,0)</f>
        <v>1.050656660412758E-2</v>
      </c>
      <c r="Y27" s="3752">
        <f t="shared" si="23"/>
        <v>4.2986981085728071E-3</v>
      </c>
      <c r="Z27" s="3752">
        <f t="shared" si="20"/>
        <v>-0.14169432818588537</v>
      </c>
      <c r="AA27" s="3524"/>
      <c r="AB27" s="3756" t="s">
        <v>302</v>
      </c>
      <c r="AC27" s="3650">
        <f>'16. Необходими приходи'!D49</f>
        <v>1.3721479846253808</v>
      </c>
      <c r="AD27" s="3650">
        <f>'16. Необходими приходи'!E49</f>
        <v>1.3721525812104058</v>
      </c>
      <c r="AE27" s="3650">
        <f>'16. Необходими приходи'!F49</f>
        <v>1.3721530460002511</v>
      </c>
      <c r="AF27" s="3650">
        <f>'16. Необходими приходи'!G49</f>
        <v>1.3721489994033464</v>
      </c>
      <c r="AG27" s="3650">
        <f>'16. Необходими приходи'!H49</f>
        <v>1.3721520076399585</v>
      </c>
      <c r="AH27" s="3524"/>
      <c r="AI27" s="3524"/>
      <c r="AJ27" s="3524"/>
      <c r="AK27" s="3632" t="s">
        <v>1731</v>
      </c>
      <c r="AL27" s="4639" t="s">
        <v>1910</v>
      </c>
      <c r="AM27" s="4643"/>
      <c r="AN27" s="4644"/>
      <c r="AO27" s="4645">
        <f>(AL5+AL7+AL9)*1.2</f>
        <v>2.0255999999999998</v>
      </c>
      <c r="AP27" s="4645">
        <f t="shared" ref="AP27:AS27" si="30">(AM5+AM7+AM9)*1.2</f>
        <v>2.2271999999999998</v>
      </c>
      <c r="AQ27" s="4645">
        <f t="shared" si="30"/>
        <v>2.5140000000000002</v>
      </c>
      <c r="AR27" s="4645">
        <f t="shared" si="30"/>
        <v>2.8332000000000002</v>
      </c>
      <c r="AS27" s="4645">
        <f t="shared" si="30"/>
        <v>3.4883999999999999</v>
      </c>
    </row>
    <row r="28" spans="1:48" ht="16.5" customHeight="1">
      <c r="A28" s="3623" t="s">
        <v>1545</v>
      </c>
      <c r="B28" s="3737" t="s">
        <v>170</v>
      </c>
      <c r="C28" s="3738"/>
      <c r="D28" s="3739">
        <f>IFERROR((D27-C27)/C27,0)</f>
        <v>0</v>
      </c>
      <c r="E28" s="3739">
        <f t="shared" ref="E28:H28" si="31">IFERROR((E27-D27)/D27,0)</f>
        <v>0</v>
      </c>
      <c r="F28" s="3739">
        <f t="shared" si="31"/>
        <v>0</v>
      </c>
      <c r="G28" s="3739">
        <f t="shared" si="31"/>
        <v>0</v>
      </c>
      <c r="H28" s="3739">
        <f t="shared" si="31"/>
        <v>0</v>
      </c>
      <c r="I28" s="3738"/>
      <c r="J28" s="3740">
        <f>IFERROR((J27-I27)/I27,0)</f>
        <v>0</v>
      </c>
      <c r="K28" s="3740">
        <f t="shared" ref="K28:N28" si="32">IFERROR((K27-J27)/J27,0)</f>
        <v>0</v>
      </c>
      <c r="L28" s="3740">
        <f t="shared" si="32"/>
        <v>0</v>
      </c>
      <c r="M28" s="3740">
        <f t="shared" si="32"/>
        <v>0</v>
      </c>
      <c r="N28" s="3740">
        <f t="shared" si="32"/>
        <v>0</v>
      </c>
      <c r="O28" s="4523">
        <f t="shared" si="28"/>
        <v>0</v>
      </c>
      <c r="P28" s="4523">
        <f t="shared" si="29"/>
        <v>0</v>
      </c>
      <c r="Q28" s="3524"/>
      <c r="R28" s="4634" t="s">
        <v>915</v>
      </c>
      <c r="S28" s="4635">
        <f>IFERROR('8. Ремонтна програма'!J21/'8. Ремонтна програма'!J$24,0)</f>
        <v>5.2994170641229468E-4</v>
      </c>
      <c r="T28" s="4635">
        <f>IFERROR('8. Ремонтна програма'!K21/'8. Ремонтна програма'!K$24,0)</f>
        <v>4.7080979284369113E-4</v>
      </c>
      <c r="U28" s="4635">
        <f>IFERROR('8. Ремонтна програма'!L21/'8. Ремонтна програма'!L$24,0)</f>
        <v>4.4802867383512545E-4</v>
      </c>
      <c r="V28" s="4635">
        <f>IFERROR('8. Ремонтна програма'!M21/'8. Ремонтна програма'!M$24,0)</f>
        <v>4.2426813746287653E-4</v>
      </c>
      <c r="W28" s="4635">
        <f>IFERROR('8. Ремонтна програма'!N21/'8. Ремонтна програма'!N$24,0)</f>
        <v>4.0000000000000002E-4</v>
      </c>
      <c r="X28" s="4635">
        <f>IFERROR('8. Ремонтна програма'!O21/'8. Ремонтна програма'!O$24,0)</f>
        <v>3.7523452157598499E-4</v>
      </c>
      <c r="Y28" s="3752">
        <f t="shared" si="23"/>
        <v>-0.1115819209039549</v>
      </c>
      <c r="Z28" s="3752">
        <f t="shared" si="20"/>
        <v>-0.20300187617260784</v>
      </c>
      <c r="AA28" s="3524"/>
      <c r="AB28" s="3756" t="s">
        <v>303</v>
      </c>
      <c r="AC28" s="3650">
        <f>'16. Необходими приходи'!D50</f>
        <v>1.6310394046379582</v>
      </c>
      <c r="AD28" s="3650">
        <f>'16. Необходими приходи'!E50</f>
        <v>1.6310392236150426</v>
      </c>
      <c r="AE28" s="3650">
        <f>'16. Необходими приходи'!F50</f>
        <v>1.6310397813628568</v>
      </c>
      <c r="AF28" s="3650">
        <f>'16. Необходими приходи'!G50</f>
        <v>1.6310429562350308</v>
      </c>
      <c r="AG28" s="3650">
        <f>'16. Необходими приходи'!H50</f>
        <v>1.6310416326109214</v>
      </c>
      <c r="AH28" s="3524"/>
      <c r="AI28" s="3524"/>
      <c r="AJ28" s="3524"/>
      <c r="AK28" s="3524"/>
      <c r="AL28" s="3524"/>
      <c r="AM28" s="3524"/>
      <c r="AN28" s="3524"/>
      <c r="AO28" s="3524"/>
      <c r="AP28" s="3524"/>
    </row>
    <row r="29" spans="1:48">
      <c r="A29" s="3623" t="s">
        <v>1544</v>
      </c>
      <c r="B29" s="3737" t="s">
        <v>170</v>
      </c>
      <c r="C29" s="3738"/>
      <c r="D29" s="3739">
        <f>IFERROR((D27-$C$27)/$C$27,0)</f>
        <v>0</v>
      </c>
      <c r="E29" s="3739">
        <f t="shared" ref="E29:H29" si="33">IFERROR((E27-$C$27)/$C$27,0)</f>
        <v>0</v>
      </c>
      <c r="F29" s="3739">
        <f t="shared" si="33"/>
        <v>0</v>
      </c>
      <c r="G29" s="3739">
        <f t="shared" si="33"/>
        <v>0</v>
      </c>
      <c r="H29" s="3739">
        <f t="shared" si="33"/>
        <v>0</v>
      </c>
      <c r="I29" s="3738"/>
      <c r="J29" s="3753">
        <f>IFERROR((J27-$I$27)/$I$27,0)</f>
        <v>0</v>
      </c>
      <c r="K29" s="3740">
        <f t="shared" ref="K29:N29" si="34">IFERROR((K27-$I$27)/$I$27,0)</f>
        <v>0</v>
      </c>
      <c r="L29" s="3739">
        <f t="shared" si="34"/>
        <v>0</v>
      </c>
      <c r="M29" s="3739">
        <f t="shared" si="34"/>
        <v>0</v>
      </c>
      <c r="N29" s="3739">
        <f t="shared" si="34"/>
        <v>0</v>
      </c>
      <c r="O29" s="4523">
        <f t="shared" si="28"/>
        <v>0</v>
      </c>
      <c r="P29" s="4523">
        <f t="shared" si="29"/>
        <v>0</v>
      </c>
      <c r="Q29" s="3524"/>
      <c r="R29" s="4634" t="s">
        <v>1350</v>
      </c>
      <c r="S29" s="4635">
        <f>IFERROR('8. Ремонтна програма'!J22/'8. Ремонтна програма'!J$24,0)</f>
        <v>1.1128775834658187E-2</v>
      </c>
      <c r="T29" s="4635">
        <f>IFERROR('8. Ремонтна програма'!K22/'8. Ремонтна програма'!K$24,0)</f>
        <v>1.0828625235404897E-2</v>
      </c>
      <c r="U29" s="4635">
        <f>IFERROR('8. Ремонтна програма'!L22/'8. Ремонтна програма'!L$24,0)</f>
        <v>1.0752688172043012E-2</v>
      </c>
      <c r="V29" s="4635">
        <f>IFERROR('8. Ремонтна програма'!M22/'8. Ремонтна програма'!M$24,0)</f>
        <v>1.0182435299109036E-2</v>
      </c>
      <c r="W29" s="4635">
        <f>IFERROR('8. Ремонтна програма'!N22/'8. Ремонтна програма'!N$24,0)</f>
        <v>1.04E-2</v>
      </c>
      <c r="X29" s="4635">
        <f>IFERROR('8. Ремонтна програма'!O22/'8. Ремонтна програма'!O$24,0)</f>
        <v>1.0131332082551596E-2</v>
      </c>
      <c r="Y29" s="3752">
        <f t="shared" si="23"/>
        <v>-2.6970675275759928E-2</v>
      </c>
      <c r="Z29" s="3752">
        <f t="shared" si="20"/>
        <v>-6.4393506811322235E-2</v>
      </c>
      <c r="AA29" s="3524"/>
      <c r="AB29" s="3756" t="s">
        <v>304</v>
      </c>
      <c r="AC29" s="3650">
        <f>'16. Необходими приходи'!D51</f>
        <v>2.189052759577172</v>
      </c>
      <c r="AD29" s="3650">
        <f>'16. Необходими приходи'!E51</f>
        <v>2.1890483892707913</v>
      </c>
      <c r="AE29" s="3650">
        <f>'16. Необходими приходи'!F51</f>
        <v>2.1890472272961778</v>
      </c>
      <c r="AF29" s="3650">
        <f>'16. Необходими приходи'!G51</f>
        <v>2.1890473053028652</v>
      </c>
      <c r="AG29" s="3650">
        <f>'16. Необходими приходи'!H51</f>
        <v>2.1890459515963898</v>
      </c>
      <c r="AH29" s="3524"/>
      <c r="AI29" s="3524"/>
      <c r="AJ29" s="3524"/>
      <c r="AK29" s="3524"/>
      <c r="AL29" s="3524"/>
      <c r="AM29" s="3524"/>
      <c r="AN29" s="3524"/>
      <c r="AO29" s="3524"/>
      <c r="AP29" s="3524"/>
    </row>
    <row r="30" spans="1:48" ht="19.5" customHeight="1">
      <c r="A30" s="3618" t="s">
        <v>1907</v>
      </c>
      <c r="B30" s="3743" t="s">
        <v>1904</v>
      </c>
      <c r="C30" s="3744">
        <f>'5. Персонал'!BR50</f>
        <v>0</v>
      </c>
      <c r="D30" s="3744">
        <f>'5. Персонал'!BS50</f>
        <v>0</v>
      </c>
      <c r="E30" s="3744">
        <f>'5. Персонал'!BT50</f>
        <v>0</v>
      </c>
      <c r="F30" s="3744">
        <f>'5. Персонал'!BU50</f>
        <v>0</v>
      </c>
      <c r="G30" s="3744">
        <f>'5. Персонал'!BV50</f>
        <v>0</v>
      </c>
      <c r="H30" s="3744">
        <f>'5. Персонал'!BW50</f>
        <v>0</v>
      </c>
      <c r="I30" s="3744">
        <f>'5. Персонал'!BX50</f>
        <v>0</v>
      </c>
      <c r="J30" s="3744">
        <f>'5. Персонал'!BY50</f>
        <v>0</v>
      </c>
      <c r="K30" s="3744">
        <f>'5. Персонал'!BZ50</f>
        <v>0</v>
      </c>
      <c r="L30" s="3744">
        <f>'5. Персонал'!CA50</f>
        <v>0</v>
      </c>
      <c r="M30" s="3744">
        <f>'5. Персонал'!CB50</f>
        <v>0</v>
      </c>
      <c r="N30" s="3744">
        <f>'5. Персонал'!CC50</f>
        <v>0</v>
      </c>
      <c r="O30" s="4523">
        <f t="shared" si="28"/>
        <v>0</v>
      </c>
      <c r="P30" s="4523">
        <f t="shared" si="29"/>
        <v>0</v>
      </c>
      <c r="Q30" s="3524"/>
      <c r="R30" s="4634" t="s">
        <v>1563</v>
      </c>
      <c r="S30" s="4635">
        <f>IFERROR('8. Ремонтна програма'!J23/'8. Ремонтна програма'!J$24,0)</f>
        <v>1.589825119236884E-3</v>
      </c>
      <c r="T30" s="4635">
        <f>IFERROR('8. Ремонтна програма'!K23/'8. Ремонтна програма'!K$24,0)</f>
        <v>1.8832391713747645E-3</v>
      </c>
      <c r="U30" s="4635">
        <f>IFERROR('8. Ремонтна програма'!L23/'8. Ремонтна програма'!L$24,0)</f>
        <v>1.7921146953405018E-3</v>
      </c>
      <c r="V30" s="4635">
        <f>IFERROR('8. Ремонтна програма'!M23/'8. Ремонтна програма'!M$24,0)</f>
        <v>1.6970725498515061E-3</v>
      </c>
      <c r="W30" s="4635">
        <f>IFERROR('8. Ремонтна програма'!N23/'8. Ремонтна програма'!N$24,0)</f>
        <v>1.6000000000000001E-3</v>
      </c>
      <c r="X30" s="4635">
        <f>IFERROR('8. Ремонтна програма'!O23/'8. Ремонтна програма'!O$24,0)</f>
        <v>1.876172607879925E-3</v>
      </c>
      <c r="Y30" s="3752">
        <f t="shared" si="23"/>
        <v>0.1845574387947268</v>
      </c>
      <c r="Z30" s="3752">
        <f t="shared" si="20"/>
        <v>-3.7523452157598091E-3</v>
      </c>
      <c r="AA30" s="3524"/>
      <c r="AB30" s="3757" t="s">
        <v>1711</v>
      </c>
      <c r="AC30" s="3755"/>
      <c r="AD30" s="3755"/>
      <c r="AE30" s="3755"/>
      <c r="AF30" s="3755"/>
      <c r="AG30" s="3755"/>
      <c r="AH30" s="3524"/>
      <c r="AI30" s="3524"/>
      <c r="AJ30" s="3524"/>
      <c r="AK30" s="5646" t="s">
        <v>1908</v>
      </c>
      <c r="AL30" s="5647" t="str">
        <f>+'15. ОПП'!$C$7</f>
        <v>2027 г.</v>
      </c>
      <c r="AM30" s="5647" t="str">
        <f>+'15. ОПП'!$D$7</f>
        <v>2028 г.</v>
      </c>
      <c r="AN30" s="5647" t="str">
        <f>+'15. ОПП'!$E$7</f>
        <v>2029 г.</v>
      </c>
      <c r="AO30" s="5647" t="str">
        <f>+'15. ОПП'!$F$7</f>
        <v>2030 г.</v>
      </c>
      <c r="AP30" s="5647" t="str">
        <f>+'15. ОПП'!$G$7</f>
        <v>2031 г.</v>
      </c>
      <c r="AR30" s="5647" t="str">
        <f>+'15. ОПП'!$C$7</f>
        <v>2027 г.</v>
      </c>
      <c r="AS30" s="5647" t="str">
        <f>+'15. ОПП'!$D$7</f>
        <v>2028 г.</v>
      </c>
      <c r="AT30" s="5647" t="str">
        <f>+'15. ОПП'!$E$7</f>
        <v>2029 г.</v>
      </c>
      <c r="AU30" s="5647" t="str">
        <f>+'15. ОПП'!$F$7</f>
        <v>2030 г.</v>
      </c>
      <c r="AV30" s="5647" t="str">
        <f>+'15. ОПП'!$G$7</f>
        <v>2031 г.</v>
      </c>
    </row>
    <row r="31" spans="1:48" ht="13.5" customHeight="1">
      <c r="A31" s="3623" t="s">
        <v>1545</v>
      </c>
      <c r="B31" s="3737" t="s">
        <v>170</v>
      </c>
      <c r="C31" s="3738"/>
      <c r="D31" s="3739">
        <f>IFERROR((D30-C30)/C30,0)</f>
        <v>0</v>
      </c>
      <c r="E31" s="3739">
        <f t="shared" ref="E31:H31" si="35">IFERROR((E30-D30)/D30,0)</f>
        <v>0</v>
      </c>
      <c r="F31" s="3739">
        <f t="shared" si="35"/>
        <v>0</v>
      </c>
      <c r="G31" s="3739">
        <f t="shared" si="35"/>
        <v>0</v>
      </c>
      <c r="H31" s="3739">
        <f t="shared" si="35"/>
        <v>0</v>
      </c>
      <c r="I31" s="3738"/>
      <c r="J31" s="3740">
        <f>IFERROR((J30-I30)/I30,0)</f>
        <v>0</v>
      </c>
      <c r="K31" s="3740">
        <f t="shared" ref="K31:N31" si="36">IFERROR((K30-J30)/J30,0)</f>
        <v>0</v>
      </c>
      <c r="L31" s="3740">
        <f t="shared" si="36"/>
        <v>0</v>
      </c>
      <c r="M31" s="3740">
        <f t="shared" si="36"/>
        <v>0</v>
      </c>
      <c r="N31" s="3740">
        <f t="shared" si="36"/>
        <v>0</v>
      </c>
      <c r="O31" s="4523">
        <f t="shared" si="28"/>
        <v>0</v>
      </c>
      <c r="P31" s="4523">
        <f t="shared" si="29"/>
        <v>0</v>
      </c>
      <c r="Q31" s="3524"/>
      <c r="R31" s="3524"/>
      <c r="S31" s="3524"/>
      <c r="T31" s="3524"/>
      <c r="U31" s="3524"/>
      <c r="V31" s="3524"/>
      <c r="W31" s="3524"/>
      <c r="X31" s="3524"/>
      <c r="Y31" s="3524"/>
      <c r="Z31" s="3524"/>
      <c r="AA31" s="3524"/>
      <c r="AB31" s="5645" t="s">
        <v>1724</v>
      </c>
      <c r="AC31" s="5646" t="s">
        <v>184</v>
      </c>
      <c r="AD31" s="5646"/>
      <c r="AE31" s="5646"/>
      <c r="AF31" s="5646"/>
      <c r="AG31" s="5646"/>
      <c r="AH31" s="4524"/>
      <c r="AI31" s="4524"/>
      <c r="AJ31" s="3524"/>
      <c r="AK31" s="5646"/>
      <c r="AL31" s="5648" t="str">
        <f>+'15. ОПП'!$C$7</f>
        <v>2027 г.</v>
      </c>
      <c r="AM31" s="5648" t="str">
        <f>+'15. ОПП'!$D$7</f>
        <v>2028 г.</v>
      </c>
      <c r="AN31" s="5648" t="str">
        <f>+'15. ОПП'!$E$7</f>
        <v>2029 г.</v>
      </c>
      <c r="AO31" s="5648" t="str">
        <f>+'15. ОПП'!$F$7</f>
        <v>2030 г.</v>
      </c>
      <c r="AP31" s="5648" t="str">
        <f>+'15. ОПП'!$G$7</f>
        <v>2031 г.</v>
      </c>
      <c r="AR31" s="5648" t="str">
        <f>+'15. ОПП'!$C$7</f>
        <v>2027 г.</v>
      </c>
      <c r="AS31" s="5648" t="str">
        <f>+'15. ОПП'!$D$7</f>
        <v>2028 г.</v>
      </c>
      <c r="AT31" s="5648" t="str">
        <f>+'15. ОПП'!$E$7</f>
        <v>2029 г.</v>
      </c>
      <c r="AU31" s="5648" t="str">
        <f>+'15. ОПП'!$F$7</f>
        <v>2030 г.</v>
      </c>
      <c r="AV31" s="5648" t="str">
        <f>+'15. ОПП'!$G$7</f>
        <v>2031 г.</v>
      </c>
    </row>
    <row r="32" spans="1:48">
      <c r="A32" s="3622" t="s">
        <v>1543</v>
      </c>
      <c r="B32" s="3737" t="s">
        <v>170</v>
      </c>
      <c r="C32" s="3738"/>
      <c r="D32" s="3739">
        <f>IFERROR((D30-$C$30)/$C$30,0)</f>
        <v>0</v>
      </c>
      <c r="E32" s="3739">
        <f t="shared" ref="E32:H32" si="37">IFERROR((E30-$C$30)/$C$30,0)</f>
        <v>0</v>
      </c>
      <c r="F32" s="3739">
        <f t="shared" si="37"/>
        <v>0</v>
      </c>
      <c r="G32" s="3739">
        <f t="shared" si="37"/>
        <v>0</v>
      </c>
      <c r="H32" s="3739">
        <f t="shared" si="37"/>
        <v>0</v>
      </c>
      <c r="I32" s="3738"/>
      <c r="J32" s="3739">
        <f>IFERROR((J30-$I$30)/$I$30,0)</f>
        <v>0</v>
      </c>
      <c r="K32" s="3740">
        <f t="shared" ref="K32:N32" si="38">IFERROR((K30-$I$30)/$I$30,0)</f>
        <v>0</v>
      </c>
      <c r="L32" s="3739">
        <f t="shared" si="38"/>
        <v>0</v>
      </c>
      <c r="M32" s="3739">
        <f t="shared" si="38"/>
        <v>0</v>
      </c>
      <c r="N32" s="3739">
        <f t="shared" si="38"/>
        <v>0</v>
      </c>
      <c r="O32" s="4523">
        <f t="shared" si="28"/>
        <v>0</v>
      </c>
      <c r="P32" s="4523">
        <f t="shared" si="29"/>
        <v>0</v>
      </c>
      <c r="Q32" s="3524"/>
      <c r="R32" s="3524"/>
      <c r="S32" s="3524"/>
      <c r="T32" s="3524"/>
      <c r="U32" s="3524"/>
      <c r="V32" s="3524"/>
      <c r="W32" s="3524"/>
      <c r="X32" s="3524"/>
      <c r="Y32" s="3524"/>
      <c r="Z32" s="3524"/>
      <c r="AA32" s="3524"/>
      <c r="AB32" s="5645"/>
      <c r="AC32" s="4528" t="str">
        <f>+'15. ОПП'!$C$7</f>
        <v>2027 г.</v>
      </c>
      <c r="AD32" s="4528" t="str">
        <f>+'15. ОПП'!$D$7</f>
        <v>2028 г.</v>
      </c>
      <c r="AE32" s="4528" t="str">
        <f>+'15. ОПП'!$E$7</f>
        <v>2029 г.</v>
      </c>
      <c r="AF32" s="4528" t="str">
        <f>+'15. ОПП'!$F$7</f>
        <v>2030 г.</v>
      </c>
      <c r="AG32" s="4528" t="str">
        <f>+'15. ОПП'!$G$7</f>
        <v>2031 г.</v>
      </c>
      <c r="AH32" s="4524"/>
      <c r="AI32" s="4524"/>
      <c r="AJ32" s="3524"/>
      <c r="AK32" s="5651" t="s">
        <v>207</v>
      </c>
      <c r="AL32" s="5652"/>
      <c r="AM32" s="5652"/>
      <c r="AN32" s="5652"/>
      <c r="AO32" s="5652"/>
      <c r="AP32" s="5653"/>
      <c r="AR32" s="4894"/>
      <c r="AS32" s="4894"/>
      <c r="AT32" s="4894"/>
      <c r="AU32" s="4894"/>
      <c r="AV32" s="4895"/>
    </row>
    <row r="33" spans="1:48" ht="21" customHeight="1">
      <c r="A33" s="3621" t="s">
        <v>1547</v>
      </c>
      <c r="B33" s="3748" t="s">
        <v>170</v>
      </c>
      <c r="C33" s="3615">
        <f>'5. Персонал'!U62</f>
        <v>0</v>
      </c>
      <c r="D33" s="3615">
        <f>'5. Персонал'!V62</f>
        <v>0</v>
      </c>
      <c r="E33" s="3615">
        <f>'5. Персонал'!W62</f>
        <v>0</v>
      </c>
      <c r="F33" s="3615">
        <f>'5. Персонал'!X62</f>
        <v>0</v>
      </c>
      <c r="G33" s="3615">
        <f>'5. Персонал'!Y62</f>
        <v>0</v>
      </c>
      <c r="H33" s="3615">
        <f>'5. Персонал'!Z62</f>
        <v>0</v>
      </c>
      <c r="I33" s="3615">
        <f>'5. Персонал'!AA62</f>
        <v>0</v>
      </c>
      <c r="J33" s="3615">
        <f>'5. Персонал'!AB62</f>
        <v>0</v>
      </c>
      <c r="K33" s="3615">
        <f>'5. Персонал'!AC62</f>
        <v>0</v>
      </c>
      <c r="L33" s="3615">
        <f>'5. Персонал'!AD62</f>
        <v>0</v>
      </c>
      <c r="M33" s="3615">
        <f>'5. Персонал'!AE62</f>
        <v>0</v>
      </c>
      <c r="N33" s="3615">
        <f>'5. Персонал'!AF62</f>
        <v>0</v>
      </c>
      <c r="O33" s="4523">
        <f t="shared" si="28"/>
        <v>0</v>
      </c>
      <c r="P33" s="4523">
        <f t="shared" si="29"/>
        <v>0</v>
      </c>
      <c r="Q33" s="3524"/>
      <c r="R33" s="4632" t="s">
        <v>1859</v>
      </c>
      <c r="S33" s="4633" t="str">
        <f>+'15. ОПП'!$B$7</f>
        <v>2024 г.</v>
      </c>
      <c r="T33" s="4633" t="str">
        <f>+'15. ОПП'!$C$7</f>
        <v>2027 г.</v>
      </c>
      <c r="U33" s="4633" t="str">
        <f>+'15. ОПП'!$D$7</f>
        <v>2028 г.</v>
      </c>
      <c r="V33" s="4633" t="str">
        <f>+'15. ОПП'!$E$7</f>
        <v>2029 г.</v>
      </c>
      <c r="W33" s="4633" t="str">
        <f>+'15. ОПП'!$F$7</f>
        <v>2030 г.</v>
      </c>
      <c r="X33" s="4633" t="str">
        <f>+'15. ОПП'!$G$7</f>
        <v>2031 г.</v>
      </c>
      <c r="Y33" s="4633" t="str">
        <f>+Y16</f>
        <v>Изменение 2027 г.спрямо 2024 г.</v>
      </c>
      <c r="Z33" s="4633" t="str">
        <f>+Z16</f>
        <v>Изменение 2031 г.спрямо 2027 г.</v>
      </c>
      <c r="AA33" s="3524"/>
      <c r="AB33" s="4542" t="s">
        <v>1707</v>
      </c>
      <c r="AC33" s="3779">
        <f>'16. Необходими приходи'!D55</f>
        <v>208590</v>
      </c>
      <c r="AD33" s="3779">
        <f>'16. Необходими приходи'!E55</f>
        <v>201910</v>
      </c>
      <c r="AE33" s="3779">
        <f>'16. Необходими приходи'!F55</f>
        <v>195180</v>
      </c>
      <c r="AF33" s="3779">
        <f>'16. Необходими приходи'!G55</f>
        <v>192485</v>
      </c>
      <c r="AG33" s="3779">
        <f>'16. Необходими приходи'!H55</f>
        <v>189795</v>
      </c>
      <c r="AH33" s="4524"/>
      <c r="AI33" s="4524"/>
      <c r="AJ33" s="3524"/>
      <c r="AK33" s="1488" t="s">
        <v>608</v>
      </c>
      <c r="AL33" s="3736">
        <f>AR33</f>
        <v>0.998</v>
      </c>
      <c r="AM33" s="3736">
        <f t="shared" ref="AM33:AP33" si="39">AS33</f>
        <v>1.0840000000000001</v>
      </c>
      <c r="AN33" s="3736">
        <f t="shared" si="39"/>
        <v>1.2250000000000001</v>
      </c>
      <c r="AO33" s="3736">
        <f t="shared" si="39"/>
        <v>1.3740000000000001</v>
      </c>
      <c r="AP33" s="3736">
        <f t="shared" si="39"/>
        <v>1.5620000000000001</v>
      </c>
      <c r="AR33" s="3736">
        <f>AL5</f>
        <v>0.998</v>
      </c>
      <c r="AS33" s="3736">
        <f>AM5</f>
        <v>1.0840000000000001</v>
      </c>
      <c r="AT33" s="3736">
        <f>AN5</f>
        <v>1.2250000000000001</v>
      </c>
      <c r="AU33" s="3736">
        <f>AO5</f>
        <v>1.3740000000000001</v>
      </c>
      <c r="AV33" s="3736">
        <f>AP5</f>
        <v>1.5620000000000001</v>
      </c>
    </row>
    <row r="34" spans="1:48" ht="18.75" customHeight="1">
      <c r="A34" s="3621" t="s">
        <v>1546</v>
      </c>
      <c r="B34" s="3748" t="s">
        <v>170</v>
      </c>
      <c r="C34" s="3615">
        <f>'5. Персонал'!U63</f>
        <v>0</v>
      </c>
      <c r="D34" s="3615">
        <f>'5. Персонал'!V63</f>
        <v>0</v>
      </c>
      <c r="E34" s="3615">
        <f>'5. Персонал'!W63</f>
        <v>0</v>
      </c>
      <c r="F34" s="3615">
        <f>'5. Персонал'!X63</f>
        <v>0</v>
      </c>
      <c r="G34" s="3615">
        <f>'5. Персонал'!Y63</f>
        <v>0</v>
      </c>
      <c r="H34" s="3615">
        <f>'5. Персонал'!Z63</f>
        <v>0</v>
      </c>
      <c r="I34" s="3615">
        <f>'5. Персонал'!AA63</f>
        <v>0</v>
      </c>
      <c r="J34" s="3615">
        <f>'5. Персонал'!AB63</f>
        <v>0</v>
      </c>
      <c r="K34" s="3615">
        <f>'5. Персонал'!AC63</f>
        <v>0</v>
      </c>
      <c r="L34" s="3615">
        <f>'5. Персонал'!AD63</f>
        <v>0</v>
      </c>
      <c r="M34" s="3615">
        <f>'5. Персонал'!AE63</f>
        <v>0</v>
      </c>
      <c r="N34" s="3615">
        <f>'5. Персонал'!AF63</f>
        <v>0</v>
      </c>
      <c r="O34" s="4523">
        <f t="shared" si="28"/>
        <v>0</v>
      </c>
      <c r="P34" s="4523">
        <f t="shared" si="29"/>
        <v>0</v>
      </c>
      <c r="Q34" s="3524"/>
      <c r="R34" s="4636" t="s">
        <v>1575</v>
      </c>
      <c r="S34" s="4635">
        <f>IFERROR('8. Ремонтна програма'!J41/'8. Ремонтна програма'!J$54,0)</f>
        <v>0</v>
      </c>
      <c r="T34" s="4635">
        <f>IFERROR('8. Ремонтна програма'!K41/'8. Ремонтна програма'!K$54,0)</f>
        <v>2724.0816326530612</v>
      </c>
      <c r="U34" s="4635">
        <f>IFERROR('8. Ремонтна програма'!L41/'8. Ремонтна програма'!L$54,0)</f>
        <v>10068.6</v>
      </c>
      <c r="V34" s="4635">
        <f>IFERROR('8. Ремонтна програма'!M41/'8. Ремонтна програма'!M$54,0)</f>
        <v>9018.6666666666661</v>
      </c>
      <c r="W34" s="4635">
        <f>IFERROR('8. Ремонтна програма'!N41/'8. Ремонтна програма'!N$54,0)</f>
        <v>8332.5714285714275</v>
      </c>
      <c r="X34" s="4635">
        <f>IFERROR('8. Ремонтна програма'!O41/'8. Ремонтна програма'!O$54,0)</f>
        <v>7902.6249999999991</v>
      </c>
      <c r="Y34" s="3752">
        <f t="shared" ref="Y34:Y45" si="40">IFERROR((T34-S34)/S34,0)</f>
        <v>0</v>
      </c>
      <c r="Z34" s="3752">
        <f t="shared" ref="Z34:Z55" si="41">IFERROR((X34-T34)/T34,0)</f>
        <v>1.9010235615822593</v>
      </c>
      <c r="AA34" s="3524"/>
      <c r="AB34" s="4542" t="s">
        <v>1708</v>
      </c>
      <c r="AC34" s="3779">
        <f>'16. Необходими приходи'!D56</f>
        <v>29738</v>
      </c>
      <c r="AD34" s="3779">
        <f>'16. Необходими приходи'!E56</f>
        <v>28785</v>
      </c>
      <c r="AE34" s="3779">
        <f>'16. Необходими приходи'!F56</f>
        <v>27826</v>
      </c>
      <c r="AF34" s="3779">
        <f>'16. Необходими приходи'!G56</f>
        <v>27445</v>
      </c>
      <c r="AG34" s="3779">
        <f>'16. Необходими приходи'!H56</f>
        <v>27060</v>
      </c>
      <c r="AH34" s="4524"/>
      <c r="AI34" s="4524"/>
      <c r="AJ34" s="3524"/>
      <c r="AK34" s="3632" t="s">
        <v>1927</v>
      </c>
      <c r="AL34" s="4645">
        <f>IFERROR(ROUND(AR34,5),"-")</f>
        <v>0.95252000000000003</v>
      </c>
      <c r="AM34" s="4903">
        <f t="shared" ref="AM34:AM39" si="42">IFERROR(ROUND(AS34,5),"-")</f>
        <v>0.9788</v>
      </c>
      <c r="AN34" s="4903">
        <f t="shared" ref="AN34:AN39" si="43">IFERROR(ROUND(AT34,5),"-")</f>
        <v>1.07437</v>
      </c>
      <c r="AO34" s="4903">
        <f t="shared" ref="AO34:AO39" si="44">IFERROR(ROUND(AU34,5),"-")</f>
        <v>1.2159199999999999</v>
      </c>
      <c r="AP34" s="4903">
        <f t="shared" ref="AP34:AP39" si="45">IFERROR(ROUND(AV34,5),"-")</f>
        <v>1.3733900000000001</v>
      </c>
      <c r="AR34" s="4645">
        <f>IFERROR(('12. Разходи'!BK88-'12. Разходи'!BK89)/'16. Необходими приходи'!D12,"-")</f>
        <v>0.95252128591599983</v>
      </c>
      <c r="AS34" s="4903">
        <f>IFERROR(('12. Разходи'!BK88-'12. Разходи'!BK89)/'16. Необходими приходи'!E12,"-")</f>
        <v>0.97880024331605797</v>
      </c>
      <c r="AT34" s="4903">
        <f>IFERROR(('12. Разходи'!BL88-'12. Разходи'!BL89)/'16. Необходими приходи'!F12,"-")</f>
        <v>1.0743656912704633</v>
      </c>
      <c r="AU34" s="4903">
        <f>IFERROR(('12. Разходи'!BM88-'12. Разходи'!BM89)/'16. Необходими приходи'!G12,"-")</f>
        <v>1.215924420737913</v>
      </c>
      <c r="AV34" s="4903">
        <f>IFERROR(('12. Разходи'!BN88-'12. Разходи'!BN89)/'16. Необходими приходи'!H12,"-")</f>
        <v>1.3733872509765188</v>
      </c>
    </row>
    <row r="35" spans="1:48" ht="14.25" customHeight="1">
      <c r="A35" s="5647" t="s">
        <v>2</v>
      </c>
      <c r="B35" s="5656" t="s">
        <v>1537</v>
      </c>
      <c r="C35" s="5658" t="s">
        <v>1538</v>
      </c>
      <c r="D35" s="5659"/>
      <c r="E35" s="5659"/>
      <c r="F35" s="5659"/>
      <c r="G35" s="5659"/>
      <c r="H35" s="5660"/>
      <c r="I35" s="5661" t="s">
        <v>1539</v>
      </c>
      <c r="J35" s="5662"/>
      <c r="K35" s="5662"/>
      <c r="L35" s="5662"/>
      <c r="M35" s="5662"/>
      <c r="N35" s="5663"/>
      <c r="O35" s="5647" t="str">
        <f>CONCATENATE("Изменение ", H36,"спрямо ",D36)</f>
        <v>Изменение 2031 г.спрямо 2027 г.</v>
      </c>
      <c r="P35" s="5647" t="str">
        <f>CONCATENATE("Изменение ", N36,"спрямо ",J36)</f>
        <v>Изменение 2031 г.спрямо 2027 г.</v>
      </c>
      <c r="Q35" s="3524"/>
      <c r="R35" s="4634" t="s">
        <v>1574</v>
      </c>
      <c r="S35" s="4635">
        <f>IFERROR('8. Ремонтна програма'!J42/'8. Ремонтна програма'!J$54,0)</f>
        <v>0</v>
      </c>
      <c r="T35" s="4635">
        <f>IFERROR('8. Ремонтна програма'!K42/'8. Ремонтна програма'!K$54,0)</f>
        <v>1400.4081632653063</v>
      </c>
      <c r="U35" s="4635">
        <f>IFERROR('8. Ремонтна програма'!L42/'8. Ремонтна програма'!L$54,0)</f>
        <v>5328.4000000000005</v>
      </c>
      <c r="V35" s="4635">
        <f>IFERROR('8. Ремонтна програма'!M42/'8. Ремонтна програма'!M$54,0)</f>
        <v>4717</v>
      </c>
      <c r="W35" s="4635">
        <f>IFERROR('8. Ремонтна програма'!N42/'8. Ремонтна програма'!N$54,0)</f>
        <v>4337.1428571428569</v>
      </c>
      <c r="X35" s="4635">
        <f>IFERROR('8. Ремонтна програма'!O42/'8. Ремонтна програма'!O$54,0)</f>
        <v>4178.125</v>
      </c>
      <c r="Y35" s="3752">
        <f t="shared" si="40"/>
        <v>0</v>
      </c>
      <c r="Z35" s="3752">
        <f t="shared" si="41"/>
        <v>1.9835051734188283</v>
      </c>
      <c r="AA35" s="3524"/>
      <c r="AB35" s="4542" t="s">
        <v>1709</v>
      </c>
      <c r="AC35" s="3779">
        <f>'16. Необходими приходи'!D57</f>
        <v>144901</v>
      </c>
      <c r="AD35" s="3779">
        <f>'16. Необходими приходи'!E57</f>
        <v>140255</v>
      </c>
      <c r="AE35" s="3779">
        <f>'16. Необходими приходи'!F57</f>
        <v>135579</v>
      </c>
      <c r="AF35" s="3779">
        <f>'16. Необходими приходи'!G57</f>
        <v>133709</v>
      </c>
      <c r="AG35" s="3779">
        <f>'16. Необходими приходи'!H57</f>
        <v>131838</v>
      </c>
      <c r="AH35" s="4524"/>
      <c r="AI35" s="4524"/>
      <c r="AJ35" s="3524"/>
      <c r="AK35" s="3630" t="s">
        <v>1928</v>
      </c>
      <c r="AL35" s="4902">
        <f t="shared" ref="AL35:AL39" si="46">IFERROR(ROUND(AR35,5),"-")</f>
        <v>0.19550999999999999</v>
      </c>
      <c r="AM35" s="4904">
        <f t="shared" si="42"/>
        <v>0.17526</v>
      </c>
      <c r="AN35" s="4904">
        <f t="shared" si="43"/>
        <v>0.17946000000000001</v>
      </c>
      <c r="AO35" s="4904">
        <f t="shared" si="44"/>
        <v>0.18354999999999999</v>
      </c>
      <c r="AP35" s="4904">
        <f t="shared" si="45"/>
        <v>0.19821</v>
      </c>
      <c r="AR35" s="4902">
        <f>IFERROR('12. Разходи'!BK55/'16. Необходими приходи'!D12,"-")</f>
        <v>0.19550831749591818</v>
      </c>
      <c r="AS35" s="4904">
        <f>IFERROR('12. Разходи'!BL55/'16. Необходими приходи'!E12,"-")</f>
        <v>0.1752597098165854</v>
      </c>
      <c r="AT35" s="4904">
        <f>IFERROR('12. Разходи'!BM55/'16. Необходими приходи'!F12,"-")</f>
        <v>0.17945919121571202</v>
      </c>
      <c r="AU35" s="4904">
        <f>IFERROR('12. Разходи'!BN55/'16. Необходими приходи'!G12,"-")</f>
        <v>0.18354556900628682</v>
      </c>
      <c r="AV35" s="4904">
        <f>IFERROR('12. Разходи'!BO55/'16. Необходими приходи'!H12,"-")</f>
        <v>0.19821412723904092</v>
      </c>
    </row>
    <row r="36" spans="1:48" ht="12.75" customHeight="1">
      <c r="A36" s="5648"/>
      <c r="B36" s="5657"/>
      <c r="C36" s="4627" t="str">
        <f>+'15. ОПП'!$B$7</f>
        <v>2024 г.</v>
      </c>
      <c r="D36" s="4627" t="str">
        <f>+'15. ОПП'!$C$7</f>
        <v>2027 г.</v>
      </c>
      <c r="E36" s="4627" t="str">
        <f>+'15. ОПП'!$D$7</f>
        <v>2028 г.</v>
      </c>
      <c r="F36" s="4627" t="str">
        <f>+'15. ОПП'!$E$7</f>
        <v>2029 г.</v>
      </c>
      <c r="G36" s="4627" t="str">
        <f>+'15. ОПП'!$F$7</f>
        <v>2030 г.</v>
      </c>
      <c r="H36" s="4627" t="str">
        <f>+'15. ОПП'!$G$7</f>
        <v>2031 г.</v>
      </c>
      <c r="I36" s="4627" t="str">
        <f>+'15. ОПП'!$B$7</f>
        <v>2024 г.</v>
      </c>
      <c r="J36" s="4627" t="str">
        <f>+'15. ОПП'!$C$7</f>
        <v>2027 г.</v>
      </c>
      <c r="K36" s="4627" t="str">
        <f>+'15. ОПП'!$D$7</f>
        <v>2028 г.</v>
      </c>
      <c r="L36" s="4627" t="str">
        <f>+'15. ОПП'!$E$7</f>
        <v>2029 г.</v>
      </c>
      <c r="M36" s="4627" t="str">
        <f>+'15. ОПП'!$F$7</f>
        <v>2030 г.</v>
      </c>
      <c r="N36" s="4627" t="str">
        <f>+'15. ОПП'!$G$7</f>
        <v>2031 г.</v>
      </c>
      <c r="O36" s="5648"/>
      <c r="P36" s="5648"/>
      <c r="Q36" s="3524"/>
      <c r="R36" s="4634" t="s">
        <v>1576</v>
      </c>
      <c r="S36" s="4635">
        <f>IFERROR('8. Ремонтна програма'!J43/'8. Ремонтна програма'!J$54,0)</f>
        <v>0</v>
      </c>
      <c r="T36" s="4635">
        <f>IFERROR('8. Ремонтна програма'!K43/'8. Ремонтна програма'!K$54,0)</f>
        <v>0</v>
      </c>
      <c r="U36" s="4635">
        <f>IFERROR('8. Ремонтна програма'!L43/'8. Ремонтна програма'!L$54,0)</f>
        <v>0</v>
      </c>
      <c r="V36" s="4635">
        <f>IFERROR('8. Ремонтна програма'!M43/'8. Ремонтна програма'!M$54,0)</f>
        <v>0</v>
      </c>
      <c r="W36" s="4635">
        <f>IFERROR('8. Ремонтна програма'!N43/'8. Ремонтна програма'!N$54,0)</f>
        <v>0</v>
      </c>
      <c r="X36" s="4635">
        <f>IFERROR('8. Ремонтна програма'!O43/'8. Ремонтна програма'!O$54,0)</f>
        <v>0</v>
      </c>
      <c r="Y36" s="3752">
        <f t="shared" si="40"/>
        <v>0</v>
      </c>
      <c r="Z36" s="3752">
        <f t="shared" si="41"/>
        <v>0</v>
      </c>
      <c r="AA36" s="3524"/>
      <c r="AB36" s="4646" t="s">
        <v>1710</v>
      </c>
      <c r="AC36" s="3904">
        <f>SUM(AC33:AC35)</f>
        <v>383229</v>
      </c>
      <c r="AD36" s="3904">
        <f t="shared" ref="AD36:AG36" si="47">SUM(AD33:AD35)</f>
        <v>370950</v>
      </c>
      <c r="AE36" s="3904">
        <f t="shared" si="47"/>
        <v>358585</v>
      </c>
      <c r="AF36" s="3904">
        <f t="shared" si="47"/>
        <v>353639</v>
      </c>
      <c r="AG36" s="3904">
        <f t="shared" si="47"/>
        <v>348693</v>
      </c>
      <c r="AH36" s="4524"/>
      <c r="AI36" s="4524"/>
      <c r="AJ36" s="3524"/>
      <c r="AK36" s="3630" t="s">
        <v>1929</v>
      </c>
      <c r="AL36" s="4902">
        <f t="shared" si="46"/>
        <v>0.62161</v>
      </c>
      <c r="AM36" s="4904">
        <f t="shared" si="42"/>
        <v>0.72463999999999995</v>
      </c>
      <c r="AN36" s="4904">
        <f t="shared" si="43"/>
        <v>0.85592000000000001</v>
      </c>
      <c r="AO36" s="4904">
        <f t="shared" si="44"/>
        <v>0.99655000000000005</v>
      </c>
      <c r="AP36" s="4904">
        <f t="shared" si="45"/>
        <v>1.16496</v>
      </c>
      <c r="AR36" s="4902">
        <f>IFERROR(('12. Разходи'!BK59+'12. Разходи'!BK63)/'16. Необходими приходи'!D12,"-")</f>
        <v>0.62161337312867149</v>
      </c>
      <c r="AS36" s="4904">
        <f>IFERROR(('12. Разходи'!BL59+'12. Разходи'!BL63)/'16. Необходими приходи'!E12,"-")</f>
        <v>0.72464083996230055</v>
      </c>
      <c r="AT36" s="4904">
        <f>IFERROR(('12. Разходи'!BM59+'12. Разходи'!BM63)/'16. Необходими приходи'!F12,"-")</f>
        <v>0.85592425754728274</v>
      </c>
      <c r="AU36" s="4904">
        <f>IFERROR(('12. Разходи'!BN59+'12. Разходи'!BN63)/'16. Необходими приходи'!G12,"-")</f>
        <v>0.99654916819809647</v>
      </c>
      <c r="AV36" s="4904">
        <f>IFERROR(('12. Разходи'!BO59+'12. Разходи'!BO63)/'16. Необходими приходи'!H12,"-")</f>
        <v>1.1649644274506767</v>
      </c>
    </row>
    <row r="37" spans="1:48" ht="15" customHeight="1">
      <c r="A37" s="3620" t="s">
        <v>1542</v>
      </c>
      <c r="B37" s="3730" t="s">
        <v>676</v>
      </c>
      <c r="C37" s="3731">
        <f>C4+C26+I26</f>
        <v>331</v>
      </c>
      <c r="D37" s="3731">
        <f t="shared" ref="D37:H38" si="48">D4+D26+J26</f>
        <v>329</v>
      </c>
      <c r="E37" s="3731">
        <f t="shared" si="48"/>
        <v>321</v>
      </c>
      <c r="F37" s="3731">
        <f t="shared" si="48"/>
        <v>316</v>
      </c>
      <c r="G37" s="3731">
        <f t="shared" si="48"/>
        <v>309</v>
      </c>
      <c r="H37" s="3731">
        <f t="shared" si="48"/>
        <v>302</v>
      </c>
      <c r="I37" s="3731">
        <f>I4+C15</f>
        <v>165</v>
      </c>
      <c r="J37" s="3731">
        <f t="shared" ref="J37:N38" si="49">J4+D15</f>
        <v>153</v>
      </c>
      <c r="K37" s="3731">
        <f t="shared" si="49"/>
        <v>152</v>
      </c>
      <c r="L37" s="3731">
        <f t="shared" si="49"/>
        <v>151</v>
      </c>
      <c r="M37" s="3731">
        <f t="shared" si="49"/>
        <v>149</v>
      </c>
      <c r="N37" s="3731">
        <f t="shared" si="49"/>
        <v>148</v>
      </c>
      <c r="O37" s="4523">
        <f t="shared" ref="O37:O45" si="50">IFERROR((H37-D37)/D37,0)</f>
        <v>-8.2066869300911852E-2</v>
      </c>
      <c r="P37" s="4523">
        <f t="shared" ref="P37:P45" si="51">IFERROR((N37-J37)/J37,0)</f>
        <v>-3.2679738562091505E-2</v>
      </c>
      <c r="Q37" s="3524"/>
      <c r="R37" s="4636" t="s">
        <v>1577</v>
      </c>
      <c r="S37" s="4635">
        <f>IFERROR('8. Ремонтна програма'!J44/'8. Ремонтна програма'!J$54,0)</f>
        <v>0</v>
      </c>
      <c r="T37" s="4635">
        <f>IFERROR('8. Ремонтна програма'!K44/'8. Ремонтна програма'!K$54,0)</f>
        <v>0</v>
      </c>
      <c r="U37" s="4635">
        <f>IFERROR('8. Ремонтна програма'!L44/'8. Ремонтна програма'!L$54,0)</f>
        <v>0</v>
      </c>
      <c r="V37" s="4635">
        <f>IFERROR('8. Ремонтна програма'!M44/'8. Ремонтна програма'!M$54,0)</f>
        <v>0</v>
      </c>
      <c r="W37" s="4635">
        <f>IFERROR('8. Ремонтна програма'!N44/'8. Ремонтна програма'!N$54,0)</f>
        <v>0</v>
      </c>
      <c r="X37" s="4635">
        <f>IFERROR('8. Ремонтна програма'!O44/'8. Ремонтна програма'!O$54,0)</f>
        <v>0</v>
      </c>
      <c r="Y37" s="3752">
        <f t="shared" si="40"/>
        <v>0</v>
      </c>
      <c r="Z37" s="3752">
        <f t="shared" si="41"/>
        <v>0</v>
      </c>
      <c r="AA37" s="3524"/>
      <c r="AB37" s="3528"/>
      <c r="AC37" s="4524"/>
      <c r="AD37" s="4524"/>
      <c r="AE37" s="4524"/>
      <c r="AF37" s="4524"/>
      <c r="AG37" s="4524"/>
      <c r="AH37" s="4524"/>
      <c r="AI37" s="4524"/>
      <c r="AJ37" s="3524"/>
      <c r="AK37" s="3632" t="s">
        <v>1930</v>
      </c>
      <c r="AL37" s="4645">
        <f t="shared" si="46"/>
        <v>4.514E-2</v>
      </c>
      <c r="AM37" s="4903">
        <f t="shared" si="42"/>
        <v>4.5080000000000002E-2</v>
      </c>
      <c r="AN37" s="4903">
        <f t="shared" si="43"/>
        <v>4.5319999999999999E-2</v>
      </c>
      <c r="AO37" s="4903">
        <f t="shared" si="44"/>
        <v>4.5429999999999998E-2</v>
      </c>
      <c r="AP37" s="4903">
        <f t="shared" si="45"/>
        <v>4.5499999999999999E-2</v>
      </c>
      <c r="AR37" s="4645">
        <f>IFERROR('12. Разходи'!BK89/'16. Необходими приходи'!D12,"-")</f>
        <v>4.5143036026827593E-2</v>
      </c>
      <c r="AS37" s="4903">
        <f>IFERROR('12. Разходи'!BL89/'16. Необходими приходи'!E12,"-")</f>
        <v>4.5084241728462225E-2</v>
      </c>
      <c r="AT37" s="4903">
        <f>IFERROR('12. Разходи'!BM89/'16. Необходими приходи'!F12,"-")</f>
        <v>4.5315028600535864E-2</v>
      </c>
      <c r="AU37" s="4903">
        <f>IFERROR('12. Разходи'!BN89/'16. Необходими приходи'!G12,"-")</f>
        <v>4.5430968222243358E-2</v>
      </c>
      <c r="AV37" s="4903">
        <f>IFERROR('12. Разходи'!BO89/'16. Необходими приходи'!H12,"-")</f>
        <v>4.5495107104443766E-2</v>
      </c>
    </row>
    <row r="38" spans="1:48" ht="15" customHeight="1">
      <c r="A38" s="3617" t="s">
        <v>1535</v>
      </c>
      <c r="B38" s="3734" t="s">
        <v>1540</v>
      </c>
      <c r="C38" s="3731">
        <f>C5+C27+I27</f>
        <v>331</v>
      </c>
      <c r="D38" s="3731">
        <f t="shared" si="48"/>
        <v>329</v>
      </c>
      <c r="E38" s="3731">
        <f t="shared" si="48"/>
        <v>321</v>
      </c>
      <c r="F38" s="3731">
        <f t="shared" si="48"/>
        <v>316</v>
      </c>
      <c r="G38" s="3731">
        <f t="shared" si="48"/>
        <v>309</v>
      </c>
      <c r="H38" s="3731">
        <f t="shared" si="48"/>
        <v>302</v>
      </c>
      <c r="I38" s="3731">
        <f>I5+C16</f>
        <v>165</v>
      </c>
      <c r="J38" s="3731">
        <f t="shared" si="49"/>
        <v>153</v>
      </c>
      <c r="K38" s="3731">
        <f t="shared" si="49"/>
        <v>152</v>
      </c>
      <c r="L38" s="3731">
        <f t="shared" si="49"/>
        <v>151</v>
      </c>
      <c r="M38" s="3731">
        <f t="shared" si="49"/>
        <v>149</v>
      </c>
      <c r="N38" s="3731">
        <f t="shared" si="49"/>
        <v>148</v>
      </c>
      <c r="O38" s="4523">
        <f t="shared" si="50"/>
        <v>-8.2066869300911852E-2</v>
      </c>
      <c r="P38" s="4523">
        <f t="shared" si="51"/>
        <v>-3.2679738562091505E-2</v>
      </c>
      <c r="Q38" s="3524"/>
      <c r="R38" s="4634" t="s">
        <v>1578</v>
      </c>
      <c r="S38" s="4635">
        <f>IFERROR('8. Ремонтна програма'!J45/'8. Ремонтна програма'!J$54,0)</f>
        <v>0</v>
      </c>
      <c r="T38" s="4635">
        <f>IFERROR('8. Ремонтна програма'!K45/'8. Ремонтна програма'!K$54,0)</f>
        <v>0</v>
      </c>
      <c r="U38" s="4635">
        <f>IFERROR('8. Ремонтна програма'!L45/'8. Ремонтна програма'!L$54,0)</f>
        <v>0</v>
      </c>
      <c r="V38" s="4635">
        <f>IFERROR('8. Ремонтна програма'!M45/'8. Ремонтна програма'!M$54,0)</f>
        <v>0</v>
      </c>
      <c r="W38" s="4635">
        <f>IFERROR('8. Ремонтна програма'!N45/'8. Ремонтна програма'!N$54,0)</f>
        <v>0</v>
      </c>
      <c r="X38" s="4635">
        <f>IFERROR('8. Ремонтна програма'!O45/'8. Ремонтна програма'!O$54,0)</f>
        <v>0</v>
      </c>
      <c r="Y38" s="3752">
        <f t="shared" si="40"/>
        <v>0</v>
      </c>
      <c r="Z38" s="3752">
        <f t="shared" si="41"/>
        <v>0</v>
      </c>
      <c r="AA38" s="3524"/>
      <c r="AB38" s="3528"/>
      <c r="AC38" s="4524"/>
      <c r="AD38" s="4524"/>
      <c r="AE38" s="4524"/>
      <c r="AF38" s="4524"/>
      <c r="AG38" s="4524"/>
      <c r="AH38" s="4524"/>
      <c r="AI38" s="4524"/>
      <c r="AJ38" s="3524"/>
      <c r="AK38" s="3630" t="s">
        <v>1931</v>
      </c>
      <c r="AL38" s="4902">
        <f t="shared" si="46"/>
        <v>1.6729999999999998E-2</v>
      </c>
      <c r="AM38" s="4904">
        <f t="shared" si="42"/>
        <v>1.6400000000000001E-2</v>
      </c>
      <c r="AN38" s="4904">
        <f t="shared" si="43"/>
        <v>1.627E-2</v>
      </c>
      <c r="AO38" s="4904">
        <f t="shared" si="44"/>
        <v>1.6080000000000001E-2</v>
      </c>
      <c r="AP38" s="4904">
        <f t="shared" si="45"/>
        <v>1.576E-2</v>
      </c>
      <c r="AR38" s="4902">
        <f>IFERROR('12. Разходи'!BK17/'16. Необходими приходи'!D12,"-")</f>
        <v>1.6730284238041529E-2</v>
      </c>
      <c r="AS38" s="4904">
        <f>IFERROR('12. Разходи'!BL17/'16. Необходими приходи'!E12,"-")</f>
        <v>1.6396589549378754E-2</v>
      </c>
      <c r="AT38" s="4904">
        <f>IFERROR('12. Разходи'!BM17/'16. Необходими приходи'!F12,"-")</f>
        <v>1.6273886938646509E-2</v>
      </c>
      <c r="AU38" s="4904">
        <f>IFERROR('12. Разходи'!BN17/'16. Необходими приходи'!G12,"-")</f>
        <v>1.6078621552382096E-2</v>
      </c>
      <c r="AV38" s="4904">
        <f>IFERROR('12. Разходи'!BO17/'16. Необходими приходи'!H12,"-")</f>
        <v>1.5761534685052103E-2</v>
      </c>
    </row>
    <row r="39" spans="1:48" ht="15" customHeight="1">
      <c r="A39" s="3623" t="s">
        <v>1545</v>
      </c>
      <c r="B39" s="3737" t="s">
        <v>170</v>
      </c>
      <c r="C39" s="3738"/>
      <c r="D39" s="3739">
        <f>IFERROR((D38-C38)/C38,0)</f>
        <v>-6.0422960725075529E-3</v>
      </c>
      <c r="E39" s="3739">
        <f t="shared" ref="E39:H39" si="52">IFERROR((E38-D38)/D38,0)</f>
        <v>-2.4316109422492401E-2</v>
      </c>
      <c r="F39" s="3739">
        <f t="shared" si="52"/>
        <v>-1.5576323987538941E-2</v>
      </c>
      <c r="G39" s="3739">
        <f t="shared" si="52"/>
        <v>-2.2151898734177215E-2</v>
      </c>
      <c r="H39" s="3739">
        <f t="shared" si="52"/>
        <v>-2.2653721682847898E-2</v>
      </c>
      <c r="I39" s="3738"/>
      <c r="J39" s="3740">
        <f>IFERROR((J38-I38)/I38,0)</f>
        <v>-7.2727272727272724E-2</v>
      </c>
      <c r="K39" s="3740">
        <f t="shared" ref="K39:N39" si="53">IFERROR((K38-J38)/J38,0)</f>
        <v>-6.5359477124183009E-3</v>
      </c>
      <c r="L39" s="3740">
        <f t="shared" si="53"/>
        <v>-6.5789473684210523E-3</v>
      </c>
      <c r="M39" s="3740">
        <f t="shared" si="53"/>
        <v>-1.3245033112582781E-2</v>
      </c>
      <c r="N39" s="3740">
        <f t="shared" si="53"/>
        <v>-6.7114093959731542E-3</v>
      </c>
      <c r="O39" s="4523">
        <f t="shared" si="50"/>
        <v>2.7491909385113273</v>
      </c>
      <c r="P39" s="4523">
        <f t="shared" si="51"/>
        <v>-0.90771812080536907</v>
      </c>
      <c r="Q39" s="3524"/>
      <c r="R39" s="4634" t="s">
        <v>1579</v>
      </c>
      <c r="S39" s="4635">
        <f>IFERROR('8. Ремонтна програма'!J46/'8. Ремонтна програма'!J$54,0)</f>
        <v>0</v>
      </c>
      <c r="T39" s="4635">
        <f>IFERROR('8. Ремонтна програма'!K46/'8. Ремонтна програма'!K$54,0)</f>
        <v>191.83673469387756</v>
      </c>
      <c r="U39" s="4635">
        <f>IFERROR('8. Ремонтна програма'!L46/'8. Ремонтна програма'!L$54,0)</f>
        <v>692</v>
      </c>
      <c r="V39" s="4635">
        <f>IFERROR('8. Ремонтна програма'!M46/'8. Ремонтна програма'!M$54,0)</f>
        <v>593.33333333333337</v>
      </c>
      <c r="W39" s="4635">
        <f>IFERROR('8. Ремонтна програма'!N46/'8. Ремонтна програма'!N$54,0)</f>
        <v>525.71428571428567</v>
      </c>
      <c r="X39" s="4635">
        <f>IFERROR('8. Ремонтна програма'!O46/'8. Ремонтна програма'!O$54,0)</f>
        <v>477.49999999999994</v>
      </c>
      <c r="Y39" s="3752">
        <f t="shared" si="40"/>
        <v>0</v>
      </c>
      <c r="Z39" s="3752">
        <f t="shared" si="41"/>
        <v>1.4890957446808508</v>
      </c>
      <c r="AA39" s="3524"/>
      <c r="AB39" s="3528"/>
      <c r="AC39" s="4524"/>
      <c r="AD39" s="4524"/>
      <c r="AE39" s="4524"/>
      <c r="AF39" s="4524"/>
      <c r="AG39" s="4524"/>
      <c r="AH39" s="4524"/>
      <c r="AI39" s="4524"/>
      <c r="AJ39" s="3524"/>
      <c r="AK39" s="3632" t="s">
        <v>1932</v>
      </c>
      <c r="AL39" s="4645">
        <f t="shared" si="46"/>
        <v>0</v>
      </c>
      <c r="AM39" s="4903">
        <f t="shared" si="42"/>
        <v>0</v>
      </c>
      <c r="AN39" s="4903">
        <f t="shared" si="43"/>
        <v>0</v>
      </c>
      <c r="AO39" s="4903">
        <f t="shared" si="44"/>
        <v>0</v>
      </c>
      <c r="AP39" s="4903">
        <f t="shared" si="45"/>
        <v>0</v>
      </c>
      <c r="AR39" s="4645">
        <f>IFERROR('16. Необходими приходи'!D9/'16. Необходими приходи'!D12,"-")</f>
        <v>0</v>
      </c>
      <c r="AS39" s="4903">
        <f>IFERROR('16. Необходими приходи'!E9/'16. Необходими приходи'!E12,"-")</f>
        <v>0</v>
      </c>
      <c r="AT39" s="4903">
        <f>IFERROR('16. Необходими приходи'!F9/'16. Необходими приходи'!F12,"-")</f>
        <v>0</v>
      </c>
      <c r="AU39" s="4903">
        <f>IFERROR('16. Необходими приходи'!G9/'16. Необходими приходи'!G12,"-")</f>
        <v>0</v>
      </c>
      <c r="AV39" s="4903">
        <f>IFERROR('16. Необходими приходи'!H9/'16. Необходими приходи'!H12,"-")</f>
        <v>0</v>
      </c>
    </row>
    <row r="40" spans="1:48">
      <c r="A40" s="3623" t="s">
        <v>1544</v>
      </c>
      <c r="B40" s="3737" t="s">
        <v>170</v>
      </c>
      <c r="C40" s="3738"/>
      <c r="D40" s="3739">
        <f>IFERROR((D38-$C$38)/$C$38,0)</f>
        <v>-6.0422960725075529E-3</v>
      </c>
      <c r="E40" s="3739">
        <f t="shared" ref="E40:H40" si="54">IFERROR((E38-$C$38)/$C$38,0)</f>
        <v>-3.0211480362537766E-2</v>
      </c>
      <c r="F40" s="3739">
        <f t="shared" si="54"/>
        <v>-4.5317220543806644E-2</v>
      </c>
      <c r="G40" s="3739">
        <f t="shared" si="54"/>
        <v>-6.6465256797583083E-2</v>
      </c>
      <c r="H40" s="3739">
        <f t="shared" si="54"/>
        <v>-8.7613293051359523E-2</v>
      </c>
      <c r="I40" s="3738"/>
      <c r="J40" s="3753">
        <f>IFERROR((J38-$I$38)/$I$38,0)</f>
        <v>-7.2727272727272724E-2</v>
      </c>
      <c r="K40" s="3740">
        <f t="shared" ref="K40:N40" si="55">IFERROR((K38-$I$38)/$I$38,0)</f>
        <v>-7.8787878787878782E-2</v>
      </c>
      <c r="L40" s="3739">
        <f t="shared" si="55"/>
        <v>-8.4848484848484854E-2</v>
      </c>
      <c r="M40" s="3739">
        <f t="shared" si="55"/>
        <v>-9.696969696969697E-2</v>
      </c>
      <c r="N40" s="3739">
        <f t="shared" si="55"/>
        <v>-0.10303030303030303</v>
      </c>
      <c r="O40" s="4523">
        <f t="shared" si="50"/>
        <v>13.5</v>
      </c>
      <c r="P40" s="4523">
        <f t="shared" si="51"/>
        <v>0.41666666666666669</v>
      </c>
      <c r="Q40" s="3524"/>
      <c r="R40" s="4634" t="s">
        <v>1580</v>
      </c>
      <c r="S40" s="4635">
        <f>IFERROR('8. Ремонтна програма'!J47/'8. Ремонтна програма'!J$54,0)</f>
        <v>0</v>
      </c>
      <c r="T40" s="4635">
        <f>IFERROR('8. Ремонтна програма'!K47/'8. Ремонтна програма'!K$54,0)</f>
        <v>364.48979591836735</v>
      </c>
      <c r="U40" s="4635">
        <f>IFERROR('8. Ремонтна програма'!L47/'8. Ремонтна програма'!L$54,0)</f>
        <v>1314.8</v>
      </c>
      <c r="V40" s="4635">
        <f>IFERROR('8. Ремонтна програма'!M47/'8. Ремонтна програма'!M$54,0)</f>
        <v>1127.3333333333333</v>
      </c>
      <c r="W40" s="4635">
        <f>IFERROR('8. Ремонтна програма'!N47/'8. Ремонтна програма'!N$54,0)</f>
        <v>1025.1428571428571</v>
      </c>
      <c r="X40" s="4635">
        <f>IFERROR('8. Ремонтна програма'!O47/'8. Ремонтна програма'!O$54,0)</f>
        <v>931.125</v>
      </c>
      <c r="Y40" s="3752">
        <f t="shared" si="40"/>
        <v>0</v>
      </c>
      <c r="Z40" s="3752">
        <f t="shared" si="41"/>
        <v>1.5545982642777156</v>
      </c>
      <c r="AA40" s="3524"/>
      <c r="AB40" s="3528"/>
      <c r="AC40" s="4524"/>
      <c r="AD40" s="4524"/>
      <c r="AE40" s="4524"/>
      <c r="AF40" s="4524"/>
      <c r="AG40" s="4524"/>
      <c r="AH40" s="4524"/>
      <c r="AI40" s="4524"/>
      <c r="AJ40" s="3524"/>
      <c r="AK40" s="5651" t="s">
        <v>174</v>
      </c>
      <c r="AL40" s="5652"/>
      <c r="AM40" s="5652"/>
      <c r="AN40" s="5652"/>
      <c r="AO40" s="5652"/>
      <c r="AP40" s="5653"/>
      <c r="AR40" s="4894"/>
      <c r="AS40" s="4894"/>
      <c r="AT40" s="4894"/>
      <c r="AU40" s="4894"/>
      <c r="AV40" s="4895"/>
    </row>
    <row r="41" spans="1:48" ht="15" customHeight="1">
      <c r="A41" s="3618" t="s">
        <v>1907</v>
      </c>
      <c r="B41" s="3743" t="s">
        <v>1905</v>
      </c>
      <c r="C41" s="3744">
        <f>IFERROR(('5. Персонал'!AZ29+'5. Персонал'!BR29+'5. Персонал'!BX29)/C38,0)</f>
        <v>10.673797278144621</v>
      </c>
      <c r="D41" s="3744">
        <f>IFERROR(('5. Персонал'!BA29+'5. Персонал'!BS29+'5. Персонал'!BY29)/D38,0)</f>
        <v>15.792547406431527</v>
      </c>
      <c r="E41" s="3744">
        <f>IFERROR(('5. Персонал'!BB29+'5. Персонал'!BT29+'5. Персонал'!BZ29)/E38,0)</f>
        <v>18.272711716769528</v>
      </c>
      <c r="F41" s="3744">
        <f>IFERROR(('5. Персонал'!BC29+'5. Персонал'!BU29+'5. Персонал'!CA29)/F38,0)</f>
        <v>21.150656553787872</v>
      </c>
      <c r="G41" s="3744">
        <f>IFERROR(('5. Персонал'!BD29+'5. Персонал'!BV29+'5. Персонал'!CB29)/G38,0)</f>
        <v>24.259062363164269</v>
      </c>
      <c r="H41" s="3744">
        <f>IFERROR(('5. Персонал'!BE29+'5. Персонал'!BW29+'5. Персонал'!CC29)/H38,0)</f>
        <v>27.885723758883824</v>
      </c>
      <c r="I41" s="3744">
        <f>IFERROR(('5. Персонал'!BF29+'5. Персонал'!BL29)/I38,0)</f>
        <v>9.9872347460328008</v>
      </c>
      <c r="J41" s="3744">
        <f>IFERROR(('5. Персонал'!BG29+'5. Персонал'!BM29)/J38,0)</f>
        <v>15.412275529914769</v>
      </c>
      <c r="K41" s="3744">
        <f>IFERROR(('5. Персонал'!BH29+'5. Персонал'!BN29)/K38,0)</f>
        <v>17.511746930970485</v>
      </c>
      <c r="L41" s="3744">
        <f>IFERROR(('5. Персонал'!BI29+'5. Персонал'!BO29)/L38,0)</f>
        <v>19.859118431892856</v>
      </c>
      <c r="M41" s="3744">
        <f>IFERROR(('5. Персонал'!BJ29+'5. Персонал'!BP29)/M38,0)</f>
        <v>22.980682740745472</v>
      </c>
      <c r="N41" s="3744">
        <f>IFERROR(('5. Персонал'!BK29+'5. Персонал'!BQ29)/N38,0)</f>
        <v>26.469718876523149</v>
      </c>
      <c r="O41" s="4523">
        <f t="shared" si="50"/>
        <v>0.76575210073628408</v>
      </c>
      <c r="P41" s="4523">
        <f t="shared" si="51"/>
        <v>0.71744391833290366</v>
      </c>
      <c r="Q41" s="3524"/>
      <c r="R41" s="4634" t="s">
        <v>1070</v>
      </c>
      <c r="S41" s="4635">
        <f>IFERROR('8. Ремонтна програма'!J48/'8. Ремонтна програма'!J$54,0)</f>
        <v>0</v>
      </c>
      <c r="T41" s="4635">
        <f>IFERROR('8. Ремонтна програма'!K48/'8. Ремонтна програма'!K$54,0)</f>
        <v>28.775510204081634</v>
      </c>
      <c r="U41" s="4635">
        <f>IFERROR('8. Ремонтна програма'!L48/'8. Ремонтна програма'!L$54,0)</f>
        <v>103.8</v>
      </c>
      <c r="V41" s="4635">
        <f>IFERROR('8. Ремонтна програма'!M48/'8. Ремонтна програма'!M$54,0)</f>
        <v>89</v>
      </c>
      <c r="W41" s="4635">
        <f>IFERROR('8. Ремонтна програма'!N48/'8. Ремонтна програма'!N$54,0)</f>
        <v>78.857142857142847</v>
      </c>
      <c r="X41" s="4635">
        <f>IFERROR('8. Ремонтна програма'!O48/'8. Ремонтна програма'!O$54,0)</f>
        <v>71.625</v>
      </c>
      <c r="Y41" s="3752">
        <f t="shared" si="40"/>
        <v>0</v>
      </c>
      <c r="Z41" s="3752">
        <f t="shared" si="41"/>
        <v>1.489095744680851</v>
      </c>
      <c r="AA41" s="3524"/>
      <c r="AB41" s="3528"/>
      <c r="AC41" s="4524"/>
      <c r="AD41" s="4524"/>
      <c r="AE41" s="4524"/>
      <c r="AF41" s="4524"/>
      <c r="AG41" s="4524"/>
      <c r="AH41" s="4524"/>
      <c r="AI41" s="4524"/>
      <c r="AJ41" s="3524"/>
      <c r="AK41" s="1488" t="s">
        <v>608</v>
      </c>
      <c r="AL41" s="3736">
        <f>AR41</f>
        <v>0.246</v>
      </c>
      <c r="AM41" s="3736">
        <f t="shared" ref="AM41:AP41" si="56">AS41</f>
        <v>0.28199999999999997</v>
      </c>
      <c r="AN41" s="3736">
        <f t="shared" si="56"/>
        <v>0.31900000000000001</v>
      </c>
      <c r="AO41" s="3736">
        <f t="shared" si="56"/>
        <v>0.36599999999999999</v>
      </c>
      <c r="AP41" s="3736">
        <f t="shared" si="56"/>
        <v>0.42299999999999999</v>
      </c>
      <c r="AR41" s="3736">
        <f>AL7</f>
        <v>0.246</v>
      </c>
      <c r="AS41" s="3736">
        <f>AM7</f>
        <v>0.28199999999999997</v>
      </c>
      <c r="AT41" s="3736">
        <f>AN7</f>
        <v>0.31900000000000001</v>
      </c>
      <c r="AU41" s="3736">
        <f>AO7</f>
        <v>0.36599999999999999</v>
      </c>
      <c r="AV41" s="3736">
        <f>AP7</f>
        <v>0.42299999999999999</v>
      </c>
    </row>
    <row r="42" spans="1:48" ht="15" customHeight="1">
      <c r="A42" s="3623" t="s">
        <v>1545</v>
      </c>
      <c r="B42" s="3737" t="s">
        <v>170</v>
      </c>
      <c r="C42" s="3738"/>
      <c r="D42" s="3739">
        <f>IFERROR((D41-C41)/C41,0)</f>
        <v>0.47956223965091799</v>
      </c>
      <c r="E42" s="3739">
        <f t="shared" ref="E42:H42" si="57">IFERROR((E41-D41)/D41,0)</f>
        <v>0.15704650089117048</v>
      </c>
      <c r="F42" s="3739">
        <f t="shared" si="57"/>
        <v>0.15749960277527664</v>
      </c>
      <c r="G42" s="3739">
        <f t="shared" si="57"/>
        <v>0.14696497961996891</v>
      </c>
      <c r="H42" s="3739">
        <f t="shared" si="57"/>
        <v>0.14949717929850384</v>
      </c>
      <c r="I42" s="3738"/>
      <c r="J42" s="3740">
        <f>IFERROR((J41-I41)/I41,0)</f>
        <v>0.54319748377166577</v>
      </c>
      <c r="K42" s="3740">
        <f t="shared" ref="K42:N42" si="58">IFERROR((K41-J41)/J41,0)</f>
        <v>0.13622072853425857</v>
      </c>
      <c r="L42" s="3740">
        <f t="shared" si="58"/>
        <v>0.13404553584376644</v>
      </c>
      <c r="M42" s="3740">
        <f t="shared" si="58"/>
        <v>0.15718544202040324</v>
      </c>
      <c r="N42" s="3740">
        <f t="shared" si="58"/>
        <v>0.15182473798271914</v>
      </c>
      <c r="O42" s="4523">
        <f t="shared" si="50"/>
        <v>-0.68826323897535058</v>
      </c>
      <c r="P42" s="4523">
        <f t="shared" si="51"/>
        <v>-0.72049808307554863</v>
      </c>
      <c r="Q42" s="3524"/>
      <c r="R42" s="4634" t="s">
        <v>1072</v>
      </c>
      <c r="S42" s="4635">
        <f>IFERROR('8. Ремонтна програма'!J49/'8. Ремонтна програма'!J$54,0)</f>
        <v>0</v>
      </c>
      <c r="T42" s="4635">
        <f>IFERROR('8. Ремонтна програма'!K49/'8. Ремонтна програма'!K$54,0)</f>
        <v>0</v>
      </c>
      <c r="U42" s="4635">
        <f>IFERROR('8. Ремонтна програма'!L49/'8. Ремонтна програма'!L$54,0)</f>
        <v>0</v>
      </c>
      <c r="V42" s="4635">
        <f>IFERROR('8. Ремонтна програма'!M49/'8. Ремонтна програма'!M$54,0)</f>
        <v>0</v>
      </c>
      <c r="W42" s="4635">
        <f>IFERROR('8. Ремонтна програма'!N49/'8. Ремонтна програма'!N$54,0)</f>
        <v>0</v>
      </c>
      <c r="X42" s="4635">
        <f>IFERROR('8. Ремонтна програма'!O49/'8. Ремонтна програма'!O$54,0)</f>
        <v>0</v>
      </c>
      <c r="Y42" s="3752">
        <f t="shared" si="40"/>
        <v>0</v>
      </c>
      <c r="Z42" s="3752">
        <f t="shared" si="41"/>
        <v>0</v>
      </c>
      <c r="AA42" s="3524"/>
      <c r="AB42" s="3528"/>
      <c r="AC42" s="4524"/>
      <c r="AD42" s="4524"/>
      <c r="AE42" s="4524"/>
      <c r="AF42" s="4524"/>
      <c r="AG42" s="4524"/>
      <c r="AH42" s="4524"/>
      <c r="AI42" s="4524"/>
      <c r="AJ42" s="3524"/>
      <c r="AK42" s="3632" t="s">
        <v>1927</v>
      </c>
      <c r="AL42" s="4645">
        <f>IFERROR(ROUND(AR42,5),"-")</f>
        <v>0.24218999999999999</v>
      </c>
      <c r="AM42" s="4903">
        <f t="shared" ref="AM42:AM47" si="59">IFERROR(ROUND(AS42,5),"-")</f>
        <v>0.27849000000000002</v>
      </c>
      <c r="AN42" s="4903">
        <f t="shared" ref="AN42:AN47" si="60">IFERROR(ROUND(AT42,5),"-")</f>
        <v>0.31516</v>
      </c>
      <c r="AO42" s="4903">
        <f t="shared" ref="AO42:AO47" si="61">IFERROR(ROUND(AU42,5),"-")</f>
        <v>0.36203000000000002</v>
      </c>
      <c r="AP42" s="4903">
        <f t="shared" ref="AP42:AP47" si="62">IFERROR(ROUND(AV42,5),"-")</f>
        <v>0.41919000000000001</v>
      </c>
      <c r="AR42" s="4645">
        <f>IFERROR(('12. Разходи'!BR88-'12. Разходи'!BR89)/'16. Необходими приходи'!D18,"-")</f>
        <v>0.24219482703593553</v>
      </c>
      <c r="AS42" s="4903">
        <f>IFERROR(('12. Разходи'!BS88-'12. Разходи'!BS89)/'16. Необходими приходи'!E18,"-")</f>
        <v>0.27848627964639061</v>
      </c>
      <c r="AT42" s="4903">
        <f>IFERROR(('12. Разходи'!BT88-'12. Разходи'!BT89)/'16. Необходими приходи'!F18,"-")</f>
        <v>0.31516056070547649</v>
      </c>
      <c r="AU42" s="4903">
        <f>IFERROR(('12. Разходи'!BU88-'12. Разходи'!BU89)/'16. Необходими приходи'!G18,"-")</f>
        <v>0.36203420061371877</v>
      </c>
      <c r="AV42" s="4903">
        <f>IFERROR(('12. Разходи'!BV88-'12. Разходи'!BV89)/'16. Необходими приходи'!H18,"-")</f>
        <v>0.4191901770760616</v>
      </c>
    </row>
    <row r="43" spans="1:48" ht="15" customHeight="1">
      <c r="A43" s="3622" t="s">
        <v>1543</v>
      </c>
      <c r="B43" s="3737" t="s">
        <v>170</v>
      </c>
      <c r="C43" s="3738"/>
      <c r="D43" s="3739">
        <f>IFERROR((D41-$C$41)/$C$41,0)</f>
        <v>0.47956223965091799</v>
      </c>
      <c r="E43" s="3739">
        <f t="shared" ref="E43:H43" si="63">IFERROR((E41-$C$41)/$C$41,0)</f>
        <v>0.71192231223879809</v>
      </c>
      <c r="F43" s="3739">
        <f t="shared" si="63"/>
        <v>0.98154939639854188</v>
      </c>
      <c r="G43" s="3739">
        <f t="shared" si="63"/>
        <v>1.2727677630562153</v>
      </c>
      <c r="H43" s="3739">
        <f t="shared" si="63"/>
        <v>1.6125401328336897</v>
      </c>
      <c r="I43" s="3738"/>
      <c r="J43" s="3739">
        <f>IFERROR((J41-$I$41)/$I$41,0)</f>
        <v>0.54319748377166577</v>
      </c>
      <c r="K43" s="3740">
        <f t="shared" ref="K43:N43" si="64">IFERROR((K41-$I$41)/$I$41,0)</f>
        <v>0.75341296928327672</v>
      </c>
      <c r="L43" s="3739">
        <f t="shared" si="64"/>
        <v>0.98845015030626315</v>
      </c>
      <c r="M43" s="3739">
        <f t="shared" si="64"/>
        <v>1.3010055661176902</v>
      </c>
      <c r="N43" s="3739">
        <f t="shared" si="64"/>
        <v>1.650355133290287</v>
      </c>
      <c r="O43" s="4523">
        <f t="shared" si="50"/>
        <v>2.3625252355304012</v>
      </c>
      <c r="P43" s="4523">
        <f t="shared" si="51"/>
        <v>2.0382230820200511</v>
      </c>
      <c r="Q43" s="3524"/>
      <c r="R43" s="4634" t="s">
        <v>916</v>
      </c>
      <c r="S43" s="4635">
        <f>IFERROR('8. Ремонтна програма'!J50/'8. Ремонтна програма'!J$54,0)</f>
        <v>0</v>
      </c>
      <c r="T43" s="4635">
        <f>IFERROR('8. Ремонтна програма'!K50/'8. Ремонтна програма'!K$54,0)</f>
        <v>268.57142857142856</v>
      </c>
      <c r="U43" s="4635">
        <f>IFERROR('8. Ремонтна програма'!L50/'8. Ремонтна програма'!L$54,0)</f>
        <v>968.80000000000007</v>
      </c>
      <c r="V43" s="4635">
        <f>IFERROR('8. Ремонтна програма'!M50/'8. Ремонтна програма'!M$54,0)</f>
        <v>830.66666666666674</v>
      </c>
      <c r="W43" s="4635">
        <f>IFERROR('8. Ремонтна програма'!N50/'8. Ремонтна програма'!N$54,0)</f>
        <v>762.28571428571422</v>
      </c>
      <c r="X43" s="4635">
        <f>IFERROR('8. Ремонтна програма'!O50/'8. Ремонтна програма'!O$54,0)</f>
        <v>692.375</v>
      </c>
      <c r="Y43" s="3752">
        <f t="shared" si="40"/>
        <v>0</v>
      </c>
      <c r="Z43" s="3752">
        <f t="shared" si="41"/>
        <v>1.5779920212765959</v>
      </c>
      <c r="AA43" s="3524"/>
      <c r="AB43" s="3528"/>
      <c r="AC43" s="4524"/>
      <c r="AD43" s="4524"/>
      <c r="AE43" s="4524"/>
      <c r="AF43" s="4524"/>
      <c r="AG43" s="4524"/>
      <c r="AH43" s="4524"/>
      <c r="AI43" s="4524"/>
      <c r="AJ43" s="3524"/>
      <c r="AK43" s="3630" t="s">
        <v>1928</v>
      </c>
      <c r="AL43" s="4902">
        <f t="shared" ref="AL43:AL47" si="65">IFERROR(ROUND(AR43,5),"-")</f>
        <v>2.1069999999999998E-2</v>
      </c>
      <c r="AM43" s="4904">
        <f t="shared" si="59"/>
        <v>2.1860000000000001E-2</v>
      </c>
      <c r="AN43" s="4904">
        <f t="shared" si="60"/>
        <v>2.2669999999999999E-2</v>
      </c>
      <c r="AO43" s="4904">
        <f t="shared" si="61"/>
        <v>2.2919999999999999E-2</v>
      </c>
      <c r="AP43" s="4904">
        <f t="shared" si="62"/>
        <v>2.3800000000000002E-2</v>
      </c>
      <c r="AR43" s="4902">
        <f>IFERROR('12. Разходи'!BR55/'16. Необходими приходи'!D18,"-")</f>
        <v>2.1072071589582748E-2</v>
      </c>
      <c r="AS43" s="4904">
        <f>IFERROR('12. Разходи'!BS55/'16. Необходими приходи'!E18,"-")</f>
        <v>2.1855658405174779E-2</v>
      </c>
      <c r="AT43" s="4904">
        <f>IFERROR('12. Разходи'!BT55/'16. Необходими приходи'!F18,"-")</f>
        <v>2.2671340188276712E-2</v>
      </c>
      <c r="AU43" s="4904">
        <f>IFERROR('12. Разходи'!BU55/'16. Необходими приходи'!G18,"-")</f>
        <v>2.2919007269312348E-2</v>
      </c>
      <c r="AV43" s="4904">
        <f>IFERROR('12. Разходи'!BV55/'16. Необходими приходи'!H18,"-")</f>
        <v>2.3796859060259992E-2</v>
      </c>
    </row>
    <row r="44" spans="1:48" ht="15" customHeight="1">
      <c r="A44" s="3621" t="s">
        <v>1547</v>
      </c>
      <c r="B44" s="3748" t="s">
        <v>170</v>
      </c>
      <c r="C44" s="3615">
        <f>IFERROR(('5. Персонал'!C42+'5. Персонал'!U42+'5. Персонал'!AA42)/('5. Персонал'!C29+'5. Персонал'!U29+'5. Персонал'!AA29),0)</f>
        <v>0.21157742402315485</v>
      </c>
      <c r="D44" s="3615">
        <f>IFERROR(('5. Персонал'!D42+'5. Персонал'!V42+'5. Персонал'!AB42)/('5. Персонал'!D29+'5. Персонал'!V29+'5. Персонал'!AB29),0)</f>
        <v>0.21216296004723478</v>
      </c>
      <c r="E44" s="3615">
        <f>IFERROR(('5. Персонал'!E42+'5. Персонал'!W42+'5. Персонал'!AC42)/('5. Персонал'!E29+'5. Персонал'!W29+'5. Персонал'!AC29),0)</f>
        <v>0.21609135285913528</v>
      </c>
      <c r="F44" s="3615">
        <f>IFERROR(('5. Персонал'!F42+'5. Персонал'!X42+'5. Персонал'!AD42)/('5. Персонал'!F29+'5. Персонал'!X29+'5. Персонал'!AD29),0)</f>
        <v>0.21809975520195837</v>
      </c>
      <c r="G44" s="3615">
        <f>IFERROR(('5. Персонал'!G42+'5. Персонал'!Y42+'5. Персонал'!AE42)/('5. Персонал'!G29+'5. Персонал'!Y29+'5. Персонал'!AE29),0)</f>
        <v>0.22365459382033967</v>
      </c>
      <c r="H44" s="3615">
        <f>IFERROR(('5. Персонал'!H42+'5. Персонал'!Z42+'5. Персонал'!AF42)/('5. Персонал'!H29+'5. Персонал'!Z29+'5. Персонал'!AF29),0)</f>
        <v>0.22888713496448304</v>
      </c>
      <c r="I44" s="3615">
        <f>IFERROR(('5. Персонал'!I42+'5. Персонал'!O42)/('5. Персонал'!I29+'5. Персонал'!O29),0)</f>
        <v>0.2221532733478126</v>
      </c>
      <c r="J44" s="3615">
        <f>IFERROR(('5. Персонал'!J42+'5. Персонал'!P42)/('5. Персонал'!J29+'5. Персонал'!P29),0)</f>
        <v>0.23352124891587164</v>
      </c>
      <c r="K44" s="3615">
        <f>IFERROR(('5. Персонал'!K42+'5. Персонал'!Q42)/('5. Персонал'!K29+'5. Персонал'!Q29),0)</f>
        <v>0.2378025355359201</v>
      </c>
      <c r="L44" s="3615">
        <f>IFERROR(('5. Персонал'!L42+'5. Персонал'!R42)/('5. Персонал'!L29+'5. Персонал'!R29),0)</f>
        <v>0.24279624893435636</v>
      </c>
      <c r="M44" s="3615">
        <f>IFERROR(('5. Персонал'!M42+'5. Персонал'!S42)/('5. Персонал'!M29+'5. Персонал'!S29),0)</f>
        <v>0.24443780797371958</v>
      </c>
      <c r="N44" s="3615">
        <f>IFERROR(('5. Персонал'!N42+'5. Персонал'!T42)/('5. Персонал'!N29+'5. Персонал'!T29),0)</f>
        <v>0.24575828765335422</v>
      </c>
      <c r="O44" s="4523">
        <f t="shared" si="50"/>
        <v>7.8827024818681271E-2</v>
      </c>
      <c r="P44" s="4523">
        <f t="shared" si="51"/>
        <v>5.2402249449646852E-2</v>
      </c>
      <c r="Q44" s="3524"/>
      <c r="R44" s="4636" t="s">
        <v>1356</v>
      </c>
      <c r="S44" s="4635">
        <f>IFERROR('8. Ремонтна програма'!J51/'8. Ремонтна програма'!J$54,0)</f>
        <v>0</v>
      </c>
      <c r="T44" s="4635">
        <f>IFERROR('8. Ремонтна програма'!K51/'8. Ремонтна програма'!K$54,0)</f>
        <v>28.775510204081634</v>
      </c>
      <c r="U44" s="4635">
        <f>IFERROR('8. Ремонтна програма'!L51/'8. Ремонтна програма'!L$54,0)</f>
        <v>103.8</v>
      </c>
      <c r="V44" s="4635">
        <f>IFERROR('8. Ремонтна програма'!M51/'8. Ремонтна програма'!M$54,0)</f>
        <v>89</v>
      </c>
      <c r="W44" s="4635">
        <f>IFERROR('8. Ремонтна програма'!N51/'8. Ремонтна програма'!N$54,0)</f>
        <v>78.857142857142847</v>
      </c>
      <c r="X44" s="4635">
        <f>IFERROR('8. Ремонтна програма'!O51/'8. Ремонтна програма'!O$54,0)</f>
        <v>71.625</v>
      </c>
      <c r="Y44" s="3752">
        <f t="shared" si="40"/>
        <v>0</v>
      </c>
      <c r="Z44" s="3752">
        <f t="shared" si="41"/>
        <v>1.489095744680851</v>
      </c>
      <c r="AA44" s="3524"/>
      <c r="AB44" s="3528"/>
      <c r="AC44" s="4524"/>
      <c r="AD44" s="4524"/>
      <c r="AE44" s="4524"/>
      <c r="AF44" s="4524"/>
      <c r="AG44" s="4524"/>
      <c r="AH44" s="4524"/>
      <c r="AI44" s="4524"/>
      <c r="AJ44" s="3524"/>
      <c r="AK44" s="3630" t="s">
        <v>1929</v>
      </c>
      <c r="AL44" s="4902">
        <f t="shared" si="65"/>
        <v>0.18090000000000001</v>
      </c>
      <c r="AM44" s="4904">
        <f t="shared" si="59"/>
        <v>0.21511</v>
      </c>
      <c r="AN44" s="4904">
        <f t="shared" si="60"/>
        <v>0.24962999999999999</v>
      </c>
      <c r="AO44" s="4904">
        <f t="shared" si="61"/>
        <v>0.29487000000000002</v>
      </c>
      <c r="AP44" s="4904">
        <f t="shared" si="62"/>
        <v>0.34961999999999999</v>
      </c>
      <c r="AR44" s="4902">
        <f>IFERROR(('12. Разходи'!BR59+'12. Разходи'!BR63)/'16. Необходими приходи'!D18,"-")</f>
        <v>0.18090401256909172</v>
      </c>
      <c r="AS44" s="4904">
        <f>IFERROR(('12. Разходи'!BS59+'12. Разходи'!BS63)/'16. Необходими приходи'!E18,"-")</f>
        <v>0.21511196623213499</v>
      </c>
      <c r="AT44" s="4904">
        <f>IFERROR(('12. Разходи'!BT59+'12. Разходи'!BT63)/'16. Необходими приходи'!F18,"-")</f>
        <v>0.24962884888628906</v>
      </c>
      <c r="AU44" s="4904">
        <f>IFERROR(('12. Разходи'!BU59+'12. Разходи'!BU63)/'16. Необходими приходи'!G18,"-")</f>
        <v>0.29486996919540548</v>
      </c>
      <c r="AV44" s="4904">
        <f>IFERROR(('12. Разходи'!BV59+'12. Разходи'!BV63)/'16. Необходими приходи'!H18,"-")</f>
        <v>0.34961863297959578</v>
      </c>
    </row>
    <row r="45" spans="1:48" ht="15" customHeight="1">
      <c r="A45" s="3621" t="s">
        <v>1546</v>
      </c>
      <c r="B45" s="3748" t="s">
        <v>170</v>
      </c>
      <c r="C45" s="3615">
        <f>IFERROR(('5. Персонал'!C46+'5. Персонал'!U46+'5. Персонал'!AA46)/('5. Персонал'!C29+'5. Персонал'!U29+'5. Персонал'!AA29),0)</f>
        <v>0.14688856729377714</v>
      </c>
      <c r="D45" s="3615">
        <f>IFERROR(('5. Персонал'!D46+'5. Персонал'!V46+'5. Персонал'!AB46)/('5. Персонал'!D29+'5. Персонал'!V29+'5. Персонал'!AB29),0)</f>
        <v>0.13796496752607754</v>
      </c>
      <c r="E45" s="3615">
        <f>IFERROR(('5. Персонал'!E46+'5. Персонал'!W46+'5. Персонал'!AC46)/('5. Персонал'!E29+'5. Персонал'!W29+'5. Персонал'!AC29),0)</f>
        <v>0.1405160390516039</v>
      </c>
      <c r="F45" s="3615">
        <f>IFERROR(('5. Персонал'!F46+'5. Персонал'!X46+'5. Персонал'!AD46)/('5. Персонал'!F29+'5. Персонал'!X29+'5. Персонал'!AD29),0)</f>
        <v>0.14182986536107711</v>
      </c>
      <c r="G45" s="3615">
        <f>IFERROR(('5. Персонал'!G46+'5. Персонал'!Y46+'5. Персонал'!AE46)/('5. Персонал'!G29+'5. Персонал'!Y29+'5. Персонал'!AE29),0)</f>
        <v>0.14541982129459108</v>
      </c>
      <c r="H45" s="3615">
        <f>IFERROR(('5. Персонал'!H46+'5. Персонал'!Z46+'5. Персонал'!AF46)/('5. Персонал'!H29+'5. Персонал'!Z29+'5. Персонал'!AF29),0)</f>
        <v>0.14886770687875661</v>
      </c>
      <c r="I45" s="3615">
        <f>IFERROR(('5. Персонал'!I46+'5. Персонал'!O46)/('5. Персонал'!I29+'5. Персонал'!O29),0)</f>
        <v>0.14768848898541731</v>
      </c>
      <c r="J45" s="3615">
        <f>IFERROR(('5. Персонал'!J46+'5. Персонал'!P46)/('5. Персонал'!J29+'5. Персонал'!P29),0)</f>
        <v>0.14050303555941024</v>
      </c>
      <c r="K45" s="3615">
        <f>IFERROR(('5. Персонал'!K46+'5. Персонал'!Q46)/('5. Персонал'!K29+'5. Персонал'!Q29),0)</f>
        <v>0.14310411064156742</v>
      </c>
      <c r="L45" s="3615">
        <f>IFERROR(('5. Персонал'!L46+'5. Персонал'!R46)/('5. Персонал'!L29+'5. Персонал'!R29),0)</f>
        <v>0.14612105711849957</v>
      </c>
      <c r="M45" s="3615">
        <f>IFERROR(('5. Персонал'!M46+'5. Персонал'!S46)/('5. Персонал'!M29+'5. Персонал'!S29),0)</f>
        <v>0.14723010303120801</v>
      </c>
      <c r="N45" s="3615">
        <f>IFERROR(('5. Персонал'!N46+'5. Персонал'!T46)/('5. Персонал'!N29+'5. Персонал'!T29),0)</f>
        <v>0.14787261811537458</v>
      </c>
      <c r="O45" s="4523">
        <f t="shared" si="50"/>
        <v>7.9025418902942055E-2</v>
      </c>
      <c r="P45" s="4523">
        <f t="shared" si="51"/>
        <v>5.2451411648314121E-2</v>
      </c>
      <c r="Q45" s="3524"/>
      <c r="R45" s="4636" t="s">
        <v>1581</v>
      </c>
      <c r="S45" s="4635">
        <f>IFERROR('8. Ремонтна програма'!J52/'8. Ремонтна програма'!J$54,0)</f>
        <v>0</v>
      </c>
      <c r="T45" s="4635">
        <f>IFERROR('8. Ремонтна програма'!K52/'8. Ремонтна програма'!K$54,0)</f>
        <v>0</v>
      </c>
      <c r="U45" s="4635">
        <f>IFERROR('8. Ремонтна програма'!L52/'8. Ремонтна програма'!L$54,0)</f>
        <v>0</v>
      </c>
      <c r="V45" s="4635">
        <f>IFERROR('8. Ремонтна програма'!M52/'8. Ремонтна програма'!M$54,0)</f>
        <v>0</v>
      </c>
      <c r="W45" s="4635">
        <f>IFERROR('8. Ремонтна програма'!N52/'8. Ремонтна програма'!N$54,0)</f>
        <v>0</v>
      </c>
      <c r="X45" s="4635">
        <f>IFERROR('8. Ремонтна програма'!O52/'8. Ремонтна програма'!O$54,0)</f>
        <v>0</v>
      </c>
      <c r="Y45" s="3752">
        <f t="shared" si="40"/>
        <v>0</v>
      </c>
      <c r="Z45" s="3752">
        <f t="shared" si="41"/>
        <v>0</v>
      </c>
      <c r="AA45" s="3524"/>
      <c r="AB45" s="3528"/>
      <c r="AC45" s="4524"/>
      <c r="AD45" s="4524"/>
      <c r="AE45" s="4524"/>
      <c r="AF45" s="4524"/>
      <c r="AG45" s="4524"/>
      <c r="AH45" s="4524"/>
      <c r="AI45" s="4524"/>
      <c r="AJ45" s="3524"/>
      <c r="AK45" s="3632" t="s">
        <v>1930</v>
      </c>
      <c r="AL45" s="4645">
        <f t="shared" si="65"/>
        <v>3.5400000000000002E-3</v>
      </c>
      <c r="AM45" s="4903">
        <f t="shared" si="59"/>
        <v>3.6600000000000001E-3</v>
      </c>
      <c r="AN45" s="4903">
        <f t="shared" si="60"/>
        <v>3.7200000000000002E-3</v>
      </c>
      <c r="AO45" s="4903">
        <f t="shared" si="61"/>
        <v>3.7799999999999999E-3</v>
      </c>
      <c r="AP45" s="4903">
        <f t="shared" si="62"/>
        <v>3.9100000000000003E-3</v>
      </c>
      <c r="AR45" s="4645">
        <f>IFERROR('12. Разходи'!BR89/'16. Необходими приходи'!D18,"-")</f>
        <v>3.5418993117276726E-3</v>
      </c>
      <c r="AS45" s="4903">
        <f>IFERROR('12. Разходи'!BS89/'16. Необходими приходи'!E18,"-")</f>
        <v>3.6563772281322121E-3</v>
      </c>
      <c r="AT45" s="4903">
        <f>IFERROR('12. Разходи'!BT89/'16. Необходими приходи'!F18,"-")</f>
        <v>3.7158963777619704E-3</v>
      </c>
      <c r="AU45" s="4903">
        <f>IFERROR('12. Разходи'!BU89/'16. Необходими приходи'!G18,"-")</f>
        <v>3.7770448509470314E-3</v>
      </c>
      <c r="AV45" s="4903">
        <f>IFERROR('12. Разходи'!BV89/'16. Необходими приходи'!H18,"-")</f>
        <v>3.9076090526174289E-3</v>
      </c>
    </row>
    <row r="46" spans="1:48" ht="15" customHeight="1">
      <c r="A46" s="3524"/>
      <c r="B46" s="4626"/>
      <c r="C46" s="3524"/>
      <c r="D46" s="3524"/>
      <c r="E46" s="3524"/>
      <c r="F46" s="3524"/>
      <c r="G46" s="3524"/>
      <c r="H46" s="3524"/>
      <c r="I46" s="3524"/>
      <c r="J46" s="3524"/>
      <c r="K46" s="3728"/>
      <c r="L46" s="3524"/>
      <c r="M46" s="3524"/>
      <c r="N46" s="3524"/>
      <c r="O46" s="3524"/>
      <c r="P46" s="3524"/>
      <c r="Q46" s="3524"/>
      <c r="R46" s="4632" t="s">
        <v>1860</v>
      </c>
      <c r="S46" s="4633" t="str">
        <f>+'15. ОПП'!$B$7</f>
        <v>2024 г.</v>
      </c>
      <c r="T46" s="4633" t="str">
        <f>+'15. ОПП'!$C$7</f>
        <v>2027 г.</v>
      </c>
      <c r="U46" s="4633" t="str">
        <f>+'15. ОПП'!$D$7</f>
        <v>2028 г.</v>
      </c>
      <c r="V46" s="4633" t="str">
        <f>+'15. ОПП'!$E$7</f>
        <v>2029 г.</v>
      </c>
      <c r="W46" s="4633" t="str">
        <f>+'15. ОПП'!$F$7</f>
        <v>2030 г.</v>
      </c>
      <c r="X46" s="4633" t="str">
        <f>+'15. ОПП'!$G$7</f>
        <v>2031 г.</v>
      </c>
      <c r="Y46" s="4633" t="str">
        <f>+Y33</f>
        <v>Изменение 2027 г.спрямо 2024 г.</v>
      </c>
      <c r="Z46" s="4633" t="str">
        <f>+Z33</f>
        <v>Изменение 2031 г.спрямо 2027 г.</v>
      </c>
      <c r="AA46" s="3524"/>
      <c r="AB46" s="3528"/>
      <c r="AC46" s="4524"/>
      <c r="AD46" s="4524"/>
      <c r="AE46" s="4524"/>
      <c r="AF46" s="4524"/>
      <c r="AG46" s="4524"/>
      <c r="AH46" s="4524"/>
      <c r="AI46" s="4524"/>
      <c r="AJ46" s="3524"/>
      <c r="AK46" s="3630" t="s">
        <v>1931</v>
      </c>
      <c r="AL46" s="4902">
        <f t="shared" si="65"/>
        <v>1.0000000000000001E-5</v>
      </c>
      <c r="AM46" s="4904">
        <f t="shared" si="59"/>
        <v>1.0000000000000001E-5</v>
      </c>
      <c r="AN46" s="4904">
        <f t="shared" si="60"/>
        <v>1.0000000000000001E-5</v>
      </c>
      <c r="AO46" s="4904">
        <f t="shared" si="61"/>
        <v>1.0000000000000001E-5</v>
      </c>
      <c r="AP46" s="4904">
        <f t="shared" si="62"/>
        <v>1.0000000000000001E-5</v>
      </c>
      <c r="AR46" s="4902">
        <f>IFERROR('12. Разходи'!BR17/'16. Необходими приходи'!D18,"-")</f>
        <v>7.3626540722391539E-6</v>
      </c>
      <c r="AS46" s="4904">
        <f>IFERROR('12. Разходи'!BS17/'16. Необходими приходи'!E18,"-")</f>
        <v>7.6006228068687691E-6</v>
      </c>
      <c r="AT46" s="4904">
        <f>IFERROR('12. Разходи'!BT17/'16. Необходими приходи'!F18,"-")</f>
        <v>6.2769955926081022E-6</v>
      </c>
      <c r="AU46" s="4904">
        <f>IFERROR('12. Разходи'!BU17/'16. Необходими приходи'!G18,"-")</f>
        <v>6.4798102865011373E-6</v>
      </c>
      <c r="AV46" s="4904">
        <f>IFERROR('12. Разходи'!BV17/'16. Необходими приходи'!H18,"-")</f>
        <v>6.7038031937658001E-6</v>
      </c>
    </row>
    <row r="47" spans="1:48" ht="15" customHeight="1">
      <c r="A47" s="3524"/>
      <c r="B47" s="4626"/>
      <c r="C47" s="3524"/>
      <c r="D47" s="3524"/>
      <c r="E47" s="3524"/>
      <c r="F47" s="3524"/>
      <c r="G47" s="3524"/>
      <c r="H47" s="3524"/>
      <c r="I47" s="3524"/>
      <c r="J47" s="3524"/>
      <c r="K47" s="3728"/>
      <c r="L47" s="3524"/>
      <c r="M47" s="3524"/>
      <c r="N47" s="3524"/>
      <c r="O47" s="3524"/>
      <c r="P47" s="3524"/>
      <c r="Q47" s="3524"/>
      <c r="R47" s="4636" t="s">
        <v>1582</v>
      </c>
      <c r="S47" s="4635">
        <f>IFERROR('8. Ремонтна програма'!J71/'8. Ремонтна програма'!J$80,0)</f>
        <v>0</v>
      </c>
      <c r="T47" s="4635">
        <f>IFERROR('8. Ремонтна програма'!K71/'8. Ремонтна програма'!K$80,0)</f>
        <v>-44224.00000000251</v>
      </c>
      <c r="U47" s="4635">
        <f>IFERROR('8. Ремонтна програма'!L71/'8. Ремонтна програма'!L$80,0)</f>
        <v>0</v>
      </c>
      <c r="V47" s="4635">
        <f>IFERROR('8. Ремонтна програма'!M71/'8. Ремонтна програма'!M$80,0)</f>
        <v>0</v>
      </c>
      <c r="W47" s="4635">
        <f>IFERROR('8. Ремонтна програма'!N71/'8. Ремонтна програма'!N$80,0)</f>
        <v>17664</v>
      </c>
      <c r="X47" s="4635">
        <f>IFERROR('8. Ремонтна програма'!O71/'8. Ремонтна програма'!O$80,0)</f>
        <v>0</v>
      </c>
      <c r="Y47" s="3752">
        <f t="shared" ref="Y47:Y55" si="66">IFERROR((T47-S47)/S47,0)</f>
        <v>0</v>
      </c>
      <c r="Z47" s="3752">
        <f t="shared" si="41"/>
        <v>-1</v>
      </c>
      <c r="AA47" s="3524"/>
      <c r="AB47" s="3528"/>
      <c r="AC47" s="4524"/>
      <c r="AD47" s="4524"/>
      <c r="AE47" s="4524"/>
      <c r="AF47" s="4524"/>
      <c r="AG47" s="4524"/>
      <c r="AH47" s="4524"/>
      <c r="AI47" s="4524"/>
      <c r="AJ47" s="3524"/>
      <c r="AK47" s="3632" t="s">
        <v>1932</v>
      </c>
      <c r="AL47" s="4645">
        <f t="shared" si="65"/>
        <v>0</v>
      </c>
      <c r="AM47" s="4903">
        <f t="shared" si="59"/>
        <v>0</v>
      </c>
      <c r="AN47" s="4903">
        <f t="shared" si="60"/>
        <v>0</v>
      </c>
      <c r="AO47" s="4903">
        <f t="shared" si="61"/>
        <v>0</v>
      </c>
      <c r="AP47" s="4903">
        <f t="shared" si="62"/>
        <v>0</v>
      </c>
      <c r="AR47" s="4645">
        <f>IFERROR('16. Необходими приходи'!D15/'16. Необходими приходи'!D18,"-")</f>
        <v>0</v>
      </c>
      <c r="AS47" s="4903">
        <f>IFERROR('16. Необходими приходи'!E15/'16. Необходими приходи'!E18,"-")</f>
        <v>0</v>
      </c>
      <c r="AT47" s="4903">
        <f>IFERROR('16. Необходими приходи'!F15/'16. Необходими приходи'!F18,"-")</f>
        <v>0</v>
      </c>
      <c r="AU47" s="4903">
        <f>IFERROR('16. Необходими приходи'!G15/'16. Необходими приходи'!G18,"-")</f>
        <v>0</v>
      </c>
      <c r="AV47" s="4903">
        <f>IFERROR('16. Необходими приходи'!H15/'16. Необходими приходи'!H18,"-")</f>
        <v>0</v>
      </c>
    </row>
    <row r="48" spans="1:48" ht="15" customHeight="1">
      <c r="A48" s="3524"/>
      <c r="B48" s="4626"/>
      <c r="C48" s="3524"/>
      <c r="D48" s="3524"/>
      <c r="E48" s="3524"/>
      <c r="F48" s="3524"/>
      <c r="G48" s="3524"/>
      <c r="H48" s="3524"/>
      <c r="I48" s="3524"/>
      <c r="J48" s="3524"/>
      <c r="K48" s="3728"/>
      <c r="L48" s="3524"/>
      <c r="M48" s="3524"/>
      <c r="N48" s="3524"/>
      <c r="O48" s="3524"/>
      <c r="P48" s="3524"/>
      <c r="Q48" s="3524"/>
      <c r="R48" s="4636" t="s">
        <v>1583</v>
      </c>
      <c r="S48" s="4635">
        <f>IFERROR('8. Ремонтна програма'!J72/'8. Ремонтна програма'!J$80,0)</f>
        <v>0</v>
      </c>
      <c r="T48" s="4635">
        <f>IFERROR('8. Ремонтна програма'!K72/'8. Ремонтна програма'!K$80,0)</f>
        <v>-38005.000000002154</v>
      </c>
      <c r="U48" s="4635">
        <f>IFERROR('8. Ремонтна програма'!L72/'8. Ремонтна програма'!L$80,0)</f>
        <v>0</v>
      </c>
      <c r="V48" s="4635">
        <f>IFERROR('8. Ремонтна програма'!M72/'8. Ремонтна програма'!M$80,0)</f>
        <v>0</v>
      </c>
      <c r="W48" s="4635">
        <f>IFERROR('8. Ремонтна програма'!N72/'8. Ремонтна програма'!N$80,0)</f>
        <v>15180</v>
      </c>
      <c r="X48" s="4635">
        <f>IFERROR('8. Ремонтна програма'!O72/'8. Ремонтна програма'!O$80,0)</f>
        <v>0</v>
      </c>
      <c r="Y48" s="3752">
        <f t="shared" si="66"/>
        <v>0</v>
      </c>
      <c r="Z48" s="3752">
        <f t="shared" si="41"/>
        <v>-1</v>
      </c>
      <c r="AA48" s="3524"/>
      <c r="AB48" s="3528"/>
      <c r="AC48" s="4524"/>
      <c r="AD48" s="4524"/>
      <c r="AE48" s="4524"/>
      <c r="AF48" s="4524"/>
      <c r="AG48" s="4524"/>
      <c r="AH48" s="4524"/>
      <c r="AI48" s="4524"/>
      <c r="AJ48" s="3524"/>
      <c r="AK48" s="5651" t="s">
        <v>184</v>
      </c>
      <c r="AL48" s="5652"/>
      <c r="AM48" s="5652"/>
      <c r="AN48" s="5652"/>
      <c r="AO48" s="5652"/>
      <c r="AP48" s="5653"/>
      <c r="AR48" s="4894"/>
      <c r="AS48" s="4894"/>
      <c r="AT48" s="4894"/>
      <c r="AU48" s="4894"/>
      <c r="AV48" s="4895"/>
    </row>
    <row r="49" spans="1:48" ht="15" customHeight="1">
      <c r="A49" s="3524"/>
      <c r="B49" s="4626"/>
      <c r="C49" s="3524"/>
      <c r="D49" s="3524"/>
      <c r="E49" s="3524"/>
      <c r="F49" s="3524"/>
      <c r="G49" s="3524"/>
      <c r="H49" s="3524"/>
      <c r="I49" s="3524"/>
      <c r="J49" s="3524"/>
      <c r="K49" s="3728"/>
      <c r="L49" s="3524"/>
      <c r="M49" s="3524"/>
      <c r="N49" s="3524"/>
      <c r="O49" s="3524"/>
      <c r="P49" s="3524"/>
      <c r="Q49" s="3524"/>
      <c r="R49" s="4636" t="s">
        <v>1584</v>
      </c>
      <c r="S49" s="4635">
        <f>IFERROR('8. Ремонтна програма'!J73/'8. Ремонтна програма'!J$80,0)</f>
        <v>0</v>
      </c>
      <c r="T49" s="4635">
        <f>IFERROR('8. Ремонтна програма'!K73/'8. Ремонтна програма'!K$80,0)</f>
        <v>0</v>
      </c>
      <c r="U49" s="4635">
        <f>IFERROR('8. Ремонтна програма'!L73/'8. Ремонтна програма'!L$80,0)</f>
        <v>0</v>
      </c>
      <c r="V49" s="4635">
        <f>IFERROR('8. Ремонтна програма'!M73/'8. Ремонтна програма'!M$80,0)</f>
        <v>0</v>
      </c>
      <c r="W49" s="4635">
        <f>IFERROR('8. Ремонтна програма'!N73/'8. Ремонтна програма'!N$80,0)</f>
        <v>0</v>
      </c>
      <c r="X49" s="4635">
        <f>IFERROR('8. Ремонтна програма'!O73/'8. Ремонтна програма'!O$80,0)</f>
        <v>0</v>
      </c>
      <c r="Y49" s="3752">
        <f t="shared" si="66"/>
        <v>0</v>
      </c>
      <c r="Z49" s="3752">
        <f t="shared" si="41"/>
        <v>0</v>
      </c>
      <c r="AA49" s="3524"/>
      <c r="AB49" s="3528"/>
      <c r="AC49" s="4524"/>
      <c r="AD49" s="4524"/>
      <c r="AE49" s="4524"/>
      <c r="AF49" s="4524"/>
      <c r="AG49" s="4524"/>
      <c r="AH49" s="4524"/>
      <c r="AI49" s="4524"/>
      <c r="AJ49" s="3524"/>
      <c r="AK49" s="1488" t="s">
        <v>608</v>
      </c>
      <c r="AL49" s="3736">
        <f>AR49</f>
        <v>0.44400000000000001</v>
      </c>
      <c r="AM49" s="3736">
        <f t="shared" ref="AM49:AP49" si="67">AS49</f>
        <v>0.49</v>
      </c>
      <c r="AN49" s="3736">
        <f t="shared" si="67"/>
        <v>0.55100000000000005</v>
      </c>
      <c r="AO49" s="3736">
        <f t="shared" si="67"/>
        <v>0.621</v>
      </c>
      <c r="AP49" s="3736">
        <f t="shared" si="67"/>
        <v>0.92200000000000004</v>
      </c>
      <c r="AR49" s="3736">
        <f>AL9</f>
        <v>0.44400000000000001</v>
      </c>
      <c r="AS49" s="3736">
        <f>AM9</f>
        <v>0.49</v>
      </c>
      <c r="AT49" s="3736">
        <f>AN9</f>
        <v>0.55100000000000005</v>
      </c>
      <c r="AU49" s="3736">
        <f>AO9</f>
        <v>0.621</v>
      </c>
      <c r="AV49" s="3736">
        <f>AP9</f>
        <v>0.92200000000000004</v>
      </c>
    </row>
    <row r="50" spans="1:48" ht="15" customHeight="1">
      <c r="A50" s="3524"/>
      <c r="B50" s="4626"/>
      <c r="C50" s="3524"/>
      <c r="D50" s="3524"/>
      <c r="E50" s="3524"/>
      <c r="F50" s="3524"/>
      <c r="G50" s="3524"/>
      <c r="H50" s="3524"/>
      <c r="I50" s="3524"/>
      <c r="J50" s="3524"/>
      <c r="K50" s="3728"/>
      <c r="L50" s="3524"/>
      <c r="M50" s="3524"/>
      <c r="N50" s="3524"/>
      <c r="O50" s="3524"/>
      <c r="P50" s="3524"/>
      <c r="Q50" s="3524"/>
      <c r="R50" s="4636" t="s">
        <v>1585</v>
      </c>
      <c r="S50" s="4635">
        <f>IFERROR('8. Ремонтна програма'!J74/'8. Ремонтна програма'!J$80,0)</f>
        <v>0</v>
      </c>
      <c r="T50" s="4635">
        <f>IFERROR('8. Ремонтна програма'!K74/'8. Ремонтна програма'!K$80,0)</f>
        <v>0</v>
      </c>
      <c r="U50" s="4635">
        <f>IFERROR('8. Ремонтна програма'!L74/'8. Ремонтна програма'!L$80,0)</f>
        <v>0</v>
      </c>
      <c r="V50" s="4635">
        <f>IFERROR('8. Ремонтна програма'!M74/'8. Ремонтна програма'!M$80,0)</f>
        <v>0</v>
      </c>
      <c r="W50" s="4635">
        <f>IFERROR('8. Ремонтна програма'!N74/'8. Ремонтна програма'!N$80,0)</f>
        <v>0</v>
      </c>
      <c r="X50" s="4635">
        <f>IFERROR('8. Ремонтна програма'!O74/'8. Ремонтна програма'!O$80,0)</f>
        <v>0</v>
      </c>
      <c r="Y50" s="3752">
        <f t="shared" si="66"/>
        <v>0</v>
      </c>
      <c r="Z50" s="3752">
        <f t="shared" si="41"/>
        <v>0</v>
      </c>
      <c r="AA50" s="3524"/>
      <c r="AB50" s="3528"/>
      <c r="AC50" s="4524"/>
      <c r="AD50" s="4524"/>
      <c r="AE50" s="4524"/>
      <c r="AF50" s="4524"/>
      <c r="AG50" s="4524"/>
      <c r="AH50" s="4524"/>
      <c r="AI50" s="4524"/>
      <c r="AJ50" s="3524"/>
      <c r="AK50" s="3632" t="s">
        <v>1927</v>
      </c>
      <c r="AL50" s="4645">
        <f>IFERROR(ROUND(AR50,5),"-")</f>
        <v>0.36684</v>
      </c>
      <c r="AM50" s="4903">
        <f t="shared" ref="AM50:AM55" si="68">IFERROR(ROUND(AS50,5),"-")</f>
        <v>0.41105999999999998</v>
      </c>
      <c r="AN50" s="4903">
        <f t="shared" ref="AN50:AN55" si="69">IFERROR(ROUND(AT50,5),"-")</f>
        <v>0.47073999999999999</v>
      </c>
      <c r="AO50" s="4903">
        <f t="shared" ref="AO50:AO55" si="70">IFERROR(ROUND(AU50,5),"-")</f>
        <v>0.53956999999999999</v>
      </c>
      <c r="AP50" s="4903">
        <f t="shared" ref="AP50:AP55" si="71">IFERROR(ROUND(AV50,5),"-")</f>
        <v>0.81323000000000001</v>
      </c>
      <c r="AR50" s="4645">
        <f>IFERROR(('12. Разходи'!BY88-'12. Разходи'!BY89)/AR57,"-")</f>
        <v>0.36684493860992506</v>
      </c>
      <c r="AS50" s="4645">
        <f>IFERROR(('12. Разходи'!BZ88-'12. Разходи'!BZ89)/AS57,"-")</f>
        <v>0.41106098498617311</v>
      </c>
      <c r="AT50" s="4645">
        <f>IFERROR(('12. Разходи'!CA88-'12. Разходи'!CA89)/AT57,"-")</f>
        <v>0.47073931495297888</v>
      </c>
      <c r="AU50" s="4645">
        <f>IFERROR(('12. Разходи'!CB88-'12. Разходи'!CB89)/AU57,"-")</f>
        <v>0.53956846700755634</v>
      </c>
      <c r="AV50" s="4645">
        <f>IFERROR(('12. Разходи'!CC88-'12. Разходи'!CC89)/AV57,"-")</f>
        <v>0.81322976768545796</v>
      </c>
    </row>
    <row r="51" spans="1:48" ht="15" customHeight="1">
      <c r="A51" s="3524"/>
      <c r="B51" s="4626"/>
      <c r="C51" s="3524"/>
      <c r="D51" s="3524"/>
      <c r="E51" s="3524"/>
      <c r="F51" s="3524"/>
      <c r="G51" s="3524"/>
      <c r="H51" s="3524"/>
      <c r="I51" s="3524"/>
      <c r="J51" s="3524"/>
      <c r="K51" s="3728"/>
      <c r="L51" s="3524"/>
      <c r="M51" s="3524"/>
      <c r="N51" s="3524"/>
      <c r="O51" s="3524"/>
      <c r="P51" s="3524"/>
      <c r="Q51" s="3524"/>
      <c r="R51" s="4636" t="s">
        <v>1586</v>
      </c>
      <c r="S51" s="4635">
        <f>IFERROR('8. Ремонтна програма'!J75/'8. Ремонтна програма'!J$80,0)</f>
        <v>0</v>
      </c>
      <c r="T51" s="4635">
        <f>IFERROR('8. Ремонтна програма'!K75/'8. Ремонтна програма'!K$80,0)</f>
        <v>0</v>
      </c>
      <c r="U51" s="4635">
        <f>IFERROR('8. Ремонтна програма'!L75/'8. Ремонтна програма'!L$80,0)</f>
        <v>0</v>
      </c>
      <c r="V51" s="4635">
        <f>IFERROR('8. Ремонтна програма'!M75/'8. Ремонтна програма'!M$80,0)</f>
        <v>0</v>
      </c>
      <c r="W51" s="4635">
        <f>IFERROR('8. Ремонтна програма'!N75/'8. Ремонтна програма'!N$80,0)</f>
        <v>0</v>
      </c>
      <c r="X51" s="4635">
        <f>IFERROR('8. Ремонтна програма'!O75/'8. Ремонтна програма'!O$80,0)</f>
        <v>0</v>
      </c>
      <c r="Y51" s="3752">
        <f t="shared" si="66"/>
        <v>0</v>
      </c>
      <c r="Z51" s="3752">
        <f t="shared" si="41"/>
        <v>0</v>
      </c>
      <c r="AA51" s="3524"/>
      <c r="AB51" s="3528"/>
      <c r="AC51" s="4524"/>
      <c r="AD51" s="4524"/>
      <c r="AE51" s="4524"/>
      <c r="AF51" s="4524"/>
      <c r="AG51" s="4524"/>
      <c r="AH51" s="4524"/>
      <c r="AI51" s="4524"/>
      <c r="AJ51" s="3524"/>
      <c r="AK51" s="3630" t="s">
        <v>1928</v>
      </c>
      <c r="AL51" s="4902">
        <f t="shared" ref="AL51:AL55" si="72">IFERROR(ROUND(AR51,5),"-")</f>
        <v>0.02</v>
      </c>
      <c r="AM51" s="4904">
        <f t="shared" si="68"/>
        <v>2.1299999999999999E-2</v>
      </c>
      <c r="AN51" s="4904">
        <f t="shared" si="69"/>
        <v>2.257E-2</v>
      </c>
      <c r="AO51" s="4904">
        <f t="shared" si="70"/>
        <v>2.392E-2</v>
      </c>
      <c r="AP51" s="4904">
        <f t="shared" si="71"/>
        <v>3.3110000000000001E-2</v>
      </c>
      <c r="AR51" s="4902">
        <f>IFERROR('12. Разходи'!BY55/AR57,"-")</f>
        <v>2.0003710444207748E-2</v>
      </c>
      <c r="AS51" s="4902">
        <f>IFERROR('12. Разходи'!BZ55/AS57,"-")</f>
        <v>2.1302958477776135E-2</v>
      </c>
      <c r="AT51" s="4902">
        <f>IFERROR('12. Разходи'!CA55/AT57,"-")</f>
        <v>2.2567561858238789E-2</v>
      </c>
      <c r="AU51" s="4902">
        <f>IFERROR('12. Разходи'!CB55/AU57,"-")</f>
        <v>2.3923362188177213E-2</v>
      </c>
      <c r="AV51" s="4902">
        <f>IFERROR('12. Разходи'!CC55/AV57,"-")</f>
        <v>3.3105396411144891E-2</v>
      </c>
    </row>
    <row r="52" spans="1:48" ht="15" customHeight="1">
      <c r="A52" s="3524"/>
      <c r="B52" s="4626"/>
      <c r="C52" s="3524"/>
      <c r="D52" s="3524"/>
      <c r="E52" s="3524"/>
      <c r="F52" s="3524"/>
      <c r="G52" s="3524"/>
      <c r="H52" s="3524"/>
      <c r="I52" s="3524"/>
      <c r="J52" s="3524"/>
      <c r="K52" s="3728"/>
      <c r="L52" s="3524"/>
      <c r="M52" s="3524"/>
      <c r="N52" s="3524"/>
      <c r="O52" s="3524"/>
      <c r="P52" s="3524"/>
      <c r="Q52" s="3524"/>
      <c r="R52" s="4636" t="s">
        <v>914</v>
      </c>
      <c r="S52" s="4635">
        <f>IFERROR('8. Ремонтна програма'!J76/'8. Ремонтна програма'!J$80,0)</f>
        <v>0</v>
      </c>
      <c r="T52" s="4635">
        <f>IFERROR('8. Ремонтна програма'!K76/'8. Ремонтна програма'!K$80,0)</f>
        <v>0</v>
      </c>
      <c r="U52" s="4635">
        <f>IFERROR('8. Ремонтна програма'!L76/'8. Ремонтна програма'!L$80,0)</f>
        <v>0</v>
      </c>
      <c r="V52" s="4635">
        <f>IFERROR('8. Ремонтна програма'!M76/'8. Ремонтна програма'!M$80,0)</f>
        <v>0</v>
      </c>
      <c r="W52" s="4635">
        <f>IFERROR('8. Ремонтна програма'!N76/'8. Ремонтна програма'!N$80,0)</f>
        <v>0</v>
      </c>
      <c r="X52" s="4635">
        <f>IFERROR('8. Ремонтна програма'!O76/'8. Ремонтна програма'!O$80,0)</f>
        <v>0</v>
      </c>
      <c r="Y52" s="3752">
        <f t="shared" si="66"/>
        <v>0</v>
      </c>
      <c r="Z52" s="3752">
        <f t="shared" si="41"/>
        <v>0</v>
      </c>
      <c r="AA52" s="3524"/>
      <c r="AB52" s="3528"/>
      <c r="AC52" s="4524"/>
      <c r="AD52" s="4524"/>
      <c r="AE52" s="4524"/>
      <c r="AF52" s="4524"/>
      <c r="AG52" s="4524"/>
      <c r="AH52" s="4524"/>
      <c r="AI52" s="4524"/>
      <c r="AJ52" s="3524"/>
      <c r="AK52" s="3630" t="s">
        <v>1929</v>
      </c>
      <c r="AL52" s="4902">
        <f t="shared" si="72"/>
        <v>0.27381</v>
      </c>
      <c r="AM52" s="4904">
        <f t="shared" si="68"/>
        <v>0.31451000000000001</v>
      </c>
      <c r="AN52" s="4904">
        <f t="shared" si="69"/>
        <v>0.37064000000000002</v>
      </c>
      <c r="AO52" s="4904">
        <f t="shared" si="70"/>
        <v>0.43593999999999999</v>
      </c>
      <c r="AP52" s="4904">
        <f t="shared" si="71"/>
        <v>0.67274</v>
      </c>
      <c r="AR52" s="4902">
        <f>IFERROR(('12. Разходи'!BY59+'12. Разходи'!BY63)/AR57,"-")</f>
        <v>0.27380762570495515</v>
      </c>
      <c r="AS52" s="4902">
        <f>IFERROR(('12. Разходи'!BZ59+'12. Разходи'!BZ63)/AS57,"-")</f>
        <v>0.31451189991566958</v>
      </c>
      <c r="AT52" s="4902">
        <f>IFERROR(('12. Разходи'!CA59+'12. Разходи'!CA63)/AT57,"-")</f>
        <v>0.37063707183580125</v>
      </c>
      <c r="AU52" s="4902">
        <f>IFERROR(('12. Разходи'!CB59+'12. Разходи'!CB63)/AU57,"-")</f>
        <v>0.43594002397022386</v>
      </c>
      <c r="AV52" s="4902">
        <f>IFERROR(('12. Разходи'!CC59+'12. Разходи'!CC63)/AV57,"-")</f>
        <v>0.67273828751581077</v>
      </c>
    </row>
    <row r="53" spans="1:48" ht="15" customHeight="1">
      <c r="A53" s="3524"/>
      <c r="B53" s="4626"/>
      <c r="C53" s="3524"/>
      <c r="D53" s="3524"/>
      <c r="E53" s="3524"/>
      <c r="F53" s="3524"/>
      <c r="G53" s="3524"/>
      <c r="H53" s="3524"/>
      <c r="I53" s="3524"/>
      <c r="J53" s="3524"/>
      <c r="K53" s="3728"/>
      <c r="L53" s="3524"/>
      <c r="M53" s="3524"/>
      <c r="N53" s="3524"/>
      <c r="O53" s="3524"/>
      <c r="P53" s="3524"/>
      <c r="Q53" s="3524"/>
      <c r="R53" s="4636" t="s">
        <v>918</v>
      </c>
      <c r="S53" s="4635">
        <f>IFERROR('8. Ремонтна програма'!J77/'8. Ремонтна програма'!J$80,0)</f>
        <v>0</v>
      </c>
      <c r="T53" s="4635">
        <f>IFERROR('8. Ремонтна програма'!K77/'8. Ремонтна програма'!K$80,0)</f>
        <v>0</v>
      </c>
      <c r="U53" s="4635">
        <f>IFERROR('8. Ремонтна програма'!L77/'8. Ремонтна програма'!L$80,0)</f>
        <v>0</v>
      </c>
      <c r="V53" s="4635">
        <f>IFERROR('8. Ремонтна програма'!M77/'8. Ремонтна програма'!M$80,0)</f>
        <v>0</v>
      </c>
      <c r="W53" s="4635">
        <f>IFERROR('8. Ремонтна програма'!N77/'8. Ремонтна програма'!N$80,0)</f>
        <v>0</v>
      </c>
      <c r="X53" s="4635">
        <f>IFERROR('8. Ремонтна програма'!O77/'8. Ремонтна програма'!O$80,0)</f>
        <v>0</v>
      </c>
      <c r="Y53" s="3752">
        <f t="shared" si="66"/>
        <v>0</v>
      </c>
      <c r="Z53" s="3752">
        <f t="shared" si="41"/>
        <v>0</v>
      </c>
      <c r="AA53" s="3524"/>
      <c r="AB53" s="3528"/>
      <c r="AC53" s="4524"/>
      <c r="AD53" s="4524"/>
      <c r="AE53" s="4524"/>
      <c r="AF53" s="4524"/>
      <c r="AG53" s="4524"/>
      <c r="AH53" s="4524"/>
      <c r="AI53" s="4524"/>
      <c r="AJ53" s="3524"/>
      <c r="AK53" s="3632" t="s">
        <v>1930</v>
      </c>
      <c r="AL53" s="4645">
        <f t="shared" si="72"/>
        <v>7.7359999999999998E-2</v>
      </c>
      <c r="AM53" s="4903">
        <f t="shared" si="68"/>
        <v>7.8820000000000001E-2</v>
      </c>
      <c r="AN53" s="4903">
        <f t="shared" si="69"/>
        <v>7.9979999999999996E-2</v>
      </c>
      <c r="AO53" s="4903">
        <f t="shared" si="70"/>
        <v>8.165E-2</v>
      </c>
      <c r="AP53" s="4903">
        <f t="shared" si="71"/>
        <v>0.10936999999999999</v>
      </c>
      <c r="AR53" s="4645">
        <f>IFERROR('12. Разходи'!BY89/AR57,"-")</f>
        <v>7.7356238551308132E-2</v>
      </c>
      <c r="AS53" s="4645">
        <f>IFERROR('12. Разходи'!BZ89/AS57,"-")</f>
        <v>7.8819528507925174E-2</v>
      </c>
      <c r="AT53" s="4645">
        <f>IFERROR('12. Разходи'!CA89/AT57,"-")</f>
        <v>7.9977619022327931E-2</v>
      </c>
      <c r="AU53" s="4645">
        <f>IFERROR('12. Разходи'!CB89/AU57,"-")</f>
        <v>8.1647165296456936E-2</v>
      </c>
      <c r="AV53" s="4645">
        <f>IFERROR('12. Разходи'!CC89/AV57,"-")</f>
        <v>0.10936977553686911</v>
      </c>
    </row>
    <row r="54" spans="1:48" ht="15" customHeight="1">
      <c r="A54" s="3524"/>
      <c r="B54" s="4626"/>
      <c r="C54" s="3524"/>
      <c r="D54" s="3524"/>
      <c r="E54" s="3524"/>
      <c r="F54" s="3524"/>
      <c r="G54" s="3524"/>
      <c r="H54" s="3524"/>
      <c r="I54" s="3524"/>
      <c r="J54" s="3524"/>
      <c r="K54" s="3728"/>
      <c r="L54" s="3524"/>
      <c r="M54" s="3524"/>
      <c r="N54" s="3524"/>
      <c r="O54" s="3524"/>
      <c r="P54" s="3524"/>
      <c r="Q54" s="3524"/>
      <c r="R54" s="4636" t="s">
        <v>1361</v>
      </c>
      <c r="S54" s="4635">
        <f>IFERROR('8. Ремонтна програма'!J78/'8. Ремонтна програма'!J$80,0)</f>
        <v>0</v>
      </c>
      <c r="T54" s="4635">
        <f>IFERROR('8. Ремонтна програма'!K78/'8. Ремонтна програма'!K$80,0)</f>
        <v>0</v>
      </c>
      <c r="U54" s="4635">
        <f>IFERROR('8. Ремонтна програма'!L78/'8. Ремонтна програма'!L$80,0)</f>
        <v>0</v>
      </c>
      <c r="V54" s="4635">
        <f>IFERROR('8. Ремонтна програма'!M78/'8. Ремонтна програма'!M$80,0)</f>
        <v>0</v>
      </c>
      <c r="W54" s="4635">
        <f>IFERROR('8. Ремонтна програма'!N78/'8. Ремонтна програма'!N$80,0)</f>
        <v>0</v>
      </c>
      <c r="X54" s="4635">
        <f>IFERROR('8. Ремонтна програма'!O78/'8. Ремонтна програма'!O$80,0)</f>
        <v>0</v>
      </c>
      <c r="Y54" s="3752">
        <f t="shared" si="66"/>
        <v>0</v>
      </c>
      <c r="Z54" s="3752">
        <f t="shared" si="41"/>
        <v>0</v>
      </c>
      <c r="AA54" s="3524"/>
      <c r="AB54" s="3528"/>
      <c r="AC54" s="4524"/>
      <c r="AD54" s="4524"/>
      <c r="AE54" s="4524"/>
      <c r="AF54" s="4524"/>
      <c r="AG54" s="4524"/>
      <c r="AH54" s="4524"/>
      <c r="AI54" s="4524"/>
      <c r="AJ54" s="3524"/>
      <c r="AK54" s="3630" t="s">
        <v>1931</v>
      </c>
      <c r="AL54" s="4902">
        <f t="shared" si="72"/>
        <v>6.1490000000000003E-2</v>
      </c>
      <c r="AM54" s="4904">
        <f t="shared" si="68"/>
        <v>6.2469999999999998E-2</v>
      </c>
      <c r="AN54" s="4904">
        <f t="shared" si="69"/>
        <v>6.3229999999999995E-2</v>
      </c>
      <c r="AO54" s="4904">
        <f t="shared" si="70"/>
        <v>6.4530000000000004E-2</v>
      </c>
      <c r="AP54" s="4904">
        <f t="shared" si="71"/>
        <v>8.6309999999999998E-2</v>
      </c>
      <c r="AR54" s="4902">
        <f>IFERROR('12. Разходи'!BY17/AR57,"-")</f>
        <v>6.1491261237734317E-2</v>
      </c>
      <c r="AS54" s="4902">
        <f>IFERROR('12. Разходи'!BZ17/AS57,"-")</f>
        <v>6.2473927974673521E-2</v>
      </c>
      <c r="AT54" s="4902">
        <f>IFERROR('12. Разходи'!CA17/AT57,"-")</f>
        <v>6.3231676628075217E-2</v>
      </c>
      <c r="AU54" s="4902">
        <f>IFERROR('12. Разходи'!CB17/AU57,"-")</f>
        <v>6.4531966911869285E-2</v>
      </c>
      <c r="AV54" s="4902">
        <f>IFERROR('12. Разходи'!CC17/AV57,"-")</f>
        <v>8.6310591508826168E-2</v>
      </c>
    </row>
    <row r="55" spans="1:48" ht="15" customHeight="1">
      <c r="A55" s="3524"/>
      <c r="B55" s="4626"/>
      <c r="C55" s="3524"/>
      <c r="D55" s="3524"/>
      <c r="E55" s="3524"/>
      <c r="F55" s="3524"/>
      <c r="G55" s="3524"/>
      <c r="H55" s="3524"/>
      <c r="I55" s="3524"/>
      <c r="J55" s="3524"/>
      <c r="K55" s="3728"/>
      <c r="L55" s="3524"/>
      <c r="M55" s="3524"/>
      <c r="N55" s="3524"/>
      <c r="O55" s="3524"/>
      <c r="P55" s="3524"/>
      <c r="Q55" s="3524"/>
      <c r="R55" s="4636" t="s">
        <v>1581</v>
      </c>
      <c r="S55" s="4635">
        <f>IFERROR('8. Ремонтна програма'!J79/'8. Ремонтна програма'!J$80,0)</f>
        <v>0</v>
      </c>
      <c r="T55" s="4635">
        <f>IFERROR('8. Ремонтна програма'!K79/'8. Ремонтна програма'!K$80,0)</f>
        <v>-190716.00000001083</v>
      </c>
      <c r="U55" s="4635">
        <f>IFERROR('8. Ремонтна програма'!L79/'8. Ремонтна програма'!L$80,0)</f>
        <v>0</v>
      </c>
      <c r="V55" s="4635">
        <f>IFERROR('8. Ремонтна програма'!M79/'8. Ремонтна програма'!M$80,0)</f>
        <v>0</v>
      </c>
      <c r="W55" s="4635">
        <f>IFERROR('8. Ремонтна програма'!N79/'8. Ремонтна програма'!N$80,0)</f>
        <v>76452</v>
      </c>
      <c r="X55" s="4635">
        <f>IFERROR('8. Ремонтна програма'!O79/'8. Ремонтна програма'!O$80,0)</f>
        <v>0</v>
      </c>
      <c r="Y55" s="3752">
        <f t="shared" si="66"/>
        <v>0</v>
      </c>
      <c r="Z55" s="3752">
        <f t="shared" si="41"/>
        <v>-1</v>
      </c>
      <c r="AA55" s="3524"/>
      <c r="AB55" s="3528"/>
      <c r="AC55" s="4524"/>
      <c r="AD55" s="4524"/>
      <c r="AE55" s="4524"/>
      <c r="AF55" s="4524"/>
      <c r="AG55" s="4524"/>
      <c r="AH55" s="4524"/>
      <c r="AI55" s="4524"/>
      <c r="AJ55" s="3524"/>
      <c r="AK55" s="3632" t="s">
        <v>1932</v>
      </c>
      <c r="AL55" s="4645">
        <f t="shared" si="72"/>
        <v>0</v>
      </c>
      <c r="AM55" s="4903">
        <f t="shared" si="68"/>
        <v>0</v>
      </c>
      <c r="AN55" s="4903">
        <f t="shared" si="69"/>
        <v>0</v>
      </c>
      <c r="AO55" s="4903">
        <f t="shared" si="70"/>
        <v>0</v>
      </c>
      <c r="AP55" s="4903">
        <f t="shared" si="71"/>
        <v>0</v>
      </c>
      <c r="AR55" s="4645">
        <f>IFERROR('16. Необходими приходи'!D23/AR57,"-")</f>
        <v>0</v>
      </c>
      <c r="AS55" s="4645">
        <f>IFERROR('16. Необходими приходи'!E23/AS57,"-")</f>
        <v>0</v>
      </c>
      <c r="AT55" s="4645">
        <f>IFERROR('16. Необходими приходи'!F23/AT57,"-")</f>
        <v>0</v>
      </c>
      <c r="AU55" s="4645">
        <f>IFERROR('16. Необходими приходи'!G23/AU57,"-")</f>
        <v>0</v>
      </c>
      <c r="AV55" s="4645">
        <f>IFERROR('16. Необходими приходи'!H23/AV57,"-")</f>
        <v>0</v>
      </c>
    </row>
    <row r="56" spans="1:48">
      <c r="A56" s="3524"/>
      <c r="B56" s="4626"/>
      <c r="C56" s="3524"/>
      <c r="D56" s="3524"/>
      <c r="E56" s="3524"/>
      <c r="F56" s="3524"/>
      <c r="G56" s="3524"/>
      <c r="H56" s="3524"/>
      <c r="I56" s="3524"/>
      <c r="J56" s="3524"/>
      <c r="K56" s="3728"/>
      <c r="L56" s="3524"/>
      <c r="M56" s="3524"/>
      <c r="N56" s="3524"/>
      <c r="O56" s="3524"/>
      <c r="P56" s="3524"/>
      <c r="Q56" s="3524"/>
      <c r="R56" s="3524"/>
      <c r="S56" s="3524"/>
      <c r="T56" s="3524"/>
      <c r="U56" s="3524"/>
      <c r="V56" s="3524"/>
      <c r="W56" s="3524"/>
      <c r="X56" s="3524"/>
      <c r="Y56" s="3524"/>
      <c r="Z56" s="3524"/>
      <c r="AA56" s="3524"/>
      <c r="AB56" s="3528"/>
      <c r="AC56" s="4524"/>
      <c r="AD56" s="4524"/>
      <c r="AE56" s="4524"/>
      <c r="AF56" s="4524"/>
      <c r="AG56" s="4524"/>
      <c r="AH56" s="4524"/>
      <c r="AI56" s="4524"/>
      <c r="AJ56" s="3524"/>
      <c r="AK56" s="1348"/>
      <c r="AL56"/>
      <c r="AM56"/>
      <c r="AN56"/>
      <c r="AO56"/>
      <c r="AP56"/>
      <c r="AQ56"/>
      <c r="AR56"/>
      <c r="AS56"/>
      <c r="AT56"/>
      <c r="AU56"/>
      <c r="AV56"/>
    </row>
    <row r="57" spans="1:48">
      <c r="AK57" s="1"/>
      <c r="AL57" s="4896"/>
      <c r="AM57" s="4896"/>
      <c r="AN57" s="4896"/>
      <c r="AO57" s="4896"/>
      <c r="AP57" s="4896"/>
      <c r="AQ57" s="4897" t="s">
        <v>1933</v>
      </c>
      <c r="AR57" s="4898">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5607.6214651769569</v>
      </c>
      <c r="AS57" s="4898">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5442.7359305130512</v>
      </c>
      <c r="AT57" s="4898">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5282.0852576982161</v>
      </c>
      <c r="AU57" s="4898">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5138.2520722016352</v>
      </c>
      <c r="AV57" s="4898">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3813.7604287645454</v>
      </c>
    </row>
    <row r="58" spans="1:48">
      <c r="AK58" s="1" t="s">
        <v>1934</v>
      </c>
      <c r="AL58" s="4896"/>
      <c r="AM58" s="4896"/>
      <c r="AN58" s="4896"/>
      <c r="AO58" s="4896"/>
      <c r="AP58" s="4896"/>
      <c r="AQ58" s="4899"/>
      <c r="AR58" s="4896"/>
      <c r="AS58" s="4896"/>
      <c r="AT58" s="4896"/>
      <c r="AU58" s="4896"/>
      <c r="AV58" s="4896"/>
    </row>
    <row r="59" spans="1:48">
      <c r="AK59" s="4900" t="s">
        <v>1935</v>
      </c>
      <c r="AL59" s="4901">
        <f>IFERROR(AL33-AL34-AL37-AL39,0)</f>
        <v>3.3999999999996533E-4</v>
      </c>
      <c r="AM59" s="4901">
        <f t="shared" ref="AM59:AP59" si="73">IFERROR(AM33-AM34-AM37-AM39,0)</f>
        <v>6.0120000000000069E-2</v>
      </c>
      <c r="AN59" s="4901">
        <f t="shared" si="73"/>
        <v>0.10531000000000004</v>
      </c>
      <c r="AO59" s="4901">
        <f t="shared" si="73"/>
        <v>0.11265000000000022</v>
      </c>
      <c r="AP59" s="4901">
        <f t="shared" si="73"/>
        <v>0.14310999999999996</v>
      </c>
      <c r="AQ59" s="4896"/>
      <c r="AR59" s="4896"/>
      <c r="AS59" s="4896"/>
      <c r="AT59" s="4896"/>
      <c r="AU59" s="4896"/>
      <c r="AV59" s="4896"/>
    </row>
    <row r="60" spans="1:48">
      <c r="AK60" s="4900" t="s">
        <v>1936</v>
      </c>
      <c r="AL60" s="4901">
        <f>IFERROR(AL41-AL42-AL45-AL47,0)</f>
        <v>2.7000000000000765E-4</v>
      </c>
      <c r="AM60" s="4901">
        <f t="shared" ref="AM60:AP60" si="74">IFERROR(AM41-AM42-AM45-AM47,0)</f>
        <v>-1.5000000000004246E-4</v>
      </c>
      <c r="AN60" s="4901">
        <f t="shared" si="74"/>
        <v>1.2000000000000986E-4</v>
      </c>
      <c r="AO60" s="4901">
        <f t="shared" si="74"/>
        <v>1.8999999999997361E-4</v>
      </c>
      <c r="AP60" s="4901">
        <f t="shared" si="74"/>
        <v>-1.0000000000002021E-4</v>
      </c>
      <c r="AQ60" s="4896"/>
      <c r="AR60" s="4896"/>
      <c r="AS60" s="4896"/>
      <c r="AT60" s="4896"/>
      <c r="AU60" s="4896"/>
      <c r="AV60" s="4896"/>
    </row>
    <row r="61" spans="1:48">
      <c r="AK61" s="4900" t="s">
        <v>1937</v>
      </c>
      <c r="AL61" s="4901">
        <f>IFERROR(AL49-AL50-AL53-AL55,0)</f>
        <v>-1.9999999999999185E-4</v>
      </c>
      <c r="AM61" s="4901">
        <f t="shared" ref="AM61:AP61" si="75">IFERROR(AM49-AM50-AM53-AM55,0)</f>
        <v>1.2000000000000899E-4</v>
      </c>
      <c r="AN61" s="4901">
        <f t="shared" si="75"/>
        <v>2.8000000000005798E-4</v>
      </c>
      <c r="AO61" s="4901">
        <f t="shared" si="75"/>
        <v>-2.1999999999999797E-4</v>
      </c>
      <c r="AP61" s="4901">
        <f t="shared" si="75"/>
        <v>-5.9999999999996168E-4</v>
      </c>
      <c r="AQ61" s="4896"/>
      <c r="AR61" s="4896"/>
      <c r="AS61" s="4896"/>
      <c r="AT61" s="4896"/>
      <c r="AU61" s="4896"/>
      <c r="AV61" s="4896"/>
    </row>
  </sheetData>
  <mergeCells count="75">
    <mergeCell ref="AK32:AP32"/>
    <mergeCell ref="AK40:AP40"/>
    <mergeCell ref="AK48:AP48"/>
    <mergeCell ref="AB31:AB32"/>
    <mergeCell ref="AC31:AG31"/>
    <mergeCell ref="AL30:AL31"/>
    <mergeCell ref="AM30:AM31"/>
    <mergeCell ref="AN30:AN31"/>
    <mergeCell ref="AO30:AO31"/>
    <mergeCell ref="AP30:AP31"/>
    <mergeCell ref="P35:P36"/>
    <mergeCell ref="AB21:AB22"/>
    <mergeCell ref="AC21:AG21"/>
    <mergeCell ref="A24:A25"/>
    <mergeCell ref="B24:B25"/>
    <mergeCell ref="C24:H24"/>
    <mergeCell ref="I24:N24"/>
    <mergeCell ref="O24:O25"/>
    <mergeCell ref="P24:P25"/>
    <mergeCell ref="AB25:AB26"/>
    <mergeCell ref="AC25:AG25"/>
    <mergeCell ref="A35:A36"/>
    <mergeCell ref="B35:B36"/>
    <mergeCell ref="C35:H35"/>
    <mergeCell ref="I35:N35"/>
    <mergeCell ref="O35:O36"/>
    <mergeCell ref="P13:P14"/>
    <mergeCell ref="AK14:AP14"/>
    <mergeCell ref="AK16:AP16"/>
    <mergeCell ref="AB18:AB19"/>
    <mergeCell ref="AC18:AG18"/>
    <mergeCell ref="AK19:AK20"/>
    <mergeCell ref="AL19:AL20"/>
    <mergeCell ref="AM19:AN19"/>
    <mergeCell ref="AO19:AS19"/>
    <mergeCell ref="A13:A14"/>
    <mergeCell ref="B13:B14"/>
    <mergeCell ref="C13:H13"/>
    <mergeCell ref="I13:N13"/>
    <mergeCell ref="O13:O14"/>
    <mergeCell ref="AP2:AP3"/>
    <mergeCell ref="R2:R3"/>
    <mergeCell ref="S2:X2"/>
    <mergeCell ref="Y2:Y3"/>
    <mergeCell ref="Z2:Z3"/>
    <mergeCell ref="AB2:AB3"/>
    <mergeCell ref="AC2:AG2"/>
    <mergeCell ref="AK2:AK3"/>
    <mergeCell ref="AL2:AL3"/>
    <mergeCell ref="AM2:AM3"/>
    <mergeCell ref="AN2:AN3"/>
    <mergeCell ref="AO2:AO3"/>
    <mergeCell ref="AB10:AB11"/>
    <mergeCell ref="AC10:AG10"/>
    <mergeCell ref="A2:A3"/>
    <mergeCell ref="B2:B3"/>
    <mergeCell ref="C2:H2"/>
    <mergeCell ref="I2:N2"/>
    <mergeCell ref="O2:O3"/>
    <mergeCell ref="AU30:AU31"/>
    <mergeCell ref="AV30:AV31"/>
    <mergeCell ref="P2:P3"/>
    <mergeCell ref="AK30:AK31"/>
    <mergeCell ref="AR30:AR31"/>
    <mergeCell ref="AS30:AS31"/>
    <mergeCell ref="AT30:AT31"/>
    <mergeCell ref="AK4:AP4"/>
    <mergeCell ref="AB5:AB6"/>
    <mergeCell ref="AC5:AG5"/>
    <mergeCell ref="AK6:AP6"/>
    <mergeCell ref="R8:R9"/>
    <mergeCell ref="S8:X8"/>
    <mergeCell ref="Y8:Y9"/>
    <mergeCell ref="Z8:Z9"/>
    <mergeCell ref="AK8:AP8"/>
  </mergeCells>
  <conditionalFormatting sqref="S17:X30">
    <cfRule type="top10" dxfId="4" priority="8" rank="7"/>
  </conditionalFormatting>
  <conditionalFormatting sqref="S34:X45">
    <cfRule type="top10" dxfId="3" priority="6" rank="7"/>
  </conditionalFormatting>
  <conditionalFormatting sqref="S47:X55">
    <cfRule type="top10" dxfId="2"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9C1B025A-D370-4637-B513-80219B400AA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5" id="{0FE66AD7-21CB-458E-93B5-B438028F66BE}">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4" id="{3E02B569-1DAC-47A8-8A64-26420C1FDE4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2" id="{91CC5EE5-E5E2-46CF-A5F2-51F1C59EE624}">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1" id="{0E38F90B-9FAE-4C1D-9796-8B4C8D9ECD3D}">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9"/>
  <sheetViews>
    <sheetView topLeftCell="A109" zoomScaleNormal="100" workbookViewId="0">
      <selection activeCell="I116" sqref="I116"/>
    </sheetView>
  </sheetViews>
  <sheetFormatPr defaultColWidth="9.140625" defaultRowHeight="15.75" customHeight="1"/>
  <cols>
    <col min="1" max="1" width="37.5703125" style="11" customWidth="1"/>
    <col min="2" max="7" width="9.140625" style="4588"/>
    <col min="8" max="8" width="3.7109375" style="11" customWidth="1"/>
    <col min="9" max="9" width="37.5703125" style="11" customWidth="1"/>
    <col min="10" max="17" width="9.140625" style="11"/>
    <col min="18" max="18" width="4.5703125" style="11" customWidth="1"/>
    <col min="19" max="19" width="37.5703125" style="4625" customWidth="1"/>
    <col min="20" max="27" width="9.140625" style="4588"/>
    <col min="28" max="28" width="3.5703125" style="11" customWidth="1"/>
    <col min="29" max="29" width="37.5703125" style="11" customWidth="1"/>
    <col min="30" max="30" width="9" style="4587" customWidth="1"/>
    <col min="31" max="35" width="9.140625" style="11"/>
    <col min="36" max="36" width="4.140625" style="11" customWidth="1"/>
    <col min="37" max="37" width="37.5703125" style="11" customWidth="1"/>
    <col min="38" max="42" width="9.140625" style="4588"/>
    <col min="43" max="43" width="9.140625" style="11"/>
    <col min="44" max="44" width="37.5703125" style="11" customWidth="1"/>
    <col min="45" max="16384" width="9.140625" style="11"/>
  </cols>
  <sheetData>
    <row r="1" spans="1:49" ht="15.75" customHeight="1">
      <c r="A1" s="3669" t="s">
        <v>1656</v>
      </c>
      <c r="B1" s="4524"/>
      <c r="C1" s="4524"/>
      <c r="D1" s="4524"/>
      <c r="E1" s="4524"/>
      <c r="F1" s="4524"/>
      <c r="G1" s="4524"/>
      <c r="H1" s="3524"/>
      <c r="I1" s="3669" t="s">
        <v>1009</v>
      </c>
      <c r="J1" s="3524"/>
      <c r="K1" s="3524"/>
      <c r="L1" s="3524"/>
      <c r="M1" s="3524"/>
      <c r="N1" s="3524"/>
      <c r="O1" s="3524"/>
      <c r="P1" s="3524"/>
      <c r="Q1" s="3524"/>
      <c r="R1" s="3524"/>
      <c r="S1" s="3729" t="s">
        <v>1672</v>
      </c>
      <c r="T1" s="4524"/>
      <c r="U1" s="4524"/>
      <c r="V1" s="4524"/>
      <c r="W1" s="4524"/>
      <c r="X1" s="4524"/>
      <c r="Y1" s="4524"/>
      <c r="Z1" s="4524"/>
      <c r="AA1" s="4524"/>
      <c r="AB1" s="3524"/>
      <c r="AC1" s="3729" t="s">
        <v>1689</v>
      </c>
      <c r="AD1" s="3758"/>
      <c r="AE1" s="3524"/>
      <c r="AF1" s="3524"/>
      <c r="AG1" s="3524"/>
      <c r="AH1" s="3524"/>
      <c r="AI1" s="3524"/>
      <c r="AJ1" s="3524"/>
      <c r="AK1" s="3729" t="s">
        <v>1693</v>
      </c>
      <c r="AL1" s="4524"/>
      <c r="AM1" s="4524"/>
      <c r="AN1" s="4524"/>
      <c r="AO1" s="4524"/>
      <c r="AP1" s="4524"/>
      <c r="AQ1" s="3524"/>
      <c r="AR1" s="3524"/>
      <c r="AS1" s="3524"/>
      <c r="AT1" s="3524"/>
      <c r="AU1" s="3524"/>
      <c r="AV1" s="3524"/>
      <c r="AW1" s="3524"/>
    </row>
    <row r="2" spans="1:49" ht="15.75" customHeight="1">
      <c r="A2" s="3759" t="s">
        <v>207</v>
      </c>
      <c r="B2" s="4524"/>
      <c r="C2" s="4524"/>
      <c r="D2" s="4524"/>
      <c r="E2" s="4524"/>
      <c r="F2" s="4524"/>
      <c r="G2" s="3760" t="s">
        <v>1635</v>
      </c>
      <c r="H2" s="3524"/>
      <c r="I2" s="1357" t="s">
        <v>1633</v>
      </c>
      <c r="J2" s="3524"/>
      <c r="K2" s="3524"/>
      <c r="L2" s="3524"/>
      <c r="M2" s="3524"/>
      <c r="N2" s="3524"/>
      <c r="O2" s="3760" t="s">
        <v>1635</v>
      </c>
      <c r="P2" s="3524"/>
      <c r="Q2" s="3524"/>
      <c r="R2" s="3524"/>
      <c r="S2" s="1656" t="s">
        <v>1680</v>
      </c>
      <c r="T2" s="4524"/>
      <c r="U2" s="4524"/>
      <c r="V2" s="4524"/>
      <c r="W2" s="4524"/>
      <c r="X2" s="4524"/>
      <c r="Y2" s="4524"/>
      <c r="Z2" s="4524"/>
      <c r="AA2" s="3760"/>
      <c r="AB2" s="3524"/>
      <c r="AC2" s="3524"/>
      <c r="AD2" s="3523"/>
      <c r="AE2" s="3524"/>
      <c r="AF2" s="3524"/>
      <c r="AG2" s="3524"/>
      <c r="AH2" s="3524"/>
      <c r="AI2" s="3524"/>
      <c r="AJ2" s="3524"/>
      <c r="AK2" s="1656" t="s">
        <v>305</v>
      </c>
      <c r="AL2" s="4524"/>
      <c r="AM2" s="4524"/>
      <c r="AN2" s="4524"/>
      <c r="AO2" s="4524"/>
      <c r="AP2" s="4524"/>
      <c r="AQ2" s="3524"/>
      <c r="AR2" s="1656" t="s">
        <v>1698</v>
      </c>
      <c r="AS2" s="4524"/>
      <c r="AT2" s="4524"/>
      <c r="AU2" s="4524"/>
      <c r="AV2" s="4524"/>
      <c r="AW2" s="4524"/>
    </row>
    <row r="3" spans="1:49" ht="12.75" customHeight="1">
      <c r="A3" s="5684" t="s">
        <v>87</v>
      </c>
      <c r="B3" s="5676" t="s">
        <v>210</v>
      </c>
      <c r="C3" s="5676"/>
      <c r="D3" s="5676"/>
      <c r="E3" s="5676"/>
      <c r="F3" s="5676"/>
      <c r="G3" s="5676"/>
      <c r="H3" s="3524"/>
      <c r="I3" s="4525" t="s">
        <v>1495</v>
      </c>
      <c r="J3" s="4526" t="str">
        <f>+'15. ОПП'!$C$7</f>
        <v>2027 г.</v>
      </c>
      <c r="K3" s="4526" t="str">
        <f>+'15. ОПП'!$D$7</f>
        <v>2028 г.</v>
      </c>
      <c r="L3" s="4526" t="str">
        <f>+'15. ОПП'!$E$7</f>
        <v>2029 г.</v>
      </c>
      <c r="M3" s="4526" t="str">
        <f>+'15. ОПП'!$F$7</f>
        <v>2030 г.</v>
      </c>
      <c r="N3" s="4526" t="str">
        <f>+'15. ОПП'!$G$7</f>
        <v>2031 г.</v>
      </c>
      <c r="O3" s="4527" t="s">
        <v>1594</v>
      </c>
      <c r="P3" s="3524"/>
      <c r="Q3" s="3524"/>
      <c r="R3" s="3524"/>
      <c r="S3" s="5676" t="s">
        <v>1667</v>
      </c>
      <c r="T3" s="5676" t="s">
        <v>207</v>
      </c>
      <c r="U3" s="5676"/>
      <c r="V3" s="5676"/>
      <c r="W3" s="5676"/>
      <c r="X3" s="5676"/>
      <c r="Y3" s="5676"/>
      <c r="Z3" s="5619" t="str">
        <f>+"Изменение "&amp;U4&amp;" спр. "&amp;T4</f>
        <v>Изменение 2027 г. спр. 2024 г.</v>
      </c>
      <c r="AA3" s="5619" t="str">
        <f>+"Изменение "&amp;Y4&amp;" спр. "&amp;U4</f>
        <v>Изменение 2031 г. спр. 2027 г.</v>
      </c>
      <c r="AB3" s="3524"/>
      <c r="AC3" s="3761" t="s">
        <v>1684</v>
      </c>
      <c r="AD3" s="4528" t="s">
        <v>1065</v>
      </c>
      <c r="AE3" s="4529" t="s">
        <v>1777</v>
      </c>
      <c r="AF3" s="4529" t="s">
        <v>1778</v>
      </c>
      <c r="AG3" s="4529" t="s">
        <v>1779</v>
      </c>
      <c r="AH3" s="4529" t="s">
        <v>1780</v>
      </c>
      <c r="AI3" s="4529" t="s">
        <v>1781</v>
      </c>
      <c r="AJ3" s="3524"/>
      <c r="AK3" s="5665" t="s">
        <v>1691</v>
      </c>
      <c r="AL3" s="5666" t="str">
        <f>T3</f>
        <v>Доставяне на вода на потребителите</v>
      </c>
      <c r="AM3" s="5667"/>
      <c r="AN3" s="5667"/>
      <c r="AO3" s="5667"/>
      <c r="AP3" s="5667"/>
      <c r="AQ3" s="3524"/>
      <c r="AR3" s="5668" t="s">
        <v>1692</v>
      </c>
      <c r="AS3" s="5670" t="s">
        <v>210</v>
      </c>
      <c r="AT3" s="5671"/>
      <c r="AU3" s="5671"/>
      <c r="AV3" s="5671"/>
      <c r="AW3" s="5672"/>
    </row>
    <row r="4" spans="1:49" ht="15.75" customHeight="1">
      <c r="A4" s="5684"/>
      <c r="B4" s="4526" t="str">
        <f>+'15. ОПП'!$B$7</f>
        <v>2024 г.</v>
      </c>
      <c r="C4" s="4526" t="str">
        <f>+'15. ОПП'!$C$7</f>
        <v>2027 г.</v>
      </c>
      <c r="D4" s="4526" t="str">
        <f>+'15. ОПП'!$D$7</f>
        <v>2028 г.</v>
      </c>
      <c r="E4" s="4526" t="str">
        <f>+'15. ОПП'!$E$7</f>
        <v>2029 г.</v>
      </c>
      <c r="F4" s="4526" t="str">
        <f>+'15. ОПП'!$F$7</f>
        <v>2030 г.</v>
      </c>
      <c r="G4" s="4526" t="str">
        <f>+'15. ОПП'!$G$7</f>
        <v>2031 г.</v>
      </c>
      <c r="H4" s="3524"/>
      <c r="I4" s="4530" t="str">
        <f>I27</f>
        <v>Доставяне на вода на потребителите</v>
      </c>
      <c r="J4" s="4531"/>
      <c r="K4" s="4531"/>
      <c r="L4" s="4531"/>
      <c r="M4" s="4531"/>
      <c r="N4" s="4531"/>
      <c r="O4" s="3904">
        <f>SUM(J4:N4)</f>
        <v>0</v>
      </c>
      <c r="P4" s="3524"/>
      <c r="Q4" s="3524"/>
      <c r="R4" s="3524"/>
      <c r="S4" s="5676"/>
      <c r="T4" s="4526" t="str">
        <f>+'15. ОПП'!$B$7</f>
        <v>2024 г.</v>
      </c>
      <c r="U4" s="4526" t="str">
        <f>+'15. ОПП'!$C$7</f>
        <v>2027 г.</v>
      </c>
      <c r="V4" s="4526" t="str">
        <f>+'15. ОПП'!$D$7</f>
        <v>2028 г.</v>
      </c>
      <c r="W4" s="4526" t="str">
        <f>+'15. ОПП'!$E$7</f>
        <v>2029 г.</v>
      </c>
      <c r="X4" s="4526" t="str">
        <f>+'15. ОПП'!$F$7</f>
        <v>2030 г.</v>
      </c>
      <c r="Y4" s="4526" t="str">
        <f>+'15. ОПП'!$G$7</f>
        <v>2031 г.</v>
      </c>
      <c r="Z4" s="5619"/>
      <c r="AA4" s="5619"/>
      <c r="AB4" s="3524"/>
      <c r="AC4" s="3762" t="s">
        <v>1685</v>
      </c>
      <c r="AD4" s="3763">
        <f>'14. ОПР'!B9</f>
        <v>35164</v>
      </c>
      <c r="AE4" s="3763">
        <f>'14. ОПР'!C9</f>
        <v>38703.881038</v>
      </c>
      <c r="AF4" s="3763">
        <f>'14. ОПР'!D9</f>
        <v>40463.371081999998</v>
      </c>
      <c r="AG4" s="3763">
        <f>'14. ОПР'!E9</f>
        <v>43716.829365600002</v>
      </c>
      <c r="AH4" s="3763">
        <f>'14. ОПР'!F9</f>
        <v>47261.636015600001</v>
      </c>
      <c r="AI4" s="3763">
        <f>'14. ОПР'!G9</f>
        <v>51745.7842256</v>
      </c>
      <c r="AJ4" s="3524"/>
      <c r="AK4" s="5665"/>
      <c r="AL4" s="4532" t="s">
        <v>1777</v>
      </c>
      <c r="AM4" s="4532" t="s">
        <v>1778</v>
      </c>
      <c r="AN4" s="4532" t="s">
        <v>1779</v>
      </c>
      <c r="AO4" s="4532" t="s">
        <v>1780</v>
      </c>
      <c r="AP4" s="4532" t="s">
        <v>1781</v>
      </c>
      <c r="AQ4" s="3524"/>
      <c r="AR4" s="5669"/>
      <c r="AS4" s="4532" t="s">
        <v>1777</v>
      </c>
      <c r="AT4" s="4532" t="s">
        <v>1778</v>
      </c>
      <c r="AU4" s="4532" t="s">
        <v>1779</v>
      </c>
      <c r="AV4" s="4532" t="s">
        <v>1780</v>
      </c>
      <c r="AW4" s="4532" t="s">
        <v>1781</v>
      </c>
    </row>
    <row r="5" spans="1:49" ht="15.75" customHeight="1">
      <c r="A5" s="5686" t="s">
        <v>1657</v>
      </c>
      <c r="B5" s="5686"/>
      <c r="C5" s="5686"/>
      <c r="D5" s="5686"/>
      <c r="E5" s="5686"/>
      <c r="F5" s="5686"/>
      <c r="G5" s="5686"/>
      <c r="H5" s="3524"/>
      <c r="I5" s="4530" t="str">
        <f>I30</f>
        <v>Отвеждане на отпадъчните води</v>
      </c>
      <c r="J5" s="4531"/>
      <c r="K5" s="4531"/>
      <c r="L5" s="4531"/>
      <c r="M5" s="4531"/>
      <c r="N5" s="4531"/>
      <c r="O5" s="3904">
        <f>SUM(J5:N5)</f>
        <v>0</v>
      </c>
      <c r="P5" s="3524"/>
      <c r="Q5" s="3524"/>
      <c r="R5" s="3524"/>
      <c r="S5" s="4533" t="s">
        <v>226</v>
      </c>
      <c r="T5" s="4534">
        <f>'12. Разходи'!C11</f>
        <v>1630.5693504379997</v>
      </c>
      <c r="U5" s="4534">
        <f>'12. Разходи'!D11</f>
        <v>1642.5518099999999</v>
      </c>
      <c r="V5" s="4534">
        <f>'12. Разходи'!E11</f>
        <v>1625.3645000000001</v>
      </c>
      <c r="W5" s="4534">
        <f>'12. Разходи'!F11</f>
        <v>1611.1467299999999</v>
      </c>
      <c r="X5" s="4534">
        <f>'12. Разходи'!G11</f>
        <v>1596.9289600000002</v>
      </c>
      <c r="Y5" s="4534">
        <f>'12. Разходи'!H11</f>
        <v>1580.0437499999998</v>
      </c>
      <c r="Z5" s="4535">
        <f>IFERROR((U5-T5)/T5,0)</f>
        <v>7.3486353455506559E-3</v>
      </c>
      <c r="AA5" s="4535">
        <f>IFERROR((Y5-U5)/U5,0)</f>
        <v>-3.8055457136539343E-2</v>
      </c>
      <c r="AB5" s="3524"/>
      <c r="AC5" s="3640" t="s">
        <v>494</v>
      </c>
      <c r="AD5" s="3644">
        <f>'14. ОПР'!B16</f>
        <v>193</v>
      </c>
      <c r="AE5" s="3644">
        <f>'14. ОПР'!C16</f>
        <v>0</v>
      </c>
      <c r="AF5" s="3644">
        <f>'14. ОПР'!D16</f>
        <v>0</v>
      </c>
      <c r="AG5" s="3644">
        <f>'14. ОПР'!E16</f>
        <v>0</v>
      </c>
      <c r="AH5" s="3644">
        <f>'14. ОПР'!F16</f>
        <v>0</v>
      </c>
      <c r="AI5" s="3644">
        <f>'14. ОПР'!G16</f>
        <v>0</v>
      </c>
      <c r="AJ5" s="3524"/>
      <c r="AK5" s="3645" t="s">
        <v>547</v>
      </c>
      <c r="AL5" s="3764">
        <f>'17. РБА'!C10</f>
        <v>45597.666666666672</v>
      </c>
      <c r="AM5" s="3764">
        <f>'17. РБА'!D10</f>
        <v>49333</v>
      </c>
      <c r="AN5" s="3764">
        <f>'17. РБА'!E10</f>
        <v>52429.666666666672</v>
      </c>
      <c r="AO5" s="3764">
        <f>'17. РБА'!F10</f>
        <v>55623.000000000007</v>
      </c>
      <c r="AP5" s="3764">
        <f>'17. РБА'!G10</f>
        <v>58963</v>
      </c>
      <c r="AQ5" s="3524"/>
      <c r="AR5" s="3765" t="s">
        <v>294</v>
      </c>
      <c r="AS5" s="3478">
        <f>'16. Необходими приходи'!D9</f>
        <v>0</v>
      </c>
      <c r="AT5" s="3478">
        <f>'16. Необходими приходи'!E9</f>
        <v>0</v>
      </c>
      <c r="AU5" s="3478">
        <f>'16. Необходими приходи'!F9</f>
        <v>0</v>
      </c>
      <c r="AV5" s="3478">
        <f>'16. Необходими приходи'!G9</f>
        <v>0</v>
      </c>
      <c r="AW5" s="3478">
        <f>'16. Необходими приходи'!H9</f>
        <v>0</v>
      </c>
    </row>
    <row r="6" spans="1:49" ht="15.75" customHeight="1">
      <c r="A6" s="4536" t="s">
        <v>334</v>
      </c>
      <c r="B6" s="3904">
        <f>'11. Амортиз. план'!E10</f>
        <v>17273</v>
      </c>
      <c r="C6" s="3904">
        <f>'11. Амортиз. план'!G10</f>
        <v>17653</v>
      </c>
      <c r="D6" s="3904">
        <f>'11. Амортиз. план'!H10</f>
        <v>17743.000000000004</v>
      </c>
      <c r="E6" s="3904">
        <f>'11. Амортиз. план'!I10</f>
        <v>17994.666666666672</v>
      </c>
      <c r="F6" s="3904">
        <f>'11. Амортиз. план'!J10</f>
        <v>18468</v>
      </c>
      <c r="G6" s="3904">
        <f>'11. Амортиз. план'!K10</f>
        <v>18561.333333333332</v>
      </c>
      <c r="H6" s="3524"/>
      <c r="I6" s="4530" t="str">
        <f>I33</f>
        <v>Пречистване на отпадъчните води</v>
      </c>
      <c r="J6" s="4531"/>
      <c r="K6" s="4531"/>
      <c r="L6" s="4531"/>
      <c r="M6" s="4531"/>
      <c r="N6" s="4531"/>
      <c r="O6" s="3904">
        <f>SUM(J6:N6)</f>
        <v>0</v>
      </c>
      <c r="P6" s="3524"/>
      <c r="Q6" s="3524"/>
      <c r="R6" s="3524"/>
      <c r="S6" s="4537" t="s">
        <v>239</v>
      </c>
      <c r="T6" s="3779">
        <f>'12. Разходи'!C29</f>
        <v>1760.223</v>
      </c>
      <c r="U6" s="3779">
        <f>'12. Разходи'!D29</f>
        <v>1761</v>
      </c>
      <c r="V6" s="3779">
        <f>'12. Разходи'!E29</f>
        <v>1761</v>
      </c>
      <c r="W6" s="3779">
        <f>'12. Разходи'!F29</f>
        <v>1761</v>
      </c>
      <c r="X6" s="3779">
        <f>'12. Разходи'!G29</f>
        <v>1761</v>
      </c>
      <c r="Y6" s="3779">
        <f>'12. Разходи'!H29</f>
        <v>1761</v>
      </c>
      <c r="Z6" s="4535">
        <f t="shared" ref="Z6:Z21" si="0">IFERROR((U6-T6)/T6,0)</f>
        <v>4.4142134263672482E-4</v>
      </c>
      <c r="AA6" s="4535">
        <f t="shared" ref="AA6:AA15" si="1">IFERROR((Y6-U6)/U6,0)</f>
        <v>0</v>
      </c>
      <c r="AB6" s="3524"/>
      <c r="AC6" s="3766" t="s">
        <v>489</v>
      </c>
      <c r="AD6" s="3767">
        <f t="shared" ref="AD6:AI6" si="2">AD4+AD5</f>
        <v>35357</v>
      </c>
      <c r="AE6" s="3767">
        <f t="shared" si="2"/>
        <v>38703.881038</v>
      </c>
      <c r="AF6" s="3767">
        <f t="shared" si="2"/>
        <v>40463.371081999998</v>
      </c>
      <c r="AG6" s="3767">
        <f t="shared" si="2"/>
        <v>43716.829365600002</v>
      </c>
      <c r="AH6" s="3767">
        <f t="shared" si="2"/>
        <v>47261.636015600001</v>
      </c>
      <c r="AI6" s="3767">
        <f t="shared" si="2"/>
        <v>51745.7842256</v>
      </c>
      <c r="AJ6" s="3524"/>
      <c r="AK6" s="3645" t="s">
        <v>548</v>
      </c>
      <c r="AL6" s="3768">
        <f>'17. РБА'!C13</f>
        <v>10091.375965887317</v>
      </c>
      <c r="AM6" s="3768">
        <f>'17. РБА'!D13</f>
        <v>11626.01079543277</v>
      </c>
      <c r="AN6" s="3768">
        <f>'17. РБА'!E13</f>
        <v>13261.398679470245</v>
      </c>
      <c r="AO6" s="3768">
        <f>'17. РБА'!F13</f>
        <v>15000.658815724579</v>
      </c>
      <c r="AP6" s="3768">
        <f>'17. РБА'!G13</f>
        <v>16858.757169629782</v>
      </c>
      <c r="AQ6" s="3524"/>
      <c r="AR6" s="3765" t="s">
        <v>296</v>
      </c>
      <c r="AS6" s="3478">
        <f>'16. Необходими приходи'!D10</f>
        <v>22156.466639545455</v>
      </c>
      <c r="AT6" s="3478">
        <f>'16. Необходими приходи'!E10</f>
        <v>23430.092384037474</v>
      </c>
      <c r="AU6" s="3478">
        <f>'16. Необходими приходи'!F10</f>
        <v>25595.091866254341</v>
      </c>
      <c r="AV6" s="3478">
        <f>'16. Необходими приходи'!G10</f>
        <v>27849.572313905199</v>
      </c>
      <c r="AW6" s="3478">
        <f>'16. Необходими приходи'!H10</f>
        <v>30627.520442084118</v>
      </c>
    </row>
    <row r="7" spans="1:49" ht="15.75" customHeight="1">
      <c r="A7" s="4538" t="s">
        <v>218</v>
      </c>
      <c r="B7" s="4539">
        <f>'11. Амортиз. план'!E35</f>
        <v>556</v>
      </c>
      <c r="C7" s="4539">
        <f>'11. Амортиз. план'!G35</f>
        <v>763.25164772727271</v>
      </c>
      <c r="D7" s="4539">
        <f>'11. Амортиз. план'!H35</f>
        <v>781.06350185610768</v>
      </c>
      <c r="E7" s="4539">
        <f>'11. Амортиз. план'!I35</f>
        <v>809.27877905423452</v>
      </c>
      <c r="F7" s="4539">
        <f>'11. Амортиз. план'!J35</f>
        <v>853.98049372471746</v>
      </c>
      <c r="G7" s="4539">
        <f>'11. Амортиз. план'!K35</f>
        <v>884.81187553427912</v>
      </c>
      <c r="H7" s="3524"/>
      <c r="I7" s="4540" t="s">
        <v>1028</v>
      </c>
      <c r="J7" s="4541">
        <f t="shared" ref="J7:O7" si="3">SUM(J4:J6)</f>
        <v>0</v>
      </c>
      <c r="K7" s="4541">
        <f t="shared" si="3"/>
        <v>0</v>
      </c>
      <c r="L7" s="4541">
        <f t="shared" si="3"/>
        <v>0</v>
      </c>
      <c r="M7" s="4541">
        <f t="shared" si="3"/>
        <v>0</v>
      </c>
      <c r="N7" s="4541">
        <f t="shared" si="3"/>
        <v>0</v>
      </c>
      <c r="O7" s="4541">
        <f t="shared" si="3"/>
        <v>0</v>
      </c>
      <c r="P7" s="3524"/>
      <c r="Q7" s="3524"/>
      <c r="R7" s="3524"/>
      <c r="S7" s="4537" t="s">
        <v>446</v>
      </c>
      <c r="T7" s="3779">
        <f>'12. Разходи'!C55</f>
        <v>5100</v>
      </c>
      <c r="U7" s="3779">
        <f>'12. Разходи'!D55</f>
        <v>4341.9148295454543</v>
      </c>
      <c r="V7" s="3779">
        <f>'12. Разходи'!E55</f>
        <v>3787.7278840374761</v>
      </c>
      <c r="W7" s="3779">
        <f>'12. Разходи'!F55</f>
        <v>3750.9451362543414</v>
      </c>
      <c r="X7" s="3779">
        <f>'12. Разходи'!G55</f>
        <v>3720.6433539051968</v>
      </c>
      <c r="Y7" s="3779">
        <f>'12. Разходи'!H55</f>
        <v>3886.4766920841166</v>
      </c>
      <c r="Z7" s="4535">
        <f t="shared" si="0"/>
        <v>-0.14864415106951878</v>
      </c>
      <c r="AA7" s="4535">
        <f t="shared" si="1"/>
        <v>-0.10489338352798055</v>
      </c>
      <c r="AB7" s="3524"/>
      <c r="AC7" s="3762" t="s">
        <v>1686</v>
      </c>
      <c r="AD7" s="3763">
        <f>'14. ОПР'!B22</f>
        <v>34683.447920746003</v>
      </c>
      <c r="AE7" s="3763">
        <f>'14. ОПР'!C22</f>
        <v>37955.881038</v>
      </c>
      <c r="AF7" s="3763">
        <f>'14. ОПР'!D22</f>
        <v>39599.371081999998</v>
      </c>
      <c r="AG7" s="3763">
        <f>'14. ОПР'!E22</f>
        <v>42752.829365600002</v>
      </c>
      <c r="AH7" s="3763">
        <f>'14. ОПР'!F22</f>
        <v>46207.636015600001</v>
      </c>
      <c r="AI7" s="3763">
        <f>'14. ОПР'!G22</f>
        <v>50619.7842256</v>
      </c>
      <c r="AJ7" s="3524"/>
      <c r="AK7" s="3645" t="s">
        <v>549</v>
      </c>
      <c r="AL7" s="3764">
        <f>'17. РБА'!C16</f>
        <v>2251</v>
      </c>
      <c r="AM7" s="3764">
        <f>'17. РБА'!D16</f>
        <v>1893</v>
      </c>
      <c r="AN7" s="3764">
        <f>'17. РБА'!E16</f>
        <v>1535</v>
      </c>
      <c r="AO7" s="3764">
        <f>'17. РБА'!F16</f>
        <v>1177</v>
      </c>
      <c r="AP7" s="3764">
        <f>'17. РБА'!G16</f>
        <v>819</v>
      </c>
      <c r="AQ7" s="3524"/>
      <c r="AR7" s="3765" t="s">
        <v>1787</v>
      </c>
      <c r="AS7" s="3478">
        <f>'12. Разходи'!D17</f>
        <v>371.55181000000005</v>
      </c>
      <c r="AT7" s="3478">
        <f>'12. Разходи'!E17</f>
        <v>354.36450000000002</v>
      </c>
      <c r="AU7" s="3478">
        <f>'12. Разходи'!F17</f>
        <v>340.14673000000005</v>
      </c>
      <c r="AV7" s="3478">
        <f>'12. Разходи'!G17</f>
        <v>325.92896000000002</v>
      </c>
      <c r="AW7" s="3478">
        <f>'12. Разходи'!H17</f>
        <v>309.04375000000005</v>
      </c>
    </row>
    <row r="8" spans="1:49" ht="15.75" customHeight="1">
      <c r="A8" s="4542" t="s">
        <v>220</v>
      </c>
      <c r="B8" s="3779">
        <f>'11. Амортиз. план'!E60</f>
        <v>6625.5000000000009</v>
      </c>
      <c r="C8" s="3779">
        <f>'11. Амортиз. план'!G60</f>
        <v>8121.8229049139363</v>
      </c>
      <c r="D8" s="3779">
        <f>'11. Амортиз. план'!H60</f>
        <v>8902.8864067700433</v>
      </c>
      <c r="E8" s="3779">
        <f>'11. Амортиз. план'!I60</f>
        <v>9712.1651858242712</v>
      </c>
      <c r="F8" s="3779">
        <f>'11. Амортиз. план'!J60</f>
        <v>10566.145679548994</v>
      </c>
      <c r="G8" s="3779">
        <f>'11. Амортиз. план'!K60</f>
        <v>11450.957555083267</v>
      </c>
      <c r="H8" s="3524"/>
      <c r="I8" s="4543" t="s">
        <v>1734</v>
      </c>
      <c r="J8" s="4543"/>
      <c r="K8" s="4543"/>
      <c r="L8" s="4543"/>
      <c r="M8" s="4543"/>
      <c r="N8" s="4543"/>
      <c r="O8" s="3760" t="s">
        <v>1635</v>
      </c>
      <c r="P8" s="3524"/>
      <c r="Q8" s="3524"/>
      <c r="R8" s="3524"/>
      <c r="S8" s="4544" t="s">
        <v>447</v>
      </c>
      <c r="T8" s="4539">
        <f>'12. Разходи'!C56</f>
        <v>383</v>
      </c>
      <c r="U8" s="4539">
        <f>'12. Разходи'!D56</f>
        <v>763.25164772727271</v>
      </c>
      <c r="V8" s="4539">
        <f>'12. Разходи'!E56</f>
        <v>781.06350185610768</v>
      </c>
      <c r="W8" s="4539">
        <f>'12. Разходи'!F56</f>
        <v>809.27877905423452</v>
      </c>
      <c r="X8" s="4539">
        <f>'12. Разходи'!G56</f>
        <v>853.98049372471746</v>
      </c>
      <c r="Y8" s="4539">
        <f>'12. Разходи'!H56</f>
        <v>884.81187553427912</v>
      </c>
      <c r="Z8" s="4535">
        <f t="shared" si="0"/>
        <v>0.99282414550201747</v>
      </c>
      <c r="AA8" s="4535">
        <f t="shared" si="1"/>
        <v>0.15926625008799544</v>
      </c>
      <c r="AB8" s="3524"/>
      <c r="AC8" s="3641" t="s">
        <v>508</v>
      </c>
      <c r="AD8" s="3644">
        <f>'14. ОПР'!B34</f>
        <v>157</v>
      </c>
      <c r="AE8" s="3644">
        <f>'14. ОПР'!C34</f>
        <v>115</v>
      </c>
      <c r="AF8" s="3644">
        <f>'14. ОПР'!D34</f>
        <v>95</v>
      </c>
      <c r="AG8" s="3644">
        <f>'14. ОПР'!E34</f>
        <v>75</v>
      </c>
      <c r="AH8" s="3644">
        <f>'14. ОПР'!F34</f>
        <v>55</v>
      </c>
      <c r="AI8" s="3644">
        <f>'14. ОПР'!G34</f>
        <v>36</v>
      </c>
      <c r="AJ8" s="3524"/>
      <c r="AK8" s="3645" t="s">
        <v>329</v>
      </c>
      <c r="AL8" s="3764">
        <f>'17. РБА'!C19</f>
        <v>3735.3333333333335</v>
      </c>
      <c r="AM8" s="3764">
        <f>'17. РБА'!D19</f>
        <v>3096.6666666666665</v>
      </c>
      <c r="AN8" s="3764">
        <f>'17. РБА'!E19</f>
        <v>3193.3333333333335</v>
      </c>
      <c r="AO8" s="3764">
        <f>'17. РБА'!F19</f>
        <v>3340</v>
      </c>
      <c r="AP8" s="3764">
        <f>'17. РБА'!G19</f>
        <v>3095</v>
      </c>
      <c r="AQ8" s="3524"/>
      <c r="AR8" s="3732" t="s">
        <v>297</v>
      </c>
      <c r="AS8" s="3733">
        <f>AS5+AS6</f>
        <v>22156.466639545455</v>
      </c>
      <c r="AT8" s="3733">
        <f>AT5+AT6</f>
        <v>23430.092384037474</v>
      </c>
      <c r="AU8" s="3733">
        <f>AU5+AU6</f>
        <v>25595.091866254341</v>
      </c>
      <c r="AV8" s="3733">
        <f>AV5+AV6</f>
        <v>27849.572313905199</v>
      </c>
      <c r="AW8" s="3733">
        <f>AW5+AW6</f>
        <v>30627.520442084118</v>
      </c>
    </row>
    <row r="9" spans="1:49" ht="15.75" customHeight="1">
      <c r="A9" s="4542" t="s">
        <v>222</v>
      </c>
      <c r="B9" s="3779">
        <f>'11. Амортиз. план'!E85</f>
        <v>10647.5</v>
      </c>
      <c r="C9" s="3779">
        <f>'11. Амортиз. план'!G85</f>
        <v>9531.1770950860646</v>
      </c>
      <c r="D9" s="3779">
        <f>'11. Амортиз. план'!H85</f>
        <v>8840.1135932299567</v>
      </c>
      <c r="E9" s="3779">
        <f>'11. Амортиз. план'!I85</f>
        <v>8282.5014808423894</v>
      </c>
      <c r="F9" s="3779">
        <f>'11. Амортиз. план'!J85</f>
        <v>7901.8543204510052</v>
      </c>
      <c r="G9" s="3779">
        <f>'11. Амортиз. план'!K85</f>
        <v>7110.3757782500606</v>
      </c>
      <c r="H9" s="3524"/>
      <c r="I9" s="4525" t="s">
        <v>1495</v>
      </c>
      <c r="J9" s="4526" t="str">
        <f>+'15. ОПП'!$C$7</f>
        <v>2027 г.</v>
      </c>
      <c r="K9" s="4526" t="str">
        <f>+'15. ОПП'!$D$7</f>
        <v>2028 г.</v>
      </c>
      <c r="L9" s="4526" t="str">
        <f>+'15. ОПП'!$E$7</f>
        <v>2029 г.</v>
      </c>
      <c r="M9" s="4526" t="str">
        <f>+'15. ОПП'!$F$7</f>
        <v>2030 г.</v>
      </c>
      <c r="N9" s="4526" t="str">
        <f>+'15. ОПП'!$G$7</f>
        <v>2031 г.</v>
      </c>
      <c r="O9" s="4527" t="s">
        <v>1594</v>
      </c>
      <c r="P9" s="3524"/>
      <c r="Q9" s="3524"/>
      <c r="R9" s="3524"/>
      <c r="S9" s="4544" t="s">
        <v>736</v>
      </c>
      <c r="T9" s="4539">
        <f>'12. Разходи'!C57</f>
        <v>411</v>
      </c>
      <c r="U9" s="4539">
        <f>'12. Разходи'!D57</f>
        <v>771.38318181818181</v>
      </c>
      <c r="V9" s="4539">
        <f>'12. Разходи'!E57</f>
        <v>854.32438218136826</v>
      </c>
      <c r="W9" s="4539">
        <f>'12. Разходи'!F57</f>
        <v>929.98135720010691</v>
      </c>
      <c r="X9" s="4539">
        <f>'12. Разходи'!G57</f>
        <v>1004.1178601804791</v>
      </c>
      <c r="Y9" s="4539">
        <f>'12. Разходи'!H57</f>
        <v>1078.4168165498374</v>
      </c>
      <c r="Z9" s="4535">
        <f t="shared" si="0"/>
        <v>0.8768447246184472</v>
      </c>
      <c r="AA9" s="4535">
        <f t="shared" si="1"/>
        <v>0.39802998298195297</v>
      </c>
      <c r="AB9" s="3524"/>
      <c r="AC9" s="3766" t="s">
        <v>499</v>
      </c>
      <c r="AD9" s="3767">
        <f t="shared" ref="AD9:AI9" si="4">AD7+AD8</f>
        <v>34840.447920746003</v>
      </c>
      <c r="AE9" s="3767">
        <f t="shared" si="4"/>
        <v>38070.881038</v>
      </c>
      <c r="AF9" s="3767">
        <f t="shared" si="4"/>
        <v>39694.371081999998</v>
      </c>
      <c r="AG9" s="3767">
        <f t="shared" si="4"/>
        <v>42827.829365600002</v>
      </c>
      <c r="AH9" s="3767">
        <f t="shared" si="4"/>
        <v>46262.636015600001</v>
      </c>
      <c r="AI9" s="3767">
        <f t="shared" si="4"/>
        <v>50655.7842256</v>
      </c>
      <c r="AJ9" s="3524"/>
      <c r="AK9" s="3645" t="s">
        <v>306</v>
      </c>
      <c r="AL9" s="3764">
        <f>'17. РБА'!C20</f>
        <v>2928.4194756164388</v>
      </c>
      <c r="AM9" s="3764">
        <f>'17. РБА'!D20</f>
        <v>3228.8818356164384</v>
      </c>
      <c r="AN9" s="3764">
        <f>'17. РБА'!E20</f>
        <v>3590.8186405479455</v>
      </c>
      <c r="AO9" s="3764">
        <f>'17. РБА'!F20</f>
        <v>3966.3992810958907</v>
      </c>
      <c r="AP9" s="3764">
        <f>'17. РБА'!G20</f>
        <v>4395.7880136986305</v>
      </c>
      <c r="AQ9" s="3524"/>
      <c r="AR9" s="5668" t="s">
        <v>1692</v>
      </c>
      <c r="AS9" s="5670" t="s">
        <v>174</v>
      </c>
      <c r="AT9" s="5671"/>
      <c r="AU9" s="5671"/>
      <c r="AV9" s="5671"/>
      <c r="AW9" s="5672"/>
    </row>
    <row r="10" spans="1:49" ht="15.75" customHeight="1">
      <c r="A10" s="5686" t="s">
        <v>1658</v>
      </c>
      <c r="B10" s="5686"/>
      <c r="C10" s="5686"/>
      <c r="D10" s="5686"/>
      <c r="E10" s="5686"/>
      <c r="F10" s="5686"/>
      <c r="G10" s="5686"/>
      <c r="H10" s="3524"/>
      <c r="I10" s="4530" t="s">
        <v>207</v>
      </c>
      <c r="J10" s="4531">
        <f>J28</f>
        <v>3578.666666666667</v>
      </c>
      <c r="K10" s="4531">
        <f t="shared" ref="K10:N10" si="5">K28</f>
        <v>3006.6666666666665</v>
      </c>
      <c r="L10" s="4531">
        <f t="shared" si="5"/>
        <v>2941.666666666667</v>
      </c>
      <c r="M10" s="4531">
        <f t="shared" si="5"/>
        <v>2866.6666666666665</v>
      </c>
      <c r="N10" s="4531">
        <f t="shared" si="5"/>
        <v>3001.6666666666665</v>
      </c>
      <c r="O10" s="3904">
        <f>SUM(J10:N10)</f>
        <v>15395.333333333332</v>
      </c>
      <c r="P10" s="3524"/>
      <c r="Q10" s="3524"/>
      <c r="R10" s="3524"/>
      <c r="S10" s="4544" t="s">
        <v>737</v>
      </c>
      <c r="T10" s="4539">
        <f>'12. Разходи'!C58</f>
        <v>4306</v>
      </c>
      <c r="U10" s="4539">
        <f>'12. Разходи'!D58</f>
        <v>2807.28</v>
      </c>
      <c r="V10" s="4539">
        <f>'12. Разходи'!E58</f>
        <v>2152.34</v>
      </c>
      <c r="W10" s="4539">
        <f>'12. Разходи'!F58</f>
        <v>2011.6849999999999</v>
      </c>
      <c r="X10" s="4539">
        <f>'12. Разходи'!G58</f>
        <v>1862.5450000000001</v>
      </c>
      <c r="Y10" s="4539">
        <f>'12. Разходи'!H58</f>
        <v>1923.248</v>
      </c>
      <c r="Z10" s="4535">
        <f t="shared" si="0"/>
        <v>-0.34805387830933576</v>
      </c>
      <c r="AA10" s="4535">
        <f t="shared" si="1"/>
        <v>-0.31490695619959536</v>
      </c>
      <c r="AB10" s="3524"/>
      <c r="AC10" s="3640" t="s">
        <v>513</v>
      </c>
      <c r="AD10" s="3763">
        <f t="shared" ref="AD10:AI10" si="6">AD4-AD7</f>
        <v>480.55207925399736</v>
      </c>
      <c r="AE10" s="3763">
        <f t="shared" si="6"/>
        <v>748</v>
      </c>
      <c r="AF10" s="3763">
        <f t="shared" si="6"/>
        <v>864</v>
      </c>
      <c r="AG10" s="3763">
        <f t="shared" si="6"/>
        <v>964</v>
      </c>
      <c r="AH10" s="3763">
        <f t="shared" si="6"/>
        <v>1054</v>
      </c>
      <c r="AI10" s="3763">
        <f t="shared" si="6"/>
        <v>1126</v>
      </c>
      <c r="AJ10" s="3524"/>
      <c r="AK10" s="3646" t="s">
        <v>305</v>
      </c>
      <c r="AL10" s="3647">
        <f t="shared" ref="AL10:AP10" si="7">AL5-AL6+AL7+AL8+AL9</f>
        <v>44421.043509729127</v>
      </c>
      <c r="AM10" s="3647">
        <f t="shared" si="7"/>
        <v>45925.537706850337</v>
      </c>
      <c r="AN10" s="3647">
        <f t="shared" si="7"/>
        <v>47487.419961077707</v>
      </c>
      <c r="AO10" s="3647">
        <f t="shared" si="7"/>
        <v>49105.740465371317</v>
      </c>
      <c r="AP10" s="3647">
        <f t="shared" si="7"/>
        <v>50414.030844068846</v>
      </c>
      <c r="AQ10" s="3524"/>
      <c r="AR10" s="5669"/>
      <c r="AS10" s="4532" t="s">
        <v>1777</v>
      </c>
      <c r="AT10" s="4532" t="s">
        <v>1778</v>
      </c>
      <c r="AU10" s="4532" t="s">
        <v>1779</v>
      </c>
      <c r="AV10" s="4532" t="s">
        <v>1780</v>
      </c>
      <c r="AW10" s="4532" t="s">
        <v>1781</v>
      </c>
    </row>
    <row r="11" spans="1:49" ht="15.75" customHeight="1">
      <c r="A11" s="4536" t="s">
        <v>334</v>
      </c>
      <c r="B11" s="3904">
        <f>'11. Амортиз. план'!E111</f>
        <v>23481</v>
      </c>
      <c r="C11" s="3904">
        <f>'11. Амортиз. план'!G111</f>
        <v>31680</v>
      </c>
      <c r="D11" s="3904">
        <f>'11. Амортиз. план'!H111</f>
        <v>34686.666666666672</v>
      </c>
      <c r="E11" s="3904">
        <f>'11. Амортиз. план'!I111</f>
        <v>37628.333333333336</v>
      </c>
      <c r="F11" s="3904">
        <f>'11. Амортиз. план'!J111</f>
        <v>40495</v>
      </c>
      <c r="G11" s="3904">
        <f>'11. Амортиз. план'!K111</f>
        <v>43496.666666666664</v>
      </c>
      <c r="H11" s="3524"/>
      <c r="I11" s="4530" t="s">
        <v>208</v>
      </c>
      <c r="J11" s="4531">
        <f>J31</f>
        <v>186.66666666666666</v>
      </c>
      <c r="K11" s="4531">
        <f t="shared" ref="K11:N11" si="8">K31</f>
        <v>186.66666666666666</v>
      </c>
      <c r="L11" s="4531">
        <f t="shared" si="8"/>
        <v>186.66666666666666</v>
      </c>
      <c r="M11" s="4531">
        <f t="shared" si="8"/>
        <v>176.66666666666669</v>
      </c>
      <c r="N11" s="4531">
        <f t="shared" si="8"/>
        <v>176.66666666666669</v>
      </c>
      <c r="O11" s="3904">
        <f>SUM(J11:N11)</f>
        <v>913.33333333333348</v>
      </c>
      <c r="P11" s="3524"/>
      <c r="Q11" s="3524"/>
      <c r="R11" s="3524"/>
      <c r="S11" s="4537" t="s">
        <v>448</v>
      </c>
      <c r="T11" s="3779">
        <f>'12. Разходи'!C59</f>
        <v>6984</v>
      </c>
      <c r="U11" s="3779">
        <f>'12. Разходи'!D59</f>
        <v>10247</v>
      </c>
      <c r="V11" s="3779">
        <f>'12. Разходи'!E59</f>
        <v>11570</v>
      </c>
      <c r="W11" s="3779">
        <f>'12. Разходи'!F59</f>
        <v>13185</v>
      </c>
      <c r="X11" s="3779">
        <f>'12. Разходи'!G59</f>
        <v>14790</v>
      </c>
      <c r="Y11" s="3779">
        <f>'12. Разходи'!H59</f>
        <v>16620</v>
      </c>
      <c r="Z11" s="4535">
        <f t="shared" si="0"/>
        <v>0.46721076746849943</v>
      </c>
      <c r="AA11" s="4535">
        <f t="shared" si="1"/>
        <v>0.62193812823265349</v>
      </c>
      <c r="AB11" s="3524"/>
      <c r="AC11" s="3640" t="s">
        <v>514</v>
      </c>
      <c r="AD11" s="3763">
        <f t="shared" ref="AD11:AI11" si="9">AD6-AD9</f>
        <v>516.55207925399736</v>
      </c>
      <c r="AE11" s="3763">
        <f t="shared" si="9"/>
        <v>633</v>
      </c>
      <c r="AF11" s="3763">
        <f t="shared" si="9"/>
        <v>769</v>
      </c>
      <c r="AG11" s="3763">
        <f t="shared" si="9"/>
        <v>889</v>
      </c>
      <c r="AH11" s="3763">
        <f t="shared" si="9"/>
        <v>999</v>
      </c>
      <c r="AI11" s="3763">
        <f t="shared" si="9"/>
        <v>1090</v>
      </c>
      <c r="AJ11" s="3524"/>
      <c r="AK11" s="5665" t="s">
        <v>1691</v>
      </c>
      <c r="AL11" s="5666" t="str">
        <f>T24</f>
        <v>Отвеждане на отпадъчните води</v>
      </c>
      <c r="AM11" s="5667"/>
      <c r="AN11" s="5667"/>
      <c r="AO11" s="5667"/>
      <c r="AP11" s="5667"/>
      <c r="AQ11" s="3524"/>
      <c r="AR11" s="3765" t="s">
        <v>294</v>
      </c>
      <c r="AS11" s="3478">
        <f>'16. Необходими приходи'!D15</f>
        <v>0</v>
      </c>
      <c r="AT11" s="3478">
        <f>'16. Необходими приходи'!E15</f>
        <v>0</v>
      </c>
      <c r="AU11" s="3478">
        <f>'16. Необходими приходи'!F15</f>
        <v>0</v>
      </c>
      <c r="AV11" s="3478">
        <f>'16. Необходими приходи'!G15</f>
        <v>0</v>
      </c>
      <c r="AW11" s="3478">
        <f>'16. Необходими приходи'!H15</f>
        <v>0</v>
      </c>
    </row>
    <row r="12" spans="1:49" ht="15.75" customHeight="1">
      <c r="A12" s="4538" t="s">
        <v>218</v>
      </c>
      <c r="B12" s="4539">
        <f>'11. Амортиз. план'!E131</f>
        <v>545</v>
      </c>
      <c r="C12" s="4539">
        <f>'11. Амортиз. план'!G131</f>
        <v>771.38318181818181</v>
      </c>
      <c r="D12" s="4539">
        <f>'11. Амортиз. план'!H131</f>
        <v>854.32438218136826</v>
      </c>
      <c r="E12" s="4539">
        <f>'11. Амортиз. план'!I131</f>
        <v>929.98135720010691</v>
      </c>
      <c r="F12" s="4539">
        <f>'11. Амортиз. план'!J131</f>
        <v>1004.1178601804791</v>
      </c>
      <c r="G12" s="4539">
        <f>'11. Амортиз. план'!K131</f>
        <v>1078.4168165498374</v>
      </c>
      <c r="H12" s="3524"/>
      <c r="I12" s="4530" t="s">
        <v>209</v>
      </c>
      <c r="J12" s="4531">
        <f>J34</f>
        <v>126.66666666666666</v>
      </c>
      <c r="K12" s="4531">
        <f t="shared" ref="K12:N12" si="10">K34</f>
        <v>126.66666666666666</v>
      </c>
      <c r="L12" s="4531">
        <f t="shared" si="10"/>
        <v>126.66666666666666</v>
      </c>
      <c r="M12" s="4531">
        <f t="shared" si="10"/>
        <v>126.66666666666667</v>
      </c>
      <c r="N12" s="4531">
        <f t="shared" si="10"/>
        <v>126.66666666666667</v>
      </c>
      <c r="O12" s="3904">
        <f>SUM(J12:N12)</f>
        <v>633.33333333333337</v>
      </c>
      <c r="P12" s="3524"/>
      <c r="Q12" s="3524"/>
      <c r="R12" s="3524"/>
      <c r="S12" s="4537" t="s">
        <v>449</v>
      </c>
      <c r="T12" s="3779">
        <f>'12. Разходи'!C63</f>
        <v>2477</v>
      </c>
      <c r="U12" s="3779">
        <f>'12. Разходи'!D63</f>
        <v>3558</v>
      </c>
      <c r="V12" s="3779">
        <f>'12. Разходи'!E63</f>
        <v>4091</v>
      </c>
      <c r="W12" s="3779">
        <f>'12. Разходи'!F63</f>
        <v>4705</v>
      </c>
      <c r="X12" s="3779">
        <f>'12. Разходи'!G63</f>
        <v>5411</v>
      </c>
      <c r="Y12" s="3779">
        <f>'12. Разходи'!H63</f>
        <v>6222</v>
      </c>
      <c r="Z12" s="4535">
        <f t="shared" si="0"/>
        <v>0.43641501816713768</v>
      </c>
      <c r="AA12" s="4535">
        <f t="shared" si="1"/>
        <v>0.74873524451939288</v>
      </c>
      <c r="AB12" s="3524"/>
      <c r="AC12" s="3642"/>
      <c r="AD12" s="3643"/>
      <c r="AE12" s="3770"/>
      <c r="AF12" s="3770"/>
      <c r="AG12" s="3770"/>
      <c r="AH12" s="3770"/>
      <c r="AI12" s="3770"/>
      <c r="AJ12" s="3524"/>
      <c r="AK12" s="5665"/>
      <c r="AL12" s="4532" t="s">
        <v>1777</v>
      </c>
      <c r="AM12" s="4532" t="s">
        <v>1778</v>
      </c>
      <c r="AN12" s="4532" t="s">
        <v>1779</v>
      </c>
      <c r="AO12" s="4532" t="s">
        <v>1780</v>
      </c>
      <c r="AP12" s="4532" t="s">
        <v>1781</v>
      </c>
      <c r="AQ12" s="3524"/>
      <c r="AR12" s="3765" t="s">
        <v>296</v>
      </c>
      <c r="AS12" s="3478">
        <f>'16. Необходими приходи'!D16</f>
        <v>4588.6138721515154</v>
      </c>
      <c r="AT12" s="3478">
        <f>'16. Необходими приходи'!E16</f>
        <v>5103.4681943917276</v>
      </c>
      <c r="AU12" s="3478">
        <f>'16. Необходими приходи'!F16</f>
        <v>5587.3575089769711</v>
      </c>
      <c r="AV12" s="3478">
        <f>'16. Необходими приходи'!G16</f>
        <v>6209.127665819894</v>
      </c>
      <c r="AW12" s="3478">
        <f>'16. Необходими приходи'!H16</f>
        <v>6941.5319216574462</v>
      </c>
    </row>
    <row r="13" spans="1:49" ht="15.75" customHeight="1">
      <c r="A13" s="4542" t="s">
        <v>220</v>
      </c>
      <c r="B13" s="3779">
        <f>'11. Амортиз. план'!E151</f>
        <v>2064</v>
      </c>
      <c r="C13" s="3779">
        <f>'11. Амортиз. план'!G151</f>
        <v>3504.1878905188337</v>
      </c>
      <c r="D13" s="3779">
        <f>'11. Амортиз. план'!H151</f>
        <v>4358.5122727002017</v>
      </c>
      <c r="E13" s="3779">
        <f>'11. Амортиз. план'!I151</f>
        <v>5288.4936299003084</v>
      </c>
      <c r="F13" s="3779">
        <f>'11. Амортиз. план'!J151</f>
        <v>6292.6114900807879</v>
      </c>
      <c r="G13" s="3779">
        <f>'11. Амортиз. план'!K151</f>
        <v>7371.0283066306256</v>
      </c>
      <c r="H13" s="3524"/>
      <c r="I13" s="4530" t="s">
        <v>1029</v>
      </c>
      <c r="J13" s="4531">
        <f>J37</f>
        <v>0</v>
      </c>
      <c r="K13" s="4531">
        <f t="shared" ref="K13:N13" si="11">K37</f>
        <v>0</v>
      </c>
      <c r="L13" s="4531">
        <f t="shared" si="11"/>
        <v>0</v>
      </c>
      <c r="M13" s="4531">
        <f t="shared" si="11"/>
        <v>0</v>
      </c>
      <c r="N13" s="4531">
        <f t="shared" si="11"/>
        <v>0</v>
      </c>
      <c r="O13" s="3904">
        <f t="shared" ref="O13:O14" si="12">SUM(J13:N13)</f>
        <v>0</v>
      </c>
      <c r="P13" s="3524"/>
      <c r="Q13" s="3524"/>
      <c r="R13" s="3524"/>
      <c r="S13" s="4537" t="s">
        <v>450</v>
      </c>
      <c r="T13" s="3779">
        <f>'12. Разходи'!C70</f>
        <v>463.2</v>
      </c>
      <c r="U13" s="3779">
        <f>'12. Разходи'!D70</f>
        <v>469</v>
      </c>
      <c r="V13" s="3779">
        <f>'12. Разходи'!E70</f>
        <v>458</v>
      </c>
      <c r="W13" s="3779">
        <f>'12. Разходи'!F70</f>
        <v>445</v>
      </c>
      <c r="X13" s="3779">
        <f>'12. Разходи'!G70</f>
        <v>433</v>
      </c>
      <c r="Y13" s="3779">
        <f>'12. Разходи'!H70</f>
        <v>421</v>
      </c>
      <c r="Z13" s="4535">
        <f t="shared" si="0"/>
        <v>1.2521588946459437E-2</v>
      </c>
      <c r="AA13" s="4535">
        <f t="shared" si="1"/>
        <v>-0.1023454157782516</v>
      </c>
      <c r="AB13" s="3524"/>
      <c r="AC13" s="3761" t="s">
        <v>1687</v>
      </c>
      <c r="AD13" s="4528" t="s">
        <v>1065</v>
      </c>
      <c r="AE13" s="4529" t="s">
        <v>1777</v>
      </c>
      <c r="AF13" s="4529" t="s">
        <v>1778</v>
      </c>
      <c r="AG13" s="4529" t="s">
        <v>1779</v>
      </c>
      <c r="AH13" s="4529" t="s">
        <v>1780</v>
      </c>
      <c r="AI13" s="4529" t="s">
        <v>1781</v>
      </c>
      <c r="AJ13" s="3524"/>
      <c r="AK13" s="3645" t="s">
        <v>547</v>
      </c>
      <c r="AL13" s="3764">
        <f>'17. РБА'!C24</f>
        <v>5877.6666666666661</v>
      </c>
      <c r="AM13" s="3764">
        <f>'17. РБА'!D24</f>
        <v>6136</v>
      </c>
      <c r="AN13" s="3764">
        <f>'17. РБА'!E24</f>
        <v>6372.666666666667</v>
      </c>
      <c r="AO13" s="3764">
        <f>'17. РБА'!F24</f>
        <v>6671</v>
      </c>
      <c r="AP13" s="3764">
        <f>'17. РБА'!G24</f>
        <v>6880.9999999999991</v>
      </c>
      <c r="AQ13" s="3524"/>
      <c r="AR13" s="3765" t="s">
        <v>1787</v>
      </c>
      <c r="AS13" s="3478">
        <f>'12. Разходи'!L17</f>
        <v>0.13748199999999999</v>
      </c>
      <c r="AT13" s="3478">
        <f>'12. Разходи'!M17</f>
        <v>0.13748199999999999</v>
      </c>
      <c r="AU13" s="3478">
        <f>'12. Разходи'!N17</f>
        <v>0.1099856</v>
      </c>
      <c r="AV13" s="3478">
        <f>'12. Разходи'!O17</f>
        <v>0.1099856</v>
      </c>
      <c r="AW13" s="3478">
        <f>'12. Разходи'!P17</f>
        <v>0.1099856</v>
      </c>
    </row>
    <row r="14" spans="1:49" ht="15.75" customHeight="1">
      <c r="A14" s="4542" t="s">
        <v>222</v>
      </c>
      <c r="B14" s="3779">
        <f>'11. Амортиз. план'!E171</f>
        <v>21417</v>
      </c>
      <c r="C14" s="3779">
        <f>'11. Амортиз. план'!G171</f>
        <v>28175.812109481169</v>
      </c>
      <c r="D14" s="3779">
        <f>'11. Амортиз. план'!H171</f>
        <v>30328.154393966463</v>
      </c>
      <c r="E14" s="3779">
        <f>'11. Амортиз. план'!I171</f>
        <v>32339.839703433026</v>
      </c>
      <c r="F14" s="3779">
        <f>'11. Амортиз. план'!J171</f>
        <v>34202.388509919212</v>
      </c>
      <c r="G14" s="3779">
        <f>'11. Амортиз. план'!K171</f>
        <v>36125.638360036042</v>
      </c>
      <c r="H14" s="3524"/>
      <c r="I14" s="4530" t="s">
        <v>1092</v>
      </c>
      <c r="J14" s="4531">
        <f>J40</f>
        <v>0</v>
      </c>
      <c r="K14" s="4531">
        <f t="shared" ref="K14:N14" si="13">K40</f>
        <v>0</v>
      </c>
      <c r="L14" s="4531">
        <f t="shared" si="13"/>
        <v>0</v>
      </c>
      <c r="M14" s="4531">
        <f t="shared" si="13"/>
        <v>0</v>
      </c>
      <c r="N14" s="4531">
        <f t="shared" si="13"/>
        <v>0</v>
      </c>
      <c r="O14" s="3904">
        <f t="shared" si="12"/>
        <v>0</v>
      </c>
      <c r="P14" s="3524"/>
      <c r="Q14" s="3524"/>
      <c r="R14" s="3524"/>
      <c r="S14" s="4537" t="s">
        <v>267</v>
      </c>
      <c r="T14" s="3779">
        <f>'12. Разходи'!C76</f>
        <v>137.30000000000001</v>
      </c>
      <c r="U14" s="3779">
        <f>'12. Разходи'!D76</f>
        <v>137</v>
      </c>
      <c r="V14" s="3779">
        <f>'12. Разходи'!E76</f>
        <v>137</v>
      </c>
      <c r="W14" s="3779">
        <f>'12. Разходи'!F76</f>
        <v>137</v>
      </c>
      <c r="X14" s="3779">
        <f>'12. Разходи'!G76</f>
        <v>137</v>
      </c>
      <c r="Y14" s="3779">
        <f>'12. Разходи'!H76</f>
        <v>137</v>
      </c>
      <c r="Z14" s="4535">
        <f t="shared" si="0"/>
        <v>-2.1849963583394855E-3</v>
      </c>
      <c r="AA14" s="4535">
        <f t="shared" si="1"/>
        <v>0</v>
      </c>
      <c r="AB14" s="3524"/>
      <c r="AC14" s="4545" t="s">
        <v>1688</v>
      </c>
      <c r="AD14" s="3774">
        <f>IFERROR(AD10/AD7,0)</f>
        <v>1.3855372174995145E-2</v>
      </c>
      <c r="AE14" s="3774">
        <f t="shared" ref="AE14:AI14" si="14">IFERROR(AE10/AE7,0)</f>
        <v>1.9707090957818384E-2</v>
      </c>
      <c r="AF14" s="3774">
        <f t="shared" si="14"/>
        <v>2.1818528334979884E-2</v>
      </c>
      <c r="AG14" s="3774">
        <f t="shared" si="14"/>
        <v>2.2548215271470631E-2</v>
      </c>
      <c r="AH14" s="3774">
        <f t="shared" si="14"/>
        <v>2.2810082724079687E-2</v>
      </c>
      <c r="AI14" s="3774">
        <f t="shared" si="14"/>
        <v>2.2244267083037995E-2</v>
      </c>
      <c r="AJ14" s="3524"/>
      <c r="AK14" s="3645" t="s">
        <v>548</v>
      </c>
      <c r="AL14" s="3768">
        <f>'17. РБА'!C27</f>
        <v>3053.1526293599081</v>
      </c>
      <c r="AM14" s="3768">
        <f>'17. РБА'!D27</f>
        <v>3293.3410195114229</v>
      </c>
      <c r="AN14" s="3768">
        <f>'17. РБА'!E27</f>
        <v>3538.9417319031509</v>
      </c>
      <c r="AO14" s="3768">
        <f>'17. РБА'!F27</f>
        <v>3790.01925528012</v>
      </c>
      <c r="AP14" s="3768">
        <f>'17. РБА'!G27</f>
        <v>4046.2719355000163</v>
      </c>
      <c r="AQ14" s="3524"/>
      <c r="AR14" s="3732" t="s">
        <v>297</v>
      </c>
      <c r="AS14" s="3733">
        <f>AS11+AS12</f>
        <v>4588.6138721515154</v>
      </c>
      <c r="AT14" s="3733">
        <f>AT11+AT12</f>
        <v>5103.4681943917276</v>
      </c>
      <c r="AU14" s="3733">
        <f>AU11+AU12</f>
        <v>5587.3575089769711</v>
      </c>
      <c r="AV14" s="3733">
        <f>AV11+AV12</f>
        <v>6209.127665819894</v>
      </c>
      <c r="AW14" s="3733">
        <f>AW11+AW12</f>
        <v>6941.5319216574462</v>
      </c>
    </row>
    <row r="15" spans="1:49" ht="15.75" customHeight="1">
      <c r="A15" s="5686" t="s">
        <v>1659</v>
      </c>
      <c r="B15" s="5686"/>
      <c r="C15" s="5686"/>
      <c r="D15" s="5686"/>
      <c r="E15" s="5686"/>
      <c r="F15" s="5686"/>
      <c r="G15" s="5686"/>
      <c r="H15" s="3524"/>
      <c r="I15" s="4540" t="s">
        <v>1028</v>
      </c>
      <c r="J15" s="4541">
        <f>SUM(J10:J14)</f>
        <v>3892</v>
      </c>
      <c r="K15" s="4541">
        <f t="shared" ref="K15:O15" si="15">SUM(K10:K14)</f>
        <v>3319.9999999999995</v>
      </c>
      <c r="L15" s="4541">
        <f t="shared" si="15"/>
        <v>3255</v>
      </c>
      <c r="M15" s="4541">
        <f t="shared" si="15"/>
        <v>3169.9999999999995</v>
      </c>
      <c r="N15" s="4541">
        <f t="shared" si="15"/>
        <v>3304.9999999999995</v>
      </c>
      <c r="O15" s="4541">
        <f t="shared" si="15"/>
        <v>16942</v>
      </c>
      <c r="P15" s="3524"/>
      <c r="Q15" s="3524"/>
      <c r="R15" s="3524"/>
      <c r="S15" s="4546" t="s">
        <v>277</v>
      </c>
      <c r="T15" s="4547">
        <f>SUM(T5:T7,T11:T14)</f>
        <v>18552.292350438001</v>
      </c>
      <c r="U15" s="4547">
        <f t="shared" ref="U15:Y15" si="16">SUM(U5:U7,U11:U14)</f>
        <v>22156.466639545455</v>
      </c>
      <c r="V15" s="4547">
        <f t="shared" si="16"/>
        <v>23430.092384037474</v>
      </c>
      <c r="W15" s="4547">
        <f t="shared" si="16"/>
        <v>25595.091866254341</v>
      </c>
      <c r="X15" s="4547">
        <f t="shared" si="16"/>
        <v>27849.572313905199</v>
      </c>
      <c r="Y15" s="4547">
        <f t="shared" si="16"/>
        <v>30627.520442084118</v>
      </c>
      <c r="Z15" s="4548">
        <f t="shared" si="0"/>
        <v>0.19427110251539145</v>
      </c>
      <c r="AA15" s="4535">
        <f t="shared" si="1"/>
        <v>0.38232873229972958</v>
      </c>
      <c r="AB15" s="3524"/>
      <c r="AC15" s="4549" t="s">
        <v>1690</v>
      </c>
      <c r="AD15" s="4550"/>
      <c r="AE15" s="4551"/>
      <c r="AF15" s="4551"/>
      <c r="AG15" s="4551"/>
      <c r="AH15" s="4551"/>
      <c r="AI15" s="4551"/>
      <c r="AJ15" s="3524"/>
      <c r="AK15" s="3645" t="s">
        <v>549</v>
      </c>
      <c r="AL15" s="3764">
        <f>'17. РБА'!C30</f>
        <v>0</v>
      </c>
      <c r="AM15" s="3764">
        <f>'17. РБА'!D30</f>
        <v>0</v>
      </c>
      <c r="AN15" s="3764">
        <f>'17. РБА'!E30</f>
        <v>0</v>
      </c>
      <c r="AO15" s="3764">
        <f>'17. РБА'!F30</f>
        <v>0</v>
      </c>
      <c r="AP15" s="3764">
        <f>'17. РБА'!G30</f>
        <v>0</v>
      </c>
      <c r="AQ15" s="3524"/>
      <c r="AR15" s="5668" t="s">
        <v>1692</v>
      </c>
      <c r="AS15" s="5670" t="s">
        <v>184</v>
      </c>
      <c r="AT15" s="5671"/>
      <c r="AU15" s="5671"/>
      <c r="AV15" s="5671"/>
      <c r="AW15" s="5672"/>
    </row>
    <row r="16" spans="1:49" ht="15.75" customHeight="1">
      <c r="A16" s="4536" t="s">
        <v>334</v>
      </c>
      <c r="B16" s="3904">
        <f>'11. Амортиз. план'!E192</f>
        <v>91306</v>
      </c>
      <c r="C16" s="3904">
        <f>'11. Амортиз. план'!G192</f>
        <v>91306</v>
      </c>
      <c r="D16" s="3904">
        <f>'11. Амортиз. план'!H192</f>
        <v>91306</v>
      </c>
      <c r="E16" s="3904">
        <f>'11. Амортиз. план'!I192</f>
        <v>91306</v>
      </c>
      <c r="F16" s="3904">
        <f>'11. Амортиз. план'!J192</f>
        <v>91306</v>
      </c>
      <c r="G16" s="3904">
        <f>'11. Амортиз. план'!K192</f>
        <v>91306</v>
      </c>
      <c r="H16" s="3524"/>
      <c r="I16" s="4552" t="s">
        <v>1434</v>
      </c>
      <c r="J16" s="4553">
        <f>J7-J15</f>
        <v>-3892</v>
      </c>
      <c r="K16" s="4553">
        <f t="shared" ref="K16:O16" si="17">K7-K15</f>
        <v>-3319.9999999999995</v>
      </c>
      <c r="L16" s="4553">
        <f t="shared" si="17"/>
        <v>-3255</v>
      </c>
      <c r="M16" s="4553">
        <f t="shared" si="17"/>
        <v>-3169.9999999999995</v>
      </c>
      <c r="N16" s="4553">
        <f t="shared" si="17"/>
        <v>-3304.9999999999995</v>
      </c>
      <c r="O16" s="4553">
        <f t="shared" si="17"/>
        <v>-16942</v>
      </c>
      <c r="P16" s="4554"/>
      <c r="Q16" s="4554"/>
      <c r="R16" s="3524"/>
      <c r="S16" s="4555" t="str">
        <f>CONCATENATE("Спестявания и увеличения спрямо ",T4," - нето:")</f>
        <v>Спестявания и увеличения спрямо 2024 г. - нето:</v>
      </c>
      <c r="T16" s="4556"/>
      <c r="U16" s="4555">
        <f>U15-$T15</f>
        <v>3604.1742891074537</v>
      </c>
      <c r="V16" s="4555">
        <f t="shared" ref="V16:Y16" si="18">V15-$T15</f>
        <v>4877.800033599473</v>
      </c>
      <c r="W16" s="4555">
        <f t="shared" si="18"/>
        <v>7042.7995158163394</v>
      </c>
      <c r="X16" s="4555">
        <f t="shared" si="18"/>
        <v>9297.2799634671974</v>
      </c>
      <c r="Y16" s="4555">
        <f t="shared" si="18"/>
        <v>12075.228091646117</v>
      </c>
      <c r="Z16" s="4557"/>
      <c r="AA16" s="4557"/>
      <c r="AB16" s="3524"/>
      <c r="AC16" s="3761" t="s">
        <v>1687</v>
      </c>
      <c r="AD16" s="4528" t="s">
        <v>1065</v>
      </c>
      <c r="AE16" s="4529" t="s">
        <v>1777</v>
      </c>
      <c r="AF16" s="4529" t="s">
        <v>1778</v>
      </c>
      <c r="AG16" s="4529" t="s">
        <v>1779</v>
      </c>
      <c r="AH16" s="4529" t="s">
        <v>1780</v>
      </c>
      <c r="AI16" s="4529" t="s">
        <v>1781</v>
      </c>
      <c r="AJ16" s="3524"/>
      <c r="AK16" s="3645" t="s">
        <v>329</v>
      </c>
      <c r="AL16" s="3764">
        <f>'17. РБА'!C33</f>
        <v>258.33333333333331</v>
      </c>
      <c r="AM16" s="3764">
        <f>'17. РБА'!D33</f>
        <v>236.66666666666666</v>
      </c>
      <c r="AN16" s="3764">
        <f>'17. РБА'!E33</f>
        <v>298.33333333333331</v>
      </c>
      <c r="AO16" s="3764">
        <f>'17. РБА'!F33</f>
        <v>210</v>
      </c>
      <c r="AP16" s="3764">
        <f>'17. РБА'!G33</f>
        <v>230</v>
      </c>
      <c r="AQ16" s="3524"/>
      <c r="AR16" s="5669"/>
      <c r="AS16" s="4532" t="s">
        <v>1777</v>
      </c>
      <c r="AT16" s="4532" t="s">
        <v>1778</v>
      </c>
      <c r="AU16" s="4532" t="s">
        <v>1779</v>
      </c>
      <c r="AV16" s="4532" t="s">
        <v>1780</v>
      </c>
      <c r="AW16" s="4532" t="s">
        <v>1781</v>
      </c>
    </row>
    <row r="17" spans="1:49" ht="15.75" customHeight="1">
      <c r="A17" s="4538" t="s">
        <v>218</v>
      </c>
      <c r="B17" s="4539">
        <f>'11. Амортиз. план'!E214</f>
        <v>2056</v>
      </c>
      <c r="C17" s="4539">
        <f>'11. Амортиз. план'!G214</f>
        <v>2056</v>
      </c>
      <c r="D17" s="4539">
        <f>'11. Амортиз. план'!H214</f>
        <v>2056</v>
      </c>
      <c r="E17" s="4539">
        <f>'11. Амортиз. план'!I214</f>
        <v>2056</v>
      </c>
      <c r="F17" s="4539">
        <f>'11. Амортиз. план'!J214</f>
        <v>2056</v>
      </c>
      <c r="G17" s="4539">
        <f>'11. Амортиз. план'!K214</f>
        <v>2056</v>
      </c>
      <c r="H17" s="3524"/>
      <c r="I17" s="4543" t="s">
        <v>1735</v>
      </c>
      <c r="J17" s="4553"/>
      <c r="K17" s="4553"/>
      <c r="L17" s="4553"/>
      <c r="M17" s="4553"/>
      <c r="N17" s="4553"/>
      <c r="O17" s="4553"/>
      <c r="P17" s="4554"/>
      <c r="Q17" s="3760" t="s">
        <v>1635</v>
      </c>
      <c r="R17" s="3524"/>
      <c r="S17" s="4537" t="s">
        <v>1669</v>
      </c>
      <c r="T17" s="3779">
        <f>'12. Разходи'!C92</f>
        <v>9763</v>
      </c>
      <c r="U17" s="3779">
        <f>'12. Разходи'!D92</f>
        <v>0</v>
      </c>
      <c r="V17" s="3779">
        <f>'12. Разходи'!E92</f>
        <v>0</v>
      </c>
      <c r="W17" s="3779">
        <f>'12. Разходи'!F92</f>
        <v>0</v>
      </c>
      <c r="X17" s="3779">
        <f>'12. Разходи'!G92</f>
        <v>0</v>
      </c>
      <c r="Y17" s="3779">
        <f>'12. Разходи'!H92</f>
        <v>0</v>
      </c>
      <c r="Z17" s="4535">
        <f t="shared" si="0"/>
        <v>-1</v>
      </c>
      <c r="AA17" s="4535">
        <f t="shared" ref="AA17:AA21" si="19">IFERROR((Y17-U17)/U17,0)</f>
        <v>0</v>
      </c>
      <c r="AB17" s="3524"/>
      <c r="AC17" s="4558" t="s">
        <v>545</v>
      </c>
      <c r="AD17" s="3731">
        <f>'15. ОПП'!B45</f>
        <v>323</v>
      </c>
      <c r="AE17" s="3731">
        <f>'15. ОПП'!C45</f>
        <v>0</v>
      </c>
      <c r="AF17" s="3731">
        <f>'15. ОПП'!D45</f>
        <v>779.78299999999945</v>
      </c>
      <c r="AG17" s="3731">
        <f>'15. ОПП'!E45</f>
        <v>1627.3129999999974</v>
      </c>
      <c r="AH17" s="3731">
        <f>'15. ОПП'!F45</f>
        <v>2162.7480000000023</v>
      </c>
      <c r="AI17" s="3731">
        <f>'15. ОПП'!G45</f>
        <v>2604.9280000000044</v>
      </c>
      <c r="AJ17" s="3524"/>
      <c r="AK17" s="3645" t="s">
        <v>306</v>
      </c>
      <c r="AL17" s="3764">
        <f>'17. РБА'!C34</f>
        <v>689.61164087671239</v>
      </c>
      <c r="AM17" s="3764">
        <f>'17. РБА'!D34</f>
        <v>773.94040800000005</v>
      </c>
      <c r="AN17" s="3764">
        <f>'17. РБА'!E34</f>
        <v>853.16876475616459</v>
      </c>
      <c r="AO17" s="3764">
        <f>'17. РБА'!F34</f>
        <v>956.73040859178093</v>
      </c>
      <c r="AP17" s="3764">
        <f>'17. РБА'!G34</f>
        <v>1076.8947921534248</v>
      </c>
      <c r="AQ17" s="3524"/>
      <c r="AR17" s="3765" t="s">
        <v>294</v>
      </c>
      <c r="AS17" s="3478">
        <f>'16. Необходими приходи'!D23</f>
        <v>0</v>
      </c>
      <c r="AT17" s="3478">
        <f>'16. Необходими приходи'!E23</f>
        <v>0</v>
      </c>
      <c r="AU17" s="3478">
        <f>'16. Необходими приходи'!F23</f>
        <v>0</v>
      </c>
      <c r="AV17" s="3478">
        <f>'16. Необходими приходи'!G23</f>
        <v>0</v>
      </c>
      <c r="AW17" s="3478">
        <f>'16. Необходими приходи'!H23</f>
        <v>0</v>
      </c>
    </row>
    <row r="18" spans="1:49" ht="15.75" customHeight="1">
      <c r="A18" s="4542" t="s">
        <v>220</v>
      </c>
      <c r="B18" s="3779">
        <f>'11. Амортиз. план'!E236</f>
        <v>16642</v>
      </c>
      <c r="C18" s="3779">
        <f>'11. Амортиз. план'!G236</f>
        <v>20754</v>
      </c>
      <c r="D18" s="3779">
        <f>'11. Амортиз. план'!H236</f>
        <v>22810</v>
      </c>
      <c r="E18" s="3779">
        <f>'11. Амортиз. план'!I236</f>
        <v>24866</v>
      </c>
      <c r="F18" s="3779">
        <f>'11. Амортиз. план'!J236</f>
        <v>26922</v>
      </c>
      <c r="G18" s="3779">
        <f>'11. Амортиз. план'!K236</f>
        <v>28978</v>
      </c>
      <c r="H18" s="3524"/>
      <c r="I18" s="4525" t="s">
        <v>1495</v>
      </c>
      <c r="J18" s="4526" t="str">
        <f>+'15. ОПП'!$C$7</f>
        <v>2027 г.</v>
      </c>
      <c r="K18" s="4526" t="str">
        <f>+'15. ОПП'!$D$7</f>
        <v>2028 г.</v>
      </c>
      <c r="L18" s="4526" t="str">
        <f>+'15. ОПП'!$E$7</f>
        <v>2029 г.</v>
      </c>
      <c r="M18" s="4526" t="str">
        <f>+'15. ОПП'!$F$7</f>
        <v>2030 г.</v>
      </c>
      <c r="N18" s="4526" t="str">
        <f>+'15. ОПП'!$G$7</f>
        <v>2031 г.</v>
      </c>
      <c r="O18" s="4527" t="s">
        <v>1594</v>
      </c>
      <c r="P18" s="4559" t="s">
        <v>1732</v>
      </c>
      <c r="Q18" s="4559" t="s">
        <v>1733</v>
      </c>
      <c r="R18" s="3524"/>
      <c r="S18" s="4537" t="s">
        <v>1671</v>
      </c>
      <c r="T18" s="3779">
        <f>'12. Разходи'!C93</f>
        <v>3689.2923504380014</v>
      </c>
      <c r="U18" s="3779">
        <f>'12. Разходи'!D93</f>
        <v>17814.551810000001</v>
      </c>
      <c r="V18" s="3779">
        <f>'12. Разходи'!E93</f>
        <v>19642.3645</v>
      </c>
      <c r="W18" s="3779">
        <f>'12. Разходи'!F93</f>
        <v>21844.14673</v>
      </c>
      <c r="X18" s="3779">
        <f>'12. Разходи'!G93</f>
        <v>24128.928960000001</v>
      </c>
      <c r="Y18" s="3779">
        <f>'12. Разходи'!H93</f>
        <v>26741.043750000001</v>
      </c>
      <c r="Z18" s="4535">
        <f t="shared" si="0"/>
        <v>3.8287178455469966</v>
      </c>
      <c r="AA18" s="4535">
        <f t="shared" si="19"/>
        <v>0.50107867069601009</v>
      </c>
      <c r="AB18" s="3524"/>
      <c r="AC18" s="4558" t="s">
        <v>546</v>
      </c>
      <c r="AD18" s="3731">
        <f>'15. ОПП'!B46</f>
        <v>585.95207925400246</v>
      </c>
      <c r="AE18" s="3731">
        <f>'15. ОПП'!C46</f>
        <v>779.78299999999945</v>
      </c>
      <c r="AF18" s="3731">
        <f>'15. ОПП'!D46</f>
        <v>1627.3129999999974</v>
      </c>
      <c r="AG18" s="3731">
        <f>'15. ОПП'!E46</f>
        <v>2162.7480000000023</v>
      </c>
      <c r="AH18" s="3731">
        <f>'15. ОПП'!F46</f>
        <v>2604.9280000000044</v>
      </c>
      <c r="AI18" s="3731">
        <f>'15. ОПП'!G46</f>
        <v>3355.8620000000055</v>
      </c>
      <c r="AJ18" s="3524"/>
      <c r="AK18" s="3646" t="s">
        <v>305</v>
      </c>
      <c r="AL18" s="3647">
        <f t="shared" ref="AL18:AP18" si="20">AL13-AL14+AL15+AL16+AL17</f>
        <v>3772.4590115168039</v>
      </c>
      <c r="AM18" s="3647">
        <f t="shared" si="20"/>
        <v>3853.2660551552435</v>
      </c>
      <c r="AN18" s="3647">
        <f t="shared" si="20"/>
        <v>3985.227032853014</v>
      </c>
      <c r="AO18" s="3647">
        <f t="shared" si="20"/>
        <v>4047.7111533116608</v>
      </c>
      <c r="AP18" s="3647">
        <f t="shared" si="20"/>
        <v>4141.6228566534073</v>
      </c>
      <c r="AQ18" s="3524"/>
      <c r="AR18" s="3765" t="s">
        <v>296</v>
      </c>
      <c r="AS18" s="3478">
        <f>'16. Необходими приходи'!D24</f>
        <v>4871.80052630303</v>
      </c>
      <c r="AT18" s="3478">
        <f>'16. Необходими приходи'!E24</f>
        <v>5214.8105035707977</v>
      </c>
      <c r="AU18" s="3478">
        <f>'16. Необходими приходи'!F24</f>
        <v>5689.3799903686886</v>
      </c>
      <c r="AV18" s="3478">
        <f>'16. Необходими приходи'!G24</f>
        <v>6242.9360358749091</v>
      </c>
      <c r="AW18" s="3478">
        <f>'16. Необходими приходи'!H24</f>
        <v>6881.7318618584377</v>
      </c>
    </row>
    <row r="19" spans="1:49" ht="15.75" customHeight="1">
      <c r="A19" s="4542" t="s">
        <v>222</v>
      </c>
      <c r="B19" s="3779">
        <f>'11. Амортиз. план'!E258</f>
        <v>74664</v>
      </c>
      <c r="C19" s="3779">
        <f>'11. Амортиз. план'!G258</f>
        <v>70552</v>
      </c>
      <c r="D19" s="3779">
        <f>'11. Амортиз. план'!H258</f>
        <v>68496</v>
      </c>
      <c r="E19" s="3779">
        <f>'11. Амортиз. план'!I258</f>
        <v>66440</v>
      </c>
      <c r="F19" s="3779">
        <f>'11. Амортиз. план'!J258</f>
        <v>64384</v>
      </c>
      <c r="G19" s="3779">
        <f>'11. Амортиз. план'!K258</f>
        <v>62328</v>
      </c>
      <c r="H19" s="3524"/>
      <c r="I19" s="4530" t="s">
        <v>207</v>
      </c>
      <c r="J19" s="4531">
        <f>J27</f>
        <v>3735.3333333333335</v>
      </c>
      <c r="K19" s="4531">
        <f t="shared" ref="K19:N19" si="21">K27</f>
        <v>3096.6666666666665</v>
      </c>
      <c r="L19" s="4531">
        <f t="shared" si="21"/>
        <v>3193.3333333333335</v>
      </c>
      <c r="M19" s="4531">
        <f t="shared" si="21"/>
        <v>3340</v>
      </c>
      <c r="N19" s="4531">
        <f t="shared" si="21"/>
        <v>3095</v>
      </c>
      <c r="O19" s="3904">
        <f>SUM(J19:N19)</f>
        <v>16460.333333333336</v>
      </c>
      <c r="P19" s="4560">
        <f>O28</f>
        <v>15395.333333333332</v>
      </c>
      <c r="Q19" s="4560">
        <f>O29</f>
        <v>1065</v>
      </c>
      <c r="R19" s="3524"/>
      <c r="S19" s="4561" t="s">
        <v>1670</v>
      </c>
      <c r="T19" s="4539">
        <f>'12. Разходи'!C94</f>
        <v>1833</v>
      </c>
      <c r="U19" s="4539">
        <f>'12. Разходи'!D94</f>
        <v>0</v>
      </c>
      <c r="V19" s="4539">
        <f>'12. Разходи'!E94</f>
        <v>0</v>
      </c>
      <c r="W19" s="4539">
        <f>'12. Разходи'!F94</f>
        <v>0</v>
      </c>
      <c r="X19" s="4539">
        <f>'12. Разходи'!G94</f>
        <v>0</v>
      </c>
      <c r="Y19" s="4539">
        <f>'12. Разходи'!H94</f>
        <v>0</v>
      </c>
      <c r="Z19" s="4535">
        <f t="shared" si="0"/>
        <v>-1</v>
      </c>
      <c r="AA19" s="4535">
        <f t="shared" si="19"/>
        <v>0</v>
      </c>
      <c r="AB19" s="3524"/>
      <c r="AC19" s="3524"/>
      <c r="AD19" s="3523"/>
      <c r="AE19" s="3524"/>
      <c r="AF19" s="3524"/>
      <c r="AG19" s="3524"/>
      <c r="AH19" s="3524"/>
      <c r="AI19" s="3524"/>
      <c r="AJ19" s="3524"/>
      <c r="AK19" s="5665" t="s">
        <v>1691</v>
      </c>
      <c r="AL19" s="5666" t="str">
        <f>T45</f>
        <v>Пречистване на отпадъчните води</v>
      </c>
      <c r="AM19" s="5667"/>
      <c r="AN19" s="5667"/>
      <c r="AO19" s="5667"/>
      <c r="AP19" s="5667"/>
      <c r="AQ19" s="3524"/>
      <c r="AR19" s="3765" t="s">
        <v>1787</v>
      </c>
      <c r="AS19" s="3478">
        <f>'12. Разходи'!T17</f>
        <v>674.40874600000006</v>
      </c>
      <c r="AT19" s="3478">
        <f>'12. Разходи'!U17</f>
        <v>665.03909999999996</v>
      </c>
      <c r="AU19" s="3478">
        <f>'12. Разходи'!V17</f>
        <v>653.23765000000003</v>
      </c>
      <c r="AV19" s="3478">
        <f>'12. Разходи'!W17</f>
        <v>648.51706999999999</v>
      </c>
      <c r="AW19" s="3478">
        <f>'12. Разходи'!X17</f>
        <v>643.79648999999995</v>
      </c>
    </row>
    <row r="20" spans="1:49" ht="15.75" customHeight="1">
      <c r="A20" s="3759" t="s">
        <v>174</v>
      </c>
      <c r="B20" s="3524"/>
      <c r="C20" s="3524"/>
      <c r="D20" s="3524"/>
      <c r="E20" s="3524"/>
      <c r="F20" s="3524"/>
      <c r="G20" s="3760" t="s">
        <v>1635</v>
      </c>
      <c r="H20" s="3524"/>
      <c r="I20" s="4530" t="s">
        <v>208</v>
      </c>
      <c r="J20" s="4531">
        <f>J30</f>
        <v>258.33333333333331</v>
      </c>
      <c r="K20" s="4531">
        <f t="shared" ref="K20:N20" si="22">K30</f>
        <v>236.66666666666666</v>
      </c>
      <c r="L20" s="4531">
        <f t="shared" si="22"/>
        <v>298.33333333333331</v>
      </c>
      <c r="M20" s="4531">
        <f t="shared" si="22"/>
        <v>210</v>
      </c>
      <c r="N20" s="4531">
        <f t="shared" si="22"/>
        <v>230</v>
      </c>
      <c r="O20" s="3904">
        <f>SUM(J20:N20)</f>
        <v>1233.3333333333333</v>
      </c>
      <c r="P20" s="4560">
        <f>O31</f>
        <v>913.33333333333348</v>
      </c>
      <c r="Q20" s="4560">
        <f>O32</f>
        <v>319.99999999999994</v>
      </c>
      <c r="R20" s="3524"/>
      <c r="S20" s="4537" t="s">
        <v>1673</v>
      </c>
      <c r="T20" s="3779">
        <f>'12. Разходи'!C90</f>
        <v>1887</v>
      </c>
      <c r="U20" s="3779">
        <f>'12. Разходи'!D90</f>
        <v>2124</v>
      </c>
      <c r="V20" s="3779">
        <f>'12. Разходи'!E90</f>
        <v>2232</v>
      </c>
      <c r="W20" s="3779">
        <f>'12. Разходи'!F90</f>
        <v>2357</v>
      </c>
      <c r="X20" s="3779">
        <f>'12. Разходи'!G90</f>
        <v>2500</v>
      </c>
      <c r="Y20" s="3779">
        <f>'12. Разходи'!H90</f>
        <v>2665</v>
      </c>
      <c r="Z20" s="4535">
        <f t="shared" si="0"/>
        <v>0.12559618441971382</v>
      </c>
      <c r="AA20" s="4535">
        <f t="shared" si="19"/>
        <v>0.25470809792843691</v>
      </c>
      <c r="AB20" s="3524"/>
      <c r="AC20" s="3524"/>
      <c r="AD20" s="3523"/>
      <c r="AE20" s="3524"/>
      <c r="AF20" s="3524"/>
      <c r="AG20" s="3524"/>
      <c r="AH20" s="3524"/>
      <c r="AI20" s="3524"/>
      <c r="AJ20" s="3524"/>
      <c r="AK20" s="5665"/>
      <c r="AL20" s="4532" t="s">
        <v>1777</v>
      </c>
      <c r="AM20" s="4532" t="s">
        <v>1778</v>
      </c>
      <c r="AN20" s="4532" t="s">
        <v>1779</v>
      </c>
      <c r="AO20" s="4532" t="s">
        <v>1780</v>
      </c>
      <c r="AP20" s="4532" t="s">
        <v>1781</v>
      </c>
      <c r="AQ20" s="3524"/>
      <c r="AR20" s="3732" t="s">
        <v>297</v>
      </c>
      <c r="AS20" s="3733">
        <f>AS17+AS18</f>
        <v>4871.80052630303</v>
      </c>
      <c r="AT20" s="3733">
        <f>AT17+AT18</f>
        <v>5214.8105035707977</v>
      </c>
      <c r="AU20" s="3733">
        <f>AU17+AU18</f>
        <v>5689.3799903686886</v>
      </c>
      <c r="AV20" s="3733">
        <f>AV17+AV18</f>
        <v>6242.9360358749091</v>
      </c>
      <c r="AW20" s="3733">
        <f>AW17+AW18</f>
        <v>6881.7318618584377</v>
      </c>
    </row>
    <row r="21" spans="1:49" ht="15.75" customHeight="1">
      <c r="A21" s="5684" t="s">
        <v>87</v>
      </c>
      <c r="B21" s="5676" t="s">
        <v>174</v>
      </c>
      <c r="C21" s="5676"/>
      <c r="D21" s="5676"/>
      <c r="E21" s="5676"/>
      <c r="F21" s="5676"/>
      <c r="G21" s="5676"/>
      <c r="H21" s="3524"/>
      <c r="I21" s="4530" t="s">
        <v>209</v>
      </c>
      <c r="J21" s="4531">
        <f>J33</f>
        <v>253.33333333333331</v>
      </c>
      <c r="K21" s="4531">
        <f t="shared" ref="K21:N21" si="23">K33</f>
        <v>216.66666666666666</v>
      </c>
      <c r="L21" s="4531">
        <f t="shared" si="23"/>
        <v>268.33333333333331</v>
      </c>
      <c r="M21" s="4531">
        <f t="shared" si="23"/>
        <v>220</v>
      </c>
      <c r="N21" s="4531">
        <f t="shared" si="23"/>
        <v>210</v>
      </c>
      <c r="O21" s="3904">
        <f>SUM(J21:N21)</f>
        <v>1168.3333333333333</v>
      </c>
      <c r="P21" s="4560">
        <f>O34</f>
        <v>633.33333333333337</v>
      </c>
      <c r="Q21" s="4560">
        <f>O35</f>
        <v>535</v>
      </c>
      <c r="R21" s="3524"/>
      <c r="S21" s="4537" t="s">
        <v>1232</v>
      </c>
      <c r="T21" s="3779">
        <f>'12. Разходи'!C89</f>
        <v>983.5693504379999</v>
      </c>
      <c r="U21" s="3779">
        <f>'12. Разходи'!D89</f>
        <v>1002.55181</v>
      </c>
      <c r="V21" s="3779">
        <f>'12. Разходи'!E89</f>
        <v>974.36450000000002</v>
      </c>
      <c r="W21" s="3779">
        <f>'12. Разходи'!F89</f>
        <v>947.14673000000005</v>
      </c>
      <c r="X21" s="3779">
        <f>'12. Разходи'!G89</f>
        <v>920.92895999999996</v>
      </c>
      <c r="Y21" s="3779">
        <f>'12. Разходи'!H89</f>
        <v>892.04375000000005</v>
      </c>
      <c r="Z21" s="4535">
        <f t="shared" si="0"/>
        <v>1.929956393369409E-2</v>
      </c>
      <c r="AA21" s="4535">
        <f t="shared" si="19"/>
        <v>-0.11022678219492715</v>
      </c>
      <c r="AB21" s="3524"/>
      <c r="AC21" s="3524"/>
      <c r="AD21" s="3523"/>
      <c r="AE21" s="3524"/>
      <c r="AF21" s="3524"/>
      <c r="AG21" s="3524"/>
      <c r="AH21" s="3524"/>
      <c r="AI21" s="3524"/>
      <c r="AJ21" s="3524"/>
      <c r="AK21" s="3645" t="s">
        <v>547</v>
      </c>
      <c r="AL21" s="3764">
        <f>'17. РБА'!C38</f>
        <v>4513.6666666666661</v>
      </c>
      <c r="AM21" s="3764">
        <f>'17. РБА'!D38</f>
        <v>4767</v>
      </c>
      <c r="AN21" s="3764">
        <f>'17. РБА'!E38</f>
        <v>4983.666666666667</v>
      </c>
      <c r="AO21" s="3764">
        <f>'17. РБА'!F38</f>
        <v>5252</v>
      </c>
      <c r="AP21" s="3764">
        <f>'17. РБА'!G38</f>
        <v>5471.9999999999991</v>
      </c>
      <c r="AQ21" s="3524"/>
      <c r="AR21" s="5668" t="s">
        <v>1692</v>
      </c>
      <c r="AS21" s="5673" t="str">
        <f>AL27</f>
        <v>Доставяне на вода с непитейни качества</v>
      </c>
      <c r="AT21" s="5674"/>
      <c r="AU21" s="5674"/>
      <c r="AV21" s="5674"/>
      <c r="AW21" s="5675"/>
    </row>
    <row r="22" spans="1:49" ht="15.75" customHeight="1">
      <c r="A22" s="5684"/>
      <c r="B22" s="4526" t="str">
        <f>+'15. ОПП'!$B$7</f>
        <v>2024 г.</v>
      </c>
      <c r="C22" s="4526" t="str">
        <f>+'15. ОПП'!$C$7</f>
        <v>2027 г.</v>
      </c>
      <c r="D22" s="4526" t="str">
        <f>+'15. ОПП'!$D$7</f>
        <v>2028 г.</v>
      </c>
      <c r="E22" s="4526" t="str">
        <f>+'15. ОПП'!$E$7</f>
        <v>2029 г.</v>
      </c>
      <c r="F22" s="4526" t="str">
        <f>+'15. ОПП'!$F$7</f>
        <v>2030 г.</v>
      </c>
      <c r="G22" s="4526" t="str">
        <f>+'15. ОПП'!$G$7</f>
        <v>2031 г.</v>
      </c>
      <c r="H22" s="3524"/>
      <c r="I22" s="4530" t="s">
        <v>1029</v>
      </c>
      <c r="J22" s="4531">
        <f>J36</f>
        <v>0</v>
      </c>
      <c r="K22" s="4531">
        <f t="shared" ref="K22:N22" si="24">K36</f>
        <v>0</v>
      </c>
      <c r="L22" s="4531">
        <f t="shared" si="24"/>
        <v>0</v>
      </c>
      <c r="M22" s="4531">
        <f t="shared" si="24"/>
        <v>0</v>
      </c>
      <c r="N22" s="4531">
        <f t="shared" si="24"/>
        <v>0</v>
      </c>
      <c r="O22" s="3904">
        <f t="shared" ref="O22:O23" si="25">SUM(J22:N22)</f>
        <v>0</v>
      </c>
      <c r="P22" s="4560">
        <f>O37</f>
        <v>0</v>
      </c>
      <c r="Q22" s="4560">
        <f>O38</f>
        <v>0</v>
      </c>
      <c r="R22" s="3524"/>
      <c r="S22" s="3528"/>
      <c r="T22" s="3524"/>
      <c r="U22" s="3524"/>
      <c r="V22" s="3524"/>
      <c r="W22" s="3524"/>
      <c r="X22" s="3524"/>
      <c r="Y22" s="3524"/>
      <c r="Z22" s="3524"/>
      <c r="AA22" s="3524"/>
      <c r="AB22" s="3524"/>
      <c r="AC22" s="3524"/>
      <c r="AD22" s="3523"/>
      <c r="AE22" s="3524"/>
      <c r="AF22" s="3524"/>
      <c r="AG22" s="3524"/>
      <c r="AH22" s="3524"/>
      <c r="AI22" s="3524"/>
      <c r="AJ22" s="3524"/>
      <c r="AK22" s="3645" t="s">
        <v>548</v>
      </c>
      <c r="AL22" s="3764">
        <f>'17. РБА'!C41</f>
        <v>2581.8764047527798</v>
      </c>
      <c r="AM22" s="3764">
        <f>'17. РБА'!D41</f>
        <v>2718.3331850558093</v>
      </c>
      <c r="AN22" s="3764">
        <f>'17. РБА'!E41</f>
        <v>2866.974588626606</v>
      </c>
      <c r="AO22" s="3764">
        <f>'17. РБА'!F41</f>
        <v>3026.7169289952949</v>
      </c>
      <c r="AP22" s="3764">
        <f>'17. РБА'!G41</f>
        <v>3198.4458948702045</v>
      </c>
      <c r="AQ22" s="3524"/>
      <c r="AR22" s="5669"/>
      <c r="AS22" s="4532" t="s">
        <v>1777</v>
      </c>
      <c r="AT22" s="4532" t="s">
        <v>1778</v>
      </c>
      <c r="AU22" s="4532" t="s">
        <v>1779</v>
      </c>
      <c r="AV22" s="4532" t="s">
        <v>1780</v>
      </c>
      <c r="AW22" s="4532" t="s">
        <v>1781</v>
      </c>
    </row>
    <row r="23" spans="1:49" ht="15.75" customHeight="1">
      <c r="A23" s="5686" t="s">
        <v>1657</v>
      </c>
      <c r="B23" s="5686"/>
      <c r="C23" s="5686"/>
      <c r="D23" s="5686"/>
      <c r="E23" s="5686"/>
      <c r="F23" s="5686"/>
      <c r="G23" s="5686"/>
      <c r="H23" s="3524"/>
      <c r="I23" s="4530" t="s">
        <v>1092</v>
      </c>
      <c r="J23" s="4531">
        <f>J39</f>
        <v>0</v>
      </c>
      <c r="K23" s="4531">
        <f t="shared" ref="K23:N23" si="26">K39</f>
        <v>0</v>
      </c>
      <c r="L23" s="4531">
        <f t="shared" si="26"/>
        <v>0</v>
      </c>
      <c r="M23" s="4531">
        <f t="shared" si="26"/>
        <v>0</v>
      </c>
      <c r="N23" s="4531">
        <f t="shared" si="26"/>
        <v>0</v>
      </c>
      <c r="O23" s="3904">
        <f t="shared" si="25"/>
        <v>0</v>
      </c>
      <c r="P23" s="4560">
        <f>O40</f>
        <v>0</v>
      </c>
      <c r="Q23" s="4560">
        <f>O41</f>
        <v>0</v>
      </c>
      <c r="R23" s="3524"/>
      <c r="S23" s="1656" t="s">
        <v>1681</v>
      </c>
      <c r="T23" s="3524"/>
      <c r="U23" s="3524"/>
      <c r="V23" s="3524"/>
      <c r="W23" s="3524"/>
      <c r="X23" s="3524"/>
      <c r="Y23" s="3524"/>
      <c r="Z23" s="3524"/>
      <c r="AA23" s="3524"/>
      <c r="AB23" s="3524"/>
      <c r="AC23" s="3524"/>
      <c r="AD23" s="3523"/>
      <c r="AE23" s="3524"/>
      <c r="AF23" s="3524"/>
      <c r="AG23" s="3524"/>
      <c r="AH23" s="3524"/>
      <c r="AI23" s="3524"/>
      <c r="AJ23" s="3524"/>
      <c r="AK23" s="3645" t="s">
        <v>549</v>
      </c>
      <c r="AL23" s="3764">
        <f>'17. РБА'!C44</f>
        <v>0</v>
      </c>
      <c r="AM23" s="3764">
        <f>'17. РБА'!D44</f>
        <v>0</v>
      </c>
      <c r="AN23" s="3764">
        <f>'17. РБА'!E44</f>
        <v>0</v>
      </c>
      <c r="AO23" s="3764">
        <f>'17. РБА'!F44</f>
        <v>0</v>
      </c>
      <c r="AP23" s="3764">
        <f>'17. РБА'!G44</f>
        <v>0</v>
      </c>
      <c r="AQ23" s="3524"/>
      <c r="AR23" s="3765" t="s">
        <v>294</v>
      </c>
      <c r="AS23" s="3478">
        <f>'16. Необходими приходи'!D34</f>
        <v>0</v>
      </c>
      <c r="AT23" s="3478">
        <f>'16. Необходими приходи'!E34</f>
        <v>0</v>
      </c>
      <c r="AU23" s="3478">
        <f>'16. Необходими приходи'!F34</f>
        <v>0</v>
      </c>
      <c r="AV23" s="3478">
        <f>'16. Необходими приходи'!G34</f>
        <v>0</v>
      </c>
      <c r="AW23" s="3478">
        <f>'16. Необходими приходи'!H34</f>
        <v>0</v>
      </c>
    </row>
    <row r="24" spans="1:49" ht="15.75" customHeight="1">
      <c r="A24" s="4536" t="s">
        <v>334</v>
      </c>
      <c r="B24" s="3904">
        <f>'11. Амортиз. план'!L10</f>
        <v>4129</v>
      </c>
      <c r="C24" s="3904">
        <f>'11. Амортиз. план'!N10</f>
        <v>4284</v>
      </c>
      <c r="D24" s="3904">
        <f>'11. Амортиз. план'!O10</f>
        <v>4334</v>
      </c>
      <c r="E24" s="3904">
        <f>'11. Амортиз. план'!P10</f>
        <v>4445.666666666667</v>
      </c>
      <c r="F24" s="3904">
        <f>'11. Амортиз. план'!Q10</f>
        <v>4478.9999999999991</v>
      </c>
      <c r="G24" s="3904">
        <f>'11. Амортиз. план'!R10</f>
        <v>4532.333333333333</v>
      </c>
      <c r="H24" s="3524"/>
      <c r="I24" s="4540" t="s">
        <v>1028</v>
      </c>
      <c r="J24" s="4541">
        <f>SUM(J19:J23)</f>
        <v>4247</v>
      </c>
      <c r="K24" s="4541">
        <f t="shared" ref="K24" si="27">SUM(K19:K23)</f>
        <v>3549.9999999999995</v>
      </c>
      <c r="L24" s="4541">
        <f t="shared" ref="L24" si="28">SUM(L19:L23)</f>
        <v>3760.0000000000005</v>
      </c>
      <c r="M24" s="4541">
        <f t="shared" ref="M24" si="29">SUM(M19:M23)</f>
        <v>3770</v>
      </c>
      <c r="N24" s="4541">
        <f t="shared" ref="N24" si="30">SUM(N19:N23)</f>
        <v>3535</v>
      </c>
      <c r="O24" s="4541">
        <f t="shared" ref="O24" si="31">SUM(O19:O23)</f>
        <v>18862</v>
      </c>
      <c r="P24" s="4562">
        <f>O43</f>
        <v>16942</v>
      </c>
      <c r="Q24" s="4562">
        <f>O44</f>
        <v>1920</v>
      </c>
      <c r="R24" s="3524"/>
      <c r="S24" s="5676" t="s">
        <v>1667</v>
      </c>
      <c r="T24" s="5676" t="s">
        <v>208</v>
      </c>
      <c r="U24" s="5676"/>
      <c r="V24" s="5676"/>
      <c r="W24" s="5676"/>
      <c r="X24" s="5676"/>
      <c r="Y24" s="5676"/>
      <c r="Z24" s="5619" t="str">
        <f>+Z3</f>
        <v>Изменение 2027 г. спр. 2024 г.</v>
      </c>
      <c r="AA24" s="5619" t="str">
        <f>+AA3</f>
        <v>Изменение 2031 г. спр. 2027 г.</v>
      </c>
      <c r="AB24" s="3524"/>
      <c r="AC24" s="3524"/>
      <c r="AD24" s="3523"/>
      <c r="AE24" s="3524"/>
      <c r="AF24" s="3524"/>
      <c r="AG24" s="3524"/>
      <c r="AH24" s="3524"/>
      <c r="AI24" s="3524"/>
      <c r="AJ24" s="3524"/>
      <c r="AK24" s="3645" t="s">
        <v>329</v>
      </c>
      <c r="AL24" s="3771">
        <f>'17. РБА'!C47</f>
        <v>253.33333333333331</v>
      </c>
      <c r="AM24" s="3771">
        <f>'17. РБА'!D47</f>
        <v>216.66666666666666</v>
      </c>
      <c r="AN24" s="3771">
        <f>'17. РБА'!E47</f>
        <v>268.33333333333331</v>
      </c>
      <c r="AO24" s="3771">
        <f>'17. РБА'!F47</f>
        <v>220</v>
      </c>
      <c r="AP24" s="3771">
        <f>'17. РБА'!G47</f>
        <v>210</v>
      </c>
      <c r="AQ24" s="3524"/>
      <c r="AR24" s="3765" t="s">
        <v>296</v>
      </c>
      <c r="AS24" s="3478">
        <f>'16. Необходими приходи'!D35</f>
        <v>0</v>
      </c>
      <c r="AT24" s="3478">
        <f>'16. Необходими приходи'!E35</f>
        <v>0</v>
      </c>
      <c r="AU24" s="3478">
        <f>'16. Необходими приходи'!F35</f>
        <v>0</v>
      </c>
      <c r="AV24" s="3478">
        <f>'16. Необходими приходи'!G35</f>
        <v>0</v>
      </c>
      <c r="AW24" s="3478">
        <f>'16. Необходими приходи'!H35</f>
        <v>0</v>
      </c>
    </row>
    <row r="25" spans="1:49" ht="15.75" customHeight="1">
      <c r="A25" s="4538" t="s">
        <v>218</v>
      </c>
      <c r="B25" s="4539">
        <f>'11. Амортиз. план'!L35</f>
        <v>182</v>
      </c>
      <c r="C25" s="4539">
        <f>'11. Амортиз. план'!N35</f>
        <v>206.8127840909091</v>
      </c>
      <c r="D25" s="4539">
        <f>'11. Амортиз. план'!O35</f>
        <v>208.66735902421775</v>
      </c>
      <c r="E25" s="4539">
        <f>'11. Амортиз. план'!P35</f>
        <v>210.58336895538346</v>
      </c>
      <c r="F25" s="4539">
        <f>'11. Амортиз. план'!Q35</f>
        <v>212.35432527746084</v>
      </c>
      <c r="G25" s="4539">
        <f>'11. Амортиз. план'!R35</f>
        <v>213.75640280389814</v>
      </c>
      <c r="H25" s="3524"/>
      <c r="I25" s="1357" t="s">
        <v>1634</v>
      </c>
      <c r="J25" s="4563"/>
      <c r="K25" s="4563"/>
      <c r="L25" s="4563"/>
      <c r="M25" s="4563"/>
      <c r="N25" s="4563"/>
      <c r="O25" s="4563"/>
      <c r="P25" s="3760" t="s">
        <v>1635</v>
      </c>
      <c r="Q25" s="3760"/>
      <c r="R25" s="3524"/>
      <c r="S25" s="5676"/>
      <c r="T25" s="4522" t="str">
        <f t="shared" ref="T25:Y25" si="32">T4</f>
        <v>2024 г.</v>
      </c>
      <c r="U25" s="4522" t="str">
        <f t="shared" si="32"/>
        <v>2027 г.</v>
      </c>
      <c r="V25" s="4522" t="str">
        <f t="shared" si="32"/>
        <v>2028 г.</v>
      </c>
      <c r="W25" s="4522" t="str">
        <f t="shared" si="32"/>
        <v>2029 г.</v>
      </c>
      <c r="X25" s="4522" t="str">
        <f t="shared" si="32"/>
        <v>2030 г.</v>
      </c>
      <c r="Y25" s="4522" t="str">
        <f t="shared" si="32"/>
        <v>2031 г.</v>
      </c>
      <c r="Z25" s="5619"/>
      <c r="AA25" s="5619"/>
      <c r="AB25" s="3524"/>
      <c r="AC25" s="3524"/>
      <c r="AD25" s="3523"/>
      <c r="AE25" s="3524"/>
      <c r="AF25" s="3524"/>
      <c r="AG25" s="3524"/>
      <c r="AH25" s="3524"/>
      <c r="AI25" s="3524"/>
      <c r="AJ25" s="3524"/>
      <c r="AK25" s="3645" t="s">
        <v>306</v>
      </c>
      <c r="AL25" s="3764">
        <f>'17. РБА'!C48</f>
        <v>764.77951989041105</v>
      </c>
      <c r="AM25" s="3764">
        <f>'17. РБА'!D48</f>
        <v>819.95163287671232</v>
      </c>
      <c r="AN25" s="3764">
        <f>'17. РБА'!E48</f>
        <v>896.91577808219188</v>
      </c>
      <c r="AO25" s="3764">
        <f>'17. РБА'!F48</f>
        <v>986.71513479452062</v>
      </c>
      <c r="AP25" s="3764">
        <f>'17. РБА'!G48</f>
        <v>1090.6514778082194</v>
      </c>
      <c r="AQ25" s="3524"/>
      <c r="AR25" s="3765" t="s">
        <v>1787</v>
      </c>
      <c r="AS25" s="3478">
        <f>'12. Разходи'!AB17</f>
        <v>0</v>
      </c>
      <c r="AT25" s="3478">
        <f>'12. Разходи'!AC17</f>
        <v>0</v>
      </c>
      <c r="AU25" s="3478">
        <f>'12. Разходи'!AD17</f>
        <v>0</v>
      </c>
      <c r="AV25" s="3478">
        <f>'12. Разходи'!AE17</f>
        <v>0</v>
      </c>
      <c r="AW25" s="3478">
        <f>'12. Разходи'!AF17</f>
        <v>0</v>
      </c>
    </row>
    <row r="26" spans="1:49" ht="15.75" customHeight="1">
      <c r="A26" s="4542" t="s">
        <v>220</v>
      </c>
      <c r="B26" s="3779">
        <f>'11. Амортиз. план'!L60</f>
        <v>2742</v>
      </c>
      <c r="C26" s="3779">
        <f>'11. Амортиз. план'!N60</f>
        <v>3153.6950953212654</v>
      </c>
      <c r="D26" s="3779">
        <f>'11. Амортиз. план'!O60</f>
        <v>3362.3624543454839</v>
      </c>
      <c r="E26" s="3779">
        <f>'11. Амортиз. план'!P60</f>
        <v>3572.9458233008663</v>
      </c>
      <c r="F26" s="3779">
        <f>'11. Амортиз. план'!Q60</f>
        <v>3785.3001485783288</v>
      </c>
      <c r="G26" s="3779">
        <f>'11. Амортиз. план'!R60</f>
        <v>3999.0565513822271</v>
      </c>
      <c r="H26" s="3524"/>
      <c r="I26" s="4564" t="s">
        <v>1495</v>
      </c>
      <c r="J26" s="4526" t="str">
        <f>+'15. ОПП'!$C$7</f>
        <v>2027 г.</v>
      </c>
      <c r="K26" s="4526" t="str">
        <f>+'15. ОПП'!$D$7</f>
        <v>2028 г.</v>
      </c>
      <c r="L26" s="4526" t="str">
        <f>+'15. ОПП'!$E$7</f>
        <v>2029 г.</v>
      </c>
      <c r="M26" s="4526" t="str">
        <f>+'15. ОПП'!$F$7</f>
        <v>2030 г.</v>
      </c>
      <c r="N26" s="4526" t="str">
        <f>+'15. ОПП'!$G$7</f>
        <v>2031 г.</v>
      </c>
      <c r="O26" s="4526" t="s">
        <v>1594</v>
      </c>
      <c r="P26" s="4526" t="s">
        <v>1595</v>
      </c>
      <c r="Q26" s="4554"/>
      <c r="R26" s="3524"/>
      <c r="S26" s="4537" t="s">
        <v>226</v>
      </c>
      <c r="T26" s="3779">
        <f>'12. Разходи'!K11</f>
        <v>193.06883987499998</v>
      </c>
      <c r="U26" s="3779">
        <f>'12. Разходи'!L11</f>
        <v>193.13748199999998</v>
      </c>
      <c r="V26" s="3779">
        <f>'12. Разходи'!M11</f>
        <v>193.13748199999998</v>
      </c>
      <c r="W26" s="3779">
        <f>'12. Разходи'!N11</f>
        <v>193.10998560000002</v>
      </c>
      <c r="X26" s="3779">
        <f>'12. Разходи'!O11</f>
        <v>193.10998560000002</v>
      </c>
      <c r="Y26" s="3779">
        <f>'12. Разходи'!P11</f>
        <v>193.10998560000002</v>
      </c>
      <c r="Z26" s="4535">
        <f>IFERROR((U26-T26)/T26,0)</f>
        <v>3.5553186648056804E-4</v>
      </c>
      <c r="AA26" s="4535">
        <f t="shared" ref="AA26:AA36" si="33">IFERROR((Y26-U26)/U26,0)</f>
        <v>-1.4236697980747902E-4</v>
      </c>
      <c r="AB26" s="3524"/>
      <c r="AC26" s="3524"/>
      <c r="AD26" s="3523"/>
      <c r="AE26" s="3524"/>
      <c r="AF26" s="3524"/>
      <c r="AG26" s="3524"/>
      <c r="AH26" s="3524"/>
      <c r="AI26" s="3524"/>
      <c r="AJ26" s="3524"/>
      <c r="AK26" s="3646" t="s">
        <v>305</v>
      </c>
      <c r="AL26" s="3647">
        <f t="shared" ref="AL26:AP26" si="34">AL21-AL22+AL23+AL24+AL25</f>
        <v>2949.9031151376307</v>
      </c>
      <c r="AM26" s="3647">
        <f t="shared" si="34"/>
        <v>3085.2851144875694</v>
      </c>
      <c r="AN26" s="3647">
        <f t="shared" si="34"/>
        <v>3281.9411894555865</v>
      </c>
      <c r="AO26" s="3647">
        <f t="shared" si="34"/>
        <v>3431.9982057992256</v>
      </c>
      <c r="AP26" s="3647">
        <f t="shared" si="34"/>
        <v>3574.2055829380142</v>
      </c>
      <c r="AQ26" s="3524"/>
      <c r="AR26" s="3732" t="s">
        <v>297</v>
      </c>
      <c r="AS26" s="3733">
        <f>AS23+AS24</f>
        <v>0</v>
      </c>
      <c r="AT26" s="3733">
        <f>AT23+AT24</f>
        <v>0</v>
      </c>
      <c r="AU26" s="3733">
        <f>AU23+AU24</f>
        <v>0</v>
      </c>
      <c r="AV26" s="3733">
        <f>AV23+AV24</f>
        <v>0</v>
      </c>
      <c r="AW26" s="3733">
        <f>AW23+AW24</f>
        <v>0</v>
      </c>
    </row>
    <row r="27" spans="1:49" ht="15.75" customHeight="1">
      <c r="A27" s="4542" t="s">
        <v>222</v>
      </c>
      <c r="B27" s="3779">
        <f>'11. Амортиз. план'!L85</f>
        <v>1387</v>
      </c>
      <c r="C27" s="3779">
        <f>'11. Амортиз. план'!N85</f>
        <v>1130.3049046787344</v>
      </c>
      <c r="D27" s="3779">
        <f>'11. Амортиз. план'!O85</f>
        <v>971.63754565451632</v>
      </c>
      <c r="E27" s="3779">
        <f>'11. Амортиз. план'!P85</f>
        <v>872.72084336579951</v>
      </c>
      <c r="F27" s="3779">
        <f>'11. Амортиз. план'!Q85</f>
        <v>693.69985142167172</v>
      </c>
      <c r="G27" s="3779">
        <f>'11. Амортиз. план'!R85</f>
        <v>533.27678195110684</v>
      </c>
      <c r="H27" s="3524"/>
      <c r="I27" s="3769" t="str">
        <f>'9.Инвестиционна програма'!E140</f>
        <v>Доставяне на вода на потребителите</v>
      </c>
      <c r="J27" s="3904">
        <f>SUM(J28:J29)</f>
        <v>3735.3333333333335</v>
      </c>
      <c r="K27" s="3904">
        <f t="shared" ref="K27:N27" si="35">SUM(K28:K29)</f>
        <v>3096.6666666666665</v>
      </c>
      <c r="L27" s="3904">
        <f t="shared" si="35"/>
        <v>3193.3333333333335</v>
      </c>
      <c r="M27" s="3904">
        <f t="shared" si="35"/>
        <v>3340</v>
      </c>
      <c r="N27" s="3904">
        <f t="shared" si="35"/>
        <v>3095</v>
      </c>
      <c r="O27" s="3904">
        <f>SUM(J27:N27)</f>
        <v>16460.333333333336</v>
      </c>
      <c r="P27" s="3752">
        <f t="shared" ref="P27:P44" si="36">IFERROR(O27/$O$42,0)</f>
        <v>0.87267168557593766</v>
      </c>
      <c r="Q27" s="4565"/>
      <c r="R27" s="3524"/>
      <c r="S27" s="4537" t="s">
        <v>239</v>
      </c>
      <c r="T27" s="3779">
        <f>'12. Разходи'!K29</f>
        <v>527</v>
      </c>
      <c r="U27" s="3779">
        <f>'12. Разходи'!L29</f>
        <v>527</v>
      </c>
      <c r="V27" s="3779">
        <f>'12. Разходи'!M29</f>
        <v>527</v>
      </c>
      <c r="W27" s="3779">
        <f>'12. Разходи'!N29</f>
        <v>527</v>
      </c>
      <c r="X27" s="3779">
        <f>'12. Разходи'!O29</f>
        <v>527</v>
      </c>
      <c r="Y27" s="3779">
        <f>'12. Разходи'!P29</f>
        <v>527</v>
      </c>
      <c r="Z27" s="4535">
        <f t="shared" ref="Z27:Z42" si="37">IFERROR((U27-T27)/T27,0)</f>
        <v>0</v>
      </c>
      <c r="AA27" s="4535">
        <f t="shared" si="33"/>
        <v>0</v>
      </c>
      <c r="AB27" s="3524"/>
      <c r="AC27" s="3524"/>
      <c r="AD27" s="3523"/>
      <c r="AE27" s="3524"/>
      <c r="AF27" s="3524"/>
      <c r="AG27" s="3524"/>
      <c r="AH27" s="3524"/>
      <c r="AI27" s="3524"/>
      <c r="AJ27" s="3524"/>
      <c r="AK27" s="5665" t="s">
        <v>1691</v>
      </c>
      <c r="AL27" s="5666" t="str">
        <f>T76</f>
        <v>Доставяне на вода с непитейни качества</v>
      </c>
      <c r="AM27" s="5667"/>
      <c r="AN27" s="5667"/>
      <c r="AO27" s="5667"/>
      <c r="AP27" s="5667"/>
      <c r="AQ27" s="3524"/>
      <c r="AR27" s="5668" t="s">
        <v>1692</v>
      </c>
      <c r="AS27" s="5673" t="str">
        <f>AL35</f>
        <v>Доставяне на вода на друг ВиК оператор</v>
      </c>
      <c r="AT27" s="5674"/>
      <c r="AU27" s="5674"/>
      <c r="AV27" s="5674"/>
      <c r="AW27" s="5675"/>
    </row>
    <row r="28" spans="1:49" ht="15.75" customHeight="1">
      <c r="A28" s="5686" t="s">
        <v>1658</v>
      </c>
      <c r="B28" s="5686"/>
      <c r="C28" s="5686"/>
      <c r="D28" s="5686"/>
      <c r="E28" s="5686"/>
      <c r="F28" s="5686"/>
      <c r="G28" s="5686"/>
      <c r="H28" s="3524"/>
      <c r="I28" s="4566" t="s">
        <v>1616</v>
      </c>
      <c r="J28" s="4561">
        <f>'9.Инвестиционна програма'!I153</f>
        <v>3578.666666666667</v>
      </c>
      <c r="K28" s="4561">
        <f>'9.Инвестиционна програма'!J153</f>
        <v>3006.6666666666665</v>
      </c>
      <c r="L28" s="4561">
        <f>'9.Инвестиционна програма'!K153</f>
        <v>2941.666666666667</v>
      </c>
      <c r="M28" s="4561">
        <f>'9.Инвестиционна програма'!L153</f>
        <v>2866.6666666666665</v>
      </c>
      <c r="N28" s="4561">
        <f>'9.Инвестиционна програма'!M153</f>
        <v>3001.6666666666665</v>
      </c>
      <c r="O28" s="4561">
        <f t="shared" ref="O28:O41" si="38">SUM(J28:N28)</f>
        <v>15395.333333333332</v>
      </c>
      <c r="P28" s="4567">
        <f t="shared" si="36"/>
        <v>0.81620895627893819</v>
      </c>
      <c r="Q28" s="4568"/>
      <c r="R28" s="3524"/>
      <c r="S28" s="4537" t="s">
        <v>446</v>
      </c>
      <c r="T28" s="3779">
        <f>'12. Разходи'!K55</f>
        <v>669</v>
      </c>
      <c r="U28" s="3779">
        <f>'12. Разходи'!L55</f>
        <v>393.47639015151515</v>
      </c>
      <c r="V28" s="3779">
        <f>'12. Разходи'!M55</f>
        <v>395.33071239172705</v>
      </c>
      <c r="W28" s="3779">
        <f>'12. Разходи'!N55</f>
        <v>397.24752337697043</v>
      </c>
      <c r="X28" s="3779">
        <f>'12. Разходи'!O55</f>
        <v>389.0176802198942</v>
      </c>
      <c r="Y28" s="3779">
        <f>'12. Разходи'!P55</f>
        <v>390.42193605744569</v>
      </c>
      <c r="Z28" s="4535">
        <f t="shared" si="37"/>
        <v>-0.41184396090954389</v>
      </c>
      <c r="AA28" s="4535">
        <f t="shared" si="33"/>
        <v>-7.7627379190230031E-3</v>
      </c>
      <c r="AB28" s="3524"/>
      <c r="AC28" s="3524"/>
      <c r="AD28" s="3523"/>
      <c r="AE28" s="3524"/>
      <c r="AF28" s="3524"/>
      <c r="AG28" s="3524"/>
      <c r="AH28" s="3524"/>
      <c r="AI28" s="3524"/>
      <c r="AJ28" s="3524"/>
      <c r="AK28" s="5665"/>
      <c r="AL28" s="4532" t="s">
        <v>1777</v>
      </c>
      <c r="AM28" s="4532" t="s">
        <v>1778</v>
      </c>
      <c r="AN28" s="4532" t="s">
        <v>1779</v>
      </c>
      <c r="AO28" s="4532" t="s">
        <v>1780</v>
      </c>
      <c r="AP28" s="4532" t="s">
        <v>1781</v>
      </c>
      <c r="AQ28" s="3524"/>
      <c r="AR28" s="5669"/>
      <c r="AS28" s="4532" t="s">
        <v>1777</v>
      </c>
      <c r="AT28" s="4532" t="s">
        <v>1778</v>
      </c>
      <c r="AU28" s="4532" t="s">
        <v>1779</v>
      </c>
      <c r="AV28" s="4532" t="s">
        <v>1780</v>
      </c>
      <c r="AW28" s="4532" t="s">
        <v>1781</v>
      </c>
    </row>
    <row r="29" spans="1:49" ht="15.75" customHeight="1">
      <c r="A29" s="4536" t="s">
        <v>334</v>
      </c>
      <c r="B29" s="3904">
        <f>'11. Амортиз. план'!L111</f>
        <v>1512</v>
      </c>
      <c r="C29" s="3904">
        <f>'11. Амортиз. план'!N111</f>
        <v>1852</v>
      </c>
      <c r="D29" s="3904">
        <f>'11. Амортиз. план'!O111</f>
        <v>2038.6666666666667</v>
      </c>
      <c r="E29" s="3904">
        <f>'11. Амортиз. план'!P111</f>
        <v>2225.3333333333335</v>
      </c>
      <c r="F29" s="3904">
        <f>'11. Амортиз. план'!Q111</f>
        <v>2402</v>
      </c>
      <c r="G29" s="3904">
        <f>'11. Амортиз. план'!R111</f>
        <v>2578.6666666666665</v>
      </c>
      <c r="H29" s="3524"/>
      <c r="I29" s="4566" t="s">
        <v>1617</v>
      </c>
      <c r="J29" s="4561">
        <f>'9.Инвестиционна програма'!I147</f>
        <v>156.66666666666666</v>
      </c>
      <c r="K29" s="4561">
        <f>'9.Инвестиционна програма'!J147</f>
        <v>90</v>
      </c>
      <c r="L29" s="4561">
        <f>'9.Инвестиционна програма'!K147</f>
        <v>251.66666666666666</v>
      </c>
      <c r="M29" s="4561">
        <f>'9.Инвестиционна програма'!L147</f>
        <v>473.33333333333331</v>
      </c>
      <c r="N29" s="4561">
        <f>'9.Инвестиционна програма'!M147</f>
        <v>93.333333333333329</v>
      </c>
      <c r="O29" s="4561">
        <f t="shared" si="38"/>
        <v>1065</v>
      </c>
      <c r="P29" s="4567">
        <f t="shared" si="36"/>
        <v>5.6462729296999255E-2</v>
      </c>
      <c r="Q29" s="4568"/>
      <c r="R29" s="3524"/>
      <c r="S29" s="4544" t="s">
        <v>447</v>
      </c>
      <c r="T29" s="4539">
        <f>'12. Разходи'!K56</f>
        <v>184</v>
      </c>
      <c r="U29" s="4539">
        <f>'12. Разходи'!L56</f>
        <v>206.8127840909091</v>
      </c>
      <c r="V29" s="4539">
        <f>'12. Разходи'!M56</f>
        <v>208.66735902421775</v>
      </c>
      <c r="W29" s="4539">
        <f>'12. Разходи'!N56</f>
        <v>210.58336895538346</v>
      </c>
      <c r="X29" s="4539">
        <f>'12. Разходи'!O56</f>
        <v>212.35432527746084</v>
      </c>
      <c r="Y29" s="4539">
        <f>'12. Разходи'!P56</f>
        <v>213.75640280389814</v>
      </c>
      <c r="Z29" s="4535">
        <f t="shared" si="37"/>
        <v>0.12398252223320165</v>
      </c>
      <c r="AA29" s="4535">
        <f t="shared" si="33"/>
        <v>3.3574417285233277E-2</v>
      </c>
      <c r="AB29" s="3524"/>
      <c r="AC29" s="3524"/>
      <c r="AD29" s="3523"/>
      <c r="AE29" s="3524"/>
      <c r="AF29" s="3524"/>
      <c r="AG29" s="3524"/>
      <c r="AH29" s="3524"/>
      <c r="AI29" s="3524"/>
      <c r="AJ29" s="3524"/>
      <c r="AK29" s="3645" t="s">
        <v>547</v>
      </c>
      <c r="AL29" s="3764">
        <f>'17. РБА'!C52</f>
        <v>0</v>
      </c>
      <c r="AM29" s="3764">
        <f>'17. РБА'!D52</f>
        <v>0</v>
      </c>
      <c r="AN29" s="3764">
        <f>'17. РБА'!E52</f>
        <v>0</v>
      </c>
      <c r="AO29" s="3764">
        <f>'17. РБА'!F52</f>
        <v>0</v>
      </c>
      <c r="AP29" s="3764">
        <f>'17. РБА'!G52</f>
        <v>0</v>
      </c>
      <c r="AQ29" s="3524"/>
      <c r="AR29" s="3765" t="s">
        <v>294</v>
      </c>
      <c r="AS29" s="3478">
        <f>'16. Необходими приходи'!D40</f>
        <v>0</v>
      </c>
      <c r="AT29" s="3478">
        <f>'16. Необходими приходи'!E40</f>
        <v>0</v>
      </c>
      <c r="AU29" s="3478">
        <f>'16. Необходими приходи'!F40</f>
        <v>0</v>
      </c>
      <c r="AV29" s="3478">
        <f>'16. Необходими приходи'!G40</f>
        <v>0</v>
      </c>
      <c r="AW29" s="3478">
        <f>'16. Необходими приходи'!H40</f>
        <v>0</v>
      </c>
    </row>
    <row r="30" spans="1:49" ht="15.75" customHeight="1">
      <c r="A30" s="4538" t="s">
        <v>218</v>
      </c>
      <c r="B30" s="4539">
        <f>'11. Амортиз. план'!L131</f>
        <v>28</v>
      </c>
      <c r="C30" s="4539">
        <f>'11. Амортиз. план'!N131</f>
        <v>33.37560606060606</v>
      </c>
      <c r="D30" s="4539">
        <f>'11. Амортиз. план'!O131</f>
        <v>36.933353367509284</v>
      </c>
      <c r="E30" s="4539">
        <f>'11. Амортиз. план'!P131</f>
        <v>40.494154421586956</v>
      </c>
      <c r="F30" s="4539">
        <f>'11. Амортиз. план'!Q131</f>
        <v>43.898354942433357</v>
      </c>
      <c r="G30" s="4539">
        <f>'11. Амортиз. план'!R131</f>
        <v>47.209533253547612</v>
      </c>
      <c r="H30" s="3524"/>
      <c r="I30" s="3769" t="str">
        <f>'9.Инвестиционна програма'!E141</f>
        <v>Отвеждане на отпадъчните води</v>
      </c>
      <c r="J30" s="3904">
        <f>SUM(J31:J32)</f>
        <v>258.33333333333331</v>
      </c>
      <c r="K30" s="3904">
        <f t="shared" ref="K30" si="39">SUM(K31:K32)</f>
        <v>236.66666666666666</v>
      </c>
      <c r="L30" s="3904">
        <f t="shared" ref="L30" si="40">SUM(L31:L32)</f>
        <v>298.33333333333331</v>
      </c>
      <c r="M30" s="3904">
        <f t="shared" ref="M30" si="41">SUM(M31:M32)</f>
        <v>210</v>
      </c>
      <c r="N30" s="3904">
        <f t="shared" ref="N30" si="42">SUM(N31:N32)</f>
        <v>230</v>
      </c>
      <c r="O30" s="3904">
        <f t="shared" ref="O30:O39" si="43">SUM(J30:N30)</f>
        <v>1233.3333333333333</v>
      </c>
      <c r="P30" s="3752">
        <f t="shared" si="36"/>
        <v>6.5387198246916189E-2</v>
      </c>
      <c r="Q30" s="4565"/>
      <c r="R30" s="3524"/>
      <c r="S30" s="4544" t="s">
        <v>736</v>
      </c>
      <c r="T30" s="4539">
        <f>'12. Разходи'!K57</f>
        <v>20</v>
      </c>
      <c r="U30" s="4539">
        <f>'12. Разходи'!L57</f>
        <v>33.37560606060606</v>
      </c>
      <c r="V30" s="4539">
        <f>'12. Разходи'!M57</f>
        <v>36.933353367509284</v>
      </c>
      <c r="W30" s="4539">
        <f>'12. Разходи'!N57</f>
        <v>40.494154421586956</v>
      </c>
      <c r="X30" s="4539">
        <f>'12. Разходи'!O57</f>
        <v>43.898354942433357</v>
      </c>
      <c r="Y30" s="4539">
        <f>'12. Разходи'!P57</f>
        <v>47.209533253547612</v>
      </c>
      <c r="Z30" s="4535">
        <f t="shared" si="37"/>
        <v>0.668780303030303</v>
      </c>
      <c r="AA30" s="4535">
        <f t="shared" si="33"/>
        <v>0.41449216436162434</v>
      </c>
      <c r="AB30" s="3524"/>
      <c r="AC30" s="3524"/>
      <c r="AD30" s="3523"/>
      <c r="AE30" s="3524"/>
      <c r="AF30" s="3524"/>
      <c r="AG30" s="3524"/>
      <c r="AH30" s="3524"/>
      <c r="AI30" s="3524"/>
      <c r="AJ30" s="3524"/>
      <c r="AK30" s="3645" t="s">
        <v>548</v>
      </c>
      <c r="AL30" s="3764">
        <f>'17. РБА'!C55</f>
        <v>0</v>
      </c>
      <c r="AM30" s="3764">
        <f>'17. РБА'!D55</f>
        <v>0</v>
      </c>
      <c r="AN30" s="3764">
        <f>'17. РБА'!E55</f>
        <v>0</v>
      </c>
      <c r="AO30" s="3764">
        <f>'17. РБА'!F55</f>
        <v>0</v>
      </c>
      <c r="AP30" s="3764">
        <f>'17. РБА'!G55</f>
        <v>0</v>
      </c>
      <c r="AQ30" s="3524"/>
      <c r="AR30" s="3765" t="s">
        <v>296</v>
      </c>
      <c r="AS30" s="3478">
        <f>'16. Необходими приходи'!D41</f>
        <v>0</v>
      </c>
      <c r="AT30" s="3478">
        <f>'16. Необходими приходи'!E41</f>
        <v>0</v>
      </c>
      <c r="AU30" s="3478">
        <f>'16. Необходими приходи'!F41</f>
        <v>0</v>
      </c>
      <c r="AV30" s="3478">
        <f>'16. Необходими приходи'!G41</f>
        <v>0</v>
      </c>
      <c r="AW30" s="3478">
        <f>'16. Необходими приходи'!H41</f>
        <v>0</v>
      </c>
    </row>
    <row r="31" spans="1:49" ht="18.75" customHeight="1">
      <c r="A31" s="4542" t="s">
        <v>220</v>
      </c>
      <c r="B31" s="3779">
        <f>'11. Амортиз. план'!L151</f>
        <v>76</v>
      </c>
      <c r="C31" s="3779">
        <f>'11. Амортиз. план'!N151</f>
        <v>139.64592419015759</v>
      </c>
      <c r="D31" s="3779">
        <f>'11. Амортиз. план'!O151</f>
        <v>176.57927755766687</v>
      </c>
      <c r="E31" s="3779">
        <f>'11. Амортиз. план'!P151</f>
        <v>217.07343197925383</v>
      </c>
      <c r="F31" s="3779">
        <f>'11. Амортиз. план'!Q151</f>
        <v>260.97178692168723</v>
      </c>
      <c r="G31" s="3779">
        <f>'11. Амортиз. план'!R151</f>
        <v>308.18132017523482</v>
      </c>
      <c r="H31" s="3524"/>
      <c r="I31" s="4566" t="s">
        <v>1616</v>
      </c>
      <c r="J31" s="4561">
        <f>'9.Инвестиционна програма'!I154</f>
        <v>186.66666666666666</v>
      </c>
      <c r="K31" s="4561">
        <f>'9.Инвестиционна програма'!J154</f>
        <v>186.66666666666666</v>
      </c>
      <c r="L31" s="4561">
        <f>'9.Инвестиционна програма'!K154</f>
        <v>186.66666666666666</v>
      </c>
      <c r="M31" s="4561">
        <f>'9.Инвестиционна програма'!L154</f>
        <v>176.66666666666669</v>
      </c>
      <c r="N31" s="4561">
        <f>'9.Инвестиционна програма'!M154</f>
        <v>176.66666666666669</v>
      </c>
      <c r="O31" s="4561">
        <f t="shared" si="38"/>
        <v>913.33333333333348</v>
      </c>
      <c r="P31" s="4567">
        <f t="shared" si="36"/>
        <v>4.8421871134202814E-2</v>
      </c>
      <c r="Q31" s="4568"/>
      <c r="R31" s="3524"/>
      <c r="S31" s="4544" t="s">
        <v>737</v>
      </c>
      <c r="T31" s="4539">
        <f>'12. Разходи'!K58</f>
        <v>465</v>
      </c>
      <c r="U31" s="4539">
        <f>'12. Разходи'!L58</f>
        <v>153.28800000000001</v>
      </c>
      <c r="V31" s="4539">
        <f>'12. Разходи'!M58</f>
        <v>149.72999999999999</v>
      </c>
      <c r="W31" s="4539">
        <f>'12. Разходи'!N58</f>
        <v>146.16999999999999</v>
      </c>
      <c r="X31" s="4539">
        <f>'12. Разходи'!O58</f>
        <v>132.76499999999999</v>
      </c>
      <c r="Y31" s="4539">
        <f>'12. Разходи'!P58</f>
        <v>129.45599999999999</v>
      </c>
      <c r="Z31" s="4535">
        <f t="shared" si="37"/>
        <v>-0.67034838709677413</v>
      </c>
      <c r="AA31" s="4535">
        <f t="shared" si="33"/>
        <v>-0.15547205260685781</v>
      </c>
      <c r="AB31" s="3524"/>
      <c r="AC31" s="3524"/>
      <c r="AD31" s="3523"/>
      <c r="AE31" s="3524"/>
      <c r="AF31" s="3524"/>
      <c r="AG31" s="3524"/>
      <c r="AH31" s="3524"/>
      <c r="AI31" s="3524"/>
      <c r="AJ31" s="3524"/>
      <c r="AK31" s="3645" t="s">
        <v>549</v>
      </c>
      <c r="AL31" s="3764">
        <f>'17. РБА'!C58</f>
        <v>0</v>
      </c>
      <c r="AM31" s="3764">
        <f>'17. РБА'!D58</f>
        <v>0</v>
      </c>
      <c r="AN31" s="3764">
        <f>'17. РБА'!E58</f>
        <v>0</v>
      </c>
      <c r="AO31" s="3764">
        <f>'17. РБА'!F58</f>
        <v>0</v>
      </c>
      <c r="AP31" s="3764">
        <f>'17. РБА'!G58</f>
        <v>0</v>
      </c>
      <c r="AQ31" s="3524"/>
      <c r="AR31" s="3765" t="s">
        <v>1787</v>
      </c>
      <c r="AS31" s="3478">
        <f>'12. Разходи'!AJ17</f>
        <v>0</v>
      </c>
      <c r="AT31" s="3478">
        <f>'12. Разходи'!AK17</f>
        <v>0</v>
      </c>
      <c r="AU31" s="3478">
        <f>'12. Разходи'!AL17</f>
        <v>0</v>
      </c>
      <c r="AV31" s="3478">
        <f>'12. Разходи'!AM17</f>
        <v>0</v>
      </c>
      <c r="AW31" s="3478">
        <f>'12. Разходи'!AN17</f>
        <v>0</v>
      </c>
    </row>
    <row r="32" spans="1:49" ht="15.75" customHeight="1">
      <c r="A32" s="4542" t="s">
        <v>222</v>
      </c>
      <c r="B32" s="3779">
        <f>'11. Амортиз. план'!L171</f>
        <v>1436</v>
      </c>
      <c r="C32" s="3779">
        <f>'11. Амортиз. план'!N171</f>
        <v>1712.3540758098425</v>
      </c>
      <c r="D32" s="3779">
        <f>'11. Амортиз. план'!O171</f>
        <v>1862.0873891089998</v>
      </c>
      <c r="E32" s="3779">
        <f>'11. Амортиз. план'!P171</f>
        <v>2008.2599013540796</v>
      </c>
      <c r="F32" s="3779">
        <f>'11. Амортиз. план'!Q171</f>
        <v>2141.0282130783125</v>
      </c>
      <c r="G32" s="3779">
        <f>'11. Амортиз. план'!R171</f>
        <v>2270.4853464914318</v>
      </c>
      <c r="H32" s="3524"/>
      <c r="I32" s="4566" t="s">
        <v>1617</v>
      </c>
      <c r="J32" s="4561">
        <f>'9.Инвестиционна програма'!I148</f>
        <v>71.666666666666657</v>
      </c>
      <c r="K32" s="4561">
        <f>'9.Инвестиционна програма'!J148</f>
        <v>50</v>
      </c>
      <c r="L32" s="4561">
        <f>'9.Инвестиционна програма'!K148</f>
        <v>111.66666666666666</v>
      </c>
      <c r="M32" s="4561">
        <f>'9.Инвестиционна програма'!L148</f>
        <v>33.333333333333329</v>
      </c>
      <c r="N32" s="4561">
        <f>'9.Инвестиционна програма'!M148</f>
        <v>53.333333333333329</v>
      </c>
      <c r="O32" s="4561">
        <f t="shared" si="38"/>
        <v>319.99999999999994</v>
      </c>
      <c r="P32" s="4567">
        <f t="shared" si="36"/>
        <v>1.696532711271339E-2</v>
      </c>
      <c r="Q32" s="4568"/>
      <c r="R32" s="3524"/>
      <c r="S32" s="4537" t="s">
        <v>448</v>
      </c>
      <c r="T32" s="3779">
        <f>'12. Разходи'!K59</f>
        <v>1727</v>
      </c>
      <c r="U32" s="3779">
        <f>'12. Разходи'!L59</f>
        <v>2449</v>
      </c>
      <c r="V32" s="3779">
        <f>'12. Разходи'!M59</f>
        <v>2824</v>
      </c>
      <c r="W32" s="3779">
        <f>'12. Разходи'!N59</f>
        <v>3146</v>
      </c>
      <c r="X32" s="3779">
        <f>'12. Разходи'!O59</f>
        <v>3593</v>
      </c>
      <c r="Y32" s="3779">
        <f>'12. Разходи'!P59</f>
        <v>4112</v>
      </c>
      <c r="Z32" s="4535">
        <f t="shared" si="37"/>
        <v>0.41806601042269831</v>
      </c>
      <c r="AA32" s="4535">
        <f t="shared" si="33"/>
        <v>0.67905267456104534</v>
      </c>
      <c r="AB32" s="3524"/>
      <c r="AC32" s="3524"/>
      <c r="AD32" s="3523"/>
      <c r="AE32" s="3524"/>
      <c r="AF32" s="3524"/>
      <c r="AG32" s="3524"/>
      <c r="AH32" s="3524"/>
      <c r="AI32" s="3524"/>
      <c r="AJ32" s="3524"/>
      <c r="AK32" s="3645" t="s">
        <v>329</v>
      </c>
      <c r="AL32" s="3771">
        <f>'17. РБА'!C61</f>
        <v>0</v>
      </c>
      <c r="AM32" s="3771">
        <f>'17. РБА'!D61</f>
        <v>0</v>
      </c>
      <c r="AN32" s="3771">
        <f>'17. РБА'!E61</f>
        <v>0</v>
      </c>
      <c r="AO32" s="3771">
        <f>'17. РБА'!F61</f>
        <v>0</v>
      </c>
      <c r="AP32" s="3771">
        <f>'17. РБА'!G61</f>
        <v>0</v>
      </c>
      <c r="AQ32" s="3524"/>
      <c r="AR32" s="3732" t="s">
        <v>297</v>
      </c>
      <c r="AS32" s="3733">
        <f>AS29+AS30</f>
        <v>0</v>
      </c>
      <c r="AT32" s="3733">
        <f>AT29+AT30</f>
        <v>0</v>
      </c>
      <c r="AU32" s="3733">
        <f>AU29+AU30</f>
        <v>0</v>
      </c>
      <c r="AV32" s="3733">
        <f>AV29+AV30</f>
        <v>0</v>
      </c>
      <c r="AW32" s="3733">
        <f>AW29+AW30</f>
        <v>0</v>
      </c>
    </row>
    <row r="33" spans="1:49" ht="15.75" customHeight="1">
      <c r="A33" s="5686" t="s">
        <v>1659</v>
      </c>
      <c r="B33" s="5686"/>
      <c r="C33" s="5686"/>
      <c r="D33" s="5686"/>
      <c r="E33" s="5686"/>
      <c r="F33" s="5686"/>
      <c r="G33" s="5686"/>
      <c r="H33" s="3524"/>
      <c r="I33" s="3769" t="str">
        <f>'9.Инвестиционна програма'!E142</f>
        <v>Пречистване на отпадъчните води</v>
      </c>
      <c r="J33" s="3904">
        <f>SUM(J34:J35)</f>
        <v>253.33333333333331</v>
      </c>
      <c r="K33" s="3904">
        <f t="shared" ref="K33" si="44">SUM(K34:K35)</f>
        <v>216.66666666666666</v>
      </c>
      <c r="L33" s="3904">
        <f t="shared" ref="L33" si="45">SUM(L34:L35)</f>
        <v>268.33333333333331</v>
      </c>
      <c r="M33" s="3904">
        <f t="shared" ref="M33" si="46">SUM(M34:M35)</f>
        <v>220</v>
      </c>
      <c r="N33" s="3904">
        <f t="shared" ref="N33" si="47">SUM(N34:N35)</f>
        <v>210</v>
      </c>
      <c r="O33" s="3904">
        <f t="shared" si="43"/>
        <v>1168.3333333333333</v>
      </c>
      <c r="P33" s="3752">
        <f t="shared" si="36"/>
        <v>6.1941116177146288E-2</v>
      </c>
      <c r="Q33" s="4565"/>
      <c r="R33" s="3524"/>
      <c r="S33" s="4537" t="s">
        <v>449</v>
      </c>
      <c r="T33" s="3779">
        <f>'12. Разходи'!K63</f>
        <v>644</v>
      </c>
      <c r="U33" s="3779">
        <f>'12. Разходи'!L63</f>
        <v>929</v>
      </c>
      <c r="V33" s="3779">
        <f>'12. Разходи'!M63</f>
        <v>1067</v>
      </c>
      <c r="W33" s="3779">
        <f>'12. Разходи'!N63</f>
        <v>1228</v>
      </c>
      <c r="X33" s="3779">
        <f>'12. Разходи'!O63</f>
        <v>1412</v>
      </c>
      <c r="Y33" s="3779">
        <f>'12. Разходи'!P63</f>
        <v>1624</v>
      </c>
      <c r="Z33" s="4535">
        <f t="shared" si="37"/>
        <v>0.44254658385093165</v>
      </c>
      <c r="AA33" s="4535">
        <f t="shared" si="33"/>
        <v>0.74811625403659854</v>
      </c>
      <c r="AB33" s="3524"/>
      <c r="AC33" s="3524"/>
      <c r="AD33" s="3523"/>
      <c r="AE33" s="3524"/>
      <c r="AF33" s="3524"/>
      <c r="AG33" s="3524"/>
      <c r="AH33" s="3524"/>
      <c r="AI33" s="3524"/>
      <c r="AJ33" s="3524"/>
      <c r="AK33" s="3645" t="s">
        <v>306</v>
      </c>
      <c r="AL33" s="3764">
        <f>'17. РБА'!C62</f>
        <v>0</v>
      </c>
      <c r="AM33" s="3764">
        <f>'17. РБА'!D62</f>
        <v>0</v>
      </c>
      <c r="AN33" s="3764">
        <f>'17. РБА'!E62</f>
        <v>0</v>
      </c>
      <c r="AO33" s="3764">
        <f>'17. РБА'!F62</f>
        <v>0</v>
      </c>
      <c r="AP33" s="3764">
        <f>'17. РБА'!G62</f>
        <v>0</v>
      </c>
      <c r="AQ33" s="3524"/>
      <c r="AR33" s="4524"/>
      <c r="AS33" s="3524"/>
      <c r="AT33" s="3524"/>
      <c r="AU33" s="3524"/>
      <c r="AV33" s="3524"/>
      <c r="AW33" s="3524"/>
    </row>
    <row r="34" spans="1:49" ht="12.75" customHeight="1">
      <c r="A34" s="4536" t="s">
        <v>334</v>
      </c>
      <c r="B34" s="3904">
        <f>'11. Амортиз. план'!L192</f>
        <v>81397</v>
      </c>
      <c r="C34" s="3904">
        <f>'11. Амортиз. план'!N192</f>
        <v>81397</v>
      </c>
      <c r="D34" s="3904">
        <f>'11. Амортиз. план'!O192</f>
        <v>81397</v>
      </c>
      <c r="E34" s="3904">
        <f>'11. Амортиз. план'!P192</f>
        <v>81397</v>
      </c>
      <c r="F34" s="3904">
        <f>'11. Амортиз. план'!Q192</f>
        <v>81397</v>
      </c>
      <c r="G34" s="3904">
        <f>'11. Амортиз. план'!R192</f>
        <v>81397</v>
      </c>
      <c r="H34" s="3524"/>
      <c r="I34" s="4566" t="s">
        <v>1616</v>
      </c>
      <c r="J34" s="4561">
        <f>'9.Инвестиционна програма'!I155</f>
        <v>126.66666666666666</v>
      </c>
      <c r="K34" s="4561">
        <f>'9.Инвестиционна програма'!J155</f>
        <v>126.66666666666666</v>
      </c>
      <c r="L34" s="4561">
        <f>'9.Инвестиционна програма'!K155</f>
        <v>126.66666666666666</v>
      </c>
      <c r="M34" s="4561">
        <f>'9.Инвестиционна програма'!L155</f>
        <v>126.66666666666667</v>
      </c>
      <c r="N34" s="4561">
        <f>'9.Инвестиционна програма'!M155</f>
        <v>126.66666666666667</v>
      </c>
      <c r="O34" s="4561">
        <f t="shared" si="38"/>
        <v>633.33333333333337</v>
      </c>
      <c r="P34" s="4567">
        <f t="shared" si="36"/>
        <v>3.3577209910578588E-2</v>
      </c>
      <c r="Q34" s="4568"/>
      <c r="R34" s="3524"/>
      <c r="S34" s="4537" t="s">
        <v>450</v>
      </c>
      <c r="T34" s="3779">
        <f>'12. Разходи'!K70</f>
        <v>78</v>
      </c>
      <c r="U34" s="3779">
        <f>'12. Разходи'!L70</f>
        <v>79</v>
      </c>
      <c r="V34" s="3779">
        <f>'12. Разходи'!M70</f>
        <v>79</v>
      </c>
      <c r="W34" s="3779">
        <f>'12. Разходи'!N70</f>
        <v>78</v>
      </c>
      <c r="X34" s="3779">
        <f>'12. Разходи'!O70</f>
        <v>77</v>
      </c>
      <c r="Y34" s="3779">
        <f>'12. Разходи'!P70</f>
        <v>77</v>
      </c>
      <c r="Z34" s="4535">
        <f t="shared" si="37"/>
        <v>1.282051282051282E-2</v>
      </c>
      <c r="AA34" s="4535">
        <f t="shared" si="33"/>
        <v>-2.5316455696202531E-2</v>
      </c>
      <c r="AB34" s="3524"/>
      <c r="AC34" s="3524"/>
      <c r="AD34" s="3523"/>
      <c r="AE34" s="3524"/>
      <c r="AF34" s="3524"/>
      <c r="AG34" s="3524"/>
      <c r="AH34" s="3524"/>
      <c r="AI34" s="3524"/>
      <c r="AJ34" s="3524"/>
      <c r="AK34" s="3646" t="s">
        <v>305</v>
      </c>
      <c r="AL34" s="3647">
        <f t="shared" ref="AL34:AP34" si="48">AL29-AL30+AL31+AL32+AL33</f>
        <v>0</v>
      </c>
      <c r="AM34" s="3647">
        <f t="shared" si="48"/>
        <v>0</v>
      </c>
      <c r="AN34" s="3647">
        <f t="shared" si="48"/>
        <v>0</v>
      </c>
      <c r="AO34" s="3647">
        <f t="shared" si="48"/>
        <v>0</v>
      </c>
      <c r="AP34" s="3647">
        <f t="shared" si="48"/>
        <v>0</v>
      </c>
      <c r="AQ34" s="3524"/>
      <c r="AR34" s="4524"/>
      <c r="AS34" s="3524"/>
      <c r="AT34" s="3524"/>
      <c r="AU34" s="3524"/>
      <c r="AV34" s="3524"/>
      <c r="AW34" s="3524"/>
    </row>
    <row r="35" spans="1:49" ht="15.75" customHeight="1">
      <c r="A35" s="4538" t="s">
        <v>218</v>
      </c>
      <c r="B35" s="4539">
        <f>'11. Амортиз. план'!L214</f>
        <v>1628</v>
      </c>
      <c r="C35" s="4539">
        <f>'11. Амортиз. план'!N214</f>
        <v>1628</v>
      </c>
      <c r="D35" s="4539">
        <f>'11. Амортиз. план'!O214</f>
        <v>1628</v>
      </c>
      <c r="E35" s="4539">
        <f>'11. Амортиз. план'!P214</f>
        <v>1628</v>
      </c>
      <c r="F35" s="4539">
        <f>'11. Амортиз. план'!Q214</f>
        <v>1628</v>
      </c>
      <c r="G35" s="4539">
        <f>'11. Амортиз. план'!R214</f>
        <v>1628</v>
      </c>
      <c r="H35" s="3524"/>
      <c r="I35" s="4566" t="s">
        <v>1617</v>
      </c>
      <c r="J35" s="4561">
        <f>'9.Инвестиционна програма'!I149</f>
        <v>126.66666666666666</v>
      </c>
      <c r="K35" s="4561">
        <f>'9.Инвестиционна програма'!J149</f>
        <v>90</v>
      </c>
      <c r="L35" s="4561">
        <f>'9.Инвестиционна програма'!K149</f>
        <v>141.66666666666666</v>
      </c>
      <c r="M35" s="4561">
        <f>'9.Инвестиционна програма'!L149</f>
        <v>93.333333333333329</v>
      </c>
      <c r="N35" s="4561">
        <f>'9.Инвестиционна програма'!M149</f>
        <v>83.333333333333329</v>
      </c>
      <c r="O35" s="4561">
        <f t="shared" si="38"/>
        <v>535</v>
      </c>
      <c r="P35" s="4567">
        <f t="shared" si="36"/>
        <v>2.8363906266567703E-2</v>
      </c>
      <c r="Q35" s="4568"/>
      <c r="R35" s="3524"/>
      <c r="S35" s="4537" t="s">
        <v>267</v>
      </c>
      <c r="T35" s="3779">
        <f>'12. Разходи'!K76</f>
        <v>18.045999999999999</v>
      </c>
      <c r="U35" s="3779">
        <f>'12. Разходи'!L76</f>
        <v>18</v>
      </c>
      <c r="V35" s="3779">
        <f>'12. Разходи'!M76</f>
        <v>18</v>
      </c>
      <c r="W35" s="3779">
        <f>'12. Разходи'!N76</f>
        <v>18</v>
      </c>
      <c r="X35" s="3779">
        <f>'12. Разходи'!O76</f>
        <v>18</v>
      </c>
      <c r="Y35" s="3779">
        <f>'12. Разходи'!P76</f>
        <v>18</v>
      </c>
      <c r="Z35" s="4535">
        <f t="shared" si="37"/>
        <v>-2.5490413388008079E-3</v>
      </c>
      <c r="AA35" s="4535">
        <f t="shared" si="33"/>
        <v>0</v>
      </c>
      <c r="AB35" s="3524"/>
      <c r="AC35" s="3524"/>
      <c r="AD35" s="3523"/>
      <c r="AE35" s="3524"/>
      <c r="AF35" s="3524"/>
      <c r="AG35" s="3524"/>
      <c r="AH35" s="3524"/>
      <c r="AI35" s="3524"/>
      <c r="AJ35" s="3524"/>
      <c r="AK35" s="5665" t="s">
        <v>1691</v>
      </c>
      <c r="AL35" s="5666" t="str">
        <f>T100</f>
        <v>Доставяне на вода на друг ВиК оператор</v>
      </c>
      <c r="AM35" s="5667"/>
      <c r="AN35" s="5667"/>
      <c r="AO35" s="5667"/>
      <c r="AP35" s="5667"/>
      <c r="AQ35" s="3524"/>
      <c r="AR35" s="4524"/>
      <c r="AS35" s="3524"/>
      <c r="AT35" s="3524"/>
      <c r="AU35" s="3524"/>
      <c r="AV35" s="3524"/>
      <c r="AW35" s="3524"/>
    </row>
    <row r="36" spans="1:49" ht="15.75" customHeight="1">
      <c r="A36" s="4542" t="s">
        <v>220</v>
      </c>
      <c r="B36" s="3779">
        <f>'11. Амортиз. план'!L236</f>
        <v>13753</v>
      </c>
      <c r="C36" s="3779">
        <f>'11. Амортиз. план'!N236</f>
        <v>17009</v>
      </c>
      <c r="D36" s="3779">
        <f>'11. Амортиз. план'!O236</f>
        <v>18637</v>
      </c>
      <c r="E36" s="3779">
        <f>'11. Амортиз. план'!P236</f>
        <v>20265</v>
      </c>
      <c r="F36" s="3779">
        <f>'11. Амортиз. план'!Q236</f>
        <v>21893</v>
      </c>
      <c r="G36" s="3779">
        <f>'11. Амортиз. план'!R236</f>
        <v>23521</v>
      </c>
      <c r="H36" s="3524"/>
      <c r="I36" s="3769" t="str">
        <f>'9.Инвестиционна програма'!E143</f>
        <v>Доставяне на вода с непитейни качества</v>
      </c>
      <c r="J36" s="3904">
        <f>SUM(J37:J38)</f>
        <v>0</v>
      </c>
      <c r="K36" s="3904">
        <f t="shared" ref="K36" si="49">SUM(K37:K38)</f>
        <v>0</v>
      </c>
      <c r="L36" s="3904">
        <f t="shared" ref="L36" si="50">SUM(L37:L38)</f>
        <v>0</v>
      </c>
      <c r="M36" s="3904">
        <f t="shared" ref="M36" si="51">SUM(M37:M38)</f>
        <v>0</v>
      </c>
      <c r="N36" s="3904">
        <f t="shared" ref="N36" si="52">SUM(N37:N38)</f>
        <v>0</v>
      </c>
      <c r="O36" s="3904">
        <f t="shared" si="43"/>
        <v>0</v>
      </c>
      <c r="P36" s="3752">
        <f t="shared" si="36"/>
        <v>0</v>
      </c>
      <c r="Q36" s="4565"/>
      <c r="R36" s="3524"/>
      <c r="S36" s="4546" t="s">
        <v>277</v>
      </c>
      <c r="T36" s="4547">
        <f>SUM(T26:T28,T32:T35)</f>
        <v>3856.1148398749997</v>
      </c>
      <c r="U36" s="4547">
        <f t="shared" ref="U36" si="53">SUM(U26:U28,U32:U35)</f>
        <v>4588.6138721515154</v>
      </c>
      <c r="V36" s="4547">
        <f t="shared" ref="V36" si="54">SUM(V26:V28,V32:V35)</f>
        <v>5103.4681943917276</v>
      </c>
      <c r="W36" s="4547">
        <f t="shared" ref="W36" si="55">SUM(W26:W28,W32:W35)</f>
        <v>5587.3575089769711</v>
      </c>
      <c r="X36" s="4547">
        <f t="shared" ref="X36" si="56">SUM(X26:X28,X32:X35)</f>
        <v>6209.127665819894</v>
      </c>
      <c r="Y36" s="4547">
        <f t="shared" ref="Y36" si="57">SUM(Y26:Y28,Y32:Y35)</f>
        <v>6941.5319216574462</v>
      </c>
      <c r="Z36" s="4548">
        <f t="shared" si="37"/>
        <v>0.18995778463388824</v>
      </c>
      <c r="AA36" s="4548">
        <f t="shared" si="33"/>
        <v>0.51277316310833787</v>
      </c>
      <c r="AB36" s="3524"/>
      <c r="AC36" s="3524"/>
      <c r="AD36" s="3523"/>
      <c r="AE36" s="3524"/>
      <c r="AF36" s="3524"/>
      <c r="AG36" s="3524"/>
      <c r="AH36" s="3524"/>
      <c r="AI36" s="3524"/>
      <c r="AJ36" s="3524"/>
      <c r="AK36" s="5665"/>
      <c r="AL36" s="4532" t="s">
        <v>1777</v>
      </c>
      <c r="AM36" s="4532" t="s">
        <v>1778</v>
      </c>
      <c r="AN36" s="4532" t="s">
        <v>1779</v>
      </c>
      <c r="AO36" s="4532" t="s">
        <v>1780</v>
      </c>
      <c r="AP36" s="4532" t="s">
        <v>1781</v>
      </c>
      <c r="AQ36" s="3524"/>
      <c r="AR36" s="4524"/>
      <c r="AS36" s="3524"/>
      <c r="AT36" s="3524"/>
      <c r="AU36" s="3524"/>
      <c r="AV36" s="3524"/>
      <c r="AW36" s="3524"/>
    </row>
    <row r="37" spans="1:49" ht="15.75" customHeight="1">
      <c r="A37" s="4542" t="s">
        <v>222</v>
      </c>
      <c r="B37" s="3779">
        <f>'11. Амортиз. план'!L258</f>
        <v>67644</v>
      </c>
      <c r="C37" s="3779">
        <f>'11. Амортиз. план'!N258</f>
        <v>64388</v>
      </c>
      <c r="D37" s="3779">
        <f>'11. Амортиз. план'!O258</f>
        <v>62760</v>
      </c>
      <c r="E37" s="3779">
        <f>'11. Амортиз. план'!P258</f>
        <v>61132</v>
      </c>
      <c r="F37" s="3779">
        <f>'11. Амортиз. план'!Q258</f>
        <v>59504</v>
      </c>
      <c r="G37" s="3779">
        <f>'11. Амортиз. план'!R258</f>
        <v>57876</v>
      </c>
      <c r="H37" s="3524"/>
      <c r="I37" s="4566" t="s">
        <v>1616</v>
      </c>
      <c r="J37" s="4561">
        <f>'9.Инвестиционна програма'!I156</f>
        <v>0</v>
      </c>
      <c r="K37" s="4561">
        <f>'9.Инвестиционна програма'!J156</f>
        <v>0</v>
      </c>
      <c r="L37" s="4561">
        <f>'9.Инвестиционна програма'!K156</f>
        <v>0</v>
      </c>
      <c r="M37" s="4561">
        <f>'9.Инвестиционна програма'!L156</f>
        <v>0</v>
      </c>
      <c r="N37" s="4561">
        <f>'9.Инвестиционна програма'!M156</f>
        <v>0</v>
      </c>
      <c r="O37" s="4561">
        <f t="shared" si="38"/>
        <v>0</v>
      </c>
      <c r="P37" s="4567">
        <f t="shared" si="36"/>
        <v>0</v>
      </c>
      <c r="Q37" s="4568"/>
      <c r="R37" s="3524"/>
      <c r="S37" s="4555" t="str">
        <f>CONCATENATE("Спестявания и увеличения спрямо ",T25," - нето:")</f>
        <v>Спестявания и увеличения спрямо 2024 г. - нето:</v>
      </c>
      <c r="T37" s="4556"/>
      <c r="U37" s="4555">
        <f>U36-$T36</f>
        <v>732.49903227651566</v>
      </c>
      <c r="V37" s="4555">
        <f t="shared" ref="V37" si="58">V36-$T36</f>
        <v>1247.3533545167279</v>
      </c>
      <c r="W37" s="4555">
        <f t="shared" ref="W37" si="59">W36-$T36</f>
        <v>1731.2426691019714</v>
      </c>
      <c r="X37" s="4555">
        <f t="shared" ref="X37" si="60">X36-$T36</f>
        <v>2353.0128259448943</v>
      </c>
      <c r="Y37" s="4555">
        <f t="shared" ref="Y37" si="61">Y36-$T36</f>
        <v>3085.4170817824465</v>
      </c>
      <c r="Z37" s="4557"/>
      <c r="AA37" s="4557"/>
      <c r="AB37" s="3524"/>
      <c r="AC37" s="3524"/>
      <c r="AD37" s="3523"/>
      <c r="AE37" s="3524"/>
      <c r="AF37" s="3524"/>
      <c r="AG37" s="3524"/>
      <c r="AH37" s="3524"/>
      <c r="AI37" s="3524"/>
      <c r="AJ37" s="3524"/>
      <c r="AK37" s="3645" t="s">
        <v>547</v>
      </c>
      <c r="AL37" s="3764">
        <f>'17. РБА'!C66</f>
        <v>0</v>
      </c>
      <c r="AM37" s="3764">
        <f>'17. РБА'!D66</f>
        <v>0</v>
      </c>
      <c r="AN37" s="3764">
        <f>'17. РБА'!E66</f>
        <v>0</v>
      </c>
      <c r="AO37" s="3764">
        <f>'17. РБА'!F66</f>
        <v>0</v>
      </c>
      <c r="AP37" s="3764">
        <f>'17. РБА'!G66</f>
        <v>0</v>
      </c>
      <c r="AQ37" s="3524"/>
      <c r="AR37" s="4524"/>
      <c r="AS37" s="3524"/>
      <c r="AT37" s="3524"/>
      <c r="AU37" s="3524"/>
      <c r="AV37" s="3524"/>
      <c r="AW37" s="3524"/>
    </row>
    <row r="38" spans="1:49" ht="15.75" customHeight="1">
      <c r="A38" s="3759" t="s">
        <v>184</v>
      </c>
      <c r="B38" s="3524"/>
      <c r="C38" s="3524"/>
      <c r="D38" s="3524"/>
      <c r="E38" s="3524"/>
      <c r="F38" s="3524"/>
      <c r="G38" s="3760" t="s">
        <v>1635</v>
      </c>
      <c r="H38" s="3524"/>
      <c r="I38" s="4566" t="s">
        <v>1617</v>
      </c>
      <c r="J38" s="4561">
        <f>'9.Инвестиционна програма'!I150</f>
        <v>0</v>
      </c>
      <c r="K38" s="4561">
        <f>'9.Инвестиционна програма'!J150</f>
        <v>0</v>
      </c>
      <c r="L38" s="4561">
        <f>'9.Инвестиционна програма'!K150</f>
        <v>0</v>
      </c>
      <c r="M38" s="4561">
        <f>'9.Инвестиционна програма'!L150</f>
        <v>0</v>
      </c>
      <c r="N38" s="4561">
        <f>'9.Инвестиционна програма'!M150</f>
        <v>0</v>
      </c>
      <c r="O38" s="4561">
        <f t="shared" si="38"/>
        <v>0</v>
      </c>
      <c r="P38" s="4567">
        <f t="shared" si="36"/>
        <v>0</v>
      </c>
      <c r="Q38" s="4568"/>
      <c r="R38" s="3524"/>
      <c r="S38" s="4537" t="s">
        <v>1669</v>
      </c>
      <c r="T38" s="3779">
        <f>'12. Разходи'!K92</f>
        <v>2315</v>
      </c>
      <c r="U38" s="3779">
        <f>'12. Разходи'!L92</f>
        <v>0</v>
      </c>
      <c r="V38" s="3779">
        <f>'12. Разходи'!M92</f>
        <v>0</v>
      </c>
      <c r="W38" s="3779">
        <f>'12. Разходи'!N92</f>
        <v>0</v>
      </c>
      <c r="X38" s="3779">
        <f>'12. Разходи'!O92</f>
        <v>0</v>
      </c>
      <c r="Y38" s="3779">
        <f>'12. Разходи'!P92</f>
        <v>0</v>
      </c>
      <c r="Z38" s="4535">
        <f t="shared" si="37"/>
        <v>-1</v>
      </c>
      <c r="AA38" s="4535">
        <f t="shared" ref="AA38:AA42" si="62">IFERROR((Y38-U38)/U38,0)</f>
        <v>0</v>
      </c>
      <c r="AB38" s="3524"/>
      <c r="AC38" s="3524"/>
      <c r="AD38" s="3523"/>
      <c r="AE38" s="3524"/>
      <c r="AF38" s="3524"/>
      <c r="AG38" s="3524"/>
      <c r="AH38" s="3524"/>
      <c r="AI38" s="3524"/>
      <c r="AJ38" s="3524"/>
      <c r="AK38" s="3645" t="s">
        <v>548</v>
      </c>
      <c r="AL38" s="3764">
        <f>'17. РБА'!C69</f>
        <v>0</v>
      </c>
      <c r="AM38" s="3764">
        <f>'17. РБА'!D69</f>
        <v>0</v>
      </c>
      <c r="AN38" s="3764">
        <f>'17. РБА'!E69</f>
        <v>0</v>
      </c>
      <c r="AO38" s="3764">
        <f>'17. РБА'!F69</f>
        <v>0</v>
      </c>
      <c r="AP38" s="3764">
        <f>'17. РБА'!G69</f>
        <v>0</v>
      </c>
      <c r="AQ38" s="3524"/>
      <c r="AR38" s="4524"/>
      <c r="AS38" s="3524"/>
      <c r="AT38" s="3524"/>
      <c r="AU38" s="3524"/>
      <c r="AV38" s="3524"/>
      <c r="AW38" s="3524"/>
    </row>
    <row r="39" spans="1:49" ht="15.75" customHeight="1">
      <c r="A39" s="5684" t="s">
        <v>87</v>
      </c>
      <c r="B39" s="5676" t="s">
        <v>184</v>
      </c>
      <c r="C39" s="5676"/>
      <c r="D39" s="5676"/>
      <c r="E39" s="5676"/>
      <c r="F39" s="5676"/>
      <c r="G39" s="5676"/>
      <c r="H39" s="3524"/>
      <c r="I39" s="3769" t="str">
        <f>'9.Инвестиционна програма'!E144</f>
        <v>Доставяне на вода на друг ВиК оператор</v>
      </c>
      <c r="J39" s="3904">
        <f>SUM(J40:J41)</f>
        <v>0</v>
      </c>
      <c r="K39" s="3904">
        <f t="shared" ref="K39" si="63">SUM(K40:K41)</f>
        <v>0</v>
      </c>
      <c r="L39" s="3904">
        <f t="shared" ref="L39" si="64">SUM(L40:L41)</f>
        <v>0</v>
      </c>
      <c r="M39" s="3904">
        <f t="shared" ref="M39" si="65">SUM(M40:M41)</f>
        <v>0</v>
      </c>
      <c r="N39" s="3904">
        <f t="shared" ref="N39" si="66">SUM(N40:N41)</f>
        <v>0</v>
      </c>
      <c r="O39" s="3904">
        <f t="shared" si="43"/>
        <v>0</v>
      </c>
      <c r="P39" s="3752">
        <f t="shared" si="36"/>
        <v>0</v>
      </c>
      <c r="Q39" s="4565"/>
      <c r="R39" s="3524"/>
      <c r="S39" s="4537" t="s">
        <v>1671</v>
      </c>
      <c r="T39" s="3779">
        <f>'12. Разходи'!K93</f>
        <v>872.11483987499969</v>
      </c>
      <c r="U39" s="3779">
        <f>'12. Разходи'!L93</f>
        <v>4195.1374820000001</v>
      </c>
      <c r="V39" s="3779">
        <f>'12. Разходи'!M93</f>
        <v>4708.1374820000001</v>
      </c>
      <c r="W39" s="3779">
        <f>'12. Разходи'!N93</f>
        <v>5190.109985600001</v>
      </c>
      <c r="X39" s="3779">
        <f>'12. Разходи'!O93</f>
        <v>5820.1099856000001</v>
      </c>
      <c r="Y39" s="3779">
        <f>'12. Разходи'!P93</f>
        <v>6551.1099856000001</v>
      </c>
      <c r="Z39" s="4535">
        <f t="shared" si="37"/>
        <v>3.8103039762530466</v>
      </c>
      <c r="AA39" s="4535">
        <f t="shared" si="62"/>
        <v>0.56159601770114287</v>
      </c>
      <c r="AB39" s="3524"/>
      <c r="AC39" s="3524"/>
      <c r="AD39" s="3523"/>
      <c r="AE39" s="3524"/>
      <c r="AF39" s="3524"/>
      <c r="AG39" s="3524"/>
      <c r="AH39" s="3524"/>
      <c r="AI39" s="3524"/>
      <c r="AJ39" s="3524"/>
      <c r="AK39" s="3645" t="s">
        <v>549</v>
      </c>
      <c r="AL39" s="3764">
        <f>'17. РБА'!C72</f>
        <v>0</v>
      </c>
      <c r="AM39" s="3764">
        <f>'17. РБА'!D72</f>
        <v>0</v>
      </c>
      <c r="AN39" s="3764">
        <f>'17. РБА'!E72</f>
        <v>0</v>
      </c>
      <c r="AO39" s="3764">
        <f>'17. РБА'!F72</f>
        <v>0</v>
      </c>
      <c r="AP39" s="3764">
        <f>'17. РБА'!G72</f>
        <v>0</v>
      </c>
      <c r="AQ39" s="3524"/>
      <c r="AR39" s="4524"/>
      <c r="AS39" s="3524"/>
      <c r="AT39" s="3524"/>
      <c r="AU39" s="3524"/>
      <c r="AV39" s="3524"/>
      <c r="AW39" s="3524"/>
    </row>
    <row r="40" spans="1:49" ht="13.5" customHeight="1">
      <c r="A40" s="5684"/>
      <c r="B40" s="4526" t="str">
        <f>+'15. ОПП'!$B$7</f>
        <v>2024 г.</v>
      </c>
      <c r="C40" s="4526" t="str">
        <f>+'15. ОПП'!$C$7</f>
        <v>2027 г.</v>
      </c>
      <c r="D40" s="4526" t="str">
        <f>+'15. ОПП'!$D$7</f>
        <v>2028 г.</v>
      </c>
      <c r="E40" s="4526" t="str">
        <f>+'15. ОПП'!$E$7</f>
        <v>2029 г.</v>
      </c>
      <c r="F40" s="4526" t="str">
        <f>+'15. ОПП'!$F$7</f>
        <v>2030 г.</v>
      </c>
      <c r="G40" s="4526" t="str">
        <f>+'15. ОПП'!$G$7</f>
        <v>2031 г.</v>
      </c>
      <c r="H40" s="3524"/>
      <c r="I40" s="4566" t="s">
        <v>1616</v>
      </c>
      <c r="J40" s="4561">
        <f>'9.Инвестиционна програма'!I157</f>
        <v>0</v>
      </c>
      <c r="K40" s="4561">
        <f>'9.Инвестиционна програма'!J157</f>
        <v>0</v>
      </c>
      <c r="L40" s="4561">
        <f>'9.Инвестиционна програма'!K157</f>
        <v>0</v>
      </c>
      <c r="M40" s="4561">
        <f>'9.Инвестиционна програма'!L157</f>
        <v>0</v>
      </c>
      <c r="N40" s="4561">
        <f>'9.Инвестиционна програма'!M157</f>
        <v>0</v>
      </c>
      <c r="O40" s="4561">
        <f t="shared" si="38"/>
        <v>0</v>
      </c>
      <c r="P40" s="4567">
        <f t="shared" si="36"/>
        <v>0</v>
      </c>
      <c r="Q40" s="4568"/>
      <c r="R40" s="3524"/>
      <c r="S40" s="4561" t="s">
        <v>1670</v>
      </c>
      <c r="T40" s="3779">
        <f>'12. Разходи'!K94</f>
        <v>435</v>
      </c>
      <c r="U40" s="3779">
        <f>'12. Разходи'!L94</f>
        <v>0</v>
      </c>
      <c r="V40" s="3779">
        <f>'12. Разходи'!M94</f>
        <v>0</v>
      </c>
      <c r="W40" s="3779">
        <f>'12. Разходи'!N94</f>
        <v>0</v>
      </c>
      <c r="X40" s="3779">
        <f>'12. Разходи'!O94</f>
        <v>0</v>
      </c>
      <c r="Y40" s="3779">
        <f>'12. Разходи'!P94</f>
        <v>0</v>
      </c>
      <c r="Z40" s="4535">
        <f t="shared" si="37"/>
        <v>-1</v>
      </c>
      <c r="AA40" s="4535">
        <f t="shared" si="62"/>
        <v>0</v>
      </c>
      <c r="AB40" s="3524"/>
      <c r="AC40" s="3524"/>
      <c r="AD40" s="3523"/>
      <c r="AE40" s="3524"/>
      <c r="AF40" s="3524"/>
      <c r="AG40" s="3524"/>
      <c r="AH40" s="3524"/>
      <c r="AI40" s="3524"/>
      <c r="AJ40" s="3524"/>
      <c r="AK40" s="3645" t="s">
        <v>329</v>
      </c>
      <c r="AL40" s="3771">
        <f>'17. РБА'!C75</f>
        <v>0</v>
      </c>
      <c r="AM40" s="3771">
        <f>'17. РБА'!D75</f>
        <v>0</v>
      </c>
      <c r="AN40" s="3771">
        <f>'17. РБА'!E75</f>
        <v>0</v>
      </c>
      <c r="AO40" s="3771">
        <f>'17. РБА'!F75</f>
        <v>0</v>
      </c>
      <c r="AP40" s="3771">
        <f>'17. РБА'!G75</f>
        <v>0</v>
      </c>
      <c r="AQ40" s="3524"/>
      <c r="AR40" s="4524"/>
      <c r="AS40" s="3524"/>
      <c r="AT40" s="3524"/>
      <c r="AU40" s="3524"/>
      <c r="AV40" s="3524"/>
      <c r="AW40" s="3524"/>
    </row>
    <row r="41" spans="1:49" ht="15.75" customHeight="1">
      <c r="A41" s="5687" t="s">
        <v>1657</v>
      </c>
      <c r="B41" s="5688"/>
      <c r="C41" s="5688"/>
      <c r="D41" s="5688"/>
      <c r="E41" s="5688"/>
      <c r="F41" s="5688"/>
      <c r="G41" s="5689"/>
      <c r="H41" s="3524"/>
      <c r="I41" s="4566" t="s">
        <v>1617</v>
      </c>
      <c r="J41" s="4561">
        <f>'9.Инвестиционна програма'!I151</f>
        <v>0</v>
      </c>
      <c r="K41" s="4561">
        <f>'9.Инвестиционна програма'!J151</f>
        <v>0</v>
      </c>
      <c r="L41" s="4561">
        <f>'9.Инвестиционна програма'!K151</f>
        <v>0</v>
      </c>
      <c r="M41" s="4561">
        <f>'9.Инвестиционна програма'!L151</f>
        <v>0</v>
      </c>
      <c r="N41" s="4561">
        <f>'9.Инвестиционна програма'!M151</f>
        <v>0</v>
      </c>
      <c r="O41" s="4561">
        <f t="shared" si="38"/>
        <v>0</v>
      </c>
      <c r="P41" s="4567">
        <f t="shared" si="36"/>
        <v>0</v>
      </c>
      <c r="Q41" s="4568"/>
      <c r="R41" s="3524"/>
      <c r="S41" s="4537" t="s">
        <v>1673</v>
      </c>
      <c r="T41" s="3779">
        <f>'12. Разходи'!K90</f>
        <v>470</v>
      </c>
      <c r="U41" s="3779">
        <f>'12. Разходи'!L90</f>
        <v>519</v>
      </c>
      <c r="V41" s="3779">
        <f>'12. Разходи'!M90</f>
        <v>534</v>
      </c>
      <c r="W41" s="3779">
        <f>'12. Разходи'!N90</f>
        <v>552</v>
      </c>
      <c r="X41" s="3779">
        <f>'12. Разходи'!O90</f>
        <v>573</v>
      </c>
      <c r="Y41" s="3779">
        <f>'12. Разходи'!P90</f>
        <v>597</v>
      </c>
      <c r="Z41" s="4535">
        <f t="shared" si="37"/>
        <v>0.10425531914893617</v>
      </c>
      <c r="AA41" s="4535">
        <f t="shared" si="62"/>
        <v>0.15028901734104047</v>
      </c>
      <c r="AB41" s="3524"/>
      <c r="AC41" s="3524"/>
      <c r="AD41" s="3523"/>
      <c r="AE41" s="3524"/>
      <c r="AF41" s="3524"/>
      <c r="AG41" s="3524"/>
      <c r="AH41" s="3524"/>
      <c r="AI41" s="3524"/>
      <c r="AJ41" s="3524"/>
      <c r="AK41" s="3645" t="s">
        <v>306</v>
      </c>
      <c r="AL41" s="3764">
        <f>'17. РБА'!C76</f>
        <v>0</v>
      </c>
      <c r="AM41" s="3764">
        <f>'17. РБА'!D76</f>
        <v>0</v>
      </c>
      <c r="AN41" s="3764">
        <f>'17. РБА'!E76</f>
        <v>0</v>
      </c>
      <c r="AO41" s="3764">
        <f>'17. РБА'!F76</f>
        <v>0</v>
      </c>
      <c r="AP41" s="3764">
        <f>'17. РБА'!G76</f>
        <v>0</v>
      </c>
      <c r="AQ41" s="3524"/>
      <c r="AR41" s="4524"/>
      <c r="AS41" s="3524"/>
      <c r="AT41" s="3524"/>
      <c r="AU41" s="3524"/>
      <c r="AV41" s="3524"/>
      <c r="AW41" s="3524"/>
    </row>
    <row r="42" spans="1:49" ht="15.75" customHeight="1">
      <c r="A42" s="4536" t="s">
        <v>334</v>
      </c>
      <c r="B42" s="3904">
        <f>'11. Амортиз. план'!S10</f>
        <v>3258</v>
      </c>
      <c r="C42" s="3904">
        <f>'11. Амортиз. план'!U10</f>
        <v>3478</v>
      </c>
      <c r="D42" s="3904">
        <f>'11. Амортиз. план'!V10</f>
        <v>3568</v>
      </c>
      <c r="E42" s="3904">
        <f>'11. Амортиз. план'!W10</f>
        <v>3709.666666666667</v>
      </c>
      <c r="F42" s="3904">
        <f>'11. Амортиз. план'!X10</f>
        <v>3802.9999999999991</v>
      </c>
      <c r="G42" s="3904">
        <f>'11. Амортиз. план'!Y10</f>
        <v>3886.333333333333</v>
      </c>
      <c r="H42" s="3524"/>
      <c r="I42" s="4540" t="s">
        <v>1028</v>
      </c>
      <c r="J42" s="4541">
        <f>SUM(J27,J30,J33,J36,J39)</f>
        <v>4247</v>
      </c>
      <c r="K42" s="4541">
        <f t="shared" ref="K42:N42" si="67">SUM(K27,K30,K33,K36,K39)</f>
        <v>3549.9999999999995</v>
      </c>
      <c r="L42" s="4541">
        <f t="shared" si="67"/>
        <v>3760.0000000000005</v>
      </c>
      <c r="M42" s="4541">
        <f t="shared" si="67"/>
        <v>3770</v>
      </c>
      <c r="N42" s="4541">
        <f t="shared" si="67"/>
        <v>3535</v>
      </c>
      <c r="O42" s="4541">
        <f>SUM(O27,O30,O33,O36,O39)</f>
        <v>18862</v>
      </c>
      <c r="P42" s="3752">
        <f t="shared" si="36"/>
        <v>1</v>
      </c>
      <c r="Q42" s="4565"/>
      <c r="R42" s="3524"/>
      <c r="S42" s="4537" t="s">
        <v>1232</v>
      </c>
      <c r="T42" s="3779">
        <f>'12. Разходи'!K89</f>
        <v>65.068839874999995</v>
      </c>
      <c r="U42" s="3779">
        <f>'12. Разходи'!L89</f>
        <v>66.137482000000006</v>
      </c>
      <c r="V42" s="3779">
        <f>'12. Разходи'!M89</f>
        <v>66.137482000000006</v>
      </c>
      <c r="W42" s="3779">
        <f>'12. Разходи'!N89</f>
        <v>65.109985600000002</v>
      </c>
      <c r="X42" s="3779">
        <f>'12. Разходи'!O89</f>
        <v>64.109985600000002</v>
      </c>
      <c r="Y42" s="3779">
        <f>'12. Разходи'!P89</f>
        <v>64.109985600000002</v>
      </c>
      <c r="Z42" s="4535">
        <f t="shared" si="37"/>
        <v>1.6423254618538118E-2</v>
      </c>
      <c r="AA42" s="4535">
        <f t="shared" si="62"/>
        <v>-3.0655784567062951E-2</v>
      </c>
      <c r="AB42" s="3524"/>
      <c r="AC42" s="3524"/>
      <c r="AD42" s="3523"/>
      <c r="AE42" s="3524"/>
      <c r="AF42" s="3524"/>
      <c r="AG42" s="3524"/>
      <c r="AH42" s="3524"/>
      <c r="AI42" s="3524"/>
      <c r="AJ42" s="3524"/>
      <c r="AK42" s="3646" t="s">
        <v>305</v>
      </c>
      <c r="AL42" s="3647">
        <f t="shared" ref="AL42:AP42" si="68">AL37-AL38+AL39+AL40+AL41</f>
        <v>0</v>
      </c>
      <c r="AM42" s="3647">
        <f t="shared" si="68"/>
        <v>0</v>
      </c>
      <c r="AN42" s="3647">
        <f t="shared" si="68"/>
        <v>0</v>
      </c>
      <c r="AO42" s="3647">
        <f t="shared" si="68"/>
        <v>0</v>
      </c>
      <c r="AP42" s="3647">
        <f t="shared" si="68"/>
        <v>0</v>
      </c>
      <c r="AQ42" s="3524"/>
      <c r="AR42" s="4524"/>
      <c r="AS42" s="3524"/>
      <c r="AT42" s="3524"/>
      <c r="AU42" s="3524"/>
      <c r="AV42" s="3524"/>
      <c r="AW42" s="3524"/>
    </row>
    <row r="43" spans="1:49" ht="13.5" customHeight="1">
      <c r="A43" s="4538" t="s">
        <v>218</v>
      </c>
      <c r="B43" s="4539">
        <f>'11. Амортиз. план'!S35</f>
        <v>83</v>
      </c>
      <c r="C43" s="4539">
        <f>'11. Амортиз. план'!U35</f>
        <v>92.725568181818176</v>
      </c>
      <c r="D43" s="4539">
        <f>'11. Амортиз. план'!V35</f>
        <v>100.10913911967475</v>
      </c>
      <c r="E43" s="4539">
        <f>'11. Амортиз. план'!W35</f>
        <v>106.47785199038205</v>
      </c>
      <c r="F43" s="4539">
        <f>'11. Амортиз. план'!X35</f>
        <v>113.7551809978218</v>
      </c>
      <c r="G43" s="4539">
        <f>'11. Амортиз. план'!Y35</f>
        <v>120.27172166182253</v>
      </c>
      <c r="H43" s="3524"/>
      <c r="I43" s="4566" t="s">
        <v>1616</v>
      </c>
      <c r="J43" s="4569">
        <f>SUM(J28,J31,J34,J37,J40)</f>
        <v>3892</v>
      </c>
      <c r="K43" s="4569">
        <f t="shared" ref="K43:N43" si="69">SUM(K28,K31,K34,K37,K40)</f>
        <v>3319.9999999999995</v>
      </c>
      <c r="L43" s="4569">
        <f t="shared" si="69"/>
        <v>3255</v>
      </c>
      <c r="M43" s="4569">
        <f t="shared" si="69"/>
        <v>3169.9999999999995</v>
      </c>
      <c r="N43" s="4569">
        <f t="shared" si="69"/>
        <v>3304.9999999999995</v>
      </c>
      <c r="O43" s="4569">
        <f t="shared" ref="O43:O44" si="70">SUM(O28,O31,O34,O37,O40)</f>
        <v>16942</v>
      </c>
      <c r="P43" s="4570">
        <f t="shared" si="36"/>
        <v>0.89820803732371968</v>
      </c>
      <c r="Q43" s="4571"/>
      <c r="R43" s="3524"/>
      <c r="S43" s="3528"/>
      <c r="T43" s="3524"/>
      <c r="U43" s="3524"/>
      <c r="V43" s="3524"/>
      <c r="W43" s="3524"/>
      <c r="X43" s="3524"/>
      <c r="Y43" s="3524"/>
      <c r="Z43" s="3524"/>
      <c r="AA43" s="3524"/>
      <c r="AB43" s="3524"/>
      <c r="AC43" s="3524"/>
      <c r="AD43" s="3523"/>
      <c r="AE43" s="3524"/>
      <c r="AF43" s="3524"/>
      <c r="AG43" s="3524"/>
      <c r="AH43" s="3524"/>
      <c r="AI43" s="3524"/>
      <c r="AJ43" s="3524"/>
      <c r="AK43" s="3523"/>
      <c r="AL43" s="3523"/>
      <c r="AM43" s="3523"/>
      <c r="AN43" s="3523"/>
      <c r="AO43" s="3523"/>
      <c r="AP43" s="3523"/>
      <c r="AQ43" s="3523"/>
      <c r="AR43" s="4524"/>
      <c r="AS43" s="3524"/>
      <c r="AT43" s="3524"/>
      <c r="AU43" s="3524"/>
      <c r="AV43" s="3524"/>
      <c r="AW43" s="3524"/>
    </row>
    <row r="44" spans="1:49" ht="15.75" customHeight="1">
      <c r="A44" s="4542" t="s">
        <v>220</v>
      </c>
      <c r="B44" s="3779">
        <f>'11. Амортиз. план'!S60</f>
        <v>2304</v>
      </c>
      <c r="C44" s="3779">
        <f>'11. Амортиз. план'!U60</f>
        <v>2483.5119997648003</v>
      </c>
      <c r="D44" s="3779">
        <f>'11. Амортиз. план'!V60</f>
        <v>2583.6211388844745</v>
      </c>
      <c r="E44" s="3779">
        <f>'11. Амортиз. план'!W60</f>
        <v>2690.098990874857</v>
      </c>
      <c r="F44" s="3779">
        <f>'11. Амортиз. план'!X60</f>
        <v>2803.8541718726792</v>
      </c>
      <c r="G44" s="3779">
        <f>'11. Амортиз. план'!Y60</f>
        <v>2924.1258935345018</v>
      </c>
      <c r="H44" s="3524"/>
      <c r="I44" s="4566" t="s">
        <v>1617</v>
      </c>
      <c r="J44" s="4569">
        <f>SUM(J29,J32,J35,J38,J41)</f>
        <v>355</v>
      </c>
      <c r="K44" s="4569">
        <f t="shared" ref="K44:N44" si="71">SUM(K29,K32,K35,K38,K41)</f>
        <v>230</v>
      </c>
      <c r="L44" s="4569">
        <f t="shared" si="71"/>
        <v>505</v>
      </c>
      <c r="M44" s="4569">
        <f t="shared" si="71"/>
        <v>600</v>
      </c>
      <c r="N44" s="4569">
        <f t="shared" si="71"/>
        <v>230</v>
      </c>
      <c r="O44" s="4569">
        <f t="shared" si="70"/>
        <v>1920</v>
      </c>
      <c r="P44" s="4570">
        <f t="shared" si="36"/>
        <v>0.10179196267628035</v>
      </c>
      <c r="Q44" s="4571"/>
      <c r="R44" s="3524"/>
      <c r="S44" s="1656" t="s">
        <v>1682</v>
      </c>
      <c r="T44" s="3524"/>
      <c r="U44" s="3524"/>
      <c r="V44" s="3524"/>
      <c r="W44" s="3524"/>
      <c r="X44" s="3524"/>
      <c r="Y44" s="3524"/>
      <c r="Z44" s="3524"/>
      <c r="AA44" s="3524"/>
      <c r="AB44" s="3524"/>
      <c r="AC44" s="3524"/>
      <c r="AD44" s="3523"/>
      <c r="AE44" s="3524"/>
      <c r="AF44" s="3524"/>
      <c r="AG44" s="3524"/>
      <c r="AH44" s="3524"/>
      <c r="AI44" s="3524"/>
      <c r="AJ44" s="3524"/>
      <c r="AK44" s="3523"/>
      <c r="AL44" s="3523"/>
      <c r="AM44" s="3523"/>
      <c r="AN44" s="3523"/>
      <c r="AO44" s="3523"/>
      <c r="AP44" s="3523"/>
      <c r="AQ44" s="3523"/>
      <c r="AR44" s="4524"/>
      <c r="AS44" s="3524"/>
      <c r="AT44" s="3524"/>
      <c r="AU44" s="3524"/>
      <c r="AV44" s="3524"/>
      <c r="AW44" s="3524"/>
    </row>
    <row r="45" spans="1:49" ht="15.75" customHeight="1">
      <c r="A45" s="4542" t="s">
        <v>222</v>
      </c>
      <c r="B45" s="3779">
        <f>'11. Амортиз. план'!S85</f>
        <v>954</v>
      </c>
      <c r="C45" s="3779">
        <f>'11. Амортиз. план'!U85</f>
        <v>994.48800023519971</v>
      </c>
      <c r="D45" s="3779">
        <f>'11. Амортиз. план'!V85</f>
        <v>984.37886111552484</v>
      </c>
      <c r="E45" s="3779">
        <f>'11. Амортиз. план'!W85</f>
        <v>1019.5676757918095</v>
      </c>
      <c r="F45" s="3779">
        <f>'11. Амортиз. план'!X85</f>
        <v>999.14582812732112</v>
      </c>
      <c r="G45" s="3779">
        <f>'11. Амортиз. план'!Y85</f>
        <v>962.20743979883218</v>
      </c>
      <c r="H45" s="3524"/>
      <c r="R45" s="3524"/>
      <c r="S45" s="5676" t="s">
        <v>1667</v>
      </c>
      <c r="T45" s="5676" t="s">
        <v>209</v>
      </c>
      <c r="U45" s="5676"/>
      <c r="V45" s="5676"/>
      <c r="W45" s="5676"/>
      <c r="X45" s="5676"/>
      <c r="Y45" s="5676"/>
      <c r="Z45" s="5619" t="str">
        <f>+Z24</f>
        <v>Изменение 2027 г. спр. 2024 г.</v>
      </c>
      <c r="AA45" s="5619" t="str">
        <f>+AA24</f>
        <v>Изменение 2031 г. спр. 2027 г.</v>
      </c>
      <c r="AB45" s="3524"/>
      <c r="AC45" s="3524"/>
      <c r="AD45" s="3523"/>
      <c r="AE45" s="3524"/>
      <c r="AF45" s="3524"/>
      <c r="AG45" s="3524"/>
      <c r="AH45" s="3524"/>
      <c r="AI45" s="3524"/>
      <c r="AJ45" s="3524"/>
      <c r="AK45" s="1656" t="s">
        <v>1013</v>
      </c>
      <c r="AL45" s="4524"/>
      <c r="AM45" s="4524"/>
      <c r="AN45" s="4524"/>
      <c r="AO45" s="4524"/>
      <c r="AP45" s="4524"/>
      <c r="AQ45" s="3524"/>
      <c r="AR45" s="4524"/>
      <c r="AS45" s="3524"/>
      <c r="AT45" s="3524"/>
      <c r="AU45" s="3524"/>
      <c r="AV45" s="3524"/>
      <c r="AW45" s="3524"/>
    </row>
    <row r="46" spans="1:49" ht="15.75" customHeight="1">
      <c r="A46" s="5687" t="s">
        <v>1658</v>
      </c>
      <c r="B46" s="5688"/>
      <c r="C46" s="5688"/>
      <c r="D46" s="5688"/>
      <c r="E46" s="5688"/>
      <c r="F46" s="5688"/>
      <c r="G46" s="5689"/>
      <c r="H46" s="3524"/>
      <c r="I46" s="1357" t="s">
        <v>1636</v>
      </c>
      <c r="J46" s="4572"/>
      <c r="K46" s="4543"/>
      <c r="L46" s="4543"/>
      <c r="M46" s="4543"/>
      <c r="N46" s="4543"/>
      <c r="O46" s="4543"/>
      <c r="P46" s="3760" t="s">
        <v>1635</v>
      </c>
      <c r="Q46" s="3760"/>
      <c r="R46" s="3524"/>
      <c r="S46" s="5676"/>
      <c r="T46" s="4522" t="str">
        <f t="shared" ref="T46:Y46" si="72">T25</f>
        <v>2024 г.</v>
      </c>
      <c r="U46" s="4522" t="str">
        <f t="shared" si="72"/>
        <v>2027 г.</v>
      </c>
      <c r="V46" s="4522" t="str">
        <f t="shared" si="72"/>
        <v>2028 г.</v>
      </c>
      <c r="W46" s="4522" t="str">
        <f t="shared" si="72"/>
        <v>2029 г.</v>
      </c>
      <c r="X46" s="4522" t="str">
        <f t="shared" si="72"/>
        <v>2030 г.</v>
      </c>
      <c r="Y46" s="4522" t="str">
        <f t="shared" si="72"/>
        <v>2031 г.</v>
      </c>
      <c r="Z46" s="5619"/>
      <c r="AA46" s="5619"/>
      <c r="AB46" s="3524"/>
      <c r="AC46" s="3524"/>
      <c r="AD46" s="3523"/>
      <c r="AE46" s="3524"/>
      <c r="AF46" s="3524"/>
      <c r="AG46" s="3524"/>
      <c r="AH46" s="3524"/>
      <c r="AI46" s="3524"/>
      <c r="AJ46" s="3524"/>
      <c r="AK46" s="4521" t="s">
        <v>87</v>
      </c>
      <c r="AL46" s="3670" t="s">
        <v>166</v>
      </c>
      <c r="AM46" s="4532" t="s">
        <v>1777</v>
      </c>
      <c r="AN46" s="4532" t="s">
        <v>1778</v>
      </c>
      <c r="AO46" s="4532" t="s">
        <v>1779</v>
      </c>
      <c r="AP46" s="4532" t="s">
        <v>1780</v>
      </c>
      <c r="AQ46" s="4532" t="s">
        <v>1781</v>
      </c>
      <c r="AR46" s="4524"/>
      <c r="AS46" s="3524"/>
      <c r="AT46" s="3524"/>
      <c r="AU46" s="3524"/>
      <c r="AV46" s="3524"/>
      <c r="AW46" s="3524"/>
    </row>
    <row r="47" spans="1:49" ht="15.75" customHeight="1">
      <c r="A47" s="4536" t="s">
        <v>334</v>
      </c>
      <c r="B47" s="3904">
        <f>'11. Амортиз. план'!S111</f>
        <v>1029</v>
      </c>
      <c r="C47" s="3904">
        <f>'11. Амортиз. план'!U111</f>
        <v>1289</v>
      </c>
      <c r="D47" s="3904">
        <f>'11. Амортиз. план'!V111</f>
        <v>1415.6666666666667</v>
      </c>
      <c r="E47" s="3904">
        <f>'11. Амортиз. план'!W111</f>
        <v>1542.3333333333333</v>
      </c>
      <c r="F47" s="3904">
        <f>'11. Амортиз. план'!X111</f>
        <v>1669</v>
      </c>
      <c r="G47" s="3904">
        <f>'11. Амортиз. план'!Y111</f>
        <v>1795.6666666666665</v>
      </c>
      <c r="H47" s="3524"/>
      <c r="I47" s="4526" t="s">
        <v>1495</v>
      </c>
      <c r="J47" s="4526" t="str">
        <f>+'15. ОПП'!$C$7</f>
        <v>2027 г.</v>
      </c>
      <c r="K47" s="4526" t="str">
        <f>+'15. ОПП'!$D$7</f>
        <v>2028 г.</v>
      </c>
      <c r="L47" s="4526" t="str">
        <f>+'15. ОПП'!$E$7</f>
        <v>2029 г.</v>
      </c>
      <c r="M47" s="4526" t="str">
        <f>+'15. ОПП'!$F$7</f>
        <v>2030 г.</v>
      </c>
      <c r="N47" s="4526" t="str">
        <f>+'15. ОПП'!$G$7</f>
        <v>2031 г.</v>
      </c>
      <c r="O47" s="4527" t="s">
        <v>1594</v>
      </c>
      <c r="P47" s="4526" t="s">
        <v>1595</v>
      </c>
      <c r="Q47" s="4554"/>
      <c r="R47" s="3524"/>
      <c r="S47" s="4537" t="s">
        <v>226</v>
      </c>
      <c r="T47" s="3779">
        <f>'12. Разходи'!S11</f>
        <v>917.17692304999991</v>
      </c>
      <c r="U47" s="3779">
        <f>'12. Разходи'!T11</f>
        <v>972.40874600000006</v>
      </c>
      <c r="V47" s="3779">
        <f>'12. Разходи'!U11</f>
        <v>963.03909999999996</v>
      </c>
      <c r="W47" s="3779">
        <f>'12. Разходи'!V11</f>
        <v>951.23765000000003</v>
      </c>
      <c r="X47" s="3779">
        <f>'12. Разходи'!W11</f>
        <v>946.51706999999988</v>
      </c>
      <c r="Y47" s="3779">
        <f>'12. Разходи'!X11</f>
        <v>941.79648999999995</v>
      </c>
      <c r="Z47" s="4535">
        <f>IFERROR((U47-T47)/T47,0)</f>
        <v>6.0219377049229562E-2</v>
      </c>
      <c r="AA47" s="4535">
        <f t="shared" ref="AA47:AA57" si="73">IFERROR((Y47-U47)/U47,0)</f>
        <v>-3.1480852188879957E-2</v>
      </c>
      <c r="AB47" s="3524"/>
      <c r="AC47" s="3524"/>
      <c r="AD47" s="3523"/>
      <c r="AE47" s="3524"/>
      <c r="AF47" s="3524"/>
      <c r="AG47" s="3524"/>
      <c r="AH47" s="3524"/>
      <c r="AI47" s="3524"/>
      <c r="AJ47" s="3524"/>
      <c r="AK47" s="3773" t="s">
        <v>324</v>
      </c>
      <c r="AL47" s="3699" t="s">
        <v>170</v>
      </c>
      <c r="AM47" s="3711">
        <f>'19. HB'!D11</f>
        <v>0.1</v>
      </c>
      <c r="AN47" s="3711">
        <f>'19. HB'!E11</f>
        <v>0.1</v>
      </c>
      <c r="AO47" s="3711">
        <f>'19. HB'!F11</f>
        <v>0.1</v>
      </c>
      <c r="AP47" s="3711">
        <f>'19. HB'!G11</f>
        <v>0.1</v>
      </c>
      <c r="AQ47" s="3711">
        <f>'19. HB'!H11</f>
        <v>0.1</v>
      </c>
      <c r="AR47" s="4524"/>
      <c r="AS47" s="3524"/>
      <c r="AT47" s="3524"/>
      <c r="AU47" s="3524"/>
      <c r="AV47" s="3524"/>
      <c r="AW47" s="3524"/>
    </row>
    <row r="48" spans="1:49" ht="15.75" customHeight="1">
      <c r="A48" s="4538" t="s">
        <v>218</v>
      </c>
      <c r="B48" s="4539">
        <f>'11. Амортиз. план'!S131</f>
        <v>35</v>
      </c>
      <c r="C48" s="4539">
        <f>'11. Амортиз. план'!U131</f>
        <v>43.731212121212124</v>
      </c>
      <c r="D48" s="4539">
        <f>'11. Амортиз. план'!V131</f>
        <v>48.532264451122501</v>
      </c>
      <c r="E48" s="4539">
        <f>'11. Амортиз. план'!W131</f>
        <v>53.264488378306169</v>
      </c>
      <c r="F48" s="4539">
        <f>'11. Амортиз. план'!X131</f>
        <v>57.973784877087439</v>
      </c>
      <c r="G48" s="4539">
        <f>'11. Амортиз. план'!Y131</f>
        <v>62.713650196614807</v>
      </c>
      <c r="H48" s="3524"/>
      <c r="I48" s="4542" t="s">
        <v>1637</v>
      </c>
      <c r="J48" s="3779">
        <f>SUM('9.Инвестиционна програма'!I12:I15)</f>
        <v>70</v>
      </c>
      <c r="K48" s="3779">
        <f>SUM('9.Инвестиционна програма'!J12:J15)</f>
        <v>50</v>
      </c>
      <c r="L48" s="3779">
        <f>SUM('9.Инвестиционна програма'!K12:K15)</f>
        <v>50</v>
      </c>
      <c r="M48" s="3779">
        <f>SUM('9.Инвестиционна програма'!L12:L15)</f>
        <v>50</v>
      </c>
      <c r="N48" s="3779">
        <f>SUM('9.Инвестиционна програма'!M12:M15)</f>
        <v>50</v>
      </c>
      <c r="O48" s="3904">
        <f>SUM(J48:N48)</f>
        <v>270</v>
      </c>
      <c r="P48" s="4573">
        <f t="shared" ref="P48:P88" si="74">IFERROR(O48/$O$88,0)</f>
        <v>1.4314494751351924E-2</v>
      </c>
      <c r="Q48" s="4574"/>
      <c r="R48" s="3524"/>
      <c r="S48" s="4537" t="s">
        <v>239</v>
      </c>
      <c r="T48" s="3779">
        <f>'12. Разходи'!S29</f>
        <v>503</v>
      </c>
      <c r="U48" s="3779">
        <f>'12. Разходи'!T29</f>
        <v>564</v>
      </c>
      <c r="V48" s="3779">
        <f>'12. Разходи'!U29</f>
        <v>564</v>
      </c>
      <c r="W48" s="3779">
        <f>'12. Разходи'!V29</f>
        <v>564</v>
      </c>
      <c r="X48" s="3779">
        <f>'12. Разходи'!W29</f>
        <v>564</v>
      </c>
      <c r="Y48" s="3779">
        <f>'12. Разходи'!X29</f>
        <v>564</v>
      </c>
      <c r="Z48" s="4535">
        <f t="shared" ref="Z48:Z63" si="75">IFERROR((U48-T48)/T48,0)</f>
        <v>0.12127236580516898</v>
      </c>
      <c r="AA48" s="4535">
        <f t="shared" si="73"/>
        <v>0</v>
      </c>
      <c r="AB48" s="3524"/>
      <c r="AC48" s="3524"/>
      <c r="AD48" s="3523"/>
      <c r="AE48" s="3524"/>
      <c r="AF48" s="3524"/>
      <c r="AG48" s="3524"/>
      <c r="AH48" s="3524"/>
      <c r="AI48" s="3524"/>
      <c r="AJ48" s="3524"/>
      <c r="AK48" s="3773" t="s">
        <v>923</v>
      </c>
      <c r="AL48" s="3699" t="s">
        <v>170</v>
      </c>
      <c r="AM48" s="3678">
        <f>'19. HB'!D12</f>
        <v>0</v>
      </c>
      <c r="AN48" s="3678">
        <f>'19. HB'!E12</f>
        <v>0</v>
      </c>
      <c r="AO48" s="3678">
        <f>'19. HB'!F12</f>
        <v>0</v>
      </c>
      <c r="AP48" s="3678">
        <f>'19. HB'!G12</f>
        <v>0</v>
      </c>
      <c r="AQ48" s="3678">
        <f>'19. HB'!H12</f>
        <v>0</v>
      </c>
      <c r="AR48" s="4524"/>
      <c r="AS48" s="3524"/>
      <c r="AT48" s="3524"/>
      <c r="AU48" s="3524"/>
      <c r="AV48" s="3524"/>
      <c r="AW48" s="3524"/>
    </row>
    <row r="49" spans="1:49" ht="15.75" customHeight="1">
      <c r="A49" s="4542" t="s">
        <v>220</v>
      </c>
      <c r="B49" s="3779">
        <f>'11. Амортиз. план'!S151</f>
        <v>152</v>
      </c>
      <c r="C49" s="3779">
        <f>'11. Амортиз. план'!U151</f>
        <v>234.82118529100902</v>
      </c>
      <c r="D49" s="3779">
        <f>'11. Амортиз. план'!V151</f>
        <v>283.35344974213155</v>
      </c>
      <c r="E49" s="3779">
        <f>'11. Амортиз. план'!W151</f>
        <v>336.61793812043771</v>
      </c>
      <c r="F49" s="3779">
        <f>'11. Амортиз. план'!X151</f>
        <v>394.59172299752515</v>
      </c>
      <c r="G49" s="3779">
        <f>'11. Амортиз. план'!Y151</f>
        <v>457.30537319413997</v>
      </c>
      <c r="H49" s="3524"/>
      <c r="I49" s="4542" t="s">
        <v>357</v>
      </c>
      <c r="J49" s="3779">
        <f>'9.Инвестиционна програма'!I16</f>
        <v>300</v>
      </c>
      <c r="K49" s="3779">
        <f>'9.Инвестиционна програма'!J16</f>
        <v>100</v>
      </c>
      <c r="L49" s="3779">
        <f>'9.Инвестиционна програма'!K16</f>
        <v>80</v>
      </c>
      <c r="M49" s="3779">
        <f>'9.Инвестиционна програма'!L16</f>
        <v>100</v>
      </c>
      <c r="N49" s="3779">
        <f>'9.Инвестиционна програма'!M16</f>
        <v>100</v>
      </c>
      <c r="O49" s="3904">
        <f t="shared" ref="O49:O72" si="76">SUM(J49:N49)</f>
        <v>680</v>
      </c>
      <c r="P49" s="4573">
        <f t="shared" si="74"/>
        <v>3.6051320114515957E-2</v>
      </c>
      <c r="Q49" s="4574"/>
      <c r="R49" s="3524"/>
      <c r="S49" s="4537" t="s">
        <v>446</v>
      </c>
      <c r="T49" s="3779">
        <f>'12. Разходи'!S55</f>
        <v>247.4</v>
      </c>
      <c r="U49" s="3779">
        <f>'12. Разходи'!T55</f>
        <v>219.39178030303032</v>
      </c>
      <c r="V49" s="3779">
        <f>'12. Разходи'!U55</f>
        <v>226.77140357079725</v>
      </c>
      <c r="W49" s="3779">
        <f>'12. Разходи'!V55</f>
        <v>233.14234036868822</v>
      </c>
      <c r="X49" s="3779">
        <f>'12. Разходи'!W55</f>
        <v>240.41896587490925</v>
      </c>
      <c r="Y49" s="3779">
        <f>'12. Разходи'!X55</f>
        <v>246.93537185843735</v>
      </c>
      <c r="Z49" s="4535">
        <f t="shared" si="75"/>
        <v>-0.11321026554959454</v>
      </c>
      <c r="AA49" s="4535">
        <f t="shared" si="73"/>
        <v>0.12554523016934829</v>
      </c>
      <c r="AB49" s="3524"/>
      <c r="AC49" s="3524"/>
      <c r="AD49" s="3523"/>
      <c r="AE49" s="3524"/>
      <c r="AF49" s="3524"/>
      <c r="AG49" s="3524"/>
      <c r="AH49" s="3524"/>
      <c r="AI49" s="3524"/>
      <c r="AJ49" s="3524"/>
      <c r="AK49" s="3773" t="s">
        <v>1701</v>
      </c>
      <c r="AL49" s="3699" t="s">
        <v>170</v>
      </c>
      <c r="AM49" s="3678">
        <f>'19. HB'!D13</f>
        <v>0</v>
      </c>
      <c r="AN49" s="3678">
        <f>'19. HB'!E13</f>
        <v>0</v>
      </c>
      <c r="AO49" s="3678">
        <f>'19. HB'!F13</f>
        <v>0</v>
      </c>
      <c r="AP49" s="3678">
        <f>'19. HB'!G13</f>
        <v>0</v>
      </c>
      <c r="AQ49" s="3678">
        <f>'19. HB'!H13</f>
        <v>0</v>
      </c>
      <c r="AR49" s="4524"/>
      <c r="AS49" s="3524"/>
      <c r="AT49" s="3524"/>
      <c r="AU49" s="3524"/>
      <c r="AV49" s="3524"/>
      <c r="AW49" s="3524"/>
    </row>
    <row r="50" spans="1:49" ht="15.75" customHeight="1">
      <c r="A50" s="4542" t="s">
        <v>222</v>
      </c>
      <c r="B50" s="3779">
        <f>'11. Амортиз. план'!S171</f>
        <v>877</v>
      </c>
      <c r="C50" s="3779">
        <f>'11. Амортиз. план'!U171</f>
        <v>1054.178814708991</v>
      </c>
      <c r="D50" s="3779">
        <f>'11. Амортиз. план'!V171</f>
        <v>1132.313216924535</v>
      </c>
      <c r="E50" s="3779">
        <f>'11. Амортиз. план'!W171</f>
        <v>1205.7153952128956</v>
      </c>
      <c r="F50" s="3779">
        <f>'11. Амортиз. план'!X171</f>
        <v>1274.4082770024747</v>
      </c>
      <c r="G50" s="3779">
        <f>'11. Амортиз. план'!Y171</f>
        <v>1338.3612934725265</v>
      </c>
      <c r="H50" s="3524"/>
      <c r="I50" s="4542" t="s">
        <v>1596</v>
      </c>
      <c r="J50" s="3779">
        <f>'9.Инвестиционна програма'!I17</f>
        <v>50</v>
      </c>
      <c r="K50" s="3779">
        <f>'9.Инвестиционна програма'!J17</f>
        <v>40</v>
      </c>
      <c r="L50" s="3779">
        <f>'9.Инвестиционна програма'!K17</f>
        <v>40</v>
      </c>
      <c r="M50" s="3779">
        <f>'9.Инвестиционна програма'!L17</f>
        <v>40</v>
      </c>
      <c r="N50" s="3779">
        <f>'9.Инвестиционна програма'!M17</f>
        <v>40</v>
      </c>
      <c r="O50" s="3904">
        <f t="shared" si="76"/>
        <v>210</v>
      </c>
      <c r="P50" s="4573">
        <f t="shared" si="74"/>
        <v>1.1133495917718164E-2</v>
      </c>
      <c r="Q50" s="4574"/>
      <c r="R50" s="3524"/>
      <c r="S50" s="4544" t="s">
        <v>447</v>
      </c>
      <c r="T50" s="4539">
        <f>'12. Разходи'!S56</f>
        <v>83</v>
      </c>
      <c r="U50" s="4539">
        <f>'12. Разходи'!T56</f>
        <v>92.725568181818176</v>
      </c>
      <c r="V50" s="4539">
        <f>'12. Разходи'!U56</f>
        <v>100.10913911967475</v>
      </c>
      <c r="W50" s="4539">
        <f>'12. Разходи'!V56</f>
        <v>106.47785199038205</v>
      </c>
      <c r="X50" s="4539">
        <f>'12. Разходи'!W56</f>
        <v>113.7551809978218</v>
      </c>
      <c r="Y50" s="4539">
        <f>'12. Разходи'!X56</f>
        <v>120.27172166182253</v>
      </c>
      <c r="Z50" s="4535">
        <f t="shared" si="75"/>
        <v>0.11717552026286959</v>
      </c>
      <c r="AA50" s="4535">
        <f t="shared" si="73"/>
        <v>0.29707182193795018</v>
      </c>
      <c r="AB50" s="3524"/>
      <c r="AC50" s="3524"/>
      <c r="AD50" s="3523"/>
      <c r="AE50" s="3524"/>
      <c r="AF50" s="3524"/>
      <c r="AG50" s="3524"/>
      <c r="AH50" s="3524"/>
      <c r="AI50" s="3524"/>
      <c r="AJ50" s="3524"/>
      <c r="AK50" s="3773" t="s">
        <v>325</v>
      </c>
      <c r="AL50" s="3699" t="s">
        <v>170</v>
      </c>
      <c r="AM50" s="3774">
        <f>'19. HB'!D14</f>
        <v>0.5</v>
      </c>
      <c r="AN50" s="3774">
        <f>'19. HB'!E14</f>
        <v>0.5</v>
      </c>
      <c r="AO50" s="3774">
        <f>'19. HB'!F14</f>
        <v>0.5</v>
      </c>
      <c r="AP50" s="3774">
        <f>'19. HB'!G14</f>
        <v>0.5</v>
      </c>
      <c r="AQ50" s="3774">
        <f>'19. HB'!H14</f>
        <v>0.5</v>
      </c>
      <c r="AR50" s="4524"/>
      <c r="AS50" s="3524"/>
      <c r="AT50" s="3524"/>
      <c r="AU50" s="3524"/>
      <c r="AV50" s="3524"/>
      <c r="AW50" s="3524"/>
    </row>
    <row r="51" spans="1:49" ht="15.75" customHeight="1">
      <c r="A51" s="5687" t="s">
        <v>1659</v>
      </c>
      <c r="B51" s="5688"/>
      <c r="C51" s="5688"/>
      <c r="D51" s="5688"/>
      <c r="E51" s="5688"/>
      <c r="F51" s="5688"/>
      <c r="G51" s="5688"/>
      <c r="H51" s="3524"/>
      <c r="I51" s="4542" t="s">
        <v>1597</v>
      </c>
      <c r="J51" s="3779">
        <f>SUM('9.Инвестиционна програма'!I18:I21)</f>
        <v>80</v>
      </c>
      <c r="K51" s="3779">
        <f>SUM('9.Инвестиционна програма'!J18:J21)</f>
        <v>60</v>
      </c>
      <c r="L51" s="3779">
        <f>SUM('9.Инвестиционна програма'!K18:K21)</f>
        <v>60</v>
      </c>
      <c r="M51" s="3779">
        <f>SUM('9.Инвестиционна програма'!L18:L21)</f>
        <v>60</v>
      </c>
      <c r="N51" s="3779">
        <f>SUM('9.Инвестиционна програма'!M18:M21)</f>
        <v>60</v>
      </c>
      <c r="O51" s="3904">
        <f t="shared" si="76"/>
        <v>320</v>
      </c>
      <c r="P51" s="4573">
        <f t="shared" si="74"/>
        <v>1.6965327112713393E-2</v>
      </c>
      <c r="Q51" s="4574"/>
      <c r="R51" s="3524"/>
      <c r="S51" s="4544" t="s">
        <v>736</v>
      </c>
      <c r="T51" s="4539">
        <f>'12. Разходи'!S57</f>
        <v>34</v>
      </c>
      <c r="U51" s="4539">
        <f>'12. Разходи'!T57</f>
        <v>43.731212121212124</v>
      </c>
      <c r="V51" s="4539">
        <f>'12. Разходи'!U57</f>
        <v>48.532264451122501</v>
      </c>
      <c r="W51" s="4539">
        <f>'12. Разходи'!V57</f>
        <v>53.264488378306169</v>
      </c>
      <c r="X51" s="4539">
        <f>'12. Разходи'!W57</f>
        <v>57.973784877087439</v>
      </c>
      <c r="Y51" s="4539">
        <f>'12. Разходи'!X57</f>
        <v>62.713650196614807</v>
      </c>
      <c r="Z51" s="4535">
        <f t="shared" si="75"/>
        <v>0.28621212121212131</v>
      </c>
      <c r="AA51" s="4535">
        <f t="shared" si="73"/>
        <v>0.43407070498727662</v>
      </c>
      <c r="AB51" s="3524"/>
      <c r="AC51" s="3524"/>
      <c r="AD51" s="3523"/>
      <c r="AE51" s="3524"/>
      <c r="AF51" s="3524"/>
      <c r="AG51" s="3524"/>
      <c r="AH51" s="3524"/>
      <c r="AI51" s="3524"/>
      <c r="AJ51" s="3524"/>
      <c r="AK51" s="3773" t="s">
        <v>326</v>
      </c>
      <c r="AL51" s="3699" t="s">
        <v>170</v>
      </c>
      <c r="AM51" s="3774">
        <f>'19. HB'!D15</f>
        <v>0.5</v>
      </c>
      <c r="AN51" s="3774">
        <f>'19. HB'!E15</f>
        <v>0.5</v>
      </c>
      <c r="AO51" s="3774">
        <f>'19. HB'!F15</f>
        <v>0.5</v>
      </c>
      <c r="AP51" s="3774">
        <f>'19. HB'!G15</f>
        <v>0.5</v>
      </c>
      <c r="AQ51" s="3774">
        <f>'19. HB'!H15</f>
        <v>0.5</v>
      </c>
      <c r="AR51" s="4524"/>
      <c r="AS51" s="3524"/>
      <c r="AT51" s="3524"/>
      <c r="AU51" s="3524"/>
      <c r="AV51" s="3524"/>
      <c r="AW51" s="3524"/>
    </row>
    <row r="52" spans="1:49" ht="13.5" customHeight="1">
      <c r="A52" s="4536" t="s">
        <v>334</v>
      </c>
      <c r="B52" s="3904">
        <f>'11. Амортиз. план'!S192</f>
        <v>39365</v>
      </c>
      <c r="C52" s="3904">
        <f>'11. Амортиз. план'!U192</f>
        <v>39365</v>
      </c>
      <c r="D52" s="3904">
        <f>'11. Амортиз. план'!V192</f>
        <v>39365</v>
      </c>
      <c r="E52" s="3904">
        <f>'11. Амортиз. план'!W192</f>
        <v>39365</v>
      </c>
      <c r="F52" s="3904">
        <f>'11. Амортиз. план'!X192</f>
        <v>39365</v>
      </c>
      <c r="G52" s="3904">
        <f>'11. Амортиз. план'!Y192</f>
        <v>39365</v>
      </c>
      <c r="H52" s="3524"/>
      <c r="I52" s="4542" t="s">
        <v>1598</v>
      </c>
      <c r="J52" s="3779">
        <f>'9.Инвестиционна програма'!I22</f>
        <v>2800</v>
      </c>
      <c r="K52" s="3779">
        <f>'9.Инвестиционна програма'!J22</f>
        <v>2500</v>
      </c>
      <c r="L52" s="3779">
        <f>'9.Инвестиционна програма'!K22</f>
        <v>2500</v>
      </c>
      <c r="M52" s="3779">
        <f>'9.Инвестиционна програма'!L22</f>
        <v>2500</v>
      </c>
      <c r="N52" s="3779">
        <f>'9.Инвестиционна програма'!M22</f>
        <v>2500</v>
      </c>
      <c r="O52" s="3904">
        <f t="shared" si="76"/>
        <v>12800</v>
      </c>
      <c r="P52" s="4573">
        <f t="shared" si="74"/>
        <v>0.67861308450853564</v>
      </c>
      <c r="Q52" s="4574"/>
      <c r="R52" s="3524"/>
      <c r="S52" s="4544" t="s">
        <v>737</v>
      </c>
      <c r="T52" s="4539">
        <f>'12. Разходи'!S58</f>
        <v>130.4</v>
      </c>
      <c r="U52" s="4539">
        <f>'12. Разходи'!T58</f>
        <v>82.935000000000002</v>
      </c>
      <c r="V52" s="4539">
        <f>'12. Разходи'!U58</f>
        <v>78.13</v>
      </c>
      <c r="W52" s="4539">
        <f>'12. Разходи'!V58</f>
        <v>73.400000000000006</v>
      </c>
      <c r="X52" s="4539">
        <f>'12. Разходи'!W58</f>
        <v>68.69</v>
      </c>
      <c r="Y52" s="4539">
        <f>'12. Разходи'!X58</f>
        <v>63.95</v>
      </c>
      <c r="Z52" s="4535">
        <f t="shared" si="75"/>
        <v>-0.36399539877300613</v>
      </c>
      <c r="AA52" s="4535">
        <f t="shared" si="73"/>
        <v>-0.228914209923434</v>
      </c>
      <c r="AB52" s="3524"/>
      <c r="AC52" s="3524"/>
      <c r="AD52" s="3523"/>
      <c r="AE52" s="3524"/>
      <c r="AF52" s="3524"/>
      <c r="AG52" s="3524"/>
      <c r="AH52" s="3524"/>
      <c r="AI52" s="3524"/>
      <c r="AJ52" s="3524"/>
      <c r="AK52" s="3775" t="s">
        <v>694</v>
      </c>
      <c r="AL52" s="3776" t="s">
        <v>170</v>
      </c>
      <c r="AM52" s="3777">
        <f>'19. HB'!D16</f>
        <v>0</v>
      </c>
      <c r="AN52" s="3777">
        <f>'19. HB'!E16</f>
        <v>0</v>
      </c>
      <c r="AO52" s="3777">
        <f>'19. HB'!F16</f>
        <v>0</v>
      </c>
      <c r="AP52" s="3777">
        <f>'19. HB'!G16</f>
        <v>0</v>
      </c>
      <c r="AQ52" s="3777">
        <f>'19. HB'!H16</f>
        <v>0</v>
      </c>
      <c r="AR52" s="4524"/>
      <c r="AS52" s="3524"/>
      <c r="AT52" s="3524"/>
      <c r="AU52" s="3524"/>
      <c r="AV52" s="3524"/>
      <c r="AW52" s="3524"/>
    </row>
    <row r="53" spans="1:49" ht="15.75" customHeight="1">
      <c r="A53" s="4538" t="s">
        <v>218</v>
      </c>
      <c r="B53" s="4539">
        <f>'11. Амортиз. план'!S214</f>
        <v>1440</v>
      </c>
      <c r="C53" s="4539">
        <f>'11. Амортиз. план'!U214</f>
        <v>1440</v>
      </c>
      <c r="D53" s="4539">
        <f>'11. Амортиз. план'!V214</f>
        <v>1440</v>
      </c>
      <c r="E53" s="4539">
        <f>'11. Амортиз. план'!W214</f>
        <v>1440</v>
      </c>
      <c r="F53" s="4539">
        <f>'11. Амортиз. план'!X214</f>
        <v>1440</v>
      </c>
      <c r="G53" s="4539">
        <f>'11. Амортиз. план'!Y214</f>
        <v>1440</v>
      </c>
      <c r="H53" s="3524"/>
      <c r="I53" s="4542" t="s">
        <v>1599</v>
      </c>
      <c r="J53" s="3779">
        <f>SUM('9.Инвестиционна програма'!I23:I24)</f>
        <v>160</v>
      </c>
      <c r="K53" s="3779">
        <f>SUM('9.Инвестиционна програма'!J23:J24)</f>
        <v>160</v>
      </c>
      <c r="L53" s="3779">
        <f>SUM('9.Инвестиционна програма'!K23:K24)</f>
        <v>110</v>
      </c>
      <c r="M53" s="3779">
        <f>SUM('9.Инвестиционна програма'!L23:L24)</f>
        <v>25</v>
      </c>
      <c r="N53" s="3779">
        <f>SUM('9.Инвестиционна програма'!M23:M24)</f>
        <v>160</v>
      </c>
      <c r="O53" s="3904">
        <f t="shared" si="76"/>
        <v>615</v>
      </c>
      <c r="P53" s="4573">
        <f t="shared" si="74"/>
        <v>3.2605238044746049E-2</v>
      </c>
      <c r="Q53" s="4574"/>
      <c r="R53" s="3524"/>
      <c r="S53" s="4537" t="s">
        <v>448</v>
      </c>
      <c r="T53" s="3779">
        <f>'12. Разходи'!S59</f>
        <v>1534</v>
      </c>
      <c r="U53" s="3779">
        <f>'12. Разходи'!T59</f>
        <v>2207</v>
      </c>
      <c r="V53" s="3779">
        <f>'12. Разходи'!U59</f>
        <v>2432</v>
      </c>
      <c r="W53" s="3779">
        <f>'12. Разходи'!V59</f>
        <v>2776</v>
      </c>
      <c r="X53" s="3779">
        <f>'12. Разходи'!W59</f>
        <v>3170</v>
      </c>
      <c r="Y53" s="3779">
        <f>'12. Разходи'!X59</f>
        <v>3626</v>
      </c>
      <c r="Z53" s="4535">
        <f t="shared" si="75"/>
        <v>0.43872229465449802</v>
      </c>
      <c r="AA53" s="4535">
        <f t="shared" si="73"/>
        <v>0.64295423652016315</v>
      </c>
      <c r="AB53" s="3524"/>
      <c r="AC53" s="3524"/>
      <c r="AD53" s="3523"/>
      <c r="AE53" s="3524"/>
      <c r="AF53" s="3524"/>
      <c r="AG53" s="3524"/>
      <c r="AH53" s="3524"/>
      <c r="AI53" s="3524"/>
      <c r="AJ53" s="3524"/>
      <c r="AK53" s="3778" t="s">
        <v>1702</v>
      </c>
      <c r="AL53" s="3701" t="s">
        <v>323</v>
      </c>
      <c r="AM53" s="3779">
        <f>'19. HB'!D17</f>
        <v>0</v>
      </c>
      <c r="AN53" s="3779">
        <f>'19. HB'!E17</f>
        <v>0</v>
      </c>
      <c r="AO53" s="3779">
        <f>'19. HB'!F17</f>
        <v>0</v>
      </c>
      <c r="AP53" s="3779">
        <f>'19. HB'!G17</f>
        <v>0</v>
      </c>
      <c r="AQ53" s="3779">
        <f>'19. HB'!H17</f>
        <v>0</v>
      </c>
      <c r="AR53" s="4524"/>
      <c r="AS53" s="3524"/>
      <c r="AT53" s="3524"/>
      <c r="AU53" s="3524"/>
      <c r="AV53" s="3524"/>
      <c r="AW53" s="3524"/>
    </row>
    <row r="54" spans="1:49" ht="15.75" customHeight="1">
      <c r="A54" s="4542" t="s">
        <v>220</v>
      </c>
      <c r="B54" s="3779">
        <f>'11. Амортиз. план'!S236</f>
        <v>12592</v>
      </c>
      <c r="C54" s="3779">
        <f>'11. Амортиз. план'!U236</f>
        <v>15472</v>
      </c>
      <c r="D54" s="3779">
        <f>'11. Амортиз. план'!V236</f>
        <v>16912</v>
      </c>
      <c r="E54" s="3779">
        <f>'11. Амортиз. план'!W236</f>
        <v>18352</v>
      </c>
      <c r="F54" s="3779">
        <f>'11. Амортиз. план'!X236</f>
        <v>19792</v>
      </c>
      <c r="G54" s="3779">
        <f>'11. Амортиз. план'!Y236</f>
        <v>21232</v>
      </c>
      <c r="H54" s="3524"/>
      <c r="I54" s="4542" t="s">
        <v>1600</v>
      </c>
      <c r="J54" s="3779">
        <f>SUM('9.Инвестиционна програма'!I25:I26)</f>
        <v>62</v>
      </c>
      <c r="K54" s="3779">
        <f>SUM('9.Инвестиционна програма'!J25:J26)</f>
        <v>40</v>
      </c>
      <c r="L54" s="3779">
        <f>SUM('9.Инвестиционна програма'!K25:K26)</f>
        <v>45</v>
      </c>
      <c r="M54" s="3779">
        <f>SUM('9.Инвестиционна програма'!L25:L26)</f>
        <v>35</v>
      </c>
      <c r="N54" s="3779">
        <f>SUM('9.Инвестиционна програма'!M25:M26)</f>
        <v>35</v>
      </c>
      <c r="O54" s="3904">
        <f t="shared" si="76"/>
        <v>217</v>
      </c>
      <c r="P54" s="4573">
        <f t="shared" si="74"/>
        <v>1.1504612448308769E-2</v>
      </c>
      <c r="Q54" s="4574"/>
      <c r="R54" s="3524"/>
      <c r="S54" s="4537" t="s">
        <v>449</v>
      </c>
      <c r="T54" s="3779">
        <f>'12. Разходи'!S63</f>
        <v>548</v>
      </c>
      <c r="U54" s="3779">
        <f>'12. Разходи'!T63</f>
        <v>796</v>
      </c>
      <c r="V54" s="3779">
        <f>'12. Разходи'!U63</f>
        <v>916</v>
      </c>
      <c r="W54" s="3779">
        <f>'12. Разходи'!V63</f>
        <v>1053</v>
      </c>
      <c r="X54" s="3779">
        <f>'12. Разходи'!W63</f>
        <v>1211</v>
      </c>
      <c r="Y54" s="3779">
        <f>'12. Разходи'!X63</f>
        <v>1392</v>
      </c>
      <c r="Z54" s="4535">
        <f t="shared" si="75"/>
        <v>0.45255474452554745</v>
      </c>
      <c r="AA54" s="4535">
        <f t="shared" si="73"/>
        <v>0.74874371859296485</v>
      </c>
      <c r="AB54" s="3524"/>
      <c r="AC54" s="3524"/>
      <c r="AD54" s="3523"/>
      <c r="AE54" s="3524"/>
      <c r="AF54" s="3524"/>
      <c r="AG54" s="3524"/>
      <c r="AH54" s="3524"/>
      <c r="AI54" s="3524"/>
      <c r="AJ54" s="3524"/>
      <c r="AK54" s="3778" t="s">
        <v>1399</v>
      </c>
      <c r="AL54" s="3701" t="s">
        <v>323</v>
      </c>
      <c r="AM54" s="3779">
        <f>'19. HB'!D18</f>
        <v>0</v>
      </c>
      <c r="AN54" s="3779">
        <f>'19. HB'!E18</f>
        <v>0</v>
      </c>
      <c r="AO54" s="3779">
        <f>'19. HB'!F18</f>
        <v>0</v>
      </c>
      <c r="AP54" s="3779">
        <f>'19. HB'!G18</f>
        <v>0</v>
      </c>
      <c r="AQ54" s="3779">
        <f>'19. HB'!H18</f>
        <v>0</v>
      </c>
      <c r="AR54" s="4524"/>
      <c r="AS54" s="3524"/>
      <c r="AT54" s="3524"/>
      <c r="AU54" s="3524"/>
      <c r="AV54" s="3524"/>
      <c r="AW54" s="3524"/>
    </row>
    <row r="55" spans="1:49" ht="15.75" customHeight="1">
      <c r="A55" s="4542" t="s">
        <v>222</v>
      </c>
      <c r="B55" s="3779">
        <f>'11. Амортиз. план'!S258</f>
        <v>26773</v>
      </c>
      <c r="C55" s="3779">
        <f>'11. Амортиз. план'!U258</f>
        <v>23893</v>
      </c>
      <c r="D55" s="3779">
        <f>'11. Амортиз. план'!V258</f>
        <v>22453</v>
      </c>
      <c r="E55" s="3779">
        <f>'11. Амортиз. план'!W258</f>
        <v>21013</v>
      </c>
      <c r="F55" s="3779">
        <f>'11. Амортиз. план'!X258</f>
        <v>19573</v>
      </c>
      <c r="G55" s="3779">
        <f>'11. Амортиз. план'!Y258</f>
        <v>18133</v>
      </c>
      <c r="H55" s="3524"/>
      <c r="I55" s="4542" t="s">
        <v>1601</v>
      </c>
      <c r="J55" s="3779">
        <f>SUM('9.Инвестиционна програма'!I27:I28)</f>
        <v>30</v>
      </c>
      <c r="K55" s="3779">
        <f>SUM('9.Инвестиционна програма'!J27:J28)</f>
        <v>30</v>
      </c>
      <c r="L55" s="3779">
        <f>SUM('9.Инвестиционна програма'!K27:K28)</f>
        <v>30</v>
      </c>
      <c r="M55" s="3779">
        <f>SUM('9.Инвестиционна програма'!L27:L28)</f>
        <v>30</v>
      </c>
      <c r="N55" s="3779">
        <f>SUM('9.Инвестиционна програма'!M27:M28)</f>
        <v>30</v>
      </c>
      <c r="O55" s="3904">
        <f t="shared" si="76"/>
        <v>150</v>
      </c>
      <c r="P55" s="4573">
        <f t="shared" si="74"/>
        <v>7.952497084084402E-3</v>
      </c>
      <c r="Q55" s="4574"/>
      <c r="R55" s="3524"/>
      <c r="S55" s="4537" t="s">
        <v>450</v>
      </c>
      <c r="T55" s="3779">
        <f>'12. Разходи'!S70</f>
        <v>68</v>
      </c>
      <c r="U55" s="3779">
        <f>'12. Разходи'!T70</f>
        <v>69</v>
      </c>
      <c r="V55" s="3779">
        <f>'12. Разходи'!U70</f>
        <v>69</v>
      </c>
      <c r="W55" s="3779">
        <f>'12. Разходи'!V70</f>
        <v>68</v>
      </c>
      <c r="X55" s="3779">
        <f>'12. Разходи'!W70</f>
        <v>67</v>
      </c>
      <c r="Y55" s="3779">
        <f>'12. Разходи'!X70</f>
        <v>67</v>
      </c>
      <c r="Z55" s="4535">
        <f t="shared" si="75"/>
        <v>1.4705882352941176E-2</v>
      </c>
      <c r="AA55" s="4535">
        <f t="shared" si="73"/>
        <v>-2.8985507246376812E-2</v>
      </c>
      <c r="AB55" s="3524"/>
      <c r="AC55" s="3524"/>
      <c r="AD55" s="3523"/>
      <c r="AE55" s="3524"/>
      <c r="AF55" s="3524"/>
      <c r="AG55" s="3524"/>
      <c r="AH55" s="3524"/>
      <c r="AI55" s="3524"/>
      <c r="AJ55" s="3524"/>
      <c r="AK55" s="3778" t="s">
        <v>1400</v>
      </c>
      <c r="AL55" s="3701" t="s">
        <v>323</v>
      </c>
      <c r="AM55" s="3779">
        <f>'19. HB'!D19</f>
        <v>0</v>
      </c>
      <c r="AN55" s="3779">
        <f>'19. HB'!E19</f>
        <v>0</v>
      </c>
      <c r="AO55" s="3779">
        <f>'19. HB'!F19</f>
        <v>0</v>
      </c>
      <c r="AP55" s="3779">
        <f>'19. HB'!G19</f>
        <v>0</v>
      </c>
      <c r="AQ55" s="3779">
        <f>'19. HB'!H19</f>
        <v>0</v>
      </c>
      <c r="AR55" s="4524"/>
      <c r="AS55" s="3524"/>
      <c r="AT55" s="3524"/>
      <c r="AU55" s="3524"/>
      <c r="AV55" s="3524"/>
      <c r="AW55" s="3524"/>
    </row>
    <row r="56" spans="1:49" ht="15.75" customHeight="1">
      <c r="A56" s="3759" t="s">
        <v>1666</v>
      </c>
      <c r="B56" s="3524"/>
      <c r="C56" s="3524"/>
      <c r="D56" s="3524"/>
      <c r="E56" s="3524"/>
      <c r="F56" s="3524"/>
      <c r="G56" s="3760" t="s">
        <v>1635</v>
      </c>
      <c r="H56" s="3524"/>
      <c r="I56" s="4542" t="s">
        <v>1602</v>
      </c>
      <c r="J56" s="3779">
        <f>'9.Инвестиционна програма'!I29</f>
        <v>0</v>
      </c>
      <c r="K56" s="3779">
        <f>'9.Инвестиционна програма'!J29</f>
        <v>0</v>
      </c>
      <c r="L56" s="3779">
        <f>'9.Инвестиционна програма'!K29</f>
        <v>0</v>
      </c>
      <c r="M56" s="3779">
        <f>'9.Инвестиционна програма'!L29</f>
        <v>0</v>
      </c>
      <c r="N56" s="3779">
        <f>'9.Инвестиционна програма'!M29</f>
        <v>0</v>
      </c>
      <c r="O56" s="3904">
        <f t="shared" si="76"/>
        <v>0</v>
      </c>
      <c r="P56" s="4573">
        <f t="shared" si="74"/>
        <v>0</v>
      </c>
      <c r="Q56" s="4574"/>
      <c r="R56" s="3524"/>
      <c r="S56" s="4537" t="s">
        <v>267</v>
      </c>
      <c r="T56" s="3779">
        <f>'12. Разходи'!S76</f>
        <v>43.998999999999995</v>
      </c>
      <c r="U56" s="3779">
        <f>'12. Разходи'!T76</f>
        <v>44</v>
      </c>
      <c r="V56" s="3779">
        <f>'12. Разходи'!U76</f>
        <v>44</v>
      </c>
      <c r="W56" s="3779">
        <f>'12. Разходи'!V76</f>
        <v>44</v>
      </c>
      <c r="X56" s="3779">
        <f>'12. Разходи'!W76</f>
        <v>44</v>
      </c>
      <c r="Y56" s="3779">
        <f>'12. Разходи'!X76</f>
        <v>44</v>
      </c>
      <c r="Z56" s="4535">
        <f t="shared" si="75"/>
        <v>2.2727789268046432E-5</v>
      </c>
      <c r="AA56" s="4535">
        <f t="shared" si="73"/>
        <v>0</v>
      </c>
      <c r="AB56" s="3524"/>
      <c r="AC56" s="3524"/>
      <c r="AD56" s="3523"/>
      <c r="AE56" s="3524"/>
      <c r="AF56" s="3524"/>
      <c r="AG56" s="3524"/>
      <c r="AH56" s="3524"/>
      <c r="AI56" s="3524"/>
      <c r="AJ56" s="3524"/>
      <c r="AK56" s="3778" t="s">
        <v>1238</v>
      </c>
      <c r="AL56" s="3701" t="s">
        <v>323</v>
      </c>
      <c r="AM56" s="3779">
        <f>'19. HB'!D20</f>
        <v>0</v>
      </c>
      <c r="AN56" s="3779">
        <f>'19. HB'!E20</f>
        <v>0</v>
      </c>
      <c r="AO56" s="3779">
        <f>'19. HB'!F20</f>
        <v>0</v>
      </c>
      <c r="AP56" s="3779">
        <f>'19. HB'!G20</f>
        <v>0</v>
      </c>
      <c r="AQ56" s="3779">
        <f>'19. HB'!H20</f>
        <v>0</v>
      </c>
      <c r="AR56" s="4524"/>
      <c r="AS56" s="3524"/>
      <c r="AT56" s="3524"/>
      <c r="AU56" s="3524"/>
      <c r="AV56" s="3524"/>
      <c r="AW56" s="3524"/>
    </row>
    <row r="57" spans="1:49" ht="12.75" customHeight="1">
      <c r="A57" s="5684" t="s">
        <v>87</v>
      </c>
      <c r="B57" s="5676" t="s">
        <v>1029</v>
      </c>
      <c r="C57" s="5676"/>
      <c r="D57" s="5676"/>
      <c r="E57" s="5676"/>
      <c r="F57" s="5676"/>
      <c r="G57" s="5676"/>
      <c r="H57" s="3524"/>
      <c r="I57" s="4538" t="s">
        <v>1603</v>
      </c>
      <c r="J57" s="4539">
        <f>SUM(J48:J56)</f>
        <v>3552</v>
      </c>
      <c r="K57" s="4539">
        <f>SUM(K48:K56)</f>
        <v>2980</v>
      </c>
      <c r="L57" s="4539">
        <f>SUM(L48:L56)</f>
        <v>2915</v>
      </c>
      <c r="M57" s="4539">
        <f>SUM(M48:M56)</f>
        <v>2840</v>
      </c>
      <c r="N57" s="4539">
        <f>SUM(N48:N56)</f>
        <v>2975</v>
      </c>
      <c r="O57" s="3904">
        <f t="shared" si="76"/>
        <v>15262</v>
      </c>
      <c r="P57" s="4575">
        <f t="shared" si="74"/>
        <v>0.8091400699819743</v>
      </c>
      <c r="Q57" s="4576"/>
      <c r="R57" s="3524"/>
      <c r="S57" s="4546" t="s">
        <v>277</v>
      </c>
      <c r="T57" s="4547">
        <f>SUM(T47:T49,T53:T56)</f>
        <v>3861.5759230499998</v>
      </c>
      <c r="U57" s="4547">
        <f t="shared" ref="U57" si="77">SUM(U47:U49,U53:U56)</f>
        <v>4871.80052630303</v>
      </c>
      <c r="V57" s="4547">
        <f t="shared" ref="V57" si="78">SUM(V47:V49,V53:V56)</f>
        <v>5214.8105035707977</v>
      </c>
      <c r="W57" s="4547">
        <f t="shared" ref="W57" si="79">SUM(W47:W49,W53:W56)</f>
        <v>5689.3799903686886</v>
      </c>
      <c r="X57" s="4547">
        <f t="shared" ref="X57" si="80">SUM(X47:X49,X53:X56)</f>
        <v>6242.9360358749091</v>
      </c>
      <c r="Y57" s="4547">
        <f t="shared" ref="Y57" si="81">SUM(Y47:Y49,Y53:Y56)</f>
        <v>6881.7318618584377</v>
      </c>
      <c r="Z57" s="4548">
        <f t="shared" si="75"/>
        <v>0.26160941112744496</v>
      </c>
      <c r="AA57" s="4548">
        <f t="shared" si="73"/>
        <v>0.41256437423981435</v>
      </c>
      <c r="AB57" s="3524"/>
      <c r="AC57" s="3524"/>
      <c r="AD57" s="3523"/>
      <c r="AE57" s="3524"/>
      <c r="AF57" s="3524"/>
      <c r="AG57" s="3524"/>
      <c r="AH57" s="3524"/>
      <c r="AI57" s="3524"/>
      <c r="AJ57" s="3524"/>
      <c r="AK57" s="3778" t="s">
        <v>1703</v>
      </c>
      <c r="AL57" s="3701" t="s">
        <v>323</v>
      </c>
      <c r="AM57" s="3779">
        <f>'19. HB'!D21</f>
        <v>0</v>
      </c>
      <c r="AN57" s="3779">
        <f>'19. HB'!E21</f>
        <v>0</v>
      </c>
      <c r="AO57" s="3779">
        <f>'19. HB'!F21</f>
        <v>0</v>
      </c>
      <c r="AP57" s="3779">
        <f>'19. HB'!G21</f>
        <v>0</v>
      </c>
      <c r="AQ57" s="3779">
        <f>'19. HB'!H21</f>
        <v>0</v>
      </c>
      <c r="AR57" s="4524"/>
      <c r="AS57" s="3524"/>
      <c r="AT57" s="3524"/>
      <c r="AU57" s="3524"/>
      <c r="AV57" s="3524"/>
      <c r="AW57" s="3524"/>
    </row>
    <row r="58" spans="1:49" ht="12.75" customHeight="1">
      <c r="A58" s="5684"/>
      <c r="B58" s="4526" t="str">
        <f>+'15. ОПП'!$B$7</f>
        <v>2024 г.</v>
      </c>
      <c r="C58" s="4526" t="str">
        <f>+'15. ОПП'!$C$7</f>
        <v>2027 г.</v>
      </c>
      <c r="D58" s="4526" t="str">
        <f>+'15. ОПП'!$D$7</f>
        <v>2028 г.</v>
      </c>
      <c r="E58" s="4526" t="str">
        <f>+'15. ОПП'!$E$7</f>
        <v>2029 г.</v>
      </c>
      <c r="F58" s="4526" t="str">
        <f>+'15. ОПП'!$F$7</f>
        <v>2030 г.</v>
      </c>
      <c r="G58" s="4526" t="str">
        <f>+'15. ОПП'!$G$7</f>
        <v>2031 г.</v>
      </c>
      <c r="H58" s="3524"/>
      <c r="I58" s="4538" t="s">
        <v>1604</v>
      </c>
      <c r="J58" s="4539">
        <f>SUM('9.Инвестиционна програма'!I30:I35)</f>
        <v>100</v>
      </c>
      <c r="K58" s="4539">
        <f>SUM('9.Инвестиционна програма'!J30:J35)</f>
        <v>50</v>
      </c>
      <c r="L58" s="4539">
        <f>SUM('9.Инвестиционна програма'!K30:K35)</f>
        <v>150</v>
      </c>
      <c r="M58" s="4539">
        <f>SUM('9.Инвестиционна програма'!L30:L35)</f>
        <v>450</v>
      </c>
      <c r="N58" s="4539">
        <f>SUM('9.Инвестиционна програма'!M30:M35)</f>
        <v>50</v>
      </c>
      <c r="O58" s="3904">
        <f t="shared" si="76"/>
        <v>800</v>
      </c>
      <c r="P58" s="4575">
        <f t="shared" si="74"/>
        <v>4.2413317781783477E-2</v>
      </c>
      <c r="Q58" s="4576"/>
      <c r="R58" s="3524"/>
      <c r="S58" s="4555" t="str">
        <f>CONCATENATE("Спестявания и увеличения спрямо ",T46," - нето:")</f>
        <v>Спестявания и увеличения спрямо 2024 г. - нето:</v>
      </c>
      <c r="T58" s="4556"/>
      <c r="U58" s="4555">
        <f>U57-$T57</f>
        <v>1010.2246032530302</v>
      </c>
      <c r="V58" s="4555">
        <f t="shared" ref="V58" si="82">V57-$T57</f>
        <v>1353.2345805207979</v>
      </c>
      <c r="W58" s="4555">
        <f t="shared" ref="W58" si="83">W57-$T57</f>
        <v>1827.8040673186888</v>
      </c>
      <c r="X58" s="4555">
        <f t="shared" ref="X58" si="84">X57-$T57</f>
        <v>2381.3601128249093</v>
      </c>
      <c r="Y58" s="4555">
        <f t="shared" ref="Y58" si="85">Y57-$T57</f>
        <v>3020.1559388084379</v>
      </c>
      <c r="Z58" s="4557"/>
      <c r="AA58" s="4557"/>
      <c r="AB58" s="3524"/>
      <c r="AC58" s="3524"/>
      <c r="AD58" s="3523"/>
      <c r="AE58" s="3524"/>
      <c r="AF58" s="3524"/>
      <c r="AG58" s="3524"/>
      <c r="AH58" s="3524"/>
      <c r="AI58" s="3524"/>
      <c r="AJ58" s="3524"/>
      <c r="AK58" s="3773" t="s">
        <v>327</v>
      </c>
      <c r="AL58" s="3699" t="s">
        <v>323</v>
      </c>
      <c r="AM58" s="3904">
        <f>SUM(AM53:AM57)</f>
        <v>0</v>
      </c>
      <c r="AN58" s="3904">
        <f t="shared" ref="AN58:AQ58" si="86">SUM(AN53:AN57)</f>
        <v>0</v>
      </c>
      <c r="AO58" s="3904">
        <f t="shared" si="86"/>
        <v>0</v>
      </c>
      <c r="AP58" s="3904">
        <f t="shared" si="86"/>
        <v>0</v>
      </c>
      <c r="AQ58" s="3904">
        <f t="shared" si="86"/>
        <v>0</v>
      </c>
      <c r="AR58" s="4524"/>
      <c r="AS58" s="3524"/>
      <c r="AT58" s="3524"/>
      <c r="AU58" s="3524"/>
      <c r="AV58" s="3524"/>
      <c r="AW58" s="3524"/>
    </row>
    <row r="59" spans="1:49" ht="15.75" customHeight="1">
      <c r="A59" s="5686" t="s">
        <v>1657</v>
      </c>
      <c r="B59" s="5686"/>
      <c r="C59" s="5686"/>
      <c r="D59" s="5686"/>
      <c r="E59" s="5686"/>
      <c r="F59" s="5686"/>
      <c r="G59" s="5686"/>
      <c r="H59" s="3524"/>
      <c r="I59" s="3772" t="s">
        <v>207</v>
      </c>
      <c r="J59" s="4547">
        <f>J57+J58</f>
        <v>3652</v>
      </c>
      <c r="K59" s="4547">
        <f>K57+K58</f>
        <v>3030</v>
      </c>
      <c r="L59" s="4547">
        <f>L57+L58</f>
        <v>3065</v>
      </c>
      <c r="M59" s="4547">
        <f>M57+M58</f>
        <v>3290</v>
      </c>
      <c r="N59" s="4547">
        <f>N57+N58</f>
        <v>3025</v>
      </c>
      <c r="O59" s="4547">
        <f>SUM(J59:N59)</f>
        <v>16062</v>
      </c>
      <c r="P59" s="4548">
        <f t="shared" si="74"/>
        <v>0.85155338776375777</v>
      </c>
      <c r="Q59" s="4554"/>
      <c r="R59" s="3524"/>
      <c r="S59" s="4537" t="s">
        <v>1669</v>
      </c>
      <c r="T59" s="3904">
        <f>'12. Разходи'!S92</f>
        <v>2625</v>
      </c>
      <c r="U59" s="3904">
        <f>'12. Разходи'!T92</f>
        <v>0</v>
      </c>
      <c r="V59" s="3904">
        <f>'12. Разходи'!U92</f>
        <v>0</v>
      </c>
      <c r="W59" s="3904">
        <f>'12. Разходи'!V92</f>
        <v>0</v>
      </c>
      <c r="X59" s="3904">
        <f>'12. Разходи'!W92</f>
        <v>0</v>
      </c>
      <c r="Y59" s="3904">
        <f>'12. Разходи'!X92</f>
        <v>0</v>
      </c>
      <c r="Z59" s="4535">
        <f t="shared" si="75"/>
        <v>-1</v>
      </c>
      <c r="AA59" s="4535">
        <f t="shared" ref="AA59:AA63" si="87">IFERROR((Y59-U59)/U59,0)</f>
        <v>0</v>
      </c>
      <c r="AB59" s="3524"/>
      <c r="AC59" s="3524"/>
      <c r="AD59" s="3523"/>
      <c r="AE59" s="3524"/>
      <c r="AF59" s="3524"/>
      <c r="AG59" s="3524"/>
      <c r="AH59" s="3524"/>
      <c r="AI59" s="3524"/>
      <c r="AJ59" s="3524"/>
      <c r="AK59" s="3524"/>
      <c r="AL59" s="4524"/>
      <c r="AM59" s="4524"/>
      <c r="AN59" s="4524"/>
      <c r="AO59" s="4524"/>
      <c r="AP59" s="4524"/>
      <c r="AQ59" s="3524"/>
      <c r="AR59" s="4524"/>
      <c r="AS59" s="3524"/>
      <c r="AT59" s="3524"/>
      <c r="AU59" s="3524"/>
      <c r="AV59" s="3524"/>
      <c r="AW59" s="3524"/>
    </row>
    <row r="60" spans="1:49" ht="15.75" customHeight="1">
      <c r="A60" s="4536" t="s">
        <v>334</v>
      </c>
      <c r="B60" s="3904">
        <f>'11. Амортиз. план'!Z10</f>
        <v>0</v>
      </c>
      <c r="C60" s="3904">
        <f>'11. Амортиз. план'!AB10</f>
        <v>0</v>
      </c>
      <c r="D60" s="3904">
        <f>'11. Амортиз. план'!AC10</f>
        <v>0</v>
      </c>
      <c r="E60" s="3904">
        <f>'11. Амортиз. план'!AD10</f>
        <v>0</v>
      </c>
      <c r="F60" s="3904">
        <f>'11. Амортиз. план'!AE10</f>
        <v>0</v>
      </c>
      <c r="G60" s="3904">
        <f>'11. Амортиз. план'!AF10</f>
        <v>0</v>
      </c>
      <c r="H60" s="3524"/>
      <c r="I60" s="4542" t="s">
        <v>1605</v>
      </c>
      <c r="J60" s="3779">
        <f>'9.Инвестиционна програма'!I37</f>
        <v>0</v>
      </c>
      <c r="K60" s="3779">
        <f>'9.Инвестиционна програма'!J37</f>
        <v>0</v>
      </c>
      <c r="L60" s="3779">
        <f>'9.Инвестиционна програма'!K37</f>
        <v>0</v>
      </c>
      <c r="M60" s="3779">
        <f>'9.Инвестиционна програма'!L37</f>
        <v>0</v>
      </c>
      <c r="N60" s="3779">
        <f>'9.Инвестиционна програма'!M37</f>
        <v>0</v>
      </c>
      <c r="O60" s="3904">
        <f t="shared" si="76"/>
        <v>0</v>
      </c>
      <c r="P60" s="4573">
        <f t="shared" si="74"/>
        <v>0</v>
      </c>
      <c r="Q60" s="4574"/>
      <c r="R60" s="3524"/>
      <c r="S60" s="4537" t="s">
        <v>1671</v>
      </c>
      <c r="T60" s="3904">
        <f>'12. Разходи'!S93</f>
        <v>989.17592304999971</v>
      </c>
      <c r="U60" s="3904">
        <f>'12. Разходи'!T93</f>
        <v>4652.4087460000001</v>
      </c>
      <c r="V60" s="3904">
        <f>'12. Разходи'!U93</f>
        <v>4988.0391</v>
      </c>
      <c r="W60" s="3904">
        <f>'12. Разходи'!V93</f>
        <v>5456.23765</v>
      </c>
      <c r="X60" s="3904">
        <f>'12. Разходи'!W93</f>
        <v>6002.5170699999999</v>
      </c>
      <c r="Y60" s="3904">
        <f>'12. Разходи'!X93</f>
        <v>6634.7964900000006</v>
      </c>
      <c r="Z60" s="4535">
        <f t="shared" si="75"/>
        <v>3.7033178200040311</v>
      </c>
      <c r="AA60" s="4535">
        <f t="shared" si="87"/>
        <v>0.42609922133441036</v>
      </c>
      <c r="AB60" s="3524"/>
      <c r="AC60" s="3524"/>
      <c r="AD60" s="3523"/>
      <c r="AE60" s="3524"/>
      <c r="AF60" s="3524"/>
      <c r="AG60" s="3524"/>
      <c r="AH60" s="3524"/>
      <c r="AI60" s="3524"/>
      <c r="AJ60" s="3524"/>
      <c r="AK60" s="3524"/>
      <c r="AL60" s="4524"/>
      <c r="AM60" s="4524"/>
      <c r="AN60" s="4524"/>
      <c r="AO60" s="4524"/>
      <c r="AP60" s="4524"/>
      <c r="AQ60" s="3524"/>
      <c r="AR60" s="4524"/>
      <c r="AS60" s="3524"/>
      <c r="AT60" s="3524"/>
      <c r="AU60" s="3524"/>
      <c r="AV60" s="3524"/>
      <c r="AW60" s="3524"/>
    </row>
    <row r="61" spans="1:49" ht="15.75" customHeight="1">
      <c r="A61" s="4538" t="s">
        <v>218</v>
      </c>
      <c r="B61" s="4539">
        <f>'11. Амортиз. план'!Z35</f>
        <v>0</v>
      </c>
      <c r="C61" s="4539">
        <f>'11. Амортиз. план'!AB35</f>
        <v>0</v>
      </c>
      <c r="D61" s="4539">
        <f>'11. Амортиз. план'!AC35</f>
        <v>0</v>
      </c>
      <c r="E61" s="4539">
        <f>'11. Амортиз. план'!AD35</f>
        <v>0</v>
      </c>
      <c r="F61" s="4539">
        <f>'11. Амортиз. план'!AE35</f>
        <v>0</v>
      </c>
      <c r="G61" s="4539">
        <f>'11. Амортиз. план'!AF35</f>
        <v>0</v>
      </c>
      <c r="H61" s="3524"/>
      <c r="I61" s="4542" t="s">
        <v>1606</v>
      </c>
      <c r="J61" s="3779">
        <f>'9.Инвестиционна програма'!I38</f>
        <v>50</v>
      </c>
      <c r="K61" s="3779">
        <f>'9.Инвестиционна програма'!J38</f>
        <v>50</v>
      </c>
      <c r="L61" s="3779">
        <f>'9.Инвестиционна програма'!K38</f>
        <v>50</v>
      </c>
      <c r="M61" s="3779">
        <f>'9.Инвестиционна програма'!L38</f>
        <v>50</v>
      </c>
      <c r="N61" s="3779">
        <f>'9.Инвестиционна програма'!M38</f>
        <v>50</v>
      </c>
      <c r="O61" s="3904">
        <f t="shared" si="76"/>
        <v>250</v>
      </c>
      <c r="P61" s="4573">
        <f t="shared" si="74"/>
        <v>1.3254161806807338E-2</v>
      </c>
      <c r="Q61" s="4574"/>
      <c r="R61" s="3524"/>
      <c r="S61" s="4561" t="s">
        <v>1670</v>
      </c>
      <c r="T61" s="3779">
        <f>'12. Разходи'!S94</f>
        <v>493</v>
      </c>
      <c r="U61" s="3779">
        <f>'12. Разходи'!T94</f>
        <v>0</v>
      </c>
      <c r="V61" s="3779">
        <f>'12. Разходи'!U94</f>
        <v>0</v>
      </c>
      <c r="W61" s="3779">
        <f>'12. Разходи'!V94</f>
        <v>0</v>
      </c>
      <c r="X61" s="3779">
        <f>'12. Разходи'!W94</f>
        <v>0</v>
      </c>
      <c r="Y61" s="3779">
        <f>'12. Разходи'!X94</f>
        <v>0</v>
      </c>
      <c r="Z61" s="4535">
        <f t="shared" si="75"/>
        <v>-1</v>
      </c>
      <c r="AA61" s="4535">
        <f t="shared" si="87"/>
        <v>0</v>
      </c>
      <c r="AB61" s="3524"/>
      <c r="AC61" s="3524"/>
      <c r="AD61" s="3523"/>
      <c r="AE61" s="3524"/>
      <c r="AF61" s="3524"/>
      <c r="AG61" s="3524"/>
      <c r="AH61" s="3524"/>
      <c r="AI61" s="3524"/>
      <c r="AJ61" s="3524"/>
      <c r="AK61" s="3524"/>
      <c r="AL61" s="4524"/>
      <c r="AM61" s="4524"/>
      <c r="AN61" s="4524"/>
      <c r="AO61" s="4524"/>
      <c r="AP61" s="4524"/>
      <c r="AQ61" s="3524"/>
      <c r="AR61" s="4524"/>
      <c r="AS61" s="3524"/>
      <c r="AT61" s="3524"/>
      <c r="AU61" s="3524"/>
      <c r="AV61" s="3524"/>
      <c r="AW61" s="3524"/>
    </row>
    <row r="62" spans="1:49" ht="15.75" customHeight="1">
      <c r="A62" s="4542" t="s">
        <v>220</v>
      </c>
      <c r="B62" s="3779">
        <f>'11. Амортиз. план'!Z60</f>
        <v>0</v>
      </c>
      <c r="C62" s="3779">
        <f>'11. Амортиз. план'!AB60</f>
        <v>0</v>
      </c>
      <c r="D62" s="3779">
        <f>'11. Амортиз. план'!AC60</f>
        <v>0</v>
      </c>
      <c r="E62" s="3779">
        <f>'11. Амортиз. план'!AD60</f>
        <v>0</v>
      </c>
      <c r="F62" s="3779">
        <f>'11. Амортиз. план'!AE60</f>
        <v>0</v>
      </c>
      <c r="G62" s="3779">
        <f>'11. Амортиз. план'!AF60</f>
        <v>0</v>
      </c>
      <c r="H62" s="3524"/>
      <c r="I62" s="4542" t="s">
        <v>1607</v>
      </c>
      <c r="J62" s="3779">
        <f>'9.Инвестиционна програма'!I39</f>
        <v>70</v>
      </c>
      <c r="K62" s="3779">
        <f>'9.Инвестиционна програма'!J39</f>
        <v>70</v>
      </c>
      <c r="L62" s="3779">
        <f>'9.Инвестиционна програма'!K39</f>
        <v>70</v>
      </c>
      <c r="M62" s="3779">
        <f>'9.Инвестиционна програма'!L39</f>
        <v>60</v>
      </c>
      <c r="N62" s="3779">
        <f>'9.Инвестиционна програма'!M39</f>
        <v>60</v>
      </c>
      <c r="O62" s="3904">
        <f t="shared" si="76"/>
        <v>330</v>
      </c>
      <c r="P62" s="4573">
        <f t="shared" si="74"/>
        <v>1.7495493584985686E-2</v>
      </c>
      <c r="Q62" s="4554"/>
      <c r="R62" s="3524"/>
      <c r="S62" s="4537" t="s">
        <v>1673</v>
      </c>
      <c r="T62" s="3779">
        <f>'12. Разходи'!S90</f>
        <v>276.39999999999998</v>
      </c>
      <c r="U62" s="3779">
        <f>'12. Разходи'!T90</f>
        <v>276</v>
      </c>
      <c r="V62" s="3779">
        <f>'12. Разходи'!U90</f>
        <v>276</v>
      </c>
      <c r="W62" s="3779">
        <f>'12. Разходи'!V90</f>
        <v>276</v>
      </c>
      <c r="X62" s="3779">
        <f>'12. Разходи'!W90</f>
        <v>277</v>
      </c>
      <c r="Y62" s="3779">
        <f>'12. Разходи'!X90</f>
        <v>277</v>
      </c>
      <c r="Z62" s="4535">
        <f t="shared" si="75"/>
        <v>-1.4471780028942739E-3</v>
      </c>
      <c r="AA62" s="4535">
        <f t="shared" si="87"/>
        <v>3.6231884057971015E-3</v>
      </c>
      <c r="AB62" s="3524"/>
      <c r="AC62" s="3524"/>
      <c r="AD62" s="3523"/>
      <c r="AE62" s="3524"/>
      <c r="AF62" s="3524"/>
      <c r="AG62" s="3524"/>
      <c r="AH62" s="3524"/>
      <c r="AI62" s="3524"/>
      <c r="AJ62" s="3524"/>
      <c r="AK62" s="3524"/>
      <c r="AL62" s="4524"/>
      <c r="AM62" s="4524"/>
      <c r="AN62" s="4524"/>
      <c r="AO62" s="4524"/>
      <c r="AP62" s="4524"/>
      <c r="AQ62" s="3524"/>
      <c r="AR62" s="4524"/>
      <c r="AS62" s="3524"/>
      <c r="AT62" s="3524"/>
      <c r="AU62" s="3524"/>
      <c r="AV62" s="3524"/>
      <c r="AW62" s="3524"/>
    </row>
    <row r="63" spans="1:49" ht="14.25" customHeight="1">
      <c r="A63" s="4542" t="s">
        <v>222</v>
      </c>
      <c r="B63" s="3779">
        <f>'11. Амортиз. план'!Z85</f>
        <v>0</v>
      </c>
      <c r="C63" s="3779">
        <f>'11. Амортиз. план'!AB85</f>
        <v>0</v>
      </c>
      <c r="D63" s="3779">
        <f>'11. Амортиз. план'!AC85</f>
        <v>0</v>
      </c>
      <c r="E63" s="3779">
        <f>'11. Амортиз. план'!AD85</f>
        <v>0</v>
      </c>
      <c r="F63" s="3779">
        <f>'11. Амортиз. план'!AE85</f>
        <v>0</v>
      </c>
      <c r="G63" s="3779">
        <f>'11. Амортиз. план'!AF85</f>
        <v>0</v>
      </c>
      <c r="H63" s="3524"/>
      <c r="I63" s="4542" t="s">
        <v>1574</v>
      </c>
      <c r="J63" s="3779">
        <f>'9.Инвестиционна програма'!I40</f>
        <v>40</v>
      </c>
      <c r="K63" s="3779">
        <f>'9.Инвестиционна програма'!J40</f>
        <v>40</v>
      </c>
      <c r="L63" s="3779">
        <f>'9.Инвестиционна програма'!K40</f>
        <v>40</v>
      </c>
      <c r="M63" s="3779">
        <f>'9.Инвестиционна програма'!L40</f>
        <v>40</v>
      </c>
      <c r="N63" s="3779">
        <f>'9.Инвестиционна програма'!M40</f>
        <v>40</v>
      </c>
      <c r="O63" s="3904">
        <f t="shared" si="76"/>
        <v>200</v>
      </c>
      <c r="P63" s="4573">
        <f t="shared" si="74"/>
        <v>1.0603329445445869E-2</v>
      </c>
      <c r="Q63" s="4554"/>
      <c r="R63" s="3524"/>
      <c r="S63" s="4537" t="s">
        <v>1232</v>
      </c>
      <c r="T63" s="3779">
        <f>'12. Разходи'!S89</f>
        <v>731.17692304999991</v>
      </c>
      <c r="U63" s="3779">
        <f>'12. Разходи'!T89</f>
        <v>848.40874600000006</v>
      </c>
      <c r="V63" s="3779">
        <f>'12. Разходи'!U89</f>
        <v>839.03909999999996</v>
      </c>
      <c r="W63" s="3779">
        <f>'12. Разходи'!V89</f>
        <v>826.23765000000003</v>
      </c>
      <c r="X63" s="3779">
        <f>'12. Разходи'!W89</f>
        <v>820.51706999999999</v>
      </c>
      <c r="Y63" s="3779">
        <f>'12. Разходи'!X89</f>
        <v>815.79648999999995</v>
      </c>
      <c r="Z63" s="4535">
        <f t="shared" si="75"/>
        <v>0.16033304560677925</v>
      </c>
      <c r="AA63" s="4535">
        <f t="shared" si="87"/>
        <v>-3.8439320850660014E-2</v>
      </c>
      <c r="AB63" s="3524"/>
      <c r="AC63" s="3524"/>
      <c r="AD63" s="3523"/>
      <c r="AE63" s="3524"/>
      <c r="AF63" s="3524"/>
      <c r="AG63" s="3524"/>
      <c r="AH63" s="3524"/>
      <c r="AI63" s="3524"/>
      <c r="AJ63" s="3524"/>
      <c r="AK63" s="3524"/>
      <c r="AL63" s="4524"/>
      <c r="AM63" s="4524"/>
      <c r="AN63" s="4524"/>
      <c r="AO63" s="4524"/>
      <c r="AP63" s="4524"/>
      <c r="AQ63" s="3524"/>
      <c r="AR63" s="4524"/>
      <c r="AS63" s="3524"/>
      <c r="AT63" s="3524"/>
      <c r="AU63" s="3524"/>
      <c r="AV63" s="3524"/>
      <c r="AW63" s="3524"/>
    </row>
    <row r="64" spans="1:49" ht="20.25" customHeight="1">
      <c r="A64" s="5686" t="s">
        <v>1658</v>
      </c>
      <c r="B64" s="5686"/>
      <c r="C64" s="5686"/>
      <c r="D64" s="5686"/>
      <c r="E64" s="5686"/>
      <c r="F64" s="5686"/>
      <c r="G64" s="5686"/>
      <c r="H64" s="3524"/>
      <c r="I64" s="4542" t="s">
        <v>1608</v>
      </c>
      <c r="J64" s="3779">
        <f>'9.Инвестиционна програма'!I42</f>
        <v>0</v>
      </c>
      <c r="K64" s="3779">
        <f>'9.Инвестиционна програма'!J42</f>
        <v>0</v>
      </c>
      <c r="L64" s="3779">
        <f>'9.Инвестиционна програма'!K42</f>
        <v>0</v>
      </c>
      <c r="M64" s="3779">
        <f>'9.Инвестиционна програма'!L42</f>
        <v>0</v>
      </c>
      <c r="N64" s="3779">
        <f>'9.Инвестиционна програма'!M42</f>
        <v>0</v>
      </c>
      <c r="O64" s="3904">
        <f t="shared" si="76"/>
        <v>0</v>
      </c>
      <c r="P64" s="4573">
        <f t="shared" si="74"/>
        <v>0</v>
      </c>
      <c r="Q64" s="4554"/>
      <c r="R64" s="3524"/>
      <c r="S64" s="3528"/>
      <c r="T64" s="3524"/>
      <c r="U64" s="3524"/>
      <c r="V64" s="3524"/>
      <c r="W64" s="3524"/>
      <c r="X64" s="3524"/>
      <c r="Y64" s="3524"/>
      <c r="Z64" s="3524"/>
      <c r="AA64" s="3524"/>
      <c r="AB64" s="3524"/>
      <c r="AC64" s="3524"/>
      <c r="AD64" s="3523"/>
      <c r="AE64" s="3524"/>
      <c r="AF64" s="3524"/>
      <c r="AG64" s="3524"/>
      <c r="AH64" s="3524"/>
      <c r="AI64" s="3524"/>
      <c r="AJ64" s="3524"/>
      <c r="AK64" s="3524"/>
      <c r="AL64" s="4524"/>
      <c r="AM64" s="4524"/>
      <c r="AN64" s="4524"/>
      <c r="AO64" s="4524"/>
      <c r="AP64" s="4524"/>
      <c r="AQ64" s="3524"/>
      <c r="AR64" s="4524"/>
      <c r="AS64" s="3524"/>
      <c r="AT64" s="3524"/>
      <c r="AU64" s="3524"/>
      <c r="AV64" s="3524"/>
      <c r="AW64" s="3524"/>
    </row>
    <row r="65" spans="1:49" ht="15.75" customHeight="1">
      <c r="A65" s="4536" t="s">
        <v>334</v>
      </c>
      <c r="B65" s="3904">
        <f>'11. Амортиз. план'!Z111</f>
        <v>0</v>
      </c>
      <c r="C65" s="3904">
        <f>'11. Амортиз. план'!AB111</f>
        <v>0</v>
      </c>
      <c r="D65" s="3904">
        <f>'11. Амортиз. план'!AC111</f>
        <v>0</v>
      </c>
      <c r="E65" s="3904">
        <f>'11. Амортиз. план'!AD111</f>
        <v>0</v>
      </c>
      <c r="F65" s="3904">
        <f>'11. Амортиз. план'!AE111</f>
        <v>0</v>
      </c>
      <c r="G65" s="3904">
        <f>'11. Амортиз. план'!AF111</f>
        <v>0</v>
      </c>
      <c r="H65" s="3524"/>
      <c r="I65" s="4542" t="s">
        <v>1602</v>
      </c>
      <c r="J65" s="3779">
        <f>'9.Инвестиционна програма'!I41</f>
        <v>0</v>
      </c>
      <c r="K65" s="3779">
        <f>'9.Инвестиционна програма'!J41</f>
        <v>0</v>
      </c>
      <c r="L65" s="3779">
        <f>'9.Инвестиционна програма'!K41</f>
        <v>0</v>
      </c>
      <c r="M65" s="3779">
        <f>'9.Инвестиционна програма'!L41</f>
        <v>0</v>
      </c>
      <c r="N65" s="3779">
        <f>'9.Инвестиционна програма'!M41</f>
        <v>0</v>
      </c>
      <c r="O65" s="3904">
        <f t="shared" si="76"/>
        <v>0</v>
      </c>
      <c r="P65" s="4573">
        <f t="shared" si="74"/>
        <v>0</v>
      </c>
      <c r="Q65" s="4554"/>
      <c r="R65" s="3524"/>
      <c r="S65" s="3528"/>
      <c r="T65" s="3524"/>
      <c r="U65" s="3524"/>
      <c r="V65" s="3524"/>
      <c r="W65" s="3524"/>
      <c r="X65" s="3524"/>
      <c r="Y65" s="3524"/>
      <c r="Z65" s="3524"/>
      <c r="AA65" s="3524"/>
      <c r="AB65" s="3524"/>
      <c r="AC65" s="3524"/>
      <c r="AD65" s="3523"/>
      <c r="AE65" s="3524"/>
      <c r="AF65" s="3524"/>
      <c r="AG65" s="3524"/>
      <c r="AH65" s="3524"/>
      <c r="AI65" s="3524"/>
      <c r="AJ65" s="3524"/>
      <c r="AK65" s="3524"/>
      <c r="AL65" s="4524"/>
      <c r="AM65" s="4524"/>
      <c r="AN65" s="4524"/>
      <c r="AO65" s="4524"/>
      <c r="AP65" s="4524"/>
      <c r="AQ65" s="3524"/>
      <c r="AR65" s="4524"/>
      <c r="AS65" s="3524"/>
      <c r="AT65" s="3524"/>
      <c r="AU65" s="3524"/>
      <c r="AV65" s="3524"/>
      <c r="AW65" s="3524"/>
    </row>
    <row r="66" spans="1:49" ht="15" customHeight="1">
      <c r="A66" s="4538" t="s">
        <v>218</v>
      </c>
      <c r="B66" s="4539">
        <f>'11. Амортиз. план'!Z131</f>
        <v>0</v>
      </c>
      <c r="C66" s="4539">
        <f>'11. Амортиз. план'!AB131</f>
        <v>0</v>
      </c>
      <c r="D66" s="4539">
        <f>'11. Амортиз. план'!AC131</f>
        <v>0</v>
      </c>
      <c r="E66" s="4539">
        <f>'11. Амортиз. план'!AD131</f>
        <v>0</v>
      </c>
      <c r="F66" s="4539">
        <f>'11. Амортиз. план'!AE131</f>
        <v>0</v>
      </c>
      <c r="G66" s="4539">
        <f>'11. Амортиз. план'!AF131</f>
        <v>0</v>
      </c>
      <c r="H66" s="3524"/>
      <c r="I66" s="4538" t="s">
        <v>1609</v>
      </c>
      <c r="J66" s="4539">
        <f>SUM(J60:J65)</f>
        <v>160</v>
      </c>
      <c r="K66" s="4539">
        <f t="shared" ref="K66:N66" si="88">SUM(K60:K65)</f>
        <v>160</v>
      </c>
      <c r="L66" s="4539">
        <f t="shared" si="88"/>
        <v>160</v>
      </c>
      <c r="M66" s="4539">
        <f t="shared" si="88"/>
        <v>150</v>
      </c>
      <c r="N66" s="4539">
        <f t="shared" si="88"/>
        <v>150</v>
      </c>
      <c r="O66" s="4577">
        <f t="shared" si="76"/>
        <v>780</v>
      </c>
      <c r="P66" s="4575">
        <f t="shared" si="74"/>
        <v>4.1352984837238892E-2</v>
      </c>
      <c r="Q66" s="4554"/>
      <c r="R66" s="3524"/>
      <c r="S66" s="3528"/>
      <c r="T66" s="3524"/>
      <c r="U66" s="3524"/>
      <c r="V66" s="3524"/>
      <c r="W66" s="3524"/>
      <c r="X66" s="3524"/>
      <c r="Y66" s="3524"/>
      <c r="Z66" s="3524"/>
      <c r="AA66" s="3524"/>
      <c r="AB66" s="3524"/>
      <c r="AC66" s="3524"/>
      <c r="AD66" s="3523"/>
      <c r="AE66" s="3524"/>
      <c r="AF66" s="3524"/>
      <c r="AG66" s="3524"/>
      <c r="AH66" s="3524"/>
      <c r="AI66" s="3524"/>
      <c r="AJ66" s="3524"/>
      <c r="AK66" s="3524"/>
      <c r="AL66" s="4524"/>
      <c r="AM66" s="4524"/>
      <c r="AN66" s="4524"/>
      <c r="AO66" s="4524"/>
      <c r="AP66" s="4524"/>
      <c r="AQ66" s="3524"/>
      <c r="AR66" s="4524"/>
      <c r="AS66" s="3524"/>
      <c r="AT66" s="3524"/>
      <c r="AU66" s="3524"/>
      <c r="AV66" s="3524"/>
      <c r="AW66" s="3524"/>
    </row>
    <row r="67" spans="1:49" ht="20.25" customHeight="1">
      <c r="A67" s="4542" t="s">
        <v>220</v>
      </c>
      <c r="B67" s="3779">
        <f>'11. Амортиз. план'!Z151</f>
        <v>0</v>
      </c>
      <c r="C67" s="3779">
        <f>'11. Амортиз. план'!AB151</f>
        <v>0</v>
      </c>
      <c r="D67" s="3779">
        <f>'11. Амортиз. план'!AC151</f>
        <v>0</v>
      </c>
      <c r="E67" s="3779">
        <f>'11. Амортиз. план'!AD151</f>
        <v>0</v>
      </c>
      <c r="F67" s="3779">
        <f>'11. Амортиз. план'!AE151</f>
        <v>0</v>
      </c>
      <c r="G67" s="3779">
        <f>'11. Амортиз. план'!AF151</f>
        <v>0</v>
      </c>
      <c r="H67" s="3524"/>
      <c r="I67" s="4538" t="s">
        <v>1604</v>
      </c>
      <c r="J67" s="4539">
        <f>SUM('9.Инвестиционна програма'!I43:I47)</f>
        <v>15</v>
      </c>
      <c r="K67" s="4539">
        <f>SUM('9.Инвестиционна програма'!J43:J47)</f>
        <v>10</v>
      </c>
      <c r="L67" s="4539">
        <f>SUM('9.Инвестиционна програма'!K43:K47)</f>
        <v>10</v>
      </c>
      <c r="M67" s="4539">
        <f>SUM('9.Инвестиционна програма'!L43:L47)</f>
        <v>10</v>
      </c>
      <c r="N67" s="4539">
        <f>SUM('9.Инвестиционна програма'!M43:M47)</f>
        <v>10</v>
      </c>
      <c r="O67" s="4577">
        <f t="shared" si="76"/>
        <v>55</v>
      </c>
      <c r="P67" s="4575">
        <f t="shared" si="74"/>
        <v>2.9159155974976141E-3</v>
      </c>
      <c r="Q67" s="4554"/>
      <c r="R67" s="3524"/>
      <c r="S67" s="3528"/>
      <c r="T67" s="3524"/>
      <c r="U67" s="3524"/>
      <c r="V67" s="3524"/>
      <c r="W67" s="3524"/>
      <c r="X67" s="3524"/>
      <c r="Y67" s="3524"/>
      <c r="Z67" s="3524"/>
      <c r="AA67" s="3524"/>
      <c r="AB67" s="3524"/>
      <c r="AC67" s="3524"/>
      <c r="AD67" s="3523"/>
      <c r="AE67" s="3524"/>
      <c r="AF67" s="3524"/>
      <c r="AG67" s="3524"/>
      <c r="AH67" s="3524"/>
      <c r="AI67" s="3524"/>
      <c r="AJ67" s="3524"/>
      <c r="AK67" s="3524"/>
      <c r="AL67" s="4524"/>
      <c r="AM67" s="4524"/>
      <c r="AN67" s="4524"/>
      <c r="AO67" s="4524"/>
      <c r="AP67" s="4524"/>
      <c r="AQ67" s="3524"/>
      <c r="AR67" s="4524"/>
      <c r="AS67" s="3524"/>
      <c r="AT67" s="3524"/>
      <c r="AU67" s="3524"/>
      <c r="AV67" s="3524"/>
      <c r="AW67" s="3524"/>
    </row>
    <row r="68" spans="1:49" ht="20.25" customHeight="1">
      <c r="A68" s="4542" t="s">
        <v>222</v>
      </c>
      <c r="B68" s="3779">
        <f>'11. Амортиз. план'!Z171</f>
        <v>0</v>
      </c>
      <c r="C68" s="3779">
        <f>'11. Амортиз. план'!AB171</f>
        <v>0</v>
      </c>
      <c r="D68" s="3779">
        <f>'11. Амортиз. план'!AC171</f>
        <v>0</v>
      </c>
      <c r="E68" s="3779">
        <f>'11. Амортиз. план'!AD171</f>
        <v>0</v>
      </c>
      <c r="F68" s="3779">
        <f>'11. Амортиз. план'!AE171</f>
        <v>0</v>
      </c>
      <c r="G68" s="3779">
        <f>'11. Амортиз. план'!AF171</f>
        <v>0</v>
      </c>
      <c r="H68" s="3524"/>
      <c r="I68" s="3772" t="s">
        <v>208</v>
      </c>
      <c r="J68" s="4547">
        <f>J66+J67</f>
        <v>175</v>
      </c>
      <c r="K68" s="4547">
        <f t="shared" ref="K68:N68" si="89">K66+K67</f>
        <v>170</v>
      </c>
      <c r="L68" s="4547">
        <f t="shared" si="89"/>
        <v>170</v>
      </c>
      <c r="M68" s="4547">
        <f t="shared" si="89"/>
        <v>160</v>
      </c>
      <c r="N68" s="4547">
        <f t="shared" si="89"/>
        <v>160</v>
      </c>
      <c r="O68" s="4547">
        <f t="shared" ref="O68" si="90">SUM(J68:N68)</f>
        <v>835</v>
      </c>
      <c r="P68" s="4548">
        <f t="shared" si="74"/>
        <v>4.4268900434736511E-2</v>
      </c>
      <c r="Q68" s="4554"/>
      <c r="R68" s="3524"/>
      <c r="S68" s="3528"/>
      <c r="T68" s="3524"/>
      <c r="U68" s="3524"/>
      <c r="V68" s="3524"/>
      <c r="W68" s="3524"/>
      <c r="X68" s="3524"/>
      <c r="Y68" s="3524"/>
      <c r="Z68" s="3524"/>
      <c r="AA68" s="3524"/>
      <c r="AB68" s="3524"/>
      <c r="AC68" s="3524"/>
      <c r="AD68" s="3523"/>
      <c r="AE68" s="3524"/>
      <c r="AF68" s="3524"/>
      <c r="AG68" s="3524"/>
      <c r="AH68" s="3524"/>
      <c r="AI68" s="3524"/>
      <c r="AJ68" s="3524"/>
      <c r="AK68" s="3524"/>
      <c r="AL68" s="4524"/>
      <c r="AM68" s="4524"/>
      <c r="AN68" s="4524"/>
      <c r="AO68" s="4524"/>
      <c r="AP68" s="4524"/>
      <c r="AQ68" s="3524"/>
      <c r="AR68" s="4524"/>
      <c r="AS68" s="3524"/>
      <c r="AT68" s="3524"/>
      <c r="AU68" s="3524"/>
      <c r="AV68" s="3524"/>
      <c r="AW68" s="3524"/>
    </row>
    <row r="69" spans="1:49" ht="14.25" customHeight="1">
      <c r="A69" s="5686" t="s">
        <v>1659</v>
      </c>
      <c r="B69" s="5686"/>
      <c r="C69" s="5686"/>
      <c r="D69" s="5686"/>
      <c r="E69" s="5686"/>
      <c r="F69" s="5686"/>
      <c r="G69" s="5686"/>
      <c r="H69" s="3524"/>
      <c r="I69" s="4542" t="s">
        <v>1610</v>
      </c>
      <c r="J69" s="3779">
        <f>'9.Инвестиционна програма'!I49</f>
        <v>100</v>
      </c>
      <c r="K69" s="3779">
        <f>'9.Инвестиционна програма'!J49</f>
        <v>100</v>
      </c>
      <c r="L69" s="3779">
        <f>'9.Инвестиционна програма'!K49</f>
        <v>100</v>
      </c>
      <c r="M69" s="3779">
        <f>'9.Инвестиционна програма'!L49</f>
        <v>100</v>
      </c>
      <c r="N69" s="3779">
        <f>'9.Инвестиционна програма'!M49</f>
        <v>100</v>
      </c>
      <c r="O69" s="4578">
        <f t="shared" si="76"/>
        <v>500</v>
      </c>
      <c r="P69" s="4573">
        <f t="shared" si="74"/>
        <v>2.6508323613614677E-2</v>
      </c>
      <c r="Q69" s="4554"/>
      <c r="R69" s="3524"/>
      <c r="S69" s="3528"/>
      <c r="T69" s="3524"/>
      <c r="U69" s="3524"/>
      <c r="V69" s="3524"/>
      <c r="W69" s="3524"/>
      <c r="X69" s="3524"/>
      <c r="Y69" s="3524"/>
      <c r="Z69" s="3524"/>
      <c r="AA69" s="3524"/>
      <c r="AB69" s="3524"/>
      <c r="AC69" s="3524"/>
      <c r="AD69" s="3523"/>
      <c r="AE69" s="3524"/>
      <c r="AF69" s="3524"/>
      <c r="AG69" s="3524"/>
      <c r="AH69" s="3524"/>
      <c r="AI69" s="3524"/>
      <c r="AJ69" s="3524"/>
      <c r="AK69" s="3524"/>
      <c r="AL69" s="4524"/>
      <c r="AM69" s="4524"/>
      <c r="AN69" s="4524"/>
      <c r="AO69" s="4524"/>
      <c r="AP69" s="4524"/>
      <c r="AQ69" s="3524"/>
      <c r="AR69" s="4524"/>
      <c r="AS69" s="3524"/>
      <c r="AT69" s="3524"/>
      <c r="AU69" s="3524"/>
      <c r="AV69" s="3524"/>
      <c r="AW69" s="3524"/>
    </row>
    <row r="70" spans="1:49" ht="14.25" customHeight="1">
      <c r="A70" s="4536" t="s">
        <v>334</v>
      </c>
      <c r="B70" s="3904">
        <f>'11. Амортиз. план'!Z192</f>
        <v>0</v>
      </c>
      <c r="C70" s="3904">
        <f>'11. Амортиз. план'!AB192</f>
        <v>0</v>
      </c>
      <c r="D70" s="3904">
        <f>'11. Амортиз. план'!AC192</f>
        <v>0</v>
      </c>
      <c r="E70" s="3904">
        <f>'11. Амортиз. план'!AD192</f>
        <v>0</v>
      </c>
      <c r="F70" s="3904">
        <f>'11. Амортиз. план'!AE192</f>
        <v>0</v>
      </c>
      <c r="G70" s="3904">
        <f>'11. Амортиз. план'!AF192</f>
        <v>0</v>
      </c>
      <c r="H70" s="3524"/>
      <c r="I70" s="4542" t="s">
        <v>1602</v>
      </c>
      <c r="J70" s="3779">
        <f>'9.Инвестиционна програма'!I51</f>
        <v>0</v>
      </c>
      <c r="K70" s="3779">
        <f>'9.Инвестиционна програма'!J51</f>
        <v>0</v>
      </c>
      <c r="L70" s="3779">
        <f>'9.Инвестиционна програма'!K51</f>
        <v>0</v>
      </c>
      <c r="M70" s="3779">
        <f>'9.Инвестиционна програма'!L51</f>
        <v>0</v>
      </c>
      <c r="N70" s="3779">
        <f>'9.Инвестиционна програма'!M51</f>
        <v>0</v>
      </c>
      <c r="O70" s="4578">
        <f t="shared" si="76"/>
        <v>0</v>
      </c>
      <c r="P70" s="4573">
        <f t="shared" si="74"/>
        <v>0</v>
      </c>
      <c r="Q70" s="4554"/>
      <c r="R70" s="3524"/>
      <c r="S70" s="3528"/>
      <c r="T70" s="3524"/>
      <c r="U70" s="3524"/>
      <c r="V70" s="3524"/>
      <c r="W70" s="3524"/>
      <c r="X70" s="3524"/>
      <c r="Y70" s="3524"/>
      <c r="Z70" s="3524"/>
      <c r="AA70" s="3524"/>
      <c r="AB70" s="3524"/>
      <c r="AC70" s="3524"/>
      <c r="AD70" s="3523"/>
      <c r="AE70" s="3524"/>
      <c r="AF70" s="3524"/>
      <c r="AG70" s="3524"/>
      <c r="AH70" s="3524"/>
      <c r="AI70" s="3524"/>
      <c r="AJ70" s="3524"/>
      <c r="AK70" s="3524"/>
      <c r="AL70" s="4524"/>
      <c r="AM70" s="4524"/>
      <c r="AN70" s="4524"/>
      <c r="AO70" s="4524"/>
      <c r="AP70" s="4524"/>
      <c r="AQ70" s="3524"/>
      <c r="AR70" s="4524"/>
      <c r="AS70" s="3524"/>
      <c r="AT70" s="3524"/>
      <c r="AU70" s="3524"/>
      <c r="AV70" s="3524"/>
      <c r="AW70" s="3524"/>
    </row>
    <row r="71" spans="1:49" ht="12.75" customHeight="1">
      <c r="A71" s="4538" t="s">
        <v>218</v>
      </c>
      <c r="B71" s="4539">
        <f>'11. Амортиз. план'!Z214</f>
        <v>0</v>
      </c>
      <c r="C71" s="4539">
        <f>'11. Амортиз. план'!AB214</f>
        <v>0</v>
      </c>
      <c r="D71" s="4539">
        <f>'11. Амортиз. план'!AC214</f>
        <v>0</v>
      </c>
      <c r="E71" s="4539">
        <f>'11. Амортиз. план'!AD214</f>
        <v>0</v>
      </c>
      <c r="F71" s="4539">
        <f>'11. Амортиз. план'!AE214</f>
        <v>0</v>
      </c>
      <c r="G71" s="4539">
        <f>'11. Амортиз. план'!AF214</f>
        <v>0</v>
      </c>
      <c r="H71" s="3524"/>
      <c r="I71" s="4538" t="s">
        <v>1611</v>
      </c>
      <c r="J71" s="4539">
        <f>SUM(J69:J70)</f>
        <v>100</v>
      </c>
      <c r="K71" s="4539">
        <f>SUM(K69:K70)</f>
        <v>100</v>
      </c>
      <c r="L71" s="4539">
        <f>SUM(L69:L70)</f>
        <v>100</v>
      </c>
      <c r="M71" s="4539">
        <f>SUM(M69:M70)</f>
        <v>100</v>
      </c>
      <c r="N71" s="4539">
        <f>SUM(N69:N70)</f>
        <v>100</v>
      </c>
      <c r="O71" s="4578">
        <f t="shared" si="76"/>
        <v>500</v>
      </c>
      <c r="P71" s="4575">
        <f t="shared" si="74"/>
        <v>2.6508323613614677E-2</v>
      </c>
      <c r="Q71" s="4554"/>
      <c r="R71" s="3524"/>
      <c r="S71" s="3528"/>
      <c r="T71" s="3524"/>
      <c r="U71" s="3524"/>
      <c r="V71" s="3524"/>
      <c r="W71" s="3524"/>
      <c r="X71" s="3524"/>
      <c r="Y71" s="3524"/>
      <c r="Z71" s="3524"/>
      <c r="AA71" s="3524"/>
      <c r="AB71" s="3524"/>
      <c r="AC71" s="3524"/>
      <c r="AD71" s="3523"/>
      <c r="AE71" s="3524"/>
      <c r="AF71" s="3524"/>
      <c r="AG71" s="3524"/>
      <c r="AH71" s="3524"/>
      <c r="AI71" s="3524"/>
      <c r="AJ71" s="3524"/>
      <c r="AK71" s="3524"/>
      <c r="AL71" s="4524"/>
      <c r="AM71" s="4524"/>
      <c r="AN71" s="4524"/>
      <c r="AO71" s="4524"/>
      <c r="AP71" s="4524"/>
      <c r="AQ71" s="3524"/>
      <c r="AR71" s="3524"/>
      <c r="AS71" s="3524"/>
      <c r="AT71" s="3524"/>
      <c r="AU71" s="3524"/>
      <c r="AV71" s="3524"/>
      <c r="AW71" s="3524"/>
    </row>
    <row r="72" spans="1:49" ht="15.75" customHeight="1">
      <c r="A72" s="4542" t="s">
        <v>220</v>
      </c>
      <c r="B72" s="3779">
        <f>'11. Амортиз. план'!Z236</f>
        <v>0</v>
      </c>
      <c r="C72" s="3779">
        <f>'11. Амортиз. план'!AB236</f>
        <v>0</v>
      </c>
      <c r="D72" s="3779">
        <f>'11. Амортиз. план'!AC236</f>
        <v>0</v>
      </c>
      <c r="E72" s="3779">
        <f>'11. Амортиз. план'!AD236</f>
        <v>0</v>
      </c>
      <c r="F72" s="3779">
        <f>'11. Амортиз. план'!AE236</f>
        <v>0</v>
      </c>
      <c r="G72" s="3779">
        <f>'11. Амортиз. план'!AF236</f>
        <v>0</v>
      </c>
      <c r="H72" s="3524"/>
      <c r="I72" s="4538" t="s">
        <v>1604</v>
      </c>
      <c r="J72" s="4539">
        <f>SUM('9.Инвестиционна програма'!I52:I56,'9.Инвестиционна програма'!I50)</f>
        <v>70</v>
      </c>
      <c r="K72" s="4539">
        <f>SUM('9.Инвестиционна програма'!J52:J56,'9.Инвестиционна програма'!J50)</f>
        <v>50</v>
      </c>
      <c r="L72" s="4539">
        <f>SUM('9.Инвестиционна програма'!K52:K56,'9.Инвестиционна програма'!K50)</f>
        <v>40</v>
      </c>
      <c r="M72" s="4539">
        <f>SUM('9.Инвестиционна програма'!L52:L56,'9.Инвестиционна програма'!L50)</f>
        <v>70</v>
      </c>
      <c r="N72" s="4539">
        <f>SUM('9.Инвестиционна програма'!M52:M56,'9.Инвестиционна програма'!M50)</f>
        <v>40</v>
      </c>
      <c r="O72" s="3904">
        <f t="shared" si="76"/>
        <v>270</v>
      </c>
      <c r="P72" s="4575">
        <f t="shared" si="74"/>
        <v>1.4314494751351924E-2</v>
      </c>
      <c r="Q72" s="4554"/>
      <c r="R72" s="3524"/>
      <c r="S72" s="3528"/>
      <c r="T72" s="3524"/>
      <c r="U72" s="3524"/>
      <c r="V72" s="3524"/>
      <c r="W72" s="3524"/>
      <c r="X72" s="3524"/>
      <c r="Y72" s="3524"/>
      <c r="Z72" s="3524"/>
      <c r="AA72" s="3524"/>
      <c r="AB72" s="3524"/>
      <c r="AC72" s="3524"/>
      <c r="AD72" s="3523"/>
      <c r="AE72" s="3524"/>
      <c r="AF72" s="3524"/>
      <c r="AG72" s="3524"/>
      <c r="AH72" s="3524"/>
      <c r="AI72" s="3524"/>
      <c r="AJ72" s="3524"/>
      <c r="AK72" s="3524"/>
      <c r="AL72" s="4524"/>
      <c r="AM72" s="4524"/>
      <c r="AN72" s="4524"/>
      <c r="AO72" s="4524"/>
      <c r="AP72" s="4524"/>
      <c r="AQ72" s="3524"/>
      <c r="AR72" s="3524"/>
      <c r="AS72" s="3524"/>
      <c r="AT72" s="3524"/>
      <c r="AU72" s="3524"/>
      <c r="AV72" s="3524"/>
      <c r="AW72" s="3524"/>
    </row>
    <row r="73" spans="1:49" ht="15.75" customHeight="1">
      <c r="A73" s="4542" t="s">
        <v>222</v>
      </c>
      <c r="B73" s="3779">
        <f>'11. Амортиз. план'!Z258</f>
        <v>0</v>
      </c>
      <c r="C73" s="3779">
        <f>'11. Амортиз. план'!AB258</f>
        <v>0</v>
      </c>
      <c r="D73" s="3779">
        <f>'11. Амортиз. план'!AC258</f>
        <v>0</v>
      </c>
      <c r="E73" s="3779">
        <f>'11. Амортиз. план'!AD258</f>
        <v>0</v>
      </c>
      <c r="F73" s="3779">
        <f>'11. Амортиз. план'!AE258</f>
        <v>0</v>
      </c>
      <c r="G73" s="3779">
        <f>'11. Амортиз. план'!AF258</f>
        <v>0</v>
      </c>
      <c r="H73" s="3524"/>
      <c r="I73" s="3772" t="s">
        <v>209</v>
      </c>
      <c r="J73" s="4547">
        <f>J71+J72</f>
        <v>170</v>
      </c>
      <c r="K73" s="4547">
        <f t="shared" ref="K73:N73" si="91">K71+K72</f>
        <v>150</v>
      </c>
      <c r="L73" s="4547">
        <f t="shared" si="91"/>
        <v>140</v>
      </c>
      <c r="M73" s="4547">
        <f t="shared" si="91"/>
        <v>170</v>
      </c>
      <c r="N73" s="4547">
        <f t="shared" si="91"/>
        <v>140</v>
      </c>
      <c r="O73" s="4547">
        <f t="shared" ref="O73:O88" si="92">SUM(J73:N73)</f>
        <v>770</v>
      </c>
      <c r="P73" s="4548">
        <f t="shared" si="74"/>
        <v>4.0822818364966602E-2</v>
      </c>
      <c r="Q73" s="4554"/>
      <c r="R73" s="3524"/>
      <c r="S73" s="3528"/>
      <c r="T73" s="3524"/>
      <c r="U73" s="3524"/>
      <c r="V73" s="3524"/>
      <c r="W73" s="3524"/>
      <c r="X73" s="3524"/>
      <c r="Y73" s="3524"/>
      <c r="Z73" s="3524"/>
      <c r="AA73" s="3524"/>
      <c r="AB73" s="3524"/>
      <c r="AC73" s="3524"/>
      <c r="AD73" s="3523"/>
      <c r="AE73" s="3524"/>
      <c r="AF73" s="3524"/>
      <c r="AG73" s="3524"/>
      <c r="AH73" s="3524"/>
      <c r="AI73" s="3524"/>
      <c r="AJ73" s="3524"/>
      <c r="AK73" s="3524"/>
      <c r="AL73" s="4524"/>
      <c r="AM73" s="4524"/>
      <c r="AN73" s="4524"/>
      <c r="AO73" s="4524"/>
      <c r="AP73" s="4524"/>
      <c r="AQ73" s="3524"/>
      <c r="AR73" s="3524"/>
      <c r="AS73" s="3524"/>
      <c r="AT73" s="3524"/>
      <c r="AU73" s="3524"/>
      <c r="AV73" s="3524"/>
      <c r="AW73" s="3524"/>
    </row>
    <row r="74" spans="1:49" ht="20.25" customHeight="1">
      <c r="A74" s="3524"/>
      <c r="B74" s="3524"/>
      <c r="C74" s="3524"/>
      <c r="D74" s="3524"/>
      <c r="E74" s="3524"/>
      <c r="F74" s="3524"/>
      <c r="G74" s="3524"/>
      <c r="H74" s="3524"/>
      <c r="I74" s="4579" t="s">
        <v>1612</v>
      </c>
      <c r="J74" s="4547">
        <f>'9.Инвестиционна програма'!I57</f>
        <v>80</v>
      </c>
      <c r="K74" s="4547">
        <f>'9.Инвестиционна програма'!J57</f>
        <v>80</v>
      </c>
      <c r="L74" s="4547">
        <f>'9.Инвестиционна програма'!K57</f>
        <v>80</v>
      </c>
      <c r="M74" s="4547">
        <f>'9.Инвестиционна програма'!L57</f>
        <v>80</v>
      </c>
      <c r="N74" s="4547">
        <f>'9.Инвестиционна програма'!M57</f>
        <v>80</v>
      </c>
      <c r="O74" s="4547">
        <f t="shared" si="92"/>
        <v>400</v>
      </c>
      <c r="P74" s="4548">
        <f t="shared" si="74"/>
        <v>2.1206658890891739E-2</v>
      </c>
      <c r="Q74" s="4554"/>
      <c r="R74" s="3524"/>
      <c r="S74" s="3528"/>
      <c r="T74" s="3524"/>
      <c r="U74" s="3524"/>
      <c r="V74" s="3524"/>
      <c r="W74" s="3524"/>
      <c r="X74" s="3524"/>
      <c r="Y74" s="3524"/>
      <c r="Z74" s="3524"/>
      <c r="AA74" s="3524"/>
      <c r="AB74" s="3524"/>
      <c r="AC74" s="3524"/>
      <c r="AD74" s="3523"/>
      <c r="AE74" s="3524"/>
      <c r="AF74" s="3524"/>
      <c r="AG74" s="3524"/>
      <c r="AH74" s="3524"/>
      <c r="AI74" s="3524"/>
      <c r="AJ74" s="3524"/>
      <c r="AK74" s="3524"/>
      <c r="AL74" s="4524"/>
      <c r="AM74" s="4524"/>
      <c r="AN74" s="4524"/>
      <c r="AO74" s="4524"/>
      <c r="AP74" s="4524"/>
      <c r="AQ74" s="3524"/>
      <c r="AR74" s="3524"/>
      <c r="AS74" s="3524"/>
      <c r="AT74" s="3524"/>
      <c r="AU74" s="3524"/>
      <c r="AV74" s="3524"/>
      <c r="AW74" s="3524"/>
    </row>
    <row r="75" spans="1:49" ht="17.25" customHeight="1">
      <c r="A75" s="3524"/>
      <c r="B75" s="3524"/>
      <c r="C75" s="3524"/>
      <c r="D75" s="3524"/>
      <c r="E75" s="3524"/>
      <c r="F75" s="3524"/>
      <c r="G75" s="3524"/>
      <c r="H75" s="3524"/>
      <c r="I75" s="4542" t="s">
        <v>659</v>
      </c>
      <c r="J75" s="3779">
        <f>'9.Инвестиционна програма'!I70</f>
        <v>0</v>
      </c>
      <c r="K75" s="3779">
        <f>'9.Инвестиционна програма'!J70</f>
        <v>0</v>
      </c>
      <c r="L75" s="3779">
        <f>'9.Инвестиционна програма'!K70</f>
        <v>0</v>
      </c>
      <c r="M75" s="3779">
        <f>'9.Инвестиционна програма'!L70</f>
        <v>0</v>
      </c>
      <c r="N75" s="3779">
        <f>'9.Инвестиционна програма'!M70</f>
        <v>0</v>
      </c>
      <c r="O75" s="3904">
        <f t="shared" ref="O75:O81" si="93">SUM(J75:N75)</f>
        <v>0</v>
      </c>
      <c r="P75" s="4573">
        <f t="shared" si="74"/>
        <v>0</v>
      </c>
      <c r="Q75" s="4554"/>
      <c r="R75" s="3524"/>
      <c r="S75" s="1656" t="s">
        <v>1666</v>
      </c>
      <c r="T75" s="3524"/>
      <c r="U75" s="3524"/>
      <c r="V75" s="3524"/>
      <c r="W75" s="3524"/>
      <c r="X75" s="3524"/>
      <c r="Y75" s="3524"/>
      <c r="Z75" s="3524"/>
      <c r="AA75" s="3524"/>
      <c r="AB75" s="3524"/>
      <c r="AC75" s="3524"/>
      <c r="AD75" s="3523"/>
      <c r="AE75" s="3524"/>
      <c r="AF75" s="3524"/>
      <c r="AG75" s="3524"/>
      <c r="AH75" s="3524"/>
      <c r="AI75" s="3524"/>
      <c r="AJ75" s="3524"/>
      <c r="AK75" s="3524"/>
      <c r="AL75" s="4524"/>
      <c r="AM75" s="4524"/>
      <c r="AN75" s="4524"/>
      <c r="AO75" s="4524"/>
      <c r="AP75" s="4524"/>
      <c r="AQ75" s="3524"/>
      <c r="AR75" s="3524"/>
      <c r="AS75" s="3524"/>
      <c r="AT75" s="3524"/>
      <c r="AU75" s="3524"/>
      <c r="AV75" s="3524"/>
      <c r="AW75" s="3524"/>
    </row>
    <row r="76" spans="1:49" ht="27.75" customHeight="1">
      <c r="A76" s="3524"/>
      <c r="B76" s="3524"/>
      <c r="C76" s="3524"/>
      <c r="D76" s="3524"/>
      <c r="E76" s="3524"/>
      <c r="F76" s="3524"/>
      <c r="G76" s="3524"/>
      <c r="H76" s="3524"/>
      <c r="I76" s="4542" t="s">
        <v>985</v>
      </c>
      <c r="J76" s="3779">
        <f>'9.Инвестиционна програма'!I69</f>
        <v>0</v>
      </c>
      <c r="K76" s="3779">
        <f>'9.Инвестиционна програма'!J69</f>
        <v>0</v>
      </c>
      <c r="L76" s="3779">
        <f>'9.Инвестиционна програма'!K69</f>
        <v>0</v>
      </c>
      <c r="M76" s="3779">
        <f>'9.Инвестиционна програма'!L69</f>
        <v>0</v>
      </c>
      <c r="N76" s="3779">
        <f>'9.Инвестиционна програма'!M69</f>
        <v>0</v>
      </c>
      <c r="O76" s="3904">
        <f t="shared" si="93"/>
        <v>0</v>
      </c>
      <c r="P76" s="4573">
        <f t="shared" si="74"/>
        <v>0</v>
      </c>
      <c r="Q76" s="4554"/>
      <c r="R76" s="3524"/>
      <c r="S76" s="5676" t="s">
        <v>1667</v>
      </c>
      <c r="T76" s="5676" t="s">
        <v>1029</v>
      </c>
      <c r="U76" s="5676"/>
      <c r="V76" s="5676"/>
      <c r="W76" s="5676"/>
      <c r="X76" s="5676"/>
      <c r="Y76" s="5676"/>
      <c r="Z76" s="5619" t="str">
        <f>+"Изменение "&amp;U77&amp;" спр. "&amp;T77</f>
        <v>Изменение 2027 г. спр. 2024 г.</v>
      </c>
      <c r="AA76" s="5619" t="str">
        <f>+"Изменение "&amp;Y77&amp;" спр. "&amp;T77</f>
        <v>Изменение 2031 г. спр. 2024 г.</v>
      </c>
      <c r="AB76" s="3524"/>
      <c r="AC76" s="3524"/>
      <c r="AD76" s="3523"/>
      <c r="AE76" s="3524"/>
      <c r="AF76" s="3524"/>
      <c r="AG76" s="3524"/>
      <c r="AH76" s="3524"/>
      <c r="AI76" s="3524"/>
      <c r="AJ76" s="3524"/>
      <c r="AK76" s="3524"/>
      <c r="AL76" s="4524"/>
      <c r="AM76" s="4524"/>
      <c r="AN76" s="4524"/>
      <c r="AO76" s="4524"/>
      <c r="AP76" s="4524"/>
      <c r="AQ76" s="3524"/>
      <c r="AR76" s="3524"/>
      <c r="AS76" s="3524"/>
      <c r="AT76" s="3524"/>
      <c r="AU76" s="3524"/>
      <c r="AV76" s="3524"/>
      <c r="AW76" s="3524"/>
    </row>
    <row r="77" spans="1:49" ht="15.75" customHeight="1">
      <c r="A77" s="3524"/>
      <c r="B77" s="3524"/>
      <c r="C77" s="3524"/>
      <c r="D77" s="3524"/>
      <c r="E77" s="3524"/>
      <c r="F77" s="3524"/>
      <c r="G77" s="3524"/>
      <c r="H77" s="3524"/>
      <c r="I77" s="4542" t="s">
        <v>1613</v>
      </c>
      <c r="J77" s="3779">
        <f>SUM('9.Инвестиционна програма'!I68,'9.Инвестиционна програма'!I71)</f>
        <v>20</v>
      </c>
      <c r="K77" s="3779">
        <f>SUM('9.Инвестиционна програма'!J68,'9.Инвестиционна програма'!J71)</f>
        <v>20</v>
      </c>
      <c r="L77" s="3779">
        <f>SUM('9.Инвестиционна програма'!K68,'9.Инвестиционна програма'!K71)</f>
        <v>45</v>
      </c>
      <c r="M77" s="3779">
        <f>SUM('9.Инвестиционна програма'!L68,'9.Инвестиционна програма'!L71)</f>
        <v>20</v>
      </c>
      <c r="N77" s="3779">
        <f>SUM('9.Инвестиционна програма'!M68,'9.Инвестиционна програма'!M71)</f>
        <v>20</v>
      </c>
      <c r="O77" s="3904">
        <f t="shared" si="93"/>
        <v>125</v>
      </c>
      <c r="P77" s="4573">
        <f t="shared" si="74"/>
        <v>6.6270809034036692E-3</v>
      </c>
      <c r="Q77" s="4554"/>
      <c r="R77" s="3524"/>
      <c r="S77" s="5676"/>
      <c r="T77" s="4522" t="str">
        <f t="shared" ref="T77:Y77" si="94">T46</f>
        <v>2024 г.</v>
      </c>
      <c r="U77" s="4522" t="str">
        <f t="shared" si="94"/>
        <v>2027 г.</v>
      </c>
      <c r="V77" s="4522" t="str">
        <f t="shared" si="94"/>
        <v>2028 г.</v>
      </c>
      <c r="W77" s="4522" t="str">
        <f t="shared" si="94"/>
        <v>2029 г.</v>
      </c>
      <c r="X77" s="4522" t="str">
        <f t="shared" si="94"/>
        <v>2030 г.</v>
      </c>
      <c r="Y77" s="4522" t="str">
        <f t="shared" si="94"/>
        <v>2031 г.</v>
      </c>
      <c r="Z77" s="5619"/>
      <c r="AA77" s="5619"/>
      <c r="AB77" s="3524"/>
      <c r="AC77" s="3524"/>
      <c r="AD77" s="3523"/>
      <c r="AE77" s="3524"/>
      <c r="AF77" s="3524"/>
      <c r="AG77" s="3524"/>
      <c r="AH77" s="3524"/>
      <c r="AI77" s="3524"/>
      <c r="AJ77" s="3524"/>
      <c r="AK77" s="3524"/>
      <c r="AL77" s="4524"/>
      <c r="AM77" s="4524"/>
      <c r="AN77" s="4524"/>
      <c r="AO77" s="4524"/>
      <c r="AP77" s="4524"/>
      <c r="AQ77" s="3524"/>
      <c r="AR77" s="3524"/>
      <c r="AS77" s="3524"/>
      <c r="AT77" s="3524"/>
      <c r="AU77" s="3524"/>
      <c r="AV77" s="3524"/>
      <c r="AW77" s="3524"/>
    </row>
    <row r="78" spans="1:49" ht="15.75" customHeight="1">
      <c r="A78" s="3524"/>
      <c r="B78" s="3524"/>
      <c r="C78" s="3524"/>
      <c r="D78" s="3524"/>
      <c r="E78" s="3524"/>
      <c r="F78" s="3524"/>
      <c r="G78" s="3524"/>
      <c r="H78" s="3524"/>
      <c r="I78" s="4542" t="s">
        <v>1614</v>
      </c>
      <c r="J78" s="3779">
        <f>SUM('9.Инвестиционна програма'!I61:I67)</f>
        <v>150</v>
      </c>
      <c r="K78" s="3779">
        <f>SUM('9.Инвестиционна програма'!J61:J67)</f>
        <v>100</v>
      </c>
      <c r="L78" s="3779">
        <f>SUM('9.Инвестиционна програма'!K61:K67)</f>
        <v>260</v>
      </c>
      <c r="M78" s="3779">
        <f>SUM('9.Инвестиционна програма'!L61:L67)</f>
        <v>50</v>
      </c>
      <c r="N78" s="3779">
        <f>SUM('9.Инвестиционна програма'!M61:M67)</f>
        <v>110</v>
      </c>
      <c r="O78" s="3904">
        <f t="shared" si="93"/>
        <v>670</v>
      </c>
      <c r="P78" s="4573">
        <f t="shared" si="74"/>
        <v>3.5521153642243668E-2</v>
      </c>
      <c r="Q78" s="4554"/>
      <c r="R78" s="3524"/>
      <c r="S78" s="4537" t="s">
        <v>226</v>
      </c>
      <c r="T78" s="3779">
        <f>'12. Разходи'!AA11</f>
        <v>0</v>
      </c>
      <c r="U78" s="3779">
        <f>'12. Разходи'!AB11</f>
        <v>0</v>
      </c>
      <c r="V78" s="3779">
        <f>'12. Разходи'!AC11</f>
        <v>0</v>
      </c>
      <c r="W78" s="3779">
        <f>'12. Разходи'!AD11</f>
        <v>0</v>
      </c>
      <c r="X78" s="3779">
        <f>'12. Разходи'!AE11</f>
        <v>0</v>
      </c>
      <c r="Y78" s="3779">
        <f>'12. Разходи'!AF11</f>
        <v>0</v>
      </c>
      <c r="Z78" s="4535">
        <f>IFERROR((U78-T78)/T78,0)</f>
        <v>0</v>
      </c>
      <c r="AA78" s="4535">
        <f>IFERROR((Y78-T78)/T78,0)</f>
        <v>0</v>
      </c>
      <c r="AB78" s="3524"/>
      <c r="AC78" s="3524"/>
      <c r="AD78" s="3523"/>
      <c r="AE78" s="3524"/>
      <c r="AF78" s="3524"/>
      <c r="AG78" s="3524"/>
      <c r="AH78" s="3524"/>
      <c r="AI78" s="3524"/>
      <c r="AJ78" s="3524"/>
      <c r="AK78" s="3524"/>
      <c r="AL78" s="4524"/>
      <c r="AM78" s="4524"/>
      <c r="AN78" s="4524"/>
      <c r="AO78" s="4524"/>
      <c r="AP78" s="4524"/>
      <c r="AQ78" s="3524"/>
      <c r="AR78" s="3524"/>
      <c r="AS78" s="3524"/>
      <c r="AT78" s="3524"/>
      <c r="AU78" s="3524"/>
      <c r="AV78" s="3524"/>
      <c r="AW78" s="3524"/>
    </row>
    <row r="79" spans="1:49" ht="15.75" customHeight="1">
      <c r="A79" s="3524"/>
      <c r="B79" s="3524"/>
      <c r="C79" s="3524"/>
      <c r="D79" s="3524"/>
      <c r="E79" s="3524"/>
      <c r="F79" s="3524"/>
      <c r="G79" s="3524"/>
      <c r="H79" s="3524"/>
      <c r="I79" s="4579" t="s">
        <v>1615</v>
      </c>
      <c r="J79" s="4547">
        <f>J75+J76+J77+J78</f>
        <v>170</v>
      </c>
      <c r="K79" s="4547">
        <f t="shared" ref="K79:N79" si="95">K75+K76+K77+K78</f>
        <v>120</v>
      </c>
      <c r="L79" s="4547">
        <f t="shared" si="95"/>
        <v>305</v>
      </c>
      <c r="M79" s="4547">
        <f t="shared" si="95"/>
        <v>70</v>
      </c>
      <c r="N79" s="4547">
        <f t="shared" si="95"/>
        <v>130</v>
      </c>
      <c r="O79" s="4547">
        <f t="shared" si="93"/>
        <v>795</v>
      </c>
      <c r="P79" s="4548">
        <f t="shared" si="74"/>
        <v>4.2148234545647333E-2</v>
      </c>
      <c r="Q79" s="4554"/>
      <c r="R79" s="3524"/>
      <c r="S79" s="4537" t="s">
        <v>239</v>
      </c>
      <c r="T79" s="3779">
        <f>'12. Разходи'!AA29</f>
        <v>0</v>
      </c>
      <c r="U79" s="3779">
        <f>'12. Разходи'!AB29</f>
        <v>0</v>
      </c>
      <c r="V79" s="3779">
        <f>'12. Разходи'!AC29</f>
        <v>0</v>
      </c>
      <c r="W79" s="3779">
        <f>'12. Разходи'!AD29</f>
        <v>0</v>
      </c>
      <c r="X79" s="3779">
        <f>'12. Разходи'!AE29</f>
        <v>0</v>
      </c>
      <c r="Y79" s="3779">
        <f>'12. Разходи'!AF29</f>
        <v>0</v>
      </c>
      <c r="Z79" s="4535">
        <f t="shared" ref="Z79:Z94" si="96">IFERROR((U79-T79)/T79,0)</f>
        <v>0</v>
      </c>
      <c r="AA79" s="4535">
        <f t="shared" ref="AA79:AA94" si="97">IFERROR((Y79-T79)/T79,0)</f>
        <v>0</v>
      </c>
      <c r="AB79" s="3524"/>
      <c r="AC79" s="3524"/>
      <c r="AD79" s="3523"/>
      <c r="AE79" s="3524"/>
      <c r="AF79" s="3524"/>
      <c r="AG79" s="3524"/>
      <c r="AH79" s="3524"/>
      <c r="AI79" s="3524"/>
      <c r="AJ79" s="3524"/>
      <c r="AK79" s="3524"/>
      <c r="AL79" s="4524"/>
      <c r="AM79" s="4524"/>
      <c r="AN79" s="4524"/>
      <c r="AO79" s="4524"/>
      <c r="AP79" s="4524"/>
      <c r="AQ79" s="3524"/>
      <c r="AR79" s="3524"/>
      <c r="AS79" s="3524"/>
      <c r="AT79" s="3524"/>
      <c r="AU79" s="3524"/>
      <c r="AV79" s="3524"/>
      <c r="AW79" s="3524"/>
    </row>
    <row r="80" spans="1:49" ht="15.75" customHeight="1">
      <c r="A80" s="3759" t="s">
        <v>1665</v>
      </c>
      <c r="B80" s="3524"/>
      <c r="C80" s="3524"/>
      <c r="D80" s="3524"/>
      <c r="E80" s="3524"/>
      <c r="F80" s="3524"/>
      <c r="G80" s="3760" t="s">
        <v>1635</v>
      </c>
      <c r="H80" s="3524"/>
      <c r="I80" s="4580" t="s">
        <v>1640</v>
      </c>
      <c r="J80" s="3731">
        <f>SUM('9.Инвестиционна програма'!I74:I91)</f>
        <v>0</v>
      </c>
      <c r="K80" s="3731">
        <f>SUM('9.Инвестиционна програма'!J74:J91)</f>
        <v>0</v>
      </c>
      <c r="L80" s="3731">
        <f>SUM('9.Инвестиционна програма'!K74:K91)</f>
        <v>0</v>
      </c>
      <c r="M80" s="3731">
        <f>SUM('9.Инвестиционна програма'!L74:L91)</f>
        <v>0</v>
      </c>
      <c r="N80" s="3731">
        <f>SUM('9.Инвестиционна програма'!M74:M91)</f>
        <v>0</v>
      </c>
      <c r="O80" s="3735">
        <f t="shared" si="93"/>
        <v>0</v>
      </c>
      <c r="P80" s="4581">
        <f t="shared" si="74"/>
        <v>0</v>
      </c>
      <c r="Q80" s="4554"/>
      <c r="R80" s="3524"/>
      <c r="S80" s="4537" t="s">
        <v>446</v>
      </c>
      <c r="T80" s="3779">
        <f>'12. Разходи'!AA55</f>
        <v>0</v>
      </c>
      <c r="U80" s="3779">
        <f>'12. Разходи'!AB55</f>
        <v>0</v>
      </c>
      <c r="V80" s="3779">
        <f>'12. Разходи'!AC55</f>
        <v>0</v>
      </c>
      <c r="W80" s="3779">
        <f>'12. Разходи'!AD55</f>
        <v>0</v>
      </c>
      <c r="X80" s="3779">
        <f>'12. Разходи'!AE55</f>
        <v>0</v>
      </c>
      <c r="Y80" s="3779">
        <f>'12. Разходи'!AF55</f>
        <v>0</v>
      </c>
      <c r="Z80" s="4535">
        <f t="shared" si="96"/>
        <v>0</v>
      </c>
      <c r="AA80" s="4535">
        <f t="shared" si="97"/>
        <v>0</v>
      </c>
      <c r="AB80" s="3524"/>
      <c r="AC80" s="3524"/>
      <c r="AD80" s="3523"/>
      <c r="AE80" s="3524"/>
      <c r="AF80" s="3524"/>
      <c r="AG80" s="3524"/>
      <c r="AH80" s="3524"/>
      <c r="AI80" s="3524"/>
      <c r="AJ80" s="3524"/>
      <c r="AK80" s="3524"/>
      <c r="AL80" s="4524"/>
      <c r="AM80" s="4524"/>
      <c r="AN80" s="4524"/>
      <c r="AO80" s="4524"/>
      <c r="AP80" s="4524"/>
      <c r="AQ80" s="3524"/>
      <c r="AR80" s="3524"/>
      <c r="AS80" s="3524"/>
      <c r="AT80" s="3524"/>
      <c r="AU80" s="3524"/>
      <c r="AV80" s="3524"/>
      <c r="AW80" s="3524"/>
    </row>
    <row r="81" spans="1:49" ht="17.25" customHeight="1">
      <c r="A81" s="5684" t="s">
        <v>87</v>
      </c>
      <c r="B81" s="5676" t="s">
        <v>1092</v>
      </c>
      <c r="C81" s="5676"/>
      <c r="D81" s="5676"/>
      <c r="E81" s="5676"/>
      <c r="F81" s="5676"/>
      <c r="G81" s="5676"/>
      <c r="H81" s="3524"/>
      <c r="I81" s="4580" t="s">
        <v>1639</v>
      </c>
      <c r="J81" s="3731">
        <f>SUM('9.Инвестиционна програма'!I92:I97)</f>
        <v>0</v>
      </c>
      <c r="K81" s="3731">
        <f>SUM('9.Инвестиционна програма'!J92:J97)</f>
        <v>0</v>
      </c>
      <c r="L81" s="3731">
        <f>SUM('9.Инвестиционна програма'!K92:K97)</f>
        <v>0</v>
      </c>
      <c r="M81" s="3731">
        <f>SUM('9.Инвестиционна програма'!L92:L97)</f>
        <v>0</v>
      </c>
      <c r="N81" s="3731">
        <f>SUM('9.Инвестиционна програма'!M92:M97)</f>
        <v>0</v>
      </c>
      <c r="O81" s="3735">
        <f t="shared" si="93"/>
        <v>0</v>
      </c>
      <c r="P81" s="4581">
        <f t="shared" si="74"/>
        <v>0</v>
      </c>
      <c r="Q81" s="4554"/>
      <c r="R81" s="3524"/>
      <c r="S81" s="4544" t="s">
        <v>447</v>
      </c>
      <c r="T81" s="4539">
        <f>'12. Разходи'!AA56</f>
        <v>0</v>
      </c>
      <c r="U81" s="4539">
        <f>'12. Разходи'!AB56</f>
        <v>0</v>
      </c>
      <c r="V81" s="4539">
        <f>'12. Разходи'!AC56</f>
        <v>0</v>
      </c>
      <c r="W81" s="4539">
        <f>'12. Разходи'!AD56</f>
        <v>0</v>
      </c>
      <c r="X81" s="4539">
        <f>'12. Разходи'!AE56</f>
        <v>0</v>
      </c>
      <c r="Y81" s="4539">
        <f>'12. Разходи'!AF56</f>
        <v>0</v>
      </c>
      <c r="Z81" s="4535">
        <f t="shared" si="96"/>
        <v>0</v>
      </c>
      <c r="AA81" s="4535">
        <f t="shared" si="97"/>
        <v>0</v>
      </c>
      <c r="AB81" s="3524"/>
      <c r="AC81" s="3524"/>
      <c r="AD81" s="3523"/>
      <c r="AE81" s="3524"/>
      <c r="AF81" s="3524"/>
      <c r="AG81" s="3524"/>
      <c r="AH81" s="3524"/>
      <c r="AI81" s="3524"/>
      <c r="AJ81" s="3524"/>
      <c r="AK81" s="3524"/>
      <c r="AL81" s="4524"/>
      <c r="AM81" s="4524"/>
      <c r="AN81" s="4524"/>
      <c r="AO81" s="4524"/>
      <c r="AP81" s="4524"/>
      <c r="AQ81" s="3524"/>
      <c r="AR81" s="3524"/>
      <c r="AS81" s="3524"/>
      <c r="AT81" s="3524"/>
      <c r="AU81" s="3524"/>
      <c r="AV81" s="3524"/>
      <c r="AW81" s="3524"/>
    </row>
    <row r="82" spans="1:49" ht="15.75" customHeight="1">
      <c r="A82" s="5684"/>
      <c r="B82" s="4582" t="str">
        <f>B22</f>
        <v>2024 г.</v>
      </c>
      <c r="C82" s="4582" t="str">
        <f>C58</f>
        <v>2027 г.</v>
      </c>
      <c r="D82" s="4582" t="str">
        <f>D22</f>
        <v>2028 г.</v>
      </c>
      <c r="E82" s="4582" t="str">
        <f>E22</f>
        <v>2029 г.</v>
      </c>
      <c r="F82" s="4582" t="str">
        <f>F22</f>
        <v>2030 г.</v>
      </c>
      <c r="G82" s="4582" t="str">
        <f>G22</f>
        <v>2031 г.</v>
      </c>
      <c r="H82" s="3524"/>
      <c r="I82" s="3772" t="s">
        <v>1029</v>
      </c>
      <c r="J82" s="4583">
        <f>J80+J81</f>
        <v>0</v>
      </c>
      <c r="K82" s="4583">
        <f>K80+K81</f>
        <v>0</v>
      </c>
      <c r="L82" s="4583">
        <f>L80+L81</f>
        <v>0</v>
      </c>
      <c r="M82" s="4583">
        <f>M80+M81</f>
        <v>0</v>
      </c>
      <c r="N82" s="4583">
        <f>N80+N81</f>
        <v>0</v>
      </c>
      <c r="O82" s="4547">
        <f t="shared" si="92"/>
        <v>0</v>
      </c>
      <c r="P82" s="4548">
        <f t="shared" si="74"/>
        <v>0</v>
      </c>
      <c r="Q82" s="4554"/>
      <c r="R82" s="3524"/>
      <c r="S82" s="4544" t="s">
        <v>736</v>
      </c>
      <c r="T82" s="4539">
        <f>'12. Разходи'!AA57</f>
        <v>0</v>
      </c>
      <c r="U82" s="4539">
        <f>'12. Разходи'!AB57</f>
        <v>0</v>
      </c>
      <c r="V82" s="4539">
        <f>'12. Разходи'!AC57</f>
        <v>0</v>
      </c>
      <c r="W82" s="4539">
        <f>'12. Разходи'!AD57</f>
        <v>0</v>
      </c>
      <c r="X82" s="4539">
        <f>'12. Разходи'!AE57</f>
        <v>0</v>
      </c>
      <c r="Y82" s="4539">
        <f>'12. Разходи'!AF57</f>
        <v>0</v>
      </c>
      <c r="Z82" s="4535">
        <f t="shared" si="96"/>
        <v>0</v>
      </c>
      <c r="AA82" s="4535">
        <f t="shared" si="97"/>
        <v>0</v>
      </c>
      <c r="AB82" s="3524"/>
      <c r="AC82" s="3524"/>
      <c r="AD82" s="3523"/>
      <c r="AE82" s="3524"/>
      <c r="AF82" s="3524"/>
      <c r="AG82" s="3524"/>
      <c r="AH82" s="3524"/>
      <c r="AI82" s="3524"/>
      <c r="AJ82" s="3524"/>
      <c r="AK82" s="3524"/>
      <c r="AL82" s="4524"/>
      <c r="AM82" s="4524"/>
      <c r="AN82" s="4524"/>
      <c r="AO82" s="4524"/>
      <c r="AP82" s="4524"/>
      <c r="AQ82" s="3524"/>
      <c r="AR82" s="3524"/>
      <c r="AS82" s="3524"/>
      <c r="AT82" s="3524"/>
      <c r="AU82" s="3524"/>
      <c r="AV82" s="3524"/>
      <c r="AW82" s="3524"/>
    </row>
    <row r="83" spans="1:49" ht="15.75" customHeight="1">
      <c r="A83" s="5682" t="s">
        <v>1657</v>
      </c>
      <c r="B83" s="5682"/>
      <c r="C83" s="5682"/>
      <c r="D83" s="5682"/>
      <c r="E83" s="5682"/>
      <c r="F83" s="5682"/>
      <c r="G83" s="5682"/>
      <c r="I83" s="4580" t="s">
        <v>1641</v>
      </c>
      <c r="J83" s="3731">
        <f>SUM('9.Инвестиционна програма'!I100:I117)</f>
        <v>0</v>
      </c>
      <c r="K83" s="3731">
        <f>SUM('9.Инвестиционна програма'!J100:J117)</f>
        <v>0</v>
      </c>
      <c r="L83" s="3731">
        <f>SUM('9.Инвестиционна програма'!K100:K117)</f>
        <v>0</v>
      </c>
      <c r="M83" s="3731">
        <f>SUM('9.Инвестиционна програма'!L100:L117)</f>
        <v>0</v>
      </c>
      <c r="N83" s="3731">
        <f>SUM('9.Инвестиционна програма'!M100:M117)</f>
        <v>0</v>
      </c>
      <c r="O83" s="3735">
        <f t="shared" ref="O83:O84" si="98">SUM(J83:N83)</f>
        <v>0</v>
      </c>
      <c r="P83" s="4581">
        <f t="shared" si="74"/>
        <v>0</v>
      </c>
      <c r="Q83" s="4554"/>
      <c r="S83" s="4584" t="s">
        <v>737</v>
      </c>
      <c r="T83" s="4585">
        <f>'12. Разходи'!AA58</f>
        <v>0</v>
      </c>
      <c r="U83" s="4585">
        <f>'12. Разходи'!AB58</f>
        <v>0</v>
      </c>
      <c r="V83" s="4585">
        <f>'12. Разходи'!AC58</f>
        <v>0</v>
      </c>
      <c r="W83" s="4585">
        <f>'12. Разходи'!AD58</f>
        <v>0</v>
      </c>
      <c r="X83" s="4585">
        <f>'12. Разходи'!AE58</f>
        <v>0</v>
      </c>
      <c r="Y83" s="4585">
        <f>'12. Разходи'!AF58</f>
        <v>0</v>
      </c>
      <c r="Z83" s="4586">
        <f t="shared" si="96"/>
        <v>0</v>
      </c>
      <c r="AA83" s="4586">
        <f t="shared" si="97"/>
        <v>0</v>
      </c>
      <c r="AR83" s="3524"/>
      <c r="AS83" s="3524"/>
      <c r="AT83" s="3524"/>
      <c r="AU83" s="3524"/>
      <c r="AV83" s="3524"/>
      <c r="AW83" s="3524"/>
    </row>
    <row r="84" spans="1:49" ht="15.75" customHeight="1">
      <c r="A84" s="4589" t="s">
        <v>334</v>
      </c>
      <c r="B84" s="4590">
        <f>'11. Амортиз. план'!AG10</f>
        <v>0</v>
      </c>
      <c r="C84" s="4590">
        <f>'11. Амортиз. план'!AI10</f>
        <v>0</v>
      </c>
      <c r="D84" s="4590">
        <f>'11. Амортиз. план'!AJ10</f>
        <v>0</v>
      </c>
      <c r="E84" s="4590">
        <f>'11. Амортиз. план'!AK10</f>
        <v>0</v>
      </c>
      <c r="F84" s="4590">
        <f>'11. Амортиз. план'!AL10</f>
        <v>0</v>
      </c>
      <c r="G84" s="4590">
        <f>'11. Амортиз. план'!AM10</f>
        <v>0</v>
      </c>
      <c r="I84" s="4580" t="s">
        <v>1642</v>
      </c>
      <c r="J84" s="3731">
        <f>SUM('9.Инвестиционна програма'!I118:I123)</f>
        <v>0</v>
      </c>
      <c r="K84" s="3731">
        <f>SUM('9.Инвестиционна програма'!J118:J123)</f>
        <v>0</v>
      </c>
      <c r="L84" s="3731">
        <f>SUM('9.Инвестиционна програма'!K118:K123)</f>
        <v>0</v>
      </c>
      <c r="M84" s="3731">
        <f>SUM('9.Инвестиционна програма'!L118:L123)</f>
        <v>0</v>
      </c>
      <c r="N84" s="3731">
        <f>SUM('9.Инвестиционна програма'!M118:M123)</f>
        <v>0</v>
      </c>
      <c r="O84" s="3735">
        <f t="shared" si="98"/>
        <v>0</v>
      </c>
      <c r="P84" s="4581">
        <f t="shared" si="74"/>
        <v>0</v>
      </c>
      <c r="Q84" s="4554"/>
      <c r="S84" s="4591" t="s">
        <v>448</v>
      </c>
      <c r="T84" s="4592">
        <f>'12. Разходи'!AA59</f>
        <v>0</v>
      </c>
      <c r="U84" s="4592">
        <f>'12. Разходи'!AB59</f>
        <v>0</v>
      </c>
      <c r="V84" s="4592">
        <f>'12. Разходи'!AC59</f>
        <v>0</v>
      </c>
      <c r="W84" s="4592">
        <f>'12. Разходи'!AD59</f>
        <v>0</v>
      </c>
      <c r="X84" s="4592">
        <f>'12. Разходи'!AE59</f>
        <v>0</v>
      </c>
      <c r="Y84" s="4592">
        <f>'12. Разходи'!AF59</f>
        <v>0</v>
      </c>
      <c r="Z84" s="4586">
        <f t="shared" si="96"/>
        <v>0</v>
      </c>
      <c r="AA84" s="4586">
        <f t="shared" si="97"/>
        <v>0</v>
      </c>
      <c r="AR84" s="3524"/>
      <c r="AS84" s="3524"/>
      <c r="AT84" s="3524"/>
      <c r="AU84" s="3524"/>
      <c r="AV84" s="3524"/>
      <c r="AW84" s="3524"/>
    </row>
    <row r="85" spans="1:49" ht="15.75" customHeight="1">
      <c r="A85" s="4593" t="s">
        <v>218</v>
      </c>
      <c r="B85" s="4585">
        <f>'11. Амортиз. план'!AG35</f>
        <v>0</v>
      </c>
      <c r="C85" s="4585">
        <f>'11. Амортиз. план'!AI35</f>
        <v>0</v>
      </c>
      <c r="D85" s="4585">
        <f>'11. Амортиз. план'!AJ35</f>
        <v>0</v>
      </c>
      <c r="E85" s="4585">
        <f>'11. Амортиз. план'!AK35</f>
        <v>0</v>
      </c>
      <c r="F85" s="4585">
        <f>'11. Амортиз. план'!AL35</f>
        <v>0</v>
      </c>
      <c r="G85" s="4585">
        <f>'11. Амортиз. план'!AM35</f>
        <v>0</v>
      </c>
      <c r="I85" s="3772" t="s">
        <v>1092</v>
      </c>
      <c r="J85" s="4547">
        <f>J83+J84</f>
        <v>0</v>
      </c>
      <c r="K85" s="4547">
        <f>K83+K84</f>
        <v>0</v>
      </c>
      <c r="L85" s="4547">
        <f>L83+L84</f>
        <v>0</v>
      </c>
      <c r="M85" s="4547">
        <f>M83+M84</f>
        <v>0</v>
      </c>
      <c r="N85" s="4547">
        <f>N83+N84</f>
        <v>0</v>
      </c>
      <c r="O85" s="4547">
        <f t="shared" ref="O85" si="99">SUM(J85:N85)</f>
        <v>0</v>
      </c>
      <c r="P85" s="4548">
        <f t="shared" si="74"/>
        <v>0</v>
      </c>
      <c r="Q85" s="4554"/>
      <c r="S85" s="4591" t="s">
        <v>449</v>
      </c>
      <c r="T85" s="4592">
        <f>'12. Разходи'!AA63</f>
        <v>0</v>
      </c>
      <c r="U85" s="4592">
        <f>'12. Разходи'!AB63</f>
        <v>0</v>
      </c>
      <c r="V85" s="4592">
        <f>'12. Разходи'!AC63</f>
        <v>0</v>
      </c>
      <c r="W85" s="4592">
        <f>'12. Разходи'!AD63</f>
        <v>0</v>
      </c>
      <c r="X85" s="4592">
        <f>'12. Разходи'!AE63</f>
        <v>0</v>
      </c>
      <c r="Y85" s="4592">
        <f>'12. Разходи'!AF63</f>
        <v>0</v>
      </c>
      <c r="Z85" s="4586">
        <f t="shared" si="96"/>
        <v>0</v>
      </c>
      <c r="AA85" s="4586">
        <f t="shared" si="97"/>
        <v>0</v>
      </c>
      <c r="AR85" s="3524"/>
      <c r="AS85" s="3524"/>
      <c r="AT85" s="3524"/>
      <c r="AU85" s="3524"/>
      <c r="AV85" s="3524"/>
      <c r="AW85" s="3524"/>
    </row>
    <row r="86" spans="1:49" ht="15.75" customHeight="1">
      <c r="A86" s="4594" t="s">
        <v>220</v>
      </c>
      <c r="B86" s="4592">
        <f>'11. Амортиз. план'!AG60</f>
        <v>0</v>
      </c>
      <c r="C86" s="4592">
        <f>'11. Амортиз. план'!AI60</f>
        <v>0</v>
      </c>
      <c r="D86" s="4592">
        <f>'11. Амортиз. план'!AJ60</f>
        <v>0</v>
      </c>
      <c r="E86" s="4592">
        <f>'11. Амортиз. план'!AK60</f>
        <v>0</v>
      </c>
      <c r="F86" s="4592">
        <f>'11. Амортиз. план'!AL60</f>
        <v>0</v>
      </c>
      <c r="G86" s="4592">
        <f>'11. Амортиз. план'!AM60</f>
        <v>0</v>
      </c>
      <c r="I86" s="4536" t="s">
        <v>1616</v>
      </c>
      <c r="J86" s="3904">
        <f>J57+J66+J71+J74+J75+J76+J80+J83</f>
        <v>3892</v>
      </c>
      <c r="K86" s="3904">
        <f t="shared" ref="K86:O86" si="100">K57+K66+K71+K74+K75+K76+K80+K83</f>
        <v>3320</v>
      </c>
      <c r="L86" s="3904">
        <f t="shared" si="100"/>
        <v>3255</v>
      </c>
      <c r="M86" s="3904">
        <f t="shared" si="100"/>
        <v>3170</v>
      </c>
      <c r="N86" s="3904">
        <f t="shared" si="100"/>
        <v>3305</v>
      </c>
      <c r="O86" s="3904">
        <f t="shared" si="100"/>
        <v>16942</v>
      </c>
      <c r="P86" s="4535">
        <f t="shared" si="74"/>
        <v>0.89820803732371968</v>
      </c>
      <c r="Q86" s="4554"/>
      <c r="S86" s="4591" t="s">
        <v>450</v>
      </c>
      <c r="T86" s="4592">
        <f>'12. Разходи'!AA70</f>
        <v>0</v>
      </c>
      <c r="U86" s="4592">
        <f>'12. Разходи'!AB70</f>
        <v>0</v>
      </c>
      <c r="V86" s="4592">
        <f>'12. Разходи'!AC70</f>
        <v>0</v>
      </c>
      <c r="W86" s="4592">
        <f>'12. Разходи'!AD70</f>
        <v>0</v>
      </c>
      <c r="X86" s="4592">
        <f>'12. Разходи'!AE70</f>
        <v>0</v>
      </c>
      <c r="Y86" s="4592">
        <f>'12. Разходи'!AF70</f>
        <v>0</v>
      </c>
      <c r="Z86" s="4586">
        <f t="shared" si="96"/>
        <v>0</v>
      </c>
      <c r="AA86" s="4586">
        <f t="shared" si="97"/>
        <v>0</v>
      </c>
      <c r="AR86" s="3524"/>
      <c r="AS86" s="3524"/>
      <c r="AT86" s="3524"/>
      <c r="AU86" s="3524"/>
      <c r="AV86" s="3524"/>
      <c r="AW86" s="3524"/>
    </row>
    <row r="87" spans="1:49" ht="15.75" customHeight="1">
      <c r="A87" s="4594" t="s">
        <v>222</v>
      </c>
      <c r="B87" s="4592">
        <f>'11. Амортиз. план'!AG85</f>
        <v>0</v>
      </c>
      <c r="C87" s="4592">
        <f>'11. Амортиз. план'!AI85</f>
        <v>0</v>
      </c>
      <c r="D87" s="4592">
        <f>'11. Амортиз. план'!AJ85</f>
        <v>0</v>
      </c>
      <c r="E87" s="4592">
        <f>'11. Амортиз. план'!AK85</f>
        <v>0</v>
      </c>
      <c r="F87" s="4592">
        <f>'11. Амортиз. план'!AL85</f>
        <v>0</v>
      </c>
      <c r="G87" s="4592">
        <f>'11. Амортиз. план'!AM85</f>
        <v>0</v>
      </c>
      <c r="I87" s="4536" t="s">
        <v>1617</v>
      </c>
      <c r="J87" s="3904">
        <f>J58+J67+J72+J77+J78+J81+J84</f>
        <v>355</v>
      </c>
      <c r="K87" s="3904">
        <f t="shared" ref="K87:O87" si="101">K58+K67+K72+K77+K78+K81+K84</f>
        <v>230</v>
      </c>
      <c r="L87" s="3904">
        <f t="shared" si="101"/>
        <v>505</v>
      </c>
      <c r="M87" s="3904">
        <f t="shared" si="101"/>
        <v>600</v>
      </c>
      <c r="N87" s="3904">
        <f t="shared" si="101"/>
        <v>230</v>
      </c>
      <c r="O87" s="3904">
        <f t="shared" si="101"/>
        <v>1920</v>
      </c>
      <c r="P87" s="4535">
        <f t="shared" si="74"/>
        <v>0.10179196267628035</v>
      </c>
      <c r="Q87" s="4554"/>
      <c r="S87" s="4591" t="s">
        <v>267</v>
      </c>
      <c r="T87" s="4592">
        <f>'12. Разходи'!AA76</f>
        <v>0</v>
      </c>
      <c r="U87" s="4592">
        <f>'12. Разходи'!AB76</f>
        <v>0</v>
      </c>
      <c r="V87" s="4592">
        <f>'12. Разходи'!AC76</f>
        <v>0</v>
      </c>
      <c r="W87" s="4592">
        <f>'12. Разходи'!AD76</f>
        <v>0</v>
      </c>
      <c r="X87" s="4592">
        <f>'12. Разходи'!AE76</f>
        <v>0</v>
      </c>
      <c r="Y87" s="4592">
        <f>'12. Разходи'!AF76</f>
        <v>0</v>
      </c>
      <c r="Z87" s="4586">
        <f t="shared" si="96"/>
        <v>0</v>
      </c>
      <c r="AA87" s="4586">
        <f t="shared" si="97"/>
        <v>0</v>
      </c>
      <c r="AR87" s="3524"/>
      <c r="AS87" s="3524"/>
      <c r="AT87" s="3524"/>
      <c r="AU87" s="3524"/>
      <c r="AV87" s="3524"/>
      <c r="AW87" s="3524"/>
    </row>
    <row r="88" spans="1:49" ht="18" customHeight="1">
      <c r="A88" s="5682" t="s">
        <v>1658</v>
      </c>
      <c r="B88" s="5682"/>
      <c r="C88" s="5682"/>
      <c r="D88" s="5682"/>
      <c r="E88" s="5682"/>
      <c r="F88" s="5682"/>
      <c r="G88" s="5682"/>
      <c r="I88" s="4595" t="s">
        <v>1618</v>
      </c>
      <c r="J88" s="4596">
        <f>J86+J87</f>
        <v>4247</v>
      </c>
      <c r="K88" s="4596">
        <f>K86+K87</f>
        <v>3550</v>
      </c>
      <c r="L88" s="4596">
        <f>L86+L87</f>
        <v>3760</v>
      </c>
      <c r="M88" s="4596">
        <f>M86+M87</f>
        <v>3770</v>
      </c>
      <c r="N88" s="4596">
        <f>N86+N87</f>
        <v>3535</v>
      </c>
      <c r="O88" s="4596">
        <f t="shared" si="92"/>
        <v>18862</v>
      </c>
      <c r="P88" s="4597">
        <f t="shared" si="74"/>
        <v>1</v>
      </c>
      <c r="Q88" s="4554"/>
      <c r="S88" s="4598" t="s">
        <v>277</v>
      </c>
      <c r="T88" s="4599">
        <f>SUM(T78:T80,T84:T87)</f>
        <v>0</v>
      </c>
      <c r="U88" s="4599">
        <f t="shared" ref="U88" si="102">SUM(U78:U80,U84:U87)</f>
        <v>0</v>
      </c>
      <c r="V88" s="4599">
        <f t="shared" ref="V88" si="103">SUM(V78:V80,V84:V87)</f>
        <v>0</v>
      </c>
      <c r="W88" s="4599">
        <f t="shared" ref="W88" si="104">SUM(W78:W80,W84:W87)</f>
        <v>0</v>
      </c>
      <c r="X88" s="4599">
        <f t="shared" ref="X88" si="105">SUM(X78:X80,X84:X87)</f>
        <v>0</v>
      </c>
      <c r="Y88" s="4599">
        <f t="shared" ref="Y88" si="106">SUM(Y78:Y80,Y84:Y87)</f>
        <v>0</v>
      </c>
      <c r="Z88" s="4600">
        <f t="shared" si="96"/>
        <v>0</v>
      </c>
      <c r="AA88" s="4600">
        <f t="shared" si="97"/>
        <v>0</v>
      </c>
    </row>
    <row r="89" spans="1:49" ht="15.75" customHeight="1">
      <c r="A89" s="4589" t="s">
        <v>334</v>
      </c>
      <c r="B89" s="4590">
        <f>'11. Амортиз. план'!AG111</f>
        <v>0</v>
      </c>
      <c r="C89" s="4590">
        <f>'11. Амортиз. план'!AI111</f>
        <v>0</v>
      </c>
      <c r="D89" s="4590">
        <f>'11. Амортиз. план'!AJ111</f>
        <v>0</v>
      </c>
      <c r="E89" s="4590">
        <f>'11. Амортиз. план'!AK111</f>
        <v>0</v>
      </c>
      <c r="F89" s="4590">
        <f>'11. Амортиз. план'!AL111</f>
        <v>0</v>
      </c>
      <c r="G89" s="4590">
        <f>'11. Амортиз. план'!AM111</f>
        <v>0</v>
      </c>
      <c r="I89" s="4543"/>
      <c r="J89" s="4543"/>
      <c r="K89" s="4543"/>
      <c r="L89" s="4543"/>
      <c r="M89" s="4543"/>
      <c r="N89" s="4543"/>
      <c r="O89" s="4543"/>
      <c r="P89" s="4543"/>
      <c r="Q89" s="4554"/>
      <c r="S89" s="4555" t="str">
        <f>CONCATENATE("Спестявания и увеличения спрямо ",T77," - нето:")</f>
        <v>Спестявания и увеличения спрямо 2024 г. - нето:</v>
      </c>
      <c r="T89" s="4557"/>
      <c r="U89" s="4601">
        <f>U88-$T88</f>
        <v>0</v>
      </c>
      <c r="V89" s="4601">
        <f t="shared" ref="V89" si="107">V88-$T88</f>
        <v>0</v>
      </c>
      <c r="W89" s="4601">
        <f t="shared" ref="W89" si="108">W88-$T88</f>
        <v>0</v>
      </c>
      <c r="X89" s="4601">
        <f t="shared" ref="X89" si="109">X88-$T88</f>
        <v>0</v>
      </c>
      <c r="Y89" s="4601">
        <f t="shared" ref="Y89" si="110">Y88-$T88</f>
        <v>0</v>
      </c>
      <c r="Z89" s="4557"/>
      <c r="AA89" s="4557"/>
    </row>
    <row r="90" spans="1:49" ht="15.75" customHeight="1">
      <c r="A90" s="4593" t="s">
        <v>218</v>
      </c>
      <c r="B90" s="4585">
        <f>'11. Амортиз. план'!AG131</f>
        <v>0</v>
      </c>
      <c r="C90" s="4585">
        <f>'11. Амортиз. план'!AI131</f>
        <v>0</v>
      </c>
      <c r="D90" s="4585">
        <f>'11. Амортиз. план'!AJ131</f>
        <v>0</v>
      </c>
      <c r="E90" s="4585">
        <f>'11. Амортиз. план'!AK131</f>
        <v>0</v>
      </c>
      <c r="F90" s="4585">
        <f>'11. Амортиз. план'!AL131</f>
        <v>0</v>
      </c>
      <c r="G90" s="4585">
        <f>'11. Амортиз. план'!AM131</f>
        <v>0</v>
      </c>
      <c r="I90" s="4525" t="s">
        <v>82</v>
      </c>
      <c r="J90" s="4526" t="str">
        <f>+'15. ОПП'!$C$7</f>
        <v>2027 г.</v>
      </c>
      <c r="K90" s="4526" t="str">
        <f>+'15. ОПП'!$D$7</f>
        <v>2028 г.</v>
      </c>
      <c r="L90" s="4526" t="str">
        <f>+'15. ОПП'!$E$7</f>
        <v>2029 г.</v>
      </c>
      <c r="M90" s="4526" t="str">
        <f>+'15. ОПП'!$F$7</f>
        <v>2030 г.</v>
      </c>
      <c r="N90" s="4526" t="str">
        <f>+'15. ОПП'!$G$7</f>
        <v>2031 г.</v>
      </c>
      <c r="O90" s="4526" t="s">
        <v>1619</v>
      </c>
      <c r="P90" s="3524"/>
      <c r="Q90" s="4554"/>
      <c r="S90" s="4591" t="s">
        <v>1669</v>
      </c>
      <c r="T90" s="4592">
        <f>+'12. Разходи'!AA92</f>
        <v>0</v>
      </c>
      <c r="U90" s="4592">
        <f>+'12. Разходи'!AB92</f>
        <v>0</v>
      </c>
      <c r="V90" s="4592">
        <f>+'12. Разходи'!AC92</f>
        <v>0</v>
      </c>
      <c r="W90" s="4592">
        <f>+'12. Разходи'!AD92</f>
        <v>0</v>
      </c>
      <c r="X90" s="4592">
        <f>+'12. Разходи'!AE92</f>
        <v>0</v>
      </c>
      <c r="Y90" s="4592">
        <f>+'12. Разходи'!AF92</f>
        <v>0</v>
      </c>
      <c r="Z90" s="4586">
        <f t="shared" ref="Z90:Z91" si="111">IFERROR((U90-T90)/T90,0)</f>
        <v>0</v>
      </c>
      <c r="AA90" s="4586">
        <f t="shared" ref="AA90:AA91" si="112">IFERROR((Y90-T90)/T90,0)</f>
        <v>0</v>
      </c>
    </row>
    <row r="91" spans="1:49" ht="15.75" customHeight="1">
      <c r="A91" s="4594" t="s">
        <v>220</v>
      </c>
      <c r="B91" s="4592">
        <f>'11. Амортиз. план'!AG151</f>
        <v>0</v>
      </c>
      <c r="C91" s="4592">
        <f>'11. Амортиз. план'!AI151</f>
        <v>0</v>
      </c>
      <c r="D91" s="4592">
        <f>'11. Амортиз. план'!AJ151</f>
        <v>0</v>
      </c>
      <c r="E91" s="4592">
        <f>'11. Амортиз. план'!AK151</f>
        <v>0</v>
      </c>
      <c r="F91" s="4592">
        <f>'11. Амортиз. план'!AL151</f>
        <v>0</v>
      </c>
      <c r="G91" s="4592">
        <f>'11. Амортиз. план'!AM151</f>
        <v>0</v>
      </c>
      <c r="I91" s="3778" t="s">
        <v>1644</v>
      </c>
      <c r="J91" s="3779">
        <f>'2. Променливи'!F10</f>
        <v>188003</v>
      </c>
      <c r="K91" s="3779">
        <f>'2. Променливи'!G10</f>
        <v>181855</v>
      </c>
      <c r="L91" s="3779">
        <f>'2. Променливи'!H10</f>
        <v>175909</v>
      </c>
      <c r="M91" s="3779">
        <f>'2. Променливи'!I10</f>
        <v>170157</v>
      </c>
      <c r="N91" s="3779">
        <f>'2. Променливи'!J10</f>
        <v>164194</v>
      </c>
      <c r="O91" s="3904">
        <f>AVERAGE(J91:N91)</f>
        <v>176023.6</v>
      </c>
      <c r="P91" s="3524"/>
      <c r="Q91" s="4554"/>
      <c r="S91" s="4591" t="s">
        <v>1671</v>
      </c>
      <c r="T91" s="4592">
        <f>+'12. Разходи'!AA93</f>
        <v>0</v>
      </c>
      <c r="U91" s="4592">
        <f>+'12. Разходи'!AB93</f>
        <v>0</v>
      </c>
      <c r="V91" s="4592">
        <f>+'12. Разходи'!AC93</f>
        <v>0</v>
      </c>
      <c r="W91" s="4592">
        <f>+'12. Разходи'!AD93</f>
        <v>0</v>
      </c>
      <c r="X91" s="4592">
        <f>+'12. Разходи'!AE93</f>
        <v>0</v>
      </c>
      <c r="Y91" s="4592">
        <f>+'12. Разходи'!AF93</f>
        <v>0</v>
      </c>
      <c r="Z91" s="4586">
        <f t="shared" si="111"/>
        <v>0</v>
      </c>
      <c r="AA91" s="4586">
        <f t="shared" si="112"/>
        <v>0</v>
      </c>
    </row>
    <row r="92" spans="1:49" ht="15.75" customHeight="1">
      <c r="A92" s="4594" t="s">
        <v>222</v>
      </c>
      <c r="B92" s="4592">
        <f>'11. Амортиз. план'!AG171</f>
        <v>0</v>
      </c>
      <c r="C92" s="4592">
        <f>'11. Амортиз. план'!AI171</f>
        <v>0</v>
      </c>
      <c r="D92" s="4592">
        <f>'11. Амортиз. план'!AJ171</f>
        <v>0</v>
      </c>
      <c r="E92" s="4592">
        <f>'11. Амортиз. план'!AK171</f>
        <v>0</v>
      </c>
      <c r="F92" s="4592">
        <f>'11. Амортиз. план'!AL171</f>
        <v>0</v>
      </c>
      <c r="G92" s="4592">
        <f>'11. Амортиз. план'!AM171</f>
        <v>0</v>
      </c>
      <c r="I92" s="3778" t="s">
        <v>1643</v>
      </c>
      <c r="J92" s="3779">
        <f>J59+J68+J73+J74+J79</f>
        <v>4247</v>
      </c>
      <c r="K92" s="3779">
        <f>K59+K68+K73+K74+K79</f>
        <v>3550</v>
      </c>
      <c r="L92" s="3779">
        <f>L59+L68+L73+L74+L79</f>
        <v>3760</v>
      </c>
      <c r="M92" s="3779">
        <f>M59+M68+M73+M74+M79</f>
        <v>3770</v>
      </c>
      <c r="N92" s="3779">
        <f>N59+N68+N73+N74+N79</f>
        <v>3535</v>
      </c>
      <c r="O92" s="3904">
        <f>AVERAGE(J92:N92)</f>
        <v>3772.4</v>
      </c>
      <c r="P92" s="3524"/>
      <c r="Q92" s="4554"/>
      <c r="S92" s="4602" t="s">
        <v>1670</v>
      </c>
      <c r="T92" s="4592">
        <f>+'12. Разходи'!AA94</f>
        <v>0</v>
      </c>
      <c r="U92" s="4592">
        <f>+'12. Разходи'!AB94</f>
        <v>0</v>
      </c>
      <c r="V92" s="4592">
        <f>+'12. Разходи'!AC94</f>
        <v>0</v>
      </c>
      <c r="W92" s="4592">
        <f>+'12. Разходи'!AD94</f>
        <v>0</v>
      </c>
      <c r="X92" s="4592">
        <f>+'12. Разходи'!AE94</f>
        <v>0</v>
      </c>
      <c r="Y92" s="4592">
        <f>+'12. Разходи'!AF94</f>
        <v>0</v>
      </c>
      <c r="Z92" s="4586">
        <f t="shared" ref="Z92" si="113">IFERROR((U92-T92)/T92,0)</f>
        <v>0</v>
      </c>
      <c r="AA92" s="4586">
        <f t="shared" ref="AA92" si="114">IFERROR((Y92-T92)/T92,0)</f>
        <v>0</v>
      </c>
    </row>
    <row r="93" spans="1:49" ht="18" customHeight="1">
      <c r="A93" s="5682" t="s">
        <v>1659</v>
      </c>
      <c r="B93" s="5682"/>
      <c r="C93" s="5682"/>
      <c r="D93" s="5682"/>
      <c r="E93" s="5682"/>
      <c r="F93" s="5682"/>
      <c r="G93" s="5682"/>
      <c r="I93" s="4542" t="s">
        <v>1620</v>
      </c>
      <c r="J93" s="4603">
        <f>IFERROR((J92*1000)/J91,0)</f>
        <v>22.590065052153424</v>
      </c>
      <c r="K93" s="4603">
        <f t="shared" ref="K93:O93" si="115">IFERROR((K92*1000)/K91,0)</f>
        <v>19.521046987984931</v>
      </c>
      <c r="L93" s="4603">
        <f t="shared" si="115"/>
        <v>21.374688048934392</v>
      </c>
      <c r="M93" s="4603">
        <f t="shared" si="115"/>
        <v>22.156008862403546</v>
      </c>
      <c r="N93" s="4603">
        <f t="shared" si="115"/>
        <v>21.529410331680818</v>
      </c>
      <c r="O93" s="4603">
        <f t="shared" si="115"/>
        <v>21.431217177696627</v>
      </c>
      <c r="P93" s="3524"/>
      <c r="Q93" s="4554"/>
      <c r="S93" s="4591" t="s">
        <v>1673</v>
      </c>
      <c r="T93" s="4592">
        <f>'12. Разходи'!AA90</f>
        <v>0</v>
      </c>
      <c r="U93" s="4592">
        <f>'12. Разходи'!AB90</f>
        <v>0</v>
      </c>
      <c r="V93" s="4592">
        <f>'12. Разходи'!AC90</f>
        <v>0</v>
      </c>
      <c r="W93" s="4592">
        <f>'12. Разходи'!AD90</f>
        <v>0</v>
      </c>
      <c r="X93" s="4592">
        <f>'12. Разходи'!AE90</f>
        <v>0</v>
      </c>
      <c r="Y93" s="4592">
        <f>'12. Разходи'!AF90</f>
        <v>0</v>
      </c>
      <c r="Z93" s="4586">
        <f t="shared" si="96"/>
        <v>0</v>
      </c>
      <c r="AA93" s="4586">
        <f t="shared" si="97"/>
        <v>0</v>
      </c>
    </row>
    <row r="94" spans="1:49" ht="15.75" customHeight="1">
      <c r="A94" s="4589" t="s">
        <v>334</v>
      </c>
      <c r="B94" s="4590">
        <f>'11. Амортиз. план'!AG192</f>
        <v>0</v>
      </c>
      <c r="C94" s="4590">
        <f>'11. Амортиз. план'!AI192</f>
        <v>0</v>
      </c>
      <c r="D94" s="4590">
        <f>'11. Амортиз. план'!AJ192</f>
        <v>0</v>
      </c>
      <c r="E94" s="4590">
        <f>'11. Амортиз. план'!AK192</f>
        <v>0</v>
      </c>
      <c r="F94" s="4590">
        <f>'11. Амортиз. план'!AL192</f>
        <v>0</v>
      </c>
      <c r="G94" s="4590">
        <f>'11. Амортиз. план'!AM192</f>
        <v>0</v>
      </c>
      <c r="I94" s="1357"/>
      <c r="J94" s="4543"/>
      <c r="K94" s="4543"/>
      <c r="L94" s="4543"/>
      <c r="M94" s="4543"/>
      <c r="N94" s="4543"/>
      <c r="O94" s="4543"/>
      <c r="P94" s="3524"/>
      <c r="Q94" s="4554"/>
      <c r="S94" s="4591" t="s">
        <v>1232</v>
      </c>
      <c r="T94" s="4592">
        <f>'12. Разходи'!AA89</f>
        <v>0</v>
      </c>
      <c r="U94" s="4592">
        <f>'12. Разходи'!AB89</f>
        <v>0</v>
      </c>
      <c r="V94" s="4592">
        <f>'12. Разходи'!AC89</f>
        <v>0</v>
      </c>
      <c r="W94" s="4592">
        <f>'12. Разходи'!AD89</f>
        <v>0</v>
      </c>
      <c r="X94" s="4592">
        <f>'12. Разходи'!AE89</f>
        <v>0</v>
      </c>
      <c r="Y94" s="4592">
        <f>'12. Разходи'!AF89</f>
        <v>0</v>
      </c>
      <c r="Z94" s="4586">
        <f t="shared" si="96"/>
        <v>0</v>
      </c>
      <c r="AA94" s="4586">
        <f t="shared" si="97"/>
        <v>0</v>
      </c>
    </row>
    <row r="95" spans="1:49" ht="15.75" customHeight="1">
      <c r="A95" s="4593" t="s">
        <v>218</v>
      </c>
      <c r="B95" s="4585">
        <f>'11. Амортиз. план'!AG214</f>
        <v>0</v>
      </c>
      <c r="C95" s="4585">
        <f>'11. Амортиз. план'!AI214</f>
        <v>0</v>
      </c>
      <c r="D95" s="4585">
        <f>'11. Амортиз. план'!AJ214</f>
        <v>0</v>
      </c>
      <c r="E95" s="4585">
        <f>'11. Амортиз. план'!AK214</f>
        <v>0</v>
      </c>
      <c r="F95" s="4585">
        <f>'11. Амортиз. план'!AL214</f>
        <v>0</v>
      </c>
      <c r="G95" s="4585">
        <f>'11. Амортиз. план'!AM214</f>
        <v>0</v>
      </c>
      <c r="I95" s="1357" t="s">
        <v>1645</v>
      </c>
      <c r="J95" s="4543"/>
      <c r="K95" s="4543"/>
      <c r="L95" s="4543"/>
      <c r="M95" s="4543"/>
      <c r="N95" s="4543"/>
      <c r="O95" s="4543"/>
      <c r="P95" s="3524"/>
      <c r="Q95" s="4554"/>
      <c r="S95" s="4604"/>
      <c r="T95" s="4605"/>
      <c r="U95" s="4605"/>
      <c r="V95" s="4605"/>
      <c r="W95" s="4605"/>
      <c r="X95" s="4605"/>
      <c r="Y95" s="4605"/>
      <c r="Z95" s="4606"/>
      <c r="AA95" s="4606"/>
    </row>
    <row r="96" spans="1:49" ht="16.5" customHeight="1">
      <c r="A96" s="4594" t="s">
        <v>220</v>
      </c>
      <c r="B96" s="4592">
        <f>'11. Амортиз. план'!AG236</f>
        <v>0</v>
      </c>
      <c r="C96" s="4592">
        <f>'11. Амортиз. план'!AI236</f>
        <v>0</v>
      </c>
      <c r="D96" s="4592">
        <f>'11. Амортиз. план'!AJ236</f>
        <v>0</v>
      </c>
      <c r="E96" s="4592">
        <f>'11. Амортиз. план'!AK236</f>
        <v>0</v>
      </c>
      <c r="F96" s="4592">
        <f>'11. Амортиз. план'!AL236</f>
        <v>0</v>
      </c>
      <c r="G96" s="4592">
        <f>'11. Амортиз. план'!AM236</f>
        <v>0</v>
      </c>
      <c r="I96" s="1357" t="s">
        <v>948</v>
      </c>
      <c r="J96" s="4543"/>
      <c r="K96" s="4543"/>
      <c r="L96" s="4543"/>
      <c r="M96" s="4543"/>
      <c r="N96" s="4543"/>
      <c r="O96" s="4543"/>
      <c r="P96" s="3524"/>
      <c r="Q96" s="4554"/>
      <c r="S96" s="4604"/>
      <c r="T96" s="4605"/>
      <c r="U96" s="4605"/>
      <c r="V96" s="4605"/>
      <c r="W96" s="4605"/>
      <c r="X96" s="4605"/>
      <c r="Y96" s="4605"/>
      <c r="Z96" s="4606"/>
      <c r="AA96" s="4606"/>
    </row>
    <row r="97" spans="1:27" ht="15.75" customHeight="1">
      <c r="A97" s="4594" t="s">
        <v>222</v>
      </c>
      <c r="B97" s="4592">
        <f>'11. Амортиз. план'!AG258</f>
        <v>0</v>
      </c>
      <c r="C97" s="4592">
        <f>'11. Амортиз. план'!AI258</f>
        <v>0</v>
      </c>
      <c r="D97" s="4592">
        <f>'11. Амортиз. план'!AJ258</f>
        <v>0</v>
      </c>
      <c r="E97" s="4592">
        <f>'11. Амортиз. план'!AK258</f>
        <v>0</v>
      </c>
      <c r="F97" s="4592">
        <f>'11. Амортиз. план'!AL258</f>
        <v>0</v>
      </c>
      <c r="G97" s="4592">
        <f>'11. Амортиз. план'!AM258</f>
        <v>0</v>
      </c>
      <c r="I97" s="4525" t="s">
        <v>1621</v>
      </c>
      <c r="J97" s="4526" t="str">
        <f>+'15. ОПП'!$C$7</f>
        <v>2027 г.</v>
      </c>
      <c r="K97" s="4526" t="str">
        <f>+'15. ОПП'!$D$7</f>
        <v>2028 г.</v>
      </c>
      <c r="L97" s="4526" t="str">
        <f>+'15. ОПП'!$E$7</f>
        <v>2029 г.</v>
      </c>
      <c r="M97" s="4526" t="str">
        <f>+'15. ОПП'!$F$7</f>
        <v>2030 г.</v>
      </c>
      <c r="N97" s="4526" t="str">
        <f>+'15. ОПП'!$G$7</f>
        <v>2031 г.</v>
      </c>
      <c r="O97" s="4526" t="s">
        <v>1622</v>
      </c>
      <c r="P97" s="3524"/>
      <c r="Q97" s="4554"/>
      <c r="S97" s="4604"/>
      <c r="T97" s="4605"/>
      <c r="U97" s="4605"/>
      <c r="V97" s="4605"/>
      <c r="W97" s="4605"/>
      <c r="X97" s="4605"/>
      <c r="Y97" s="4605"/>
      <c r="Z97" s="4606"/>
      <c r="AA97" s="4606"/>
    </row>
    <row r="98" spans="1:27" ht="15.75" customHeight="1">
      <c r="A98" s="2" t="s">
        <v>1664</v>
      </c>
      <c r="B98" s="11"/>
      <c r="C98" s="11"/>
      <c r="D98" s="11"/>
      <c r="E98" s="11"/>
      <c r="F98" s="11"/>
      <c r="G98" s="3631" t="s">
        <v>1635</v>
      </c>
      <c r="I98" s="4579" t="s">
        <v>1617</v>
      </c>
      <c r="J98" s="4547">
        <f>'9.Инвестиционна програма'!I146</f>
        <v>355</v>
      </c>
      <c r="K98" s="4547">
        <f>'9.Инвестиционна програма'!J146</f>
        <v>230</v>
      </c>
      <c r="L98" s="4547">
        <f>'9.Инвестиционна програма'!K146</f>
        <v>505</v>
      </c>
      <c r="M98" s="4547">
        <f>'9.Инвестиционна програма'!L146</f>
        <v>600</v>
      </c>
      <c r="N98" s="4547">
        <f>'9.Инвестиционна програма'!M146</f>
        <v>230</v>
      </c>
      <c r="O98" s="4547">
        <f t="shared" ref="O98:O101" si="116">SUM(J98:N98)</f>
        <v>1920</v>
      </c>
      <c r="P98" s="3524"/>
      <c r="Q98" s="4554"/>
      <c r="S98" s="4604"/>
      <c r="T98" s="4605"/>
      <c r="U98" s="4605"/>
      <c r="V98" s="4605"/>
      <c r="W98" s="4605"/>
      <c r="X98" s="4605"/>
      <c r="Y98" s="4605"/>
      <c r="Z98" s="4606"/>
      <c r="AA98" s="4606"/>
    </row>
    <row r="99" spans="1:27" ht="16.5" customHeight="1">
      <c r="A99" s="5685" t="s">
        <v>87</v>
      </c>
      <c r="B99" s="5683" t="s">
        <v>1660</v>
      </c>
      <c r="C99" s="5683"/>
      <c r="D99" s="5683"/>
      <c r="E99" s="5683"/>
      <c r="F99" s="5683"/>
      <c r="G99" s="5683"/>
      <c r="I99" s="4593" t="s">
        <v>1623</v>
      </c>
      <c r="J99" s="4585">
        <f>'10. Финансиране на ИП'!AT15</f>
        <v>355</v>
      </c>
      <c r="K99" s="4585">
        <f>'10. Финансиране на ИП'!AU15</f>
        <v>230</v>
      </c>
      <c r="L99" s="4585">
        <f>'10. Финансиране на ИП'!AV15</f>
        <v>505</v>
      </c>
      <c r="M99" s="4585">
        <f>'10. Финансиране на ИП'!AW15</f>
        <v>600</v>
      </c>
      <c r="N99" s="4585">
        <f>'10. Финансиране на ИП'!AX15</f>
        <v>230</v>
      </c>
      <c r="O99" s="4607">
        <f t="shared" si="116"/>
        <v>1920</v>
      </c>
      <c r="Q99" s="4554"/>
      <c r="S99" s="3639" t="s">
        <v>1092</v>
      </c>
      <c r="T99" s="11"/>
      <c r="U99" s="11"/>
      <c r="V99" s="11"/>
      <c r="W99" s="11"/>
      <c r="X99" s="11"/>
      <c r="Y99" s="11"/>
      <c r="Z99" s="11"/>
      <c r="AA99" s="11"/>
    </row>
    <row r="100" spans="1:27" ht="19.5" customHeight="1">
      <c r="A100" s="5685"/>
      <c r="B100" s="4608" t="str">
        <f>B40</f>
        <v>2024 г.</v>
      </c>
      <c r="C100" s="4608" t="str">
        <f>C82</f>
        <v>2027 г.</v>
      </c>
      <c r="D100" s="4608" t="str">
        <f>D40</f>
        <v>2028 г.</v>
      </c>
      <c r="E100" s="4608" t="str">
        <f>E40</f>
        <v>2029 г.</v>
      </c>
      <c r="F100" s="4608" t="str">
        <f>F40</f>
        <v>2030 г.</v>
      </c>
      <c r="G100" s="4608" t="str">
        <f>G40</f>
        <v>2031 г.</v>
      </c>
      <c r="I100" s="4593" t="s">
        <v>1646</v>
      </c>
      <c r="J100" s="4585">
        <f>'10. Финансиране на ИП'!AT16</f>
        <v>0</v>
      </c>
      <c r="K100" s="4585">
        <f>'10. Финансиране на ИП'!AU16</f>
        <v>0</v>
      </c>
      <c r="L100" s="4585">
        <f>'10. Финансиране на ИП'!AV16</f>
        <v>0</v>
      </c>
      <c r="M100" s="4585">
        <f>'10. Финансиране на ИП'!AW16</f>
        <v>0</v>
      </c>
      <c r="N100" s="4585">
        <f>'10. Финансиране на ИП'!AX16</f>
        <v>0</v>
      </c>
      <c r="O100" s="4607">
        <f t="shared" si="116"/>
        <v>0</v>
      </c>
      <c r="Q100" s="4554"/>
      <c r="S100" s="5676" t="s">
        <v>1667</v>
      </c>
      <c r="T100" s="5676" t="str">
        <f>S99</f>
        <v>Доставяне на вода на друг ВиК оператор</v>
      </c>
      <c r="U100" s="5676"/>
      <c r="V100" s="5676"/>
      <c r="W100" s="5676"/>
      <c r="X100" s="5676"/>
      <c r="Y100" s="5676"/>
      <c r="Z100" s="5619" t="str">
        <f>+"Изменение "&amp;U101&amp;" спр. "&amp;T101</f>
        <v>Изменение 2027 г. спр. 2024 г.</v>
      </c>
      <c r="AA100" s="5619" t="str">
        <f>+"Изменение "&amp;Y101&amp;" спр. "&amp;T101</f>
        <v>Изменение 2031 г. спр. 2024 г.</v>
      </c>
    </row>
    <row r="101" spans="1:27" ht="21" customHeight="1">
      <c r="A101" s="5682" t="s">
        <v>1657</v>
      </c>
      <c r="B101" s="5682"/>
      <c r="C101" s="5682"/>
      <c r="D101" s="5682"/>
      <c r="E101" s="5682"/>
      <c r="F101" s="5682"/>
      <c r="G101" s="5682"/>
      <c r="I101" s="4609" t="s">
        <v>1624</v>
      </c>
      <c r="J101" s="4599">
        <f>'12. Разходи'!AX56</f>
        <v>1062.79</v>
      </c>
      <c r="K101" s="4599">
        <f>'12. Разходи'!AY56</f>
        <v>1089.8400000000001</v>
      </c>
      <c r="L101" s="4599">
        <f>'12. Разходи'!AZ56</f>
        <v>1126.3399999999999</v>
      </c>
      <c r="M101" s="4599">
        <f>'12. Разходи'!BA56</f>
        <v>1180.0900000000001</v>
      </c>
      <c r="N101" s="4599">
        <f>'12. Разходи'!BB56</f>
        <v>1218.8399999999997</v>
      </c>
      <c r="O101" s="4599">
        <f t="shared" si="116"/>
        <v>5677.9</v>
      </c>
      <c r="Q101" s="4554"/>
      <c r="S101" s="5676"/>
      <c r="T101" s="4522" t="str">
        <f t="shared" ref="T101:Y101" si="117">T77</f>
        <v>2024 г.</v>
      </c>
      <c r="U101" s="4522" t="str">
        <f t="shared" si="117"/>
        <v>2027 г.</v>
      </c>
      <c r="V101" s="4522" t="str">
        <f t="shared" si="117"/>
        <v>2028 г.</v>
      </c>
      <c r="W101" s="4522" t="str">
        <f t="shared" si="117"/>
        <v>2029 г.</v>
      </c>
      <c r="X101" s="4522" t="str">
        <f t="shared" si="117"/>
        <v>2030 г.</v>
      </c>
      <c r="Y101" s="4522" t="str">
        <f t="shared" si="117"/>
        <v>2031 г.</v>
      </c>
      <c r="Z101" s="5619"/>
      <c r="AA101" s="5619"/>
    </row>
    <row r="102" spans="1:27" ht="16.5" customHeight="1">
      <c r="A102" s="4589" t="s">
        <v>334</v>
      </c>
      <c r="B102" s="4590">
        <f t="shared" ref="B102:G105" si="118">B6+B24+B42+B60+B84</f>
        <v>24660</v>
      </c>
      <c r="C102" s="4590">
        <f t="shared" si="118"/>
        <v>25415</v>
      </c>
      <c r="D102" s="4590">
        <f t="shared" si="118"/>
        <v>25645.000000000004</v>
      </c>
      <c r="E102" s="4590">
        <f t="shared" si="118"/>
        <v>26150.000000000007</v>
      </c>
      <c r="F102" s="4590">
        <f t="shared" si="118"/>
        <v>26750</v>
      </c>
      <c r="G102" s="4590">
        <f t="shared" si="118"/>
        <v>26979.999999999996</v>
      </c>
      <c r="I102" s="4610" t="s">
        <v>1625</v>
      </c>
      <c r="J102" s="4611">
        <f>J101-J99</f>
        <v>707.79</v>
      </c>
      <c r="K102" s="4611">
        <f t="shared" ref="K102:O102" si="119">K101-K99</f>
        <v>859.84000000000015</v>
      </c>
      <c r="L102" s="4611">
        <f t="shared" si="119"/>
        <v>621.33999999999992</v>
      </c>
      <c r="M102" s="4611">
        <f t="shared" si="119"/>
        <v>580.09000000000015</v>
      </c>
      <c r="N102" s="4611">
        <f t="shared" si="119"/>
        <v>988.83999999999969</v>
      </c>
      <c r="O102" s="4611">
        <f t="shared" si="119"/>
        <v>3757.8999999999996</v>
      </c>
      <c r="Q102" s="4554"/>
      <c r="S102" s="4591" t="s">
        <v>226</v>
      </c>
      <c r="T102" s="4592">
        <f>'12. Разходи'!AI11</f>
        <v>0</v>
      </c>
      <c r="U102" s="4592">
        <f>'12. Разходи'!AJ11</f>
        <v>0</v>
      </c>
      <c r="V102" s="4592">
        <f>'12. Разходи'!AK11</f>
        <v>0</v>
      </c>
      <c r="W102" s="4592">
        <f>'12. Разходи'!AL11</f>
        <v>0</v>
      </c>
      <c r="X102" s="4592">
        <f>'12. Разходи'!AM11</f>
        <v>0</v>
      </c>
      <c r="Y102" s="4592">
        <f>'12. Разходи'!AN11</f>
        <v>0</v>
      </c>
      <c r="Z102" s="4586">
        <f>IFERROR((U102-T102)/T102,0)</f>
        <v>0</v>
      </c>
      <c r="AA102" s="4586">
        <f>IFERROR((Y102-T102)/T102,0)</f>
        <v>0</v>
      </c>
    </row>
    <row r="103" spans="1:27" ht="15.75" customHeight="1">
      <c r="A103" s="4593" t="s">
        <v>218</v>
      </c>
      <c r="B103" s="4592">
        <f t="shared" si="118"/>
        <v>821</v>
      </c>
      <c r="C103" s="4592">
        <f t="shared" si="118"/>
        <v>1062.79</v>
      </c>
      <c r="D103" s="4592">
        <f t="shared" si="118"/>
        <v>1089.8400000000001</v>
      </c>
      <c r="E103" s="4592">
        <f t="shared" si="118"/>
        <v>1126.3399999999999</v>
      </c>
      <c r="F103" s="4592">
        <f t="shared" si="118"/>
        <v>1180.0900000000001</v>
      </c>
      <c r="G103" s="4592">
        <f t="shared" si="118"/>
        <v>1218.8399999999997</v>
      </c>
      <c r="I103" s="4612"/>
      <c r="J103" s="4613"/>
      <c r="K103" s="4613"/>
      <c r="L103" s="4613"/>
      <c r="M103" s="4613"/>
      <c r="N103" s="4613"/>
      <c r="O103" s="4613"/>
      <c r="Q103" s="4554"/>
      <c r="S103" s="4591" t="s">
        <v>239</v>
      </c>
      <c r="T103" s="4592">
        <f>'12. Разходи'!AI29</f>
        <v>0</v>
      </c>
      <c r="U103" s="4592">
        <f>'12. Разходи'!AJ29</f>
        <v>0</v>
      </c>
      <c r="V103" s="4592">
        <f>'12. Разходи'!AK29</f>
        <v>0</v>
      </c>
      <c r="W103" s="4592">
        <f>'12. Разходи'!AL29</f>
        <v>0</v>
      </c>
      <c r="X103" s="4592">
        <f>'12. Разходи'!AM29</f>
        <v>0</v>
      </c>
      <c r="Y103" s="4592">
        <f>'12. Разходи'!AN29</f>
        <v>0</v>
      </c>
      <c r="Z103" s="4586">
        <f t="shared" ref="Z103:Z118" si="120">IFERROR((U103-T103)/T103,0)</f>
        <v>0</v>
      </c>
      <c r="AA103" s="4586">
        <f t="shared" ref="AA103:AA118" si="121">IFERROR((Y103-T103)/T103,0)</f>
        <v>0</v>
      </c>
    </row>
    <row r="104" spans="1:27" ht="21" customHeight="1">
      <c r="A104" s="4594" t="s">
        <v>220</v>
      </c>
      <c r="B104" s="4592">
        <f t="shared" si="118"/>
        <v>11671.5</v>
      </c>
      <c r="C104" s="4592">
        <f t="shared" si="118"/>
        <v>13759.030000000002</v>
      </c>
      <c r="D104" s="4592">
        <f t="shared" si="118"/>
        <v>14848.870000000003</v>
      </c>
      <c r="E104" s="4592">
        <f t="shared" si="118"/>
        <v>15975.209999999995</v>
      </c>
      <c r="F104" s="4592">
        <f t="shared" si="118"/>
        <v>17155.300000000003</v>
      </c>
      <c r="G104" s="4592">
        <f t="shared" si="118"/>
        <v>18374.139999999996</v>
      </c>
      <c r="I104" s="3637" t="s">
        <v>1728</v>
      </c>
      <c r="J104" s="4526" t="str">
        <f>+'15. ОПП'!$C$7</f>
        <v>2027 г.</v>
      </c>
      <c r="K104" s="4526" t="str">
        <f>+'15. ОПП'!$D$7</f>
        <v>2028 г.</v>
      </c>
      <c r="L104" s="4526" t="str">
        <f>+'15. ОПП'!$E$7</f>
        <v>2029 г.</v>
      </c>
      <c r="M104" s="4526" t="str">
        <f>+'15. ОПП'!$F$7</f>
        <v>2030 г.</v>
      </c>
      <c r="N104" s="4526" t="str">
        <f>+'15. ОПП'!$G$7</f>
        <v>2031 г.</v>
      </c>
      <c r="Q104" s="4554"/>
      <c r="S104" s="4591" t="s">
        <v>446</v>
      </c>
      <c r="T104" s="4592">
        <f>'12. Разходи'!AI55</f>
        <v>0</v>
      </c>
      <c r="U104" s="4592">
        <f>'12. Разходи'!AJ55</f>
        <v>0</v>
      </c>
      <c r="V104" s="4592">
        <f>'12. Разходи'!AK55</f>
        <v>0</v>
      </c>
      <c r="W104" s="4592">
        <f>'12. Разходи'!AL55</f>
        <v>0</v>
      </c>
      <c r="X104" s="4592">
        <f>'12. Разходи'!AM55</f>
        <v>0</v>
      </c>
      <c r="Y104" s="4592">
        <f>'12. Разходи'!AN55</f>
        <v>0</v>
      </c>
      <c r="Z104" s="4586">
        <f t="shared" si="120"/>
        <v>0</v>
      </c>
      <c r="AA104" s="4586">
        <f t="shared" si="121"/>
        <v>0</v>
      </c>
    </row>
    <row r="105" spans="1:27" ht="15.75" customHeight="1">
      <c r="A105" s="4594" t="s">
        <v>222</v>
      </c>
      <c r="B105" s="4592">
        <f t="shared" si="118"/>
        <v>12988.5</v>
      </c>
      <c r="C105" s="4592">
        <f t="shared" si="118"/>
        <v>11655.97</v>
      </c>
      <c r="D105" s="4592">
        <f t="shared" si="118"/>
        <v>10796.129999999997</v>
      </c>
      <c r="E105" s="4592">
        <f t="shared" si="118"/>
        <v>10174.789999999999</v>
      </c>
      <c r="F105" s="4592">
        <f t="shared" si="118"/>
        <v>9594.6999999999971</v>
      </c>
      <c r="G105" s="4592">
        <f t="shared" si="118"/>
        <v>8605.86</v>
      </c>
      <c r="I105" s="3630" t="s">
        <v>1655</v>
      </c>
      <c r="J105" s="3635">
        <f>'10. Финансиране на ИП'!AT59*'10. Финансиране на ИП'!AT66</f>
        <v>0</v>
      </c>
      <c r="K105" s="3635">
        <f>'10. Финансиране на ИП'!AU59*'10. Финансиране на ИП'!AU66</f>
        <v>0</v>
      </c>
      <c r="L105" s="3635">
        <f>'10. Финансиране на ИП'!AV59*'10. Финансиране на ИП'!AV66</f>
        <v>0</v>
      </c>
      <c r="M105" s="3635">
        <f>'10. Финансиране на ИП'!AW59*'10. Финансиране на ИП'!AW66</f>
        <v>0</v>
      </c>
      <c r="N105" s="3635">
        <f>'10. Финансиране на ИП'!AX59*'10. Финансиране на ИП'!AX66</f>
        <v>0</v>
      </c>
      <c r="Q105" s="4554"/>
      <c r="S105" s="4584" t="s">
        <v>447</v>
      </c>
      <c r="T105" s="4592">
        <f>'12. Разходи'!AI56</f>
        <v>0</v>
      </c>
      <c r="U105" s="4592">
        <f>'12. Разходи'!AJ56</f>
        <v>0</v>
      </c>
      <c r="V105" s="4592">
        <f>'12. Разходи'!AK56</f>
        <v>0</v>
      </c>
      <c r="W105" s="4592">
        <f>'12. Разходи'!AL56</f>
        <v>0</v>
      </c>
      <c r="X105" s="4592">
        <f>'12. Разходи'!AM56</f>
        <v>0</v>
      </c>
      <c r="Y105" s="4592">
        <f>'12. Разходи'!AN56</f>
        <v>0</v>
      </c>
      <c r="Z105" s="4586">
        <f t="shared" si="120"/>
        <v>0</v>
      </c>
      <c r="AA105" s="4586">
        <f t="shared" si="121"/>
        <v>0</v>
      </c>
    </row>
    <row r="106" spans="1:27" ht="15.75" customHeight="1">
      <c r="A106" s="5682" t="s">
        <v>1658</v>
      </c>
      <c r="B106" s="5682"/>
      <c r="C106" s="5682"/>
      <c r="D106" s="5682"/>
      <c r="E106" s="5682"/>
      <c r="F106" s="5682"/>
      <c r="G106" s="5682"/>
      <c r="I106" s="3632" t="s">
        <v>1650</v>
      </c>
      <c r="J106" s="3633">
        <f>'10. Финансиране на ИП'!AT60*'10. Финансиране на ИП'!AT66</f>
        <v>0</v>
      </c>
      <c r="K106" s="3633">
        <f>'10. Финансиране на ИП'!AU60*'10. Финансиране на ИП'!AU66</f>
        <v>0</v>
      </c>
      <c r="L106" s="3633">
        <f>'10. Финансиране на ИП'!AV60*'10. Финансиране на ИП'!AV66</f>
        <v>0</v>
      </c>
      <c r="M106" s="3633">
        <f>'10. Финансиране на ИП'!AW60*'10. Финансиране на ИП'!AW66</f>
        <v>0</v>
      </c>
      <c r="N106" s="3633">
        <f>'10. Финансиране на ИП'!AX60*'10. Финансиране на ИП'!AX66</f>
        <v>0</v>
      </c>
      <c r="Q106" s="4554"/>
      <c r="S106" s="4584" t="s">
        <v>736</v>
      </c>
      <c r="T106" s="4592">
        <f>'12. Разходи'!AI57</f>
        <v>0</v>
      </c>
      <c r="U106" s="4592">
        <f>'12. Разходи'!AJ57</f>
        <v>0</v>
      </c>
      <c r="V106" s="4592">
        <f>'12. Разходи'!AK57</f>
        <v>0</v>
      </c>
      <c r="W106" s="4592">
        <f>'12. Разходи'!AL57</f>
        <v>0</v>
      </c>
      <c r="X106" s="4592">
        <f>'12. Разходи'!AM57</f>
        <v>0</v>
      </c>
      <c r="Y106" s="4592">
        <f>'12. Разходи'!AN57</f>
        <v>0</v>
      </c>
      <c r="Z106" s="4586">
        <f t="shared" si="120"/>
        <v>0</v>
      </c>
      <c r="AA106" s="4586">
        <f t="shared" si="121"/>
        <v>0</v>
      </c>
    </row>
    <row r="107" spans="1:27" ht="15.75" customHeight="1">
      <c r="A107" s="4589" t="s">
        <v>334</v>
      </c>
      <c r="B107" s="4590">
        <f t="shared" ref="B107:G110" si="122">B11+B29+B47+B65+B89</f>
        <v>26022</v>
      </c>
      <c r="C107" s="4590">
        <f t="shared" si="122"/>
        <v>34821</v>
      </c>
      <c r="D107" s="4590">
        <f t="shared" si="122"/>
        <v>38141</v>
      </c>
      <c r="E107" s="4590">
        <f t="shared" si="122"/>
        <v>41396.000000000007</v>
      </c>
      <c r="F107" s="4590">
        <f t="shared" si="122"/>
        <v>44566</v>
      </c>
      <c r="G107" s="4590">
        <f t="shared" si="122"/>
        <v>47870.999999999993</v>
      </c>
      <c r="I107" s="3632" t="s">
        <v>1651</v>
      </c>
      <c r="J107" s="3633">
        <f>'10. Финансиране на ИП'!AT61*'10. Финансиране на ИП'!AT66</f>
        <v>0</v>
      </c>
      <c r="K107" s="3633">
        <f>'10. Финансиране на ИП'!AU61*'10. Финансиране на ИП'!AU66</f>
        <v>0</v>
      </c>
      <c r="L107" s="3633">
        <f>'10. Финансиране на ИП'!AV61*'10. Финансиране на ИП'!AV66</f>
        <v>0</v>
      </c>
      <c r="M107" s="3633">
        <f>'10. Финансиране на ИП'!AW61*'10. Финансиране на ИП'!AW66</f>
        <v>0</v>
      </c>
      <c r="N107" s="3633">
        <f>'10. Финансиране на ИП'!AX61*'10. Финансиране на ИП'!AX66</f>
        <v>0</v>
      </c>
      <c r="Q107" s="4554"/>
      <c r="S107" s="4584" t="s">
        <v>737</v>
      </c>
      <c r="T107" s="4592">
        <f>'12. Разходи'!AI58</f>
        <v>0</v>
      </c>
      <c r="U107" s="4592">
        <f>'12. Разходи'!AJ58</f>
        <v>0</v>
      </c>
      <c r="V107" s="4592">
        <f>'12. Разходи'!AK58</f>
        <v>0</v>
      </c>
      <c r="W107" s="4592">
        <f>'12. Разходи'!AL58</f>
        <v>0</v>
      </c>
      <c r="X107" s="4592">
        <f>'12. Разходи'!AM58</f>
        <v>0</v>
      </c>
      <c r="Y107" s="4592">
        <f>'12. Разходи'!AN58</f>
        <v>0</v>
      </c>
      <c r="Z107" s="4586">
        <f t="shared" si="120"/>
        <v>0</v>
      </c>
      <c r="AA107" s="4586">
        <f t="shared" si="121"/>
        <v>0</v>
      </c>
    </row>
    <row r="108" spans="1:27" ht="15.75" customHeight="1">
      <c r="A108" s="4593" t="s">
        <v>218</v>
      </c>
      <c r="B108" s="4592">
        <f t="shared" si="122"/>
        <v>608</v>
      </c>
      <c r="C108" s="4592">
        <f t="shared" si="122"/>
        <v>848.49</v>
      </c>
      <c r="D108" s="4592">
        <f t="shared" si="122"/>
        <v>939.79000000000008</v>
      </c>
      <c r="E108" s="4592">
        <f t="shared" si="122"/>
        <v>1023.74</v>
      </c>
      <c r="F108" s="4592">
        <f t="shared" si="122"/>
        <v>1105.9899999999998</v>
      </c>
      <c r="G108" s="4592">
        <f t="shared" si="122"/>
        <v>1188.3399999999997</v>
      </c>
      <c r="I108" s="3630" t="s">
        <v>1652</v>
      </c>
      <c r="J108" s="3635">
        <f>'10. Финансиране на ИП'!AT62*'10. Финансиране на ИП'!AT66</f>
        <v>0</v>
      </c>
      <c r="K108" s="3635">
        <f>'10. Финансиране на ИП'!AU62*'10. Финансиране на ИП'!AU66</f>
        <v>0</v>
      </c>
      <c r="L108" s="3635">
        <f>'10. Финансиране на ИП'!AV62*'10. Финансиране на ИП'!AV66</f>
        <v>0</v>
      </c>
      <c r="M108" s="3635">
        <f>'10. Финансиране на ИП'!AW62*'10. Финансиране на ИП'!AW66</f>
        <v>0</v>
      </c>
      <c r="N108" s="3635">
        <f>'10. Финансиране на ИП'!AX62*'10. Финансиране на ИП'!AX66</f>
        <v>0</v>
      </c>
      <c r="Q108" s="4554"/>
      <c r="S108" s="4591" t="s">
        <v>448</v>
      </c>
      <c r="T108" s="4592">
        <f>'12. Разходи'!AI59</f>
        <v>0</v>
      </c>
      <c r="U108" s="4592">
        <f>'12. Разходи'!AJ59</f>
        <v>0</v>
      </c>
      <c r="V108" s="4592">
        <f>'12. Разходи'!AK59</f>
        <v>0</v>
      </c>
      <c r="W108" s="4592">
        <f>'12. Разходи'!AL59</f>
        <v>0</v>
      </c>
      <c r="X108" s="4592">
        <f>'12. Разходи'!AM59</f>
        <v>0</v>
      </c>
      <c r="Y108" s="4592">
        <f>'12. Разходи'!AN59</f>
        <v>0</v>
      </c>
      <c r="Z108" s="4586">
        <f t="shared" si="120"/>
        <v>0</v>
      </c>
      <c r="AA108" s="4586">
        <f t="shared" si="121"/>
        <v>0</v>
      </c>
    </row>
    <row r="109" spans="1:27" ht="15.75" customHeight="1">
      <c r="A109" s="4594" t="s">
        <v>220</v>
      </c>
      <c r="B109" s="4592">
        <f t="shared" si="122"/>
        <v>2292</v>
      </c>
      <c r="C109" s="4592">
        <f t="shared" si="122"/>
        <v>3878.6550000000002</v>
      </c>
      <c r="D109" s="4592">
        <f t="shared" si="122"/>
        <v>4818.4449999999997</v>
      </c>
      <c r="E109" s="4592">
        <f t="shared" si="122"/>
        <v>5842.1849999999995</v>
      </c>
      <c r="F109" s="4592">
        <f t="shared" si="122"/>
        <v>6948.1750000000002</v>
      </c>
      <c r="G109" s="4592">
        <f t="shared" si="122"/>
        <v>8136.5150000000003</v>
      </c>
      <c r="I109" s="3632" t="s">
        <v>199</v>
      </c>
      <c r="J109" s="3626">
        <f>'10. Финансиране на ИП'!AT63</f>
        <v>0</v>
      </c>
      <c r="K109" s="3626">
        <f>'10. Финансиране на ИП'!AU63</f>
        <v>0</v>
      </c>
      <c r="L109" s="3626">
        <f>'10. Финансиране на ИП'!AV63</f>
        <v>0</v>
      </c>
      <c r="M109" s="3626">
        <f>'10. Финансиране на ИП'!AW63</f>
        <v>0</v>
      </c>
      <c r="N109" s="3626">
        <f>'10. Финансиране на ИП'!AX63</f>
        <v>0</v>
      </c>
      <c r="Q109" s="4554"/>
      <c r="S109" s="4591" t="s">
        <v>449</v>
      </c>
      <c r="T109" s="4592">
        <f>'12. Разходи'!AI63</f>
        <v>0</v>
      </c>
      <c r="U109" s="4592">
        <f>'12. Разходи'!AJ63</f>
        <v>0</v>
      </c>
      <c r="V109" s="4592">
        <f>'12. Разходи'!AK63</f>
        <v>0</v>
      </c>
      <c r="W109" s="4592">
        <f>'12. Разходи'!AL63</f>
        <v>0</v>
      </c>
      <c r="X109" s="4592">
        <f>'12. Разходи'!AM63</f>
        <v>0</v>
      </c>
      <c r="Y109" s="4592">
        <f>'12. Разходи'!AN63</f>
        <v>0</v>
      </c>
      <c r="Z109" s="4586">
        <f t="shared" si="120"/>
        <v>0</v>
      </c>
      <c r="AA109" s="4586">
        <f t="shared" si="121"/>
        <v>0</v>
      </c>
    </row>
    <row r="110" spans="1:27" ht="15.75" customHeight="1">
      <c r="A110" s="4594" t="s">
        <v>222</v>
      </c>
      <c r="B110" s="4592">
        <f t="shared" si="122"/>
        <v>23730</v>
      </c>
      <c r="C110" s="4592">
        <f t="shared" si="122"/>
        <v>30942.345000000001</v>
      </c>
      <c r="D110" s="4592">
        <f t="shared" si="122"/>
        <v>33322.555</v>
      </c>
      <c r="E110" s="4592">
        <f t="shared" si="122"/>
        <v>35553.815000000002</v>
      </c>
      <c r="F110" s="4592">
        <f t="shared" si="122"/>
        <v>37617.825000000004</v>
      </c>
      <c r="G110" s="4592">
        <f t="shared" si="122"/>
        <v>39734.485000000001</v>
      </c>
      <c r="I110" s="3630" t="s">
        <v>1653</v>
      </c>
      <c r="J110" s="3636">
        <f>'10. Финансиране на ИП'!AT64*'10. Финансиране на ИП'!AT66</f>
        <v>0</v>
      </c>
      <c r="K110" s="3636">
        <f>'10. Финансиране на ИП'!AU64*'10. Финансиране на ИП'!AU66</f>
        <v>0</v>
      </c>
      <c r="L110" s="3636">
        <f>'10. Финансиране на ИП'!AV64*'10. Финансиране на ИП'!AV66</f>
        <v>0</v>
      </c>
      <c r="M110" s="3636">
        <f>'10. Финансиране на ИП'!AW64*'10. Финансиране на ИП'!AW66</f>
        <v>0</v>
      </c>
      <c r="N110" s="3636">
        <f>'10. Финансиране на ИП'!AX64*'10. Финансиране на ИП'!AX66</f>
        <v>0</v>
      </c>
      <c r="Q110" s="4554"/>
      <c r="S110" s="4591" t="s">
        <v>450</v>
      </c>
      <c r="T110" s="4592">
        <f>'12. Разходи'!AI70</f>
        <v>0</v>
      </c>
      <c r="U110" s="4592">
        <f>'12. Разходи'!AJ70</f>
        <v>0</v>
      </c>
      <c r="V110" s="4592">
        <f>'12. Разходи'!AK70</f>
        <v>0</v>
      </c>
      <c r="W110" s="4592">
        <f>'12. Разходи'!AL70</f>
        <v>0</v>
      </c>
      <c r="X110" s="4592">
        <f>'12. Разходи'!AM70</f>
        <v>0</v>
      </c>
      <c r="Y110" s="4592">
        <f>'12. Разходи'!AN70</f>
        <v>0</v>
      </c>
      <c r="Z110" s="4586">
        <f t="shared" si="120"/>
        <v>0</v>
      </c>
      <c r="AA110" s="4586">
        <f t="shared" si="121"/>
        <v>0</v>
      </c>
    </row>
    <row r="111" spans="1:27" ht="15.75" customHeight="1">
      <c r="A111" s="5682" t="s">
        <v>1659</v>
      </c>
      <c r="B111" s="5682"/>
      <c r="C111" s="5682"/>
      <c r="D111" s="5682"/>
      <c r="E111" s="5682"/>
      <c r="F111" s="5682"/>
      <c r="G111" s="5682"/>
      <c r="I111" s="3630" t="s">
        <v>1654</v>
      </c>
      <c r="J111" s="3636">
        <f>'10. Финансиране на ИП'!AT65*'10. Финансиране на ИП'!AT66</f>
        <v>0</v>
      </c>
      <c r="K111" s="3636">
        <f>'10. Финансиране на ИП'!AU65*'10. Финансиране на ИП'!AU66</f>
        <v>0</v>
      </c>
      <c r="L111" s="3636">
        <f>'10. Финансиране на ИП'!AV65*'10. Финансиране на ИП'!AV66</f>
        <v>0</v>
      </c>
      <c r="M111" s="3636">
        <f>'10. Финансиране на ИП'!AW65*'10. Финансиране на ИП'!AW66</f>
        <v>0</v>
      </c>
      <c r="N111" s="3636">
        <f>'10. Финансиране на ИП'!AX65*'10. Финансиране на ИП'!AX66</f>
        <v>0</v>
      </c>
      <c r="Q111" s="4554"/>
      <c r="S111" s="4591" t="s">
        <v>267</v>
      </c>
      <c r="T111" s="4592">
        <f>'12. Разходи'!AI76</f>
        <v>0</v>
      </c>
      <c r="U111" s="4592">
        <f>'12. Разходи'!AJ76</f>
        <v>0</v>
      </c>
      <c r="V111" s="4592">
        <f>'12. Разходи'!AK76</f>
        <v>0</v>
      </c>
      <c r="W111" s="4592">
        <f>'12. Разходи'!AL76</f>
        <v>0</v>
      </c>
      <c r="X111" s="4592">
        <f>'12. Разходи'!AM76</f>
        <v>0</v>
      </c>
      <c r="Y111" s="4592">
        <f>'12. Разходи'!AN76</f>
        <v>0</v>
      </c>
      <c r="Z111" s="4586">
        <f t="shared" si="120"/>
        <v>0</v>
      </c>
      <c r="AA111" s="4586">
        <f t="shared" si="121"/>
        <v>0</v>
      </c>
    </row>
    <row r="112" spans="1:27" ht="20.25" customHeight="1">
      <c r="A112" s="4589" t="s">
        <v>334</v>
      </c>
      <c r="B112" s="4590">
        <f t="shared" ref="B112:G115" si="123">B16+B34+B52+B70+B94</f>
        <v>212068</v>
      </c>
      <c r="C112" s="4590">
        <f t="shared" si="123"/>
        <v>212068</v>
      </c>
      <c r="D112" s="4590">
        <f t="shared" si="123"/>
        <v>212068</v>
      </c>
      <c r="E112" s="4590">
        <f t="shared" si="123"/>
        <v>212068</v>
      </c>
      <c r="F112" s="4590">
        <f t="shared" si="123"/>
        <v>212068</v>
      </c>
      <c r="G112" s="4590">
        <f t="shared" si="123"/>
        <v>212068</v>
      </c>
      <c r="I112" s="3637" t="s">
        <v>1938</v>
      </c>
      <c r="J112" s="4526" t="str">
        <f>+'15. ОПП'!$C$7</f>
        <v>2027 г.</v>
      </c>
      <c r="K112" s="4526" t="str">
        <f>+'15. ОПП'!$D$7</f>
        <v>2028 г.</v>
      </c>
      <c r="L112" s="4526" t="str">
        <f>+'15. ОПП'!$E$7</f>
        <v>2029 г.</v>
      </c>
      <c r="M112" s="4526" t="str">
        <f>+'15. ОПП'!$F$7</f>
        <v>2030 г.</v>
      </c>
      <c r="N112" s="4526" t="str">
        <f>+'15. ОПП'!$G$7</f>
        <v>2031 г.</v>
      </c>
      <c r="Q112" s="4554"/>
      <c r="S112" s="4598" t="s">
        <v>277</v>
      </c>
      <c r="T112" s="4599">
        <f>SUM(T102:T104,T108:T111)</f>
        <v>0</v>
      </c>
      <c r="U112" s="4599">
        <f t="shared" ref="U112" si="124">SUM(U102:U104,U108:U111)</f>
        <v>0</v>
      </c>
      <c r="V112" s="4599">
        <f t="shared" ref="V112" si="125">SUM(V102:V104,V108:V111)</f>
        <v>0</v>
      </c>
      <c r="W112" s="4599">
        <f t="shared" ref="W112" si="126">SUM(W102:W104,W108:W111)</f>
        <v>0</v>
      </c>
      <c r="X112" s="4599">
        <f t="shared" ref="X112" si="127">SUM(X102:X104,X108:X111)</f>
        <v>0</v>
      </c>
      <c r="Y112" s="4599">
        <f t="shared" ref="Y112" si="128">SUM(Y102:Y104,Y108:Y111)</f>
        <v>0</v>
      </c>
      <c r="Z112" s="4600">
        <f t="shared" si="120"/>
        <v>0</v>
      </c>
      <c r="AA112" s="4600">
        <f t="shared" si="121"/>
        <v>0</v>
      </c>
    </row>
    <row r="113" spans="1:27" ht="15.75" customHeight="1">
      <c r="A113" s="4593" t="s">
        <v>218</v>
      </c>
      <c r="B113" s="4592">
        <f t="shared" si="123"/>
        <v>5124</v>
      </c>
      <c r="C113" s="4592">
        <f t="shared" si="123"/>
        <v>5124</v>
      </c>
      <c r="D113" s="4592">
        <f t="shared" si="123"/>
        <v>5124</v>
      </c>
      <c r="E113" s="4592">
        <f t="shared" si="123"/>
        <v>5124</v>
      </c>
      <c r="F113" s="4592">
        <f t="shared" si="123"/>
        <v>5124</v>
      </c>
      <c r="G113" s="4592">
        <f t="shared" si="123"/>
        <v>5124</v>
      </c>
      <c r="I113" s="3630" t="s">
        <v>1655</v>
      </c>
      <c r="J113" s="3635">
        <f>'10. Финансиране на ИП'!AT70*'10. Финансиране на ИП'!AT77</f>
        <v>0</v>
      </c>
      <c r="K113" s="3635">
        <f>'10. Финансиране на ИП'!AU70*'10. Финансиране на ИП'!AU77</f>
        <v>0</v>
      </c>
      <c r="L113" s="3635">
        <f>'10. Финансиране на ИП'!AV70*'10. Финансиране на ИП'!AV77</f>
        <v>0</v>
      </c>
      <c r="M113" s="3635">
        <f>'10. Финансиране на ИП'!AW70*'10. Финансиране на ИП'!AW77</f>
        <v>0</v>
      </c>
      <c r="N113" s="3635">
        <f>'10. Финансиране на ИП'!AX70*'10. Финансиране на ИП'!AX77</f>
        <v>0</v>
      </c>
      <c r="Q113" s="4554"/>
      <c r="S113" s="4555" t="str">
        <f>CONCATENATE("Спестявания и увеличения спрямо ",T101," - нето:")</f>
        <v>Спестявания и увеличения спрямо 2024 г. - нето:</v>
      </c>
      <c r="T113" s="4557"/>
      <c r="U113" s="4601">
        <f>U112-$T112</f>
        <v>0</v>
      </c>
      <c r="V113" s="4601">
        <f t="shared" ref="V113" si="129">V112-$T112</f>
        <v>0</v>
      </c>
      <c r="W113" s="4601">
        <f t="shared" ref="W113" si="130">W112-$T112</f>
        <v>0</v>
      </c>
      <c r="X113" s="4601">
        <f t="shared" ref="X113" si="131">X112-$T112</f>
        <v>0</v>
      </c>
      <c r="Y113" s="4601">
        <f t="shared" ref="Y113" si="132">Y112-$T112</f>
        <v>0</v>
      </c>
      <c r="Z113" s="4557"/>
      <c r="AA113" s="4557"/>
    </row>
    <row r="114" spans="1:27" ht="15.75" customHeight="1">
      <c r="A114" s="4594" t="s">
        <v>220</v>
      </c>
      <c r="B114" s="4592">
        <f t="shared" si="123"/>
        <v>42987</v>
      </c>
      <c r="C114" s="4592">
        <f t="shared" si="123"/>
        <v>53235</v>
      </c>
      <c r="D114" s="4592">
        <f t="shared" si="123"/>
        <v>58359</v>
      </c>
      <c r="E114" s="4592">
        <f t="shared" si="123"/>
        <v>63483</v>
      </c>
      <c r="F114" s="4592">
        <f t="shared" si="123"/>
        <v>68607</v>
      </c>
      <c r="G114" s="4592">
        <f t="shared" si="123"/>
        <v>73731</v>
      </c>
      <c r="I114" s="3632" t="s">
        <v>1650</v>
      </c>
      <c r="J114" s="3633">
        <f>'10. Финансиране на ИП'!AT71*'10. Финансиране на ИП'!AT77</f>
        <v>0</v>
      </c>
      <c r="K114" s="3633">
        <f>'10. Финансиране на ИП'!AU71*'10. Финансиране на ИП'!AU77</f>
        <v>0</v>
      </c>
      <c r="L114" s="3633">
        <f>'10. Финансиране на ИП'!AV71*'10. Финансиране на ИП'!AV77</f>
        <v>0</v>
      </c>
      <c r="M114" s="3633">
        <f>'10. Финансиране на ИП'!AW71*'10. Финансиране на ИП'!AW77</f>
        <v>0</v>
      </c>
      <c r="N114" s="3633">
        <f>'10. Финансиране на ИП'!AX71*'10. Финансиране на ИП'!AX77</f>
        <v>0</v>
      </c>
      <c r="Q114" s="4554"/>
      <c r="S114" s="4591" t="s">
        <v>1669</v>
      </c>
      <c r="T114" s="4592">
        <f>+'12. Разходи'!AI92</f>
        <v>0</v>
      </c>
      <c r="U114" s="4592">
        <f>+'12. Разходи'!AJ92</f>
        <v>0</v>
      </c>
      <c r="V114" s="4592">
        <f>+'12. Разходи'!AK92</f>
        <v>0</v>
      </c>
      <c r="W114" s="4592">
        <f>+'12. Разходи'!AL92</f>
        <v>0</v>
      </c>
      <c r="X114" s="4592">
        <f>+'12. Разходи'!AM92</f>
        <v>0</v>
      </c>
      <c r="Y114" s="4592">
        <f>+'12. Разходи'!AN92</f>
        <v>0</v>
      </c>
      <c r="Z114" s="4586">
        <f t="shared" ref="Z114:Z116" si="133">IFERROR((U114-T114)/T114,0)</f>
        <v>0</v>
      </c>
      <c r="AA114" s="4586">
        <f t="shared" ref="AA114:AA116" si="134">IFERROR((Y114-T114)/T114,0)</f>
        <v>0</v>
      </c>
    </row>
    <row r="115" spans="1:27" ht="15.75" customHeight="1">
      <c r="A115" s="4594" t="s">
        <v>222</v>
      </c>
      <c r="B115" s="4592">
        <f t="shared" si="123"/>
        <v>169081</v>
      </c>
      <c r="C115" s="4592">
        <f t="shared" si="123"/>
        <v>158833</v>
      </c>
      <c r="D115" s="4592">
        <f t="shared" si="123"/>
        <v>153709</v>
      </c>
      <c r="E115" s="4592">
        <f t="shared" si="123"/>
        <v>148585</v>
      </c>
      <c r="F115" s="4592">
        <f t="shared" si="123"/>
        <v>143461</v>
      </c>
      <c r="G115" s="4592">
        <f t="shared" si="123"/>
        <v>138337</v>
      </c>
      <c r="I115" s="3632" t="s">
        <v>1651</v>
      </c>
      <c r="J115" s="3633">
        <f>'10. Финансиране на ИП'!AT72*'10. Финансиране на ИП'!AT77</f>
        <v>0</v>
      </c>
      <c r="K115" s="3633">
        <f>'10. Финансиране на ИП'!AU72*'10. Финансиране на ИП'!AU77</f>
        <v>0</v>
      </c>
      <c r="L115" s="3633">
        <f>'10. Финансиране на ИП'!AV72*'10. Финансиране на ИП'!AV77</f>
        <v>0</v>
      </c>
      <c r="M115" s="3633">
        <f>'10. Финансиране на ИП'!AW72*'10. Финансиране на ИП'!AW77</f>
        <v>0</v>
      </c>
      <c r="N115" s="3633">
        <f>'10. Финансиране на ИП'!AX72*'10. Финансиране на ИП'!AX77</f>
        <v>0</v>
      </c>
      <c r="Q115" s="4554"/>
      <c r="S115" s="4591" t="s">
        <v>1671</v>
      </c>
      <c r="T115" s="4592">
        <f>+'12. Разходи'!AI93</f>
        <v>0</v>
      </c>
      <c r="U115" s="4592">
        <f>+'12. Разходи'!AJ93</f>
        <v>0</v>
      </c>
      <c r="V115" s="4592">
        <f>+'12. Разходи'!AK93</f>
        <v>0</v>
      </c>
      <c r="W115" s="4592">
        <f>+'12. Разходи'!AL93</f>
        <v>0</v>
      </c>
      <c r="X115" s="4592">
        <f>+'12. Разходи'!AM93</f>
        <v>0</v>
      </c>
      <c r="Y115" s="4592">
        <f>+'12. Разходи'!AN93</f>
        <v>0</v>
      </c>
      <c r="Z115" s="4586">
        <f t="shared" si="133"/>
        <v>0</v>
      </c>
      <c r="AA115" s="4586">
        <f t="shared" si="134"/>
        <v>0</v>
      </c>
    </row>
    <row r="116" spans="1:27" ht="15.75" customHeight="1">
      <c r="A116" s="4614"/>
      <c r="B116" s="4615"/>
      <c r="C116" s="4615"/>
      <c r="D116" s="4615"/>
      <c r="E116" s="4615"/>
      <c r="F116" s="4615"/>
      <c r="G116" s="3631" t="s">
        <v>1635</v>
      </c>
      <c r="I116" s="3630" t="s">
        <v>1652</v>
      </c>
      <c r="J116" s="3635">
        <f>'10. Финансиране на ИП'!AT73*'10. Финансиране на ИП'!AT77</f>
        <v>0</v>
      </c>
      <c r="K116" s="3635">
        <f>'10. Финансиране на ИП'!AU73*'10. Финансиране на ИП'!AU77</f>
        <v>0</v>
      </c>
      <c r="L116" s="3635">
        <f>'10. Финансиране на ИП'!AV73*'10. Финансиране на ИП'!AV77</f>
        <v>0</v>
      </c>
      <c r="M116" s="3635">
        <f>'10. Финансиране на ИП'!AW73*'10. Финансиране на ИП'!AW77</f>
        <v>0</v>
      </c>
      <c r="N116" s="3635">
        <f>'10. Финансиране на ИП'!AX73*'10. Финансиране на ИП'!AX77</f>
        <v>0</v>
      </c>
      <c r="Q116" s="4554"/>
      <c r="S116" s="4602" t="s">
        <v>1670</v>
      </c>
      <c r="T116" s="4592">
        <f>+'12. Разходи'!AI94</f>
        <v>0</v>
      </c>
      <c r="U116" s="4592">
        <f>+'12. Разходи'!AJ94</f>
        <v>0</v>
      </c>
      <c r="V116" s="4592">
        <f>+'12. Разходи'!AK94</f>
        <v>0</v>
      </c>
      <c r="W116" s="4592">
        <f>+'12. Разходи'!AL94</f>
        <v>0</v>
      </c>
      <c r="X116" s="4592">
        <f>+'12. Разходи'!AM94</f>
        <v>0</v>
      </c>
      <c r="Y116" s="4592">
        <f>+'12. Разходи'!AN94</f>
        <v>0</v>
      </c>
      <c r="Z116" s="4586">
        <f t="shared" si="133"/>
        <v>0</v>
      </c>
      <c r="AA116" s="4586">
        <f t="shared" si="134"/>
        <v>0</v>
      </c>
    </row>
    <row r="117" spans="1:27" ht="15.75" customHeight="1">
      <c r="A117" s="5685" t="s">
        <v>1661</v>
      </c>
      <c r="B117" s="5683" t="s">
        <v>1660</v>
      </c>
      <c r="C117" s="5683"/>
      <c r="D117" s="5683"/>
      <c r="E117" s="5683"/>
      <c r="F117" s="5683"/>
      <c r="G117" s="5683"/>
      <c r="I117" s="3632" t="s">
        <v>199</v>
      </c>
      <c r="J117" s="3626">
        <f>'10. Финансиране на ИП'!AT74</f>
        <v>0</v>
      </c>
      <c r="K117" s="3626">
        <f>'10. Финансиране на ИП'!AU74</f>
        <v>0</v>
      </c>
      <c r="L117" s="3626">
        <f>'10. Финансиране на ИП'!AV74</f>
        <v>0</v>
      </c>
      <c r="M117" s="3626">
        <f>'10. Финансиране на ИП'!AW74</f>
        <v>0</v>
      </c>
      <c r="N117" s="3626">
        <f>'10. Финансиране на ИП'!AX74</f>
        <v>0</v>
      </c>
      <c r="Q117" s="4554"/>
      <c r="S117" s="4591" t="s">
        <v>637</v>
      </c>
      <c r="T117" s="4592">
        <f>'12. Разходи'!AI90</f>
        <v>0</v>
      </c>
      <c r="U117" s="4592">
        <f>'12. Разходи'!AJ90</f>
        <v>0</v>
      </c>
      <c r="V117" s="4592">
        <f>'12. Разходи'!AK90</f>
        <v>0</v>
      </c>
      <c r="W117" s="4592">
        <f>'12. Разходи'!AL90</f>
        <v>0</v>
      </c>
      <c r="X117" s="4592">
        <f>'12. Разходи'!AM90</f>
        <v>0</v>
      </c>
      <c r="Y117" s="4592">
        <f>'12. Разходи'!AN90</f>
        <v>0</v>
      </c>
      <c r="Z117" s="4586">
        <f t="shared" si="120"/>
        <v>0</v>
      </c>
      <c r="AA117" s="4586">
        <f t="shared" si="121"/>
        <v>0</v>
      </c>
    </row>
    <row r="118" spans="1:27" ht="15.75" customHeight="1">
      <c r="A118" s="5685"/>
      <c r="B118" s="4608" t="str">
        <f>+B100</f>
        <v>2024 г.</v>
      </c>
      <c r="C118" s="4608" t="str">
        <f t="shared" ref="C118:G118" si="135">+C100</f>
        <v>2027 г.</v>
      </c>
      <c r="D118" s="4608" t="str">
        <f t="shared" si="135"/>
        <v>2028 г.</v>
      </c>
      <c r="E118" s="4608" t="str">
        <f t="shared" si="135"/>
        <v>2029 г.</v>
      </c>
      <c r="F118" s="4608" t="str">
        <f t="shared" si="135"/>
        <v>2030 г.</v>
      </c>
      <c r="G118" s="4608" t="str">
        <f t="shared" si="135"/>
        <v>2031 г.</v>
      </c>
      <c r="I118" s="3630" t="s">
        <v>1653</v>
      </c>
      <c r="J118" s="3636">
        <f>'10. Финансиране на ИП'!AT75*'10. Финансиране на ИП'!AT77</f>
        <v>0</v>
      </c>
      <c r="K118" s="3636">
        <f>'10. Финансиране на ИП'!AU75*'10. Финансиране на ИП'!AU77</f>
        <v>0</v>
      </c>
      <c r="L118" s="3636">
        <f>'10. Финансиране на ИП'!AV75*'10. Финансиране на ИП'!AV77</f>
        <v>0</v>
      </c>
      <c r="M118" s="3636">
        <f>'10. Финансиране на ИП'!AW75*'10. Финансиране на ИП'!AW77</f>
        <v>0</v>
      </c>
      <c r="N118" s="3636">
        <f>'10. Финансиране на ИП'!AX75*'10. Финансиране на ИП'!AX77</f>
        <v>0</v>
      </c>
      <c r="Q118" s="4554"/>
      <c r="S118" s="4591" t="s">
        <v>1668</v>
      </c>
      <c r="T118" s="4592">
        <f>'12. Разходи'!AI89</f>
        <v>0</v>
      </c>
      <c r="U118" s="4592">
        <f>'12. Разходи'!AJ89</f>
        <v>0</v>
      </c>
      <c r="V118" s="4592">
        <f>'12. Разходи'!AK89</f>
        <v>0</v>
      </c>
      <c r="W118" s="4592">
        <f>'12. Разходи'!AL89</f>
        <v>0</v>
      </c>
      <c r="X118" s="4592">
        <f>'12. Разходи'!AM89</f>
        <v>0</v>
      </c>
      <c r="Y118" s="4592">
        <f>'12. Разходи'!AN89</f>
        <v>0</v>
      </c>
      <c r="Z118" s="4586">
        <f t="shared" si="120"/>
        <v>0</v>
      </c>
      <c r="AA118" s="4586">
        <f t="shared" si="121"/>
        <v>0</v>
      </c>
    </row>
    <row r="119" spans="1:27" ht="15.75" customHeight="1">
      <c r="A119" s="4594" t="s">
        <v>1662</v>
      </c>
      <c r="B119" s="4592">
        <f t="shared" ref="B119:G119" si="136">B16</f>
        <v>91306</v>
      </c>
      <c r="C119" s="4592">
        <f t="shared" si="136"/>
        <v>91306</v>
      </c>
      <c r="D119" s="4592">
        <f t="shared" si="136"/>
        <v>91306</v>
      </c>
      <c r="E119" s="4592">
        <f t="shared" si="136"/>
        <v>91306</v>
      </c>
      <c r="F119" s="4592">
        <f t="shared" si="136"/>
        <v>91306</v>
      </c>
      <c r="G119" s="4592">
        <f t="shared" si="136"/>
        <v>91306</v>
      </c>
      <c r="I119" s="3630" t="s">
        <v>1654</v>
      </c>
      <c r="J119" s="3636">
        <f>'10. Финансиране на ИП'!AT76*'10. Финансиране на ИП'!AT77</f>
        <v>0</v>
      </c>
      <c r="K119" s="3636">
        <f>'10. Финансиране на ИП'!AU76*'10. Финансиране на ИП'!AU77</f>
        <v>0</v>
      </c>
      <c r="L119" s="3636">
        <f>'10. Финансиране на ИП'!AV76*'10. Финансиране на ИП'!AV77</f>
        <v>0</v>
      </c>
      <c r="M119" s="3636">
        <f>'10. Финансиране на ИП'!AW76*'10. Финансиране на ИП'!AW77</f>
        <v>0</v>
      </c>
      <c r="N119" s="3636">
        <f>'10. Финансиране на ИП'!AX76*'10. Финансиране на ИП'!AX77</f>
        <v>0</v>
      </c>
      <c r="Q119" s="4554"/>
      <c r="S119" s="1392" t="s">
        <v>1683</v>
      </c>
      <c r="T119" s="4615"/>
      <c r="U119" s="4615"/>
      <c r="V119" s="4615"/>
      <c r="W119" s="4615"/>
      <c r="X119" s="4615"/>
      <c r="Y119" s="4615"/>
      <c r="Z119" s="4615"/>
      <c r="AA119" s="4615"/>
    </row>
    <row r="120" spans="1:27" ht="15.75" customHeight="1">
      <c r="A120" s="4616" t="s">
        <v>1663</v>
      </c>
      <c r="B120" s="4557"/>
      <c r="C120" s="4585">
        <f>'11.2. ДА за периода'!G110</f>
        <v>0</v>
      </c>
      <c r="D120" s="4585">
        <f>'11.2. ДА за периода'!H110</f>
        <v>0</v>
      </c>
      <c r="E120" s="4585">
        <f>'11.2. ДА за периода'!I110</f>
        <v>0</v>
      </c>
      <c r="F120" s="4585">
        <f>'11.2. ДА за периода'!J110</f>
        <v>0</v>
      </c>
      <c r="G120" s="4585">
        <f>'11.2. ДА за периода'!K110</f>
        <v>0</v>
      </c>
      <c r="I120" s="4617" t="s">
        <v>951</v>
      </c>
      <c r="J120" s="1356"/>
      <c r="K120" s="1356"/>
      <c r="L120" s="1356"/>
      <c r="M120" s="1356"/>
      <c r="N120" s="1356"/>
      <c r="O120" s="1356"/>
      <c r="Q120" s="4554"/>
      <c r="S120" s="5677" t="s">
        <v>223</v>
      </c>
      <c r="T120" s="5676" t="s">
        <v>1660</v>
      </c>
      <c r="U120" s="5676"/>
      <c r="V120" s="5676"/>
      <c r="W120" s="5676"/>
      <c r="X120" s="5676"/>
      <c r="Y120" s="5676"/>
      <c r="Z120" s="5619" t="str">
        <f>+"Изменение "&amp;U121&amp;" спр. "&amp;T121</f>
        <v>Изменение 2027 г. спр. 2024 г.</v>
      </c>
      <c r="AA120" s="5619" t="str">
        <f>+"Изменение "&amp;Y121&amp;" спр. "&amp;T121</f>
        <v>Изменение 2031 г. спр. 2024 г.</v>
      </c>
    </row>
    <row r="121" spans="1:27" ht="15.75" customHeight="1">
      <c r="A121" s="4594" t="s">
        <v>174</v>
      </c>
      <c r="B121" s="4592">
        <f t="shared" ref="B121:G121" si="137">B34</f>
        <v>81397</v>
      </c>
      <c r="C121" s="4592">
        <f t="shared" si="137"/>
        <v>81397</v>
      </c>
      <c r="D121" s="4592">
        <f t="shared" si="137"/>
        <v>81397</v>
      </c>
      <c r="E121" s="4592">
        <f t="shared" si="137"/>
        <v>81397</v>
      </c>
      <c r="F121" s="4592">
        <f t="shared" si="137"/>
        <v>81397</v>
      </c>
      <c r="G121" s="4592">
        <f t="shared" si="137"/>
        <v>81397</v>
      </c>
      <c r="I121" s="4618" t="s">
        <v>1621</v>
      </c>
      <c r="J121" s="4526" t="str">
        <f>+'15. ОПП'!$C$7</f>
        <v>2027 г.</v>
      </c>
      <c r="K121" s="4526" t="str">
        <f>+'15. ОПП'!$D$7</f>
        <v>2028 г.</v>
      </c>
      <c r="L121" s="4526" t="str">
        <f>+'15. ОПП'!$E$7</f>
        <v>2029 г.</v>
      </c>
      <c r="M121" s="4526" t="str">
        <f>+'15. ОПП'!$F$7</f>
        <v>2030 г.</v>
      </c>
      <c r="N121" s="4526" t="str">
        <f>+'15. ОПП'!$G$7</f>
        <v>2031 г.</v>
      </c>
      <c r="O121" s="4619" t="s">
        <v>1622</v>
      </c>
      <c r="Q121" s="4554"/>
      <c r="S121" s="5678"/>
      <c r="T121" s="4522" t="str">
        <f t="shared" ref="T121:Y121" si="138">T46</f>
        <v>2024 г.</v>
      </c>
      <c r="U121" s="4522" t="str">
        <f t="shared" si="138"/>
        <v>2027 г.</v>
      </c>
      <c r="V121" s="4522" t="str">
        <f t="shared" si="138"/>
        <v>2028 г.</v>
      </c>
      <c r="W121" s="4522" t="str">
        <f t="shared" si="138"/>
        <v>2029 г.</v>
      </c>
      <c r="X121" s="4522" t="str">
        <f t="shared" si="138"/>
        <v>2030 г.</v>
      </c>
      <c r="Y121" s="4522" t="str">
        <f t="shared" si="138"/>
        <v>2031 г.</v>
      </c>
      <c r="Z121" s="5619"/>
      <c r="AA121" s="5619"/>
    </row>
    <row r="122" spans="1:27" ht="15.75" customHeight="1">
      <c r="A122" s="4616" t="s">
        <v>1663</v>
      </c>
      <c r="B122" s="4557"/>
      <c r="C122" s="4585">
        <f>'11.2. ДА за периода'!N110</f>
        <v>0</v>
      </c>
      <c r="D122" s="4585">
        <f>'11.2. ДА за периода'!O110</f>
        <v>0</v>
      </c>
      <c r="E122" s="4585">
        <f>'11.2. ДА за периода'!P110</f>
        <v>0</v>
      </c>
      <c r="F122" s="4585">
        <f>'11.2. ДА за периода'!Q110</f>
        <v>0</v>
      </c>
      <c r="G122" s="4585">
        <f>'11.2. ДА за периода'!R110</f>
        <v>0</v>
      </c>
      <c r="I122" s="4609" t="s">
        <v>1616</v>
      </c>
      <c r="J122" s="4599">
        <f>'9.Инвестиционна програма'!I152</f>
        <v>3892</v>
      </c>
      <c r="K122" s="4599">
        <f>'9.Инвестиционна програма'!J152</f>
        <v>3319.9999999999995</v>
      </c>
      <c r="L122" s="4599">
        <f>'9.Инвестиционна програма'!K152</f>
        <v>3255</v>
      </c>
      <c r="M122" s="4599">
        <f>'9.Инвестиционна програма'!L152</f>
        <v>3169.9999999999995</v>
      </c>
      <c r="N122" s="4599">
        <f>'9.Инвестиционна програма'!M152</f>
        <v>3304.9999999999995</v>
      </c>
      <c r="O122" s="4599">
        <f t="shared" ref="O122:O124" si="139">SUM(J122:N122)</f>
        <v>16942</v>
      </c>
      <c r="Q122" s="4554"/>
      <c r="S122" s="4591" t="s">
        <v>226</v>
      </c>
      <c r="T122" s="4592">
        <f t="shared" ref="T122:Y131" si="140">T5+T26+T47+T78+T102</f>
        <v>2740.8151133629995</v>
      </c>
      <c r="U122" s="4592">
        <f t="shared" si="140"/>
        <v>2808.0980380000001</v>
      </c>
      <c r="V122" s="4592">
        <f t="shared" si="140"/>
        <v>2781.5410820000002</v>
      </c>
      <c r="W122" s="4592">
        <f t="shared" si="140"/>
        <v>2755.4943656</v>
      </c>
      <c r="X122" s="4592">
        <f t="shared" si="140"/>
        <v>2736.5560156000001</v>
      </c>
      <c r="Y122" s="4592">
        <f t="shared" si="140"/>
        <v>2714.9502255999996</v>
      </c>
      <c r="Z122" s="4586">
        <f>IFERROR((U122-T122)/T122,0)</f>
        <v>2.4548509058111553E-2</v>
      </c>
      <c r="AA122" s="4586">
        <f>IFERROR((Y122-T122)/T122,0)</f>
        <v>-9.4369326981940949E-3</v>
      </c>
    </row>
    <row r="123" spans="1:27" ht="15.75" customHeight="1">
      <c r="A123" s="4594" t="s">
        <v>184</v>
      </c>
      <c r="B123" s="4592">
        <f t="shared" ref="B123:G123" si="141">B52</f>
        <v>39365</v>
      </c>
      <c r="C123" s="4592">
        <f t="shared" si="141"/>
        <v>39365</v>
      </c>
      <c r="D123" s="4592">
        <f t="shared" si="141"/>
        <v>39365</v>
      </c>
      <c r="E123" s="4592">
        <f t="shared" si="141"/>
        <v>39365</v>
      </c>
      <c r="F123" s="4592">
        <f t="shared" si="141"/>
        <v>39365</v>
      </c>
      <c r="G123" s="4592">
        <f t="shared" si="141"/>
        <v>39365</v>
      </c>
      <c r="I123" s="4593" t="s">
        <v>1623</v>
      </c>
      <c r="J123" s="4585">
        <f>'10. Финансиране на ИП'!AT18</f>
        <v>3892</v>
      </c>
      <c r="K123" s="4585">
        <f>'10. Финансиране на ИП'!AU18</f>
        <v>3319.9999999999995</v>
      </c>
      <c r="L123" s="4585">
        <f>'10. Финансиране на ИП'!AV18</f>
        <v>3255</v>
      </c>
      <c r="M123" s="4585">
        <f>'10. Финансиране на ИП'!AW18</f>
        <v>3169.9999999999995</v>
      </c>
      <c r="N123" s="4585">
        <f>'10. Финансиране на ИП'!AX18</f>
        <v>3304.9999999999995</v>
      </c>
      <c r="O123" s="4607">
        <f t="shared" si="139"/>
        <v>16942</v>
      </c>
      <c r="Q123" s="4554"/>
      <c r="S123" s="4591" t="s">
        <v>239</v>
      </c>
      <c r="T123" s="4592">
        <f t="shared" si="140"/>
        <v>2790.223</v>
      </c>
      <c r="U123" s="4592">
        <f t="shared" si="140"/>
        <v>2852</v>
      </c>
      <c r="V123" s="4592">
        <f t="shared" si="140"/>
        <v>2852</v>
      </c>
      <c r="W123" s="4592">
        <f t="shared" si="140"/>
        <v>2852</v>
      </c>
      <c r="X123" s="4592">
        <f t="shared" si="140"/>
        <v>2852</v>
      </c>
      <c r="Y123" s="4592">
        <f t="shared" si="140"/>
        <v>2852</v>
      </c>
      <c r="Z123" s="4586">
        <f t="shared" ref="Z123:Z138" si="142">IFERROR((U123-T123)/T123,0)</f>
        <v>2.2140524252004246E-2</v>
      </c>
      <c r="AA123" s="4586">
        <f t="shared" ref="AA123:AA138" si="143">IFERROR((Y123-T123)/T123,0)</f>
        <v>2.2140524252004246E-2</v>
      </c>
    </row>
    <row r="124" spans="1:27" ht="15.75" customHeight="1">
      <c r="A124" s="4616" t="s">
        <v>1663</v>
      </c>
      <c r="B124" s="4557"/>
      <c r="C124" s="4585">
        <f>'11.2. ДА за периода'!U110</f>
        <v>0</v>
      </c>
      <c r="D124" s="4585">
        <f>'11.2. ДА за периода'!V110</f>
        <v>0</v>
      </c>
      <c r="E124" s="4585">
        <f>'11.2. ДА за периода'!W110</f>
        <v>0</v>
      </c>
      <c r="F124" s="4585">
        <f>'11.2. ДА за периода'!X110</f>
        <v>0</v>
      </c>
      <c r="G124" s="4585">
        <f>'11.2. ДА за периода'!Y110</f>
        <v>0</v>
      </c>
      <c r="I124" s="4593" t="s">
        <v>1626</v>
      </c>
      <c r="J124" s="4585">
        <f>'10. Финансиране на ИП'!AT19</f>
        <v>0</v>
      </c>
      <c r="K124" s="4585">
        <f>'10. Финансиране на ИП'!AU19</f>
        <v>0</v>
      </c>
      <c r="L124" s="4585">
        <f>'10. Финансиране на ИП'!AV19</f>
        <v>0</v>
      </c>
      <c r="M124" s="4585">
        <f>'10. Финансиране на ИП'!AW19</f>
        <v>0</v>
      </c>
      <c r="N124" s="4585">
        <f>'10. Финансиране на ИП'!AX19</f>
        <v>0</v>
      </c>
      <c r="O124" s="4607">
        <f t="shared" si="139"/>
        <v>0</v>
      </c>
      <c r="Q124" s="4554"/>
      <c r="S124" s="4591" t="s">
        <v>446</v>
      </c>
      <c r="T124" s="4592">
        <f t="shared" si="140"/>
        <v>6016.4</v>
      </c>
      <c r="U124" s="4592">
        <f t="shared" si="140"/>
        <v>4954.7829999999994</v>
      </c>
      <c r="V124" s="4592">
        <f t="shared" si="140"/>
        <v>4409.83</v>
      </c>
      <c r="W124" s="4592">
        <f t="shared" si="140"/>
        <v>4381.335</v>
      </c>
      <c r="X124" s="4592">
        <f t="shared" si="140"/>
        <v>4350.08</v>
      </c>
      <c r="Y124" s="4592">
        <f t="shared" si="140"/>
        <v>4523.8339999999989</v>
      </c>
      <c r="Z124" s="4586">
        <f t="shared" si="142"/>
        <v>-0.17645385945083442</v>
      </c>
      <c r="AA124" s="4586">
        <f t="shared" si="143"/>
        <v>-0.24808290672162769</v>
      </c>
    </row>
    <row r="125" spans="1:27" ht="15.75" customHeight="1">
      <c r="A125" s="4594" t="s">
        <v>1029</v>
      </c>
      <c r="B125" s="4592">
        <f t="shared" ref="B125:G125" si="144">B70</f>
        <v>0</v>
      </c>
      <c r="C125" s="4592">
        <f t="shared" si="144"/>
        <v>0</v>
      </c>
      <c r="D125" s="4592">
        <f t="shared" si="144"/>
        <v>0</v>
      </c>
      <c r="E125" s="4592">
        <f t="shared" si="144"/>
        <v>0</v>
      </c>
      <c r="F125" s="4592">
        <f t="shared" si="144"/>
        <v>0</v>
      </c>
      <c r="G125" s="4592">
        <f t="shared" si="144"/>
        <v>0</v>
      </c>
      <c r="I125" s="4617"/>
      <c r="J125" s="4620"/>
      <c r="K125" s="4620"/>
      <c r="L125" s="4620"/>
      <c r="M125" s="4620"/>
      <c r="N125" s="4620"/>
      <c r="O125" s="4621"/>
      <c r="Q125" s="4554"/>
      <c r="S125" s="4602" t="s">
        <v>447</v>
      </c>
      <c r="T125" s="4592">
        <f t="shared" si="140"/>
        <v>650</v>
      </c>
      <c r="U125" s="4592">
        <f t="shared" si="140"/>
        <v>1062.79</v>
      </c>
      <c r="V125" s="4592">
        <f t="shared" si="140"/>
        <v>1089.8400000000001</v>
      </c>
      <c r="W125" s="4592">
        <f t="shared" si="140"/>
        <v>1126.3399999999999</v>
      </c>
      <c r="X125" s="4592">
        <f t="shared" si="140"/>
        <v>1180.0900000000001</v>
      </c>
      <c r="Y125" s="4592">
        <f t="shared" si="140"/>
        <v>1218.8399999999997</v>
      </c>
      <c r="Z125" s="4586">
        <f t="shared" si="142"/>
        <v>0.63506153846153846</v>
      </c>
      <c r="AA125" s="4586">
        <f t="shared" si="143"/>
        <v>0.87513846153846109</v>
      </c>
    </row>
    <row r="126" spans="1:27" ht="15.75" customHeight="1">
      <c r="A126" s="4616" t="s">
        <v>1663</v>
      </c>
      <c r="B126" s="4557"/>
      <c r="C126" s="4585">
        <f>'11.2. ДА за периода'!AB110</f>
        <v>0</v>
      </c>
      <c r="D126" s="4585">
        <f>'11.2. ДА за периода'!AC110</f>
        <v>0</v>
      </c>
      <c r="E126" s="4585">
        <f>'11.2. ДА за периода'!AD110</f>
        <v>0</v>
      </c>
      <c r="F126" s="4585">
        <f>'11.2. ДА за периода'!AE110</f>
        <v>0</v>
      </c>
      <c r="G126" s="4585">
        <f>'11.2. ДА за периода'!AF110</f>
        <v>0</v>
      </c>
      <c r="I126" s="4618" t="s">
        <v>1621</v>
      </c>
      <c r="J126" s="4526" t="str">
        <f>+'15. ОПП'!$C$7</f>
        <v>2027 г.</v>
      </c>
      <c r="K126" s="4526" t="str">
        <f>+'15. ОПП'!$D$7</f>
        <v>2028 г.</v>
      </c>
      <c r="L126" s="4526" t="str">
        <f>+'15. ОПП'!$E$7</f>
        <v>2029 г.</v>
      </c>
      <c r="M126" s="4526" t="str">
        <f>+'15. ОПП'!$F$7</f>
        <v>2030 г.</v>
      </c>
      <c r="N126" s="4526" t="str">
        <f>+'15. ОПП'!$G$7</f>
        <v>2031 г.</v>
      </c>
      <c r="O126" s="4619" t="s">
        <v>1622</v>
      </c>
      <c r="Q126" s="4554"/>
      <c r="S126" s="4584" t="s">
        <v>736</v>
      </c>
      <c r="T126" s="4592">
        <f t="shared" si="140"/>
        <v>465</v>
      </c>
      <c r="U126" s="4592">
        <f t="shared" si="140"/>
        <v>848.49</v>
      </c>
      <c r="V126" s="4592">
        <f t="shared" si="140"/>
        <v>939.79000000000008</v>
      </c>
      <c r="W126" s="4592">
        <f t="shared" si="140"/>
        <v>1023.74</v>
      </c>
      <c r="X126" s="4592">
        <f t="shared" si="140"/>
        <v>1105.9899999999998</v>
      </c>
      <c r="Y126" s="4592">
        <f t="shared" si="140"/>
        <v>1188.3399999999997</v>
      </c>
      <c r="Z126" s="4586">
        <f t="shared" si="142"/>
        <v>0.82470967741935486</v>
      </c>
      <c r="AA126" s="4586">
        <f t="shared" si="143"/>
        <v>1.5555698924731176</v>
      </c>
    </row>
    <row r="127" spans="1:27" ht="15.75" customHeight="1">
      <c r="A127" s="4594" t="s">
        <v>1092</v>
      </c>
      <c r="B127" s="4592">
        <f t="shared" ref="B127:G127" si="145">B94</f>
        <v>0</v>
      </c>
      <c r="C127" s="4592">
        <f t="shared" si="145"/>
        <v>0</v>
      </c>
      <c r="D127" s="4592">
        <f t="shared" si="145"/>
        <v>0</v>
      </c>
      <c r="E127" s="4592">
        <f t="shared" si="145"/>
        <v>0</v>
      </c>
      <c r="F127" s="4592">
        <f t="shared" si="145"/>
        <v>0</v>
      </c>
      <c r="G127" s="4592">
        <f t="shared" si="145"/>
        <v>0</v>
      </c>
      <c r="I127" s="3630" t="s">
        <v>1623</v>
      </c>
      <c r="J127" s="4592">
        <f>J123</f>
        <v>3892</v>
      </c>
      <c r="K127" s="4592">
        <f t="shared" ref="K127:N127" si="146">K123</f>
        <v>3319.9999999999995</v>
      </c>
      <c r="L127" s="4592">
        <f t="shared" si="146"/>
        <v>3255</v>
      </c>
      <c r="M127" s="4592">
        <f t="shared" si="146"/>
        <v>3169.9999999999995</v>
      </c>
      <c r="N127" s="4592">
        <f t="shared" si="146"/>
        <v>3304.9999999999995</v>
      </c>
      <c r="O127" s="4590">
        <f t="shared" ref="O127:O128" si="147">SUM(J127:N127)</f>
        <v>16942</v>
      </c>
      <c r="Q127" s="4554"/>
      <c r="S127" s="4584" t="s">
        <v>737</v>
      </c>
      <c r="T127" s="4592">
        <f t="shared" si="140"/>
        <v>4901.3999999999996</v>
      </c>
      <c r="U127" s="4592">
        <f t="shared" si="140"/>
        <v>3043.5030000000002</v>
      </c>
      <c r="V127" s="4592">
        <f t="shared" si="140"/>
        <v>2380.2000000000003</v>
      </c>
      <c r="W127" s="4592">
        <f t="shared" si="140"/>
        <v>2231.2550000000001</v>
      </c>
      <c r="X127" s="4592">
        <f t="shared" si="140"/>
        <v>2064</v>
      </c>
      <c r="Y127" s="4592">
        <f t="shared" si="140"/>
        <v>2116.654</v>
      </c>
      <c r="Z127" s="4586">
        <f t="shared" si="142"/>
        <v>-0.37905435181784786</v>
      </c>
      <c r="AA127" s="4586">
        <f t="shared" si="143"/>
        <v>-0.56815318072387477</v>
      </c>
    </row>
    <row r="128" spans="1:27" ht="15.75" customHeight="1">
      <c r="A128" s="4616" t="s">
        <v>1663</v>
      </c>
      <c r="B128" s="4557"/>
      <c r="C128" s="4585">
        <f>'11.2. ДА за периода'!AI110</f>
        <v>0</v>
      </c>
      <c r="D128" s="4585">
        <f>'11.2. ДА за периода'!AJ110</f>
        <v>0</v>
      </c>
      <c r="E128" s="4585">
        <f>'11.2. ДА за периода'!AK110</f>
        <v>0</v>
      </c>
      <c r="F128" s="4585">
        <f>'11.2. ДА за периода'!AL110</f>
        <v>0</v>
      </c>
      <c r="G128" s="4585">
        <f>'11.2. ДА за периода'!AM110</f>
        <v>0</v>
      </c>
      <c r="I128" s="4622" t="s">
        <v>1627</v>
      </c>
      <c r="J128" s="4592">
        <f>'10. Финансиране на ИП'!AT24</f>
        <v>0</v>
      </c>
      <c r="K128" s="4592">
        <f>'10. Финансиране на ИП'!AU24</f>
        <v>0</v>
      </c>
      <c r="L128" s="4592">
        <f>'10. Финансиране на ИП'!AV24</f>
        <v>0</v>
      </c>
      <c r="M128" s="4592">
        <f>'10. Финансиране на ИП'!AW24</f>
        <v>0</v>
      </c>
      <c r="N128" s="4592">
        <f>'10. Финансиране на ИП'!AX24</f>
        <v>0</v>
      </c>
      <c r="O128" s="4590">
        <f t="shared" si="147"/>
        <v>0</v>
      </c>
      <c r="Q128" s="4554"/>
      <c r="S128" s="4623" t="s">
        <v>448</v>
      </c>
      <c r="T128" s="4592">
        <f t="shared" si="140"/>
        <v>10245</v>
      </c>
      <c r="U128" s="4592">
        <f t="shared" si="140"/>
        <v>14903</v>
      </c>
      <c r="V128" s="4592">
        <f t="shared" si="140"/>
        <v>16826</v>
      </c>
      <c r="W128" s="4592">
        <f t="shared" si="140"/>
        <v>19107</v>
      </c>
      <c r="X128" s="4592">
        <f t="shared" si="140"/>
        <v>21553</v>
      </c>
      <c r="Y128" s="4592">
        <f t="shared" si="140"/>
        <v>24358</v>
      </c>
      <c r="Z128" s="4586">
        <f t="shared" si="142"/>
        <v>0.45466081015129334</v>
      </c>
      <c r="AA128" s="4586">
        <f t="shared" si="143"/>
        <v>1.3775500244021475</v>
      </c>
    </row>
    <row r="129" spans="1:42" ht="15.75" customHeight="1">
      <c r="A129" s="4589" t="s">
        <v>1660</v>
      </c>
      <c r="B129" s="4590">
        <f>SUM(B119,B121,B123,B125,B127)</f>
        <v>212068</v>
      </c>
      <c r="C129" s="4590">
        <f t="shared" ref="C129:G129" si="148">SUM(C119,C121,C123,C125,C127)</f>
        <v>212068</v>
      </c>
      <c r="D129" s="4590">
        <f t="shared" si="148"/>
        <v>212068</v>
      </c>
      <c r="E129" s="4590">
        <f t="shared" si="148"/>
        <v>212068</v>
      </c>
      <c r="F129" s="4590">
        <f t="shared" si="148"/>
        <v>212068</v>
      </c>
      <c r="G129" s="4590">
        <f t="shared" si="148"/>
        <v>212068</v>
      </c>
      <c r="I129" s="3638" t="s">
        <v>1648</v>
      </c>
      <c r="J129" s="4599">
        <f>SUM(J127:J128)</f>
        <v>3892</v>
      </c>
      <c r="K129" s="4599">
        <f t="shared" ref="K129:N129" si="149">SUM(K127:K128)</f>
        <v>3319.9999999999995</v>
      </c>
      <c r="L129" s="4599">
        <f t="shared" si="149"/>
        <v>3255</v>
      </c>
      <c r="M129" s="4599">
        <f t="shared" si="149"/>
        <v>3169.9999999999995</v>
      </c>
      <c r="N129" s="4599">
        <f t="shared" si="149"/>
        <v>3304.9999999999995</v>
      </c>
      <c r="O129" s="4599">
        <f>SUM(J129:N129)</f>
        <v>16942</v>
      </c>
      <c r="Q129" s="4554"/>
      <c r="S129" s="4591" t="s">
        <v>449</v>
      </c>
      <c r="T129" s="4592">
        <f t="shared" si="140"/>
        <v>3669</v>
      </c>
      <c r="U129" s="4592">
        <f t="shared" si="140"/>
        <v>5283</v>
      </c>
      <c r="V129" s="4592">
        <f t="shared" si="140"/>
        <v>6074</v>
      </c>
      <c r="W129" s="4592">
        <f t="shared" si="140"/>
        <v>6986</v>
      </c>
      <c r="X129" s="4592">
        <f t="shared" si="140"/>
        <v>8034</v>
      </c>
      <c r="Y129" s="4592">
        <f t="shared" si="140"/>
        <v>9238</v>
      </c>
      <c r="Z129" s="4586">
        <f t="shared" si="142"/>
        <v>0.43990188062142271</v>
      </c>
      <c r="AA129" s="4586">
        <f t="shared" si="143"/>
        <v>1.5178522758244752</v>
      </c>
    </row>
    <row r="130" spans="1:42" ht="15.75" customHeight="1">
      <c r="I130" s="3638" t="s">
        <v>1628</v>
      </c>
      <c r="J130" s="4599">
        <f>'12. Разходи'!AX57</f>
        <v>848.49</v>
      </c>
      <c r="K130" s="4599">
        <f>'12. Разходи'!AY57</f>
        <v>939.79000000000008</v>
      </c>
      <c r="L130" s="4599">
        <f>'12. Разходи'!AZ57</f>
        <v>1023.74</v>
      </c>
      <c r="M130" s="4599">
        <f>'12. Разходи'!BA57</f>
        <v>1105.9899999999998</v>
      </c>
      <c r="N130" s="4599">
        <f>'12. Разходи'!BB57</f>
        <v>1188.3399999999997</v>
      </c>
      <c r="O130" s="4599">
        <f t="shared" ref="O130:O135" si="150">SUM(J130:N130)</f>
        <v>5106.3500000000004</v>
      </c>
      <c r="Q130" s="4554"/>
      <c r="S130" s="4591" t="s">
        <v>450</v>
      </c>
      <c r="T130" s="4592">
        <f t="shared" si="140"/>
        <v>609.20000000000005</v>
      </c>
      <c r="U130" s="4592">
        <f t="shared" si="140"/>
        <v>617</v>
      </c>
      <c r="V130" s="4592">
        <f t="shared" si="140"/>
        <v>606</v>
      </c>
      <c r="W130" s="4592">
        <f t="shared" si="140"/>
        <v>591</v>
      </c>
      <c r="X130" s="4592">
        <f t="shared" si="140"/>
        <v>577</v>
      </c>
      <c r="Y130" s="4592">
        <f t="shared" si="140"/>
        <v>565</v>
      </c>
      <c r="Z130" s="4586">
        <f t="shared" si="142"/>
        <v>1.2803676953381408E-2</v>
      </c>
      <c r="AA130" s="4586">
        <f t="shared" si="143"/>
        <v>-7.255416940249515E-2</v>
      </c>
    </row>
    <row r="131" spans="1:42" ht="15.75" customHeight="1">
      <c r="I131" s="4624" t="s">
        <v>1629</v>
      </c>
      <c r="J131" s="4585">
        <f>J130-J129</f>
        <v>-3043.51</v>
      </c>
      <c r="K131" s="4585">
        <f>K130-K129</f>
        <v>-2380.2099999999996</v>
      </c>
      <c r="L131" s="4585">
        <f>L130-L129</f>
        <v>-2231.2600000000002</v>
      </c>
      <c r="M131" s="4585">
        <f>M130-M129</f>
        <v>-2064.0099999999998</v>
      </c>
      <c r="N131" s="4585">
        <f>N130-N129</f>
        <v>-2116.66</v>
      </c>
      <c r="O131" s="4607">
        <f t="shared" si="150"/>
        <v>-11835.65</v>
      </c>
      <c r="Q131" s="4554"/>
      <c r="S131" s="4591" t="s">
        <v>267</v>
      </c>
      <c r="T131" s="4592">
        <f t="shared" si="140"/>
        <v>199.345</v>
      </c>
      <c r="U131" s="4592">
        <f t="shared" si="140"/>
        <v>199</v>
      </c>
      <c r="V131" s="4592">
        <f t="shared" si="140"/>
        <v>199</v>
      </c>
      <c r="W131" s="4592">
        <f t="shared" si="140"/>
        <v>199</v>
      </c>
      <c r="X131" s="4592">
        <f t="shared" si="140"/>
        <v>199</v>
      </c>
      <c r="Y131" s="4592">
        <f t="shared" si="140"/>
        <v>199</v>
      </c>
      <c r="Z131" s="4586">
        <f t="shared" si="142"/>
        <v>-1.7306679374952914E-3</v>
      </c>
      <c r="AA131" s="4586">
        <f t="shared" si="143"/>
        <v>-1.7306679374952914E-3</v>
      </c>
    </row>
    <row r="132" spans="1:42" ht="15.75" customHeight="1">
      <c r="I132" s="3638" t="s">
        <v>1630</v>
      </c>
      <c r="J132" s="4599">
        <f>'11. Амортиз. план'!G214+'11. Амортиз. план'!N214+'11. Амортиз. план'!U214+'11. Амортиз. план'!AB214+'11. Амортиз. план'!AI214</f>
        <v>5124</v>
      </c>
      <c r="K132" s="4599">
        <f>'11. Амортиз. план'!H214+'11. Амортиз. план'!O214+'11. Амортиз. план'!V214+'11. Амортиз. план'!AC214+'11. Амортиз. план'!AJ214</f>
        <v>5124</v>
      </c>
      <c r="L132" s="4599">
        <f>'11. Амортиз. план'!I214+'11. Амортиз. план'!P214+'11. Амортиз. план'!W214+'11. Амортиз. план'!AD214+'11. Амортиз. план'!AK214</f>
        <v>5124</v>
      </c>
      <c r="M132" s="4599">
        <f>'11. Амортиз. план'!J214+'11. Амортиз. план'!Q214+'11. Амортиз. план'!X214+'11. Амортиз. план'!AE214+'11. Амортиз. план'!AL214</f>
        <v>5124</v>
      </c>
      <c r="N132" s="4599">
        <f>'11. Амортиз. план'!K214+'11. Амортиз. план'!R214+'11. Амортиз. план'!Y214+'11. Амортиз. план'!AF214+'11. Амортиз. план'!AM214</f>
        <v>5124</v>
      </c>
      <c r="O132" s="4599">
        <f t="shared" si="150"/>
        <v>25620</v>
      </c>
      <c r="Q132" s="4554"/>
      <c r="S132" s="4598" t="s">
        <v>277</v>
      </c>
      <c r="T132" s="4599">
        <f>SUM(T122:T124,T128:T131)</f>
        <v>26269.983113363003</v>
      </c>
      <c r="U132" s="4599">
        <f t="shared" ref="U132" si="151">SUM(U122:U124,U128:U131)</f>
        <v>31616.881038</v>
      </c>
      <c r="V132" s="4599">
        <f t="shared" ref="V132" si="152">SUM(V122:V124,V128:V131)</f>
        <v>33748.371081999998</v>
      </c>
      <c r="W132" s="4599">
        <f t="shared" ref="W132" si="153">SUM(W122:W124,W128:W131)</f>
        <v>36871.829365600002</v>
      </c>
      <c r="X132" s="4599">
        <f t="shared" ref="X132" si="154">SUM(X122:X124,X128:X131)</f>
        <v>40301.636015600001</v>
      </c>
      <c r="Y132" s="4599">
        <f t="shared" ref="Y132" si="155">SUM(Y122:Y124,Y128:Y131)</f>
        <v>44450.7842256</v>
      </c>
      <c r="Z132" s="4600">
        <f t="shared" si="142"/>
        <v>0.20353640508878509</v>
      </c>
      <c r="AA132" s="4600">
        <f t="shared" si="143"/>
        <v>0.69207509703303904</v>
      </c>
    </row>
    <row r="133" spans="1:42" ht="15.75" customHeight="1">
      <c r="I133" s="3638" t="s">
        <v>1631</v>
      </c>
      <c r="J133" s="4599">
        <f>'10. Финансиране на ИП'!AT31</f>
        <v>3043.5030000000002</v>
      </c>
      <c r="K133" s="4599">
        <f>'10. Финансиране на ИП'!AU31</f>
        <v>2380.2000000000003</v>
      </c>
      <c r="L133" s="4599">
        <f>'10. Финансиране на ИП'!AV31</f>
        <v>2231.2550000000001</v>
      </c>
      <c r="M133" s="4599">
        <f>'10. Финансиране на ИП'!AW31</f>
        <v>2064</v>
      </c>
      <c r="N133" s="4599">
        <f>'10. Финансиране на ИП'!AX31</f>
        <v>2116.654</v>
      </c>
      <c r="O133" s="4599">
        <f t="shared" si="150"/>
        <v>11835.612000000001</v>
      </c>
      <c r="Q133" s="4554"/>
      <c r="S133" s="4555" t="str">
        <f>CONCATENATE("Спестявания и увеличения спрямо ",T121," - нето:")</f>
        <v>Спестявания и увеличения спрямо 2024 г. - нето:</v>
      </c>
      <c r="T133" s="4557"/>
      <c r="U133" s="4601">
        <f>U132-$T132</f>
        <v>5346.8979246369963</v>
      </c>
      <c r="V133" s="4601">
        <f t="shared" ref="V133" si="156">V132-$T132</f>
        <v>7478.3879686369946</v>
      </c>
      <c r="W133" s="4601">
        <f t="shared" ref="W133" si="157">W132-$T132</f>
        <v>10601.846252236999</v>
      </c>
      <c r="X133" s="4601">
        <f t="shared" ref="X133" si="158">X132-$T132</f>
        <v>14031.652902236998</v>
      </c>
      <c r="Y133" s="4601">
        <f t="shared" ref="Y133" si="159">Y132-$T132</f>
        <v>18180.801112236997</v>
      </c>
      <c r="Z133" s="4557"/>
      <c r="AA133" s="4557"/>
    </row>
    <row r="134" spans="1:42" ht="15.75" customHeight="1">
      <c r="I134" s="3638" t="s">
        <v>1632</v>
      </c>
      <c r="J134" s="4600">
        <f t="shared" ref="J134:O134" si="160">IFERROR(J133/J132,0)</f>
        <v>0.59397014051522257</v>
      </c>
      <c r="K134" s="4600">
        <f t="shared" si="160"/>
        <v>0.46451990632318507</v>
      </c>
      <c r="L134" s="4600">
        <f t="shared" si="160"/>
        <v>0.4354517954722873</v>
      </c>
      <c r="M134" s="4600">
        <f t="shared" si="160"/>
        <v>0.40281030444964872</v>
      </c>
      <c r="N134" s="4600">
        <f t="shared" si="160"/>
        <v>0.41308626073380172</v>
      </c>
      <c r="O134" s="4600">
        <f t="shared" si="160"/>
        <v>0.46196768149882905</v>
      </c>
      <c r="Q134" s="4554"/>
      <c r="S134" s="4591" t="s">
        <v>1669</v>
      </c>
      <c r="T134" s="4592">
        <f>T17+T38+T59+T90+T114</f>
        <v>14703</v>
      </c>
      <c r="U134" s="4592">
        <f t="shared" ref="U134:Y134" si="161">U17+U38+U59+U90+U114</f>
        <v>0</v>
      </c>
      <c r="V134" s="4592">
        <f t="shared" si="161"/>
        <v>0</v>
      </c>
      <c r="W134" s="4592">
        <f t="shared" si="161"/>
        <v>0</v>
      </c>
      <c r="X134" s="4592">
        <f t="shared" si="161"/>
        <v>0</v>
      </c>
      <c r="Y134" s="4592">
        <f t="shared" si="161"/>
        <v>0</v>
      </c>
      <c r="Z134" s="4586">
        <f t="shared" ref="Z134" si="162">IFERROR((U134-T134)/T134,0)</f>
        <v>-1</v>
      </c>
      <c r="AA134" s="4586">
        <f t="shared" ref="AA134" si="163">IFERROR((Y134-T134)/T134,0)</f>
        <v>-1</v>
      </c>
    </row>
    <row r="135" spans="1:42" ht="15.75" customHeight="1">
      <c r="I135" s="4624" t="s">
        <v>1647</v>
      </c>
      <c r="J135" s="4585">
        <f>J133+J131</f>
        <v>-7.0000000000618456E-3</v>
      </c>
      <c r="K135" s="4585">
        <f>K133+K131</f>
        <v>-9.999999999308784E-3</v>
      </c>
      <c r="L135" s="4585">
        <f>L133+L131</f>
        <v>-5.0000000001091394E-3</v>
      </c>
      <c r="M135" s="4585">
        <f>M133+M131</f>
        <v>-9.9999999997635314E-3</v>
      </c>
      <c r="N135" s="4585">
        <f>N133+N131</f>
        <v>-5.9999999998581188E-3</v>
      </c>
      <c r="O135" s="4607">
        <f t="shared" si="150"/>
        <v>-3.7999999999101419E-2</v>
      </c>
      <c r="Q135" s="4554"/>
      <c r="S135" s="4591" t="s">
        <v>1671</v>
      </c>
      <c r="T135" s="4592">
        <f t="shared" ref="T135:Y136" si="164">T18+T39+T60+T91+T115</f>
        <v>5550.5831133629999</v>
      </c>
      <c r="U135" s="4592">
        <f t="shared" si="164"/>
        <v>26662.098038000004</v>
      </c>
      <c r="V135" s="4592">
        <f t="shared" si="164"/>
        <v>29338.541082000003</v>
      </c>
      <c r="W135" s="4592">
        <f t="shared" si="164"/>
        <v>32490.4943656</v>
      </c>
      <c r="X135" s="4592">
        <f t="shared" si="164"/>
        <v>35951.556015599999</v>
      </c>
      <c r="Y135" s="4592">
        <f t="shared" si="164"/>
        <v>39926.950225600005</v>
      </c>
      <c r="Z135" s="4586">
        <f t="shared" ref="Z135" si="165">IFERROR((U135-T135)/T135,0)</f>
        <v>3.8034769489013045</v>
      </c>
      <c r="AA135" s="4586">
        <f t="shared" ref="AA135" si="166">IFERROR((Y135-T135)/T135,0)</f>
        <v>6.1932893193646779</v>
      </c>
      <c r="AC135" s="4587"/>
      <c r="AD135" s="11"/>
      <c r="AK135" s="4588"/>
      <c r="AP135" s="11"/>
    </row>
    <row r="136" spans="1:42" ht="15.75" customHeight="1">
      <c r="Q136" s="4554"/>
      <c r="S136" s="4602" t="s">
        <v>1670</v>
      </c>
      <c r="T136" s="4592">
        <f t="shared" si="164"/>
        <v>2761</v>
      </c>
      <c r="U136" s="4592">
        <f t="shared" si="164"/>
        <v>0</v>
      </c>
      <c r="V136" s="4592">
        <f t="shared" si="164"/>
        <v>0</v>
      </c>
      <c r="W136" s="4592">
        <f t="shared" si="164"/>
        <v>0</v>
      </c>
      <c r="X136" s="4592">
        <f t="shared" si="164"/>
        <v>0</v>
      </c>
      <c r="Y136" s="4592">
        <f t="shared" si="164"/>
        <v>0</v>
      </c>
      <c r="Z136" s="4586">
        <f t="shared" si="142"/>
        <v>-1</v>
      </c>
      <c r="AA136" s="4586">
        <f t="shared" si="143"/>
        <v>-1</v>
      </c>
      <c r="AC136" s="4587"/>
      <c r="AD136" s="11"/>
      <c r="AK136" s="4588"/>
      <c r="AP136" s="11"/>
    </row>
    <row r="137" spans="1:42" ht="15.75" customHeight="1">
      <c r="I137" s="3637" t="s">
        <v>1649</v>
      </c>
      <c r="J137" s="4526" t="str">
        <f>+'15. ОПП'!$C$7</f>
        <v>2027 г.</v>
      </c>
      <c r="K137" s="4526" t="str">
        <f>+'15. ОПП'!$D$7</f>
        <v>2028 г.</v>
      </c>
      <c r="L137" s="4526" t="str">
        <f>+'15. ОПП'!$E$7</f>
        <v>2029 г.</v>
      </c>
      <c r="M137" s="4526" t="str">
        <f>+'15. ОПП'!$F$7</f>
        <v>2030 г.</v>
      </c>
      <c r="N137" s="4526" t="str">
        <f>+'15. ОПП'!$G$7</f>
        <v>2031 г.</v>
      </c>
      <c r="Q137" s="4554"/>
      <c r="S137" s="4591" t="s">
        <v>637</v>
      </c>
      <c r="T137" s="4592">
        <f t="shared" ref="T137:Y138" si="167">T20+T41+T62+T93+T117</f>
        <v>2633.4</v>
      </c>
      <c r="U137" s="4592">
        <f t="shared" si="167"/>
        <v>2919</v>
      </c>
      <c r="V137" s="4592">
        <f t="shared" si="167"/>
        <v>3042</v>
      </c>
      <c r="W137" s="4592">
        <f t="shared" si="167"/>
        <v>3185</v>
      </c>
      <c r="X137" s="4592">
        <f t="shared" si="167"/>
        <v>3350</v>
      </c>
      <c r="Y137" s="4592">
        <f t="shared" si="167"/>
        <v>3539</v>
      </c>
      <c r="Z137" s="4586">
        <f t="shared" si="142"/>
        <v>0.10845295055821368</v>
      </c>
      <c r="AA137" s="4586">
        <f t="shared" si="143"/>
        <v>0.34389002810055436</v>
      </c>
      <c r="AC137" s="4587"/>
      <c r="AD137" s="11"/>
      <c r="AK137" s="4588"/>
      <c r="AP137" s="11"/>
    </row>
    <row r="138" spans="1:42" ht="15.75" customHeight="1">
      <c r="I138" s="3630" t="s">
        <v>1655</v>
      </c>
      <c r="J138" s="3635">
        <f>'10. Финансиране на ИП'!AT59*'10. Финансиране на ИП'!AT67</f>
        <v>0</v>
      </c>
      <c r="K138" s="3635">
        <f>'10. Финансиране на ИП'!AU59*'10. Финансиране на ИП'!AU67</f>
        <v>0</v>
      </c>
      <c r="L138" s="3635">
        <f>'10. Финансиране на ИП'!AV59*'10. Финансиране на ИП'!AV67</f>
        <v>0</v>
      </c>
      <c r="M138" s="3635">
        <f>'10. Финансиране на ИП'!AW59*'10. Финансиране на ИП'!AW67</f>
        <v>0</v>
      </c>
      <c r="N138" s="3635">
        <f>'10. Финансиране на ИП'!AX59*'10. Финансиране на ИП'!AX67</f>
        <v>0</v>
      </c>
      <c r="Q138" s="4554"/>
      <c r="S138" s="4591" t="s">
        <v>1668</v>
      </c>
      <c r="T138" s="4592">
        <f t="shared" si="167"/>
        <v>1779.8151133629999</v>
      </c>
      <c r="U138" s="4592">
        <f t="shared" si="167"/>
        <v>1917.0980380000001</v>
      </c>
      <c r="V138" s="4592">
        <f t="shared" si="167"/>
        <v>1879.541082</v>
      </c>
      <c r="W138" s="4592">
        <f t="shared" si="167"/>
        <v>1838.4943656</v>
      </c>
      <c r="X138" s="4592">
        <f t="shared" si="167"/>
        <v>1805.5560155999999</v>
      </c>
      <c r="Y138" s="4592">
        <f t="shared" si="167"/>
        <v>1771.9502256000001</v>
      </c>
      <c r="Z138" s="4586">
        <f t="shared" si="142"/>
        <v>7.7133250305758475E-2</v>
      </c>
      <c r="AA138" s="4586">
        <f t="shared" si="143"/>
        <v>-4.4189352612805741E-3</v>
      </c>
      <c r="AC138" s="4587"/>
      <c r="AD138" s="11"/>
      <c r="AK138" s="4588"/>
      <c r="AP138" s="11"/>
    </row>
    <row r="139" spans="1:42" ht="15.75" customHeight="1">
      <c r="I139" s="3632" t="s">
        <v>1650</v>
      </c>
      <c r="J139" s="3633">
        <f>'10. Финансиране на ИП'!AT60*'10. Финансиране на ИП'!AT67</f>
        <v>0</v>
      </c>
      <c r="K139" s="3625">
        <f>'10. Финансиране на ИП'!AU60*'10. Финансиране на ИП'!AU67</f>
        <v>0</v>
      </c>
      <c r="L139" s="3625">
        <f>'10. Финансиране на ИП'!AV60*'10. Финансиране на ИП'!AV67</f>
        <v>0</v>
      </c>
      <c r="M139" s="3633">
        <f>'10. Финансиране на ИП'!AW60*'10. Финансиране на ИП'!AW67</f>
        <v>0</v>
      </c>
      <c r="N139" s="3633">
        <f>'10. Финансиране на ИП'!AX60*'10. Финансиране на ИП'!AX67</f>
        <v>0</v>
      </c>
      <c r="Q139" s="4554"/>
      <c r="S139" s="4615"/>
      <c r="T139" s="4615"/>
      <c r="U139" s="4615"/>
      <c r="V139" s="4615"/>
      <c r="W139" s="4615"/>
      <c r="X139" s="4615"/>
      <c r="Y139" s="4615"/>
      <c r="Z139" s="4615"/>
      <c r="AA139" s="4615"/>
      <c r="AC139" s="4587"/>
      <c r="AD139" s="11"/>
      <c r="AK139" s="4588"/>
      <c r="AP139" s="11"/>
    </row>
    <row r="140" spans="1:42" ht="15.75" customHeight="1">
      <c r="I140" s="3632" t="s">
        <v>1651</v>
      </c>
      <c r="J140" s="3633">
        <f>'10. Финансиране на ИП'!AT61*'10. Финансиране на ИП'!AT67</f>
        <v>0</v>
      </c>
      <c r="K140" s="3625">
        <f>'10. Финансиране на ИП'!AU61*'10. Финансиране на ИП'!AU67</f>
        <v>0</v>
      </c>
      <c r="L140" s="3625">
        <f>'10. Финансиране на ИП'!AV61*'10. Финансиране на ИП'!AV67</f>
        <v>0</v>
      </c>
      <c r="M140" s="3625">
        <f>'10. Финансиране на ИП'!AW61*'10. Финансиране на ИП'!AW67</f>
        <v>0</v>
      </c>
      <c r="N140" s="3625">
        <f>'10. Финансиране на ИП'!AX61*'10. Финансиране на ИП'!AX67</f>
        <v>0</v>
      </c>
      <c r="Q140" s="4554"/>
      <c r="S140" s="1392" t="s">
        <v>1679</v>
      </c>
      <c r="T140" s="4615"/>
      <c r="U140" s="4615"/>
      <c r="V140" s="4615"/>
      <c r="W140" s="4615"/>
      <c r="X140" s="4615"/>
      <c r="Y140" s="4615"/>
      <c r="Z140" s="4615"/>
      <c r="AA140" s="4615"/>
      <c r="AC140" s="4587"/>
      <c r="AD140" s="11"/>
      <c r="AK140" s="4588"/>
      <c r="AP140" s="11"/>
    </row>
    <row r="141" spans="1:42" ht="15.75" customHeight="1">
      <c r="I141" s="3630" t="s">
        <v>1652</v>
      </c>
      <c r="J141" s="3634">
        <f>'10. Финансиране на ИП'!AT62*'10. Финансиране на ИП'!AT67</f>
        <v>0</v>
      </c>
      <c r="K141" s="3634">
        <f>'10. Финансиране на ИП'!AU62*'10. Финансиране на ИП'!AU67</f>
        <v>0</v>
      </c>
      <c r="L141" s="3634">
        <f>'10. Финансиране на ИП'!AV62*'10. Финансиране на ИП'!AV67</f>
        <v>0</v>
      </c>
      <c r="M141" s="3634">
        <f>'10. Финансиране на ИП'!AW62*'10. Финансиране на ИП'!AW67</f>
        <v>0</v>
      </c>
      <c r="N141" s="3634">
        <f>'10. Финансиране на ИП'!AX62*'10. Финансиране на ИП'!AX67</f>
        <v>0</v>
      </c>
      <c r="Q141" s="4554"/>
      <c r="S141" s="5676" t="s">
        <v>1675</v>
      </c>
      <c r="T141" s="5679" t="s">
        <v>207</v>
      </c>
      <c r="U141" s="5680"/>
      <c r="V141" s="5680"/>
      <c r="W141" s="5680"/>
      <c r="X141" s="5681"/>
      <c r="Y141" s="4615"/>
      <c r="Z141" s="4615"/>
      <c r="AA141" s="11"/>
      <c r="AC141" s="4587"/>
      <c r="AD141" s="11"/>
      <c r="AK141" s="4588"/>
      <c r="AP141" s="11"/>
    </row>
    <row r="142" spans="1:42" ht="15.75" customHeight="1">
      <c r="I142" s="3632" t="s">
        <v>199</v>
      </c>
      <c r="J142" s="3626">
        <f>'10. Финансиране на ИП'!AT63</f>
        <v>0</v>
      </c>
      <c r="K142" s="3626">
        <f>'10. Финансиране на ИП'!AU63</f>
        <v>0</v>
      </c>
      <c r="L142" s="3626">
        <f>'10. Финансиране на ИП'!AV63</f>
        <v>0</v>
      </c>
      <c r="M142" s="3626">
        <f>'10. Финансиране на ИП'!AW63</f>
        <v>0</v>
      </c>
      <c r="N142" s="3626">
        <f>'10. Финансиране на ИП'!AX63</f>
        <v>0</v>
      </c>
      <c r="Q142" s="4554"/>
      <c r="S142" s="5676"/>
      <c r="T142" s="4522" t="str">
        <f>+U121</f>
        <v>2027 г.</v>
      </c>
      <c r="U142" s="4522" t="str">
        <f>+V121</f>
        <v>2028 г.</v>
      </c>
      <c r="V142" s="4522" t="str">
        <f>+W121</f>
        <v>2029 г.</v>
      </c>
      <c r="W142" s="4522" t="str">
        <f>+X121</f>
        <v>2030 г.</v>
      </c>
      <c r="X142" s="4522" t="str">
        <f>+Y121</f>
        <v>2031 г.</v>
      </c>
      <c r="Y142" s="4615"/>
      <c r="Z142" s="4615"/>
      <c r="AA142" s="11"/>
      <c r="AC142" s="4587"/>
      <c r="AD142" s="11"/>
      <c r="AK142" s="4588"/>
      <c r="AP142" s="11"/>
    </row>
    <row r="143" spans="1:42" ht="15.75" customHeight="1">
      <c r="I143" s="3630" t="s">
        <v>1653</v>
      </c>
      <c r="J143" s="3624">
        <f>'10. Финансиране на ИП'!AT64*'10. Финансиране на ИП'!AT67</f>
        <v>0</v>
      </c>
      <c r="K143" s="3624">
        <f>'10. Финансиране на ИП'!AU64*'10. Финансиране на ИП'!AU67</f>
        <v>0</v>
      </c>
      <c r="L143" s="3624">
        <f>'10. Финансиране на ИП'!AV64*'10. Финансиране на ИП'!AV67</f>
        <v>0</v>
      </c>
      <c r="M143" s="3624">
        <f>'10. Финансиране на ИП'!AW64*'10. Финансиране на ИП'!AW67</f>
        <v>0</v>
      </c>
      <c r="N143" s="3624">
        <f>'10. Финансиране на ИП'!AX64*'10. Финансиране на ИП'!AX67</f>
        <v>0</v>
      </c>
      <c r="Q143" s="4554"/>
      <c r="S143" s="4591">
        <f>'12.2.Нови дейности или обекти'!C10</f>
        <v>0</v>
      </c>
      <c r="T143" s="4592">
        <f>'12.2.Нови дейности или обекти'!C21</f>
        <v>0</v>
      </c>
      <c r="U143" s="4592">
        <f>'12.2.Нови дейности или обекти'!D21</f>
        <v>0</v>
      </c>
      <c r="V143" s="4592">
        <f>'12.2.Нови дейности или обекти'!E21</f>
        <v>0</v>
      </c>
      <c r="W143" s="4592">
        <f>'12.2.Нови дейности или обекти'!F21</f>
        <v>0</v>
      </c>
      <c r="X143" s="4592">
        <f>'12.2.Нови дейности или обекти'!G21</f>
        <v>0</v>
      </c>
      <c r="Y143" s="4615"/>
      <c r="Z143" s="4615"/>
      <c r="AA143" s="11"/>
      <c r="AC143" s="4587"/>
      <c r="AD143" s="11"/>
      <c r="AK143" s="4588"/>
      <c r="AP143" s="11"/>
    </row>
    <row r="144" spans="1:42" ht="15.75" customHeight="1">
      <c r="I144" s="3630" t="s">
        <v>1654</v>
      </c>
      <c r="J144" s="3624">
        <f>'10. Финансиране на ИП'!AT65*'10. Финансиране на ИП'!AT67</f>
        <v>0</v>
      </c>
      <c r="K144" s="3624">
        <f>'10. Финансиране на ИП'!AU65*'10. Финансиране на ИП'!AU67</f>
        <v>0</v>
      </c>
      <c r="L144" s="3624">
        <f>'10. Финансиране на ИП'!AV65*'10. Финансиране на ИП'!AV67</f>
        <v>0</v>
      </c>
      <c r="M144" s="3636">
        <f>'10. Финансиране на ИП'!AW65*'10. Финансиране на ИП'!AW67</f>
        <v>0</v>
      </c>
      <c r="N144" s="3636">
        <f>'10. Финансиране на ИП'!AX65*'10. Финансиране на ИП'!AX67</f>
        <v>0</v>
      </c>
      <c r="Q144" s="4554"/>
      <c r="S144" s="4591">
        <f>'12.2.Нови дейности или обекти'!H10</f>
        <v>0</v>
      </c>
      <c r="T144" s="4592">
        <f>'12.2.Нови дейности или обекти'!H21</f>
        <v>0</v>
      </c>
      <c r="U144" s="4592">
        <f>'12.2.Нови дейности или обекти'!I21</f>
        <v>0</v>
      </c>
      <c r="V144" s="4592">
        <f>'12.2.Нови дейности или обекти'!J21</f>
        <v>0</v>
      </c>
      <c r="W144" s="4592">
        <f>'12.2.Нови дейности или обекти'!K21</f>
        <v>0</v>
      </c>
      <c r="X144" s="4592">
        <f>'12.2.Нови дейности или обекти'!L21</f>
        <v>0</v>
      </c>
      <c r="Y144" s="4615"/>
      <c r="Z144" s="4615"/>
      <c r="AA144" s="11"/>
      <c r="AC144" s="4587"/>
      <c r="AD144" s="11"/>
      <c r="AK144" s="4588"/>
      <c r="AP144" s="11"/>
    </row>
    <row r="145" spans="9:42" ht="15.75" customHeight="1">
      <c r="I145" s="3637" t="s">
        <v>1939</v>
      </c>
      <c r="J145" s="4619" t="s">
        <v>1062</v>
      </c>
      <c r="K145" s="4619" t="s">
        <v>1063</v>
      </c>
      <c r="L145" s="4619" t="s">
        <v>1064</v>
      </c>
      <c r="M145" s="4619" t="s">
        <v>1065</v>
      </c>
      <c r="N145" s="4619" t="s">
        <v>1066</v>
      </c>
      <c r="Q145" s="4554"/>
      <c r="S145" s="4591">
        <f>'12.2.Нови дейности или обекти'!M10</f>
        <v>0</v>
      </c>
      <c r="T145" s="4592">
        <f>'12.2.Нови дейности или обекти'!M21</f>
        <v>0</v>
      </c>
      <c r="U145" s="4592">
        <f>'12.2.Нови дейности или обекти'!N21</f>
        <v>0</v>
      </c>
      <c r="V145" s="4592">
        <f>'12.2.Нови дейности или обекти'!O21</f>
        <v>0</v>
      </c>
      <c r="W145" s="4592">
        <f>'12.2.Нови дейности или обекти'!P21</f>
        <v>0</v>
      </c>
      <c r="X145" s="4592">
        <f>'12.2.Нови дейности или обекти'!Q21</f>
        <v>0</v>
      </c>
      <c r="Y145" s="4615"/>
      <c r="Z145" s="4615"/>
      <c r="AA145" s="11"/>
      <c r="AC145" s="4587"/>
      <c r="AD145" s="11"/>
      <c r="AK145" s="4588"/>
      <c r="AP145" s="11"/>
    </row>
    <row r="146" spans="9:42" ht="15.75" customHeight="1">
      <c r="I146" s="3630" t="s">
        <v>1655</v>
      </c>
      <c r="J146" s="3635">
        <f>'10. Финансиране на ИП'!AT70*'10. Финансиране на ИП'!AT78</f>
        <v>0</v>
      </c>
      <c r="K146" s="3635">
        <f>'10. Финансиране на ИП'!AU70*'10. Финансиране на ИП'!AU78</f>
        <v>0</v>
      </c>
      <c r="L146" s="3635">
        <f>'10. Финансиране на ИП'!AV70*'10. Финансиране на ИП'!AV78</f>
        <v>0</v>
      </c>
      <c r="M146" s="3635">
        <f>'10. Финансиране на ИП'!AW70*'10. Финансиране на ИП'!AW78</f>
        <v>0</v>
      </c>
      <c r="N146" s="3635">
        <f>'10. Финансиране на ИП'!AX70*'10. Финансиране на ИП'!AX78</f>
        <v>0</v>
      </c>
      <c r="S146" s="4591">
        <f>'12.2.Нови дейности или обекти'!R10</f>
        <v>0</v>
      </c>
      <c r="T146" s="4592">
        <f>'12.2.Нови дейности или обекти'!R21</f>
        <v>0</v>
      </c>
      <c r="U146" s="4592">
        <f>'12.2.Нови дейности или обекти'!S21</f>
        <v>0</v>
      </c>
      <c r="V146" s="4592">
        <f>'12.2.Нови дейности или обекти'!T21</f>
        <v>0</v>
      </c>
      <c r="W146" s="4592">
        <f>'12.2.Нови дейности или обекти'!U21</f>
        <v>0</v>
      </c>
      <c r="X146" s="4592">
        <f>'12.2.Нови дейности или обекти'!V21</f>
        <v>0</v>
      </c>
      <c r="Y146" s="4615"/>
      <c r="Z146" s="4615"/>
      <c r="AA146" s="11"/>
      <c r="AC146" s="4587"/>
      <c r="AD146" s="11"/>
      <c r="AK146" s="4588"/>
      <c r="AP146" s="11"/>
    </row>
    <row r="147" spans="9:42" ht="15.75" customHeight="1">
      <c r="I147" s="3632" t="s">
        <v>1650</v>
      </c>
      <c r="J147" s="3633">
        <f>'10. Финансиране на ИП'!AT71*'10. Финансиране на ИП'!AT78</f>
        <v>0</v>
      </c>
      <c r="K147" s="3625">
        <f>'10. Финансиране на ИП'!AU71*'10. Финансиране на ИП'!AU78</f>
        <v>0</v>
      </c>
      <c r="L147" s="3625">
        <f>'10. Финансиране на ИП'!AV71*'10. Финансиране на ИП'!AV78</f>
        <v>0</v>
      </c>
      <c r="M147" s="3633">
        <f>'10. Финансиране на ИП'!AW71*'10. Финансиране на ИП'!AW78</f>
        <v>0</v>
      </c>
      <c r="N147" s="3633">
        <f>'10. Финансиране на ИП'!AX71*'10. Финансиране на ИП'!AX78</f>
        <v>0</v>
      </c>
      <c r="S147" s="4591">
        <f>'12.2.Нови дейности или обекти'!W10</f>
        <v>0</v>
      </c>
      <c r="T147" s="4592">
        <f>'12.2.Нови дейности или обекти'!W21</f>
        <v>0</v>
      </c>
      <c r="U147" s="4592">
        <f>'12.2.Нови дейности или обекти'!X21</f>
        <v>0</v>
      </c>
      <c r="V147" s="4592">
        <f>'12.2.Нови дейности или обекти'!Y21</f>
        <v>0</v>
      </c>
      <c r="W147" s="4592">
        <f>'12.2.Нови дейности или обекти'!Z21</f>
        <v>0</v>
      </c>
      <c r="X147" s="4592">
        <f>'12.2.Нови дейности или обекти'!AA21</f>
        <v>0</v>
      </c>
      <c r="Y147" s="4615"/>
      <c r="Z147" s="4615"/>
      <c r="AA147" s="11"/>
      <c r="AC147" s="4587"/>
      <c r="AD147" s="11"/>
      <c r="AK147" s="4588"/>
      <c r="AP147" s="11"/>
    </row>
    <row r="148" spans="9:42" ht="15.75" customHeight="1">
      <c r="I148" s="3632" t="s">
        <v>1651</v>
      </c>
      <c r="J148" s="3633">
        <f>'10. Финансиране на ИП'!AT72*'10. Финансиране на ИП'!AT78</f>
        <v>0</v>
      </c>
      <c r="K148" s="3625">
        <f>'10. Финансиране на ИП'!AU72*'10. Финансиране на ИП'!AU78</f>
        <v>0</v>
      </c>
      <c r="L148" s="3625">
        <f>'10. Финансиране на ИП'!AV72*'10. Финансиране на ИП'!AV78</f>
        <v>0</v>
      </c>
      <c r="M148" s="3625">
        <f>'10. Финансиране на ИП'!AW72*'10. Финансиране на ИП'!AW78</f>
        <v>0</v>
      </c>
      <c r="N148" s="3625">
        <f>'10. Финансиране на ИП'!AX72*'10. Финансиране на ИП'!AX78</f>
        <v>0</v>
      </c>
      <c r="S148" s="4591">
        <f>'12.2.Нови дейности или обекти'!C33</f>
        <v>0</v>
      </c>
      <c r="T148" s="4592">
        <f>'12.2.Нови дейности или обекти'!C44</f>
        <v>0</v>
      </c>
      <c r="U148" s="4592">
        <f>'12.2.Нови дейности или обекти'!D44</f>
        <v>0</v>
      </c>
      <c r="V148" s="4592">
        <f>'12.2.Нови дейности или обекти'!E44</f>
        <v>0</v>
      </c>
      <c r="W148" s="4592">
        <f>'12.2.Нови дейности или обекти'!F44</f>
        <v>0</v>
      </c>
      <c r="X148" s="4592">
        <f>'12.2.Нови дейности или обекти'!G44</f>
        <v>0</v>
      </c>
      <c r="AA148" s="11"/>
      <c r="AC148" s="4587"/>
      <c r="AD148" s="11"/>
      <c r="AK148" s="4588"/>
      <c r="AP148" s="11"/>
    </row>
    <row r="149" spans="9:42" ht="15.75" customHeight="1">
      <c r="I149" s="3630" t="s">
        <v>1652</v>
      </c>
      <c r="J149" s="3634">
        <f>'10. Финансиране на ИП'!AT73*'10. Финансиране на ИП'!AT78</f>
        <v>0</v>
      </c>
      <c r="K149" s="3634">
        <f>'10. Финансиране на ИП'!AU73*'10. Финансиране на ИП'!AU78</f>
        <v>0</v>
      </c>
      <c r="L149" s="3634">
        <f>'10. Финансиране на ИП'!AV73*'10. Финансиране на ИП'!AV78</f>
        <v>0</v>
      </c>
      <c r="M149" s="3634">
        <f>'10. Финансиране на ИП'!AW73*'10. Финансиране на ИП'!AW78</f>
        <v>0</v>
      </c>
      <c r="N149" s="3634">
        <f>'10. Финансиране на ИП'!AX73*'10. Финансиране на ИП'!AX78</f>
        <v>0</v>
      </c>
      <c r="S149" s="4591">
        <f>'12.2.Нови дейности или обекти'!H33</f>
        <v>0</v>
      </c>
      <c r="T149" s="4592">
        <f>'12.2.Нови дейности или обекти'!H44</f>
        <v>0</v>
      </c>
      <c r="U149" s="4592">
        <f>'12.2.Нови дейности или обекти'!I44</f>
        <v>0</v>
      </c>
      <c r="V149" s="4592">
        <f>'12.2.Нови дейности или обекти'!J44</f>
        <v>0</v>
      </c>
      <c r="W149" s="4592">
        <f>'12.2.Нови дейности или обекти'!K44</f>
        <v>0</v>
      </c>
      <c r="X149" s="4592">
        <f>'12.2.Нови дейности или обекти'!L44</f>
        <v>0</v>
      </c>
      <c r="AA149" s="11"/>
      <c r="AC149" s="4587"/>
      <c r="AD149" s="11"/>
      <c r="AK149" s="4588"/>
      <c r="AP149" s="11"/>
    </row>
    <row r="150" spans="9:42" ht="15.75" customHeight="1">
      <c r="I150" s="3632" t="s">
        <v>199</v>
      </c>
      <c r="J150" s="3626">
        <f>'10. Финансиране на ИП'!AT74</f>
        <v>0</v>
      </c>
      <c r="K150" s="3626">
        <f>'10. Финансиране на ИП'!AU74</f>
        <v>0</v>
      </c>
      <c r="L150" s="3626">
        <f>'10. Финансиране на ИП'!AV74</f>
        <v>0</v>
      </c>
      <c r="M150" s="3626">
        <f>'10. Финансиране на ИП'!AW74</f>
        <v>0</v>
      </c>
      <c r="N150" s="3626">
        <f>'10. Финансиране на ИП'!AX74</f>
        <v>0</v>
      </c>
      <c r="S150" s="4591">
        <f>'12.2.Нови дейности или обекти'!M33</f>
        <v>0</v>
      </c>
      <c r="T150" s="4592">
        <f>'12.2.Нови дейности или обекти'!M44</f>
        <v>0</v>
      </c>
      <c r="U150" s="4592">
        <f>'12.2.Нови дейности или обекти'!N44</f>
        <v>0</v>
      </c>
      <c r="V150" s="4592">
        <f>'12.2.Нови дейности или обекти'!O44</f>
        <v>0</v>
      </c>
      <c r="W150" s="4592">
        <f>'12.2.Нови дейности или обекти'!P44</f>
        <v>0</v>
      </c>
      <c r="X150" s="4592">
        <f>'12.2.Нови дейности или обекти'!Q44</f>
        <v>0</v>
      </c>
      <c r="AA150" s="11"/>
      <c r="AC150" s="4587"/>
      <c r="AD150" s="11"/>
      <c r="AK150" s="4588"/>
      <c r="AP150" s="11"/>
    </row>
    <row r="151" spans="9:42" ht="15.75" customHeight="1">
      <c r="I151" s="3630" t="s">
        <v>1653</v>
      </c>
      <c r="J151" s="3624">
        <f>'10. Финансиране на ИП'!AT75*'10. Финансиране на ИП'!AT78</f>
        <v>0</v>
      </c>
      <c r="K151" s="3624">
        <f>'10. Финансиране на ИП'!AU75*'10. Финансиране на ИП'!AU78</f>
        <v>0</v>
      </c>
      <c r="L151" s="3624">
        <f>'10. Финансиране на ИП'!AV75*'10. Финансиране на ИП'!AV78</f>
        <v>0</v>
      </c>
      <c r="M151" s="3624">
        <f>'10. Финансиране на ИП'!AW75*'10. Финансиране на ИП'!AW78</f>
        <v>0</v>
      </c>
      <c r="N151" s="3624">
        <f>'10. Финансиране на ИП'!AX75*'10. Финансиране на ИП'!AX78</f>
        <v>0</v>
      </c>
      <c r="S151" s="4591">
        <f>'12.2.Нови дейности или обекти'!R33</f>
        <v>0</v>
      </c>
      <c r="T151" s="4592">
        <f>'12.2.Нови дейности или обекти'!R44</f>
        <v>0</v>
      </c>
      <c r="U151" s="4592">
        <f>'12.2.Нови дейности или обекти'!S44</f>
        <v>0</v>
      </c>
      <c r="V151" s="4592">
        <f>'12.2.Нови дейности или обекти'!T44</f>
        <v>0</v>
      </c>
      <c r="W151" s="4592">
        <f>'12.2.Нови дейности или обекти'!U44</f>
        <v>0</v>
      </c>
      <c r="X151" s="4592">
        <f>'12.2.Нови дейности или обекти'!V44</f>
        <v>0</v>
      </c>
      <c r="AA151" s="11"/>
      <c r="AC151" s="4587"/>
      <c r="AD151" s="11"/>
      <c r="AK151" s="4588"/>
      <c r="AP151" s="11"/>
    </row>
    <row r="152" spans="9:42" ht="15.75" customHeight="1">
      <c r="I152" s="3630" t="s">
        <v>1654</v>
      </c>
      <c r="J152" s="3624">
        <f>'10. Финансиране на ИП'!AT76*'10. Финансиране на ИП'!AT78</f>
        <v>0</v>
      </c>
      <c r="K152" s="3624">
        <f>'10. Финансиране на ИП'!AU76*'10. Финансиране на ИП'!AU78</f>
        <v>0</v>
      </c>
      <c r="L152" s="3624">
        <f>'10. Финансиране на ИП'!AV76*'10. Финансиране на ИП'!AV78</f>
        <v>0</v>
      </c>
      <c r="M152" s="3636">
        <f>'10. Финансиране на ИП'!AW76*'10. Финансиране на ИП'!AW78</f>
        <v>0</v>
      </c>
      <c r="N152" s="3636">
        <f>'10. Финансиране на ИП'!AX76*'10. Финансиране на ИП'!AX78</f>
        <v>0</v>
      </c>
      <c r="S152" s="4591">
        <f>'12.2.Нови дейности или обекти'!W33</f>
        <v>0</v>
      </c>
      <c r="T152" s="4592">
        <f>'12.2.Нови дейности или обекти'!W44</f>
        <v>0</v>
      </c>
      <c r="U152" s="4592">
        <f>'12.2.Нови дейности или обекти'!X44</f>
        <v>0</v>
      </c>
      <c r="V152" s="4592">
        <f>'12.2.Нови дейности или обекти'!Y44</f>
        <v>0</v>
      </c>
      <c r="W152" s="4592">
        <f>'12.2.Нови дейности или обекти'!Z44</f>
        <v>0</v>
      </c>
      <c r="X152" s="4592">
        <f>'12.2.Нови дейности или обекти'!AA44</f>
        <v>0</v>
      </c>
      <c r="AA152" s="11"/>
      <c r="AC152" s="4587"/>
      <c r="AD152" s="11"/>
      <c r="AK152" s="4588"/>
      <c r="AP152" s="11"/>
    </row>
    <row r="153" spans="9:42" ht="15.75" customHeight="1">
      <c r="S153" s="4598" t="s">
        <v>1678</v>
      </c>
      <c r="T153" s="4599">
        <f t="shared" ref="T153:X153" si="168">SUM(T143:T152)</f>
        <v>0</v>
      </c>
      <c r="U153" s="4599">
        <f t="shared" si="168"/>
        <v>0</v>
      </c>
      <c r="V153" s="4599">
        <f t="shared" si="168"/>
        <v>0</v>
      </c>
      <c r="W153" s="4599">
        <f t="shared" si="168"/>
        <v>0</v>
      </c>
      <c r="X153" s="4599">
        <f t="shared" si="168"/>
        <v>0</v>
      </c>
      <c r="AA153" s="11"/>
      <c r="AC153" s="4587"/>
      <c r="AD153" s="11"/>
      <c r="AK153" s="4588"/>
      <c r="AP153" s="11"/>
    </row>
    <row r="154" spans="9:42" ht="15.75" customHeight="1">
      <c r="S154" s="5677" t="s">
        <v>1675</v>
      </c>
      <c r="T154" s="5679" t="s">
        <v>174</v>
      </c>
      <c r="U154" s="5680"/>
      <c r="V154" s="5680"/>
      <c r="W154" s="5680"/>
      <c r="X154" s="5681"/>
      <c r="AA154" s="11"/>
      <c r="AC154" s="4587"/>
      <c r="AD154" s="11"/>
      <c r="AK154" s="4588"/>
      <c r="AP154" s="11"/>
    </row>
    <row r="155" spans="9:42" ht="15.75" customHeight="1">
      <c r="S155" s="5678"/>
      <c r="T155" s="4522" t="str">
        <f t="shared" ref="T155:X155" si="169">+T142</f>
        <v>2027 г.</v>
      </c>
      <c r="U155" s="4522" t="str">
        <f t="shared" si="169"/>
        <v>2028 г.</v>
      </c>
      <c r="V155" s="4522" t="str">
        <f t="shared" si="169"/>
        <v>2029 г.</v>
      </c>
      <c r="W155" s="4522" t="str">
        <f t="shared" si="169"/>
        <v>2030 г.</v>
      </c>
      <c r="X155" s="4522" t="str">
        <f t="shared" si="169"/>
        <v>2031 г.</v>
      </c>
      <c r="AA155" s="11"/>
      <c r="AC155" s="4587"/>
      <c r="AD155" s="11"/>
      <c r="AK155" s="4588"/>
      <c r="AP155" s="11"/>
    </row>
    <row r="156" spans="9:42" ht="15.75" customHeight="1">
      <c r="S156" s="4591">
        <f>'12.2.Нови дейности или обекти'!C57</f>
        <v>0</v>
      </c>
      <c r="T156" s="4592">
        <f>'12.2.Нови дейности или обекти'!C68</f>
        <v>0</v>
      </c>
      <c r="U156" s="4592">
        <f>'12.2.Нови дейности или обекти'!D68</f>
        <v>0</v>
      </c>
      <c r="V156" s="4592">
        <f>'12.2.Нови дейности или обекти'!E68</f>
        <v>0</v>
      </c>
      <c r="W156" s="4592">
        <f>'12.2.Нови дейности или обекти'!F68</f>
        <v>0</v>
      </c>
      <c r="X156" s="4592">
        <f>'12.2.Нови дейности или обекти'!G68</f>
        <v>0</v>
      </c>
      <c r="AA156" s="11"/>
      <c r="AC156" s="4587"/>
      <c r="AD156" s="11"/>
      <c r="AK156" s="4588"/>
      <c r="AP156" s="11"/>
    </row>
    <row r="157" spans="9:42" ht="15.75" customHeight="1">
      <c r="S157" s="4591">
        <f>'12.2.Нови дейности или обекти'!H57</f>
        <v>0</v>
      </c>
      <c r="T157" s="4592">
        <f>'12.2.Нови дейности или обекти'!H68</f>
        <v>0</v>
      </c>
      <c r="U157" s="4592">
        <f>'12.2.Нови дейности или обекти'!I68</f>
        <v>0</v>
      </c>
      <c r="V157" s="4592">
        <f>'12.2.Нови дейности или обекти'!J68</f>
        <v>0</v>
      </c>
      <c r="W157" s="4592">
        <f>'12.2.Нови дейности или обекти'!K68</f>
        <v>0</v>
      </c>
      <c r="X157" s="4592">
        <f>'12.2.Нови дейности или обекти'!L68</f>
        <v>0</v>
      </c>
      <c r="AA157" s="11"/>
      <c r="AC157" s="4587"/>
      <c r="AD157" s="11"/>
      <c r="AK157" s="4588"/>
      <c r="AP157" s="11"/>
    </row>
    <row r="158" spans="9:42" ht="15.75" customHeight="1">
      <c r="S158" s="4591">
        <f>'12.2.Нови дейности или обекти'!M57</f>
        <v>0</v>
      </c>
      <c r="T158" s="4592">
        <f>'12.2.Нови дейности или обекти'!M68</f>
        <v>0</v>
      </c>
      <c r="U158" s="4592">
        <f>'12.2.Нови дейности или обекти'!N68</f>
        <v>0</v>
      </c>
      <c r="V158" s="4592">
        <f>'12.2.Нови дейности или обекти'!O68</f>
        <v>0</v>
      </c>
      <c r="W158" s="4592">
        <f>'12.2.Нови дейности или обекти'!P68</f>
        <v>0</v>
      </c>
      <c r="X158" s="4592">
        <f>'12.2.Нови дейности или обекти'!Q68</f>
        <v>0</v>
      </c>
      <c r="AA158" s="11"/>
      <c r="AC158" s="4587"/>
      <c r="AD158" s="11"/>
      <c r="AK158" s="4588"/>
      <c r="AP158" s="11"/>
    </row>
    <row r="159" spans="9:42" ht="15.75" customHeight="1">
      <c r="S159" s="4591">
        <f>'12.2.Нови дейности или обекти'!R57</f>
        <v>0</v>
      </c>
      <c r="T159" s="4592">
        <f>'12.2.Нови дейности или обекти'!R68</f>
        <v>0</v>
      </c>
      <c r="U159" s="4592">
        <f>'12.2.Нови дейности или обекти'!S68</f>
        <v>0</v>
      </c>
      <c r="V159" s="4592">
        <f>'12.2.Нови дейности или обекти'!T68</f>
        <v>0</v>
      </c>
      <c r="W159" s="4592">
        <f>'12.2.Нови дейности или обекти'!U68</f>
        <v>0</v>
      </c>
      <c r="X159" s="4592">
        <f>'12.2.Нови дейности или обекти'!V68</f>
        <v>0</v>
      </c>
      <c r="AA159" s="11"/>
      <c r="AC159" s="4587"/>
      <c r="AD159" s="11"/>
      <c r="AK159" s="4588"/>
      <c r="AP159" s="11"/>
    </row>
    <row r="160" spans="9:42" ht="15.75" customHeight="1">
      <c r="S160" s="4591">
        <f>'12.2.Нови дейности или обекти'!W57</f>
        <v>0</v>
      </c>
      <c r="T160" s="4592">
        <f>'12.2.Нови дейности или обекти'!W68</f>
        <v>0</v>
      </c>
      <c r="U160" s="4592">
        <f>'12.2.Нови дейности или обекти'!X68</f>
        <v>0</v>
      </c>
      <c r="V160" s="4592">
        <f>'12.2.Нови дейности или обекти'!Y68</f>
        <v>0</v>
      </c>
      <c r="W160" s="4592">
        <f>'12.2.Нови дейности или обекти'!Z68</f>
        <v>0</v>
      </c>
      <c r="X160" s="4592">
        <f>'12.2.Нови дейности или обекти'!AA68</f>
        <v>0</v>
      </c>
      <c r="AA160" s="11"/>
      <c r="AC160" s="4587"/>
      <c r="AD160" s="11"/>
      <c r="AK160" s="4588"/>
      <c r="AP160" s="11"/>
    </row>
    <row r="161" spans="19:42" ht="15.75" customHeight="1">
      <c r="S161" s="4591">
        <f>'12.2.Нови дейности или обекти'!C80</f>
        <v>0</v>
      </c>
      <c r="T161" s="4592">
        <f>'12.2.Нови дейности или обекти'!C91</f>
        <v>0</v>
      </c>
      <c r="U161" s="4592">
        <f>'12.2.Нови дейности или обекти'!D91</f>
        <v>0</v>
      </c>
      <c r="V161" s="4592">
        <f>'12.2.Нови дейности или обекти'!E91</f>
        <v>0</v>
      </c>
      <c r="W161" s="4592">
        <f>'12.2.Нови дейности или обекти'!F91</f>
        <v>0</v>
      </c>
      <c r="X161" s="4592">
        <f>'12.2.Нови дейности или обекти'!G91</f>
        <v>0</v>
      </c>
      <c r="AA161" s="11"/>
      <c r="AC161" s="4587"/>
      <c r="AD161" s="11"/>
      <c r="AK161" s="4588"/>
      <c r="AP161" s="11"/>
    </row>
    <row r="162" spans="19:42" ht="15.75" customHeight="1">
      <c r="S162" s="4591">
        <f>'12.2.Нови дейности или обекти'!H80</f>
        <v>0</v>
      </c>
      <c r="T162" s="4592">
        <f>'12.2.Нови дейности или обекти'!H91</f>
        <v>0</v>
      </c>
      <c r="U162" s="4592">
        <f>'12.2.Нови дейности или обекти'!I91</f>
        <v>0</v>
      </c>
      <c r="V162" s="4592">
        <f>'12.2.Нови дейности или обекти'!J91</f>
        <v>0</v>
      </c>
      <c r="W162" s="4592">
        <f>'12.2.Нови дейности или обекти'!K91</f>
        <v>0</v>
      </c>
      <c r="X162" s="4592">
        <f>'12.2.Нови дейности или обекти'!L91</f>
        <v>0</v>
      </c>
      <c r="AA162" s="11"/>
      <c r="AC162" s="4587"/>
      <c r="AD162" s="11"/>
      <c r="AK162" s="4588"/>
      <c r="AP162" s="11"/>
    </row>
    <row r="163" spans="19:42" ht="15.75" customHeight="1">
      <c r="S163" s="4591">
        <f>'12.2.Нови дейности или обекти'!M80</f>
        <v>0</v>
      </c>
      <c r="T163" s="4592">
        <f>'12.2.Нови дейности или обекти'!M91</f>
        <v>0</v>
      </c>
      <c r="U163" s="4592">
        <f>'12.2.Нови дейности или обекти'!N91</f>
        <v>0</v>
      </c>
      <c r="V163" s="4592">
        <f>'12.2.Нови дейности или обекти'!O91</f>
        <v>0</v>
      </c>
      <c r="W163" s="4592">
        <f>'12.2.Нови дейности или обекти'!P91</f>
        <v>0</v>
      </c>
      <c r="X163" s="4592">
        <f>'12.2.Нови дейности или обекти'!Q91</f>
        <v>0</v>
      </c>
      <c r="AA163" s="11"/>
      <c r="AC163" s="4587"/>
      <c r="AD163" s="11"/>
      <c r="AK163" s="4588"/>
      <c r="AP163" s="11"/>
    </row>
    <row r="164" spans="19:42" ht="15.75" customHeight="1">
      <c r="S164" s="4591">
        <f>'12.2.Нови дейности или обекти'!R80</f>
        <v>0</v>
      </c>
      <c r="T164" s="4592">
        <f>'12.2.Нови дейности или обекти'!R91</f>
        <v>0</v>
      </c>
      <c r="U164" s="4592">
        <f>'12.2.Нови дейности или обекти'!S91</f>
        <v>0</v>
      </c>
      <c r="V164" s="4592">
        <f>'12.2.Нови дейности или обекти'!T91</f>
        <v>0</v>
      </c>
      <c r="W164" s="4592">
        <f>'12.2.Нови дейности или обекти'!U91</f>
        <v>0</v>
      </c>
      <c r="X164" s="4592">
        <f>'12.2.Нови дейности или обекти'!V91</f>
        <v>0</v>
      </c>
      <c r="AA164" s="11"/>
      <c r="AC164" s="4587"/>
      <c r="AD164" s="11"/>
      <c r="AK164" s="4588"/>
      <c r="AP164" s="11"/>
    </row>
    <row r="165" spans="19:42" ht="15.75" customHeight="1">
      <c r="S165" s="4591">
        <f>'12.2.Нови дейности или обекти'!W80</f>
        <v>0</v>
      </c>
      <c r="T165" s="4592">
        <f>'12.2.Нови дейности или обекти'!W91</f>
        <v>0</v>
      </c>
      <c r="U165" s="4592">
        <f>'12.2.Нови дейности или обекти'!X91</f>
        <v>0</v>
      </c>
      <c r="V165" s="4592">
        <f>'12.2.Нови дейности или обекти'!Y91</f>
        <v>0</v>
      </c>
      <c r="W165" s="4592">
        <f>'12.2.Нови дейности или обекти'!Z91</f>
        <v>0</v>
      </c>
      <c r="X165" s="4592">
        <f>'12.2.Нови дейности или обекти'!AA91</f>
        <v>0</v>
      </c>
      <c r="AA165" s="11"/>
      <c r="AC165" s="4587"/>
      <c r="AD165" s="11"/>
      <c r="AK165" s="4588"/>
      <c r="AP165" s="11"/>
    </row>
    <row r="166" spans="19:42" ht="15.75" customHeight="1">
      <c r="S166" s="4598" t="s">
        <v>1677</v>
      </c>
      <c r="T166" s="4599">
        <f t="shared" ref="T166:X166" si="170">SUM(T156:T165)</f>
        <v>0</v>
      </c>
      <c r="U166" s="4599">
        <f t="shared" si="170"/>
        <v>0</v>
      </c>
      <c r="V166" s="4599">
        <f t="shared" si="170"/>
        <v>0</v>
      </c>
      <c r="W166" s="4599">
        <f t="shared" si="170"/>
        <v>0</v>
      </c>
      <c r="X166" s="4599">
        <f t="shared" si="170"/>
        <v>0</v>
      </c>
      <c r="AA166" s="11"/>
      <c r="AC166" s="4587"/>
      <c r="AD166" s="11"/>
      <c r="AK166" s="4588"/>
      <c r="AP166" s="11"/>
    </row>
    <row r="167" spans="19:42" ht="15.75" customHeight="1">
      <c r="S167" s="5676" t="s">
        <v>1674</v>
      </c>
      <c r="T167" s="5679" t="s">
        <v>184</v>
      </c>
      <c r="U167" s="5680"/>
      <c r="V167" s="5680"/>
      <c r="W167" s="5680"/>
      <c r="X167" s="5681"/>
      <c r="AA167" s="11"/>
      <c r="AC167" s="4587"/>
      <c r="AD167" s="11"/>
      <c r="AK167" s="4588"/>
      <c r="AP167" s="11"/>
    </row>
    <row r="168" spans="19:42" ht="15.75" customHeight="1">
      <c r="S168" s="5676"/>
      <c r="T168" s="4522" t="str">
        <f t="shared" ref="T168:X168" si="171">+T155</f>
        <v>2027 г.</v>
      </c>
      <c r="U168" s="4522" t="str">
        <f t="shared" si="171"/>
        <v>2028 г.</v>
      </c>
      <c r="V168" s="4522" t="str">
        <f t="shared" si="171"/>
        <v>2029 г.</v>
      </c>
      <c r="W168" s="4522" t="str">
        <f t="shared" si="171"/>
        <v>2030 г.</v>
      </c>
      <c r="X168" s="4522" t="str">
        <f t="shared" si="171"/>
        <v>2031 г.</v>
      </c>
      <c r="AA168" s="11"/>
      <c r="AC168" s="4587"/>
      <c r="AD168" s="11"/>
      <c r="AK168" s="4588"/>
      <c r="AP168" s="11"/>
    </row>
    <row r="169" spans="19:42" ht="15.75" customHeight="1">
      <c r="S169" s="4591">
        <f>'12.2.Нови дейности или обекти'!C104</f>
        <v>0</v>
      </c>
      <c r="T169" s="4592">
        <f>'12.2.Нови дейности или обекти'!C115</f>
        <v>0</v>
      </c>
      <c r="U169" s="4592">
        <f>'12.2.Нови дейности или обекти'!D115</f>
        <v>0</v>
      </c>
      <c r="V169" s="4592">
        <f>'12.2.Нови дейности или обекти'!E115</f>
        <v>0</v>
      </c>
      <c r="W169" s="4592">
        <f>'12.2.Нови дейности или обекти'!F115</f>
        <v>0</v>
      </c>
      <c r="X169" s="4592">
        <f>'12.2.Нови дейности или обекти'!G115</f>
        <v>0</v>
      </c>
      <c r="AA169" s="11"/>
      <c r="AC169" s="4587"/>
      <c r="AD169" s="11"/>
      <c r="AK169" s="4588"/>
      <c r="AP169" s="11"/>
    </row>
    <row r="170" spans="19:42" ht="15.75" customHeight="1">
      <c r="S170" s="4591">
        <f>'12.2.Нови дейности или обекти'!H104</f>
        <v>0</v>
      </c>
      <c r="T170" s="4592">
        <f>'12.2.Нови дейности или обекти'!H115</f>
        <v>0</v>
      </c>
      <c r="U170" s="4592">
        <f>'12.2.Нови дейности или обекти'!I115</f>
        <v>0</v>
      </c>
      <c r="V170" s="4592">
        <f>'12.2.Нови дейности или обекти'!J115</f>
        <v>0</v>
      </c>
      <c r="W170" s="4592">
        <f>'12.2.Нови дейности или обекти'!K115</f>
        <v>0</v>
      </c>
      <c r="X170" s="4592">
        <f>'12.2.Нови дейности или обекти'!L115</f>
        <v>0</v>
      </c>
      <c r="AA170" s="11"/>
      <c r="AC170" s="4587"/>
      <c r="AD170" s="11"/>
      <c r="AK170" s="4588"/>
      <c r="AP170" s="11"/>
    </row>
    <row r="171" spans="19:42" ht="15.75" customHeight="1">
      <c r="S171" s="4591">
        <f>'12.2.Нови дейности или обекти'!M104</f>
        <v>0</v>
      </c>
      <c r="T171" s="4592">
        <f>'12.2.Нови дейности или обекти'!M115</f>
        <v>0</v>
      </c>
      <c r="U171" s="4592">
        <f>'12.2.Нови дейности или обекти'!N115</f>
        <v>0</v>
      </c>
      <c r="V171" s="4592">
        <f>'12.2.Нови дейности или обекти'!O115</f>
        <v>0</v>
      </c>
      <c r="W171" s="4592">
        <f>'12.2.Нови дейности или обекти'!P115</f>
        <v>0</v>
      </c>
      <c r="X171" s="4592">
        <f>'12.2.Нови дейности или обекти'!Q115</f>
        <v>0</v>
      </c>
      <c r="AA171" s="11"/>
      <c r="AC171" s="4587"/>
      <c r="AD171" s="11"/>
      <c r="AK171" s="4588"/>
      <c r="AP171" s="11"/>
    </row>
    <row r="172" spans="19:42" ht="15.75" customHeight="1">
      <c r="S172" s="4591">
        <f>'12.2.Нови дейности или обекти'!R104</f>
        <v>0</v>
      </c>
      <c r="T172" s="4592">
        <f>'12.2.Нови дейности или обекти'!R115</f>
        <v>0</v>
      </c>
      <c r="U172" s="4592">
        <f>'12.2.Нови дейности или обекти'!S115</f>
        <v>0</v>
      </c>
      <c r="V172" s="4592">
        <f>'12.2.Нови дейности или обекти'!T115</f>
        <v>0</v>
      </c>
      <c r="W172" s="4592">
        <f>'12.2.Нови дейности или обекти'!U115</f>
        <v>0</v>
      </c>
      <c r="X172" s="4592">
        <f>'12.2.Нови дейности или обекти'!V115</f>
        <v>0</v>
      </c>
      <c r="AA172" s="11"/>
      <c r="AC172" s="4587"/>
      <c r="AD172" s="11"/>
      <c r="AK172" s="4588"/>
      <c r="AP172" s="11"/>
    </row>
    <row r="173" spans="19:42" ht="15.75" customHeight="1">
      <c r="S173" s="4591">
        <f>'12.2.Нови дейности или обекти'!W104</f>
        <v>0</v>
      </c>
      <c r="T173" s="4592">
        <f>'12.2.Нови дейности или обекти'!W115</f>
        <v>0</v>
      </c>
      <c r="U173" s="4592">
        <f>'12.2.Нови дейности или обекти'!X115</f>
        <v>0</v>
      </c>
      <c r="V173" s="4592">
        <f>'12.2.Нови дейности или обекти'!Y115</f>
        <v>0</v>
      </c>
      <c r="W173" s="4592">
        <f>'12.2.Нови дейности или обекти'!Z115</f>
        <v>0</v>
      </c>
      <c r="X173" s="4592">
        <f>'12.2.Нови дейности или обекти'!AA115</f>
        <v>0</v>
      </c>
      <c r="AA173" s="11"/>
      <c r="AC173" s="4587"/>
      <c r="AD173" s="11"/>
      <c r="AK173" s="4588"/>
      <c r="AP173" s="11"/>
    </row>
    <row r="174" spans="19:42" ht="15.75" customHeight="1">
      <c r="S174" s="4591">
        <f>'12.2.Нови дейности или обекти'!C127</f>
        <v>0</v>
      </c>
      <c r="T174" s="4592">
        <f>'12.2.Нови дейности или обекти'!C138</f>
        <v>0</v>
      </c>
      <c r="U174" s="4592">
        <f>'12.2.Нови дейности или обекти'!D138</f>
        <v>0</v>
      </c>
      <c r="V174" s="4592">
        <f>'12.2.Нови дейности или обекти'!E138</f>
        <v>0</v>
      </c>
      <c r="W174" s="4592">
        <f>'12.2.Нови дейности или обекти'!F138</f>
        <v>0</v>
      </c>
      <c r="X174" s="4592">
        <f>'12.2.Нови дейности или обекти'!G138</f>
        <v>0</v>
      </c>
      <c r="AA174" s="11"/>
    </row>
    <row r="175" spans="19:42" ht="15.75" customHeight="1">
      <c r="S175" s="4591">
        <f>'12.2.Нови дейности или обекти'!H127</f>
        <v>0</v>
      </c>
      <c r="T175" s="4592">
        <f>'12.2.Нови дейности или обекти'!H138</f>
        <v>0</v>
      </c>
      <c r="U175" s="4592">
        <f>'12.2.Нови дейности или обекти'!I138</f>
        <v>0</v>
      </c>
      <c r="V175" s="4592">
        <f>'12.2.Нови дейности или обекти'!J138</f>
        <v>0</v>
      </c>
      <c r="W175" s="4592">
        <f>'12.2.Нови дейности или обекти'!K138</f>
        <v>0</v>
      </c>
      <c r="X175" s="4592">
        <f>'12.2.Нови дейности или обекти'!L138</f>
        <v>0</v>
      </c>
      <c r="AA175" s="11"/>
    </row>
    <row r="176" spans="19:42" ht="15.75" customHeight="1">
      <c r="S176" s="4591">
        <f>'12.2.Нови дейности или обекти'!M127</f>
        <v>0</v>
      </c>
      <c r="T176" s="4592">
        <f>'12.2.Нови дейности или обекти'!M138</f>
        <v>0</v>
      </c>
      <c r="U176" s="4592">
        <f>'12.2.Нови дейности или обекти'!N138</f>
        <v>0</v>
      </c>
      <c r="V176" s="4592">
        <f>'12.2.Нови дейности или обекти'!O138</f>
        <v>0</v>
      </c>
      <c r="W176" s="4592">
        <f>'12.2.Нови дейности или обекти'!P138</f>
        <v>0</v>
      </c>
      <c r="X176" s="4592">
        <f>'12.2.Нови дейности или обекти'!Q138</f>
        <v>0</v>
      </c>
      <c r="AA176" s="11"/>
    </row>
    <row r="177" spans="19:27" ht="15.75" customHeight="1">
      <c r="S177" s="4591">
        <f>'12.2.Нови дейности или обекти'!R127</f>
        <v>0</v>
      </c>
      <c r="T177" s="4592">
        <f>'12.2.Нови дейности или обекти'!R138</f>
        <v>0</v>
      </c>
      <c r="U177" s="4592">
        <f>'12.2.Нови дейности или обекти'!S138</f>
        <v>0</v>
      </c>
      <c r="V177" s="4592">
        <f>'12.2.Нови дейности или обекти'!T138</f>
        <v>0</v>
      </c>
      <c r="W177" s="4592">
        <f>'12.2.Нови дейности или обекти'!U138</f>
        <v>0</v>
      </c>
      <c r="X177" s="4592">
        <f>'12.2.Нови дейности или обекти'!V138</f>
        <v>0</v>
      </c>
      <c r="AA177" s="11"/>
    </row>
    <row r="178" spans="19:27" ht="15.75" customHeight="1">
      <c r="S178" s="4591">
        <f>'12.2.Нови дейности или обекти'!W127</f>
        <v>0</v>
      </c>
      <c r="T178" s="4592">
        <f>'12.2.Нови дейности или обекти'!W138</f>
        <v>0</v>
      </c>
      <c r="U178" s="4592">
        <f>'12.2.Нови дейности или обекти'!X138</f>
        <v>0</v>
      </c>
      <c r="V178" s="4592">
        <f>'12.2.Нови дейности или обекти'!Y138</f>
        <v>0</v>
      </c>
      <c r="W178" s="4592">
        <f>'12.2.Нови дейности или обекти'!Z138</f>
        <v>0</v>
      </c>
      <c r="X178" s="4592">
        <f>'12.2.Нови дейности или обекти'!AA138</f>
        <v>0</v>
      </c>
      <c r="AA178" s="11"/>
    </row>
    <row r="179" spans="19:27" ht="15.75" customHeight="1">
      <c r="S179" s="4598" t="s">
        <v>1676</v>
      </c>
      <c r="T179" s="4599">
        <f>SUM(T169:T178)</f>
        <v>0</v>
      </c>
      <c r="U179" s="4599">
        <f t="shared" ref="U179:X179" si="172">SUM(U169:U178)</f>
        <v>0</v>
      </c>
      <c r="V179" s="4599">
        <f t="shared" si="172"/>
        <v>0</v>
      </c>
      <c r="W179" s="4599">
        <f t="shared" si="172"/>
        <v>0</v>
      </c>
      <c r="X179" s="4599">
        <f t="shared" si="172"/>
        <v>0</v>
      </c>
      <c r="AA179" s="11"/>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100:Y100"/>
    <mergeCell ref="Z100:Z101"/>
    <mergeCell ref="AA100:AA101"/>
    <mergeCell ref="S167:S168"/>
    <mergeCell ref="T120:Y120"/>
    <mergeCell ref="Z120:Z121"/>
    <mergeCell ref="AA120:AA121"/>
    <mergeCell ref="S141:S142"/>
    <mergeCell ref="S154:S155"/>
    <mergeCell ref="S120:S121"/>
    <mergeCell ref="S100:S101"/>
    <mergeCell ref="T141:X141"/>
    <mergeCell ref="T154:X154"/>
    <mergeCell ref="T167:X167"/>
    <mergeCell ref="AR27:AR28"/>
    <mergeCell ref="AS3:AW3"/>
    <mergeCell ref="AS9:AW9"/>
    <mergeCell ref="AS15:AW15"/>
    <mergeCell ref="AS21:AW21"/>
    <mergeCell ref="AS27:AW27"/>
    <mergeCell ref="AR9:AR10"/>
    <mergeCell ref="AR3:AR4"/>
    <mergeCell ref="AR15:AR16"/>
    <mergeCell ref="AR21:AR22"/>
    <mergeCell ref="AK27:AK28"/>
    <mergeCell ref="AL27:AP27"/>
    <mergeCell ref="AK35:AK36"/>
    <mergeCell ref="AL35:AP35"/>
    <mergeCell ref="AK3:AK4"/>
    <mergeCell ref="AL3:AP3"/>
    <mergeCell ref="AK11:AK12"/>
    <mergeCell ref="AL11:AP11"/>
    <mergeCell ref="AK19:AK20"/>
    <mergeCell ref="AL19:AP19"/>
  </mergeCells>
  <conditionalFormatting sqref="J16:O17">
    <cfRule type="cellIs" dxfId="1" priority="1" operator="less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W179"/>
  <sheetViews>
    <sheetView topLeftCell="A109" zoomScaleNormal="100" workbookViewId="0">
      <selection activeCell="I112" sqref="I112"/>
    </sheetView>
  </sheetViews>
  <sheetFormatPr defaultColWidth="9.140625" defaultRowHeight="15.75" customHeight="1"/>
  <cols>
    <col min="1" max="1" width="37.5703125" style="11" customWidth="1"/>
    <col min="2" max="7" width="9.140625" style="4588"/>
    <col min="8" max="8" width="3.7109375" style="11" customWidth="1"/>
    <col min="9" max="9" width="37.5703125" style="11" customWidth="1"/>
    <col min="10" max="17" width="9.140625" style="11"/>
    <col min="18" max="18" width="4.5703125" style="11" customWidth="1"/>
    <col min="19" max="19" width="37.5703125" style="4625" customWidth="1"/>
    <col min="20" max="27" width="9.140625" style="4588"/>
    <col min="28" max="28" width="3.5703125" style="11" customWidth="1"/>
    <col min="29" max="29" width="37.5703125" style="11" customWidth="1"/>
    <col min="30" max="30" width="9" style="4587" customWidth="1"/>
    <col min="31" max="35" width="9.140625" style="11"/>
    <col min="36" max="36" width="4.140625" style="11" customWidth="1"/>
    <col min="37" max="37" width="37.5703125" style="11" customWidth="1"/>
    <col min="38" max="42" width="9.140625" style="4588"/>
    <col min="43" max="43" width="9.140625" style="11"/>
    <col min="44" max="44" width="37.5703125" style="11" customWidth="1"/>
    <col min="45" max="16384" width="9.140625" style="11"/>
  </cols>
  <sheetData>
    <row r="1" spans="1:49" ht="15.75" customHeight="1">
      <c r="A1" s="3669" t="s">
        <v>1656</v>
      </c>
      <c r="B1" s="4524"/>
      <c r="C1" s="4524"/>
      <c r="D1" s="4524"/>
      <c r="E1" s="4524"/>
      <c r="F1" s="4524"/>
      <c r="G1" s="4524"/>
      <c r="H1" s="3524"/>
      <c r="I1" s="3669" t="s">
        <v>1009</v>
      </c>
      <c r="J1" s="3524"/>
      <c r="K1" s="3524"/>
      <c r="L1" s="3524"/>
      <c r="M1" s="3524"/>
      <c r="N1" s="3524"/>
      <c r="O1" s="3524"/>
      <c r="P1" s="3524"/>
      <c r="Q1" s="3524"/>
      <c r="R1" s="3524"/>
      <c r="S1" s="3729" t="s">
        <v>1672</v>
      </c>
      <c r="T1" s="4524"/>
      <c r="U1" s="4524"/>
      <c r="V1" s="4524"/>
      <c r="W1" s="4524"/>
      <c r="X1" s="4524"/>
      <c r="Y1" s="4524"/>
      <c r="Z1" s="4524"/>
      <c r="AA1" s="4524"/>
      <c r="AB1" s="3524"/>
      <c r="AC1" s="3729" t="s">
        <v>1689</v>
      </c>
      <c r="AD1" s="3758"/>
      <c r="AE1" s="3524"/>
      <c r="AF1" s="3524"/>
      <c r="AG1" s="3524"/>
      <c r="AH1" s="3524"/>
      <c r="AI1" s="3524"/>
      <c r="AJ1" s="3524"/>
      <c r="AK1" s="3729" t="s">
        <v>1693</v>
      </c>
      <c r="AL1" s="4524"/>
      <c r="AM1" s="4524"/>
      <c r="AN1" s="4524"/>
      <c r="AO1" s="4524"/>
      <c r="AP1" s="4524"/>
      <c r="AQ1" s="3524"/>
      <c r="AR1" s="3524"/>
      <c r="AS1" s="3524"/>
      <c r="AT1" s="3524"/>
      <c r="AU1" s="3524"/>
      <c r="AV1" s="3524"/>
      <c r="AW1" s="3524"/>
    </row>
    <row r="2" spans="1:49" ht="15.75" customHeight="1">
      <c r="A2" s="3759" t="s">
        <v>207</v>
      </c>
      <c r="B2" s="4524"/>
      <c r="C2" s="4524"/>
      <c r="D2" s="4524"/>
      <c r="E2" s="4524"/>
      <c r="F2" s="4524"/>
      <c r="G2" s="3760" t="s">
        <v>1911</v>
      </c>
      <c r="H2" s="3524"/>
      <c r="I2" s="1357" t="s">
        <v>1633</v>
      </c>
      <c r="J2" s="3524"/>
      <c r="K2" s="3524"/>
      <c r="L2" s="3524"/>
      <c r="M2" s="3524"/>
      <c r="N2" s="3524"/>
      <c r="O2" s="3760" t="s">
        <v>1911</v>
      </c>
      <c r="P2" s="3524"/>
      <c r="Q2" s="3524"/>
      <c r="R2" s="3524"/>
      <c r="S2" s="1656" t="s">
        <v>1680</v>
      </c>
      <c r="T2" s="4524"/>
      <c r="U2" s="4524"/>
      <c r="V2" s="4524"/>
      <c r="W2" s="4524"/>
      <c r="X2" s="4524"/>
      <c r="Y2" s="4524"/>
      <c r="Z2" s="4524"/>
      <c r="AA2" s="3760"/>
      <c r="AB2" s="3524"/>
      <c r="AC2" s="3524"/>
      <c r="AD2" s="3523"/>
      <c r="AE2" s="3524"/>
      <c r="AF2" s="3524"/>
      <c r="AG2" s="3524"/>
      <c r="AH2" s="3524"/>
      <c r="AI2" s="3524"/>
      <c r="AJ2" s="3524"/>
      <c r="AK2" s="1656" t="s">
        <v>305</v>
      </c>
      <c r="AL2" s="4524"/>
      <c r="AM2" s="4524"/>
      <c r="AN2" s="4524"/>
      <c r="AO2" s="4524"/>
      <c r="AP2" s="4524"/>
      <c r="AQ2" s="3524"/>
      <c r="AR2" s="1656" t="s">
        <v>1698</v>
      </c>
      <c r="AS2" s="4524"/>
      <c r="AT2" s="4524"/>
      <c r="AU2" s="4524"/>
      <c r="AV2" s="4524"/>
      <c r="AW2" s="4524"/>
    </row>
    <row r="3" spans="1:49" ht="12.75" customHeight="1">
      <c r="A3" s="5684" t="s">
        <v>87</v>
      </c>
      <c r="B3" s="5676" t="s">
        <v>210</v>
      </c>
      <c r="C3" s="5676"/>
      <c r="D3" s="5676"/>
      <c r="E3" s="5676"/>
      <c r="F3" s="5676"/>
      <c r="G3" s="5676"/>
      <c r="H3" s="3524"/>
      <c r="I3" s="4525" t="s">
        <v>1495</v>
      </c>
      <c r="J3" s="4876" t="str">
        <f>+'15. ОПП'!$C$7</f>
        <v>2027 г.</v>
      </c>
      <c r="K3" s="4876" t="str">
        <f>+'15. ОПП'!$D$7</f>
        <v>2028 г.</v>
      </c>
      <c r="L3" s="4876" t="str">
        <f>+'15. ОПП'!$E$7</f>
        <v>2029 г.</v>
      </c>
      <c r="M3" s="4876" t="str">
        <f>+'15. ОПП'!$F$7</f>
        <v>2030 г.</v>
      </c>
      <c r="N3" s="4876" t="str">
        <f>+'15. ОПП'!$G$7</f>
        <v>2031 г.</v>
      </c>
      <c r="O3" s="4527" t="s">
        <v>1594</v>
      </c>
      <c r="P3" s="3524"/>
      <c r="Q3" s="3524"/>
      <c r="R3" s="3524"/>
      <c r="S3" s="5676" t="s">
        <v>1921</v>
      </c>
      <c r="T3" s="5676" t="s">
        <v>207</v>
      </c>
      <c r="U3" s="5676"/>
      <c r="V3" s="5676"/>
      <c r="W3" s="5676"/>
      <c r="X3" s="5676"/>
      <c r="Y3" s="5676"/>
      <c r="Z3" s="5619" t="str">
        <f>+"Изменение "&amp;U4&amp;" спр. "&amp;T4</f>
        <v>Изменение 2027 г. спр. 2024 г.</v>
      </c>
      <c r="AA3" s="5619" t="str">
        <f>+"Изменение "&amp;Y4&amp;" спр. "&amp;U4</f>
        <v>Изменение 2031 г. спр. 2027 г.</v>
      </c>
      <c r="AB3" s="3524"/>
      <c r="AC3" s="3761" t="s">
        <v>1923</v>
      </c>
      <c r="AD3" s="4528" t="str">
        <f>T4</f>
        <v>2024 г.</v>
      </c>
      <c r="AE3" s="4528" t="str">
        <f t="shared" ref="AE3:AI3" si="0">U4</f>
        <v>2027 г.</v>
      </c>
      <c r="AF3" s="4528" t="str">
        <f t="shared" si="0"/>
        <v>2028 г.</v>
      </c>
      <c r="AG3" s="4528" t="str">
        <f t="shared" si="0"/>
        <v>2029 г.</v>
      </c>
      <c r="AH3" s="4528" t="str">
        <f t="shared" si="0"/>
        <v>2030 г.</v>
      </c>
      <c r="AI3" s="4528" t="str">
        <f t="shared" si="0"/>
        <v>2031 г.</v>
      </c>
      <c r="AJ3" s="3524"/>
      <c r="AK3" s="5665" t="s">
        <v>1925</v>
      </c>
      <c r="AL3" s="5666" t="str">
        <f>T3</f>
        <v>Доставяне на вода на потребителите</v>
      </c>
      <c r="AM3" s="5667"/>
      <c r="AN3" s="5667"/>
      <c r="AO3" s="5667"/>
      <c r="AP3" s="5667"/>
      <c r="AQ3" s="3524"/>
      <c r="AR3" s="5665" t="s">
        <v>1925</v>
      </c>
      <c r="AS3" s="5670" t="s">
        <v>210</v>
      </c>
      <c r="AT3" s="5671"/>
      <c r="AU3" s="5671"/>
      <c r="AV3" s="5671"/>
      <c r="AW3" s="5672"/>
    </row>
    <row r="4" spans="1:49" ht="15.75" customHeight="1">
      <c r="A4" s="5684"/>
      <c r="B4" s="4876" t="str">
        <f>+'15. ОПП'!$B$7</f>
        <v>2024 г.</v>
      </c>
      <c r="C4" s="4876" t="str">
        <f>+'15. ОПП'!$C$7</f>
        <v>2027 г.</v>
      </c>
      <c r="D4" s="4876" t="str">
        <f>+'15. ОПП'!$D$7</f>
        <v>2028 г.</v>
      </c>
      <c r="E4" s="4876" t="str">
        <f>+'15. ОПП'!$E$7</f>
        <v>2029 г.</v>
      </c>
      <c r="F4" s="4876" t="str">
        <f>+'15. ОПП'!$F$7</f>
        <v>2030 г.</v>
      </c>
      <c r="G4" s="4876" t="str">
        <f>+'15. ОПП'!$G$7</f>
        <v>2031 г.</v>
      </c>
      <c r="H4" s="3524"/>
      <c r="I4" s="4530" t="str">
        <f>I27</f>
        <v>Доставяне на вода на потребителите</v>
      </c>
      <c r="J4" s="4531"/>
      <c r="K4" s="4531"/>
      <c r="L4" s="4531"/>
      <c r="M4" s="4531"/>
      <c r="N4" s="4531"/>
      <c r="O4" s="3904">
        <f>SUM(J4:N4)</f>
        <v>0</v>
      </c>
      <c r="P4" s="3524"/>
      <c r="Q4" s="3524"/>
      <c r="R4" s="3524"/>
      <c r="S4" s="5676"/>
      <c r="T4" s="4876" t="str">
        <f>+'15. ОПП'!$B$7</f>
        <v>2024 г.</v>
      </c>
      <c r="U4" s="4876" t="str">
        <f>+'15. ОПП'!$C$7</f>
        <v>2027 г.</v>
      </c>
      <c r="V4" s="4876" t="str">
        <f>+'15. ОПП'!$D$7</f>
        <v>2028 г.</v>
      </c>
      <c r="W4" s="4876" t="str">
        <f>+'15. ОПП'!$E$7</f>
        <v>2029 г.</v>
      </c>
      <c r="X4" s="4876" t="str">
        <f>+'15. ОПП'!$F$7</f>
        <v>2030 г.</v>
      </c>
      <c r="Y4" s="4876" t="str">
        <f>+'15. ОПП'!$G$7</f>
        <v>2031 г.</v>
      </c>
      <c r="Z4" s="5619"/>
      <c r="AA4" s="5619"/>
      <c r="AB4" s="3524"/>
      <c r="AC4" s="3762" t="s">
        <v>1685</v>
      </c>
      <c r="AD4" s="3763">
        <f>'14. ОПР'!I9</f>
        <v>17979.067710383828</v>
      </c>
      <c r="AE4" s="3763">
        <f>'14. ОПР'!J9</f>
        <v>19788.980145513669</v>
      </c>
      <c r="AF4" s="3763">
        <f>'14. ОПР'!K9</f>
        <v>20688.593120056445</v>
      </c>
      <c r="AG4" s="3763">
        <f>'14. ОПР'!L9</f>
        <v>22352.059926271711</v>
      </c>
      <c r="AH4" s="3763">
        <f>'14. ОПР'!M9</f>
        <v>24164.490786827078</v>
      </c>
      <c r="AI4" s="3763">
        <f>'14. ОПР'!N9</f>
        <v>26457.199360680632</v>
      </c>
      <c r="AJ4" s="3524"/>
      <c r="AK4" s="5665"/>
      <c r="AL4" s="4532" t="s">
        <v>1777</v>
      </c>
      <c r="AM4" s="4532" t="s">
        <v>1778</v>
      </c>
      <c r="AN4" s="4532" t="s">
        <v>1779</v>
      </c>
      <c r="AO4" s="4532" t="s">
        <v>1780</v>
      </c>
      <c r="AP4" s="4532" t="s">
        <v>1781</v>
      </c>
      <c r="AQ4" s="3524"/>
      <c r="AR4" s="5665"/>
      <c r="AS4" s="4532" t="s">
        <v>1777</v>
      </c>
      <c r="AT4" s="4532" t="s">
        <v>1778</v>
      </c>
      <c r="AU4" s="4532" t="s">
        <v>1779</v>
      </c>
      <c r="AV4" s="4532" t="s">
        <v>1780</v>
      </c>
      <c r="AW4" s="4532" t="s">
        <v>1781</v>
      </c>
    </row>
    <row r="5" spans="1:49" ht="15.75" customHeight="1">
      <c r="A5" s="5686" t="s">
        <v>1657</v>
      </c>
      <c r="B5" s="5686"/>
      <c r="C5" s="5686"/>
      <c r="D5" s="5686"/>
      <c r="E5" s="5686"/>
      <c r="F5" s="5686"/>
      <c r="G5" s="5686"/>
      <c r="H5" s="3524"/>
      <c r="I5" s="4530" t="str">
        <f>I30</f>
        <v>Отвеждане на отпадъчните води</v>
      </c>
      <c r="J5" s="4531"/>
      <c r="K5" s="4531"/>
      <c r="L5" s="4531"/>
      <c r="M5" s="4531"/>
      <c r="N5" s="4531"/>
      <c r="O5" s="3904">
        <f>SUM(J5:N5)</f>
        <v>0</v>
      </c>
      <c r="P5" s="3524"/>
      <c r="Q5" s="3524"/>
      <c r="R5" s="3524"/>
      <c r="S5" s="4533" t="s">
        <v>226</v>
      </c>
      <c r="T5" s="4534">
        <f>'12. Разходи'!BJ11</f>
        <v>833.69687060634089</v>
      </c>
      <c r="U5" s="4534">
        <f>'12. Разходи'!BK11</f>
        <v>839.82340489715364</v>
      </c>
      <c r="V5" s="4534">
        <f>'12. Разходи'!BL11</f>
        <v>831.03567283455118</v>
      </c>
      <c r="W5" s="4534">
        <f>'12. Разходи'!BM11</f>
        <v>823.76624246483584</v>
      </c>
      <c r="X5" s="4534">
        <f>'12. Разходи'!BN11</f>
        <v>816.49681209512084</v>
      </c>
      <c r="Y5" s="4534">
        <f>'12. Разходи'!BO11</f>
        <v>807.8635413098275</v>
      </c>
      <c r="Z5" s="4535">
        <f>IFERROR((U5-T5)/T5,0)</f>
        <v>7.3486353455506723E-3</v>
      </c>
      <c r="AA5" s="4535">
        <f>IFERROR((Y5-U5)/U5,0)</f>
        <v>-3.8055457136539322E-2</v>
      </c>
      <c r="AB5" s="3524"/>
      <c r="AC5" s="3640" t="s">
        <v>494</v>
      </c>
      <c r="AD5" s="3644">
        <f>'14. ОПР'!I16</f>
        <v>98.679333070870172</v>
      </c>
      <c r="AE5" s="3644">
        <f>'14. ОПР'!J16</f>
        <v>0</v>
      </c>
      <c r="AF5" s="3644">
        <f>'14. ОПР'!K16</f>
        <v>0</v>
      </c>
      <c r="AG5" s="3644">
        <f>'14. ОПР'!L16</f>
        <v>0</v>
      </c>
      <c r="AH5" s="3644">
        <f>'14. ОПР'!M16</f>
        <v>0</v>
      </c>
      <c r="AI5" s="3644">
        <f>'14. ОПР'!N16</f>
        <v>0</v>
      </c>
      <c r="AJ5" s="3524"/>
      <c r="AK5" s="3645" t="s">
        <v>547</v>
      </c>
      <c r="AL5" s="3764">
        <f>'17. РБА'!I10</f>
        <v>23313.716768158109</v>
      </c>
      <c r="AM5" s="3764">
        <f>'17. РБА'!J10</f>
        <v>25223.562375053047</v>
      </c>
      <c r="AN5" s="3764">
        <f>'17. РБА'!K10</f>
        <v>26806.862900490672</v>
      </c>
      <c r="AO5" s="3764">
        <f>'17. РБА'!L10</f>
        <v>28439.588307777267</v>
      </c>
      <c r="AP5" s="3764">
        <f>'17. РБА'!M10</f>
        <v>30147.303190972631</v>
      </c>
      <c r="AQ5" s="3524"/>
      <c r="AR5" s="3765" t="s">
        <v>294</v>
      </c>
      <c r="AS5" s="3478">
        <f>'16. Необходими приходи'!K9</f>
        <v>0</v>
      </c>
      <c r="AT5" s="3478">
        <f>'16. Необходими приходи'!L9</f>
        <v>0</v>
      </c>
      <c r="AU5" s="3478">
        <f>'16. Необходими приходи'!M9</f>
        <v>0</v>
      </c>
      <c r="AV5" s="3478">
        <f>'16. Необходими приходи'!N9</f>
        <v>0</v>
      </c>
      <c r="AW5" s="3478">
        <f>'16. Необходими приходи'!O9</f>
        <v>0</v>
      </c>
    </row>
    <row r="6" spans="1:49" ht="15.75" customHeight="1">
      <c r="A6" s="4536" t="s">
        <v>334</v>
      </c>
      <c r="B6" s="3904">
        <f>'11. Амортиз. план'!AQ10</f>
        <v>8831.544663902283</v>
      </c>
      <c r="C6" s="3904">
        <f>'11. Амортиз. план'!AS10</f>
        <v>9025.8355787568453</v>
      </c>
      <c r="D6" s="3904">
        <f>'11. Амортиз. план'!AT10</f>
        <v>9071.8518480645071</v>
      </c>
      <c r="E6" s="3904">
        <f>'11. Амортиз. план'!AU10</f>
        <v>9200.5269714988881</v>
      </c>
      <c r="F6" s="3904">
        <f>'11. Амортиз. план'!AV10</f>
        <v>9442.5384619317629</v>
      </c>
      <c r="G6" s="3904">
        <f>'11. Амортиз. план'!AW10</f>
        <v>9490.2590375100772</v>
      </c>
      <c r="H6" s="3524"/>
      <c r="I6" s="4530" t="str">
        <f>I33</f>
        <v>Пречистване на отпадъчните води</v>
      </c>
      <c r="J6" s="4531"/>
      <c r="K6" s="4531"/>
      <c r="L6" s="4531"/>
      <c r="M6" s="4531"/>
      <c r="N6" s="4531"/>
      <c r="O6" s="3904">
        <f>SUM(J6:N6)</f>
        <v>0</v>
      </c>
      <c r="P6" s="3524"/>
      <c r="Q6" s="3524"/>
      <c r="R6" s="3524"/>
      <c r="S6" s="4537" t="s">
        <v>239</v>
      </c>
      <c r="T6" s="3779">
        <f>'12. Разходи'!BJ29</f>
        <v>899.9877289948513</v>
      </c>
      <c r="U6" s="3779">
        <f>'12. Разходи'!BK29</f>
        <v>900.38500278654078</v>
      </c>
      <c r="V6" s="3779">
        <f>'12. Разходи'!BL29</f>
        <v>900.38500278654078</v>
      </c>
      <c r="W6" s="3779">
        <f>'12. Разходи'!BM29</f>
        <v>900.38500278654078</v>
      </c>
      <c r="X6" s="3779">
        <f>'12. Разходи'!BN29</f>
        <v>900.38500278654078</v>
      </c>
      <c r="Y6" s="3779">
        <f>'12. Разходи'!BO29</f>
        <v>900.38500278654078</v>
      </c>
      <c r="Z6" s="4535">
        <f t="shared" ref="Z6:Z21" si="1">IFERROR((U6-T6)/T6,0)</f>
        <v>4.4142134263672666E-4</v>
      </c>
      <c r="AA6" s="4535">
        <f t="shared" ref="AA6:AA15" si="2">IFERROR((Y6-U6)/U6,0)</f>
        <v>0</v>
      </c>
      <c r="AB6" s="3524"/>
      <c r="AC6" s="3766" t="s">
        <v>489</v>
      </c>
      <c r="AD6" s="3767">
        <f t="shared" ref="AD6:AI6" si="3">AD4+AD5</f>
        <v>18077.747043454699</v>
      </c>
      <c r="AE6" s="3767">
        <f t="shared" si="3"/>
        <v>19788.980145513669</v>
      </c>
      <c r="AF6" s="3767">
        <f t="shared" si="3"/>
        <v>20688.593120056445</v>
      </c>
      <c r="AG6" s="3767">
        <f t="shared" si="3"/>
        <v>22352.059926271711</v>
      </c>
      <c r="AH6" s="3767">
        <f t="shared" si="3"/>
        <v>24164.490786827078</v>
      </c>
      <c r="AI6" s="3767">
        <f t="shared" si="3"/>
        <v>26457.199360680632</v>
      </c>
      <c r="AJ6" s="3524"/>
      <c r="AK6" s="3645" t="s">
        <v>548</v>
      </c>
      <c r="AL6" s="3768">
        <f>'17. РБА'!I13</f>
        <v>5159.6386014568325</v>
      </c>
      <c r="AM6" s="3768">
        <f>'17. РБА'!J13</f>
        <v>5944.2849304043657</v>
      </c>
      <c r="AN6" s="3768">
        <f>'17. РБА'!K13</f>
        <v>6780.445478119389</v>
      </c>
      <c r="AO6" s="3768">
        <f>'17. РБА'!L13</f>
        <v>7669.7150650744588</v>
      </c>
      <c r="AP6" s="3768">
        <f>'17. РБА'!M13</f>
        <v>8619.7456678902472</v>
      </c>
      <c r="AQ6" s="3524"/>
      <c r="AR6" s="3765" t="s">
        <v>296</v>
      </c>
      <c r="AS6" s="3478">
        <f>'16. Необходими приходи'!K10</f>
        <v>11328.421508794454</v>
      </c>
      <c r="AT6" s="3478">
        <f>'16. Необходими приходи'!L10</f>
        <v>11979.616011635711</v>
      </c>
      <c r="AU6" s="3478">
        <f>'16. Необходими приходи'!M10</f>
        <v>13086.562669687213</v>
      </c>
      <c r="AV6" s="3478">
        <f>'16. Необходими приходи'!N10</f>
        <v>14239.260218886713</v>
      </c>
      <c r="AW6" s="3478">
        <f>'16. Необходими приходи'!O10</f>
        <v>15659.602543208826</v>
      </c>
    </row>
    <row r="7" spans="1:49" ht="15.75" customHeight="1">
      <c r="A7" s="4538" t="s">
        <v>218</v>
      </c>
      <c r="B7" s="4539">
        <f>'11. Амортиз. план'!AQ35</f>
        <v>284.27828594509748</v>
      </c>
      <c r="C7" s="4539">
        <f>'11. Амортиз. план'!AS35</f>
        <v>390.24437079259076</v>
      </c>
      <c r="D7" s="4539">
        <f>'11. Амортиз. план'!AT35</f>
        <v>399.3514271977154</v>
      </c>
      <c r="E7" s="4539">
        <f>'11. Амортиз. план'!AU35</f>
        <v>413.77766935481844</v>
      </c>
      <c r="F7" s="4539">
        <f>'11. Амортиз. план'!AV35</f>
        <v>436.63329314138628</v>
      </c>
      <c r="G7" s="4539">
        <f>'11. Амортиз. план'!AW35</f>
        <v>452.39712834667591</v>
      </c>
      <c r="H7" s="3524"/>
      <c r="I7" s="4540" t="s">
        <v>1028</v>
      </c>
      <c r="J7" s="4541">
        <f t="shared" ref="J7:O7" si="4">SUM(J4:J6)</f>
        <v>0</v>
      </c>
      <c r="K7" s="4541">
        <f t="shared" si="4"/>
        <v>0</v>
      </c>
      <c r="L7" s="4541">
        <f t="shared" si="4"/>
        <v>0</v>
      </c>
      <c r="M7" s="4541">
        <f t="shared" si="4"/>
        <v>0</v>
      </c>
      <c r="N7" s="4541">
        <f t="shared" si="4"/>
        <v>0</v>
      </c>
      <c r="O7" s="4541">
        <f t="shared" si="4"/>
        <v>0</v>
      </c>
      <c r="P7" s="3524"/>
      <c r="Q7" s="3524"/>
      <c r="R7" s="3524"/>
      <c r="S7" s="4537" t="s">
        <v>446</v>
      </c>
      <c r="T7" s="3779">
        <f>'12. Разходи'!BJ55</f>
        <v>2607.5885941007145</v>
      </c>
      <c r="U7" s="3779">
        <f>'12. Разходи'!BK55</f>
        <v>2219.9858011920537</v>
      </c>
      <c r="V7" s="3779">
        <f>'12. Разходи'!BL55</f>
        <v>1936.6345152888932</v>
      </c>
      <c r="W7" s="3779">
        <f>'12. Разходи'!BM55</f>
        <v>1917.8277949792882</v>
      </c>
      <c r="X7" s="3779">
        <f>'12. Разходи'!BN55</f>
        <v>1902.3347396783959</v>
      </c>
      <c r="Y7" s="3779">
        <f>'12. Разходи'!BO55</f>
        <v>1987.1239791209443</v>
      </c>
      <c r="Z7" s="4535">
        <f t="shared" si="1"/>
        <v>-0.14864415106951884</v>
      </c>
      <c r="AA7" s="4535">
        <f t="shared" si="2"/>
        <v>-0.1048933835279806</v>
      </c>
      <c r="AB7" s="3524"/>
      <c r="AC7" s="3762" t="s">
        <v>1686</v>
      </c>
      <c r="AD7" s="3763">
        <f>'14. ОПР'!I22</f>
        <v>17733.365333769296</v>
      </c>
      <c r="AE7" s="3763">
        <f>'14. ОПР'!J22</f>
        <v>19406.533818378899</v>
      </c>
      <c r="AF7" s="3763">
        <f>'14. ОПР'!K22</f>
        <v>20246.836934702915</v>
      </c>
      <c r="AG7" s="3763">
        <f>'14. ОПР'!L22</f>
        <v>21859.174552798559</v>
      </c>
      <c r="AH7" s="3763">
        <f>'14. ОПР'!M22</f>
        <v>23625.589144046262</v>
      </c>
      <c r="AI7" s="3763">
        <f>'14. ОПР'!N22</f>
        <v>25881.48470245369</v>
      </c>
      <c r="AJ7" s="3524"/>
      <c r="AK7" s="3645" t="s">
        <v>549</v>
      </c>
      <c r="AL7" s="3764">
        <f>'17. РБА'!I16</f>
        <v>1150.9180245726877</v>
      </c>
      <c r="AM7" s="3764">
        <f>'17. РБА'!J16</f>
        <v>967.87553110444162</v>
      </c>
      <c r="AN7" s="3764">
        <f>'17. РБА'!K16</f>
        <v>784.8330376361954</v>
      </c>
      <c r="AO7" s="3764">
        <f>'17. РБА'!L16</f>
        <v>601.79054416794918</v>
      </c>
      <c r="AP7" s="3764">
        <f>'17. РБА'!M16</f>
        <v>418.74805069970296</v>
      </c>
      <c r="AQ7" s="3524"/>
      <c r="AR7" s="3765" t="s">
        <v>1787</v>
      </c>
      <c r="AS7" s="3478">
        <f>'12. Разходи'!BK17</f>
        <v>189.97142389675997</v>
      </c>
      <c r="AT7" s="3478">
        <f>'12. Разходи'!BL17</f>
        <v>181.18369183415737</v>
      </c>
      <c r="AU7" s="3478">
        <f>'12. Разходи'!BM17</f>
        <v>173.91426146444223</v>
      </c>
      <c r="AV7" s="3478">
        <f>'12. Разходи'!BN17</f>
        <v>166.64483109472707</v>
      </c>
      <c r="AW7" s="3478">
        <f>'12. Разходи'!BO17</f>
        <v>158.01156030943386</v>
      </c>
    </row>
    <row r="8" spans="1:49" ht="15.75" customHeight="1">
      <c r="A8" s="4542" t="s">
        <v>220</v>
      </c>
      <c r="B8" s="3779">
        <f>'11. Амортиз. план'!AQ60</f>
        <v>3387.5643588655462</v>
      </c>
      <c r="C8" s="3779">
        <f>'11. Амортиз. план'!AS60</f>
        <v>4152.6221117959822</v>
      </c>
      <c r="D8" s="3779">
        <f>'11. Амортиз. план'!AT60</f>
        <v>4551.9735389936977</v>
      </c>
      <c r="E8" s="3779">
        <f>'11. Амортиз. план'!AU60</f>
        <v>4965.7512083485126</v>
      </c>
      <c r="F8" s="3779">
        <f>'11. Амортиз. план'!AV60</f>
        <v>5402.3845014899016</v>
      </c>
      <c r="G8" s="3779">
        <f>'11. Амортиз. план'!AW60</f>
        <v>5854.7816298365742</v>
      </c>
      <c r="H8" s="3524"/>
      <c r="I8" s="4543" t="s">
        <v>1734</v>
      </c>
      <c r="J8" s="4543"/>
      <c r="K8" s="4543"/>
      <c r="L8" s="4543"/>
      <c r="M8" s="4543"/>
      <c r="N8" s="4543"/>
      <c r="O8" s="3760" t="s">
        <v>1911</v>
      </c>
      <c r="P8" s="3524"/>
      <c r="Q8" s="3524"/>
      <c r="R8" s="3524"/>
      <c r="S8" s="4544" t="s">
        <v>447</v>
      </c>
      <c r="T8" s="4539">
        <f>'12. Разходи'!BJ56</f>
        <v>195.82479049815169</v>
      </c>
      <c r="U8" s="4539">
        <f>'12. Разходи'!BK56</f>
        <v>390.24437079259076</v>
      </c>
      <c r="V8" s="4539">
        <f>'12. Разходи'!BL56</f>
        <v>399.3514271977154</v>
      </c>
      <c r="W8" s="4539">
        <f>'12. Разходи'!BM56</f>
        <v>413.77766935481844</v>
      </c>
      <c r="X8" s="4539">
        <f>'12. Разходи'!BN56</f>
        <v>436.63329314138628</v>
      </c>
      <c r="Y8" s="4539">
        <f>'12. Разходи'!BO56</f>
        <v>452.39712834667591</v>
      </c>
      <c r="Z8" s="4535">
        <f t="shared" si="1"/>
        <v>0.9928241455020177</v>
      </c>
      <c r="AA8" s="4535">
        <f t="shared" si="2"/>
        <v>0.15926625008799536</v>
      </c>
      <c r="AB8" s="3524"/>
      <c r="AC8" s="3641" t="s">
        <v>508</v>
      </c>
      <c r="AD8" s="3644">
        <f>'14. ОПР'!I34</f>
        <v>80.272825347806304</v>
      </c>
      <c r="AE8" s="3644">
        <f>'14. ОПР'!J34</f>
        <v>58.798566337565127</v>
      </c>
      <c r="AF8" s="3644">
        <f>'14. ОПР'!K34</f>
        <v>48.572728713640757</v>
      </c>
      <c r="AG8" s="3644">
        <f>'14. ОПР'!L34</f>
        <v>38.346891089716387</v>
      </c>
      <c r="AH8" s="3644">
        <f>'14. ОПР'!M34</f>
        <v>28.121053465792016</v>
      </c>
      <c r="AI8" s="3644">
        <f>'14. ОПР'!N34</f>
        <v>18.406507723063864</v>
      </c>
      <c r="AJ8" s="3524"/>
      <c r="AK8" s="3645" t="s">
        <v>329</v>
      </c>
      <c r="AL8" s="3764">
        <f>'17. РБА'!I19</f>
        <v>1909.8456068949415</v>
      </c>
      <c r="AM8" s="3764">
        <f>'17. РБА'!J19</f>
        <v>1583.3005254376233</v>
      </c>
      <c r="AN8" s="3764">
        <f>'17. РБА'!K19</f>
        <v>1632.7254072865912</v>
      </c>
      <c r="AO8" s="3764">
        <f>'17. РБА'!L19</f>
        <v>1707.7148831953698</v>
      </c>
      <c r="AP8" s="3764">
        <f>'17. РБА'!M19</f>
        <v>1582.4483723022963</v>
      </c>
      <c r="AQ8" s="3524"/>
      <c r="AR8" s="3732" t="s">
        <v>297</v>
      </c>
      <c r="AS8" s="3733">
        <f>AS5+AS6</f>
        <v>11328.421508794454</v>
      </c>
      <c r="AT8" s="3733">
        <f>AT5+AT6</f>
        <v>11979.616011635711</v>
      </c>
      <c r="AU8" s="3733">
        <f>AU5+AU6</f>
        <v>13086.562669687213</v>
      </c>
      <c r="AV8" s="3733">
        <f>AV5+AV6</f>
        <v>14239.260218886713</v>
      </c>
      <c r="AW8" s="3733">
        <f>AW5+AW6</f>
        <v>15659.602543208826</v>
      </c>
    </row>
    <row r="9" spans="1:49" ht="15.75" customHeight="1">
      <c r="A9" s="4542" t="s">
        <v>222</v>
      </c>
      <c r="B9" s="3779">
        <f>'11. Амортиз. план'!AQ85</f>
        <v>5443.9803050367364</v>
      </c>
      <c r="C9" s="3779">
        <f>'11. Амортиз. план'!AS85</f>
        <v>4873.2134669608631</v>
      </c>
      <c r="D9" s="3779">
        <f>'11. Амортиз. план'!AT85</f>
        <v>4519.8783090708075</v>
      </c>
      <c r="E9" s="3779">
        <f>'11. Амортиз. план'!AU85</f>
        <v>4234.7757631503709</v>
      </c>
      <c r="F9" s="3779">
        <f>'11. Амортиз. план'!AV85</f>
        <v>4040.1539604418613</v>
      </c>
      <c r="G9" s="3779">
        <f>'11. Амортиз. план'!AW85</f>
        <v>3635.4774076734998</v>
      </c>
      <c r="H9" s="3524"/>
      <c r="I9" s="4525" t="s">
        <v>1495</v>
      </c>
      <c r="J9" s="4876" t="str">
        <f>+'15. ОПП'!$C$7</f>
        <v>2027 г.</v>
      </c>
      <c r="K9" s="4876" t="str">
        <f>+'15. ОПП'!$D$7</f>
        <v>2028 г.</v>
      </c>
      <c r="L9" s="4876" t="str">
        <f>+'15. ОПП'!$E$7</f>
        <v>2029 г.</v>
      </c>
      <c r="M9" s="4876" t="str">
        <f>+'15. ОПП'!$F$7</f>
        <v>2030 г.</v>
      </c>
      <c r="N9" s="4876" t="str">
        <f>+'15. ОПП'!$G$7</f>
        <v>2031 г.</v>
      </c>
      <c r="O9" s="4527" t="s">
        <v>1594</v>
      </c>
      <c r="P9" s="3524"/>
      <c r="Q9" s="3524"/>
      <c r="R9" s="3524"/>
      <c r="S9" s="4544" t="s">
        <v>736</v>
      </c>
      <c r="T9" s="4539">
        <f>'12. Разходи'!BJ57</f>
        <v>210.14096317164581</v>
      </c>
      <c r="U9" s="4539">
        <f>'12. Разходи'!BK57</f>
        <v>394.4019581549428</v>
      </c>
      <c r="V9" s="4539">
        <f>'12. Разходи'!BL57</f>
        <v>436.80912051730888</v>
      </c>
      <c r="W9" s="4539">
        <f>'12. Разходи'!BM57</f>
        <v>475.49191760025508</v>
      </c>
      <c r="X9" s="4539">
        <f>'12. Разходи'!BN57</f>
        <v>513.39730967439868</v>
      </c>
      <c r="Y9" s="4539">
        <f>'12. Разходи'!BO57</f>
        <v>551.38576284740361</v>
      </c>
      <c r="Z9" s="4535">
        <f t="shared" si="1"/>
        <v>0.87684472461844709</v>
      </c>
      <c r="AA9" s="4535">
        <f t="shared" si="2"/>
        <v>0.39802998298195297</v>
      </c>
      <c r="AB9" s="3524"/>
      <c r="AC9" s="3766" t="s">
        <v>499</v>
      </c>
      <c r="AD9" s="3767">
        <f t="shared" ref="AD9:AI9" si="5">AD7+AD8</f>
        <v>17813.638159117101</v>
      </c>
      <c r="AE9" s="3767">
        <f t="shared" si="5"/>
        <v>19465.332384716465</v>
      </c>
      <c r="AF9" s="3767">
        <f t="shared" si="5"/>
        <v>20295.409663416554</v>
      </c>
      <c r="AG9" s="3767">
        <f t="shared" si="5"/>
        <v>21897.521443888276</v>
      </c>
      <c r="AH9" s="3767">
        <f t="shared" si="5"/>
        <v>23653.710197512053</v>
      </c>
      <c r="AI9" s="3767">
        <f t="shared" si="5"/>
        <v>25899.891210176753</v>
      </c>
      <c r="AJ9" s="3524"/>
      <c r="AK9" s="3645" t="s">
        <v>306</v>
      </c>
      <c r="AL9" s="3764">
        <f>'17. РБА'!I20</f>
        <v>1497.2771026195728</v>
      </c>
      <c r="AM9" s="3764">
        <f>'17. РБА'!J20</f>
        <v>1650.9010678926279</v>
      </c>
      <c r="AN9" s="3764">
        <f>'17. РБА'!K20</f>
        <v>1835.9564177602069</v>
      </c>
      <c r="AO9" s="3764">
        <f>'17. РБА'!L20</f>
        <v>2027.9877500068467</v>
      </c>
      <c r="AP9" s="3764">
        <f>'17. РБА'!M20</f>
        <v>2247.5307228637616</v>
      </c>
      <c r="AQ9" s="3524"/>
      <c r="AR9" s="5665" t="s">
        <v>1925</v>
      </c>
      <c r="AS9" s="5670" t="s">
        <v>174</v>
      </c>
      <c r="AT9" s="5671"/>
      <c r="AU9" s="5671"/>
      <c r="AV9" s="5671"/>
      <c r="AW9" s="5672"/>
    </row>
    <row r="10" spans="1:49" ht="15.75" customHeight="1">
      <c r="A10" s="5686" t="s">
        <v>1658</v>
      </c>
      <c r="B10" s="5686"/>
      <c r="C10" s="5686"/>
      <c r="D10" s="5686"/>
      <c r="E10" s="5686"/>
      <c r="F10" s="5686"/>
      <c r="G10" s="5686"/>
      <c r="H10" s="3524"/>
      <c r="I10" s="4530" t="s">
        <v>207</v>
      </c>
      <c r="J10" s="4531">
        <f>J28</f>
        <v>1829.7432121742008</v>
      </c>
      <c r="K10" s="4531">
        <f t="shared" ref="K10:N10" si="6">K28</f>
        <v>1537.2842561299635</v>
      </c>
      <c r="L10" s="4531">
        <f t="shared" si="6"/>
        <v>1504.0502838522095</v>
      </c>
      <c r="M10" s="4531">
        <f t="shared" si="6"/>
        <v>1465.703392762493</v>
      </c>
      <c r="N10" s="4531">
        <f t="shared" si="6"/>
        <v>1534.7277967239825</v>
      </c>
      <c r="O10" s="3904">
        <f>SUM(J10:N10)</f>
        <v>7871.5089416428491</v>
      </c>
      <c r="P10" s="3524"/>
      <c r="Q10" s="3524"/>
      <c r="R10" s="3524"/>
      <c r="S10" s="4544" t="s">
        <v>737</v>
      </c>
      <c r="T10" s="4539">
        <f>'12. Разходи'!BJ58</f>
        <v>2201.6228404309168</v>
      </c>
      <c r="U10" s="4539">
        <f>'12. Разходи'!BK58</f>
        <v>1435.3394722445203</v>
      </c>
      <c r="V10" s="4539">
        <f>'12. Разходи'!BL58</f>
        <v>1100.473967573869</v>
      </c>
      <c r="W10" s="4539">
        <f>'12. Разходи'!BM58</f>
        <v>1028.5582080242148</v>
      </c>
      <c r="X10" s="4539">
        <f>'12. Разходи'!BN58</f>
        <v>952.30413686261079</v>
      </c>
      <c r="Y10" s="4539">
        <f>'12. Разходи'!BO58</f>
        <v>983.34108792686482</v>
      </c>
      <c r="Z10" s="4535">
        <f t="shared" si="1"/>
        <v>-0.34805387830933576</v>
      </c>
      <c r="AA10" s="4535">
        <f t="shared" si="2"/>
        <v>-0.31490695619959536</v>
      </c>
      <c r="AB10" s="3524"/>
      <c r="AC10" s="3640" t="s">
        <v>513</v>
      </c>
      <c r="AD10" s="3763">
        <f t="shared" ref="AD10:AI10" si="7">AD4-AD7</f>
        <v>245.70237661453211</v>
      </c>
      <c r="AE10" s="3763">
        <f t="shared" si="7"/>
        <v>382.4463271347704</v>
      </c>
      <c r="AF10" s="3763">
        <f t="shared" si="7"/>
        <v>441.75618535352987</v>
      </c>
      <c r="AG10" s="3763">
        <f t="shared" si="7"/>
        <v>492.88537347315287</v>
      </c>
      <c r="AH10" s="3763">
        <f t="shared" si="7"/>
        <v>538.90164278081647</v>
      </c>
      <c r="AI10" s="3763">
        <f t="shared" si="7"/>
        <v>575.71465822694154</v>
      </c>
      <c r="AJ10" s="3524"/>
      <c r="AK10" s="3646" t="s">
        <v>305</v>
      </c>
      <c r="AL10" s="3647">
        <f t="shared" ref="AL10:AP10" si="8">AL5-AL6+AL7+AL8+AL9</f>
        <v>22712.118900788482</v>
      </c>
      <c r="AM10" s="3647">
        <f t="shared" si="8"/>
        <v>23481.354569083371</v>
      </c>
      <c r="AN10" s="3647">
        <f t="shared" si="8"/>
        <v>24279.932285054278</v>
      </c>
      <c r="AO10" s="3647">
        <f t="shared" si="8"/>
        <v>25107.366420072976</v>
      </c>
      <c r="AP10" s="3647">
        <f t="shared" si="8"/>
        <v>25776.284668948141</v>
      </c>
      <c r="AQ10" s="3524"/>
      <c r="AR10" s="5665"/>
      <c r="AS10" s="4532" t="s">
        <v>1777</v>
      </c>
      <c r="AT10" s="4532" t="s">
        <v>1778</v>
      </c>
      <c r="AU10" s="4532" t="s">
        <v>1779</v>
      </c>
      <c r="AV10" s="4532" t="s">
        <v>1780</v>
      </c>
      <c r="AW10" s="4532" t="s">
        <v>1781</v>
      </c>
    </row>
    <row r="11" spans="1:49" ht="15.75" customHeight="1">
      <c r="A11" s="4536" t="s">
        <v>334</v>
      </c>
      <c r="B11" s="3904">
        <f>'11. Амортиз. план'!AQ111</f>
        <v>12005.644662368406</v>
      </c>
      <c r="C11" s="3904">
        <f>'11. Амортиз. план'!AS111</f>
        <v>16197.726796296201</v>
      </c>
      <c r="D11" s="3904">
        <f>'11. Амортиз. план'!AT111</f>
        <v>17735.011052426169</v>
      </c>
      <c r="E11" s="3904">
        <f>'11. Амортиз. план'!AU111</f>
        <v>19239.061336278377</v>
      </c>
      <c r="F11" s="3904">
        <f>'11. Амортиз. план'!AV111</f>
        <v>20704.764729040868</v>
      </c>
      <c r="G11" s="3904">
        <f>'11. Амортиз. план'!AW111</f>
        <v>22239.49252576485</v>
      </c>
      <c r="H11" s="3524"/>
      <c r="I11" s="4530" t="s">
        <v>208</v>
      </c>
      <c r="J11" s="4531">
        <f>J31</f>
        <v>95.441151156627441</v>
      </c>
      <c r="K11" s="4531">
        <f t="shared" ref="K11:N11" si="9">K31</f>
        <v>95.441151156627441</v>
      </c>
      <c r="L11" s="4531">
        <f t="shared" si="9"/>
        <v>95.441151156627441</v>
      </c>
      <c r="M11" s="4531">
        <f t="shared" si="9"/>
        <v>90.328232344665281</v>
      </c>
      <c r="N11" s="4531">
        <f t="shared" si="9"/>
        <v>90.328232344665281</v>
      </c>
      <c r="O11" s="3904">
        <f>SUM(J11:N11)</f>
        <v>466.97991815921284</v>
      </c>
      <c r="P11" s="3524"/>
      <c r="Q11" s="3524"/>
      <c r="R11" s="3524"/>
      <c r="S11" s="4537" t="s">
        <v>448</v>
      </c>
      <c r="T11" s="3779">
        <f>'12. Разходи'!BJ59</f>
        <v>3570.86249827439</v>
      </c>
      <c r="U11" s="3779">
        <f>'12. Разходи'!BK59</f>
        <v>5239.2079066176511</v>
      </c>
      <c r="V11" s="3779">
        <f>'12. Разходи'!BL59</f>
        <v>5915.6470654402483</v>
      </c>
      <c r="W11" s="3779">
        <f>'12. Разходи'!BM59</f>
        <v>6741.3834535721408</v>
      </c>
      <c r="X11" s="3779">
        <f>'12. Разходи'!BN59</f>
        <v>7562.006922892072</v>
      </c>
      <c r="Y11" s="3779">
        <f>'12. Разходи'!BO59</f>
        <v>8497.6710654811523</v>
      </c>
      <c r="Z11" s="4535">
        <f t="shared" si="1"/>
        <v>0.46721076746849949</v>
      </c>
      <c r="AA11" s="4535">
        <f t="shared" si="2"/>
        <v>0.6219381282326536</v>
      </c>
      <c r="AB11" s="3524"/>
      <c r="AC11" s="3640" t="s">
        <v>514</v>
      </c>
      <c r="AD11" s="3763">
        <f t="shared" ref="AD11:AI11" si="10">AD6-AD9</f>
        <v>264.10888433759828</v>
      </c>
      <c r="AE11" s="3763">
        <f t="shared" si="10"/>
        <v>323.64776079720468</v>
      </c>
      <c r="AF11" s="3763">
        <f t="shared" si="10"/>
        <v>393.18345663989021</v>
      </c>
      <c r="AG11" s="3763">
        <f t="shared" si="10"/>
        <v>454.53848238343562</v>
      </c>
      <c r="AH11" s="3763">
        <f t="shared" si="10"/>
        <v>510.78058931502528</v>
      </c>
      <c r="AI11" s="3763">
        <f t="shared" si="10"/>
        <v>557.30815050387901</v>
      </c>
      <c r="AJ11" s="3524"/>
      <c r="AK11" s="5665" t="s">
        <v>1925</v>
      </c>
      <c r="AL11" s="5666" t="str">
        <f>T24</f>
        <v>Отвеждане на отпадъчните води</v>
      </c>
      <c r="AM11" s="5667"/>
      <c r="AN11" s="5667"/>
      <c r="AO11" s="5667"/>
      <c r="AP11" s="5667"/>
      <c r="AQ11" s="3524"/>
      <c r="AR11" s="3765" t="s">
        <v>294</v>
      </c>
      <c r="AS11" s="3478">
        <f>'16. Необходими приходи'!K15</f>
        <v>0</v>
      </c>
      <c r="AT11" s="3478">
        <f>'16. Необходими приходи'!L15</f>
        <v>0</v>
      </c>
      <c r="AU11" s="3478">
        <f>'16. Необходими приходи'!M15</f>
        <v>0</v>
      </c>
      <c r="AV11" s="3478">
        <f>'16. Необходими приходи'!N15</f>
        <v>0</v>
      </c>
      <c r="AW11" s="3478">
        <f>'16. Необходими приходи'!O15</f>
        <v>0</v>
      </c>
    </row>
    <row r="12" spans="1:49" ht="15.75" customHeight="1">
      <c r="A12" s="4538" t="s">
        <v>218</v>
      </c>
      <c r="B12" s="4539">
        <f>'11. Амортиз. план'!AQ131</f>
        <v>278.6540752519391</v>
      </c>
      <c r="C12" s="4539">
        <f>'11. Амортиз. план'!AS131</f>
        <v>394.4019581549428</v>
      </c>
      <c r="D12" s="4539">
        <f>'11. Амортиз. план'!AT131</f>
        <v>436.80912051730888</v>
      </c>
      <c r="E12" s="4539">
        <f>'11. Амортиз. план'!AU131</f>
        <v>475.49191760025508</v>
      </c>
      <c r="F12" s="4539">
        <f>'11. Амортиз. план'!AV131</f>
        <v>513.39730967439868</v>
      </c>
      <c r="G12" s="4539">
        <f>'11. Амортиз. план'!AW131</f>
        <v>551.38576284740361</v>
      </c>
      <c r="H12" s="3524"/>
      <c r="I12" s="4530" t="s">
        <v>209</v>
      </c>
      <c r="J12" s="4531">
        <f>J34</f>
        <v>64.763638284854338</v>
      </c>
      <c r="K12" s="4531">
        <f t="shared" ref="K12:N12" si="11">K34</f>
        <v>64.763638284854338</v>
      </c>
      <c r="L12" s="4531">
        <f t="shared" si="11"/>
        <v>64.763638284854338</v>
      </c>
      <c r="M12" s="4531">
        <f t="shared" si="11"/>
        <v>64.763638284854352</v>
      </c>
      <c r="N12" s="4531">
        <f t="shared" si="11"/>
        <v>64.763638284854352</v>
      </c>
      <c r="O12" s="3904">
        <f>SUM(J12:N12)</f>
        <v>323.81819142427173</v>
      </c>
      <c r="P12" s="3524"/>
      <c r="Q12" s="3524"/>
      <c r="R12" s="3524"/>
      <c r="S12" s="4537" t="s">
        <v>449</v>
      </c>
      <c r="T12" s="3779">
        <f>'12. Разходи'!BJ63</f>
        <v>1266.4699897230332</v>
      </c>
      <c r="U12" s="3779">
        <f>'12. Разходи'!BK63</f>
        <v>1819.1765132961455</v>
      </c>
      <c r="V12" s="3779">
        <f>'12. Разходи'!BL63</f>
        <v>2091.6950859737299</v>
      </c>
      <c r="W12" s="3779">
        <f>'12. Разходи'!BM63</f>
        <v>2405.6283010282082</v>
      </c>
      <c r="X12" s="3779">
        <f>'12. Разходи'!BN63</f>
        <v>2766.6003691527385</v>
      </c>
      <c r="Y12" s="3779">
        <f>'12. Разходи'!BO63</f>
        <v>3181.2580848028715</v>
      </c>
      <c r="Z12" s="4535">
        <f t="shared" si="1"/>
        <v>0.43641501816713768</v>
      </c>
      <c r="AA12" s="4535">
        <f t="shared" si="2"/>
        <v>0.74873524451939288</v>
      </c>
      <c r="AB12" s="3524"/>
      <c r="AC12" s="3642"/>
      <c r="AD12" s="3643"/>
      <c r="AE12" s="3770"/>
      <c r="AF12" s="3770"/>
      <c r="AG12" s="3770"/>
      <c r="AH12" s="3770"/>
      <c r="AI12" s="3770"/>
      <c r="AJ12" s="3524"/>
      <c r="AK12" s="5665"/>
      <c r="AL12" s="4532" t="s">
        <v>1777</v>
      </c>
      <c r="AM12" s="4532" t="s">
        <v>1778</v>
      </c>
      <c r="AN12" s="4532" t="s">
        <v>1779</v>
      </c>
      <c r="AO12" s="4532" t="s">
        <v>1780</v>
      </c>
      <c r="AP12" s="4532" t="s">
        <v>1781</v>
      </c>
      <c r="AQ12" s="3524"/>
      <c r="AR12" s="3765" t="s">
        <v>296</v>
      </c>
      <c r="AS12" s="3478">
        <f>'16. Необходими приходи'!K16</f>
        <v>2346.1210187754127</v>
      </c>
      <c r="AT12" s="3478">
        <f>'16. Необходими приходи'!L16</f>
        <v>2609.3618537356151</v>
      </c>
      <c r="AU12" s="3478">
        <f>'16. Необходими приходи'!M16</f>
        <v>2856.7705316806528</v>
      </c>
      <c r="AV12" s="3478">
        <f>'16. Необходими приходи'!N16</f>
        <v>3174.6765648445389</v>
      </c>
      <c r="AW12" s="3478">
        <f>'16. Необходими приходи'!O16</f>
        <v>3549.1489146078375</v>
      </c>
    </row>
    <row r="13" spans="1:49" ht="15.75" customHeight="1">
      <c r="A13" s="4542" t="s">
        <v>220</v>
      </c>
      <c r="B13" s="3779">
        <f>'11. Амортиз. план'!AQ151</f>
        <v>1055.3064427889949</v>
      </c>
      <c r="C13" s="3779">
        <f>'11. Амортиз. план'!AS151</f>
        <v>1791.6628186083831</v>
      </c>
      <c r="D13" s="3779">
        <f>'11. Амортиз. план'!AT151</f>
        <v>2228.4719391256917</v>
      </c>
      <c r="E13" s="3779">
        <f>'11. Амортиз. план'!AU151</f>
        <v>2703.9638567259467</v>
      </c>
      <c r="F13" s="3779">
        <f>'11. Амортиз. план'!AV151</f>
        <v>3217.3611664003456</v>
      </c>
      <c r="G13" s="3779">
        <f>'11. Амортиз. план'!AW151</f>
        <v>3768.7469292477494</v>
      </c>
      <c r="H13" s="3524"/>
      <c r="I13" s="4530" t="s">
        <v>1029</v>
      </c>
      <c r="J13" s="4531">
        <f>J37</f>
        <v>0</v>
      </c>
      <c r="K13" s="4531">
        <f t="shared" ref="K13:N13" si="12">K37</f>
        <v>0</v>
      </c>
      <c r="L13" s="4531">
        <f t="shared" si="12"/>
        <v>0</v>
      </c>
      <c r="M13" s="4531">
        <f t="shared" si="12"/>
        <v>0</v>
      </c>
      <c r="N13" s="4531">
        <f t="shared" si="12"/>
        <v>0</v>
      </c>
      <c r="O13" s="3904">
        <f t="shared" ref="O13:O14" si="13">SUM(J13:N13)</f>
        <v>0</v>
      </c>
      <c r="P13" s="3524"/>
      <c r="Q13" s="3524"/>
      <c r="R13" s="3524"/>
      <c r="S13" s="4537" t="s">
        <v>450</v>
      </c>
      <c r="T13" s="3779">
        <f>'12. Разходи'!BJ70</f>
        <v>236.8303993700884</v>
      </c>
      <c r="U13" s="3779">
        <f>'12. Разходи'!BK70</f>
        <v>239.79589228102648</v>
      </c>
      <c r="V13" s="3779">
        <f>'12. Разходи'!BL70</f>
        <v>234.17168158786808</v>
      </c>
      <c r="W13" s="3779">
        <f>'12. Разходи'!BM70</f>
        <v>227.52488713231722</v>
      </c>
      <c r="X13" s="3779">
        <f>'12. Разходи'!BN70</f>
        <v>221.38938455796261</v>
      </c>
      <c r="Y13" s="3779">
        <f>'12. Разходи'!BO70</f>
        <v>215.25388198360798</v>
      </c>
      <c r="Z13" s="4535">
        <f t="shared" si="1"/>
        <v>1.2521588946459473E-2</v>
      </c>
      <c r="AA13" s="4535">
        <f t="shared" si="2"/>
        <v>-0.10234541577825165</v>
      </c>
      <c r="AB13" s="3524"/>
      <c r="AC13" s="3761" t="s">
        <v>1924</v>
      </c>
      <c r="AD13" s="4528" t="str">
        <f>T4</f>
        <v>2024 г.</v>
      </c>
      <c r="AE13" s="4528" t="str">
        <f t="shared" ref="AE13:AI13" si="14">U4</f>
        <v>2027 г.</v>
      </c>
      <c r="AF13" s="4528" t="str">
        <f t="shared" si="14"/>
        <v>2028 г.</v>
      </c>
      <c r="AG13" s="4528" t="str">
        <f t="shared" si="14"/>
        <v>2029 г.</v>
      </c>
      <c r="AH13" s="4528" t="str">
        <f t="shared" si="14"/>
        <v>2030 г.</v>
      </c>
      <c r="AI13" s="4528" t="str">
        <f t="shared" si="14"/>
        <v>2031 г.</v>
      </c>
      <c r="AJ13" s="3524"/>
      <c r="AK13" s="3645" t="s">
        <v>547</v>
      </c>
      <c r="AL13" s="3764">
        <f>'17. РБА'!I24</f>
        <v>3005.2032470443064</v>
      </c>
      <c r="AM13" s="3764">
        <f>'17. РБА'!J24</f>
        <v>3137.2869830199966</v>
      </c>
      <c r="AN13" s="3764">
        <f>'17. РБА'!K24</f>
        <v>3258.2927282364353</v>
      </c>
      <c r="AO13" s="3764">
        <f>'17. РБА'!L24</f>
        <v>3410.8281394599735</v>
      </c>
      <c r="AP13" s="3764">
        <f>'17. РБА'!M24</f>
        <v>3518.1994345111789</v>
      </c>
      <c r="AQ13" s="3524"/>
      <c r="AR13" s="3765" t="s">
        <v>1787</v>
      </c>
      <c r="AS13" s="3478">
        <f>'12. Разходи'!BR17</f>
        <v>7.0293430410618502E-2</v>
      </c>
      <c r="AT13" s="3478">
        <f>'12. Разходи'!BS17</f>
        <v>7.0293430410618502E-2</v>
      </c>
      <c r="AU13" s="3478">
        <f>'12. Разходи'!BT17</f>
        <v>5.6234744328494811E-2</v>
      </c>
      <c r="AV13" s="3478">
        <f>'12. Разходи'!BU17</f>
        <v>5.6234744328494811E-2</v>
      </c>
      <c r="AW13" s="3478">
        <f>'12. Разходи'!BV17</f>
        <v>5.6234744328494811E-2</v>
      </c>
    </row>
    <row r="14" spans="1:49" ht="15.75" customHeight="1">
      <c r="A14" s="4542" t="s">
        <v>222</v>
      </c>
      <c r="B14" s="3779">
        <f>'11. Амортиз. план'!AQ171</f>
        <v>10950.338219579411</v>
      </c>
      <c r="C14" s="3779">
        <f>'11. Амортиз. план'!AS171</f>
        <v>14406.06397768782</v>
      </c>
      <c r="D14" s="3779">
        <f>'11. Амортиз. план'!AT171</f>
        <v>15506.539113300472</v>
      </c>
      <c r="E14" s="3779">
        <f>'11. Амортиз. план'!AU171</f>
        <v>16535.097479552431</v>
      </c>
      <c r="F14" s="3779">
        <f>'11. Амортиз. план'!AV171</f>
        <v>17487.403562640524</v>
      </c>
      <c r="G14" s="3779">
        <f>'11. Амортиз. план'!AW171</f>
        <v>18470.745596517103</v>
      </c>
      <c r="H14" s="3524"/>
      <c r="I14" s="4530" t="s">
        <v>1092</v>
      </c>
      <c r="J14" s="4531">
        <f>J40</f>
        <v>0</v>
      </c>
      <c r="K14" s="4531">
        <f t="shared" ref="K14:N14" si="15">K40</f>
        <v>0</v>
      </c>
      <c r="L14" s="4531">
        <f t="shared" si="15"/>
        <v>0</v>
      </c>
      <c r="M14" s="4531">
        <f t="shared" si="15"/>
        <v>0</v>
      </c>
      <c r="N14" s="4531">
        <f t="shared" si="15"/>
        <v>0</v>
      </c>
      <c r="O14" s="3904">
        <f t="shared" si="13"/>
        <v>0</v>
      </c>
      <c r="P14" s="3524"/>
      <c r="Q14" s="3524"/>
      <c r="R14" s="3524"/>
      <c r="S14" s="4537" t="s">
        <v>267</v>
      </c>
      <c r="T14" s="3779">
        <f>'12. Разходи'!BJ76</f>
        <v>70.200375288240807</v>
      </c>
      <c r="U14" s="3779">
        <f>'12. Разходи'!BK76</f>
        <v>70.046987723881941</v>
      </c>
      <c r="V14" s="3779">
        <f>'12. Разходи'!BL76</f>
        <v>70.046987723881941</v>
      </c>
      <c r="W14" s="3779">
        <f>'12. Разходи'!BM76</f>
        <v>70.046987723881941</v>
      </c>
      <c r="X14" s="3779">
        <f>'12. Разходи'!BN76</f>
        <v>70.046987723881941</v>
      </c>
      <c r="Y14" s="3779">
        <f>'12. Разходи'!BO76</f>
        <v>70.046987723881941</v>
      </c>
      <c r="Z14" s="4535">
        <f t="shared" si="1"/>
        <v>-2.1849963583394061E-3</v>
      </c>
      <c r="AA14" s="4535">
        <f t="shared" si="2"/>
        <v>0</v>
      </c>
      <c r="AB14" s="3524"/>
      <c r="AC14" s="4545" t="s">
        <v>1688</v>
      </c>
      <c r="AD14" s="3774">
        <f>IFERROR(AD10/AD7,0)</f>
        <v>1.3855372174995231E-2</v>
      </c>
      <c r="AE14" s="3774">
        <f t="shared" ref="AE14:AI14" si="16">IFERROR(AE10/AE7,0)</f>
        <v>1.9707090957818328E-2</v>
      </c>
      <c r="AF14" s="3774">
        <f t="shared" si="16"/>
        <v>2.1818528334979739E-2</v>
      </c>
      <c r="AG14" s="3774">
        <f t="shared" si="16"/>
        <v>2.2548215271470547E-2</v>
      </c>
      <c r="AH14" s="3774">
        <f t="shared" si="16"/>
        <v>2.2810082724079781E-2</v>
      </c>
      <c r="AI14" s="3774">
        <f t="shared" si="16"/>
        <v>2.2244267083037974E-2</v>
      </c>
      <c r="AJ14" s="3524"/>
      <c r="AK14" s="3645" t="s">
        <v>548</v>
      </c>
      <c r="AL14" s="3768">
        <f>'17. РБА'!I27</f>
        <v>1561.0521514446082</v>
      </c>
      <c r="AM14" s="3768">
        <f>'17. РБА'!J27</f>
        <v>1683.8585252866676</v>
      </c>
      <c r="AN14" s="3768">
        <f>'17. РБА'!K27</f>
        <v>1809.4321755485655</v>
      </c>
      <c r="AO14" s="3768">
        <f>'17. РБА'!L27</f>
        <v>1937.8060748020637</v>
      </c>
      <c r="AP14" s="3768">
        <f>'17. РБА'!M27</f>
        <v>2068.8259897332673</v>
      </c>
      <c r="AQ14" s="3524"/>
      <c r="AR14" s="3732" t="s">
        <v>297</v>
      </c>
      <c r="AS14" s="3733">
        <f>AS11+AS12</f>
        <v>2346.1210187754127</v>
      </c>
      <c r="AT14" s="3733">
        <f>AT11+AT12</f>
        <v>2609.3618537356151</v>
      </c>
      <c r="AU14" s="3733">
        <f>AU11+AU12</f>
        <v>2856.7705316806528</v>
      </c>
      <c r="AV14" s="3733">
        <f>AV11+AV12</f>
        <v>3174.6765648445389</v>
      </c>
      <c r="AW14" s="3733">
        <f>AW11+AW12</f>
        <v>3549.1489146078375</v>
      </c>
    </row>
    <row r="15" spans="1:49" ht="15.75" customHeight="1">
      <c r="A15" s="5686" t="s">
        <v>1659</v>
      </c>
      <c r="B15" s="5686"/>
      <c r="C15" s="5686"/>
      <c r="D15" s="5686"/>
      <c r="E15" s="5686"/>
      <c r="F15" s="5686"/>
      <c r="G15" s="5686"/>
      <c r="H15" s="3524"/>
      <c r="I15" s="4540" t="s">
        <v>1028</v>
      </c>
      <c r="J15" s="4541">
        <f>SUM(J10:J14)</f>
        <v>1989.9480016156826</v>
      </c>
      <c r="K15" s="4541">
        <f t="shared" ref="K15:O15" si="17">SUM(K10:K14)</f>
        <v>1697.4890455714453</v>
      </c>
      <c r="L15" s="4541">
        <f t="shared" si="17"/>
        <v>1664.2550732936913</v>
      </c>
      <c r="M15" s="4541">
        <f t="shared" si="17"/>
        <v>1620.7952633920127</v>
      </c>
      <c r="N15" s="4541">
        <f t="shared" si="17"/>
        <v>1689.8196673535022</v>
      </c>
      <c r="O15" s="4541">
        <f t="shared" si="17"/>
        <v>8662.3070512263348</v>
      </c>
      <c r="P15" s="3524"/>
      <c r="Q15" s="3524"/>
      <c r="R15" s="3524"/>
      <c r="S15" s="4546" t="s">
        <v>277</v>
      </c>
      <c r="T15" s="4547">
        <f>SUM(T5:T7,T11:T14)</f>
        <v>9485.636456357659</v>
      </c>
      <c r="U15" s="4547">
        <f t="shared" ref="U15:Y15" si="18">SUM(U5:U7,U11:U14)</f>
        <v>11328.421508794454</v>
      </c>
      <c r="V15" s="4547">
        <f t="shared" si="18"/>
        <v>11979.616011635711</v>
      </c>
      <c r="W15" s="4547">
        <f t="shared" si="18"/>
        <v>13086.562669687211</v>
      </c>
      <c r="X15" s="4547">
        <f t="shared" si="18"/>
        <v>14239.260218886711</v>
      </c>
      <c r="Y15" s="4547">
        <f t="shared" si="18"/>
        <v>15659.602543208826</v>
      </c>
      <c r="Z15" s="4548">
        <f t="shared" si="1"/>
        <v>0.19427110251539165</v>
      </c>
      <c r="AA15" s="4535">
        <f t="shared" si="2"/>
        <v>0.38232873229972947</v>
      </c>
      <c r="AB15" s="3524"/>
      <c r="AC15" s="4549" t="s">
        <v>1690</v>
      </c>
      <c r="AD15" s="4550"/>
      <c r="AE15" s="4551"/>
      <c r="AF15" s="4551"/>
      <c r="AG15" s="4551"/>
      <c r="AH15" s="4551"/>
      <c r="AI15" s="4551"/>
      <c r="AJ15" s="3524"/>
      <c r="AK15" s="3645" t="s">
        <v>549</v>
      </c>
      <c r="AL15" s="3764">
        <f>'17. РБА'!I30</f>
        <v>0</v>
      </c>
      <c r="AM15" s="3764">
        <f>'17. РБА'!J30</f>
        <v>0</v>
      </c>
      <c r="AN15" s="3764">
        <f>'17. РБА'!K30</f>
        <v>0</v>
      </c>
      <c r="AO15" s="3764">
        <f>'17. РБА'!L30</f>
        <v>0</v>
      </c>
      <c r="AP15" s="3764">
        <f>'17. РБА'!M30</f>
        <v>0</v>
      </c>
      <c r="AQ15" s="3524"/>
      <c r="AR15" s="5665" t="s">
        <v>1925</v>
      </c>
      <c r="AS15" s="5670" t="s">
        <v>184</v>
      </c>
      <c r="AT15" s="5671"/>
      <c r="AU15" s="5671"/>
      <c r="AV15" s="5671"/>
      <c r="AW15" s="5672"/>
    </row>
    <row r="16" spans="1:49" ht="15.75" customHeight="1">
      <c r="A16" s="4536" t="s">
        <v>334</v>
      </c>
      <c r="B16" s="3904">
        <f>'11. Амортиз. план'!AQ192</f>
        <v>46684.016504501924</v>
      </c>
      <c r="C16" s="3904">
        <f>'11. Амортиз. план'!AS192</f>
        <v>46684.016504501924</v>
      </c>
      <c r="D16" s="3904">
        <f>'11. Амортиз. план'!AT192</f>
        <v>46684.016504501924</v>
      </c>
      <c r="E16" s="3904">
        <f>'11. Амортиз. план'!AU192</f>
        <v>46684.016504501924</v>
      </c>
      <c r="F16" s="3904">
        <f>'11. Амортиз. план'!AV192</f>
        <v>46684.016504501924</v>
      </c>
      <c r="G16" s="3904">
        <f>'11. Амортиз. план'!AW192</f>
        <v>46684.016504501924</v>
      </c>
      <c r="H16" s="3524"/>
      <c r="I16" s="4552" t="s">
        <v>1434</v>
      </c>
      <c r="J16" s="4553">
        <f>J7-J15</f>
        <v>-1989.9480016156826</v>
      </c>
      <c r="K16" s="4553">
        <f t="shared" ref="K16:O16" si="19">K7-K15</f>
        <v>-1697.4890455714453</v>
      </c>
      <c r="L16" s="4553">
        <f t="shared" si="19"/>
        <v>-1664.2550732936913</v>
      </c>
      <c r="M16" s="4553">
        <f t="shared" si="19"/>
        <v>-1620.7952633920127</v>
      </c>
      <c r="N16" s="4553">
        <f t="shared" si="19"/>
        <v>-1689.8196673535022</v>
      </c>
      <c r="O16" s="4553">
        <f t="shared" si="19"/>
        <v>-8662.3070512263348</v>
      </c>
      <c r="P16" s="4554"/>
      <c r="Q16" s="4554"/>
      <c r="R16" s="3524"/>
      <c r="S16" s="4555" t="str">
        <f>CONCATENATE("Спестявания и увеличения спрямо ",T4," - нето:")</f>
        <v>Спестявания и увеличения спрямо 2024 г. - нето:</v>
      </c>
      <c r="T16" s="4556"/>
      <c r="U16" s="4555">
        <f>U15-$T15</f>
        <v>1842.785052436795</v>
      </c>
      <c r="V16" s="4555">
        <f t="shared" ref="V16:Y16" si="20">V15-$T15</f>
        <v>2493.9795552780524</v>
      </c>
      <c r="W16" s="4555">
        <f t="shared" si="20"/>
        <v>3600.9262133295524</v>
      </c>
      <c r="X16" s="4555">
        <f t="shared" si="20"/>
        <v>4753.6237625290523</v>
      </c>
      <c r="Y16" s="4555">
        <f t="shared" si="20"/>
        <v>6173.9660868511673</v>
      </c>
      <c r="Z16" s="4557"/>
      <c r="AA16" s="4557"/>
      <c r="AB16" s="3524"/>
      <c r="AC16" s="3761" t="s">
        <v>1924</v>
      </c>
      <c r="AD16" s="4528" t="str">
        <f>T4</f>
        <v>2024 г.</v>
      </c>
      <c r="AE16" s="4528" t="str">
        <f t="shared" ref="AE16:AI16" si="21">U4</f>
        <v>2027 г.</v>
      </c>
      <c r="AF16" s="4528" t="str">
        <f t="shared" si="21"/>
        <v>2028 г.</v>
      </c>
      <c r="AG16" s="4528" t="str">
        <f t="shared" si="21"/>
        <v>2029 г.</v>
      </c>
      <c r="AH16" s="4528" t="str">
        <f t="shared" si="21"/>
        <v>2030 г.</v>
      </c>
      <c r="AI16" s="4528" t="str">
        <f t="shared" si="21"/>
        <v>2031 г.</v>
      </c>
      <c r="AJ16" s="3524"/>
      <c r="AK16" s="3645" t="s">
        <v>329</v>
      </c>
      <c r="AL16" s="3764">
        <f>'17. РБА'!I33</f>
        <v>132.08373597568976</v>
      </c>
      <c r="AM16" s="3764">
        <f>'17. РБА'!J33</f>
        <v>121.00574521643837</v>
      </c>
      <c r="AN16" s="3764">
        <f>'17. РБА'!K33</f>
        <v>152.53541122353852</v>
      </c>
      <c r="AO16" s="3764">
        <f>'17. РБА'!L33</f>
        <v>107.37129505120589</v>
      </c>
      <c r="AP16" s="3764">
        <f>'17. РБА'!M33</f>
        <v>117.59713267513025</v>
      </c>
      <c r="AQ16" s="3524"/>
      <c r="AR16" s="5665"/>
      <c r="AS16" s="4532" t="s">
        <v>1777</v>
      </c>
      <c r="AT16" s="4532" t="s">
        <v>1778</v>
      </c>
      <c r="AU16" s="4532" t="s">
        <v>1779</v>
      </c>
      <c r="AV16" s="4532" t="s">
        <v>1780</v>
      </c>
      <c r="AW16" s="4532" t="s">
        <v>1781</v>
      </c>
    </row>
    <row r="17" spans="1:49" ht="15.75" customHeight="1">
      <c r="A17" s="4538" t="s">
        <v>218</v>
      </c>
      <c r="B17" s="4539">
        <f>'11. Амортиз. план'!AQ214</f>
        <v>1051.2161077394253</v>
      </c>
      <c r="C17" s="4539">
        <f>'11. Амортиз. план'!AS214</f>
        <v>1051.2161077394253</v>
      </c>
      <c r="D17" s="4539">
        <f>'11. Амортиз. план'!AT214</f>
        <v>1051.2161077394253</v>
      </c>
      <c r="E17" s="4539">
        <f>'11. Амортиз. план'!AU214</f>
        <v>1051.2161077394253</v>
      </c>
      <c r="F17" s="4539">
        <f>'11. Амортиз. план'!AV214</f>
        <v>1051.2161077394253</v>
      </c>
      <c r="G17" s="4539">
        <f>'11. Амортиз. план'!AW214</f>
        <v>1051.2161077394253</v>
      </c>
      <c r="H17" s="3524"/>
      <c r="I17" s="4543" t="s">
        <v>1735</v>
      </c>
      <c r="J17" s="4553"/>
      <c r="K17" s="4553"/>
      <c r="L17" s="4553"/>
      <c r="M17" s="4553"/>
      <c r="N17" s="4553"/>
      <c r="O17" s="4553"/>
      <c r="P17" s="4554"/>
      <c r="Q17" s="3760" t="s">
        <v>1911</v>
      </c>
      <c r="R17" s="3524"/>
      <c r="S17" s="4537" t="s">
        <v>1669</v>
      </c>
      <c r="T17" s="3779">
        <f>'12. Разходи'!BJ92</f>
        <v>4991.7426361186808</v>
      </c>
      <c r="U17" s="3779">
        <f>'12. Разходи'!BK92</f>
        <v>0</v>
      </c>
      <c r="V17" s="3779">
        <f>'12. Разходи'!BL92</f>
        <v>0</v>
      </c>
      <c r="W17" s="3779">
        <f>'12. Разходи'!BM92</f>
        <v>0</v>
      </c>
      <c r="X17" s="3779">
        <f>'12. Разходи'!BN92</f>
        <v>0</v>
      </c>
      <c r="Y17" s="3779">
        <f>'12. Разходи'!BO92</f>
        <v>0</v>
      </c>
      <c r="Z17" s="4535">
        <f t="shared" si="1"/>
        <v>-1</v>
      </c>
      <c r="AA17" s="4535">
        <f t="shared" ref="AA17:AA21" si="22">IFERROR((Y17-U17)/U17,0)</f>
        <v>0</v>
      </c>
      <c r="AB17" s="3524"/>
      <c r="AC17" s="4558" t="s">
        <v>545</v>
      </c>
      <c r="AD17" s="3731">
        <f>'15. ОПП'!I45</f>
        <v>165.14727762637858</v>
      </c>
      <c r="AE17" s="3731">
        <f>'15. ОПП'!J45</f>
        <v>0</v>
      </c>
      <c r="AF17" s="3731">
        <f>'15. ОПП'!K45</f>
        <v>398.69671699483058</v>
      </c>
      <c r="AG17" s="3731">
        <f>'15. ОПП'!L45</f>
        <v>832.03192506506059</v>
      </c>
      <c r="AH17" s="3731">
        <f>'15. ОПП'!M45</f>
        <v>1105.7954934733602</v>
      </c>
      <c r="AI17" s="3731">
        <f>'15. ОПП'!N45</f>
        <v>1331.8785375007053</v>
      </c>
      <c r="AJ17" s="3524"/>
      <c r="AK17" s="3645" t="s">
        <v>306</v>
      </c>
      <c r="AL17" s="3764">
        <f>'17. РБА'!I34</f>
        <v>352.59283315866531</v>
      </c>
      <c r="AM17" s="3764">
        <f>'17. РБА'!J34</f>
        <v>395.70944714008891</v>
      </c>
      <c r="AN17" s="3764">
        <f>'17. РБА'!K34</f>
        <v>436.2182627100334</v>
      </c>
      <c r="AO17" s="3764">
        <f>'17. РБА'!L34</f>
        <v>489.16849040651846</v>
      </c>
      <c r="AP17" s="3764">
        <f>'17. РБА'!M34</f>
        <v>550.60756413053525</v>
      </c>
      <c r="AQ17" s="3524"/>
      <c r="AR17" s="3765" t="s">
        <v>294</v>
      </c>
      <c r="AS17" s="3478">
        <f>'16. Необходими приходи'!K23</f>
        <v>0</v>
      </c>
      <c r="AT17" s="3478">
        <f>'16. Необходими приходи'!L23</f>
        <v>0</v>
      </c>
      <c r="AU17" s="3478">
        <f>'16. Необходими приходи'!M23</f>
        <v>0</v>
      </c>
      <c r="AV17" s="3478">
        <f>'16. Необходими приходи'!N23</f>
        <v>0</v>
      </c>
      <c r="AW17" s="3478">
        <f>'16. Необходими приходи'!O23</f>
        <v>0</v>
      </c>
    </row>
    <row r="18" spans="1:49" ht="15.75" customHeight="1">
      <c r="A18" s="4542" t="s">
        <v>220</v>
      </c>
      <c r="B18" s="3779">
        <f>'11. Амортиз. план'!AQ236</f>
        <v>8508.9194868674676</v>
      </c>
      <c r="C18" s="3779">
        <f>'11. Амортиз. план'!AS236</f>
        <v>10611.351702346319</v>
      </c>
      <c r="D18" s="3779">
        <f>'11. Амортиз. план'!AT236</f>
        <v>11662.567810085744</v>
      </c>
      <c r="E18" s="3779">
        <f>'11. Амортиз. план'!AU236</f>
        <v>12713.783917825169</v>
      </c>
      <c r="F18" s="3779">
        <f>'11. Амортиз. план'!AV236</f>
        <v>13765.000025564594</v>
      </c>
      <c r="G18" s="3779">
        <f>'11. Амортиз. план'!AW236</f>
        <v>14816.21613330402</v>
      </c>
      <c r="H18" s="3524"/>
      <c r="I18" s="4525" t="s">
        <v>1495</v>
      </c>
      <c r="J18" s="4876" t="str">
        <f>+'15. ОПП'!$C$7</f>
        <v>2027 г.</v>
      </c>
      <c r="K18" s="4876" t="str">
        <f>+'15. ОПП'!$D$7</f>
        <v>2028 г.</v>
      </c>
      <c r="L18" s="4876" t="str">
        <f>+'15. ОПП'!$E$7</f>
        <v>2029 г.</v>
      </c>
      <c r="M18" s="4876" t="str">
        <f>+'15. ОПП'!$F$7</f>
        <v>2030 г.</v>
      </c>
      <c r="N18" s="4876" t="str">
        <f>+'15. ОПП'!$G$7</f>
        <v>2031 г.</v>
      </c>
      <c r="O18" s="4527" t="s">
        <v>1594</v>
      </c>
      <c r="P18" s="4875" t="s">
        <v>1732</v>
      </c>
      <c r="Q18" s="4875" t="s">
        <v>1733</v>
      </c>
      <c r="R18" s="3524"/>
      <c r="S18" s="4537" t="s">
        <v>1671</v>
      </c>
      <c r="T18" s="3779">
        <f>'12. Разходи'!BJ93</f>
        <v>1886.3052261382643</v>
      </c>
      <c r="U18" s="3779">
        <f>'12. Разходи'!BK93</f>
        <v>9108.4357076023989</v>
      </c>
      <c r="V18" s="3779">
        <f>'12. Разходи'!BL93</f>
        <v>10042.98149634682</v>
      </c>
      <c r="W18" s="3779">
        <f>'12. Разходи'!BM93</f>
        <v>11168.734874707925</v>
      </c>
      <c r="X18" s="3779">
        <f>'12. Разходи'!BN93</f>
        <v>12336.925479208316</v>
      </c>
      <c r="Y18" s="3779">
        <f>'12. Разходи'!BO93</f>
        <v>13672.478564087882</v>
      </c>
      <c r="Z18" s="4535">
        <f t="shared" si="1"/>
        <v>3.8287178455469961</v>
      </c>
      <c r="AA18" s="4535">
        <f t="shared" si="22"/>
        <v>0.5010786706960102</v>
      </c>
      <c r="AB18" s="3524"/>
      <c r="AC18" s="4558" t="s">
        <v>546</v>
      </c>
      <c r="AD18" s="3731">
        <f>'15. ОПП'!I46</f>
        <v>299.59254089261464</v>
      </c>
      <c r="AE18" s="3731">
        <f>'15. ОПП'!J46</f>
        <v>398.69671699483058</v>
      </c>
      <c r="AF18" s="3731">
        <f>'15. ОПП'!K46</f>
        <v>832.03192506506059</v>
      </c>
      <c r="AG18" s="3731">
        <f>'15. ОПП'!L46</f>
        <v>1105.7954934733602</v>
      </c>
      <c r="AH18" s="3731">
        <f>'15. ОПП'!M46</f>
        <v>1331.8785375007053</v>
      </c>
      <c r="AI18" s="3731">
        <f>'15. ОПП'!N46</f>
        <v>1715.824995014907</v>
      </c>
      <c r="AJ18" s="3524"/>
      <c r="AK18" s="3646" t="s">
        <v>305</v>
      </c>
      <c r="AL18" s="3647">
        <f t="shared" ref="AL18:AP18" si="23">AL13-AL14+AL15+AL16+AL17</f>
        <v>1928.8276647340533</v>
      </c>
      <c r="AM18" s="3647">
        <f t="shared" si="23"/>
        <v>1970.1436500898562</v>
      </c>
      <c r="AN18" s="3647">
        <f t="shared" si="23"/>
        <v>2037.6142266214415</v>
      </c>
      <c r="AO18" s="3647">
        <f t="shared" si="23"/>
        <v>2069.5618501156341</v>
      </c>
      <c r="AP18" s="3647">
        <f t="shared" si="23"/>
        <v>2117.5781415835772</v>
      </c>
      <c r="AQ18" s="3524"/>
      <c r="AR18" s="3765" t="s">
        <v>296</v>
      </c>
      <c r="AS18" s="3478">
        <f>'16. Необходими приходи'!K24</f>
        <v>2490.9120559062035</v>
      </c>
      <c r="AT18" s="3478">
        <f>'16. Необходими приходи'!L24</f>
        <v>2666.2902724525125</v>
      </c>
      <c r="AU18" s="3478">
        <f>'16. Необходими приходи'!M24</f>
        <v>2908.93379811573</v>
      </c>
      <c r="AV18" s="3478">
        <f>'16. Необходими приходи'!N24</f>
        <v>3191.9625099701452</v>
      </c>
      <c r="AW18" s="3478">
        <f>'16. Необходими приходи'!O24</f>
        <v>3518.5736295375559</v>
      </c>
    </row>
    <row r="19" spans="1:49" ht="15.75" customHeight="1">
      <c r="A19" s="4542" t="s">
        <v>222</v>
      </c>
      <c r="B19" s="3779">
        <f>'11. Амортиз. план'!AQ258</f>
        <v>38175.097017634456</v>
      </c>
      <c r="C19" s="3779">
        <f>'11. Амортиз. план'!AS258</f>
        <v>36072.66480215561</v>
      </c>
      <c r="D19" s="3779">
        <f>'11. Амортиз. план'!AT258</f>
        <v>35021.448694416184</v>
      </c>
      <c r="E19" s="3779">
        <f>'11. Амортиз. план'!AU258</f>
        <v>33970.232586676757</v>
      </c>
      <c r="F19" s="3779">
        <f>'11. Амортиз. план'!AV258</f>
        <v>32919.01647893733</v>
      </c>
      <c r="G19" s="3779">
        <f>'11. Амортиз. план'!AW258</f>
        <v>31867.800371197907</v>
      </c>
      <c r="H19" s="3524"/>
      <c r="I19" s="4530" t="s">
        <v>207</v>
      </c>
      <c r="J19" s="4531">
        <f>J27</f>
        <v>1909.8456068949417</v>
      </c>
      <c r="K19" s="4531">
        <f t="shared" ref="K19:N19" si="24">K27</f>
        <v>1583.3005254376233</v>
      </c>
      <c r="L19" s="4531">
        <f t="shared" si="24"/>
        <v>1632.7254072865912</v>
      </c>
      <c r="M19" s="4531">
        <f t="shared" si="24"/>
        <v>1707.7148831953698</v>
      </c>
      <c r="N19" s="4531">
        <f t="shared" si="24"/>
        <v>1582.4483723022961</v>
      </c>
      <c r="O19" s="3904">
        <f>SUM(J19:N19)</f>
        <v>8416.0347951168224</v>
      </c>
      <c r="P19" s="4560">
        <f>O28</f>
        <v>7871.5089416428491</v>
      </c>
      <c r="Q19" s="4560">
        <f>O29</f>
        <v>544.52585347397269</v>
      </c>
      <c r="R19" s="3524"/>
      <c r="S19" s="4561" t="s">
        <v>1670</v>
      </c>
      <c r="T19" s="4539">
        <f>'12. Разходи'!BJ94</f>
        <v>937.19801823266846</v>
      </c>
      <c r="U19" s="4539">
        <f>'12. Разходи'!BK94</f>
        <v>0</v>
      </c>
      <c r="V19" s="4539">
        <f>'12. Разходи'!BL94</f>
        <v>0</v>
      </c>
      <c r="W19" s="4539">
        <f>'12. Разходи'!BM94</f>
        <v>0</v>
      </c>
      <c r="X19" s="4539">
        <f>'12. Разходи'!BN94</f>
        <v>0</v>
      </c>
      <c r="Y19" s="4539">
        <f>'12. Разходи'!BO94</f>
        <v>0</v>
      </c>
      <c r="Z19" s="4535">
        <f t="shared" si="1"/>
        <v>-1</v>
      </c>
      <c r="AA19" s="4535">
        <f t="shared" si="22"/>
        <v>0</v>
      </c>
      <c r="AB19" s="3524"/>
      <c r="AC19" s="3524"/>
      <c r="AD19" s="3523"/>
      <c r="AE19" s="3524"/>
      <c r="AF19" s="3524"/>
      <c r="AG19" s="3524"/>
      <c r="AH19" s="3524"/>
      <c r="AI19" s="3524"/>
      <c r="AJ19" s="3524"/>
      <c r="AK19" s="5665" t="s">
        <v>1925</v>
      </c>
      <c r="AL19" s="5666" t="str">
        <f>T45</f>
        <v>Пречистване на отпадъчните води</v>
      </c>
      <c r="AM19" s="5667"/>
      <c r="AN19" s="5667"/>
      <c r="AO19" s="5667"/>
      <c r="AP19" s="5667"/>
      <c r="AQ19" s="3524"/>
      <c r="AR19" s="3765" t="s">
        <v>1787</v>
      </c>
      <c r="AS19" s="3478">
        <f>'12. Разходи'!BY17</f>
        <v>344.81971643752274</v>
      </c>
      <c r="AT19" s="3478">
        <f>'12. Разходи'!BZ17</f>
        <v>340.02909250804004</v>
      </c>
      <c r="AU19" s="3478">
        <f>'12. Разходи'!CA17</f>
        <v>333.99510693669697</v>
      </c>
      <c r="AV19" s="3478">
        <f>'12. Разходи'!CB17</f>
        <v>331.58151270815972</v>
      </c>
      <c r="AW19" s="3478">
        <f>'12. Разходи'!CC17</f>
        <v>329.16791847962241</v>
      </c>
    </row>
    <row r="20" spans="1:49" ht="15.75" customHeight="1">
      <c r="A20" s="3759" t="s">
        <v>174</v>
      </c>
      <c r="B20" s="3524"/>
      <c r="C20" s="3524"/>
      <c r="D20" s="3524"/>
      <c r="E20" s="3524"/>
      <c r="F20" s="3524"/>
      <c r="G20" s="3760" t="s">
        <v>1911</v>
      </c>
      <c r="H20" s="3524"/>
      <c r="I20" s="4530" t="s">
        <v>208</v>
      </c>
      <c r="J20" s="4531">
        <f>J30</f>
        <v>132.08373597568976</v>
      </c>
      <c r="K20" s="4531">
        <f t="shared" ref="K20:N20" si="25">K30</f>
        <v>121.00574521643837</v>
      </c>
      <c r="L20" s="4531">
        <f t="shared" si="25"/>
        <v>152.53541122353852</v>
      </c>
      <c r="M20" s="4531">
        <f t="shared" si="25"/>
        <v>107.37129505120589</v>
      </c>
      <c r="N20" s="4531">
        <f t="shared" si="25"/>
        <v>117.59713267513027</v>
      </c>
      <c r="O20" s="3904">
        <f>SUM(J20:N20)</f>
        <v>630.59332014200277</v>
      </c>
      <c r="P20" s="4560">
        <f>O31</f>
        <v>466.97991815921284</v>
      </c>
      <c r="Q20" s="4560">
        <f>O32</f>
        <v>163.61340198278992</v>
      </c>
      <c r="R20" s="3524"/>
      <c r="S20" s="4537" t="s">
        <v>1673</v>
      </c>
      <c r="T20" s="3779">
        <f>'12. Разходи'!BJ90</f>
        <v>964.8077798172643</v>
      </c>
      <c r="U20" s="3779">
        <f>'12. Разходи'!BK90</f>
        <v>1085.9839556607681</v>
      </c>
      <c r="V20" s="3779">
        <f>'12. Разходи'!BL90</f>
        <v>1141.2034788299597</v>
      </c>
      <c r="W20" s="3779">
        <f>'12. Разходи'!BM90</f>
        <v>1205.1149639794869</v>
      </c>
      <c r="X20" s="3779">
        <f>'12. Разходи'!BN90</f>
        <v>1278.2297029905462</v>
      </c>
      <c r="Y20" s="3779">
        <f>'12. Разходи'!BO90</f>
        <v>1362.5928633879223</v>
      </c>
      <c r="Z20" s="4535">
        <f t="shared" si="1"/>
        <v>0.12559618441971379</v>
      </c>
      <c r="AA20" s="4535">
        <f t="shared" si="22"/>
        <v>0.25470809792843696</v>
      </c>
      <c r="AB20" s="3524"/>
      <c r="AC20" s="3524"/>
      <c r="AD20" s="3523"/>
      <c r="AE20" s="3524"/>
      <c r="AF20" s="3524"/>
      <c r="AG20" s="3524"/>
      <c r="AH20" s="3524"/>
      <c r="AI20" s="3524"/>
      <c r="AJ20" s="3524"/>
      <c r="AK20" s="5665"/>
      <c r="AL20" s="4532" t="s">
        <v>1777</v>
      </c>
      <c r="AM20" s="4532" t="s">
        <v>1778</v>
      </c>
      <c r="AN20" s="4532" t="s">
        <v>1779</v>
      </c>
      <c r="AO20" s="4532" t="s">
        <v>1780</v>
      </c>
      <c r="AP20" s="4532" t="s">
        <v>1781</v>
      </c>
      <c r="AQ20" s="3524"/>
      <c r="AR20" s="3732" t="s">
        <v>297</v>
      </c>
      <c r="AS20" s="3733">
        <f>AS17+AS18</f>
        <v>2490.9120559062035</v>
      </c>
      <c r="AT20" s="3733">
        <f>AT17+AT18</f>
        <v>2666.2902724525125</v>
      </c>
      <c r="AU20" s="3733">
        <f>AU17+AU18</f>
        <v>2908.93379811573</v>
      </c>
      <c r="AV20" s="3733">
        <f>AV17+AV18</f>
        <v>3191.9625099701452</v>
      </c>
      <c r="AW20" s="3733">
        <f>AW17+AW18</f>
        <v>3518.5736295375559</v>
      </c>
    </row>
    <row r="21" spans="1:49" ht="15.75" customHeight="1">
      <c r="A21" s="5684" t="s">
        <v>87</v>
      </c>
      <c r="B21" s="5676" t="s">
        <v>174</v>
      </c>
      <c r="C21" s="5676"/>
      <c r="D21" s="5676"/>
      <c r="E21" s="5676"/>
      <c r="F21" s="5676"/>
      <c r="G21" s="5676"/>
      <c r="H21" s="3524"/>
      <c r="I21" s="4530" t="s">
        <v>209</v>
      </c>
      <c r="J21" s="4531">
        <f>J33</f>
        <v>129.52727656970868</v>
      </c>
      <c r="K21" s="4531">
        <f t="shared" ref="K21:N21" si="26">K33</f>
        <v>110.77990759251401</v>
      </c>
      <c r="L21" s="4531">
        <f t="shared" si="26"/>
        <v>137.19665478765194</v>
      </c>
      <c r="M21" s="4531">
        <f t="shared" si="26"/>
        <v>112.48421386316807</v>
      </c>
      <c r="N21" s="4531">
        <f t="shared" si="26"/>
        <v>107.37129505120589</v>
      </c>
      <c r="O21" s="3904">
        <f>SUM(J21:N21)</f>
        <v>597.35934786424855</v>
      </c>
      <c r="P21" s="4560">
        <f>O34</f>
        <v>323.81819142427173</v>
      </c>
      <c r="Q21" s="4560">
        <f>O35</f>
        <v>273.54115643997687</v>
      </c>
      <c r="R21" s="3524"/>
      <c r="S21" s="4537" t="s">
        <v>1232</v>
      </c>
      <c r="T21" s="3779">
        <f>'12. Разходи'!BJ89</f>
        <v>502.89102347238764</v>
      </c>
      <c r="U21" s="3779">
        <f>'12. Разходи'!BK89</f>
        <v>512.59660093157379</v>
      </c>
      <c r="V21" s="3779">
        <f>'12. Разходи'!BL89</f>
        <v>498.18465817581284</v>
      </c>
      <c r="W21" s="3779">
        <f>'12. Разходи'!BM89</f>
        <v>484.26843335054684</v>
      </c>
      <c r="X21" s="3779">
        <f>'12. Разходи'!BN89</f>
        <v>470.86350040647704</v>
      </c>
      <c r="Y21" s="3779">
        <f>'12. Разходи'!BO89</f>
        <v>456.09472704682923</v>
      </c>
      <c r="Z21" s="4535">
        <f t="shared" si="1"/>
        <v>1.9299563933693979E-2</v>
      </c>
      <c r="AA21" s="4535">
        <f t="shared" si="22"/>
        <v>-0.11022678219492711</v>
      </c>
      <c r="AB21" s="3524"/>
      <c r="AC21" s="3524"/>
      <c r="AD21" s="3523"/>
      <c r="AE21" s="3524"/>
      <c r="AF21" s="3524"/>
      <c r="AG21" s="3524"/>
      <c r="AH21" s="3524"/>
      <c r="AI21" s="3524"/>
      <c r="AJ21" s="3524"/>
      <c r="AK21" s="3645" t="s">
        <v>547</v>
      </c>
      <c r="AL21" s="3764">
        <f>'17. РБА'!I38</f>
        <v>2307.8011210926647</v>
      </c>
      <c r="AM21" s="3764">
        <f>'17. РБА'!J38</f>
        <v>2437.3283976623734</v>
      </c>
      <c r="AN21" s="3764">
        <f>'17. РБА'!K38</f>
        <v>2548.1083052548879</v>
      </c>
      <c r="AO21" s="3764">
        <f>'17. РБА'!L38</f>
        <v>2685.3049600425397</v>
      </c>
      <c r="AP21" s="3764">
        <f>'17. РБА'!M38</f>
        <v>2797.7891739057072</v>
      </c>
      <c r="AQ21" s="3524"/>
      <c r="AR21" s="5665" t="s">
        <v>1925</v>
      </c>
      <c r="AS21" s="5673" t="str">
        <f>AL27</f>
        <v>Доставяне на вода с непитейни качества</v>
      </c>
      <c r="AT21" s="5674"/>
      <c r="AU21" s="5674"/>
      <c r="AV21" s="5674"/>
      <c r="AW21" s="5675"/>
    </row>
    <row r="22" spans="1:49" ht="15.75" customHeight="1">
      <c r="A22" s="5684"/>
      <c r="B22" s="4876" t="str">
        <f>+'15. ОПП'!$B$7</f>
        <v>2024 г.</v>
      </c>
      <c r="C22" s="4876" t="str">
        <f>+'15. ОПП'!$C$7</f>
        <v>2027 г.</v>
      </c>
      <c r="D22" s="4876" t="str">
        <f>+'15. ОПП'!$D$7</f>
        <v>2028 г.</v>
      </c>
      <c r="E22" s="4876" t="str">
        <f>+'15. ОПП'!$E$7</f>
        <v>2029 г.</v>
      </c>
      <c r="F22" s="4876" t="str">
        <f>+'15. ОПП'!$F$7</f>
        <v>2030 г.</v>
      </c>
      <c r="G22" s="4876" t="str">
        <f>+'15. ОПП'!$G$7</f>
        <v>2031 г.</v>
      </c>
      <c r="H22" s="3524"/>
      <c r="I22" s="4530" t="s">
        <v>1029</v>
      </c>
      <c r="J22" s="4531">
        <f>J36</f>
        <v>0</v>
      </c>
      <c r="K22" s="4531">
        <f t="shared" ref="K22:N22" si="27">K36</f>
        <v>0</v>
      </c>
      <c r="L22" s="4531">
        <f t="shared" si="27"/>
        <v>0</v>
      </c>
      <c r="M22" s="4531">
        <f t="shared" si="27"/>
        <v>0</v>
      </c>
      <c r="N22" s="4531">
        <f t="shared" si="27"/>
        <v>0</v>
      </c>
      <c r="O22" s="3904">
        <f t="shared" ref="O22:O23" si="28">SUM(J22:N22)</f>
        <v>0</v>
      </c>
      <c r="P22" s="4560">
        <f>O37</f>
        <v>0</v>
      </c>
      <c r="Q22" s="4560">
        <f>O38</f>
        <v>0</v>
      </c>
      <c r="R22" s="3524"/>
      <c r="S22" s="3528"/>
      <c r="T22" s="3524"/>
      <c r="U22" s="3524"/>
      <c r="V22" s="3524"/>
      <c r="W22" s="3524"/>
      <c r="X22" s="3524"/>
      <c r="Y22" s="3524"/>
      <c r="Z22" s="3524"/>
      <c r="AA22" s="3524"/>
      <c r="AB22" s="3524"/>
      <c r="AC22" s="3524"/>
      <c r="AD22" s="3523"/>
      <c r="AE22" s="3524"/>
      <c r="AF22" s="3524"/>
      <c r="AG22" s="3524"/>
      <c r="AH22" s="3524"/>
      <c r="AI22" s="3524"/>
      <c r="AJ22" s="3524"/>
      <c r="AK22" s="3645" t="s">
        <v>548</v>
      </c>
      <c r="AL22" s="3764">
        <f>'17. РБА'!I41</f>
        <v>1320.0924440021779</v>
      </c>
      <c r="AM22" s="3764">
        <f>'17. РБА'!J41</f>
        <v>1389.8616879052931</v>
      </c>
      <c r="AN22" s="3764">
        <f>'17. РБА'!K41</f>
        <v>1465.8608307606521</v>
      </c>
      <c r="AO22" s="3764">
        <f>'17. РБА'!L41</f>
        <v>1547.5357924744455</v>
      </c>
      <c r="AP22" s="3764">
        <f>'17. РБА'!M41</f>
        <v>1635.3394184925094</v>
      </c>
      <c r="AQ22" s="3524"/>
      <c r="AR22" s="5665"/>
      <c r="AS22" s="4532" t="s">
        <v>1777</v>
      </c>
      <c r="AT22" s="4532" t="s">
        <v>1778</v>
      </c>
      <c r="AU22" s="4532" t="s">
        <v>1779</v>
      </c>
      <c r="AV22" s="4532" t="s">
        <v>1780</v>
      </c>
      <c r="AW22" s="4532" t="s">
        <v>1781</v>
      </c>
    </row>
    <row r="23" spans="1:49" ht="15.75" customHeight="1">
      <c r="A23" s="5686" t="s">
        <v>1657</v>
      </c>
      <c r="B23" s="5686"/>
      <c r="C23" s="5686"/>
      <c r="D23" s="5686"/>
      <c r="E23" s="5686"/>
      <c r="F23" s="5686"/>
      <c r="G23" s="5686"/>
      <c r="H23" s="3524"/>
      <c r="I23" s="4530" t="s">
        <v>1092</v>
      </c>
      <c r="J23" s="4531">
        <f>J39</f>
        <v>0</v>
      </c>
      <c r="K23" s="4531">
        <f t="shared" ref="K23:N23" si="29">K39</f>
        <v>0</v>
      </c>
      <c r="L23" s="4531">
        <f t="shared" si="29"/>
        <v>0</v>
      </c>
      <c r="M23" s="4531">
        <f t="shared" si="29"/>
        <v>0</v>
      </c>
      <c r="N23" s="4531">
        <f t="shared" si="29"/>
        <v>0</v>
      </c>
      <c r="O23" s="3904">
        <f t="shared" si="28"/>
        <v>0</v>
      </c>
      <c r="P23" s="4560">
        <f>O40</f>
        <v>0</v>
      </c>
      <c r="Q23" s="4560">
        <f>O41</f>
        <v>0</v>
      </c>
      <c r="R23" s="3524"/>
      <c r="S23" s="1656" t="s">
        <v>1681</v>
      </c>
      <c r="T23" s="3524"/>
      <c r="U23" s="3524"/>
      <c r="V23" s="3524"/>
      <c r="W23" s="3524"/>
      <c r="X23" s="3524"/>
      <c r="Y23" s="3524"/>
      <c r="Z23" s="3524"/>
      <c r="AA23" s="3524"/>
      <c r="AB23" s="3524"/>
      <c r="AC23" s="3524"/>
      <c r="AD23" s="3523"/>
      <c r="AE23" s="3524"/>
      <c r="AF23" s="3524"/>
      <c r="AG23" s="3524"/>
      <c r="AH23" s="3524"/>
      <c r="AI23" s="3524"/>
      <c r="AJ23" s="3524"/>
      <c r="AK23" s="3645" t="s">
        <v>549</v>
      </c>
      <c r="AL23" s="3764">
        <f>'17. РБА'!I44</f>
        <v>0</v>
      </c>
      <c r="AM23" s="3764">
        <f>'17. РБА'!J44</f>
        <v>0</v>
      </c>
      <c r="AN23" s="3764">
        <f>'17. РБА'!K44</f>
        <v>0</v>
      </c>
      <c r="AO23" s="3764">
        <f>'17. РБА'!L44</f>
        <v>0</v>
      </c>
      <c r="AP23" s="3764">
        <f>'17. РБА'!M44</f>
        <v>0</v>
      </c>
      <c r="AQ23" s="3524"/>
      <c r="AR23" s="3765" t="s">
        <v>294</v>
      </c>
      <c r="AS23" s="3478">
        <f>'16. Необходими приходи'!K34</f>
        <v>0</v>
      </c>
      <c r="AT23" s="3478">
        <f>'16. Необходими приходи'!L34</f>
        <v>0</v>
      </c>
      <c r="AU23" s="3478">
        <f>'16. Необходими приходи'!M34</f>
        <v>0</v>
      </c>
      <c r="AV23" s="3478">
        <f>'16. Необходими приходи'!N34</f>
        <v>0</v>
      </c>
      <c r="AW23" s="3478">
        <f>'16. Необходими приходи'!O34</f>
        <v>0</v>
      </c>
    </row>
    <row r="24" spans="1:49" ht="15.75" customHeight="1">
      <c r="A24" s="4536" t="s">
        <v>334</v>
      </c>
      <c r="B24" s="3904">
        <f>'11. Амортиз. план'!AX10</f>
        <v>2111.1241774591863</v>
      </c>
      <c r="C24" s="3904">
        <f>'11. Амортиз. план'!AZ10</f>
        <v>2190.3744190446</v>
      </c>
      <c r="D24" s="3904">
        <f>'11. Амортиз. план'!BA10</f>
        <v>2215.9390131044111</v>
      </c>
      <c r="E24" s="3904">
        <f>'11. Амортиз. план'!BB10</f>
        <v>2273.033273171322</v>
      </c>
      <c r="F24" s="3904">
        <f>'11. Амортиз. план'!BC10</f>
        <v>2290.0763358778622</v>
      </c>
      <c r="G24" s="3904">
        <f>'11. Амортиз. план'!BD10</f>
        <v>2317.3452362083276</v>
      </c>
      <c r="H24" s="3524"/>
      <c r="I24" s="4540" t="s">
        <v>1028</v>
      </c>
      <c r="J24" s="4541">
        <f>SUM(J19:J23)</f>
        <v>2171.4566194403401</v>
      </c>
      <c r="K24" s="4541">
        <f t="shared" ref="K24:O24" si="30">SUM(K19:K23)</f>
        <v>1815.0861782465756</v>
      </c>
      <c r="L24" s="4541">
        <f t="shared" si="30"/>
        <v>1922.4574732977817</v>
      </c>
      <c r="M24" s="4541">
        <f t="shared" si="30"/>
        <v>1927.5703921097438</v>
      </c>
      <c r="N24" s="4541">
        <f t="shared" si="30"/>
        <v>1807.4168000286322</v>
      </c>
      <c r="O24" s="4541">
        <f t="shared" si="30"/>
        <v>9643.9874631230741</v>
      </c>
      <c r="P24" s="4562">
        <f>O43</f>
        <v>8662.3070512263348</v>
      </c>
      <c r="Q24" s="4562">
        <f>O44</f>
        <v>981.68041189673954</v>
      </c>
      <c r="R24" s="3524"/>
      <c r="S24" s="5676" t="s">
        <v>1921</v>
      </c>
      <c r="T24" s="5676" t="s">
        <v>208</v>
      </c>
      <c r="U24" s="5676"/>
      <c r="V24" s="5676"/>
      <c r="W24" s="5676"/>
      <c r="X24" s="5676"/>
      <c r="Y24" s="5676"/>
      <c r="Z24" s="5619" t="str">
        <f>+Z3</f>
        <v>Изменение 2027 г. спр. 2024 г.</v>
      </c>
      <c r="AA24" s="5619" t="str">
        <f>+AA3</f>
        <v>Изменение 2031 г. спр. 2027 г.</v>
      </c>
      <c r="AB24" s="3524"/>
      <c r="AC24" s="3524"/>
      <c r="AD24" s="3523"/>
      <c r="AE24" s="3524"/>
      <c r="AF24" s="3524"/>
      <c r="AG24" s="3524"/>
      <c r="AH24" s="3524"/>
      <c r="AI24" s="3524"/>
      <c r="AJ24" s="3524"/>
      <c r="AK24" s="3645" t="s">
        <v>329</v>
      </c>
      <c r="AL24" s="3771">
        <f>'17. РБА'!I47</f>
        <v>129.52727656970868</v>
      </c>
      <c r="AM24" s="3771">
        <f>'17. РБА'!J47</f>
        <v>110.77990759251401</v>
      </c>
      <c r="AN24" s="3771">
        <f>'17. РБА'!K47</f>
        <v>137.19665478765197</v>
      </c>
      <c r="AO24" s="3771">
        <f>'17. РБА'!L47</f>
        <v>112.48421386316807</v>
      </c>
      <c r="AP24" s="3771">
        <f>'17. РБА'!M47</f>
        <v>107.37129505120589</v>
      </c>
      <c r="AQ24" s="3524"/>
      <c r="AR24" s="3765" t="s">
        <v>296</v>
      </c>
      <c r="AS24" s="3478">
        <f>'16. Необходими приходи'!K35</f>
        <v>0</v>
      </c>
      <c r="AT24" s="3478">
        <f>'16. Необходими приходи'!L35</f>
        <v>0</v>
      </c>
      <c r="AU24" s="3478">
        <f>'16. Необходими приходи'!M35</f>
        <v>0</v>
      </c>
      <c r="AV24" s="3478">
        <f>'16. Необходими приходи'!N35</f>
        <v>0</v>
      </c>
      <c r="AW24" s="3478">
        <f>'16. Необходими приходи'!O35</f>
        <v>0</v>
      </c>
    </row>
    <row r="25" spans="1:49" ht="15.75" customHeight="1">
      <c r="A25" s="4538" t="s">
        <v>218</v>
      </c>
      <c r="B25" s="4539">
        <f>'11. Амортиз. план'!AX35</f>
        <v>93.055122377711768</v>
      </c>
      <c r="C25" s="4539">
        <f>'11. Амортиз. план'!AZ35</f>
        <v>105.74169743326829</v>
      </c>
      <c r="D25" s="4539">
        <f>'11. Амортиз. план'!BA35</f>
        <v>106.68992653973901</v>
      </c>
      <c r="E25" s="4539">
        <f>'11. Амортиз. план'!BB35</f>
        <v>107.66956686183536</v>
      </c>
      <c r="F25" s="4539">
        <f>'11. Амортиз. план'!BC35</f>
        <v>108.57504245126665</v>
      </c>
      <c r="G25" s="4539">
        <f>'11. Амортиз. план'!BD35</f>
        <v>109.29191330734172</v>
      </c>
      <c r="H25" s="3524"/>
      <c r="I25" s="1357" t="s">
        <v>1634</v>
      </c>
      <c r="J25" s="4563"/>
      <c r="K25" s="4563"/>
      <c r="L25" s="4563"/>
      <c r="M25" s="4563"/>
      <c r="N25" s="4563"/>
      <c r="O25" s="4563"/>
      <c r="P25" s="3760" t="s">
        <v>1911</v>
      </c>
      <c r="Q25" s="3760"/>
      <c r="R25" s="3524"/>
      <c r="S25" s="5676"/>
      <c r="T25" s="4877" t="str">
        <f t="shared" ref="T25:Y25" si="31">T4</f>
        <v>2024 г.</v>
      </c>
      <c r="U25" s="4877" t="str">
        <f t="shared" si="31"/>
        <v>2027 г.</v>
      </c>
      <c r="V25" s="4877" t="str">
        <f t="shared" si="31"/>
        <v>2028 г.</v>
      </c>
      <c r="W25" s="4877" t="str">
        <f t="shared" si="31"/>
        <v>2029 г.</v>
      </c>
      <c r="X25" s="4877" t="str">
        <f t="shared" si="31"/>
        <v>2030 г.</v>
      </c>
      <c r="Y25" s="4877" t="str">
        <f t="shared" si="31"/>
        <v>2031 г.</v>
      </c>
      <c r="Z25" s="5619"/>
      <c r="AA25" s="5619"/>
      <c r="AB25" s="3524"/>
      <c r="AC25" s="3524"/>
      <c r="AD25" s="3523"/>
      <c r="AE25" s="3524"/>
      <c r="AF25" s="3524"/>
      <c r="AG25" s="3524"/>
      <c r="AH25" s="3524"/>
      <c r="AI25" s="3524"/>
      <c r="AJ25" s="3524"/>
      <c r="AK25" s="3645" t="s">
        <v>306</v>
      </c>
      <c r="AL25" s="3764">
        <f>'17. РБА'!I48</f>
        <v>391.02555942510907</v>
      </c>
      <c r="AM25" s="3764">
        <f>'17. РБА'!J48</f>
        <v>419.23461286344536</v>
      </c>
      <c r="AN25" s="3764">
        <f>'17. РБА'!K48</f>
        <v>458.58575545021392</v>
      </c>
      <c r="AO25" s="3764">
        <f>'17. РБА'!L48</f>
        <v>504.49943747387078</v>
      </c>
      <c r="AP25" s="3764">
        <f>'17. РБА'!M48</f>
        <v>557.64124581800024</v>
      </c>
      <c r="AQ25" s="3524"/>
      <c r="AR25" s="3765" t="s">
        <v>1787</v>
      </c>
      <c r="AS25" s="3478">
        <f>'12. Разходи'!CF17</f>
        <v>0</v>
      </c>
      <c r="AT25" s="3478">
        <f>'12. Разходи'!CG17</f>
        <v>0</v>
      </c>
      <c r="AU25" s="3478">
        <f>'12. Разходи'!CH17</f>
        <v>0</v>
      </c>
      <c r="AV25" s="3478">
        <f>'12. Разходи'!CI17</f>
        <v>0</v>
      </c>
      <c r="AW25" s="3478">
        <f>'12. Разходи'!CJ17</f>
        <v>0</v>
      </c>
    </row>
    <row r="26" spans="1:49" ht="15.75" customHeight="1">
      <c r="A26" s="4542" t="s">
        <v>220</v>
      </c>
      <c r="B26" s="3779">
        <f>'11. Амортиз. план'!AX60</f>
        <v>1401.9623382400312</v>
      </c>
      <c r="C26" s="3779">
        <f>'11. Амортиз. план'!AZ60</f>
        <v>1612.4586980060974</v>
      </c>
      <c r="D26" s="3779">
        <f>'11. Амортиз. план'!BA60</f>
        <v>1719.1486245458368</v>
      </c>
      <c r="E26" s="3779">
        <f>'11. Амортиз. план'!BB60</f>
        <v>1826.8181914076715</v>
      </c>
      <c r="F26" s="3779">
        <f>'11. Амортиз. план'!BC60</f>
        <v>1935.3932338589391</v>
      </c>
      <c r="G26" s="3779">
        <f>'11. Амортиз. план'!BD60</f>
        <v>2044.685147166281</v>
      </c>
      <c r="H26" s="3524"/>
      <c r="I26" s="4564" t="s">
        <v>1495</v>
      </c>
      <c r="J26" s="4876" t="str">
        <f>+'15. ОПП'!$C$7</f>
        <v>2027 г.</v>
      </c>
      <c r="K26" s="4876" t="str">
        <f>+'15. ОПП'!$D$7</f>
        <v>2028 г.</v>
      </c>
      <c r="L26" s="4876" t="str">
        <f>+'15. ОПП'!$E$7</f>
        <v>2029 г.</v>
      </c>
      <c r="M26" s="4876" t="str">
        <f>+'15. ОПП'!$F$7</f>
        <v>2030 г.</v>
      </c>
      <c r="N26" s="4876" t="str">
        <f>+'15. ОПП'!$G$7</f>
        <v>2031 г.</v>
      </c>
      <c r="O26" s="4876" t="s">
        <v>1594</v>
      </c>
      <c r="P26" s="4876" t="s">
        <v>1595</v>
      </c>
      <c r="Q26" s="4554"/>
      <c r="R26" s="3524"/>
      <c r="S26" s="4537" t="s">
        <v>226</v>
      </c>
      <c r="T26" s="3779">
        <f>'12. Разходи'!BQ11</f>
        <v>98.714530340060222</v>
      </c>
      <c r="U26" s="3779">
        <f>'12. Разходи'!BR11</f>
        <v>98.749626501280773</v>
      </c>
      <c r="V26" s="3779">
        <f>'12. Разходи'!BS11</f>
        <v>98.749626501280773</v>
      </c>
      <c r="W26" s="3779">
        <f>'12. Разходи'!BT11</f>
        <v>98.735567815198678</v>
      </c>
      <c r="X26" s="3779">
        <f>'12. Разходи'!BU11</f>
        <v>98.735567815198678</v>
      </c>
      <c r="Y26" s="3779">
        <f>'12. Разходи'!BV11</f>
        <v>98.735567815198678</v>
      </c>
      <c r="Z26" s="4535">
        <f>IFERROR((U26-T26)/T26,0)</f>
        <v>3.555318664805341E-4</v>
      </c>
      <c r="AA26" s="4535">
        <f t="shared" ref="AA26:AA36" si="32">IFERROR((Y26-U26)/U26,0)</f>
        <v>-1.4236697980738445E-4</v>
      </c>
      <c r="AB26" s="3524"/>
      <c r="AC26" s="3524"/>
      <c r="AD26" s="3523"/>
      <c r="AE26" s="3524"/>
      <c r="AF26" s="3524"/>
      <c r="AG26" s="3524"/>
      <c r="AH26" s="3524"/>
      <c r="AI26" s="3524"/>
      <c r="AJ26" s="3524"/>
      <c r="AK26" s="3646" t="s">
        <v>305</v>
      </c>
      <c r="AL26" s="3647">
        <f t="shared" ref="AL26:AP26" si="33">AL21-AL22+AL23+AL24+AL25</f>
        <v>1508.2615130853046</v>
      </c>
      <c r="AM26" s="3647">
        <f t="shared" si="33"/>
        <v>1577.4812302130397</v>
      </c>
      <c r="AN26" s="3647">
        <f t="shared" si="33"/>
        <v>1678.0298847321019</v>
      </c>
      <c r="AO26" s="3647">
        <f t="shared" si="33"/>
        <v>1754.7528189051332</v>
      </c>
      <c r="AP26" s="3647">
        <f t="shared" si="33"/>
        <v>1827.4622962824039</v>
      </c>
      <c r="AQ26" s="3524"/>
      <c r="AR26" s="3732" t="s">
        <v>297</v>
      </c>
      <c r="AS26" s="3733">
        <f>AS23+AS24</f>
        <v>0</v>
      </c>
      <c r="AT26" s="3733">
        <f>AT23+AT24</f>
        <v>0</v>
      </c>
      <c r="AU26" s="3733">
        <f>AU23+AU24</f>
        <v>0</v>
      </c>
      <c r="AV26" s="3733">
        <f>AV23+AV24</f>
        <v>0</v>
      </c>
      <c r="AW26" s="3733">
        <f>AW23+AW24</f>
        <v>0</v>
      </c>
    </row>
    <row r="27" spans="1:49" ht="15.75" customHeight="1">
      <c r="A27" s="4542" t="s">
        <v>222</v>
      </c>
      <c r="B27" s="3779">
        <f>'11. Амортиз. план'!AX85</f>
        <v>709.16183921915501</v>
      </c>
      <c r="C27" s="3779">
        <f>'11. Амортиз. план'!AZ85</f>
        <v>577.91572103850251</v>
      </c>
      <c r="D27" s="3779">
        <f>'11. Амортиз. план'!BA85</f>
        <v>496.79038855857431</v>
      </c>
      <c r="E27" s="3779">
        <f>'11. Амортиз. план'!BB85</f>
        <v>446.21508176364995</v>
      </c>
      <c r="F27" s="3779">
        <f>'11. Амортиз. план'!BC85</f>
        <v>354.68310201892382</v>
      </c>
      <c r="G27" s="3779">
        <f>'11. Амортиз. план'!BD85</f>
        <v>272.66008904204705</v>
      </c>
      <c r="H27" s="3524"/>
      <c r="I27" s="3769" t="str">
        <f>'9.Инвестиционна програма'!E140</f>
        <v>Доставяне на вода на потребителите</v>
      </c>
      <c r="J27" s="3904">
        <f>SUM(J28:J29)</f>
        <v>1909.8456068949417</v>
      </c>
      <c r="K27" s="3904">
        <f t="shared" ref="K27:N27" si="34">SUM(K28:K29)</f>
        <v>1583.3005254376233</v>
      </c>
      <c r="L27" s="3904">
        <f t="shared" si="34"/>
        <v>1632.7254072865912</v>
      </c>
      <c r="M27" s="3904">
        <f t="shared" si="34"/>
        <v>1707.7148831953698</v>
      </c>
      <c r="N27" s="3904">
        <f t="shared" si="34"/>
        <v>1582.4483723022961</v>
      </c>
      <c r="O27" s="3904">
        <f>SUM(J27:N27)</f>
        <v>8416.0347951168224</v>
      </c>
      <c r="P27" s="3752">
        <f t="shared" ref="P27:P44" si="35">IFERROR(O27/$O$42,0)</f>
        <v>0.87267168557593744</v>
      </c>
      <c r="Q27" s="4565"/>
      <c r="R27" s="3524"/>
      <c r="S27" s="4537" t="s">
        <v>239</v>
      </c>
      <c r="T27" s="3779">
        <f>'12. Разходи'!BQ29</f>
        <v>269.45082139040716</v>
      </c>
      <c r="U27" s="3779">
        <f>'12. Разходи'!BR29</f>
        <v>269.45082139040716</v>
      </c>
      <c r="V27" s="3779">
        <f>'12. Разходи'!BS29</f>
        <v>269.45082139040716</v>
      </c>
      <c r="W27" s="3779">
        <f>'12. Разходи'!BT29</f>
        <v>269.45082139040716</v>
      </c>
      <c r="X27" s="3779">
        <f>'12. Разходи'!BU29</f>
        <v>269.45082139040716</v>
      </c>
      <c r="Y27" s="3779">
        <f>'12. Разходи'!BV29</f>
        <v>269.45082139040716</v>
      </c>
      <c r="Z27" s="4535">
        <f t="shared" ref="Z27:Z42" si="36">IFERROR((U27-T27)/T27,0)</f>
        <v>0</v>
      </c>
      <c r="AA27" s="4535">
        <f t="shared" si="32"/>
        <v>0</v>
      </c>
      <c r="AB27" s="3524"/>
      <c r="AC27" s="3524"/>
      <c r="AD27" s="3523"/>
      <c r="AE27" s="3524"/>
      <c r="AF27" s="3524"/>
      <c r="AG27" s="3524"/>
      <c r="AH27" s="3524"/>
      <c r="AI27" s="3524"/>
      <c r="AJ27" s="3524"/>
      <c r="AK27" s="5665" t="s">
        <v>1925</v>
      </c>
      <c r="AL27" s="5666" t="str">
        <f>T76</f>
        <v>Доставяне на вода с непитейни качества</v>
      </c>
      <c r="AM27" s="5667"/>
      <c r="AN27" s="5667"/>
      <c r="AO27" s="5667"/>
      <c r="AP27" s="5667"/>
      <c r="AQ27" s="3524"/>
      <c r="AR27" s="5665" t="s">
        <v>1925</v>
      </c>
      <c r="AS27" s="5673" t="str">
        <f>AL35</f>
        <v>Доставяне на вода на друг ВиК оператор</v>
      </c>
      <c r="AT27" s="5674"/>
      <c r="AU27" s="5674"/>
      <c r="AV27" s="5674"/>
      <c r="AW27" s="5675"/>
    </row>
    <row r="28" spans="1:49" ht="15.75" customHeight="1">
      <c r="A28" s="5686" t="s">
        <v>1658</v>
      </c>
      <c r="B28" s="5686"/>
      <c r="C28" s="5686"/>
      <c r="D28" s="5686"/>
      <c r="E28" s="5686"/>
      <c r="F28" s="5686"/>
      <c r="G28" s="5686"/>
      <c r="H28" s="3524"/>
      <c r="I28" s="4566" t="s">
        <v>1616</v>
      </c>
      <c r="J28" s="4561">
        <f>'9.Инвестиционна програма'!BC153</f>
        <v>1829.7432121742008</v>
      </c>
      <c r="K28" s="4561">
        <f>'9.Инвестиционна програма'!BD153</f>
        <v>1537.2842561299635</v>
      </c>
      <c r="L28" s="4561">
        <f>'9.Инвестиционна програма'!BE153</f>
        <v>1504.0502838522095</v>
      </c>
      <c r="M28" s="4561">
        <f>'9.Инвестиционна програма'!BF153</f>
        <v>1465.703392762493</v>
      </c>
      <c r="N28" s="4561">
        <f>'9.Инвестиционна програма'!BG153</f>
        <v>1534.7277967239825</v>
      </c>
      <c r="O28" s="4561">
        <f t="shared" ref="O28:O41" si="37">SUM(J28:N28)</f>
        <v>7871.5089416428491</v>
      </c>
      <c r="P28" s="4567">
        <f t="shared" si="35"/>
        <v>0.81620895627893819</v>
      </c>
      <c r="Q28" s="4568"/>
      <c r="R28" s="3524"/>
      <c r="S28" s="4537" t="s">
        <v>446</v>
      </c>
      <c r="T28" s="3779">
        <f>'12. Разходи'!BQ55</f>
        <v>342.05426852027017</v>
      </c>
      <c r="U28" s="3779">
        <f>'12. Разходи'!BR55</f>
        <v>201.18128372686539</v>
      </c>
      <c r="V28" s="3779">
        <f>'12. Разходи'!BS55</f>
        <v>202.12938363340731</v>
      </c>
      <c r="W28" s="3779">
        <f>'12. Разходи'!BT55</f>
        <v>203.10943352794999</v>
      </c>
      <c r="X28" s="3779">
        <f>'12. Разходи'!BU55</f>
        <v>198.90158153821866</v>
      </c>
      <c r="Y28" s="3779">
        <f>'12. Разходи'!BV55</f>
        <v>199.61956614708114</v>
      </c>
      <c r="Z28" s="4535">
        <f t="shared" si="36"/>
        <v>-0.41184396090954389</v>
      </c>
      <c r="AA28" s="4535">
        <f t="shared" si="32"/>
        <v>-7.7627379190229042E-3</v>
      </c>
      <c r="AB28" s="3524"/>
      <c r="AC28" s="3524"/>
      <c r="AD28" s="3523"/>
      <c r="AE28" s="3524"/>
      <c r="AF28" s="3524"/>
      <c r="AG28" s="3524"/>
      <c r="AH28" s="3524"/>
      <c r="AI28" s="3524"/>
      <c r="AJ28" s="3524"/>
      <c r="AK28" s="5665"/>
      <c r="AL28" s="4532" t="s">
        <v>1777</v>
      </c>
      <c r="AM28" s="4532" t="s">
        <v>1778</v>
      </c>
      <c r="AN28" s="4532" t="s">
        <v>1779</v>
      </c>
      <c r="AO28" s="4532" t="s">
        <v>1780</v>
      </c>
      <c r="AP28" s="4532" t="s">
        <v>1781</v>
      </c>
      <c r="AQ28" s="3524"/>
      <c r="AR28" s="5665"/>
      <c r="AS28" s="4532" t="s">
        <v>1777</v>
      </c>
      <c r="AT28" s="4532" t="s">
        <v>1778</v>
      </c>
      <c r="AU28" s="4532" t="s">
        <v>1779</v>
      </c>
      <c r="AV28" s="4532" t="s">
        <v>1780</v>
      </c>
      <c r="AW28" s="4532" t="s">
        <v>1781</v>
      </c>
    </row>
    <row r="29" spans="1:49" ht="15.75" customHeight="1">
      <c r="A29" s="4536" t="s">
        <v>334</v>
      </c>
      <c r="B29" s="3904">
        <f>'11. Амортиз. план'!AX111</f>
        <v>773.07332436868239</v>
      </c>
      <c r="C29" s="3904">
        <f>'11. Амортиз. план'!AZ111</f>
        <v>946.91256397539667</v>
      </c>
      <c r="D29" s="3904">
        <f>'11. Амортиз. план'!BA111</f>
        <v>1042.353715132024</v>
      </c>
      <c r="E29" s="3904">
        <f>'11. Амортиз. план'!BB111</f>
        <v>1137.7948662886517</v>
      </c>
      <c r="F29" s="3904">
        <f>'11. Амортиз. план'!BC111</f>
        <v>1228.1230986333169</v>
      </c>
      <c r="G29" s="3904">
        <f>'11. Амортиз. план'!BD111</f>
        <v>1318.451330977982</v>
      </c>
      <c r="H29" s="3524"/>
      <c r="I29" s="4566" t="s">
        <v>1617</v>
      </c>
      <c r="J29" s="4561">
        <f>'9.Инвестиционна програма'!BC147</f>
        <v>80.10239472074089</v>
      </c>
      <c r="K29" s="4561">
        <f>'9.Инвестиционна програма'!BD147</f>
        <v>46.016269307659663</v>
      </c>
      <c r="L29" s="4561">
        <f>'9.Инвестиционна програма'!BE147</f>
        <v>128.67512343438165</v>
      </c>
      <c r="M29" s="4561">
        <f>'9.Инвестиционна програма'!BF147</f>
        <v>242.01149043287674</v>
      </c>
      <c r="N29" s="4561">
        <f>'9.Инвестиционна програма'!BG147</f>
        <v>47.720575578313721</v>
      </c>
      <c r="O29" s="4561">
        <f t="shared" si="37"/>
        <v>544.52585347397269</v>
      </c>
      <c r="P29" s="4567">
        <f t="shared" si="35"/>
        <v>5.6462729296999255E-2</v>
      </c>
      <c r="Q29" s="4568"/>
      <c r="R29" s="3524"/>
      <c r="S29" s="4544" t="s">
        <v>447</v>
      </c>
      <c r="T29" s="4539">
        <f>'12. Разходи'!BQ56</f>
        <v>94.077706140104198</v>
      </c>
      <c r="U29" s="4539">
        <f>'12. Разходи'!BR56</f>
        <v>105.74169743326829</v>
      </c>
      <c r="V29" s="4539">
        <f>'12. Разходи'!BS56</f>
        <v>106.68992653973901</v>
      </c>
      <c r="W29" s="4539">
        <f>'12. Разходи'!BT56</f>
        <v>107.66956686183536</v>
      </c>
      <c r="X29" s="4539">
        <f>'12. Разходи'!BU56</f>
        <v>108.57504245126665</v>
      </c>
      <c r="Y29" s="4539">
        <f>'12. Разходи'!BV56</f>
        <v>109.29191330734172</v>
      </c>
      <c r="Z29" s="4535">
        <f t="shared" si="36"/>
        <v>0.12398252223320173</v>
      </c>
      <c r="AA29" s="4535">
        <f t="shared" si="32"/>
        <v>3.3574417285233277E-2</v>
      </c>
      <c r="AB29" s="3524"/>
      <c r="AC29" s="3524"/>
      <c r="AD29" s="3523"/>
      <c r="AE29" s="3524"/>
      <c r="AF29" s="3524"/>
      <c r="AG29" s="3524"/>
      <c r="AH29" s="3524"/>
      <c r="AI29" s="3524"/>
      <c r="AJ29" s="3524"/>
      <c r="AK29" s="3645" t="s">
        <v>547</v>
      </c>
      <c r="AL29" s="3764">
        <f>'17. РБА'!I52</f>
        <v>0</v>
      </c>
      <c r="AM29" s="3764">
        <f>'17. РБА'!J52</f>
        <v>0</v>
      </c>
      <c r="AN29" s="3764">
        <f>'17. РБА'!K52</f>
        <v>0</v>
      </c>
      <c r="AO29" s="3764">
        <f>'17. РБА'!L52</f>
        <v>0</v>
      </c>
      <c r="AP29" s="3764">
        <f>'17. РБА'!M52</f>
        <v>0</v>
      </c>
      <c r="AQ29" s="3524"/>
      <c r="AR29" s="3765" t="s">
        <v>294</v>
      </c>
      <c r="AS29" s="3478">
        <f>'16. Необходими приходи'!K40</f>
        <v>0</v>
      </c>
      <c r="AT29" s="3478">
        <f>'16. Необходими приходи'!L40</f>
        <v>0</v>
      </c>
      <c r="AU29" s="3478">
        <f>'16. Необходими приходи'!M40</f>
        <v>0</v>
      </c>
      <c r="AV29" s="3478">
        <f>'16. Необходими приходи'!N40</f>
        <v>0</v>
      </c>
      <c r="AW29" s="3478">
        <f>'16. Необходими приходи'!O40</f>
        <v>0</v>
      </c>
    </row>
    <row r="30" spans="1:49" ht="15.75" customHeight="1">
      <c r="A30" s="4538" t="s">
        <v>218</v>
      </c>
      <c r="B30" s="4539">
        <f>'11. Амортиз. план'!AX131</f>
        <v>14.316172673494117</v>
      </c>
      <c r="C30" s="4539">
        <f>'11. Амортиз. план'!AZ131</f>
        <v>17.064676408791183</v>
      </c>
      <c r="D30" s="4539">
        <f>'11. Амортиз. план'!BA131</f>
        <v>18.883723722158514</v>
      </c>
      <c r="E30" s="4539">
        <f>'11. Амортиз. план'!BB131</f>
        <v>20.704332391663364</v>
      </c>
      <c r="F30" s="4539">
        <f>'11. Амортиз. план'!BC131</f>
        <v>22.444872479936066</v>
      </c>
      <c r="G30" s="4539">
        <f>'11. Амортиз. план'!BD131</f>
        <v>24.13785106760179</v>
      </c>
      <c r="H30" s="3524"/>
      <c r="I30" s="3769" t="str">
        <f>'9.Инвестиционна програма'!E141</f>
        <v>Отвеждане на отпадъчните води</v>
      </c>
      <c r="J30" s="3904">
        <f>SUM(J31:J32)</f>
        <v>132.08373597568976</v>
      </c>
      <c r="K30" s="3904">
        <f t="shared" ref="K30:N30" si="38">SUM(K31:K32)</f>
        <v>121.00574521643837</v>
      </c>
      <c r="L30" s="3904">
        <f t="shared" si="38"/>
        <v>152.53541122353852</v>
      </c>
      <c r="M30" s="3904">
        <f t="shared" si="38"/>
        <v>107.37129505120589</v>
      </c>
      <c r="N30" s="3904">
        <f t="shared" si="38"/>
        <v>117.59713267513027</v>
      </c>
      <c r="O30" s="3904">
        <f t="shared" ref="O30:O39" si="39">SUM(J30:N30)</f>
        <v>630.59332014200277</v>
      </c>
      <c r="P30" s="3752">
        <f t="shared" si="35"/>
        <v>6.5387198246916189E-2</v>
      </c>
      <c r="Q30" s="4565"/>
      <c r="R30" s="3524"/>
      <c r="S30" s="4544" t="s">
        <v>736</v>
      </c>
      <c r="T30" s="4539">
        <f>'12. Разходи'!BQ57</f>
        <v>10.22583762392437</v>
      </c>
      <c r="U30" s="4539">
        <f>'12. Разходи'!BR57</f>
        <v>17.064676408791183</v>
      </c>
      <c r="V30" s="4539">
        <f>'12. Разходи'!BS57</f>
        <v>18.883723722158514</v>
      </c>
      <c r="W30" s="4539">
        <f>'12. Разходи'!BT57</f>
        <v>20.704332391663364</v>
      </c>
      <c r="X30" s="4539">
        <f>'12. Разходи'!BU57</f>
        <v>22.444872479936066</v>
      </c>
      <c r="Y30" s="4539">
        <f>'12. Разходи'!BV57</f>
        <v>24.13785106760179</v>
      </c>
      <c r="Z30" s="4535">
        <f t="shared" si="36"/>
        <v>0.66878030303030289</v>
      </c>
      <c r="AA30" s="4535">
        <f t="shared" si="32"/>
        <v>0.41449216436162428</v>
      </c>
      <c r="AB30" s="3524"/>
      <c r="AC30" s="3524"/>
      <c r="AD30" s="3523"/>
      <c r="AE30" s="3524"/>
      <c r="AF30" s="3524"/>
      <c r="AG30" s="3524"/>
      <c r="AH30" s="3524"/>
      <c r="AI30" s="3524"/>
      <c r="AJ30" s="3524"/>
      <c r="AK30" s="3645" t="s">
        <v>548</v>
      </c>
      <c r="AL30" s="3764">
        <f>'17. РБА'!I55</f>
        <v>0</v>
      </c>
      <c r="AM30" s="3764">
        <f>'17. РБА'!J55</f>
        <v>0</v>
      </c>
      <c r="AN30" s="3764">
        <f>'17. РБА'!K55</f>
        <v>0</v>
      </c>
      <c r="AO30" s="3764">
        <f>'17. РБА'!L55</f>
        <v>0</v>
      </c>
      <c r="AP30" s="3764">
        <f>'17. РБА'!M55</f>
        <v>0</v>
      </c>
      <c r="AQ30" s="3524"/>
      <c r="AR30" s="3765" t="s">
        <v>296</v>
      </c>
      <c r="AS30" s="3478">
        <f>'16. Необходими приходи'!K41</f>
        <v>0</v>
      </c>
      <c r="AT30" s="3478">
        <f>'16. Необходими приходи'!L41</f>
        <v>0</v>
      </c>
      <c r="AU30" s="3478">
        <f>'16. Необходими приходи'!M41</f>
        <v>0</v>
      </c>
      <c r="AV30" s="3478">
        <f>'16. Необходими приходи'!N41</f>
        <v>0</v>
      </c>
      <c r="AW30" s="3478">
        <f>'16. Необходими приходи'!O41</f>
        <v>0</v>
      </c>
    </row>
    <row r="31" spans="1:49" ht="18.75" customHeight="1">
      <c r="A31" s="4542" t="s">
        <v>220</v>
      </c>
      <c r="B31" s="3779">
        <f>'11. Амортиз. план'!AX151</f>
        <v>38.858182970912608</v>
      </c>
      <c r="C31" s="3779">
        <f>'11. Амортиз. план'!AZ151</f>
        <v>71.399827280570193</v>
      </c>
      <c r="D31" s="3779">
        <f>'11. Амортиз. план'!BA151</f>
        <v>90.2835510027287</v>
      </c>
      <c r="E31" s="3779">
        <f>'11. Амортиз. план'!BB151</f>
        <v>110.98788339439207</v>
      </c>
      <c r="F31" s="3779">
        <f>'11. Амортиз. план'!BC151</f>
        <v>133.43275587432817</v>
      </c>
      <c r="G31" s="3779">
        <f>'11. Амортиз. план'!BD151</f>
        <v>157.57060694192992</v>
      </c>
      <c r="H31" s="3524"/>
      <c r="I31" s="4566" t="s">
        <v>1616</v>
      </c>
      <c r="J31" s="4561">
        <f>'9.Инвестиционна програма'!BC154</f>
        <v>95.441151156627441</v>
      </c>
      <c r="K31" s="4561">
        <f>'9.Инвестиционна програма'!BD154</f>
        <v>95.441151156627441</v>
      </c>
      <c r="L31" s="4561">
        <f>'9.Инвестиционна програма'!BE154</f>
        <v>95.441151156627441</v>
      </c>
      <c r="M31" s="4561">
        <f>'9.Инвестиционна програма'!BF154</f>
        <v>90.328232344665281</v>
      </c>
      <c r="N31" s="4561">
        <f>'9.Инвестиционна програма'!BG154</f>
        <v>90.328232344665281</v>
      </c>
      <c r="O31" s="4561">
        <f t="shared" si="37"/>
        <v>466.97991815921284</v>
      </c>
      <c r="P31" s="4567">
        <f t="shared" si="35"/>
        <v>4.84218711342028E-2</v>
      </c>
      <c r="Q31" s="4568"/>
      <c r="R31" s="3524"/>
      <c r="S31" s="4544" t="s">
        <v>737</v>
      </c>
      <c r="T31" s="4539">
        <f>'12. Разходи'!BQ58</f>
        <v>237.7507247562416</v>
      </c>
      <c r="U31" s="4539">
        <f>'12. Разходи'!BR58</f>
        <v>78.374909884805945</v>
      </c>
      <c r="V31" s="4539">
        <f>'12. Разходи'!BS58</f>
        <v>76.555733371509788</v>
      </c>
      <c r="W31" s="4539">
        <f>'12. Разходи'!BT58</f>
        <v>74.735534274451254</v>
      </c>
      <c r="X31" s="4539">
        <f>'12. Разходи'!BU58</f>
        <v>67.881666607015944</v>
      </c>
      <c r="Y31" s="4539">
        <f>'12. Разходи'!BV58</f>
        <v>66.189801772137656</v>
      </c>
      <c r="Z31" s="4535">
        <f t="shared" si="36"/>
        <v>-0.67034838709677413</v>
      </c>
      <c r="AA31" s="4535">
        <f t="shared" si="32"/>
        <v>-0.15547205260685779</v>
      </c>
      <c r="AB31" s="3524"/>
      <c r="AC31" s="3524"/>
      <c r="AD31" s="3523"/>
      <c r="AE31" s="3524"/>
      <c r="AF31" s="3524"/>
      <c r="AG31" s="3524"/>
      <c r="AH31" s="3524"/>
      <c r="AI31" s="3524"/>
      <c r="AJ31" s="3524"/>
      <c r="AK31" s="3645" t="s">
        <v>549</v>
      </c>
      <c r="AL31" s="3764">
        <f>'17. РБА'!I58</f>
        <v>0</v>
      </c>
      <c r="AM31" s="3764">
        <f>'17. РБА'!J58</f>
        <v>0</v>
      </c>
      <c r="AN31" s="3764">
        <f>'17. РБА'!K58</f>
        <v>0</v>
      </c>
      <c r="AO31" s="3764">
        <f>'17. РБА'!L58</f>
        <v>0</v>
      </c>
      <c r="AP31" s="3764">
        <f>'17. РБА'!M58</f>
        <v>0</v>
      </c>
      <c r="AQ31" s="3524"/>
      <c r="AR31" s="3765" t="s">
        <v>1787</v>
      </c>
      <c r="AS31" s="3478">
        <f>'12. Разходи'!CM17</f>
        <v>0</v>
      </c>
      <c r="AT31" s="3478">
        <f>'12. Разходи'!CN17</f>
        <v>0</v>
      </c>
      <c r="AU31" s="3478">
        <f>'12. Разходи'!CO17</f>
        <v>0</v>
      </c>
      <c r="AV31" s="3478">
        <f>'12. Разходи'!CP17</f>
        <v>0</v>
      </c>
      <c r="AW31" s="3478">
        <f>'12. Разходи'!CQ17</f>
        <v>0</v>
      </c>
    </row>
    <row r="32" spans="1:49" ht="15.75" customHeight="1">
      <c r="A32" s="4542" t="s">
        <v>222</v>
      </c>
      <c r="B32" s="3779">
        <f>'11. Амортиз. план'!AX171</f>
        <v>734.2151413977698</v>
      </c>
      <c r="C32" s="3779">
        <f>'11. Амортиз. план'!AZ171</f>
        <v>875.51273669482646</v>
      </c>
      <c r="D32" s="3779">
        <f>'11. Амортиз. план'!BA171</f>
        <v>952.07016412929545</v>
      </c>
      <c r="E32" s="3779">
        <f>'11. Амортиз. план'!BB171</f>
        <v>1026.8069828942596</v>
      </c>
      <c r="F32" s="3779">
        <f>'11. Амортиз. план'!BC171</f>
        <v>1094.6903427589887</v>
      </c>
      <c r="G32" s="3779">
        <f>'11. Амортиз. план'!BD171</f>
        <v>1160.880724036052</v>
      </c>
      <c r="H32" s="3524"/>
      <c r="I32" s="4566" t="s">
        <v>1617</v>
      </c>
      <c r="J32" s="4561">
        <f>'9.Инвестиционна програма'!BC148</f>
        <v>36.642584819062321</v>
      </c>
      <c r="K32" s="4561">
        <f>'9.Инвестиционна програма'!BD148</f>
        <v>25.564594059810926</v>
      </c>
      <c r="L32" s="4561">
        <f>'9.Инвестиционна програма'!BE148</f>
        <v>57.094260066911062</v>
      </c>
      <c r="M32" s="4561">
        <f>'9.Инвестиционна програма'!BF148</f>
        <v>17.043062706540614</v>
      </c>
      <c r="N32" s="4561">
        <f>'9.Инвестиционна програма'!BG148</f>
        <v>27.268900330464984</v>
      </c>
      <c r="O32" s="4561">
        <f t="shared" si="37"/>
        <v>163.61340198278992</v>
      </c>
      <c r="P32" s="4567">
        <f t="shared" si="35"/>
        <v>1.696532711271339E-2</v>
      </c>
      <c r="Q32" s="4568"/>
      <c r="R32" s="3524"/>
      <c r="S32" s="4537" t="s">
        <v>448</v>
      </c>
      <c r="T32" s="3779">
        <f>'12. Разходи'!BQ59</f>
        <v>883.0010788258694</v>
      </c>
      <c r="U32" s="3779">
        <f>'12. Разходи'!BR59</f>
        <v>1252.1538170495392</v>
      </c>
      <c r="V32" s="3779">
        <f>'12. Разходи'!BS59</f>
        <v>1443.8882724981211</v>
      </c>
      <c r="W32" s="3779">
        <f>'12. Разходи'!BT59</f>
        <v>1608.5242582433034</v>
      </c>
      <c r="X32" s="3779">
        <f>'12. Разходи'!BU59</f>
        <v>1837.0717291380131</v>
      </c>
      <c r="Y32" s="3779">
        <f>'12. Разходи'!BV59</f>
        <v>2102.4322154788506</v>
      </c>
      <c r="Z32" s="4535">
        <f t="shared" si="36"/>
        <v>0.41806601042269831</v>
      </c>
      <c r="AA32" s="4535">
        <f t="shared" si="32"/>
        <v>0.67905267456104534</v>
      </c>
      <c r="AB32" s="3524"/>
      <c r="AC32" s="3524"/>
      <c r="AD32" s="3523"/>
      <c r="AE32" s="3524"/>
      <c r="AF32" s="3524"/>
      <c r="AG32" s="3524"/>
      <c r="AH32" s="3524"/>
      <c r="AI32" s="3524"/>
      <c r="AJ32" s="3524"/>
      <c r="AK32" s="3645" t="s">
        <v>329</v>
      </c>
      <c r="AL32" s="3771">
        <f>'17. РБА'!I61</f>
        <v>0</v>
      </c>
      <c r="AM32" s="3771">
        <f>'17. РБА'!J61</f>
        <v>0</v>
      </c>
      <c r="AN32" s="3771">
        <f>'17. РБА'!K61</f>
        <v>0</v>
      </c>
      <c r="AO32" s="3771">
        <f>'17. РБА'!L61</f>
        <v>0</v>
      </c>
      <c r="AP32" s="3771">
        <f>'17. РБА'!M61</f>
        <v>0</v>
      </c>
      <c r="AQ32" s="3524"/>
      <c r="AR32" s="3732" t="s">
        <v>297</v>
      </c>
      <c r="AS32" s="3733">
        <f>AS29+AS30</f>
        <v>0</v>
      </c>
      <c r="AT32" s="3733">
        <f>AT29+AT30</f>
        <v>0</v>
      </c>
      <c r="AU32" s="3733">
        <f>AU29+AU30</f>
        <v>0</v>
      </c>
      <c r="AV32" s="3733">
        <f>AV29+AV30</f>
        <v>0</v>
      </c>
      <c r="AW32" s="3733">
        <f>AW29+AW30</f>
        <v>0</v>
      </c>
    </row>
    <row r="33" spans="1:49" ht="15.75" customHeight="1">
      <c r="A33" s="5686" t="s">
        <v>1659</v>
      </c>
      <c r="B33" s="5686"/>
      <c r="C33" s="5686"/>
      <c r="D33" s="5686"/>
      <c r="E33" s="5686"/>
      <c r="F33" s="5686"/>
      <c r="G33" s="5686"/>
      <c r="H33" s="3524"/>
      <c r="I33" s="3769" t="str">
        <f>'9.Инвестиционна програма'!E142</f>
        <v>Пречистване на отпадъчните води</v>
      </c>
      <c r="J33" s="3904">
        <f>SUM(J34:J35)</f>
        <v>129.52727656970868</v>
      </c>
      <c r="K33" s="3904">
        <f t="shared" ref="K33:N33" si="40">SUM(K34:K35)</f>
        <v>110.77990759251401</v>
      </c>
      <c r="L33" s="3904">
        <f t="shared" si="40"/>
        <v>137.19665478765194</v>
      </c>
      <c r="M33" s="3904">
        <f t="shared" si="40"/>
        <v>112.48421386316807</v>
      </c>
      <c r="N33" s="3904">
        <f t="shared" si="40"/>
        <v>107.37129505120589</v>
      </c>
      <c r="O33" s="3904">
        <f t="shared" si="39"/>
        <v>597.35934786424855</v>
      </c>
      <c r="P33" s="3752">
        <f t="shared" si="35"/>
        <v>6.1941116177146281E-2</v>
      </c>
      <c r="Q33" s="4565"/>
      <c r="R33" s="3524"/>
      <c r="S33" s="4537" t="s">
        <v>449</v>
      </c>
      <c r="T33" s="3779">
        <f>'12. Разходи'!BQ63</f>
        <v>329.27197149036471</v>
      </c>
      <c r="U33" s="3779">
        <f>'12. Разходи'!BR63</f>
        <v>474.99015763128699</v>
      </c>
      <c r="V33" s="3779">
        <f>'12. Разходи'!BS63</f>
        <v>545.54843723636509</v>
      </c>
      <c r="W33" s="3779">
        <f>'12. Разходи'!BT63</f>
        <v>627.86643010895637</v>
      </c>
      <c r="X33" s="3779">
        <f>'12. Разходи'!BU63</f>
        <v>721.94413624906053</v>
      </c>
      <c r="Y33" s="3779">
        <f>'12. Разходи'!BV63</f>
        <v>830.33801506265888</v>
      </c>
      <c r="Z33" s="4535">
        <f t="shared" si="36"/>
        <v>0.44254658385093171</v>
      </c>
      <c r="AA33" s="4535">
        <f t="shared" si="32"/>
        <v>0.74811625403659854</v>
      </c>
      <c r="AB33" s="3524"/>
      <c r="AC33" s="3524"/>
      <c r="AD33" s="3523"/>
      <c r="AE33" s="3524"/>
      <c r="AF33" s="3524"/>
      <c r="AG33" s="3524"/>
      <c r="AH33" s="3524"/>
      <c r="AI33" s="3524"/>
      <c r="AJ33" s="3524"/>
      <c r="AK33" s="3645" t="s">
        <v>306</v>
      </c>
      <c r="AL33" s="3764">
        <f>'17. РБА'!I62</f>
        <v>0</v>
      </c>
      <c r="AM33" s="3764">
        <f>'17. РБА'!J62</f>
        <v>0</v>
      </c>
      <c r="AN33" s="3764">
        <f>'17. РБА'!K62</f>
        <v>0</v>
      </c>
      <c r="AO33" s="3764">
        <f>'17. РБА'!L62</f>
        <v>0</v>
      </c>
      <c r="AP33" s="3764">
        <f>'17. РБА'!M62</f>
        <v>0</v>
      </c>
      <c r="AQ33" s="3524"/>
      <c r="AR33" s="4524"/>
      <c r="AS33" s="3524"/>
      <c r="AT33" s="3524"/>
      <c r="AU33" s="3524"/>
      <c r="AV33" s="3524"/>
      <c r="AW33" s="3524"/>
    </row>
    <row r="34" spans="1:49" ht="12.75" customHeight="1">
      <c r="A34" s="4536" t="s">
        <v>334</v>
      </c>
      <c r="B34" s="3904">
        <f>'11. Амортиз. план'!AX192</f>
        <v>41617.625253728598</v>
      </c>
      <c r="C34" s="3904">
        <f>'11. Амортиз. план'!AZ192</f>
        <v>41617.625253728598</v>
      </c>
      <c r="D34" s="3904">
        <f>'11. Амортиз. план'!BA192</f>
        <v>41617.625253728598</v>
      </c>
      <c r="E34" s="3904">
        <f>'11. Амортиз. план'!BB192</f>
        <v>41617.625253728598</v>
      </c>
      <c r="F34" s="3904">
        <f>'11. Амортиз. план'!BC192</f>
        <v>41617.625253728598</v>
      </c>
      <c r="G34" s="3904">
        <f>'11. Амортиз. план'!BD192</f>
        <v>41617.625253728598</v>
      </c>
      <c r="H34" s="3524"/>
      <c r="I34" s="4566" t="s">
        <v>1616</v>
      </c>
      <c r="J34" s="4561">
        <f>'9.Инвестиционна програма'!BC155</f>
        <v>64.763638284854338</v>
      </c>
      <c r="K34" s="4561">
        <f>'9.Инвестиционна програма'!BD155</f>
        <v>64.763638284854338</v>
      </c>
      <c r="L34" s="4561">
        <f>'9.Инвестиционна програма'!BE155</f>
        <v>64.763638284854338</v>
      </c>
      <c r="M34" s="4561">
        <f>'9.Инвестиционна програма'!BF155</f>
        <v>64.763638284854352</v>
      </c>
      <c r="N34" s="4561">
        <f>'9.Инвестиционна програма'!BG155</f>
        <v>64.763638284854352</v>
      </c>
      <c r="O34" s="4561">
        <f t="shared" si="37"/>
        <v>323.81819142427173</v>
      </c>
      <c r="P34" s="4567">
        <f t="shared" si="35"/>
        <v>3.3577209910578588E-2</v>
      </c>
      <c r="Q34" s="4568"/>
      <c r="R34" s="3524"/>
      <c r="S34" s="4537" t="s">
        <v>450</v>
      </c>
      <c r="T34" s="3779">
        <f>'12. Разходи'!BQ70</f>
        <v>39.880766733305045</v>
      </c>
      <c r="U34" s="3779">
        <f>'12. Разходи'!BR70</f>
        <v>40.392058614501259</v>
      </c>
      <c r="V34" s="3779">
        <f>'12. Разходи'!BS70</f>
        <v>40.392058614501259</v>
      </c>
      <c r="W34" s="3779">
        <f>'12. Разходи'!BT70</f>
        <v>39.880766733305045</v>
      </c>
      <c r="X34" s="3779">
        <f>'12. Разходи'!BU70</f>
        <v>39.369474852108823</v>
      </c>
      <c r="Y34" s="3779">
        <f>'12. Разходи'!BV70</f>
        <v>39.369474852108823</v>
      </c>
      <c r="Z34" s="4535">
        <f t="shared" si="36"/>
        <v>1.2820512820512723E-2</v>
      </c>
      <c r="AA34" s="4535">
        <f t="shared" si="32"/>
        <v>-2.5316455696202517E-2</v>
      </c>
      <c r="AB34" s="3524"/>
      <c r="AC34" s="3524"/>
      <c r="AD34" s="3523"/>
      <c r="AE34" s="3524"/>
      <c r="AF34" s="3524"/>
      <c r="AG34" s="3524"/>
      <c r="AH34" s="3524"/>
      <c r="AI34" s="3524"/>
      <c r="AJ34" s="3524"/>
      <c r="AK34" s="3646" t="s">
        <v>305</v>
      </c>
      <c r="AL34" s="3647">
        <f t="shared" ref="AL34:AP34" si="41">AL29-AL30+AL31+AL32+AL33</f>
        <v>0</v>
      </c>
      <c r="AM34" s="3647">
        <f t="shared" si="41"/>
        <v>0</v>
      </c>
      <c r="AN34" s="3647">
        <f t="shared" si="41"/>
        <v>0</v>
      </c>
      <c r="AO34" s="3647">
        <f t="shared" si="41"/>
        <v>0</v>
      </c>
      <c r="AP34" s="3647">
        <f t="shared" si="41"/>
        <v>0</v>
      </c>
      <c r="AQ34" s="3524"/>
      <c r="AR34" s="4524"/>
      <c r="AS34" s="3524"/>
      <c r="AT34" s="3524"/>
      <c r="AU34" s="3524"/>
      <c r="AV34" s="3524"/>
      <c r="AW34" s="3524"/>
    </row>
    <row r="35" spans="1:49" ht="15.75" customHeight="1">
      <c r="A35" s="4538" t="s">
        <v>218</v>
      </c>
      <c r="B35" s="4539">
        <f>'11. Амортиз. план'!AX214</f>
        <v>832.38318258744368</v>
      </c>
      <c r="C35" s="4539">
        <f>'11. Амортиз. план'!AZ214</f>
        <v>832.38318258744368</v>
      </c>
      <c r="D35" s="4539">
        <f>'11. Амортиз. план'!BA214</f>
        <v>832.38318258744368</v>
      </c>
      <c r="E35" s="4539">
        <f>'11. Амортиз. план'!BB214</f>
        <v>832.38318258744368</v>
      </c>
      <c r="F35" s="4539">
        <f>'11. Амортиз. план'!BC214</f>
        <v>832.38318258744368</v>
      </c>
      <c r="G35" s="4539">
        <f>'11. Амортиз. план'!BD214</f>
        <v>832.38318258744368</v>
      </c>
      <c r="H35" s="3524"/>
      <c r="I35" s="4566" t="s">
        <v>1617</v>
      </c>
      <c r="J35" s="4561">
        <f>'9.Инвестиционна програма'!BC149</f>
        <v>64.763638284854338</v>
      </c>
      <c r="K35" s="4561">
        <f>'9.Инвестиционна програма'!BD149</f>
        <v>46.016269307659663</v>
      </c>
      <c r="L35" s="4561">
        <f>'9.Инвестиционна програма'!BE149</f>
        <v>72.433016502797614</v>
      </c>
      <c r="M35" s="4561">
        <f>'9.Инвестиционна програма'!BF149</f>
        <v>47.720575578313721</v>
      </c>
      <c r="N35" s="4561">
        <f>'9.Инвестиционна програма'!BG149</f>
        <v>42.607656766351539</v>
      </c>
      <c r="O35" s="4561">
        <f t="shared" si="37"/>
        <v>273.54115643997687</v>
      </c>
      <c r="P35" s="4567">
        <f t="shared" si="35"/>
        <v>2.8363906266567696E-2</v>
      </c>
      <c r="Q35" s="4568"/>
      <c r="R35" s="3524"/>
      <c r="S35" s="4537" t="s">
        <v>267</v>
      </c>
      <c r="T35" s="3779">
        <f>'12. Разходи'!BQ76</f>
        <v>9.2267732880669584</v>
      </c>
      <c r="U35" s="3779">
        <f>'12. Разходи'!BR76</f>
        <v>9.2032538615319321</v>
      </c>
      <c r="V35" s="3779">
        <f>'12. Разходи'!BS76</f>
        <v>9.2032538615319321</v>
      </c>
      <c r="W35" s="3779">
        <f>'12. Разходи'!BT76</f>
        <v>9.2032538615319321</v>
      </c>
      <c r="X35" s="3779">
        <f>'12. Разходи'!BU76</f>
        <v>9.2032538615319321</v>
      </c>
      <c r="Y35" s="3779">
        <f>'12. Разходи'!BV76</f>
        <v>9.2032538615319321</v>
      </c>
      <c r="Z35" s="4535">
        <f t="shared" si="36"/>
        <v>-2.5490413388008647E-3</v>
      </c>
      <c r="AA35" s="4535">
        <f t="shared" si="32"/>
        <v>0</v>
      </c>
      <c r="AB35" s="3524"/>
      <c r="AC35" s="3524"/>
      <c r="AD35" s="3523"/>
      <c r="AE35" s="3524"/>
      <c r="AF35" s="3524"/>
      <c r="AG35" s="3524"/>
      <c r="AH35" s="3524"/>
      <c r="AI35" s="3524"/>
      <c r="AJ35" s="3524"/>
      <c r="AK35" s="5665" t="s">
        <v>1925</v>
      </c>
      <c r="AL35" s="5666" t="str">
        <f>T100</f>
        <v>Доставяне на вода на друг ВиК оператор</v>
      </c>
      <c r="AM35" s="5667"/>
      <c r="AN35" s="5667"/>
      <c r="AO35" s="5667"/>
      <c r="AP35" s="5667"/>
      <c r="AQ35" s="3524"/>
      <c r="AR35" s="4524"/>
      <c r="AS35" s="3524"/>
      <c r="AT35" s="3524"/>
      <c r="AU35" s="3524"/>
      <c r="AV35" s="3524"/>
      <c r="AW35" s="3524"/>
    </row>
    <row r="36" spans="1:49" ht="15.75" customHeight="1">
      <c r="A36" s="4542" t="s">
        <v>220</v>
      </c>
      <c r="B36" s="3779">
        <f>'11. Амортиз. план'!AX236</f>
        <v>7031.797242091593</v>
      </c>
      <c r="C36" s="3779">
        <f>'11. Амортиз. план'!AZ236</f>
        <v>8696.5636072664802</v>
      </c>
      <c r="D36" s="3779">
        <f>'11. Амортиз. план'!BA236</f>
        <v>9528.9467898539242</v>
      </c>
      <c r="E36" s="3779">
        <f>'11. Амортиз. план'!BB236</f>
        <v>10361.329972441368</v>
      </c>
      <c r="F36" s="3779">
        <f>'11. Амортиз. план'!BC236</f>
        <v>11193.713155028812</v>
      </c>
      <c r="G36" s="3779">
        <f>'11. Амортиз. план'!BD236</f>
        <v>12026.096337616254</v>
      </c>
      <c r="H36" s="3524"/>
      <c r="I36" s="3769" t="str">
        <f>'9.Инвестиционна програма'!E143</f>
        <v>Доставяне на вода с непитейни качества</v>
      </c>
      <c r="J36" s="3904">
        <f>SUM(J37:J38)</f>
        <v>0</v>
      </c>
      <c r="K36" s="3904">
        <f t="shared" ref="K36:N36" si="42">SUM(K37:K38)</f>
        <v>0</v>
      </c>
      <c r="L36" s="3904">
        <f t="shared" si="42"/>
        <v>0</v>
      </c>
      <c r="M36" s="3904">
        <f t="shared" si="42"/>
        <v>0</v>
      </c>
      <c r="N36" s="3904">
        <f t="shared" si="42"/>
        <v>0</v>
      </c>
      <c r="O36" s="3904">
        <f t="shared" si="39"/>
        <v>0</v>
      </c>
      <c r="P36" s="3752">
        <f t="shared" si="35"/>
        <v>0</v>
      </c>
      <c r="Q36" s="4565"/>
      <c r="R36" s="3524"/>
      <c r="S36" s="4546" t="s">
        <v>277</v>
      </c>
      <c r="T36" s="4547">
        <f>SUM(T26:T28,T32:T35)</f>
        <v>1971.6002105883435</v>
      </c>
      <c r="U36" s="4547">
        <f t="shared" ref="U36:Y36" si="43">SUM(U26:U28,U32:U35)</f>
        <v>2346.1210187754123</v>
      </c>
      <c r="V36" s="4547">
        <f t="shared" si="43"/>
        <v>2609.3618537356147</v>
      </c>
      <c r="W36" s="4547">
        <f t="shared" si="43"/>
        <v>2856.7705316806519</v>
      </c>
      <c r="X36" s="4547">
        <f t="shared" si="43"/>
        <v>3174.6765648445389</v>
      </c>
      <c r="Y36" s="4547">
        <f t="shared" si="43"/>
        <v>3549.148914607837</v>
      </c>
      <c r="Z36" s="4548">
        <f t="shared" si="36"/>
        <v>0.18995778463388796</v>
      </c>
      <c r="AA36" s="4548">
        <f t="shared" si="32"/>
        <v>0.51277316310833809</v>
      </c>
      <c r="AB36" s="3524"/>
      <c r="AC36" s="3524"/>
      <c r="AD36" s="3523"/>
      <c r="AE36" s="3524"/>
      <c r="AF36" s="3524"/>
      <c r="AG36" s="3524"/>
      <c r="AH36" s="3524"/>
      <c r="AI36" s="3524"/>
      <c r="AJ36" s="3524"/>
      <c r="AK36" s="5665"/>
      <c r="AL36" s="4532" t="s">
        <v>1777</v>
      </c>
      <c r="AM36" s="4532" t="s">
        <v>1778</v>
      </c>
      <c r="AN36" s="4532" t="s">
        <v>1779</v>
      </c>
      <c r="AO36" s="4532" t="s">
        <v>1780</v>
      </c>
      <c r="AP36" s="4532" t="s">
        <v>1781</v>
      </c>
      <c r="AQ36" s="3524"/>
      <c r="AR36" s="4524"/>
      <c r="AS36" s="3524"/>
      <c r="AT36" s="3524"/>
      <c r="AU36" s="3524"/>
      <c r="AV36" s="3524"/>
      <c r="AW36" s="3524"/>
    </row>
    <row r="37" spans="1:49" ht="15.75" customHeight="1">
      <c r="A37" s="4542" t="s">
        <v>222</v>
      </c>
      <c r="B37" s="3779">
        <f>'11. Амортиз. план'!AX258</f>
        <v>34585.828011637001</v>
      </c>
      <c r="C37" s="3779">
        <f>'11. Амортиз. план'!AZ258</f>
        <v>32921.06164646212</v>
      </c>
      <c r="D37" s="3779">
        <f>'11. Амортиз. план'!BA258</f>
        <v>32088.678463874672</v>
      </c>
      <c r="E37" s="3779">
        <f>'11. Амортиз. план'!BB258</f>
        <v>31256.295281287228</v>
      </c>
      <c r="F37" s="3779">
        <f>'11. Амортиз. план'!BC258</f>
        <v>30423.912098699784</v>
      </c>
      <c r="G37" s="3779">
        <f>'11. Амортиз. план'!BD258</f>
        <v>29591.52891611234</v>
      </c>
      <c r="H37" s="3524"/>
      <c r="I37" s="4566" t="s">
        <v>1616</v>
      </c>
      <c r="J37" s="4561">
        <f>'9.Инвестиционна програма'!BC156</f>
        <v>0</v>
      </c>
      <c r="K37" s="4561">
        <f>'9.Инвестиционна програма'!BD156</f>
        <v>0</v>
      </c>
      <c r="L37" s="4561">
        <f>'9.Инвестиционна програма'!BE156</f>
        <v>0</v>
      </c>
      <c r="M37" s="4561">
        <f>'9.Инвестиционна програма'!BF156</f>
        <v>0</v>
      </c>
      <c r="N37" s="4561">
        <f>'9.Инвестиционна програма'!BG156</f>
        <v>0</v>
      </c>
      <c r="O37" s="4561">
        <f t="shared" si="37"/>
        <v>0</v>
      </c>
      <c r="P37" s="4567">
        <f t="shared" si="35"/>
        <v>0</v>
      </c>
      <c r="Q37" s="4568"/>
      <c r="R37" s="3524"/>
      <c r="S37" s="4555" t="str">
        <f>CONCATENATE("Спестявания и увеличения спрямо ",T25," - нето:")</f>
        <v>Спестявания и увеличения спрямо 2024 г. - нето:</v>
      </c>
      <c r="T37" s="4556"/>
      <c r="U37" s="4555">
        <f>U36-$T36</f>
        <v>374.52080818706872</v>
      </c>
      <c r="V37" s="4555">
        <f t="shared" ref="V37:Y37" si="44">V36-$T36</f>
        <v>637.76164314727112</v>
      </c>
      <c r="W37" s="4555">
        <f t="shared" si="44"/>
        <v>885.17032109230831</v>
      </c>
      <c r="X37" s="4555">
        <f t="shared" si="44"/>
        <v>1203.0763542561954</v>
      </c>
      <c r="Y37" s="4555">
        <f t="shared" si="44"/>
        <v>1577.5487040194935</v>
      </c>
      <c r="Z37" s="4557"/>
      <c r="AA37" s="4557"/>
      <c r="AB37" s="3524"/>
      <c r="AC37" s="3524"/>
      <c r="AD37" s="3523"/>
      <c r="AE37" s="3524"/>
      <c r="AF37" s="3524"/>
      <c r="AG37" s="3524"/>
      <c r="AH37" s="3524"/>
      <c r="AI37" s="3524"/>
      <c r="AJ37" s="3524"/>
      <c r="AK37" s="3645" t="s">
        <v>547</v>
      </c>
      <c r="AL37" s="3764">
        <f>'17. РБА'!I66</f>
        <v>0</v>
      </c>
      <c r="AM37" s="3764">
        <f>'17. РБА'!J66</f>
        <v>0</v>
      </c>
      <c r="AN37" s="3764">
        <f>'17. РБА'!K66</f>
        <v>0</v>
      </c>
      <c r="AO37" s="3764">
        <f>'17. РБА'!L66</f>
        <v>0</v>
      </c>
      <c r="AP37" s="3764">
        <f>'17. РБА'!M66</f>
        <v>0</v>
      </c>
      <c r="AQ37" s="3524"/>
      <c r="AR37" s="4524"/>
      <c r="AS37" s="3524"/>
      <c r="AT37" s="3524"/>
      <c r="AU37" s="3524"/>
      <c r="AV37" s="3524"/>
      <c r="AW37" s="3524"/>
    </row>
    <row r="38" spans="1:49" ht="15.75" customHeight="1">
      <c r="A38" s="3759" t="s">
        <v>184</v>
      </c>
      <c r="B38" s="3524"/>
      <c r="C38" s="3524"/>
      <c r="D38" s="3524"/>
      <c r="E38" s="3524"/>
      <c r="F38" s="3524"/>
      <c r="G38" s="3760" t="s">
        <v>1911</v>
      </c>
      <c r="H38" s="3524"/>
      <c r="I38" s="4566" t="s">
        <v>1617</v>
      </c>
      <c r="J38" s="4561">
        <f>'9.Инвестиционна програма'!BC150</f>
        <v>0</v>
      </c>
      <c r="K38" s="4561">
        <f>'9.Инвестиционна програма'!BD150</f>
        <v>0</v>
      </c>
      <c r="L38" s="4561">
        <f>'9.Инвестиционна програма'!BE150</f>
        <v>0</v>
      </c>
      <c r="M38" s="4561">
        <f>'9.Инвестиционна програма'!BF150</f>
        <v>0</v>
      </c>
      <c r="N38" s="4561">
        <f>'9.Инвестиционна програма'!BG150</f>
        <v>0</v>
      </c>
      <c r="O38" s="4561">
        <f t="shared" si="37"/>
        <v>0</v>
      </c>
      <c r="P38" s="4567">
        <f t="shared" si="35"/>
        <v>0</v>
      </c>
      <c r="Q38" s="4568"/>
      <c r="R38" s="3524"/>
      <c r="S38" s="4537" t="s">
        <v>1669</v>
      </c>
      <c r="T38" s="3779">
        <f>'12. Разходи'!BQ92</f>
        <v>1183.6407049692459</v>
      </c>
      <c r="U38" s="3779">
        <f>'12. Разходи'!BR92</f>
        <v>0</v>
      </c>
      <c r="V38" s="3779">
        <f>'12. Разходи'!BS92</f>
        <v>0</v>
      </c>
      <c r="W38" s="3779">
        <f>'12. Разходи'!BT92</f>
        <v>0</v>
      </c>
      <c r="X38" s="3779">
        <f>'12. Разходи'!BU92</f>
        <v>0</v>
      </c>
      <c r="Y38" s="3779">
        <f>'12. Разходи'!BV92</f>
        <v>0</v>
      </c>
      <c r="Z38" s="4535">
        <f t="shared" si="36"/>
        <v>-1</v>
      </c>
      <c r="AA38" s="4535">
        <f t="shared" ref="AA38:AA42" si="45">IFERROR((Y38-U38)/U38,0)</f>
        <v>0</v>
      </c>
      <c r="AB38" s="3524"/>
      <c r="AC38" s="3524"/>
      <c r="AD38" s="3523"/>
      <c r="AE38" s="3524"/>
      <c r="AF38" s="3524"/>
      <c r="AG38" s="3524"/>
      <c r="AH38" s="3524"/>
      <c r="AI38" s="3524"/>
      <c r="AJ38" s="3524"/>
      <c r="AK38" s="3645" t="s">
        <v>548</v>
      </c>
      <c r="AL38" s="3764">
        <f>'17. РБА'!I69</f>
        <v>0</v>
      </c>
      <c r="AM38" s="3764">
        <f>'17. РБА'!J69</f>
        <v>0</v>
      </c>
      <c r="AN38" s="3764">
        <f>'17. РБА'!K69</f>
        <v>0</v>
      </c>
      <c r="AO38" s="3764">
        <f>'17. РБА'!L69</f>
        <v>0</v>
      </c>
      <c r="AP38" s="3764">
        <f>'17. РБА'!M69</f>
        <v>0</v>
      </c>
      <c r="AQ38" s="3524"/>
      <c r="AR38" s="4524"/>
      <c r="AS38" s="3524"/>
      <c r="AT38" s="3524"/>
      <c r="AU38" s="3524"/>
      <c r="AV38" s="3524"/>
      <c r="AW38" s="3524"/>
    </row>
    <row r="39" spans="1:49" ht="15.75" customHeight="1">
      <c r="A39" s="5684" t="s">
        <v>87</v>
      </c>
      <c r="B39" s="5676" t="s">
        <v>184</v>
      </c>
      <c r="C39" s="5676"/>
      <c r="D39" s="5676"/>
      <c r="E39" s="5676"/>
      <c r="F39" s="5676"/>
      <c r="G39" s="5676"/>
      <c r="H39" s="3524"/>
      <c r="I39" s="3769" t="str">
        <f>'9.Инвестиционна програма'!E144</f>
        <v>Доставяне на вода на друг ВиК оператор</v>
      </c>
      <c r="J39" s="3904">
        <f>SUM(J40:J41)</f>
        <v>0</v>
      </c>
      <c r="K39" s="3904">
        <f t="shared" ref="K39:N39" si="46">SUM(K40:K41)</f>
        <v>0</v>
      </c>
      <c r="L39" s="3904">
        <f t="shared" si="46"/>
        <v>0</v>
      </c>
      <c r="M39" s="3904">
        <f t="shared" si="46"/>
        <v>0</v>
      </c>
      <c r="N39" s="3904">
        <f t="shared" si="46"/>
        <v>0</v>
      </c>
      <c r="O39" s="3904">
        <f t="shared" si="39"/>
        <v>0</v>
      </c>
      <c r="P39" s="3752">
        <f t="shared" si="35"/>
        <v>0</v>
      </c>
      <c r="Q39" s="4565"/>
      <c r="R39" s="3524"/>
      <c r="S39" s="4537" t="s">
        <v>1671</v>
      </c>
      <c r="T39" s="3779">
        <f>'12. Разходи'!BQ93</f>
        <v>445.90523709882746</v>
      </c>
      <c r="U39" s="3779">
        <f>'12. Разходи'!BR93</f>
        <v>2144.9397350485474</v>
      </c>
      <c r="V39" s="3779">
        <f>'12. Разходи'!BS93</f>
        <v>2407.2324701022076</v>
      </c>
      <c r="W39" s="3779">
        <f>'12. Разходи'!BT93</f>
        <v>2653.6610981527028</v>
      </c>
      <c r="X39" s="3779">
        <f>'12. Разходи'!BU93</f>
        <v>2975.7749833063203</v>
      </c>
      <c r="Y39" s="3779">
        <f>'12. Разходи'!BV93</f>
        <v>3349.529348460756</v>
      </c>
      <c r="Z39" s="4535">
        <f t="shared" si="36"/>
        <v>3.8103039762530471</v>
      </c>
      <c r="AA39" s="4535">
        <f t="shared" si="45"/>
        <v>0.56159601770114276</v>
      </c>
      <c r="AB39" s="3524"/>
      <c r="AC39" s="3524"/>
      <c r="AD39" s="3523"/>
      <c r="AE39" s="3524"/>
      <c r="AF39" s="3524"/>
      <c r="AG39" s="3524"/>
      <c r="AH39" s="3524"/>
      <c r="AI39" s="3524"/>
      <c r="AJ39" s="3524"/>
      <c r="AK39" s="3645" t="s">
        <v>549</v>
      </c>
      <c r="AL39" s="3764">
        <f>'17. РБА'!I72</f>
        <v>0</v>
      </c>
      <c r="AM39" s="3764">
        <f>'17. РБА'!J72</f>
        <v>0</v>
      </c>
      <c r="AN39" s="3764">
        <f>'17. РБА'!K72</f>
        <v>0</v>
      </c>
      <c r="AO39" s="3764">
        <f>'17. РБА'!L72</f>
        <v>0</v>
      </c>
      <c r="AP39" s="3764">
        <f>'17. РБА'!M72</f>
        <v>0</v>
      </c>
      <c r="AQ39" s="3524"/>
      <c r="AR39" s="4524"/>
      <c r="AS39" s="3524"/>
      <c r="AT39" s="3524"/>
      <c r="AU39" s="3524"/>
      <c r="AV39" s="3524"/>
      <c r="AW39" s="3524"/>
    </row>
    <row r="40" spans="1:49" ht="13.5" customHeight="1">
      <c r="A40" s="5684"/>
      <c r="B40" s="4876" t="str">
        <f>+'15. ОПП'!$B$7</f>
        <v>2024 г.</v>
      </c>
      <c r="C40" s="4876" t="str">
        <f>+'15. ОПП'!$C$7</f>
        <v>2027 г.</v>
      </c>
      <c r="D40" s="4876" t="str">
        <f>+'15. ОПП'!$D$7</f>
        <v>2028 г.</v>
      </c>
      <c r="E40" s="4876" t="str">
        <f>+'15. ОПП'!$E$7</f>
        <v>2029 г.</v>
      </c>
      <c r="F40" s="4876" t="str">
        <f>+'15. ОПП'!$F$7</f>
        <v>2030 г.</v>
      </c>
      <c r="G40" s="4876" t="str">
        <f>+'15. ОПП'!$G$7</f>
        <v>2031 г.</v>
      </c>
      <c r="H40" s="3524"/>
      <c r="I40" s="4566" t="s">
        <v>1616</v>
      </c>
      <c r="J40" s="4561">
        <f>'9.Инвестиционна програма'!BC157</f>
        <v>0</v>
      </c>
      <c r="K40" s="4561">
        <f>'9.Инвестиционна програма'!BD157</f>
        <v>0</v>
      </c>
      <c r="L40" s="4561">
        <f>'9.Инвестиционна програма'!BE157</f>
        <v>0</v>
      </c>
      <c r="M40" s="4561">
        <f>'9.Инвестиционна програма'!BF157</f>
        <v>0</v>
      </c>
      <c r="N40" s="4561">
        <f>'9.Инвестиционна програма'!BG157</f>
        <v>0</v>
      </c>
      <c r="O40" s="4561">
        <f t="shared" si="37"/>
        <v>0</v>
      </c>
      <c r="P40" s="4567">
        <f t="shared" si="35"/>
        <v>0</v>
      </c>
      <c r="Q40" s="4568"/>
      <c r="R40" s="3524"/>
      <c r="S40" s="4561" t="s">
        <v>1670</v>
      </c>
      <c r="T40" s="3779">
        <f>'12. Разходи'!BQ94</f>
        <v>222.41196832035504</v>
      </c>
      <c r="U40" s="3779">
        <f>'12. Разходи'!BR94</f>
        <v>0</v>
      </c>
      <c r="V40" s="3779">
        <f>'12. Разходи'!BS94</f>
        <v>0</v>
      </c>
      <c r="W40" s="3779">
        <f>'12. Разходи'!BT94</f>
        <v>0</v>
      </c>
      <c r="X40" s="3779">
        <f>'12. Разходи'!BU94</f>
        <v>0</v>
      </c>
      <c r="Y40" s="3779">
        <f>'12. Разходи'!BV94</f>
        <v>0</v>
      </c>
      <c r="Z40" s="4535">
        <f t="shared" si="36"/>
        <v>-1</v>
      </c>
      <c r="AA40" s="4535">
        <f t="shared" si="45"/>
        <v>0</v>
      </c>
      <c r="AB40" s="3524"/>
      <c r="AC40" s="3524"/>
      <c r="AD40" s="3523"/>
      <c r="AE40" s="3524"/>
      <c r="AF40" s="3524"/>
      <c r="AG40" s="3524"/>
      <c r="AH40" s="3524"/>
      <c r="AI40" s="3524"/>
      <c r="AJ40" s="3524"/>
      <c r="AK40" s="3645" t="s">
        <v>329</v>
      </c>
      <c r="AL40" s="3771">
        <f>'17. РБА'!I75</f>
        <v>0</v>
      </c>
      <c r="AM40" s="3771">
        <f>'17. РБА'!J75</f>
        <v>0</v>
      </c>
      <c r="AN40" s="3771">
        <f>'17. РБА'!K75</f>
        <v>0</v>
      </c>
      <c r="AO40" s="3771">
        <f>'17. РБА'!L75</f>
        <v>0</v>
      </c>
      <c r="AP40" s="3771">
        <f>'17. РБА'!M75</f>
        <v>0</v>
      </c>
      <c r="AQ40" s="3524"/>
      <c r="AR40" s="4524"/>
      <c r="AS40" s="3524"/>
      <c r="AT40" s="3524"/>
      <c r="AU40" s="3524"/>
      <c r="AV40" s="3524"/>
      <c r="AW40" s="3524"/>
    </row>
    <row r="41" spans="1:49" ht="15.75" customHeight="1">
      <c r="A41" s="5687" t="s">
        <v>1657</v>
      </c>
      <c r="B41" s="5688"/>
      <c r="C41" s="5688"/>
      <c r="D41" s="5688"/>
      <c r="E41" s="5688"/>
      <c r="F41" s="5688"/>
      <c r="G41" s="5689"/>
      <c r="H41" s="3524"/>
      <c r="I41" s="4566" t="s">
        <v>1617</v>
      </c>
      <c r="J41" s="4561">
        <f>'9.Инвестиционна програма'!BC151</f>
        <v>0</v>
      </c>
      <c r="K41" s="4561">
        <f>'9.Инвестиционна програма'!BD151</f>
        <v>0</v>
      </c>
      <c r="L41" s="4561">
        <f>'9.Инвестиционна програма'!BE151</f>
        <v>0</v>
      </c>
      <c r="M41" s="4561">
        <f>'9.Инвестиционна програма'!BF151</f>
        <v>0</v>
      </c>
      <c r="N41" s="4561">
        <f>'9.Инвестиционна програма'!BG151</f>
        <v>0</v>
      </c>
      <c r="O41" s="4561">
        <f t="shared" si="37"/>
        <v>0</v>
      </c>
      <c r="P41" s="4567">
        <f t="shared" si="35"/>
        <v>0</v>
      </c>
      <c r="Q41" s="4568"/>
      <c r="R41" s="3524"/>
      <c r="S41" s="4537" t="s">
        <v>1673</v>
      </c>
      <c r="T41" s="3779">
        <f>'12. Разходи'!BQ90</f>
        <v>240.30718416222268</v>
      </c>
      <c r="U41" s="3779">
        <f>'12. Разходи'!BR90</f>
        <v>265.36048634083738</v>
      </c>
      <c r="V41" s="3779">
        <f>'12. Разходи'!BS90</f>
        <v>273.02986455878067</v>
      </c>
      <c r="W41" s="3779">
        <f>'12. Разходи'!BT90</f>
        <v>282.23311842031262</v>
      </c>
      <c r="X41" s="3779">
        <f>'12. Разходи'!BU90</f>
        <v>292.97024792543317</v>
      </c>
      <c r="Y41" s="3779">
        <f>'12. Разходи'!BV90</f>
        <v>305.24125307414243</v>
      </c>
      <c r="Z41" s="4535">
        <f t="shared" si="36"/>
        <v>0.10425531914893615</v>
      </c>
      <c r="AA41" s="4535">
        <f t="shared" si="45"/>
        <v>0.1502890173410405</v>
      </c>
      <c r="AB41" s="3524"/>
      <c r="AC41" s="3524"/>
      <c r="AD41" s="3523"/>
      <c r="AE41" s="3524"/>
      <c r="AF41" s="3524"/>
      <c r="AG41" s="3524"/>
      <c r="AH41" s="3524"/>
      <c r="AI41" s="3524"/>
      <c r="AJ41" s="3524"/>
      <c r="AK41" s="3645" t="s">
        <v>306</v>
      </c>
      <c r="AL41" s="3764">
        <f>'17. РБА'!I76</f>
        <v>0</v>
      </c>
      <c r="AM41" s="3764">
        <f>'17. РБА'!J76</f>
        <v>0</v>
      </c>
      <c r="AN41" s="3764">
        <f>'17. РБА'!K76</f>
        <v>0</v>
      </c>
      <c r="AO41" s="3764">
        <f>'17. РБА'!L76</f>
        <v>0</v>
      </c>
      <c r="AP41" s="3764">
        <f>'17. РБА'!M76</f>
        <v>0</v>
      </c>
      <c r="AQ41" s="3524"/>
      <c r="AR41" s="4524"/>
      <c r="AS41" s="3524"/>
      <c r="AT41" s="3524"/>
      <c r="AU41" s="3524"/>
      <c r="AV41" s="3524"/>
      <c r="AW41" s="3524"/>
    </row>
    <row r="42" spans="1:49" ht="15.75" customHeight="1">
      <c r="A42" s="4536" t="s">
        <v>334</v>
      </c>
      <c r="B42" s="3904">
        <f>'11. Амортиз. план'!BE10</f>
        <v>1665.7889489372799</v>
      </c>
      <c r="C42" s="3904">
        <f>'11. Амортиз. план'!BG10</f>
        <v>1778.2731628004478</v>
      </c>
      <c r="D42" s="3904">
        <f>'11. Амортиз. план'!BH10</f>
        <v>1824.2894321081076</v>
      </c>
      <c r="E42" s="3904">
        <f>'11. Амортиз. план'!BI10</f>
        <v>1896.7224486109053</v>
      </c>
      <c r="F42" s="3904">
        <f>'11. Амортиз. план'!BJ10</f>
        <v>1944.4430241892185</v>
      </c>
      <c r="G42" s="3904">
        <f>'11. Амортиз. план'!BK10</f>
        <v>1987.0506809555702</v>
      </c>
      <c r="H42" s="3524"/>
      <c r="I42" s="4540" t="s">
        <v>1028</v>
      </c>
      <c r="J42" s="4541">
        <f>SUM(J27,J30,J33,J36,J39)</f>
        <v>2171.4566194403401</v>
      </c>
      <c r="K42" s="4541">
        <f t="shared" ref="K42:O44" si="47">SUM(K27,K30,K33,K36,K39)</f>
        <v>1815.0861782465756</v>
      </c>
      <c r="L42" s="4541">
        <f t="shared" si="47"/>
        <v>1922.4574732977817</v>
      </c>
      <c r="M42" s="4541">
        <f t="shared" si="47"/>
        <v>1927.5703921097438</v>
      </c>
      <c r="N42" s="4541">
        <f t="shared" si="47"/>
        <v>1807.4168000286322</v>
      </c>
      <c r="O42" s="4541">
        <f>SUM(O27,O30,O33,O36,O39)</f>
        <v>9643.9874631230741</v>
      </c>
      <c r="P42" s="3752">
        <f t="shared" si="35"/>
        <v>1</v>
      </c>
      <c r="Q42" s="4565"/>
      <c r="R42" s="3524"/>
      <c r="S42" s="4537" t="s">
        <v>1232</v>
      </c>
      <c r="T42" s="3779">
        <f>'12. Разходи'!BQ89</f>
        <v>33.269169546944262</v>
      </c>
      <c r="U42" s="3779">
        <f>'12. Разходи'!BR89</f>
        <v>33.815557589361042</v>
      </c>
      <c r="V42" s="3779">
        <f>'12. Разходи'!BS89</f>
        <v>33.815557589361042</v>
      </c>
      <c r="W42" s="3779">
        <f>'12. Разходи'!BT89</f>
        <v>33.290207022082697</v>
      </c>
      <c r="X42" s="3779">
        <f>'12. Разходи'!BU89</f>
        <v>32.778915140886483</v>
      </c>
      <c r="Y42" s="3779">
        <f>'12. Разходи'!BV89</f>
        <v>32.778915140886483</v>
      </c>
      <c r="Z42" s="4535">
        <f t="shared" si="36"/>
        <v>1.6423254618538108E-2</v>
      </c>
      <c r="AA42" s="4535">
        <f t="shared" si="45"/>
        <v>-3.0655784567062853E-2</v>
      </c>
      <c r="AB42" s="3524"/>
      <c r="AC42" s="3524"/>
      <c r="AD42" s="3523"/>
      <c r="AE42" s="3524"/>
      <c r="AF42" s="3524"/>
      <c r="AG42" s="3524"/>
      <c r="AH42" s="3524"/>
      <c r="AI42" s="3524"/>
      <c r="AJ42" s="3524"/>
      <c r="AK42" s="3646" t="s">
        <v>305</v>
      </c>
      <c r="AL42" s="3647">
        <f t="shared" ref="AL42:AP42" si="48">AL37-AL38+AL39+AL40+AL41</f>
        <v>0</v>
      </c>
      <c r="AM42" s="3647">
        <f t="shared" si="48"/>
        <v>0</v>
      </c>
      <c r="AN42" s="3647">
        <f t="shared" si="48"/>
        <v>0</v>
      </c>
      <c r="AO42" s="3647">
        <f t="shared" si="48"/>
        <v>0</v>
      </c>
      <c r="AP42" s="3647">
        <f t="shared" si="48"/>
        <v>0</v>
      </c>
      <c r="AQ42" s="3524"/>
      <c r="AR42" s="4524"/>
      <c r="AS42" s="3524"/>
      <c r="AT42" s="3524"/>
      <c r="AU42" s="3524"/>
      <c r="AV42" s="3524"/>
      <c r="AW42" s="3524"/>
    </row>
    <row r="43" spans="1:49" ht="13.5" customHeight="1">
      <c r="A43" s="4538" t="s">
        <v>218</v>
      </c>
      <c r="B43" s="4539">
        <f>'11. Амортиз. план'!BE35</f>
        <v>42.437226139286132</v>
      </c>
      <c r="C43" s="4539">
        <f>'11. Амортиз. план'!BG35</f>
        <v>47.409830190670036</v>
      </c>
      <c r="D43" s="4539">
        <f>'11. Амортиз. план'!BH35</f>
        <v>51.184990065432451</v>
      </c>
      <c r="E43" s="4539">
        <f>'11. Амортиз. план'!BI35</f>
        <v>54.441261249894957</v>
      </c>
      <c r="F43" s="4539">
        <f>'11. Амортиз. план'!BJ35</f>
        <v>58.162100488192635</v>
      </c>
      <c r="G43" s="4539">
        <f>'11. Амортиз. план'!BK35</f>
        <v>61.49395482318122</v>
      </c>
      <c r="H43" s="3524"/>
      <c r="I43" s="4566" t="s">
        <v>1616</v>
      </c>
      <c r="J43" s="4569">
        <f>SUM(J28,J31,J34,J37,J40)</f>
        <v>1989.9480016156826</v>
      </c>
      <c r="K43" s="4569">
        <f t="shared" si="47"/>
        <v>1697.4890455714453</v>
      </c>
      <c r="L43" s="4569">
        <f t="shared" si="47"/>
        <v>1664.2550732936913</v>
      </c>
      <c r="M43" s="4569">
        <f t="shared" si="47"/>
        <v>1620.7952633920127</v>
      </c>
      <c r="N43" s="4569">
        <f t="shared" si="47"/>
        <v>1689.8196673535022</v>
      </c>
      <c r="O43" s="4569">
        <f t="shared" si="47"/>
        <v>8662.3070512263348</v>
      </c>
      <c r="P43" s="4570">
        <f t="shared" si="35"/>
        <v>0.89820803732371968</v>
      </c>
      <c r="Q43" s="4571"/>
      <c r="R43" s="3524"/>
      <c r="S43" s="3528"/>
      <c r="T43" s="3524"/>
      <c r="U43" s="3524"/>
      <c r="V43" s="3524"/>
      <c r="W43" s="3524"/>
      <c r="X43" s="3524"/>
      <c r="Y43" s="3524"/>
      <c r="Z43" s="3524"/>
      <c r="AA43" s="3524"/>
      <c r="AB43" s="3524"/>
      <c r="AC43" s="3524"/>
      <c r="AD43" s="3523"/>
      <c r="AE43" s="3524"/>
      <c r="AF43" s="3524"/>
      <c r="AG43" s="3524"/>
      <c r="AH43" s="3524"/>
      <c r="AI43" s="3524"/>
      <c r="AJ43" s="3524"/>
      <c r="AK43" s="3523"/>
      <c r="AL43" s="3523"/>
      <c r="AM43" s="3523"/>
      <c r="AN43" s="3523"/>
      <c r="AO43" s="3523"/>
      <c r="AP43" s="3523"/>
      <c r="AQ43" s="3523"/>
      <c r="AR43" s="4524"/>
      <c r="AS43" s="3524"/>
      <c r="AT43" s="3524"/>
      <c r="AU43" s="3524"/>
      <c r="AV43" s="3524"/>
      <c r="AW43" s="3524"/>
    </row>
    <row r="44" spans="1:49" ht="15.75" customHeight="1">
      <c r="A44" s="4542" t="s">
        <v>220</v>
      </c>
      <c r="B44" s="3779">
        <f>'11. Амортиз. план'!BE60</f>
        <v>1178.0164942760873</v>
      </c>
      <c r="C44" s="3779">
        <f>'11. Амортиз. план'!BG60</f>
        <v>1269.7995223331272</v>
      </c>
      <c r="D44" s="3779">
        <f>'11. Амортиз. план'!BH60</f>
        <v>1320.9845123985594</v>
      </c>
      <c r="E44" s="3779">
        <f>'11. Амортиз. план'!BI60</f>
        <v>1375.4257736484547</v>
      </c>
      <c r="F44" s="3779">
        <f>'11. Амортиз. план'!BJ60</f>
        <v>1433.5878741366475</v>
      </c>
      <c r="G44" s="3779">
        <f>'11. Амортиз. план'!BK60</f>
        <v>1495.0818289598287</v>
      </c>
      <c r="H44" s="3524"/>
      <c r="I44" s="4566" t="s">
        <v>1617</v>
      </c>
      <c r="J44" s="4569">
        <f>SUM(J29,J32,J35,J38,J41)</f>
        <v>181.50861782465756</v>
      </c>
      <c r="K44" s="4569">
        <f t="shared" si="47"/>
        <v>117.59713267513024</v>
      </c>
      <c r="L44" s="4569">
        <f t="shared" si="47"/>
        <v>258.20240000409035</v>
      </c>
      <c r="M44" s="4569">
        <f t="shared" si="47"/>
        <v>306.77512871773109</v>
      </c>
      <c r="N44" s="4569">
        <f t="shared" si="47"/>
        <v>117.59713267513024</v>
      </c>
      <c r="O44" s="4569">
        <f t="shared" si="47"/>
        <v>981.68041189673954</v>
      </c>
      <c r="P44" s="4570">
        <f t="shared" si="35"/>
        <v>0.10179196267628035</v>
      </c>
      <c r="Q44" s="4571"/>
      <c r="R44" s="3524"/>
      <c r="S44" s="1656" t="s">
        <v>1682</v>
      </c>
      <c r="T44" s="3524"/>
      <c r="U44" s="3524"/>
      <c r="V44" s="3524"/>
      <c r="W44" s="3524"/>
      <c r="X44" s="3524"/>
      <c r="Y44" s="3524"/>
      <c r="Z44" s="3524"/>
      <c r="AA44" s="3524"/>
      <c r="AB44" s="3524"/>
      <c r="AC44" s="3524"/>
      <c r="AD44" s="3523"/>
      <c r="AE44" s="3524"/>
      <c r="AF44" s="3524"/>
      <c r="AG44" s="3524"/>
      <c r="AH44" s="3524"/>
      <c r="AI44" s="3524"/>
      <c r="AJ44" s="3524"/>
      <c r="AK44" s="3523"/>
      <c r="AL44" s="3523"/>
      <c r="AM44" s="3523"/>
      <c r="AN44" s="3523"/>
      <c r="AO44" s="3523"/>
      <c r="AP44" s="3523"/>
      <c r="AQ44" s="3523"/>
      <c r="AR44" s="4524"/>
      <c r="AS44" s="3524"/>
      <c r="AT44" s="3524"/>
      <c r="AU44" s="3524"/>
      <c r="AV44" s="3524"/>
      <c r="AW44" s="3524"/>
    </row>
    <row r="45" spans="1:49" ht="15.75" customHeight="1">
      <c r="A45" s="4542" t="s">
        <v>222</v>
      </c>
      <c r="B45" s="3779">
        <f>'11. Амортиз. план'!BE85</f>
        <v>487.77245466119246</v>
      </c>
      <c r="C45" s="3779">
        <f>'11. Амортиз. план'!BG85</f>
        <v>508.47364046732065</v>
      </c>
      <c r="D45" s="3779">
        <f>'11. Амортиз. план'!BH85</f>
        <v>503.30491970954779</v>
      </c>
      <c r="E45" s="3779">
        <f>'11. Амортиз. план'!BI85</f>
        <v>521.29667496245054</v>
      </c>
      <c r="F45" s="3779">
        <f>'11. Амортиз. план'!BJ85</f>
        <v>510.85515005257162</v>
      </c>
      <c r="G45" s="3779">
        <f>'11. Амортиз. план'!BK85</f>
        <v>491.96885199574206</v>
      </c>
      <c r="H45" s="3524"/>
      <c r="R45" s="3524"/>
      <c r="S45" s="5676" t="s">
        <v>1921</v>
      </c>
      <c r="T45" s="5676" t="s">
        <v>209</v>
      </c>
      <c r="U45" s="5676"/>
      <c r="V45" s="5676"/>
      <c r="W45" s="5676"/>
      <c r="X45" s="5676"/>
      <c r="Y45" s="5676"/>
      <c r="Z45" s="5619" t="str">
        <f>+Z24</f>
        <v>Изменение 2027 г. спр. 2024 г.</v>
      </c>
      <c r="AA45" s="5619" t="str">
        <f>+AA24</f>
        <v>Изменение 2031 г. спр. 2027 г.</v>
      </c>
      <c r="AB45" s="3524"/>
      <c r="AC45" s="3524"/>
      <c r="AD45" s="3523"/>
      <c r="AE45" s="3524"/>
      <c r="AF45" s="3524"/>
      <c r="AG45" s="3524"/>
      <c r="AH45" s="3524"/>
      <c r="AI45" s="3524"/>
      <c r="AJ45" s="3524"/>
      <c r="AK45" s="1656" t="s">
        <v>1013</v>
      </c>
      <c r="AL45" s="4524"/>
      <c r="AM45" s="4524"/>
      <c r="AN45" s="4524"/>
      <c r="AO45" s="4524"/>
      <c r="AP45" s="4524"/>
      <c r="AQ45" s="3524"/>
      <c r="AR45" s="4524"/>
      <c r="AS45" s="3524"/>
      <c r="AT45" s="3524"/>
      <c r="AU45" s="3524"/>
      <c r="AV45" s="3524"/>
      <c r="AW45" s="3524"/>
    </row>
    <row r="46" spans="1:49" ht="15.75" customHeight="1">
      <c r="A46" s="5687" t="s">
        <v>1658</v>
      </c>
      <c r="B46" s="5688"/>
      <c r="C46" s="5688"/>
      <c r="D46" s="5688"/>
      <c r="E46" s="5688"/>
      <c r="F46" s="5688"/>
      <c r="G46" s="5689"/>
      <c r="H46" s="3524"/>
      <c r="I46" s="1357" t="s">
        <v>1636</v>
      </c>
      <c r="J46" s="4572"/>
      <c r="K46" s="4543"/>
      <c r="L46" s="4543"/>
      <c r="M46" s="4543"/>
      <c r="N46" s="4543"/>
      <c r="O46" s="4543"/>
      <c r="P46" s="3760" t="s">
        <v>1911</v>
      </c>
      <c r="Q46" s="3760"/>
      <c r="R46" s="3524"/>
      <c r="S46" s="5676"/>
      <c r="T46" s="4877" t="str">
        <f t="shared" ref="T46:Y46" si="49">T25</f>
        <v>2024 г.</v>
      </c>
      <c r="U46" s="4877" t="str">
        <f t="shared" si="49"/>
        <v>2027 г.</v>
      </c>
      <c r="V46" s="4877" t="str">
        <f t="shared" si="49"/>
        <v>2028 г.</v>
      </c>
      <c r="W46" s="4877" t="str">
        <f t="shared" si="49"/>
        <v>2029 г.</v>
      </c>
      <c r="X46" s="4877" t="str">
        <f t="shared" si="49"/>
        <v>2030 г.</v>
      </c>
      <c r="Y46" s="4877" t="str">
        <f t="shared" si="49"/>
        <v>2031 г.</v>
      </c>
      <c r="Z46" s="5619"/>
      <c r="AA46" s="5619"/>
      <c r="AB46" s="3524"/>
      <c r="AC46" s="3524"/>
      <c r="AD46" s="3523"/>
      <c r="AE46" s="3524"/>
      <c r="AF46" s="3524"/>
      <c r="AG46" s="3524"/>
      <c r="AH46" s="3524"/>
      <c r="AI46" s="3524"/>
      <c r="AJ46" s="3524"/>
      <c r="AK46" s="4872" t="s">
        <v>87</v>
      </c>
      <c r="AL46" s="3670" t="s">
        <v>166</v>
      </c>
      <c r="AM46" s="4532" t="s">
        <v>1777</v>
      </c>
      <c r="AN46" s="4532" t="s">
        <v>1778</v>
      </c>
      <c r="AO46" s="4532" t="s">
        <v>1779</v>
      </c>
      <c r="AP46" s="4532" t="s">
        <v>1780</v>
      </c>
      <c r="AQ46" s="4532" t="s">
        <v>1781</v>
      </c>
      <c r="AR46" s="4524"/>
      <c r="AS46" s="3524"/>
      <c r="AT46" s="3524"/>
      <c r="AU46" s="3524"/>
      <c r="AV46" s="3524"/>
      <c r="AW46" s="3524"/>
    </row>
    <row r="47" spans="1:49" ht="15.75" customHeight="1">
      <c r="A47" s="4536" t="s">
        <v>334</v>
      </c>
      <c r="B47" s="3904">
        <f>'11. Амортиз. план'!BE111</f>
        <v>526.11934575090879</v>
      </c>
      <c r="C47" s="3904">
        <f>'11. Амортиз. план'!BG111</f>
        <v>659.05523486192567</v>
      </c>
      <c r="D47" s="3904">
        <f>'11. Амортиз. план'!BH111</f>
        <v>723.81887314677999</v>
      </c>
      <c r="E47" s="3904">
        <f>'11. Амортиз. план'!BI111</f>
        <v>788.58251143163432</v>
      </c>
      <c r="F47" s="3904">
        <f>'11. Амортиз. план'!BJ111</f>
        <v>853.34614971648864</v>
      </c>
      <c r="G47" s="3904">
        <f>'11. Амортиз. план'!BK111</f>
        <v>918.10978800134296</v>
      </c>
      <c r="H47" s="3524"/>
      <c r="I47" s="4876" t="s">
        <v>1495</v>
      </c>
      <c r="J47" s="4876" t="str">
        <f>+'15. ОПП'!$C$7</f>
        <v>2027 г.</v>
      </c>
      <c r="K47" s="4876" t="str">
        <f>+'15. ОПП'!$D$7</f>
        <v>2028 г.</v>
      </c>
      <c r="L47" s="4876" t="str">
        <f>+'15. ОПП'!$E$7</f>
        <v>2029 г.</v>
      </c>
      <c r="M47" s="4876" t="str">
        <f>+'15. ОПП'!$F$7</f>
        <v>2030 г.</v>
      </c>
      <c r="N47" s="4876" t="str">
        <f>+'15. ОПП'!$G$7</f>
        <v>2031 г.</v>
      </c>
      <c r="O47" s="4527" t="s">
        <v>1594</v>
      </c>
      <c r="P47" s="4876" t="s">
        <v>1595</v>
      </c>
      <c r="Q47" s="4554"/>
      <c r="R47" s="3524"/>
      <c r="S47" s="4537" t="s">
        <v>226</v>
      </c>
      <c r="T47" s="3779">
        <f>'12. Разходи'!BX11</f>
        <v>468.9451143759938</v>
      </c>
      <c r="U47" s="3779">
        <f>'12. Разходи'!BY11</f>
        <v>497.18469703399586</v>
      </c>
      <c r="V47" s="3779">
        <f>'12. Разходи'!BZ11</f>
        <v>492.39407310451315</v>
      </c>
      <c r="W47" s="3779">
        <f>'12. Разходи'!CA11</f>
        <v>486.36008753317009</v>
      </c>
      <c r="X47" s="3779">
        <f>'12. Разходи'!CB11</f>
        <v>483.94649330463278</v>
      </c>
      <c r="Y47" s="3779">
        <f>'12. Разходи'!CC11</f>
        <v>481.53289907609553</v>
      </c>
      <c r="Z47" s="4535">
        <f>IFERROR((U47-T47)/T47,0)</f>
        <v>6.0219377049229583E-2</v>
      </c>
      <c r="AA47" s="4535">
        <f t="shared" ref="AA47:AA57" si="50">IFERROR((Y47-U47)/U47,0)</f>
        <v>-3.148085218888004E-2</v>
      </c>
      <c r="AB47" s="3524"/>
      <c r="AC47" s="3524"/>
      <c r="AD47" s="3523"/>
      <c r="AE47" s="3524"/>
      <c r="AF47" s="3524"/>
      <c r="AG47" s="3524"/>
      <c r="AH47" s="3524"/>
      <c r="AI47" s="3524"/>
      <c r="AJ47" s="3524"/>
      <c r="AK47" s="3773" t="s">
        <v>324</v>
      </c>
      <c r="AL47" s="3699" t="s">
        <v>170</v>
      </c>
      <c r="AM47" s="3711">
        <f>'19. HB'!D11</f>
        <v>0.1</v>
      </c>
      <c r="AN47" s="3711">
        <f>'19. HB'!E11</f>
        <v>0.1</v>
      </c>
      <c r="AO47" s="3711">
        <f>'19. HB'!F11</f>
        <v>0.1</v>
      </c>
      <c r="AP47" s="3711">
        <f>'19. HB'!G11</f>
        <v>0.1</v>
      </c>
      <c r="AQ47" s="3711">
        <f>'19. HB'!H11</f>
        <v>0.1</v>
      </c>
      <c r="AR47" s="4524"/>
      <c r="AS47" s="3524"/>
      <c r="AT47" s="3524"/>
      <c r="AU47" s="3524"/>
      <c r="AV47" s="3524"/>
      <c r="AW47" s="3524"/>
    </row>
    <row r="48" spans="1:49" ht="15.75" customHeight="1">
      <c r="A48" s="4538" t="s">
        <v>218</v>
      </c>
      <c r="B48" s="4539">
        <f>'11. Амортиз. план'!BE131</f>
        <v>17.895215841867646</v>
      </c>
      <c r="C48" s="4539">
        <f>'11. Амортиз. план'!BG131</f>
        <v>22.35941371244542</v>
      </c>
      <c r="D48" s="4539">
        <f>'11. Амортиз. план'!BH131</f>
        <v>24.814152789926784</v>
      </c>
      <c r="E48" s="4539">
        <f>'11. Амортиз. план'!BI131</f>
        <v>27.233700463898277</v>
      </c>
      <c r="F48" s="4539">
        <f>'11. Амортиз. план'!BJ131</f>
        <v>29.641525529870918</v>
      </c>
      <c r="G48" s="4539">
        <f>'11. Амортиз. план'!BK131</f>
        <v>32.064980185708784</v>
      </c>
      <c r="H48" s="3524"/>
      <c r="I48" s="4542" t="s">
        <v>1637</v>
      </c>
      <c r="J48" s="3779">
        <f>SUM('9.Инвестиционна програма'!BC12:BC15)</f>
        <v>35.790431683735292</v>
      </c>
      <c r="K48" s="3779">
        <f>SUM('9.Инвестиционна програма'!BD12:BD15)</f>
        <v>25.564594059810926</v>
      </c>
      <c r="L48" s="3779">
        <f>SUM('9.Инвестиционна програма'!BE12:BE15)</f>
        <v>25.564594059810926</v>
      </c>
      <c r="M48" s="3779">
        <f>SUM('9.Инвестиционна програма'!BF12:BF15)</f>
        <v>25.564594059810926</v>
      </c>
      <c r="N48" s="3779">
        <f>SUM('9.Инвестиционна програма'!BG12:BG15)</f>
        <v>25.564594059810926</v>
      </c>
      <c r="O48" s="3904">
        <f>SUM(J48:N48)</f>
        <v>138.04880792297899</v>
      </c>
      <c r="P48" s="4573">
        <f t="shared" ref="P48:P88" si="51">IFERROR(O48/$O$88,0)</f>
        <v>1.4314494751351924E-2</v>
      </c>
      <c r="Q48" s="4574"/>
      <c r="R48" s="3524"/>
      <c r="S48" s="4537" t="s">
        <v>239</v>
      </c>
      <c r="T48" s="3779">
        <f>'12. Разходи'!BX29</f>
        <v>257.17981624169789</v>
      </c>
      <c r="U48" s="3779">
        <f>'12. Разходи'!BY29</f>
        <v>288.36862099466725</v>
      </c>
      <c r="V48" s="3779">
        <f>'12. Разходи'!BZ29</f>
        <v>288.36862099466725</v>
      </c>
      <c r="W48" s="3779">
        <f>'12. Разходи'!CA29</f>
        <v>288.36862099466725</v>
      </c>
      <c r="X48" s="3779">
        <f>'12. Разходи'!CB29</f>
        <v>288.36862099466725</v>
      </c>
      <c r="Y48" s="3779">
        <f>'12. Разходи'!CC29</f>
        <v>288.36862099466725</v>
      </c>
      <c r="Z48" s="4535">
        <f t="shared" ref="Z48:Z63" si="52">IFERROR((U48-T48)/T48,0)</f>
        <v>0.12127236580516912</v>
      </c>
      <c r="AA48" s="4535">
        <f t="shared" si="50"/>
        <v>0</v>
      </c>
      <c r="AB48" s="3524"/>
      <c r="AC48" s="3524"/>
      <c r="AD48" s="3523"/>
      <c r="AE48" s="3524"/>
      <c r="AF48" s="3524"/>
      <c r="AG48" s="3524"/>
      <c r="AH48" s="3524"/>
      <c r="AI48" s="3524"/>
      <c r="AJ48" s="3524"/>
      <c r="AK48" s="3773" t="s">
        <v>923</v>
      </c>
      <c r="AL48" s="3699" t="s">
        <v>170</v>
      </c>
      <c r="AM48" s="3678">
        <f>'19. HB'!D12</f>
        <v>0</v>
      </c>
      <c r="AN48" s="3678">
        <f>'19. HB'!E12</f>
        <v>0</v>
      </c>
      <c r="AO48" s="3678">
        <f>'19. HB'!F12</f>
        <v>0</v>
      </c>
      <c r="AP48" s="3678">
        <f>'19. HB'!G12</f>
        <v>0</v>
      </c>
      <c r="AQ48" s="3678">
        <f>'19. HB'!H12</f>
        <v>0</v>
      </c>
      <c r="AR48" s="4524"/>
      <c r="AS48" s="3524"/>
      <c r="AT48" s="3524"/>
      <c r="AU48" s="3524"/>
      <c r="AV48" s="3524"/>
      <c r="AW48" s="3524"/>
    </row>
    <row r="49" spans="1:49" ht="15.75" customHeight="1">
      <c r="A49" s="4542" t="s">
        <v>220</v>
      </c>
      <c r="B49" s="3779">
        <f>'11. Амортиз. план'!BE151</f>
        <v>77.716365941825217</v>
      </c>
      <c r="C49" s="3779">
        <f>'11. Амортиз. план'!BG151</f>
        <v>120.0621655721658</v>
      </c>
      <c r="D49" s="3779">
        <f>'11. Амортиз. план'!BH151</f>
        <v>144.8763183620926</v>
      </c>
      <c r="E49" s="3779">
        <f>'11. Амортиз. план'!BI151</f>
        <v>172.11001882599086</v>
      </c>
      <c r="F49" s="3779">
        <f>'11. Амортиз. план'!BJ151</f>
        <v>201.7515443558618</v>
      </c>
      <c r="G49" s="3779">
        <f>'11. Амортиз. план'!BK151</f>
        <v>233.81652454157057</v>
      </c>
      <c r="H49" s="3524"/>
      <c r="I49" s="4542" t="s">
        <v>357</v>
      </c>
      <c r="J49" s="3779">
        <f>'9.Инвестиционна програма'!BC16</f>
        <v>153.38756435886555</v>
      </c>
      <c r="K49" s="3779">
        <f>'9.Инвестиционна програма'!BD16</f>
        <v>51.129188119621851</v>
      </c>
      <c r="L49" s="3779">
        <f>'9.Инвестиционна програма'!BE16</f>
        <v>40.903350495697481</v>
      </c>
      <c r="M49" s="3779">
        <f>'9.Инвестиционна програма'!BF16</f>
        <v>51.129188119621851</v>
      </c>
      <c r="N49" s="3779">
        <f>'9.Инвестиционна програма'!BG16</f>
        <v>51.129188119621851</v>
      </c>
      <c r="O49" s="3904">
        <f t="shared" ref="O49:O72" si="53">SUM(J49:N49)</f>
        <v>347.6784792134286</v>
      </c>
      <c r="P49" s="4573">
        <f t="shared" si="51"/>
        <v>3.6051320114515957E-2</v>
      </c>
      <c r="Q49" s="4574"/>
      <c r="R49" s="3524"/>
      <c r="S49" s="4537" t="s">
        <v>446</v>
      </c>
      <c r="T49" s="3779">
        <f>'12. Разходи'!BX55</f>
        <v>126.49361140794446</v>
      </c>
      <c r="U49" s="3779">
        <f>'12. Разходи'!BY55</f>
        <v>112.17323607012385</v>
      </c>
      <c r="V49" s="3779">
        <f>'12. Разходи'!BZ55</f>
        <v>115.94637753321979</v>
      </c>
      <c r="W49" s="3779">
        <f>'12. Разходи'!CA55</f>
        <v>119.20378579359567</v>
      </c>
      <c r="X49" s="3779">
        <f>'12. Разходи'!CB55</f>
        <v>122.92426533743181</v>
      </c>
      <c r="Y49" s="3779">
        <f>'12. Разходи'!CC55</f>
        <v>126.25605081138819</v>
      </c>
      <c r="Z49" s="4535">
        <f t="shared" si="52"/>
        <v>-0.1132102655495945</v>
      </c>
      <c r="AA49" s="4535">
        <f t="shared" si="50"/>
        <v>0.12554523016934832</v>
      </c>
      <c r="AB49" s="3524"/>
      <c r="AC49" s="3524"/>
      <c r="AD49" s="3523"/>
      <c r="AE49" s="3524"/>
      <c r="AF49" s="3524"/>
      <c r="AG49" s="3524"/>
      <c r="AH49" s="3524"/>
      <c r="AI49" s="3524"/>
      <c r="AJ49" s="3524"/>
      <c r="AK49" s="3773" t="s">
        <v>1701</v>
      </c>
      <c r="AL49" s="3699" t="s">
        <v>170</v>
      </c>
      <c r="AM49" s="3678">
        <f>'19. HB'!D13</f>
        <v>0</v>
      </c>
      <c r="AN49" s="3678">
        <f>'19. HB'!E13</f>
        <v>0</v>
      </c>
      <c r="AO49" s="3678">
        <f>'19. HB'!F13</f>
        <v>0</v>
      </c>
      <c r="AP49" s="3678">
        <f>'19. HB'!G13</f>
        <v>0</v>
      </c>
      <c r="AQ49" s="3678">
        <f>'19. HB'!H13</f>
        <v>0</v>
      </c>
      <c r="AR49" s="4524"/>
      <c r="AS49" s="3524"/>
      <c r="AT49" s="3524"/>
      <c r="AU49" s="3524"/>
      <c r="AV49" s="3524"/>
      <c r="AW49" s="3524"/>
    </row>
    <row r="50" spans="1:49" ht="15.75" customHeight="1">
      <c r="A50" s="4542" t="s">
        <v>222</v>
      </c>
      <c r="B50" s="3779">
        <f>'11. Амортиз. план'!BE171</f>
        <v>448.4029798090836</v>
      </c>
      <c r="C50" s="3779">
        <f>'11. Амортиз. план'!BG171</f>
        <v>538.99306928975989</v>
      </c>
      <c r="D50" s="3779">
        <f>'11. Амортиз. план'!BH171</f>
        <v>578.94255478468733</v>
      </c>
      <c r="E50" s="3779">
        <f>'11. Амортиз. план'!BI171</f>
        <v>616.47249260564342</v>
      </c>
      <c r="F50" s="3779">
        <f>'11. Амортиз. план'!BJ171</f>
        <v>651.59460536062682</v>
      </c>
      <c r="G50" s="3779">
        <f>'11. Амортиз. план'!BK171</f>
        <v>684.29326345977233</v>
      </c>
      <c r="H50" s="3524"/>
      <c r="I50" s="4542" t="s">
        <v>1596</v>
      </c>
      <c r="J50" s="3779">
        <f>'9.Инвестиционна програма'!BC17</f>
        <v>25.564594059810926</v>
      </c>
      <c r="K50" s="3779">
        <f>'9.Инвестиционна програма'!BD17</f>
        <v>20.45167524784874</v>
      </c>
      <c r="L50" s="3779">
        <f>'9.Инвестиционна програма'!BE17</f>
        <v>20.45167524784874</v>
      </c>
      <c r="M50" s="3779">
        <f>'9.Инвестиционна програма'!BF17</f>
        <v>20.45167524784874</v>
      </c>
      <c r="N50" s="3779">
        <f>'9.Инвестиционна програма'!BG17</f>
        <v>20.45167524784874</v>
      </c>
      <c r="O50" s="3904">
        <f t="shared" si="53"/>
        <v>107.37129505120589</v>
      </c>
      <c r="P50" s="4573">
        <f t="shared" si="51"/>
        <v>1.1133495917718164E-2</v>
      </c>
      <c r="Q50" s="4574"/>
      <c r="R50" s="3524"/>
      <c r="S50" s="4544" t="s">
        <v>447</v>
      </c>
      <c r="T50" s="4539">
        <f>'12. Разходи'!BX56</f>
        <v>42.437226139286132</v>
      </c>
      <c r="U50" s="4539">
        <f>'12. Разходи'!BY56</f>
        <v>47.409830190670036</v>
      </c>
      <c r="V50" s="4539">
        <f>'12. Разходи'!BZ56</f>
        <v>51.184990065432451</v>
      </c>
      <c r="W50" s="4539">
        <f>'12. Разходи'!CA56</f>
        <v>54.441261249894957</v>
      </c>
      <c r="X50" s="4539">
        <f>'12. Разходи'!CB56</f>
        <v>58.162100488192635</v>
      </c>
      <c r="Y50" s="4539">
        <f>'12. Разходи'!CC56</f>
        <v>61.49395482318122</v>
      </c>
      <c r="Z50" s="4535">
        <f t="shared" si="52"/>
        <v>0.11717552026286965</v>
      </c>
      <c r="AA50" s="4535">
        <f t="shared" si="50"/>
        <v>0.29707182193795018</v>
      </c>
      <c r="AB50" s="3524"/>
      <c r="AC50" s="3524"/>
      <c r="AD50" s="3523"/>
      <c r="AE50" s="3524"/>
      <c r="AF50" s="3524"/>
      <c r="AG50" s="3524"/>
      <c r="AH50" s="3524"/>
      <c r="AI50" s="3524"/>
      <c r="AJ50" s="3524"/>
      <c r="AK50" s="3773" t="s">
        <v>325</v>
      </c>
      <c r="AL50" s="3699" t="s">
        <v>170</v>
      </c>
      <c r="AM50" s="3774">
        <f>'19. HB'!D14</f>
        <v>0.5</v>
      </c>
      <c r="AN50" s="3774">
        <f>'19. HB'!E14</f>
        <v>0.5</v>
      </c>
      <c r="AO50" s="3774">
        <f>'19. HB'!F14</f>
        <v>0.5</v>
      </c>
      <c r="AP50" s="3774">
        <f>'19. HB'!G14</f>
        <v>0.5</v>
      </c>
      <c r="AQ50" s="3774">
        <f>'19. HB'!H14</f>
        <v>0.5</v>
      </c>
      <c r="AR50" s="4524"/>
      <c r="AS50" s="3524"/>
      <c r="AT50" s="3524"/>
      <c r="AU50" s="3524"/>
      <c r="AV50" s="3524"/>
      <c r="AW50" s="3524"/>
    </row>
    <row r="51" spans="1:49" ht="15.75" customHeight="1">
      <c r="A51" s="5687" t="s">
        <v>1659</v>
      </c>
      <c r="B51" s="5688"/>
      <c r="C51" s="5688"/>
      <c r="D51" s="5688"/>
      <c r="E51" s="5688"/>
      <c r="F51" s="5688"/>
      <c r="G51" s="5688"/>
      <c r="H51" s="3524"/>
      <c r="I51" s="4542" t="s">
        <v>1597</v>
      </c>
      <c r="J51" s="3779">
        <f>SUM('9.Инвестиционна програма'!BC18:BC21)</f>
        <v>40.903350495697481</v>
      </c>
      <c r="K51" s="3779">
        <f>SUM('9.Инвестиционна програма'!BD18:BD21)</f>
        <v>30.677512871773111</v>
      </c>
      <c r="L51" s="3779">
        <f>SUM('9.Инвестиционна програма'!BE18:BE21)</f>
        <v>30.677512871773111</v>
      </c>
      <c r="M51" s="3779">
        <f>SUM('9.Инвестиционна програма'!BF18:BF21)</f>
        <v>30.677512871773111</v>
      </c>
      <c r="N51" s="3779">
        <f>SUM('9.Инвестиционна програма'!BG18:BG21)</f>
        <v>30.677512871773111</v>
      </c>
      <c r="O51" s="3904">
        <f t="shared" si="53"/>
        <v>163.6134019827899</v>
      </c>
      <c r="P51" s="4573">
        <f t="shared" si="51"/>
        <v>1.696532711271339E-2</v>
      </c>
      <c r="Q51" s="4574"/>
      <c r="R51" s="3524"/>
      <c r="S51" s="4544" t="s">
        <v>736</v>
      </c>
      <c r="T51" s="4539">
        <f>'12. Разходи'!BX57</f>
        <v>17.383923960671428</v>
      </c>
      <c r="U51" s="4539">
        <f>'12. Разходи'!BY57</f>
        <v>22.35941371244542</v>
      </c>
      <c r="V51" s="4539">
        <f>'12. Разходи'!BZ57</f>
        <v>24.814152789926784</v>
      </c>
      <c r="W51" s="4539">
        <f>'12. Разходи'!CA57</f>
        <v>27.233700463898277</v>
      </c>
      <c r="X51" s="4539">
        <f>'12. Разходи'!CB57</f>
        <v>29.641525529870918</v>
      </c>
      <c r="Y51" s="4539">
        <f>'12. Разходи'!CC57</f>
        <v>32.064980185708784</v>
      </c>
      <c r="Z51" s="4535">
        <f t="shared" si="52"/>
        <v>0.28621212121212136</v>
      </c>
      <c r="AA51" s="4535">
        <f t="shared" si="50"/>
        <v>0.43407070498727662</v>
      </c>
      <c r="AB51" s="3524"/>
      <c r="AC51" s="3524"/>
      <c r="AD51" s="3523"/>
      <c r="AE51" s="3524"/>
      <c r="AF51" s="3524"/>
      <c r="AG51" s="3524"/>
      <c r="AH51" s="3524"/>
      <c r="AI51" s="3524"/>
      <c r="AJ51" s="3524"/>
      <c r="AK51" s="3773" t="s">
        <v>326</v>
      </c>
      <c r="AL51" s="3699" t="s">
        <v>170</v>
      </c>
      <c r="AM51" s="3774">
        <f>'19. HB'!D15</f>
        <v>0.5</v>
      </c>
      <c r="AN51" s="3774">
        <f>'19. HB'!E15</f>
        <v>0.5</v>
      </c>
      <c r="AO51" s="3774">
        <f>'19. HB'!F15</f>
        <v>0.5</v>
      </c>
      <c r="AP51" s="3774">
        <f>'19. HB'!G15</f>
        <v>0.5</v>
      </c>
      <c r="AQ51" s="3774">
        <f>'19. HB'!H15</f>
        <v>0.5</v>
      </c>
      <c r="AR51" s="4524"/>
      <c r="AS51" s="3524"/>
      <c r="AT51" s="3524"/>
      <c r="AU51" s="3524"/>
      <c r="AV51" s="3524"/>
      <c r="AW51" s="3524"/>
    </row>
    <row r="52" spans="1:49" ht="13.5" customHeight="1">
      <c r="A52" s="4536" t="s">
        <v>334</v>
      </c>
      <c r="B52" s="3904">
        <f>'11. Амортиз. план'!BE192</f>
        <v>20127.00490328914</v>
      </c>
      <c r="C52" s="3904">
        <f>'11. Амортиз. план'!BG192</f>
        <v>20127.00490328914</v>
      </c>
      <c r="D52" s="3904">
        <f>'11. Амортиз. план'!BH192</f>
        <v>20127.00490328914</v>
      </c>
      <c r="E52" s="3904">
        <f>'11. Амортиз. план'!BI192</f>
        <v>20127.00490328914</v>
      </c>
      <c r="F52" s="3904">
        <f>'11. Амортиз. план'!BJ192</f>
        <v>20127.00490328914</v>
      </c>
      <c r="G52" s="3904">
        <f>'11. Амортиз. план'!BK192</f>
        <v>20127.00490328914</v>
      </c>
      <c r="H52" s="3524"/>
      <c r="I52" s="4542" t="s">
        <v>1598</v>
      </c>
      <c r="J52" s="3779">
        <f>'9.Инвестиционна програма'!BC22</f>
        <v>1431.6172673494118</v>
      </c>
      <c r="K52" s="3779">
        <f>'9.Инвестиционна програма'!BD22</f>
        <v>1278.2297029905462</v>
      </c>
      <c r="L52" s="3779">
        <f>'9.Инвестиционна програма'!BE22</f>
        <v>1278.2297029905462</v>
      </c>
      <c r="M52" s="3779">
        <f>'9.Инвестиционна програма'!BF22</f>
        <v>1278.2297029905462</v>
      </c>
      <c r="N52" s="3779">
        <f>'9.Инвестиционна програма'!BG22</f>
        <v>1278.2297029905462</v>
      </c>
      <c r="O52" s="3904">
        <f t="shared" si="53"/>
        <v>6544.536079311596</v>
      </c>
      <c r="P52" s="4573">
        <f t="shared" si="51"/>
        <v>0.67861308450853552</v>
      </c>
      <c r="Q52" s="4574"/>
      <c r="R52" s="3524"/>
      <c r="S52" s="4544" t="s">
        <v>737</v>
      </c>
      <c r="T52" s="4539">
        <f>'12. Разходи'!BX58</f>
        <v>66.672461307986893</v>
      </c>
      <c r="U52" s="4539">
        <f>'12. Разходи'!BY58</f>
        <v>42.403992167008383</v>
      </c>
      <c r="V52" s="4539">
        <f>'12. Разходи'!BZ58</f>
        <v>39.94723467786055</v>
      </c>
      <c r="W52" s="4539">
        <f>'12. Разходи'!CA58</f>
        <v>37.52882407980244</v>
      </c>
      <c r="X52" s="4539">
        <f>'12. Разходи'!CB58</f>
        <v>35.120639319368244</v>
      </c>
      <c r="Y52" s="4539">
        <f>'12. Разходи'!CC58</f>
        <v>32.697115802498175</v>
      </c>
      <c r="Z52" s="4535">
        <f t="shared" si="52"/>
        <v>-0.36399539877300613</v>
      </c>
      <c r="AA52" s="4535">
        <f t="shared" si="50"/>
        <v>-0.228914209923434</v>
      </c>
      <c r="AB52" s="3524"/>
      <c r="AC52" s="3524"/>
      <c r="AD52" s="3523"/>
      <c r="AE52" s="3524"/>
      <c r="AF52" s="3524"/>
      <c r="AG52" s="3524"/>
      <c r="AH52" s="3524"/>
      <c r="AI52" s="3524"/>
      <c r="AJ52" s="3524"/>
      <c r="AK52" s="3775" t="s">
        <v>694</v>
      </c>
      <c r="AL52" s="3776" t="s">
        <v>170</v>
      </c>
      <c r="AM52" s="3777">
        <f>'19. HB'!D16</f>
        <v>0</v>
      </c>
      <c r="AN52" s="3777">
        <f>'19. HB'!E16</f>
        <v>0</v>
      </c>
      <c r="AO52" s="3777">
        <f>'19. HB'!F16</f>
        <v>0</v>
      </c>
      <c r="AP52" s="3777">
        <f>'19. HB'!G16</f>
        <v>0</v>
      </c>
      <c r="AQ52" s="3777">
        <f>'19. HB'!H16</f>
        <v>0</v>
      </c>
      <c r="AR52" s="4524"/>
      <c r="AS52" s="3524"/>
      <c r="AT52" s="3524"/>
      <c r="AU52" s="3524"/>
      <c r="AV52" s="3524"/>
      <c r="AW52" s="3524"/>
    </row>
    <row r="53" spans="1:49" ht="15.75" customHeight="1">
      <c r="A53" s="4538" t="s">
        <v>218</v>
      </c>
      <c r="B53" s="4539">
        <f>'11. Амортиз. план'!BE214</f>
        <v>736.2603089225546</v>
      </c>
      <c r="C53" s="4539">
        <f>'11. Амортиз. план'!BG214</f>
        <v>736.2603089225546</v>
      </c>
      <c r="D53" s="4539">
        <f>'11. Амортиз. план'!BH214</f>
        <v>736.2603089225546</v>
      </c>
      <c r="E53" s="4539">
        <f>'11. Амортиз. план'!BI214</f>
        <v>736.2603089225546</v>
      </c>
      <c r="F53" s="4539">
        <f>'11. Амортиз. план'!BJ214</f>
        <v>736.2603089225546</v>
      </c>
      <c r="G53" s="4539">
        <f>'11. Амортиз. план'!BK214</f>
        <v>736.2603089225546</v>
      </c>
      <c r="H53" s="3524"/>
      <c r="I53" s="4542" t="s">
        <v>1599</v>
      </c>
      <c r="J53" s="3779">
        <f>SUM('9.Инвестиционна програма'!BC23:BC24)</f>
        <v>81.806700991394962</v>
      </c>
      <c r="K53" s="3779">
        <f>SUM('9.Инвестиционна програма'!BD23:BD24)</f>
        <v>81.806700991394962</v>
      </c>
      <c r="L53" s="3779">
        <f>SUM('9.Инвестиционна програма'!BE23:BE24)</f>
        <v>56.242106931584033</v>
      </c>
      <c r="M53" s="3779">
        <f>SUM('9.Инвестиционна програма'!BF23:BF24)</f>
        <v>12.782297029905463</v>
      </c>
      <c r="N53" s="3779">
        <f>SUM('9.Инвестиционна програма'!BG23:BG24)</f>
        <v>81.806700991394962</v>
      </c>
      <c r="O53" s="3904">
        <f t="shared" si="53"/>
        <v>314.44450693567438</v>
      </c>
      <c r="P53" s="4573">
        <f t="shared" si="51"/>
        <v>3.2605238044746049E-2</v>
      </c>
      <c r="Q53" s="4574"/>
      <c r="R53" s="3524"/>
      <c r="S53" s="4537" t="s">
        <v>448</v>
      </c>
      <c r="T53" s="3779">
        <f>'12. Разходи'!BX59</f>
        <v>784.32174575499914</v>
      </c>
      <c r="U53" s="3779">
        <f>'12. Разходи'!BY59</f>
        <v>1128.4211818000542</v>
      </c>
      <c r="V53" s="3779">
        <f>'12. Разходи'!BZ59</f>
        <v>1243.4618550692035</v>
      </c>
      <c r="W53" s="3779">
        <f>'12. Разходи'!CA59</f>
        <v>1419.3462622007025</v>
      </c>
      <c r="X53" s="3779">
        <f>'12. Разходи'!CB59</f>
        <v>1620.7952633920127</v>
      </c>
      <c r="Y53" s="3779">
        <f>'12. Разходи'!CC59</f>
        <v>1853.9443612174882</v>
      </c>
      <c r="Z53" s="4535">
        <f t="shared" si="52"/>
        <v>0.43872229465449814</v>
      </c>
      <c r="AA53" s="4535">
        <f t="shared" si="50"/>
        <v>0.64295423652016304</v>
      </c>
      <c r="AB53" s="3524"/>
      <c r="AC53" s="3524"/>
      <c r="AD53" s="3523"/>
      <c r="AE53" s="3524"/>
      <c r="AF53" s="3524"/>
      <c r="AG53" s="3524"/>
      <c r="AH53" s="3524"/>
      <c r="AI53" s="3524"/>
      <c r="AJ53" s="3524"/>
      <c r="AK53" s="3778" t="s">
        <v>1702</v>
      </c>
      <c r="AL53" s="3701" t="s">
        <v>1926</v>
      </c>
      <c r="AM53" s="3779">
        <f>'19. HB'!K17</f>
        <v>0</v>
      </c>
      <c r="AN53" s="3779">
        <f>'19. HB'!L17</f>
        <v>0</v>
      </c>
      <c r="AO53" s="3779">
        <f>'19. HB'!M17</f>
        <v>0</v>
      </c>
      <c r="AP53" s="3779">
        <f>'19. HB'!N17</f>
        <v>0</v>
      </c>
      <c r="AQ53" s="3779">
        <f>'19. HB'!O17</f>
        <v>0</v>
      </c>
      <c r="AR53" s="4524"/>
      <c r="AS53" s="3524"/>
      <c r="AT53" s="3524"/>
      <c r="AU53" s="3524"/>
      <c r="AV53" s="3524"/>
      <c r="AW53" s="3524"/>
    </row>
    <row r="54" spans="1:49" ht="15.75" customHeight="1">
      <c r="A54" s="4542" t="s">
        <v>220</v>
      </c>
      <c r="B54" s="3779">
        <f>'11. Амортиз. план'!BE236</f>
        <v>6438.1873680227836</v>
      </c>
      <c r="C54" s="3779">
        <f>'11. Амортиз. план'!BG236</f>
        <v>7910.7079858678926</v>
      </c>
      <c r="D54" s="3779">
        <f>'11. Амортиз. план'!BH236</f>
        <v>8646.9682947904475</v>
      </c>
      <c r="E54" s="3779">
        <f>'11. Амортиз. план'!BI236</f>
        <v>9383.2286037130016</v>
      </c>
      <c r="F54" s="3779">
        <f>'11. Амортиз. план'!BJ236</f>
        <v>10119.488912635556</v>
      </c>
      <c r="G54" s="3779">
        <f>'11. Амортиз. план'!BK236</f>
        <v>10855.749221558111</v>
      </c>
      <c r="H54" s="3524"/>
      <c r="I54" s="4542" t="s">
        <v>1600</v>
      </c>
      <c r="J54" s="3779">
        <f>SUM('9.Инвестиционна програма'!BC25:BC26)</f>
        <v>31.700096634165547</v>
      </c>
      <c r="K54" s="3779">
        <f>SUM('9.Инвестиционна програма'!BD25:BD26)</f>
        <v>20.45167524784874</v>
      </c>
      <c r="L54" s="3779">
        <f>SUM('9.Инвестиционна програма'!BE25:BE26)</f>
        <v>23.008134653829835</v>
      </c>
      <c r="M54" s="3779">
        <f>SUM('9.Инвестиционна програма'!BF25:BF26)</f>
        <v>17.895215841867646</v>
      </c>
      <c r="N54" s="3779">
        <f>SUM('9.Инвестиционна програма'!BG25:BG26)</f>
        <v>17.895215841867646</v>
      </c>
      <c r="O54" s="3904">
        <f t="shared" si="53"/>
        <v>110.95033821957941</v>
      </c>
      <c r="P54" s="4573">
        <f t="shared" si="51"/>
        <v>1.1504612448308768E-2</v>
      </c>
      <c r="Q54" s="4574"/>
      <c r="R54" s="3524"/>
      <c r="S54" s="4537" t="s">
        <v>449</v>
      </c>
      <c r="T54" s="3779">
        <f>'12. Разходи'!BX63</f>
        <v>280.18795089552776</v>
      </c>
      <c r="U54" s="3779">
        <f>'12. Разходи'!BY63</f>
        <v>406.98833743218995</v>
      </c>
      <c r="V54" s="3779">
        <f>'12. Разходи'!BZ63</f>
        <v>468.34336317573616</v>
      </c>
      <c r="W54" s="3779">
        <f>'12. Разходи'!CA63</f>
        <v>538.39035089961806</v>
      </c>
      <c r="X54" s="3779">
        <f>'12. Разходи'!CB63</f>
        <v>619.17446812862056</v>
      </c>
      <c r="Y54" s="3779">
        <f>'12. Разходи'!CC63</f>
        <v>711.71829862513619</v>
      </c>
      <c r="Z54" s="4535">
        <f t="shared" si="52"/>
        <v>0.45255474452554739</v>
      </c>
      <c r="AA54" s="4535">
        <f t="shared" si="50"/>
        <v>0.74874371859296485</v>
      </c>
      <c r="AB54" s="3524"/>
      <c r="AC54" s="3524"/>
      <c r="AD54" s="3523"/>
      <c r="AE54" s="3524"/>
      <c r="AF54" s="3524"/>
      <c r="AG54" s="3524"/>
      <c r="AH54" s="3524"/>
      <c r="AI54" s="3524"/>
      <c r="AJ54" s="3524"/>
      <c r="AK54" s="3778" t="s">
        <v>1399</v>
      </c>
      <c r="AL54" s="3701" t="s">
        <v>1926</v>
      </c>
      <c r="AM54" s="3779">
        <f>'19. HB'!K18</f>
        <v>0</v>
      </c>
      <c r="AN54" s="3779">
        <f>'19. HB'!L18</f>
        <v>0</v>
      </c>
      <c r="AO54" s="3779">
        <f>'19. HB'!M18</f>
        <v>0</v>
      </c>
      <c r="AP54" s="3779">
        <f>'19. HB'!N18</f>
        <v>0</v>
      </c>
      <c r="AQ54" s="3779">
        <f>'19. HB'!O18</f>
        <v>0</v>
      </c>
      <c r="AR54" s="4524"/>
      <c r="AS54" s="3524"/>
      <c r="AT54" s="3524"/>
      <c r="AU54" s="3524"/>
      <c r="AV54" s="3524"/>
      <c r="AW54" s="3524"/>
    </row>
    <row r="55" spans="1:49" ht="15.75" customHeight="1">
      <c r="A55" s="4542" t="s">
        <v>222</v>
      </c>
      <c r="B55" s="3779">
        <f>'11. Амортиз. план'!BE258</f>
        <v>13688.817535266358</v>
      </c>
      <c r="C55" s="3779">
        <f>'11. Амортиз. план'!BG258</f>
        <v>12216.296917421249</v>
      </c>
      <c r="D55" s="3779">
        <f>'11. Амортиз. план'!BH258</f>
        <v>11480.036608498694</v>
      </c>
      <c r="E55" s="3779">
        <f>'11. Амортиз. план'!BI258</f>
        <v>10743.776299576139</v>
      </c>
      <c r="F55" s="3779">
        <f>'11. Амортиз. план'!BJ258</f>
        <v>10007.515990653585</v>
      </c>
      <c r="G55" s="3779">
        <f>'11. Амортиз. план'!BK258</f>
        <v>9271.2556817310306</v>
      </c>
      <c r="H55" s="3524"/>
      <c r="I55" s="4542" t="s">
        <v>1601</v>
      </c>
      <c r="J55" s="3779">
        <f>SUM('9.Инвестиционна програма'!BC27:BC28)</f>
        <v>15.338756435886555</v>
      </c>
      <c r="K55" s="3779">
        <f>SUM('9.Инвестиционна програма'!BD27:BD28)</f>
        <v>15.338756435886555</v>
      </c>
      <c r="L55" s="3779">
        <f>SUM('9.Инвестиционна програма'!BE27:BE28)</f>
        <v>15.338756435886555</v>
      </c>
      <c r="M55" s="3779">
        <f>SUM('9.Инвестиционна програма'!BF27:BF28)</f>
        <v>15.338756435886555</v>
      </c>
      <c r="N55" s="3779">
        <f>SUM('9.Инвестиционна програма'!BG27:BG28)</f>
        <v>15.338756435886555</v>
      </c>
      <c r="O55" s="3904">
        <f t="shared" si="53"/>
        <v>76.693782179432773</v>
      </c>
      <c r="P55" s="4573">
        <f t="shared" si="51"/>
        <v>7.952497084084402E-3</v>
      </c>
      <c r="Q55" s="4574"/>
      <c r="R55" s="3524"/>
      <c r="S55" s="4537" t="s">
        <v>450</v>
      </c>
      <c r="T55" s="3779">
        <f>'12. Разходи'!BX70</f>
        <v>34.767847921342856</v>
      </c>
      <c r="U55" s="3779">
        <f>'12. Разходи'!BY70</f>
        <v>35.279139802539078</v>
      </c>
      <c r="V55" s="3779">
        <f>'12. Разходи'!BZ70</f>
        <v>35.279139802539078</v>
      </c>
      <c r="W55" s="3779">
        <f>'12. Разходи'!CA70</f>
        <v>34.767847921342856</v>
      </c>
      <c r="X55" s="3779">
        <f>'12. Разходи'!CB70</f>
        <v>34.256556040146641</v>
      </c>
      <c r="Y55" s="3779">
        <f>'12. Разходи'!CC70</f>
        <v>34.256556040146641</v>
      </c>
      <c r="Z55" s="4535">
        <f t="shared" si="52"/>
        <v>1.470588235294127E-2</v>
      </c>
      <c r="AA55" s="4535">
        <f t="shared" si="50"/>
        <v>-2.8985507246376791E-2</v>
      </c>
      <c r="AB55" s="3524"/>
      <c r="AC55" s="3524"/>
      <c r="AD55" s="3523"/>
      <c r="AE55" s="3524"/>
      <c r="AF55" s="3524"/>
      <c r="AG55" s="3524"/>
      <c r="AH55" s="3524"/>
      <c r="AI55" s="3524"/>
      <c r="AJ55" s="3524"/>
      <c r="AK55" s="3778" t="s">
        <v>1400</v>
      </c>
      <c r="AL55" s="3701" t="s">
        <v>1926</v>
      </c>
      <c r="AM55" s="3779">
        <f>'19. HB'!K19</f>
        <v>0</v>
      </c>
      <c r="AN55" s="3779">
        <f>'19. HB'!L19</f>
        <v>0</v>
      </c>
      <c r="AO55" s="3779">
        <f>'19. HB'!M19</f>
        <v>0</v>
      </c>
      <c r="AP55" s="3779">
        <f>'19. HB'!N19</f>
        <v>0</v>
      </c>
      <c r="AQ55" s="3779">
        <f>'19. HB'!O19</f>
        <v>0</v>
      </c>
      <c r="AR55" s="4524"/>
      <c r="AS55" s="3524"/>
      <c r="AT55" s="3524"/>
      <c r="AU55" s="3524"/>
      <c r="AV55" s="3524"/>
      <c r="AW55" s="3524"/>
    </row>
    <row r="56" spans="1:49" ht="15.75" customHeight="1">
      <c r="A56" s="3759" t="s">
        <v>1666</v>
      </c>
      <c r="B56" s="3524"/>
      <c r="C56" s="3524"/>
      <c r="D56" s="3524"/>
      <c r="E56" s="3524"/>
      <c r="F56" s="3524"/>
      <c r="G56" s="3760" t="s">
        <v>1911</v>
      </c>
      <c r="H56" s="3524"/>
      <c r="I56" s="4542" t="s">
        <v>1602</v>
      </c>
      <c r="J56" s="3779">
        <f>'9.Инвестиционна програма'!BC29</f>
        <v>0</v>
      </c>
      <c r="K56" s="3779">
        <f>'9.Инвестиционна програма'!BD29</f>
        <v>0</v>
      </c>
      <c r="L56" s="3779">
        <f>'9.Инвестиционна програма'!BE29</f>
        <v>0</v>
      </c>
      <c r="M56" s="3779">
        <f>'9.Инвестиционна програма'!BF29</f>
        <v>0</v>
      </c>
      <c r="N56" s="3779">
        <f>'9.Инвестиционна програма'!BG29</f>
        <v>0</v>
      </c>
      <c r="O56" s="3904">
        <f t="shared" si="53"/>
        <v>0</v>
      </c>
      <c r="P56" s="4573">
        <f t="shared" si="51"/>
        <v>0</v>
      </c>
      <c r="Q56" s="4574"/>
      <c r="R56" s="3524"/>
      <c r="S56" s="4537" t="s">
        <v>267</v>
      </c>
      <c r="T56" s="3779">
        <f>'12. Разходи'!BX76</f>
        <v>22.496331480752414</v>
      </c>
      <c r="U56" s="3779">
        <f>'12. Разходи'!BY76</f>
        <v>22.496842772633613</v>
      </c>
      <c r="V56" s="3779">
        <f>'12. Разходи'!BZ76</f>
        <v>22.496842772633613</v>
      </c>
      <c r="W56" s="3779">
        <f>'12. Разходи'!CA76</f>
        <v>22.496842772633613</v>
      </c>
      <c r="X56" s="3779">
        <f>'12. Разходи'!CB76</f>
        <v>22.496842772633613</v>
      </c>
      <c r="Y56" s="3779">
        <f>'12. Разходи'!CC76</f>
        <v>22.496842772633613</v>
      </c>
      <c r="Z56" s="4535">
        <f t="shared" si="52"/>
        <v>2.2727789268087452E-5</v>
      </c>
      <c r="AA56" s="4535">
        <f t="shared" si="50"/>
        <v>0</v>
      </c>
      <c r="AB56" s="3524"/>
      <c r="AC56" s="3524"/>
      <c r="AD56" s="3523"/>
      <c r="AE56" s="3524"/>
      <c r="AF56" s="3524"/>
      <c r="AG56" s="3524"/>
      <c r="AH56" s="3524"/>
      <c r="AI56" s="3524"/>
      <c r="AJ56" s="3524"/>
      <c r="AK56" s="3778" t="s">
        <v>1238</v>
      </c>
      <c r="AL56" s="3701" t="s">
        <v>1926</v>
      </c>
      <c r="AM56" s="3779">
        <f>'19. HB'!K20</f>
        <v>0</v>
      </c>
      <c r="AN56" s="3779">
        <f>'19. HB'!L20</f>
        <v>0</v>
      </c>
      <c r="AO56" s="3779">
        <f>'19. HB'!M20</f>
        <v>0</v>
      </c>
      <c r="AP56" s="3779">
        <f>'19. HB'!N20</f>
        <v>0</v>
      </c>
      <c r="AQ56" s="3779">
        <f>'19. HB'!O20</f>
        <v>0</v>
      </c>
      <c r="AR56" s="4524"/>
      <c r="AS56" s="3524"/>
      <c r="AT56" s="3524"/>
      <c r="AU56" s="3524"/>
      <c r="AV56" s="3524"/>
      <c r="AW56" s="3524"/>
    </row>
    <row r="57" spans="1:49" ht="12.75" customHeight="1">
      <c r="A57" s="5684" t="s">
        <v>87</v>
      </c>
      <c r="B57" s="5676" t="s">
        <v>1029</v>
      </c>
      <c r="C57" s="5676"/>
      <c r="D57" s="5676"/>
      <c r="E57" s="5676"/>
      <c r="F57" s="5676"/>
      <c r="G57" s="5676"/>
      <c r="H57" s="3524"/>
      <c r="I57" s="4538" t="s">
        <v>1603</v>
      </c>
      <c r="J57" s="4539">
        <f>SUM(J48:J56)</f>
        <v>1816.1087620089681</v>
      </c>
      <c r="K57" s="4539">
        <f>SUM(K48:K56)</f>
        <v>1523.6498059647311</v>
      </c>
      <c r="L57" s="4539">
        <f>SUM(L48:L56)</f>
        <v>1490.4158336869768</v>
      </c>
      <c r="M57" s="4539">
        <f>SUM(M48:M56)</f>
        <v>1452.0689425972605</v>
      </c>
      <c r="N57" s="4539">
        <f>SUM(N48:N56)</f>
        <v>1521.09334655875</v>
      </c>
      <c r="O57" s="3904">
        <f t="shared" si="53"/>
        <v>7803.3366908166863</v>
      </c>
      <c r="P57" s="4575">
        <f t="shared" si="51"/>
        <v>0.80914006998197419</v>
      </c>
      <c r="Q57" s="4576"/>
      <c r="R57" s="3524"/>
      <c r="S57" s="4546" t="s">
        <v>277</v>
      </c>
      <c r="T57" s="4547">
        <f>SUM(T47:T49,T53:T56)</f>
        <v>1974.3924180782581</v>
      </c>
      <c r="U57" s="4547">
        <f t="shared" ref="U57:Y57" si="54">SUM(U47:U49,U53:U56)</f>
        <v>2490.9120559062039</v>
      </c>
      <c r="V57" s="4547">
        <f t="shared" si="54"/>
        <v>2666.2902724525125</v>
      </c>
      <c r="W57" s="4547">
        <f t="shared" si="54"/>
        <v>2908.93379811573</v>
      </c>
      <c r="X57" s="4547">
        <f t="shared" si="54"/>
        <v>3191.9625099701452</v>
      </c>
      <c r="Y57" s="4547">
        <f t="shared" si="54"/>
        <v>3518.5736295375559</v>
      </c>
      <c r="Z57" s="4548">
        <f t="shared" si="52"/>
        <v>0.26160941112744529</v>
      </c>
      <c r="AA57" s="4548">
        <f t="shared" si="50"/>
        <v>0.41256437423981412</v>
      </c>
      <c r="AB57" s="3524"/>
      <c r="AC57" s="3524"/>
      <c r="AD57" s="3523"/>
      <c r="AE57" s="3524"/>
      <c r="AF57" s="3524"/>
      <c r="AG57" s="3524"/>
      <c r="AH57" s="3524"/>
      <c r="AI57" s="3524"/>
      <c r="AJ57" s="3524"/>
      <c r="AK57" s="3778" t="s">
        <v>1703</v>
      </c>
      <c r="AL57" s="3701" t="s">
        <v>1926</v>
      </c>
      <c r="AM57" s="3779">
        <f>'19. HB'!K21</f>
        <v>0</v>
      </c>
      <c r="AN57" s="3779">
        <f>'19. HB'!L21</f>
        <v>0</v>
      </c>
      <c r="AO57" s="3779">
        <f>'19. HB'!M21</f>
        <v>0</v>
      </c>
      <c r="AP57" s="3779">
        <f>'19. HB'!N21</f>
        <v>0</v>
      </c>
      <c r="AQ57" s="3779">
        <f>'19. HB'!O21</f>
        <v>0</v>
      </c>
      <c r="AR57" s="4524"/>
      <c r="AS57" s="3524"/>
      <c r="AT57" s="3524"/>
      <c r="AU57" s="3524"/>
      <c r="AV57" s="3524"/>
      <c r="AW57" s="3524"/>
    </row>
    <row r="58" spans="1:49" ht="12.75" customHeight="1">
      <c r="A58" s="5684"/>
      <c r="B58" s="4876" t="str">
        <f>+'15. ОПП'!$B$7</f>
        <v>2024 г.</v>
      </c>
      <c r="C58" s="4876" t="str">
        <f>+'15. ОПП'!$C$7</f>
        <v>2027 г.</v>
      </c>
      <c r="D58" s="4876" t="str">
        <f>+'15. ОПП'!$D$7</f>
        <v>2028 г.</v>
      </c>
      <c r="E58" s="4876" t="str">
        <f>+'15. ОПП'!$E$7</f>
        <v>2029 г.</v>
      </c>
      <c r="F58" s="4876" t="str">
        <f>+'15. ОПП'!$F$7</f>
        <v>2030 г.</v>
      </c>
      <c r="G58" s="4876" t="str">
        <f>+'15. ОПП'!$G$7</f>
        <v>2031 г.</v>
      </c>
      <c r="H58" s="3524"/>
      <c r="I58" s="4538" t="s">
        <v>1604</v>
      </c>
      <c r="J58" s="4539">
        <f>SUM('9.Инвестиционна програма'!BC30:BC35)</f>
        <v>51.129188119621851</v>
      </c>
      <c r="K58" s="4539">
        <f>SUM('9.Инвестиционна програма'!BD30:BD35)</f>
        <v>25.564594059810926</v>
      </c>
      <c r="L58" s="4539">
        <f>SUM('9.Инвестиционна програма'!BE30:BE35)</f>
        <v>76.693782179432773</v>
      </c>
      <c r="M58" s="4539">
        <f>SUM('9.Инвестиционна програма'!BF30:BF35)</f>
        <v>230.08134653829833</v>
      </c>
      <c r="N58" s="4539">
        <f>SUM('9.Инвестиционна програма'!BG30:BG35)</f>
        <v>25.564594059810926</v>
      </c>
      <c r="O58" s="3904">
        <f t="shared" si="53"/>
        <v>409.03350495697481</v>
      </c>
      <c r="P58" s="4575">
        <f t="shared" si="51"/>
        <v>4.2413317781783477E-2</v>
      </c>
      <c r="Q58" s="4576"/>
      <c r="R58" s="3524"/>
      <c r="S58" s="4555" t="str">
        <f>CONCATENATE("Спестявания и увеличения спрямо ",T46," - нето:")</f>
        <v>Спестявания и увеличения спрямо 2024 г. - нето:</v>
      </c>
      <c r="T58" s="4556"/>
      <c r="U58" s="4555">
        <f>U57-$T57</f>
        <v>516.51963782794587</v>
      </c>
      <c r="V58" s="4555">
        <f t="shared" ref="V58:Y58" si="55">V57-$T57</f>
        <v>691.89785437425439</v>
      </c>
      <c r="W58" s="4555">
        <f t="shared" si="55"/>
        <v>934.54138003747198</v>
      </c>
      <c r="X58" s="4555">
        <f t="shared" si="55"/>
        <v>1217.5700918918872</v>
      </c>
      <c r="Y58" s="4555">
        <f t="shared" si="55"/>
        <v>1544.1812114592979</v>
      </c>
      <c r="Z58" s="4557"/>
      <c r="AA58" s="4557"/>
      <c r="AB58" s="3524"/>
      <c r="AC58" s="3524"/>
      <c r="AD58" s="3523"/>
      <c r="AE58" s="3524"/>
      <c r="AF58" s="3524"/>
      <c r="AG58" s="3524"/>
      <c r="AH58" s="3524"/>
      <c r="AI58" s="3524"/>
      <c r="AJ58" s="3524"/>
      <c r="AK58" s="3773" t="s">
        <v>327</v>
      </c>
      <c r="AL58" s="3699" t="s">
        <v>1926</v>
      </c>
      <c r="AM58" s="3904">
        <f>SUM(AM53:AM57)</f>
        <v>0</v>
      </c>
      <c r="AN58" s="3904">
        <f t="shared" ref="AN58:AQ58" si="56">SUM(AN53:AN57)</f>
        <v>0</v>
      </c>
      <c r="AO58" s="3904">
        <f t="shared" si="56"/>
        <v>0</v>
      </c>
      <c r="AP58" s="3904">
        <f t="shared" si="56"/>
        <v>0</v>
      </c>
      <c r="AQ58" s="3904">
        <f t="shared" si="56"/>
        <v>0</v>
      </c>
      <c r="AR58" s="4524"/>
      <c r="AS58" s="3524"/>
      <c r="AT58" s="3524"/>
      <c r="AU58" s="3524"/>
      <c r="AV58" s="3524"/>
      <c r="AW58" s="3524"/>
    </row>
    <row r="59" spans="1:49" ht="15.75" customHeight="1">
      <c r="A59" s="5686" t="s">
        <v>1657</v>
      </c>
      <c r="B59" s="5686"/>
      <c r="C59" s="5686"/>
      <c r="D59" s="5686"/>
      <c r="E59" s="5686"/>
      <c r="F59" s="5686"/>
      <c r="G59" s="5686"/>
      <c r="H59" s="3524"/>
      <c r="I59" s="3772" t="s">
        <v>207</v>
      </c>
      <c r="J59" s="4547">
        <f>J57+J58</f>
        <v>1867.23795012859</v>
      </c>
      <c r="K59" s="4547">
        <f>K57+K58</f>
        <v>1549.2144000245419</v>
      </c>
      <c r="L59" s="4547">
        <f>L57+L58</f>
        <v>1567.1096158664095</v>
      </c>
      <c r="M59" s="4547">
        <f>M57+M58</f>
        <v>1682.1502891355588</v>
      </c>
      <c r="N59" s="4547">
        <f>N57+N58</f>
        <v>1546.6579406185608</v>
      </c>
      <c r="O59" s="4547">
        <f>SUM(J59:N59)</f>
        <v>8212.3701957736612</v>
      </c>
      <c r="P59" s="4548">
        <f t="shared" si="51"/>
        <v>0.85155338776375766</v>
      </c>
      <c r="Q59" s="4554"/>
      <c r="R59" s="3524"/>
      <c r="S59" s="4537" t="s">
        <v>1669</v>
      </c>
      <c r="T59" s="3904">
        <f>'12. Разходи'!BX92</f>
        <v>1342.1411881400736</v>
      </c>
      <c r="U59" s="3904">
        <f>'12. Разходи'!BY92</f>
        <v>0</v>
      </c>
      <c r="V59" s="3904">
        <f>'12. Разходи'!BZ92</f>
        <v>0</v>
      </c>
      <c r="W59" s="3904">
        <f>'12. Разходи'!CA92</f>
        <v>0</v>
      </c>
      <c r="X59" s="3904">
        <f>'12. Разходи'!CB92</f>
        <v>0</v>
      </c>
      <c r="Y59" s="3904">
        <f>'12. Разходи'!CC92</f>
        <v>0</v>
      </c>
      <c r="Z59" s="4535">
        <f t="shared" si="52"/>
        <v>-1</v>
      </c>
      <c r="AA59" s="4535">
        <f t="shared" ref="AA59:AA63" si="57">IFERROR((Y59-U59)/U59,0)</f>
        <v>0</v>
      </c>
      <c r="AB59" s="3524"/>
      <c r="AC59" s="3524"/>
      <c r="AD59" s="3523"/>
      <c r="AE59" s="3524"/>
      <c r="AF59" s="3524"/>
      <c r="AG59" s="3524"/>
      <c r="AH59" s="3524"/>
      <c r="AI59" s="3524"/>
      <c r="AJ59" s="3524"/>
      <c r="AK59" s="3524"/>
      <c r="AL59" s="4524"/>
      <c r="AM59" s="4524"/>
      <c r="AN59" s="4524"/>
      <c r="AO59" s="4524"/>
      <c r="AP59" s="4524"/>
      <c r="AQ59" s="3524"/>
      <c r="AR59" s="4524"/>
      <c r="AS59" s="3524"/>
      <c r="AT59" s="3524"/>
      <c r="AU59" s="3524"/>
      <c r="AV59" s="3524"/>
      <c r="AW59" s="3524"/>
    </row>
    <row r="60" spans="1:49" ht="15.75" customHeight="1">
      <c r="A60" s="4536" t="s">
        <v>334</v>
      </c>
      <c r="B60" s="3904">
        <f>'11. Амортиз. план'!BL10</f>
        <v>0</v>
      </c>
      <c r="C60" s="3904">
        <f>'11. Амортиз. план'!BN10</f>
        <v>0</v>
      </c>
      <c r="D60" s="3904">
        <f>'11. Амортиз. план'!BO10</f>
        <v>0</v>
      </c>
      <c r="E60" s="3904">
        <f>'11. Амортиз. план'!BP10</f>
        <v>0</v>
      </c>
      <c r="F60" s="3904">
        <f>'11. Амортиз. план'!BQ10</f>
        <v>0</v>
      </c>
      <c r="G60" s="3904">
        <f>'11. Амортиз. план'!BR10</f>
        <v>0</v>
      </c>
      <c r="H60" s="3524"/>
      <c r="I60" s="4542" t="s">
        <v>1605</v>
      </c>
      <c r="J60" s="3779">
        <f>'9.Инвестиционна програма'!BC37</f>
        <v>0</v>
      </c>
      <c r="K60" s="3779">
        <f>'9.Инвестиционна програма'!BD37</f>
        <v>0</v>
      </c>
      <c r="L60" s="3779">
        <f>'9.Инвестиционна програма'!BE37</f>
        <v>0</v>
      </c>
      <c r="M60" s="3779">
        <f>'9.Инвестиционна програма'!BF37</f>
        <v>0</v>
      </c>
      <c r="N60" s="3779">
        <f>'9.Инвестиционна програма'!BG37</f>
        <v>0</v>
      </c>
      <c r="O60" s="3904">
        <f t="shared" si="53"/>
        <v>0</v>
      </c>
      <c r="P60" s="4573">
        <f t="shared" si="51"/>
        <v>0</v>
      </c>
      <c r="Q60" s="4574"/>
      <c r="R60" s="3524"/>
      <c r="S60" s="4537" t="s">
        <v>1671</v>
      </c>
      <c r="T60" s="3904">
        <f>'12. Разходи'!BX93</f>
        <v>505.75761853024022</v>
      </c>
      <c r="U60" s="3904">
        <f>'12. Разходи'!BY93</f>
        <v>2378.73881983608</v>
      </c>
      <c r="V60" s="3904">
        <f>'12. Разходи'!BZ93</f>
        <v>2550.3438949192928</v>
      </c>
      <c r="W60" s="3904">
        <f>'12. Разходи'!CA93</f>
        <v>2789.7300123221344</v>
      </c>
      <c r="X60" s="3904">
        <f>'12. Разходи'!CB93</f>
        <v>3069.0382446327135</v>
      </c>
      <c r="Y60" s="3904">
        <f>'12. Разходи'!CC93</f>
        <v>3392.317578726168</v>
      </c>
      <c r="Z60" s="4535">
        <f t="shared" si="52"/>
        <v>3.7033178200040315</v>
      </c>
      <c r="AA60" s="4535">
        <f t="shared" si="57"/>
        <v>0.42609922133441042</v>
      </c>
      <c r="AB60" s="3524"/>
      <c r="AC60" s="3524"/>
      <c r="AD60" s="3523"/>
      <c r="AE60" s="3524"/>
      <c r="AF60" s="3524"/>
      <c r="AG60" s="3524"/>
      <c r="AH60" s="3524"/>
      <c r="AI60" s="3524"/>
      <c r="AJ60" s="3524"/>
      <c r="AK60" s="3524"/>
      <c r="AL60" s="4524"/>
      <c r="AM60" s="4524"/>
      <c r="AN60" s="4524"/>
      <c r="AO60" s="4524"/>
      <c r="AP60" s="4524"/>
      <c r="AQ60" s="3524"/>
      <c r="AR60" s="4524"/>
      <c r="AS60" s="3524"/>
      <c r="AT60" s="3524"/>
      <c r="AU60" s="3524"/>
      <c r="AV60" s="3524"/>
      <c r="AW60" s="3524"/>
    </row>
    <row r="61" spans="1:49" ht="15.75" customHeight="1">
      <c r="A61" s="4538" t="s">
        <v>218</v>
      </c>
      <c r="B61" s="4539">
        <f>'11. Амортиз. план'!BL35</f>
        <v>0</v>
      </c>
      <c r="C61" s="4539">
        <f>'11. Амортиз. план'!BN35</f>
        <v>0</v>
      </c>
      <c r="D61" s="4539">
        <f>'11. Амортиз. план'!BO35</f>
        <v>0</v>
      </c>
      <c r="E61" s="4539">
        <f>'11. Амортиз. план'!BP35</f>
        <v>0</v>
      </c>
      <c r="F61" s="4539">
        <f>'11. Амортиз. план'!BQ35</f>
        <v>0</v>
      </c>
      <c r="G61" s="4539">
        <f>'11. Амортиз. план'!BR35</f>
        <v>0</v>
      </c>
      <c r="H61" s="3524"/>
      <c r="I61" s="4542" t="s">
        <v>1606</v>
      </c>
      <c r="J61" s="3779">
        <f>'9.Инвестиционна програма'!BC38</f>
        <v>25.564594059810926</v>
      </c>
      <c r="K61" s="3779">
        <f>'9.Инвестиционна програма'!BD38</f>
        <v>25.564594059810926</v>
      </c>
      <c r="L61" s="3779">
        <f>'9.Инвестиционна програма'!BE38</f>
        <v>25.564594059810926</v>
      </c>
      <c r="M61" s="3779">
        <f>'9.Инвестиционна програма'!BF38</f>
        <v>25.564594059810926</v>
      </c>
      <c r="N61" s="3779">
        <f>'9.Инвестиционна програма'!BG38</f>
        <v>25.564594059810926</v>
      </c>
      <c r="O61" s="3904">
        <f t="shared" si="53"/>
        <v>127.82297029905463</v>
      </c>
      <c r="P61" s="4573">
        <f t="shared" si="51"/>
        <v>1.3254161806807337E-2</v>
      </c>
      <c r="Q61" s="4574"/>
      <c r="R61" s="3524"/>
      <c r="S61" s="4561" t="s">
        <v>1670</v>
      </c>
      <c r="T61" s="3779">
        <f>'12. Разходи'!BX94</f>
        <v>252.06689742973572</v>
      </c>
      <c r="U61" s="3779">
        <f>'12. Разходи'!BY94</f>
        <v>0</v>
      </c>
      <c r="V61" s="3779">
        <f>'12. Разходи'!BZ94</f>
        <v>0</v>
      </c>
      <c r="W61" s="3779">
        <f>'12. Разходи'!CA94</f>
        <v>0</v>
      </c>
      <c r="X61" s="3779">
        <f>'12. Разходи'!CB94</f>
        <v>0</v>
      </c>
      <c r="Y61" s="3779">
        <f>'12. Разходи'!CC94</f>
        <v>0</v>
      </c>
      <c r="Z61" s="4535">
        <f t="shared" si="52"/>
        <v>-1</v>
      </c>
      <c r="AA61" s="4535">
        <f t="shared" si="57"/>
        <v>0</v>
      </c>
      <c r="AB61" s="3524"/>
      <c r="AC61" s="3524"/>
      <c r="AD61" s="3523"/>
      <c r="AE61" s="3524"/>
      <c r="AF61" s="3524"/>
      <c r="AG61" s="3524"/>
      <c r="AH61" s="3524"/>
      <c r="AI61" s="3524"/>
      <c r="AJ61" s="3524"/>
      <c r="AK61" s="3524"/>
      <c r="AL61" s="4524"/>
      <c r="AM61" s="4524"/>
      <c r="AN61" s="4524"/>
      <c r="AO61" s="4524"/>
      <c r="AP61" s="4524"/>
      <c r="AQ61" s="3524"/>
      <c r="AR61" s="4524"/>
      <c r="AS61" s="3524"/>
      <c r="AT61" s="3524"/>
      <c r="AU61" s="3524"/>
      <c r="AV61" s="3524"/>
      <c r="AW61" s="3524"/>
    </row>
    <row r="62" spans="1:49" ht="15.75" customHeight="1">
      <c r="A62" s="4542" t="s">
        <v>220</v>
      </c>
      <c r="B62" s="3779">
        <f>'11. Амортиз. план'!BL60</f>
        <v>0</v>
      </c>
      <c r="C62" s="3779">
        <f>'11. Амортиз. план'!BN60</f>
        <v>0</v>
      </c>
      <c r="D62" s="3779">
        <f>'11. Амортиз. план'!BO60</f>
        <v>0</v>
      </c>
      <c r="E62" s="3779">
        <f>'11. Амортиз. план'!BP60</f>
        <v>0</v>
      </c>
      <c r="F62" s="3779">
        <f>'11. Амортиз. план'!BQ60</f>
        <v>0</v>
      </c>
      <c r="G62" s="3779">
        <f>'11. Амортиз. план'!BR60</f>
        <v>0</v>
      </c>
      <c r="H62" s="3524"/>
      <c r="I62" s="4542" t="s">
        <v>1607</v>
      </c>
      <c r="J62" s="3779">
        <f>'9.Инвестиционна програма'!BC39</f>
        <v>35.790431683735292</v>
      </c>
      <c r="K62" s="3779">
        <f>'9.Инвестиционна програма'!BD39</f>
        <v>35.790431683735292</v>
      </c>
      <c r="L62" s="3779">
        <f>'9.Инвестиционна програма'!BE39</f>
        <v>35.790431683735292</v>
      </c>
      <c r="M62" s="3779">
        <f>'9.Инвестиционна програма'!BF39</f>
        <v>30.677512871773111</v>
      </c>
      <c r="N62" s="3779">
        <f>'9.Инвестиционна програма'!BG39</f>
        <v>30.677512871773111</v>
      </c>
      <c r="O62" s="3904">
        <f t="shared" si="53"/>
        <v>168.7263207947521</v>
      </c>
      <c r="P62" s="4573">
        <f t="shared" si="51"/>
        <v>1.7495493584985682E-2</v>
      </c>
      <c r="Q62" s="4554"/>
      <c r="R62" s="3524"/>
      <c r="S62" s="4537" t="s">
        <v>1673</v>
      </c>
      <c r="T62" s="3779">
        <f>'12. Разходи'!BX90</f>
        <v>141.32107596263478</v>
      </c>
      <c r="U62" s="3779">
        <f>'12. Разходи'!BY90</f>
        <v>141.11655921015631</v>
      </c>
      <c r="V62" s="3779">
        <f>'12. Разходи'!BZ90</f>
        <v>141.11655921015631</v>
      </c>
      <c r="W62" s="3779">
        <f>'12. Разходи'!CA90</f>
        <v>141.11655921015631</v>
      </c>
      <c r="X62" s="3779">
        <f>'12. Разходи'!CB90</f>
        <v>141.62785109135251</v>
      </c>
      <c r="Y62" s="3779">
        <f>'12. Разходи'!CC90</f>
        <v>141.62785109135251</v>
      </c>
      <c r="Z62" s="4535">
        <f t="shared" si="52"/>
        <v>-1.4471780028942245E-3</v>
      </c>
      <c r="AA62" s="4535">
        <f t="shared" si="57"/>
        <v>3.6231884057969731E-3</v>
      </c>
      <c r="AB62" s="3524"/>
      <c r="AC62" s="3524"/>
      <c r="AD62" s="3523"/>
      <c r="AE62" s="3524"/>
      <c r="AF62" s="3524"/>
      <c r="AG62" s="3524"/>
      <c r="AH62" s="3524"/>
      <c r="AI62" s="3524"/>
      <c r="AJ62" s="3524"/>
      <c r="AK62" s="3524"/>
      <c r="AL62" s="4524"/>
      <c r="AM62" s="4524"/>
      <c r="AN62" s="4524"/>
      <c r="AO62" s="4524"/>
      <c r="AP62" s="4524"/>
      <c r="AQ62" s="3524"/>
      <c r="AR62" s="4524"/>
      <c r="AS62" s="3524"/>
      <c r="AT62" s="3524"/>
      <c r="AU62" s="3524"/>
      <c r="AV62" s="3524"/>
      <c r="AW62" s="3524"/>
    </row>
    <row r="63" spans="1:49" ht="14.25" customHeight="1">
      <c r="A63" s="4542" t="s">
        <v>222</v>
      </c>
      <c r="B63" s="3779">
        <f>'11. Амортиз. план'!BL85</f>
        <v>0</v>
      </c>
      <c r="C63" s="3779">
        <f>'11. Амортиз. план'!BN85</f>
        <v>0</v>
      </c>
      <c r="D63" s="3779">
        <f>'11. Амортиз. план'!BO85</f>
        <v>0</v>
      </c>
      <c r="E63" s="3779">
        <f>'11. Амортиз. план'!BP85</f>
        <v>0</v>
      </c>
      <c r="F63" s="3779">
        <f>'11. Амортиз. план'!BQ85</f>
        <v>0</v>
      </c>
      <c r="G63" s="3779">
        <f>'11. Амортиз. план'!BR85</f>
        <v>0</v>
      </c>
      <c r="H63" s="3524"/>
      <c r="I63" s="4542" t="s">
        <v>1574</v>
      </c>
      <c r="J63" s="3779">
        <f>'9.Инвестиционна програма'!BC40</f>
        <v>20.45167524784874</v>
      </c>
      <c r="K63" s="3779">
        <f>'9.Инвестиционна програма'!BD40</f>
        <v>20.45167524784874</v>
      </c>
      <c r="L63" s="3779">
        <f>'9.Инвестиционна програма'!BE40</f>
        <v>20.45167524784874</v>
      </c>
      <c r="M63" s="3779">
        <f>'9.Инвестиционна програма'!BF40</f>
        <v>20.45167524784874</v>
      </c>
      <c r="N63" s="3779">
        <f>'9.Инвестиционна програма'!BG40</f>
        <v>20.45167524784874</v>
      </c>
      <c r="O63" s="3904">
        <f t="shared" si="53"/>
        <v>102.2583762392437</v>
      </c>
      <c r="P63" s="4573">
        <f t="shared" si="51"/>
        <v>1.0603329445445869E-2</v>
      </c>
      <c r="Q63" s="4554"/>
      <c r="R63" s="3524"/>
      <c r="S63" s="4537" t="s">
        <v>1232</v>
      </c>
      <c r="T63" s="3779">
        <f>'12. Разходи'!BX89</f>
        <v>373.84482447349717</v>
      </c>
      <c r="U63" s="3779">
        <f>'12. Разходи'!BY89</f>
        <v>433.78450376566474</v>
      </c>
      <c r="V63" s="3779">
        <f>'12. Разходи'!BZ89</f>
        <v>428.99387983618209</v>
      </c>
      <c r="W63" s="3779">
        <f>'12. Разходи'!CA89</f>
        <v>422.44860238364276</v>
      </c>
      <c r="X63" s="3779">
        <f>'12. Разходи'!CB89</f>
        <v>419.52371627390932</v>
      </c>
      <c r="Y63" s="3779">
        <f>'12. Разходи'!CC89</f>
        <v>417.11012204537201</v>
      </c>
      <c r="Z63" s="4535">
        <f t="shared" si="52"/>
        <v>0.16033304560677916</v>
      </c>
      <c r="AA63" s="4535">
        <f t="shared" si="57"/>
        <v>-3.8439320850660028E-2</v>
      </c>
      <c r="AB63" s="3524"/>
      <c r="AC63" s="3524"/>
      <c r="AD63" s="3523"/>
      <c r="AE63" s="3524"/>
      <c r="AF63" s="3524"/>
      <c r="AG63" s="3524"/>
      <c r="AH63" s="3524"/>
      <c r="AI63" s="3524"/>
      <c r="AJ63" s="3524"/>
      <c r="AK63" s="3524"/>
      <c r="AL63" s="4524"/>
      <c r="AM63" s="4524"/>
      <c r="AN63" s="4524"/>
      <c r="AO63" s="4524"/>
      <c r="AP63" s="4524"/>
      <c r="AQ63" s="3524"/>
      <c r="AR63" s="4524"/>
      <c r="AS63" s="3524"/>
      <c r="AT63" s="3524"/>
      <c r="AU63" s="3524"/>
      <c r="AV63" s="3524"/>
      <c r="AW63" s="3524"/>
    </row>
    <row r="64" spans="1:49" ht="20.25" customHeight="1">
      <c r="A64" s="5686" t="s">
        <v>1658</v>
      </c>
      <c r="B64" s="5686"/>
      <c r="C64" s="5686"/>
      <c r="D64" s="5686"/>
      <c r="E64" s="5686"/>
      <c r="F64" s="5686"/>
      <c r="G64" s="5686"/>
      <c r="H64" s="3524"/>
      <c r="I64" s="4542" t="s">
        <v>1608</v>
      </c>
      <c r="J64" s="3779">
        <f>'9.Инвестиционна програма'!BC42</f>
        <v>0</v>
      </c>
      <c r="K64" s="3779">
        <f>'9.Инвестиционна програма'!BD42</f>
        <v>0</v>
      </c>
      <c r="L64" s="3779">
        <f>'9.Инвестиционна програма'!BE42</f>
        <v>0</v>
      </c>
      <c r="M64" s="3779">
        <f>'9.Инвестиционна програма'!BF42</f>
        <v>0</v>
      </c>
      <c r="N64" s="3779">
        <f>'9.Инвестиционна програма'!BG42</f>
        <v>0</v>
      </c>
      <c r="O64" s="3904">
        <f t="shared" si="53"/>
        <v>0</v>
      </c>
      <c r="P64" s="4573">
        <f t="shared" si="51"/>
        <v>0</v>
      </c>
      <c r="Q64" s="4554"/>
      <c r="R64" s="3524"/>
      <c r="S64" s="3528"/>
      <c r="T64" s="3524"/>
      <c r="U64" s="3524"/>
      <c r="V64" s="3524"/>
      <c r="W64" s="3524"/>
      <c r="X64" s="3524"/>
      <c r="Y64" s="3524"/>
      <c r="Z64" s="3524"/>
      <c r="AA64" s="3524"/>
      <c r="AB64" s="3524"/>
      <c r="AC64" s="3524"/>
      <c r="AD64" s="3523"/>
      <c r="AE64" s="3524"/>
      <c r="AF64" s="3524"/>
      <c r="AG64" s="3524"/>
      <c r="AH64" s="3524"/>
      <c r="AI64" s="3524"/>
      <c r="AJ64" s="3524"/>
      <c r="AK64" s="3524"/>
      <c r="AL64" s="4524"/>
      <c r="AM64" s="4524"/>
      <c r="AN64" s="4524"/>
      <c r="AO64" s="4524"/>
      <c r="AP64" s="4524"/>
      <c r="AQ64" s="3524"/>
      <c r="AR64" s="4524"/>
      <c r="AS64" s="3524"/>
      <c r="AT64" s="3524"/>
      <c r="AU64" s="3524"/>
      <c r="AV64" s="3524"/>
      <c r="AW64" s="3524"/>
    </row>
    <row r="65" spans="1:49" ht="15.75" customHeight="1">
      <c r="A65" s="4536" t="s">
        <v>334</v>
      </c>
      <c r="B65" s="3904">
        <f>'11. Амортиз. план'!BL111</f>
        <v>0</v>
      </c>
      <c r="C65" s="3904">
        <f>'11. Амортиз. план'!BN111</f>
        <v>0</v>
      </c>
      <c r="D65" s="3904">
        <f>'11. Амортиз. план'!BO111</f>
        <v>0</v>
      </c>
      <c r="E65" s="3904">
        <f>'11. Амортиз. план'!BP111</f>
        <v>0</v>
      </c>
      <c r="F65" s="3904">
        <f>'11. Амортиз. план'!BQ111</f>
        <v>0</v>
      </c>
      <c r="G65" s="3904">
        <f>'11. Амортиз. план'!BR111</f>
        <v>0</v>
      </c>
      <c r="H65" s="3524"/>
      <c r="I65" s="4542" t="s">
        <v>1602</v>
      </c>
      <c r="J65" s="3779">
        <f>'9.Инвестиционна програма'!BC41</f>
        <v>0</v>
      </c>
      <c r="K65" s="3779">
        <f>'9.Инвестиционна програма'!BD41</f>
        <v>0</v>
      </c>
      <c r="L65" s="3779">
        <f>'9.Инвестиционна програма'!BE41</f>
        <v>0</v>
      </c>
      <c r="M65" s="3779">
        <f>'9.Инвестиционна програма'!BF41</f>
        <v>0</v>
      </c>
      <c r="N65" s="3779">
        <f>'9.Инвестиционна програма'!BG41</f>
        <v>0</v>
      </c>
      <c r="O65" s="3904">
        <f t="shared" si="53"/>
        <v>0</v>
      </c>
      <c r="P65" s="4573">
        <f t="shared" si="51"/>
        <v>0</v>
      </c>
      <c r="Q65" s="4554"/>
      <c r="R65" s="3524"/>
      <c r="S65" s="3528"/>
      <c r="T65" s="3524"/>
      <c r="U65" s="3524"/>
      <c r="V65" s="3524"/>
      <c r="W65" s="3524"/>
      <c r="X65" s="3524"/>
      <c r="Y65" s="3524"/>
      <c r="Z65" s="3524"/>
      <c r="AA65" s="3524"/>
      <c r="AB65" s="3524"/>
      <c r="AC65" s="3524"/>
      <c r="AD65" s="3523"/>
      <c r="AE65" s="3524"/>
      <c r="AF65" s="3524"/>
      <c r="AG65" s="3524"/>
      <c r="AH65" s="3524"/>
      <c r="AI65" s="3524"/>
      <c r="AJ65" s="3524"/>
      <c r="AK65" s="3524"/>
      <c r="AL65" s="4524"/>
      <c r="AM65" s="4524"/>
      <c r="AN65" s="4524"/>
      <c r="AO65" s="4524"/>
      <c r="AP65" s="4524"/>
      <c r="AQ65" s="3524"/>
      <c r="AR65" s="4524"/>
      <c r="AS65" s="3524"/>
      <c r="AT65" s="3524"/>
      <c r="AU65" s="3524"/>
      <c r="AV65" s="3524"/>
      <c r="AW65" s="3524"/>
    </row>
    <row r="66" spans="1:49" ht="15" customHeight="1">
      <c r="A66" s="4538" t="s">
        <v>218</v>
      </c>
      <c r="B66" s="4539">
        <f>'11. Амортиз. план'!BL131</f>
        <v>0</v>
      </c>
      <c r="C66" s="4539">
        <f>'11. Амортиз. план'!BN131</f>
        <v>0</v>
      </c>
      <c r="D66" s="4539">
        <f>'11. Амортиз. план'!BO131</f>
        <v>0</v>
      </c>
      <c r="E66" s="4539">
        <f>'11. Амортиз. план'!BP131</f>
        <v>0</v>
      </c>
      <c r="F66" s="4539">
        <f>'11. Амортиз. план'!BQ131</f>
        <v>0</v>
      </c>
      <c r="G66" s="4539">
        <f>'11. Амортиз. план'!BR131</f>
        <v>0</v>
      </c>
      <c r="H66" s="3524"/>
      <c r="I66" s="4538" t="s">
        <v>1609</v>
      </c>
      <c r="J66" s="4539">
        <f>SUM(J60:J65)</f>
        <v>81.806700991394962</v>
      </c>
      <c r="K66" s="4539">
        <f t="shared" ref="K66:N66" si="58">SUM(K60:K65)</f>
        <v>81.806700991394962</v>
      </c>
      <c r="L66" s="4539">
        <f t="shared" si="58"/>
        <v>81.806700991394962</v>
      </c>
      <c r="M66" s="4539">
        <f t="shared" si="58"/>
        <v>76.693782179432773</v>
      </c>
      <c r="N66" s="4539">
        <f t="shared" si="58"/>
        <v>76.693782179432773</v>
      </c>
      <c r="O66" s="4577">
        <f t="shared" si="53"/>
        <v>398.80766733305046</v>
      </c>
      <c r="P66" s="4575">
        <f t="shared" si="51"/>
        <v>4.1352984837238892E-2</v>
      </c>
      <c r="Q66" s="4554"/>
      <c r="R66" s="3524"/>
      <c r="S66" s="3528"/>
      <c r="T66" s="3524"/>
      <c r="U66" s="3524"/>
      <c r="V66" s="3524"/>
      <c r="W66" s="3524"/>
      <c r="X66" s="3524"/>
      <c r="Y66" s="3524"/>
      <c r="Z66" s="3524"/>
      <c r="AA66" s="3524"/>
      <c r="AB66" s="3524"/>
      <c r="AC66" s="3524"/>
      <c r="AD66" s="3523"/>
      <c r="AE66" s="3524"/>
      <c r="AF66" s="3524"/>
      <c r="AG66" s="3524"/>
      <c r="AH66" s="3524"/>
      <c r="AI66" s="3524"/>
      <c r="AJ66" s="3524"/>
      <c r="AK66" s="3524"/>
      <c r="AL66" s="4524"/>
      <c r="AM66" s="4524"/>
      <c r="AN66" s="4524"/>
      <c r="AO66" s="4524"/>
      <c r="AP66" s="4524"/>
      <c r="AQ66" s="3524"/>
      <c r="AR66" s="4524"/>
      <c r="AS66" s="3524"/>
      <c r="AT66" s="3524"/>
      <c r="AU66" s="3524"/>
      <c r="AV66" s="3524"/>
      <c r="AW66" s="3524"/>
    </row>
    <row r="67" spans="1:49" ht="20.25" customHeight="1">
      <c r="A67" s="4542" t="s">
        <v>220</v>
      </c>
      <c r="B67" s="3779">
        <f>'11. Амортиз. план'!BL151</f>
        <v>0</v>
      </c>
      <c r="C67" s="3779">
        <f>'11. Амортиз. план'!BN151</f>
        <v>0</v>
      </c>
      <c r="D67" s="3779">
        <f>'11. Амортиз. план'!BO151</f>
        <v>0</v>
      </c>
      <c r="E67" s="3779">
        <f>'11. Амортиз. план'!BP151</f>
        <v>0</v>
      </c>
      <c r="F67" s="3779">
        <f>'11. Амортиз. план'!BQ151</f>
        <v>0</v>
      </c>
      <c r="G67" s="3779">
        <f>'11. Амортиз. план'!BR151</f>
        <v>0</v>
      </c>
      <c r="H67" s="3524"/>
      <c r="I67" s="4538" t="s">
        <v>1604</v>
      </c>
      <c r="J67" s="4539">
        <f>SUM('9.Инвестиционна програма'!BC43:BC47)</f>
        <v>7.6693782179432777</v>
      </c>
      <c r="K67" s="4539">
        <f>SUM('9.Инвестиционна програма'!BD43:BD47)</f>
        <v>5.1129188119621851</v>
      </c>
      <c r="L67" s="4539">
        <f>SUM('9.Инвестиционна програма'!BE43:BE47)</f>
        <v>5.1129188119621851</v>
      </c>
      <c r="M67" s="4539">
        <f>SUM('9.Инвестиционна програма'!BF43:BF47)</f>
        <v>5.1129188119621851</v>
      </c>
      <c r="N67" s="4539">
        <f>SUM('9.Инвестиционна програма'!BG43:BG47)</f>
        <v>5.1129188119621851</v>
      </c>
      <c r="O67" s="4577">
        <f t="shared" si="53"/>
        <v>28.121053465792016</v>
      </c>
      <c r="P67" s="4575">
        <f t="shared" si="51"/>
        <v>2.9159155974976137E-3</v>
      </c>
      <c r="Q67" s="4554"/>
      <c r="R67" s="3524"/>
      <c r="S67" s="3528"/>
      <c r="T67" s="3524"/>
      <c r="U67" s="3524"/>
      <c r="V67" s="3524"/>
      <c r="W67" s="3524"/>
      <c r="X67" s="3524"/>
      <c r="Y67" s="3524"/>
      <c r="Z67" s="3524"/>
      <c r="AA67" s="3524"/>
      <c r="AB67" s="3524"/>
      <c r="AC67" s="3524"/>
      <c r="AD67" s="3523"/>
      <c r="AE67" s="3524"/>
      <c r="AF67" s="3524"/>
      <c r="AG67" s="3524"/>
      <c r="AH67" s="3524"/>
      <c r="AI67" s="3524"/>
      <c r="AJ67" s="3524"/>
      <c r="AK67" s="3524"/>
      <c r="AL67" s="4524"/>
      <c r="AM67" s="4524"/>
      <c r="AN67" s="4524"/>
      <c r="AO67" s="4524"/>
      <c r="AP67" s="4524"/>
      <c r="AQ67" s="3524"/>
      <c r="AR67" s="4524"/>
      <c r="AS67" s="3524"/>
      <c r="AT67" s="3524"/>
      <c r="AU67" s="3524"/>
      <c r="AV67" s="3524"/>
      <c r="AW67" s="3524"/>
    </row>
    <row r="68" spans="1:49" ht="20.25" customHeight="1">
      <c r="A68" s="4542" t="s">
        <v>222</v>
      </c>
      <c r="B68" s="3779">
        <f>'11. Амортиз. план'!BL171</f>
        <v>0</v>
      </c>
      <c r="C68" s="3779">
        <f>'11. Амортиз. план'!BN171</f>
        <v>0</v>
      </c>
      <c r="D68" s="3779">
        <f>'11. Амортиз. план'!BO171</f>
        <v>0</v>
      </c>
      <c r="E68" s="3779">
        <f>'11. Амортиз. план'!BP171</f>
        <v>0</v>
      </c>
      <c r="F68" s="3779">
        <f>'11. Амортиз. план'!BQ171</f>
        <v>0</v>
      </c>
      <c r="G68" s="3779">
        <f>'11. Амортиз. план'!BR171</f>
        <v>0</v>
      </c>
      <c r="H68" s="3524"/>
      <c r="I68" s="3772" t="s">
        <v>208</v>
      </c>
      <c r="J68" s="4547">
        <f>J66+J67</f>
        <v>89.476079209338238</v>
      </c>
      <c r="K68" s="4547">
        <f t="shared" ref="K68:N68" si="59">K66+K67</f>
        <v>86.919619803357151</v>
      </c>
      <c r="L68" s="4547">
        <f t="shared" si="59"/>
        <v>86.919619803357151</v>
      </c>
      <c r="M68" s="4547">
        <f t="shared" si="59"/>
        <v>81.806700991394962</v>
      </c>
      <c r="N68" s="4547">
        <f t="shared" si="59"/>
        <v>81.806700991394962</v>
      </c>
      <c r="O68" s="4547">
        <f t="shared" ref="O68" si="60">SUM(J68:N68)</f>
        <v>426.92872079884245</v>
      </c>
      <c r="P68" s="4548">
        <f t="shared" si="51"/>
        <v>4.4268900434736504E-2</v>
      </c>
      <c r="Q68" s="4554"/>
      <c r="R68" s="3524"/>
      <c r="S68" s="3528"/>
      <c r="T68" s="3524"/>
      <c r="U68" s="3524"/>
      <c r="V68" s="3524"/>
      <c r="W68" s="3524"/>
      <c r="X68" s="3524"/>
      <c r="Y68" s="3524"/>
      <c r="Z68" s="3524"/>
      <c r="AA68" s="3524"/>
      <c r="AB68" s="3524"/>
      <c r="AC68" s="3524"/>
      <c r="AD68" s="3523"/>
      <c r="AE68" s="3524"/>
      <c r="AF68" s="3524"/>
      <c r="AG68" s="3524"/>
      <c r="AH68" s="3524"/>
      <c r="AI68" s="3524"/>
      <c r="AJ68" s="3524"/>
      <c r="AK68" s="3524"/>
      <c r="AL68" s="4524"/>
      <c r="AM68" s="4524"/>
      <c r="AN68" s="4524"/>
      <c r="AO68" s="4524"/>
      <c r="AP68" s="4524"/>
      <c r="AQ68" s="3524"/>
      <c r="AR68" s="4524"/>
      <c r="AS68" s="3524"/>
      <c r="AT68" s="3524"/>
      <c r="AU68" s="3524"/>
      <c r="AV68" s="3524"/>
      <c r="AW68" s="3524"/>
    </row>
    <row r="69" spans="1:49" ht="14.25" customHeight="1">
      <c r="A69" s="5686" t="s">
        <v>1659</v>
      </c>
      <c r="B69" s="5686"/>
      <c r="C69" s="5686"/>
      <c r="D69" s="5686"/>
      <c r="E69" s="5686"/>
      <c r="F69" s="5686"/>
      <c r="G69" s="5686"/>
      <c r="H69" s="3524"/>
      <c r="I69" s="4542" t="s">
        <v>1610</v>
      </c>
      <c r="J69" s="3779">
        <f>'9.Инвестиционна програма'!BC49</f>
        <v>51.129188119621851</v>
      </c>
      <c r="K69" s="3779">
        <f>'9.Инвестиционна програма'!BD49</f>
        <v>51.129188119621851</v>
      </c>
      <c r="L69" s="3779">
        <f>'9.Инвестиционна програма'!BE49</f>
        <v>51.129188119621851</v>
      </c>
      <c r="M69" s="3779">
        <f>'9.Инвестиционна програма'!BF49</f>
        <v>51.129188119621851</v>
      </c>
      <c r="N69" s="3779">
        <f>'9.Инвестиционна програма'!BG49</f>
        <v>51.129188119621851</v>
      </c>
      <c r="O69" s="4578">
        <f t="shared" si="53"/>
        <v>255.64594059810926</v>
      </c>
      <c r="P69" s="4573">
        <f t="shared" si="51"/>
        <v>2.6508323613614673E-2</v>
      </c>
      <c r="Q69" s="4554"/>
      <c r="R69" s="3524"/>
      <c r="S69" s="3528"/>
      <c r="T69" s="3524"/>
      <c r="U69" s="3524"/>
      <c r="V69" s="3524"/>
      <c r="W69" s="3524"/>
      <c r="X69" s="3524"/>
      <c r="Y69" s="3524"/>
      <c r="Z69" s="3524"/>
      <c r="AA69" s="3524"/>
      <c r="AB69" s="3524"/>
      <c r="AC69" s="3524"/>
      <c r="AD69" s="3523"/>
      <c r="AE69" s="3524"/>
      <c r="AF69" s="3524"/>
      <c r="AG69" s="3524"/>
      <c r="AH69" s="3524"/>
      <c r="AI69" s="3524"/>
      <c r="AJ69" s="3524"/>
      <c r="AK69" s="3524"/>
      <c r="AL69" s="4524"/>
      <c r="AM69" s="4524"/>
      <c r="AN69" s="4524"/>
      <c r="AO69" s="4524"/>
      <c r="AP69" s="4524"/>
      <c r="AQ69" s="3524"/>
      <c r="AR69" s="4524"/>
      <c r="AS69" s="3524"/>
      <c r="AT69" s="3524"/>
      <c r="AU69" s="3524"/>
      <c r="AV69" s="3524"/>
      <c r="AW69" s="3524"/>
    </row>
    <row r="70" spans="1:49" ht="14.25" customHeight="1">
      <c r="A70" s="4536" t="s">
        <v>334</v>
      </c>
      <c r="B70" s="3904">
        <f>'11. Амортиз. план'!BL192</f>
        <v>0</v>
      </c>
      <c r="C70" s="3904">
        <f>'11. Амортиз. план'!BN192</f>
        <v>0</v>
      </c>
      <c r="D70" s="3904">
        <f>'11. Амортиз. план'!BO192</f>
        <v>0</v>
      </c>
      <c r="E70" s="3904">
        <f>'11. Амортиз. план'!BP192</f>
        <v>0</v>
      </c>
      <c r="F70" s="3904">
        <f>'11. Амортиз. план'!BQ192</f>
        <v>0</v>
      </c>
      <c r="G70" s="3904">
        <f>'11. Амортиз. план'!BR192</f>
        <v>0</v>
      </c>
      <c r="H70" s="3524"/>
      <c r="I70" s="4542" t="s">
        <v>1602</v>
      </c>
      <c r="J70" s="3779">
        <f>'9.Инвестиционна програма'!BC51</f>
        <v>0</v>
      </c>
      <c r="K70" s="3779">
        <f>'9.Инвестиционна програма'!BD51</f>
        <v>0</v>
      </c>
      <c r="L70" s="3779">
        <f>'9.Инвестиционна програма'!BE51</f>
        <v>0</v>
      </c>
      <c r="M70" s="3779">
        <f>'9.Инвестиционна програма'!BF51</f>
        <v>0</v>
      </c>
      <c r="N70" s="3779">
        <f>'9.Инвестиционна програма'!BG51</f>
        <v>0</v>
      </c>
      <c r="O70" s="4578">
        <f t="shared" si="53"/>
        <v>0</v>
      </c>
      <c r="P70" s="4573">
        <f t="shared" si="51"/>
        <v>0</v>
      </c>
      <c r="Q70" s="4554"/>
      <c r="R70" s="3524"/>
      <c r="S70" s="3528"/>
      <c r="T70" s="3524"/>
      <c r="U70" s="3524"/>
      <c r="V70" s="3524"/>
      <c r="W70" s="3524"/>
      <c r="X70" s="3524"/>
      <c r="Y70" s="3524"/>
      <c r="Z70" s="3524"/>
      <c r="AA70" s="3524"/>
      <c r="AB70" s="3524"/>
      <c r="AC70" s="3524"/>
      <c r="AD70" s="3523"/>
      <c r="AE70" s="3524"/>
      <c r="AF70" s="3524"/>
      <c r="AG70" s="3524"/>
      <c r="AH70" s="3524"/>
      <c r="AI70" s="3524"/>
      <c r="AJ70" s="3524"/>
      <c r="AK70" s="3524"/>
      <c r="AL70" s="4524"/>
      <c r="AM70" s="4524"/>
      <c r="AN70" s="4524"/>
      <c r="AO70" s="4524"/>
      <c r="AP70" s="4524"/>
      <c r="AQ70" s="3524"/>
      <c r="AR70" s="4524"/>
      <c r="AS70" s="3524"/>
      <c r="AT70" s="3524"/>
      <c r="AU70" s="3524"/>
      <c r="AV70" s="3524"/>
      <c r="AW70" s="3524"/>
    </row>
    <row r="71" spans="1:49" ht="12.75" customHeight="1">
      <c r="A71" s="4538" t="s">
        <v>218</v>
      </c>
      <c r="B71" s="4539">
        <f>'11. Амортиз. план'!BL214</f>
        <v>0</v>
      </c>
      <c r="C71" s="4539">
        <f>'11. Амортиз. план'!BN214</f>
        <v>0</v>
      </c>
      <c r="D71" s="4539">
        <f>'11. Амортиз. план'!BO214</f>
        <v>0</v>
      </c>
      <c r="E71" s="4539">
        <f>'11. Амортиз. план'!BP214</f>
        <v>0</v>
      </c>
      <c r="F71" s="4539">
        <f>'11. Амортиз. план'!BQ214</f>
        <v>0</v>
      </c>
      <c r="G71" s="4539">
        <f>'11. Амортиз. план'!BR214</f>
        <v>0</v>
      </c>
      <c r="H71" s="3524"/>
      <c r="I71" s="4538" t="s">
        <v>1611</v>
      </c>
      <c r="J71" s="4539">
        <f>SUM(J69:J70)</f>
        <v>51.129188119621851</v>
      </c>
      <c r="K71" s="4539">
        <f>SUM(K69:K70)</f>
        <v>51.129188119621851</v>
      </c>
      <c r="L71" s="4539">
        <f>SUM(L69:L70)</f>
        <v>51.129188119621851</v>
      </c>
      <c r="M71" s="4539">
        <f>SUM(M69:M70)</f>
        <v>51.129188119621851</v>
      </c>
      <c r="N71" s="4539">
        <f>SUM(N69:N70)</f>
        <v>51.129188119621851</v>
      </c>
      <c r="O71" s="4578">
        <f t="shared" si="53"/>
        <v>255.64594059810926</v>
      </c>
      <c r="P71" s="4575">
        <f t="shared" si="51"/>
        <v>2.6508323613614673E-2</v>
      </c>
      <c r="Q71" s="4554"/>
      <c r="R71" s="3524"/>
      <c r="S71" s="3528"/>
      <c r="T71" s="3524"/>
      <c r="U71" s="3524"/>
      <c r="V71" s="3524"/>
      <c r="W71" s="3524"/>
      <c r="X71" s="3524"/>
      <c r="Y71" s="3524"/>
      <c r="Z71" s="3524"/>
      <c r="AA71" s="3524"/>
      <c r="AB71" s="3524"/>
      <c r="AC71" s="3524"/>
      <c r="AD71" s="3523"/>
      <c r="AE71" s="3524"/>
      <c r="AF71" s="3524"/>
      <c r="AG71" s="3524"/>
      <c r="AH71" s="3524"/>
      <c r="AI71" s="3524"/>
      <c r="AJ71" s="3524"/>
      <c r="AK71" s="3524"/>
      <c r="AL71" s="4524"/>
      <c r="AM71" s="4524"/>
      <c r="AN71" s="4524"/>
      <c r="AO71" s="4524"/>
      <c r="AP71" s="4524"/>
      <c r="AQ71" s="3524"/>
      <c r="AR71" s="3524"/>
      <c r="AS71" s="3524"/>
      <c r="AT71" s="3524"/>
      <c r="AU71" s="3524"/>
      <c r="AV71" s="3524"/>
      <c r="AW71" s="3524"/>
    </row>
    <row r="72" spans="1:49" ht="15.75" customHeight="1">
      <c r="A72" s="4542" t="s">
        <v>220</v>
      </c>
      <c r="B72" s="3779">
        <f>'11. Амортиз. план'!BL236</f>
        <v>0</v>
      </c>
      <c r="C72" s="3779">
        <f>'11. Амортиз. план'!BN236</f>
        <v>0</v>
      </c>
      <c r="D72" s="3779">
        <f>'11. Амортиз. план'!BO236</f>
        <v>0</v>
      </c>
      <c r="E72" s="3779">
        <f>'11. Амортиз. план'!BP236</f>
        <v>0</v>
      </c>
      <c r="F72" s="3779">
        <f>'11. Амортиз. план'!BQ236</f>
        <v>0</v>
      </c>
      <c r="G72" s="3779">
        <f>'11. Амортиз. план'!BR236</f>
        <v>0</v>
      </c>
      <c r="H72" s="3524"/>
      <c r="I72" s="4538" t="s">
        <v>1604</v>
      </c>
      <c r="J72" s="4539">
        <f>SUM('9.Инвестиционна програма'!BC52:BC56,'9.Инвестиционна програма'!BC50)</f>
        <v>35.790431683735292</v>
      </c>
      <c r="K72" s="4539">
        <f>SUM('9.Инвестиционна програма'!BD52:BD56,'9.Инвестиционна програма'!BD50)</f>
        <v>25.564594059810926</v>
      </c>
      <c r="L72" s="4539">
        <f>SUM('9.Инвестиционна програма'!BE52:BE56,'9.Инвестиционна програма'!BE50)</f>
        <v>20.45167524784874</v>
      </c>
      <c r="M72" s="4539">
        <f>SUM('9.Инвестиционна програма'!BF52:BF56,'9.Инвестиционна програма'!BF50)</f>
        <v>35.790431683735292</v>
      </c>
      <c r="N72" s="4539">
        <f>SUM('9.Инвестиционна програма'!BG52:BG56,'9.Инвестиционна програма'!BG50)</f>
        <v>20.45167524784874</v>
      </c>
      <c r="O72" s="3904">
        <f t="shared" si="53"/>
        <v>138.04880792297899</v>
      </c>
      <c r="P72" s="4575">
        <f t="shared" si="51"/>
        <v>1.4314494751351924E-2</v>
      </c>
      <c r="Q72" s="4554"/>
      <c r="R72" s="3524"/>
      <c r="S72" s="3528"/>
      <c r="T72" s="3524"/>
      <c r="U72" s="3524"/>
      <c r="V72" s="3524"/>
      <c r="W72" s="3524"/>
      <c r="X72" s="3524"/>
      <c r="Y72" s="3524"/>
      <c r="Z72" s="3524"/>
      <c r="AA72" s="3524"/>
      <c r="AB72" s="3524"/>
      <c r="AC72" s="3524"/>
      <c r="AD72" s="3523"/>
      <c r="AE72" s="3524"/>
      <c r="AF72" s="3524"/>
      <c r="AG72" s="3524"/>
      <c r="AH72" s="3524"/>
      <c r="AI72" s="3524"/>
      <c r="AJ72" s="3524"/>
      <c r="AK72" s="3524"/>
      <c r="AL72" s="4524"/>
      <c r="AM72" s="4524"/>
      <c r="AN72" s="4524"/>
      <c r="AO72" s="4524"/>
      <c r="AP72" s="4524"/>
      <c r="AQ72" s="3524"/>
      <c r="AR72" s="3524"/>
      <c r="AS72" s="3524"/>
      <c r="AT72" s="3524"/>
      <c r="AU72" s="3524"/>
      <c r="AV72" s="3524"/>
      <c r="AW72" s="3524"/>
    </row>
    <row r="73" spans="1:49" ht="15.75" customHeight="1">
      <c r="A73" s="4542" t="s">
        <v>222</v>
      </c>
      <c r="B73" s="3779">
        <f>'11. Амортиз. план'!BL258</f>
        <v>0</v>
      </c>
      <c r="C73" s="3779">
        <f>'11. Амортиз. план'!BN258</f>
        <v>0</v>
      </c>
      <c r="D73" s="3779">
        <f>'11. Амортиз. план'!BO258</f>
        <v>0</v>
      </c>
      <c r="E73" s="3779">
        <f>'11. Амортиз. план'!BP258</f>
        <v>0</v>
      </c>
      <c r="F73" s="3779">
        <f>'11. Амортиз. план'!BQ258</f>
        <v>0</v>
      </c>
      <c r="G73" s="3779">
        <f>'11. Амортиз. план'!BR258</f>
        <v>0</v>
      </c>
      <c r="H73" s="3524"/>
      <c r="I73" s="3772" t="s">
        <v>209</v>
      </c>
      <c r="J73" s="4547">
        <f>J71+J72</f>
        <v>86.919619803357136</v>
      </c>
      <c r="K73" s="4547">
        <f t="shared" ref="K73:N73" si="61">K71+K72</f>
        <v>76.693782179432773</v>
      </c>
      <c r="L73" s="4547">
        <f t="shared" si="61"/>
        <v>71.580863367470585</v>
      </c>
      <c r="M73" s="4547">
        <f t="shared" si="61"/>
        <v>86.919619803357136</v>
      </c>
      <c r="N73" s="4547">
        <f t="shared" si="61"/>
        <v>71.580863367470585</v>
      </c>
      <c r="O73" s="4547">
        <f t="shared" ref="O73:O88" si="62">SUM(J73:N73)</f>
        <v>393.69474852108817</v>
      </c>
      <c r="P73" s="4548">
        <f t="shared" si="51"/>
        <v>4.0822818364966589E-2</v>
      </c>
      <c r="Q73" s="4554"/>
      <c r="R73" s="3524"/>
      <c r="S73" s="3528"/>
      <c r="T73" s="3524"/>
      <c r="U73" s="3524"/>
      <c r="V73" s="3524"/>
      <c r="W73" s="3524"/>
      <c r="X73" s="3524"/>
      <c r="Y73" s="3524"/>
      <c r="Z73" s="3524"/>
      <c r="AA73" s="3524"/>
      <c r="AB73" s="3524"/>
      <c r="AC73" s="3524"/>
      <c r="AD73" s="3523"/>
      <c r="AE73" s="3524"/>
      <c r="AF73" s="3524"/>
      <c r="AG73" s="3524"/>
      <c r="AH73" s="3524"/>
      <c r="AI73" s="3524"/>
      <c r="AJ73" s="3524"/>
      <c r="AK73" s="3524"/>
      <c r="AL73" s="4524"/>
      <c r="AM73" s="4524"/>
      <c r="AN73" s="4524"/>
      <c r="AO73" s="4524"/>
      <c r="AP73" s="4524"/>
      <c r="AQ73" s="3524"/>
      <c r="AR73" s="3524"/>
      <c r="AS73" s="3524"/>
      <c r="AT73" s="3524"/>
      <c r="AU73" s="3524"/>
      <c r="AV73" s="3524"/>
      <c r="AW73" s="3524"/>
    </row>
    <row r="74" spans="1:49" ht="20.25" customHeight="1">
      <c r="A74" s="3524"/>
      <c r="B74" s="3524"/>
      <c r="C74" s="3524"/>
      <c r="D74" s="3524"/>
      <c r="E74" s="3524"/>
      <c r="F74" s="3524"/>
      <c r="G74" s="3524"/>
      <c r="H74" s="3524"/>
      <c r="I74" s="4579" t="s">
        <v>1612</v>
      </c>
      <c r="J74" s="4547">
        <f>'9.Инвестиционна програма'!BC57</f>
        <v>40.903350495697481</v>
      </c>
      <c r="K74" s="4547">
        <f>'9.Инвестиционна програма'!BD57</f>
        <v>40.903350495697481</v>
      </c>
      <c r="L74" s="4547">
        <f>'9.Инвестиционна програма'!BE57</f>
        <v>40.903350495697481</v>
      </c>
      <c r="M74" s="4547">
        <f>'9.Инвестиционна програма'!BF57</f>
        <v>40.903350495697481</v>
      </c>
      <c r="N74" s="4547">
        <f>'9.Инвестиционна програма'!BG57</f>
        <v>40.903350495697481</v>
      </c>
      <c r="O74" s="4547">
        <f t="shared" si="62"/>
        <v>204.5167524784874</v>
      </c>
      <c r="P74" s="4548">
        <f t="shared" si="51"/>
        <v>2.1206658890891739E-2</v>
      </c>
      <c r="Q74" s="4554"/>
      <c r="R74" s="3524"/>
      <c r="S74" s="3528"/>
      <c r="T74" s="3524"/>
      <c r="U74" s="3524"/>
      <c r="V74" s="3524"/>
      <c r="W74" s="3524"/>
      <c r="X74" s="3524"/>
      <c r="Y74" s="3524"/>
      <c r="Z74" s="3524"/>
      <c r="AA74" s="3524"/>
      <c r="AB74" s="3524"/>
      <c r="AC74" s="3524"/>
      <c r="AD74" s="3523"/>
      <c r="AE74" s="3524"/>
      <c r="AF74" s="3524"/>
      <c r="AG74" s="3524"/>
      <c r="AH74" s="3524"/>
      <c r="AI74" s="3524"/>
      <c r="AJ74" s="3524"/>
      <c r="AK74" s="3524"/>
      <c r="AL74" s="4524"/>
      <c r="AM74" s="4524"/>
      <c r="AN74" s="4524"/>
      <c r="AO74" s="4524"/>
      <c r="AP74" s="4524"/>
      <c r="AQ74" s="3524"/>
      <c r="AR74" s="3524"/>
      <c r="AS74" s="3524"/>
      <c r="AT74" s="3524"/>
      <c r="AU74" s="3524"/>
      <c r="AV74" s="3524"/>
      <c r="AW74" s="3524"/>
    </row>
    <row r="75" spans="1:49" ht="17.25" customHeight="1">
      <c r="A75" s="3524"/>
      <c r="B75" s="3524"/>
      <c r="C75" s="3524"/>
      <c r="D75" s="3524"/>
      <c r="E75" s="3524"/>
      <c r="F75" s="3524"/>
      <c r="G75" s="3524"/>
      <c r="H75" s="3524"/>
      <c r="I75" s="4542" t="s">
        <v>659</v>
      </c>
      <c r="J75" s="3779">
        <f>'9.Инвестиционна програма'!BC70</f>
        <v>0</v>
      </c>
      <c r="K75" s="3779">
        <f>'9.Инвестиционна програма'!BD70</f>
        <v>0</v>
      </c>
      <c r="L75" s="3779">
        <f>'9.Инвестиционна програма'!BE70</f>
        <v>0</v>
      </c>
      <c r="M75" s="3779">
        <f>'9.Инвестиционна програма'!BF70</f>
        <v>0</v>
      </c>
      <c r="N75" s="3779">
        <f>'9.Инвестиционна програма'!BG70</f>
        <v>0</v>
      </c>
      <c r="O75" s="3904">
        <f t="shared" ref="O75:O81" si="63">SUM(J75:N75)</f>
        <v>0</v>
      </c>
      <c r="P75" s="4573">
        <f t="shared" si="51"/>
        <v>0</v>
      </c>
      <c r="Q75" s="4554"/>
      <c r="R75" s="3524"/>
      <c r="S75" s="1656" t="s">
        <v>1666</v>
      </c>
      <c r="T75" s="3524"/>
      <c r="U75" s="3524"/>
      <c r="V75" s="3524"/>
      <c r="W75" s="3524"/>
      <c r="X75" s="3524"/>
      <c r="Y75" s="3524"/>
      <c r="Z75" s="3524"/>
      <c r="AA75" s="3524"/>
      <c r="AB75" s="3524"/>
      <c r="AC75" s="3524"/>
      <c r="AD75" s="3523"/>
      <c r="AE75" s="3524"/>
      <c r="AF75" s="3524"/>
      <c r="AG75" s="3524"/>
      <c r="AH75" s="3524"/>
      <c r="AI75" s="3524"/>
      <c r="AJ75" s="3524"/>
      <c r="AK75" s="3524"/>
      <c r="AL75" s="4524"/>
      <c r="AM75" s="4524"/>
      <c r="AN75" s="4524"/>
      <c r="AO75" s="4524"/>
      <c r="AP75" s="4524"/>
      <c r="AQ75" s="3524"/>
      <c r="AR75" s="3524"/>
      <c r="AS75" s="3524"/>
      <c r="AT75" s="3524"/>
      <c r="AU75" s="3524"/>
      <c r="AV75" s="3524"/>
      <c r="AW75" s="3524"/>
    </row>
    <row r="76" spans="1:49" ht="27.75" customHeight="1">
      <c r="A76" s="3524"/>
      <c r="B76" s="3524"/>
      <c r="C76" s="3524"/>
      <c r="D76" s="3524"/>
      <c r="E76" s="3524"/>
      <c r="F76" s="3524"/>
      <c r="G76" s="3524"/>
      <c r="H76" s="3524"/>
      <c r="I76" s="4542" t="s">
        <v>985</v>
      </c>
      <c r="J76" s="3779">
        <f>'9.Инвестиционна програма'!BC69</f>
        <v>0</v>
      </c>
      <c r="K76" s="3779">
        <f>'9.Инвестиционна програма'!BD69</f>
        <v>0</v>
      </c>
      <c r="L76" s="3779">
        <f>'9.Инвестиционна програма'!BE69</f>
        <v>0</v>
      </c>
      <c r="M76" s="3779">
        <f>'9.Инвестиционна програма'!BF69</f>
        <v>0</v>
      </c>
      <c r="N76" s="3779">
        <f>'9.Инвестиционна програма'!BG69</f>
        <v>0</v>
      </c>
      <c r="O76" s="3904">
        <f t="shared" si="63"/>
        <v>0</v>
      </c>
      <c r="P76" s="4573">
        <f t="shared" si="51"/>
        <v>0</v>
      </c>
      <c r="Q76" s="4554"/>
      <c r="R76" s="3524"/>
      <c r="S76" s="5676" t="s">
        <v>1921</v>
      </c>
      <c r="T76" s="5676" t="s">
        <v>1029</v>
      </c>
      <c r="U76" s="5676"/>
      <c r="V76" s="5676"/>
      <c r="W76" s="5676"/>
      <c r="X76" s="5676"/>
      <c r="Y76" s="5676"/>
      <c r="Z76" s="5619" t="str">
        <f>+"Изменение "&amp;U77&amp;" спр. "&amp;T77</f>
        <v>Изменение 2027 г. спр. 2024 г.</v>
      </c>
      <c r="AA76" s="5619" t="str">
        <f>+"Изменение "&amp;Y77&amp;" спр. "&amp;T77</f>
        <v>Изменение 2031 г. спр. 2024 г.</v>
      </c>
      <c r="AB76" s="3524"/>
      <c r="AC76" s="3524"/>
      <c r="AD76" s="3523"/>
      <c r="AE76" s="3524"/>
      <c r="AF76" s="3524"/>
      <c r="AG76" s="3524"/>
      <c r="AH76" s="3524"/>
      <c r="AI76" s="3524"/>
      <c r="AJ76" s="3524"/>
      <c r="AK76" s="3524"/>
      <c r="AL76" s="4524"/>
      <c r="AM76" s="4524"/>
      <c r="AN76" s="4524"/>
      <c r="AO76" s="4524"/>
      <c r="AP76" s="4524"/>
      <c r="AQ76" s="3524"/>
      <c r="AR76" s="3524"/>
      <c r="AS76" s="3524"/>
      <c r="AT76" s="3524"/>
      <c r="AU76" s="3524"/>
      <c r="AV76" s="3524"/>
      <c r="AW76" s="3524"/>
    </row>
    <row r="77" spans="1:49" ht="15.75" customHeight="1">
      <c r="A77" s="3524"/>
      <c r="B77" s="3524"/>
      <c r="C77" s="3524"/>
      <c r="D77" s="3524"/>
      <c r="E77" s="3524"/>
      <c r="F77" s="3524"/>
      <c r="G77" s="3524"/>
      <c r="H77" s="3524"/>
      <c r="I77" s="4542" t="s">
        <v>1613</v>
      </c>
      <c r="J77" s="3779">
        <f>SUM('9.Инвестиционна програма'!BC68,'9.Инвестиционна програма'!BC71)</f>
        <v>10.22583762392437</v>
      </c>
      <c r="K77" s="3779">
        <f>SUM('9.Инвестиционна програма'!BD68,'9.Инвестиционна програма'!BD71)</f>
        <v>10.22583762392437</v>
      </c>
      <c r="L77" s="3779">
        <f>SUM('9.Инвестиционна програма'!BE68,'9.Инвестиционна програма'!BE71)</f>
        <v>23.008134653829835</v>
      </c>
      <c r="M77" s="3779">
        <f>SUM('9.Инвестиционна програма'!BF68,'9.Инвестиционна програма'!BF71)</f>
        <v>10.22583762392437</v>
      </c>
      <c r="N77" s="3779">
        <f>SUM('9.Инвестиционна програма'!BG68,'9.Инвестиционна програма'!BG71)</f>
        <v>10.22583762392437</v>
      </c>
      <c r="O77" s="3904">
        <f t="shared" si="63"/>
        <v>63.911485149527316</v>
      </c>
      <c r="P77" s="4573">
        <f t="shared" si="51"/>
        <v>6.6270809034036683E-3</v>
      </c>
      <c r="Q77" s="4554"/>
      <c r="R77" s="3524"/>
      <c r="S77" s="5676"/>
      <c r="T77" s="4877" t="str">
        <f t="shared" ref="T77:Y77" si="64">T46</f>
        <v>2024 г.</v>
      </c>
      <c r="U77" s="4877" t="str">
        <f t="shared" si="64"/>
        <v>2027 г.</v>
      </c>
      <c r="V77" s="4877" t="str">
        <f t="shared" si="64"/>
        <v>2028 г.</v>
      </c>
      <c r="W77" s="4877" t="str">
        <f t="shared" si="64"/>
        <v>2029 г.</v>
      </c>
      <c r="X77" s="4877" t="str">
        <f t="shared" si="64"/>
        <v>2030 г.</v>
      </c>
      <c r="Y77" s="4877" t="str">
        <f t="shared" si="64"/>
        <v>2031 г.</v>
      </c>
      <c r="Z77" s="5619"/>
      <c r="AA77" s="5619"/>
      <c r="AB77" s="3524"/>
      <c r="AC77" s="3524"/>
      <c r="AD77" s="3523"/>
      <c r="AE77" s="3524"/>
      <c r="AF77" s="3524"/>
      <c r="AG77" s="3524"/>
      <c r="AH77" s="3524"/>
      <c r="AI77" s="3524"/>
      <c r="AJ77" s="3524"/>
      <c r="AK77" s="3524"/>
      <c r="AL77" s="4524"/>
      <c r="AM77" s="4524"/>
      <c r="AN77" s="4524"/>
      <c r="AO77" s="4524"/>
      <c r="AP77" s="4524"/>
      <c r="AQ77" s="3524"/>
      <c r="AR77" s="3524"/>
      <c r="AS77" s="3524"/>
      <c r="AT77" s="3524"/>
      <c r="AU77" s="3524"/>
      <c r="AV77" s="3524"/>
      <c r="AW77" s="3524"/>
    </row>
    <row r="78" spans="1:49" ht="15.75" customHeight="1">
      <c r="A78" s="3524"/>
      <c r="B78" s="3524"/>
      <c r="C78" s="3524"/>
      <c r="D78" s="3524"/>
      <c r="E78" s="3524"/>
      <c r="F78" s="3524"/>
      <c r="G78" s="3524"/>
      <c r="H78" s="3524"/>
      <c r="I78" s="4542" t="s">
        <v>1614</v>
      </c>
      <c r="J78" s="3779">
        <f>SUM('9.Инвестиционна програма'!BC61:BC67)</f>
        <v>76.693782179432773</v>
      </c>
      <c r="K78" s="3779">
        <f>SUM('9.Инвестиционна програма'!BD61:BD67)</f>
        <v>51.129188119621851</v>
      </c>
      <c r="L78" s="3779">
        <f>SUM('9.Инвестиционна програма'!BE61:BE67)</f>
        <v>132.93588911101682</v>
      </c>
      <c r="M78" s="3779">
        <f>SUM('9.Инвестиционна програма'!BF61:BF67)</f>
        <v>25.564594059810926</v>
      </c>
      <c r="N78" s="3779">
        <f>SUM('9.Инвестиционна програма'!BG61:BG67)</f>
        <v>56.242106931584033</v>
      </c>
      <c r="O78" s="3904">
        <f t="shared" si="63"/>
        <v>342.56556040146637</v>
      </c>
      <c r="P78" s="4573">
        <f t="shared" si="51"/>
        <v>3.5521153642243661E-2</v>
      </c>
      <c r="Q78" s="4554"/>
      <c r="R78" s="3524"/>
      <c r="S78" s="4537" t="s">
        <v>226</v>
      </c>
      <c r="T78" s="3779">
        <f>'12. Разходи'!CE11</f>
        <v>0</v>
      </c>
      <c r="U78" s="3779">
        <f>'12. Разходи'!CF11</f>
        <v>0</v>
      </c>
      <c r="V78" s="3779">
        <f>'12. Разходи'!CG11</f>
        <v>0</v>
      </c>
      <c r="W78" s="3779">
        <f>'12. Разходи'!CH11</f>
        <v>0</v>
      </c>
      <c r="X78" s="3779">
        <f>'12. Разходи'!CI11</f>
        <v>0</v>
      </c>
      <c r="Y78" s="3779">
        <f>'12. Разходи'!CJ11</f>
        <v>0</v>
      </c>
      <c r="Z78" s="4535">
        <f>IFERROR((U78-T78)/T78,0)</f>
        <v>0</v>
      </c>
      <c r="AA78" s="4535">
        <f>IFERROR((Y78-T78)/T78,0)</f>
        <v>0</v>
      </c>
      <c r="AB78" s="3524"/>
      <c r="AC78" s="3524"/>
      <c r="AD78" s="3523"/>
      <c r="AE78" s="3524"/>
      <c r="AF78" s="3524"/>
      <c r="AG78" s="3524"/>
      <c r="AH78" s="3524"/>
      <c r="AI78" s="3524"/>
      <c r="AJ78" s="3524"/>
      <c r="AK78" s="3524"/>
      <c r="AL78" s="4524"/>
      <c r="AM78" s="4524"/>
      <c r="AN78" s="4524"/>
      <c r="AO78" s="4524"/>
      <c r="AP78" s="4524"/>
      <c r="AQ78" s="3524"/>
      <c r="AR78" s="3524"/>
      <c r="AS78" s="3524"/>
      <c r="AT78" s="3524"/>
      <c r="AU78" s="3524"/>
      <c r="AV78" s="3524"/>
      <c r="AW78" s="3524"/>
    </row>
    <row r="79" spans="1:49" ht="15.75" customHeight="1">
      <c r="A79" s="3524"/>
      <c r="B79" s="3524"/>
      <c r="C79" s="3524"/>
      <c r="D79" s="3524"/>
      <c r="E79" s="3524"/>
      <c r="F79" s="3524"/>
      <c r="G79" s="3524"/>
      <c r="H79" s="3524"/>
      <c r="I79" s="4579" t="s">
        <v>1615</v>
      </c>
      <c r="J79" s="4547">
        <f>J75+J76+J77+J78</f>
        <v>86.919619803357136</v>
      </c>
      <c r="K79" s="4547">
        <f t="shared" ref="K79:N79" si="65">K75+K76+K77+K78</f>
        <v>61.355025743546221</v>
      </c>
      <c r="L79" s="4547">
        <f t="shared" si="65"/>
        <v>155.94402376484666</v>
      </c>
      <c r="M79" s="4547">
        <f t="shared" si="65"/>
        <v>35.790431683735292</v>
      </c>
      <c r="N79" s="4547">
        <f t="shared" si="65"/>
        <v>66.46794455550841</v>
      </c>
      <c r="O79" s="4547">
        <f t="shared" si="63"/>
        <v>406.47704555099369</v>
      </c>
      <c r="P79" s="4548">
        <f t="shared" si="51"/>
        <v>4.2148234545647326E-2</v>
      </c>
      <c r="Q79" s="4554"/>
      <c r="R79" s="3524"/>
      <c r="S79" s="4537" t="s">
        <v>239</v>
      </c>
      <c r="T79" s="3779">
        <f>'12. Разходи'!CE29</f>
        <v>0</v>
      </c>
      <c r="U79" s="3779">
        <f>'12. Разходи'!CF29</f>
        <v>0</v>
      </c>
      <c r="V79" s="3779">
        <f>'12. Разходи'!CG29</f>
        <v>0</v>
      </c>
      <c r="W79" s="3779">
        <f>'12. Разходи'!CH29</f>
        <v>0</v>
      </c>
      <c r="X79" s="3779">
        <f>'12. Разходи'!CI29</f>
        <v>0</v>
      </c>
      <c r="Y79" s="3779">
        <f>'12. Разходи'!CJ29</f>
        <v>0</v>
      </c>
      <c r="Z79" s="4535">
        <f t="shared" ref="Z79:Z94" si="66">IFERROR((U79-T79)/T79,0)</f>
        <v>0</v>
      </c>
      <c r="AA79" s="4535">
        <f t="shared" ref="AA79:AA94" si="67">IFERROR((Y79-T79)/T79,0)</f>
        <v>0</v>
      </c>
      <c r="AB79" s="3524"/>
      <c r="AC79" s="3524"/>
      <c r="AD79" s="3523"/>
      <c r="AE79" s="3524"/>
      <c r="AF79" s="3524"/>
      <c r="AG79" s="3524"/>
      <c r="AH79" s="3524"/>
      <c r="AI79" s="3524"/>
      <c r="AJ79" s="3524"/>
      <c r="AK79" s="3524"/>
      <c r="AL79" s="4524"/>
      <c r="AM79" s="4524"/>
      <c r="AN79" s="4524"/>
      <c r="AO79" s="4524"/>
      <c r="AP79" s="4524"/>
      <c r="AQ79" s="3524"/>
      <c r="AR79" s="3524"/>
      <c r="AS79" s="3524"/>
      <c r="AT79" s="3524"/>
      <c r="AU79" s="3524"/>
      <c r="AV79" s="3524"/>
      <c r="AW79" s="3524"/>
    </row>
    <row r="80" spans="1:49" ht="15.75" customHeight="1">
      <c r="A80" s="3759" t="s">
        <v>1665</v>
      </c>
      <c r="B80" s="3524"/>
      <c r="C80" s="3524"/>
      <c r="D80" s="3524"/>
      <c r="E80" s="3524"/>
      <c r="F80" s="3524"/>
      <c r="G80" s="3760" t="s">
        <v>1911</v>
      </c>
      <c r="H80" s="3524"/>
      <c r="I80" s="4580" t="s">
        <v>1640</v>
      </c>
      <c r="J80" s="3731">
        <f>SUM('9.Инвестиционна програма'!BC74:BC91)</f>
        <v>0</v>
      </c>
      <c r="K80" s="3731">
        <f>SUM('9.Инвестиционна програма'!BD74:BD91)</f>
        <v>0</v>
      </c>
      <c r="L80" s="3731">
        <f>SUM('9.Инвестиционна програма'!BE74:BE91)</f>
        <v>0</v>
      </c>
      <c r="M80" s="3731">
        <f>SUM('9.Инвестиционна програма'!BF74:BF91)</f>
        <v>0</v>
      </c>
      <c r="N80" s="3731">
        <f>SUM('9.Инвестиционна програма'!BG74:BG91)</f>
        <v>0</v>
      </c>
      <c r="O80" s="3735">
        <f t="shared" si="63"/>
        <v>0</v>
      </c>
      <c r="P80" s="4581">
        <f t="shared" si="51"/>
        <v>0</v>
      </c>
      <c r="Q80" s="4554"/>
      <c r="R80" s="3524"/>
      <c r="S80" s="4537" t="s">
        <v>446</v>
      </c>
      <c r="T80" s="3779">
        <f>'12. Разходи'!CE55</f>
        <v>0</v>
      </c>
      <c r="U80" s="3779">
        <f>'12. Разходи'!CF55</f>
        <v>0</v>
      </c>
      <c r="V80" s="3779">
        <f>'12. Разходи'!CG55</f>
        <v>0</v>
      </c>
      <c r="W80" s="3779">
        <f>'12. Разходи'!CH55</f>
        <v>0</v>
      </c>
      <c r="X80" s="3779">
        <f>'12. Разходи'!CI55</f>
        <v>0</v>
      </c>
      <c r="Y80" s="3779">
        <f>'12. Разходи'!CJ55</f>
        <v>0</v>
      </c>
      <c r="Z80" s="4535">
        <f t="shared" si="66"/>
        <v>0</v>
      </c>
      <c r="AA80" s="4535">
        <f t="shared" si="67"/>
        <v>0</v>
      </c>
      <c r="AB80" s="3524"/>
      <c r="AC80" s="3524"/>
      <c r="AD80" s="3523"/>
      <c r="AE80" s="3524"/>
      <c r="AF80" s="3524"/>
      <c r="AG80" s="3524"/>
      <c r="AH80" s="3524"/>
      <c r="AI80" s="3524"/>
      <c r="AJ80" s="3524"/>
      <c r="AK80" s="3524"/>
      <c r="AL80" s="4524"/>
      <c r="AM80" s="4524"/>
      <c r="AN80" s="4524"/>
      <c r="AO80" s="4524"/>
      <c r="AP80" s="4524"/>
      <c r="AQ80" s="3524"/>
      <c r="AR80" s="3524"/>
      <c r="AS80" s="3524"/>
      <c r="AT80" s="3524"/>
      <c r="AU80" s="3524"/>
      <c r="AV80" s="3524"/>
      <c r="AW80" s="3524"/>
    </row>
    <row r="81" spans="1:49" ht="17.25" customHeight="1">
      <c r="A81" s="5684" t="s">
        <v>87</v>
      </c>
      <c r="B81" s="5676" t="s">
        <v>1092</v>
      </c>
      <c r="C81" s="5676"/>
      <c r="D81" s="5676"/>
      <c r="E81" s="5676"/>
      <c r="F81" s="5676"/>
      <c r="G81" s="5676"/>
      <c r="H81" s="3524"/>
      <c r="I81" s="4580" t="s">
        <v>1639</v>
      </c>
      <c r="J81" s="3731">
        <f>SUM('9.Инвестиционна програма'!BC92:BC97)</f>
        <v>0</v>
      </c>
      <c r="K81" s="3731">
        <f>SUM('9.Инвестиционна програма'!BD92:BD97)</f>
        <v>0</v>
      </c>
      <c r="L81" s="3731">
        <f>SUM('9.Инвестиционна програма'!BE92:BE97)</f>
        <v>0</v>
      </c>
      <c r="M81" s="3731">
        <f>SUM('9.Инвестиционна програма'!BF92:BF97)</f>
        <v>0</v>
      </c>
      <c r="N81" s="3731">
        <f>SUM('9.Инвестиционна програма'!BG92:BG97)</f>
        <v>0</v>
      </c>
      <c r="O81" s="3735">
        <f t="shared" si="63"/>
        <v>0</v>
      </c>
      <c r="P81" s="4581">
        <f t="shared" si="51"/>
        <v>0</v>
      </c>
      <c r="Q81" s="4554"/>
      <c r="R81" s="3524"/>
      <c r="S81" s="4544" t="s">
        <v>447</v>
      </c>
      <c r="T81" s="4539">
        <f>'12. Разходи'!CE56</f>
        <v>0</v>
      </c>
      <c r="U81" s="4539">
        <f>'12. Разходи'!CF56</f>
        <v>0</v>
      </c>
      <c r="V81" s="4539">
        <f>'12. Разходи'!CG56</f>
        <v>0</v>
      </c>
      <c r="W81" s="4539">
        <f>'12. Разходи'!CH56</f>
        <v>0</v>
      </c>
      <c r="X81" s="4539">
        <f>'12. Разходи'!CI56</f>
        <v>0</v>
      </c>
      <c r="Y81" s="4539">
        <f>'12. Разходи'!CJ56</f>
        <v>0</v>
      </c>
      <c r="Z81" s="4535">
        <f t="shared" si="66"/>
        <v>0</v>
      </c>
      <c r="AA81" s="4535">
        <f t="shared" si="67"/>
        <v>0</v>
      </c>
      <c r="AB81" s="3524"/>
      <c r="AC81" s="3524"/>
      <c r="AD81" s="3523"/>
      <c r="AE81" s="3524"/>
      <c r="AF81" s="3524"/>
      <c r="AG81" s="3524"/>
      <c r="AH81" s="3524"/>
      <c r="AI81" s="3524"/>
      <c r="AJ81" s="3524"/>
      <c r="AK81" s="3524"/>
      <c r="AL81" s="4524"/>
      <c r="AM81" s="4524"/>
      <c r="AN81" s="4524"/>
      <c r="AO81" s="4524"/>
      <c r="AP81" s="4524"/>
      <c r="AQ81" s="3524"/>
      <c r="AR81" s="3524"/>
      <c r="AS81" s="3524"/>
      <c r="AT81" s="3524"/>
      <c r="AU81" s="3524"/>
      <c r="AV81" s="3524"/>
      <c r="AW81" s="3524"/>
    </row>
    <row r="82" spans="1:49" ht="15.75" customHeight="1">
      <c r="A82" s="5684"/>
      <c r="B82" s="4582" t="str">
        <f>B22</f>
        <v>2024 г.</v>
      </c>
      <c r="C82" s="4582" t="str">
        <f>C58</f>
        <v>2027 г.</v>
      </c>
      <c r="D82" s="4582" t="str">
        <f>D22</f>
        <v>2028 г.</v>
      </c>
      <c r="E82" s="4582" t="str">
        <f>E22</f>
        <v>2029 г.</v>
      </c>
      <c r="F82" s="4582" t="str">
        <f>F22</f>
        <v>2030 г.</v>
      </c>
      <c r="G82" s="4582" t="str">
        <f>G22</f>
        <v>2031 г.</v>
      </c>
      <c r="H82" s="3524"/>
      <c r="I82" s="3772" t="s">
        <v>1029</v>
      </c>
      <c r="J82" s="4583">
        <f>J80+J81</f>
        <v>0</v>
      </c>
      <c r="K82" s="4583">
        <f>K80+K81</f>
        <v>0</v>
      </c>
      <c r="L82" s="4583">
        <f>L80+L81</f>
        <v>0</v>
      </c>
      <c r="M82" s="4583">
        <f>M80+M81</f>
        <v>0</v>
      </c>
      <c r="N82" s="4583">
        <f>N80+N81</f>
        <v>0</v>
      </c>
      <c r="O82" s="4547">
        <f t="shared" si="62"/>
        <v>0</v>
      </c>
      <c r="P82" s="4548">
        <f t="shared" si="51"/>
        <v>0</v>
      </c>
      <c r="Q82" s="4554"/>
      <c r="R82" s="3524"/>
      <c r="S82" s="4544" t="s">
        <v>736</v>
      </c>
      <c r="T82" s="4539">
        <f>'12. Разходи'!CE57</f>
        <v>0</v>
      </c>
      <c r="U82" s="4539">
        <f>'12. Разходи'!CF57</f>
        <v>0</v>
      </c>
      <c r="V82" s="4539">
        <f>'12. Разходи'!CG57</f>
        <v>0</v>
      </c>
      <c r="W82" s="4539">
        <f>'12. Разходи'!CH57</f>
        <v>0</v>
      </c>
      <c r="X82" s="4539">
        <f>'12. Разходи'!CI57</f>
        <v>0</v>
      </c>
      <c r="Y82" s="4539">
        <f>'12. Разходи'!CJ57</f>
        <v>0</v>
      </c>
      <c r="Z82" s="4535">
        <f t="shared" si="66"/>
        <v>0</v>
      </c>
      <c r="AA82" s="4535">
        <f t="shared" si="67"/>
        <v>0</v>
      </c>
      <c r="AB82" s="3524"/>
      <c r="AC82" s="3524"/>
      <c r="AD82" s="3523"/>
      <c r="AE82" s="3524"/>
      <c r="AF82" s="3524"/>
      <c r="AG82" s="3524"/>
      <c r="AH82" s="3524"/>
      <c r="AI82" s="3524"/>
      <c r="AJ82" s="3524"/>
      <c r="AK82" s="3524"/>
      <c r="AL82" s="4524"/>
      <c r="AM82" s="4524"/>
      <c r="AN82" s="4524"/>
      <c r="AO82" s="4524"/>
      <c r="AP82" s="4524"/>
      <c r="AQ82" s="3524"/>
      <c r="AR82" s="3524"/>
      <c r="AS82" s="3524"/>
      <c r="AT82" s="3524"/>
      <c r="AU82" s="3524"/>
      <c r="AV82" s="3524"/>
      <c r="AW82" s="3524"/>
    </row>
    <row r="83" spans="1:49" ht="15.75" customHeight="1">
      <c r="A83" s="5682" t="s">
        <v>1657</v>
      </c>
      <c r="B83" s="5682"/>
      <c r="C83" s="5682"/>
      <c r="D83" s="5682"/>
      <c r="E83" s="5682"/>
      <c r="F83" s="5682"/>
      <c r="G83" s="5682"/>
      <c r="I83" s="4580" t="s">
        <v>1641</v>
      </c>
      <c r="J83" s="3731">
        <f>SUM('9.Инвестиционна програма'!BC100:BC117)</f>
        <v>0</v>
      </c>
      <c r="K83" s="3731">
        <f>SUM('9.Инвестиционна програма'!BD100:BD117)</f>
        <v>0</v>
      </c>
      <c r="L83" s="3731">
        <f>SUM('9.Инвестиционна програма'!BE100:BE117)</f>
        <v>0</v>
      </c>
      <c r="M83" s="3731">
        <f>SUM('9.Инвестиционна програма'!BF100:BF117)</f>
        <v>0</v>
      </c>
      <c r="N83" s="3731">
        <f>SUM('9.Инвестиционна програма'!BG100:BG117)</f>
        <v>0</v>
      </c>
      <c r="O83" s="3735">
        <f t="shared" ref="O83:O85" si="68">SUM(J83:N83)</f>
        <v>0</v>
      </c>
      <c r="P83" s="4581">
        <f t="shared" si="51"/>
        <v>0</v>
      </c>
      <c r="Q83" s="4554"/>
      <c r="S83" s="4584" t="s">
        <v>737</v>
      </c>
      <c r="T83" s="4585">
        <f>'12. Разходи'!CE58</f>
        <v>0</v>
      </c>
      <c r="U83" s="4585">
        <f>'12. Разходи'!CF58</f>
        <v>0</v>
      </c>
      <c r="V83" s="4585">
        <f>'12. Разходи'!CG58</f>
        <v>0</v>
      </c>
      <c r="W83" s="4585">
        <f>'12. Разходи'!CH58</f>
        <v>0</v>
      </c>
      <c r="X83" s="4585">
        <f>'12. Разходи'!CI58</f>
        <v>0</v>
      </c>
      <c r="Y83" s="4585">
        <f>'12. Разходи'!CJ58</f>
        <v>0</v>
      </c>
      <c r="Z83" s="4586">
        <f t="shared" si="66"/>
        <v>0</v>
      </c>
      <c r="AA83" s="4586">
        <f t="shared" si="67"/>
        <v>0</v>
      </c>
      <c r="AR83" s="3524"/>
      <c r="AS83" s="3524"/>
      <c r="AT83" s="3524"/>
      <c r="AU83" s="3524"/>
      <c r="AV83" s="3524"/>
      <c r="AW83" s="3524"/>
    </row>
    <row r="84" spans="1:49" ht="15.75" customHeight="1">
      <c r="A84" s="4589" t="s">
        <v>334</v>
      </c>
      <c r="B84" s="4590">
        <f>'11. Амортиз. план'!BS10</f>
        <v>0</v>
      </c>
      <c r="C84" s="4590">
        <f>'11. Амортиз. план'!BU10</f>
        <v>0</v>
      </c>
      <c r="D84" s="4590">
        <f>'11. Амортиз. план'!BV10</f>
        <v>0</v>
      </c>
      <c r="E84" s="4590">
        <f>'11. Амортиз. план'!BW10</f>
        <v>0</v>
      </c>
      <c r="F84" s="4590">
        <f>'11. Амортиз. план'!BX10</f>
        <v>0</v>
      </c>
      <c r="G84" s="4590">
        <f>'11. Амортиз. план'!BY10</f>
        <v>0</v>
      </c>
      <c r="I84" s="4580" t="s">
        <v>1642</v>
      </c>
      <c r="J84" s="3731">
        <f>SUM('9.Инвестиционна програма'!BC118:BC123)</f>
        <v>0</v>
      </c>
      <c r="K84" s="3731">
        <f>SUM('9.Инвестиционна програма'!BD118:BD123)</f>
        <v>0</v>
      </c>
      <c r="L84" s="3731">
        <f>SUM('9.Инвестиционна програма'!BE118:BE123)</f>
        <v>0</v>
      </c>
      <c r="M84" s="3731">
        <f>SUM('9.Инвестиционна програма'!BF118:BF123)</f>
        <v>0</v>
      </c>
      <c r="N84" s="3731">
        <f>SUM('9.Инвестиционна програма'!BG118:BG123)</f>
        <v>0</v>
      </c>
      <c r="O84" s="3735">
        <f t="shared" si="68"/>
        <v>0</v>
      </c>
      <c r="P84" s="4581">
        <f t="shared" si="51"/>
        <v>0</v>
      </c>
      <c r="Q84" s="4554"/>
      <c r="S84" s="4591" t="s">
        <v>448</v>
      </c>
      <c r="T84" s="4592">
        <f>'12. Разходи'!CE59</f>
        <v>0</v>
      </c>
      <c r="U84" s="4592">
        <f>'12. Разходи'!CF59</f>
        <v>0</v>
      </c>
      <c r="V84" s="4592">
        <f>'12. Разходи'!CG59</f>
        <v>0</v>
      </c>
      <c r="W84" s="4592">
        <f>'12. Разходи'!CH59</f>
        <v>0</v>
      </c>
      <c r="X84" s="4592">
        <f>'12. Разходи'!CI59</f>
        <v>0</v>
      </c>
      <c r="Y84" s="4592">
        <f>'12. Разходи'!CJ59</f>
        <v>0</v>
      </c>
      <c r="Z84" s="4586">
        <f t="shared" si="66"/>
        <v>0</v>
      </c>
      <c r="AA84" s="4586">
        <f t="shared" si="67"/>
        <v>0</v>
      </c>
      <c r="AR84" s="3524"/>
      <c r="AS84" s="3524"/>
      <c r="AT84" s="3524"/>
      <c r="AU84" s="3524"/>
      <c r="AV84" s="3524"/>
      <c r="AW84" s="3524"/>
    </row>
    <row r="85" spans="1:49" ht="15.75" customHeight="1">
      <c r="A85" s="4593" t="s">
        <v>218</v>
      </c>
      <c r="B85" s="4585">
        <f>'11. Амортиз. план'!BS35</f>
        <v>0</v>
      </c>
      <c r="C85" s="4585">
        <f>'11. Амортиз. план'!BU35</f>
        <v>0</v>
      </c>
      <c r="D85" s="4585">
        <f>'11. Амортиз. план'!BV35</f>
        <v>0</v>
      </c>
      <c r="E85" s="4585">
        <f>'11. Амортиз. план'!BW35</f>
        <v>0</v>
      </c>
      <c r="F85" s="4585">
        <f>'11. Амортиз. план'!BX35</f>
        <v>0</v>
      </c>
      <c r="G85" s="4585">
        <f>'11. Амортиз. план'!BY35</f>
        <v>0</v>
      </c>
      <c r="I85" s="3772" t="s">
        <v>1092</v>
      </c>
      <c r="J85" s="4547">
        <f>J83+J84</f>
        <v>0</v>
      </c>
      <c r="K85" s="4547">
        <f>K83+K84</f>
        <v>0</v>
      </c>
      <c r="L85" s="4547">
        <f>L83+L84</f>
        <v>0</v>
      </c>
      <c r="M85" s="4547">
        <f>M83+M84</f>
        <v>0</v>
      </c>
      <c r="N85" s="4547">
        <f>N83+N84</f>
        <v>0</v>
      </c>
      <c r="O85" s="4547">
        <f t="shared" si="68"/>
        <v>0</v>
      </c>
      <c r="P85" s="4548">
        <f t="shared" si="51"/>
        <v>0</v>
      </c>
      <c r="Q85" s="4554"/>
      <c r="S85" s="4591" t="s">
        <v>449</v>
      </c>
      <c r="T85" s="4592">
        <f>'12. Разходи'!CE63</f>
        <v>0</v>
      </c>
      <c r="U85" s="4592">
        <f>'12. Разходи'!CF63</f>
        <v>0</v>
      </c>
      <c r="V85" s="4592">
        <f>'12. Разходи'!CG63</f>
        <v>0</v>
      </c>
      <c r="W85" s="4592">
        <f>'12. Разходи'!CH63</f>
        <v>0</v>
      </c>
      <c r="X85" s="4592">
        <f>'12. Разходи'!CI63</f>
        <v>0</v>
      </c>
      <c r="Y85" s="4592">
        <f>'12. Разходи'!CJ63</f>
        <v>0</v>
      </c>
      <c r="Z85" s="4586">
        <f t="shared" si="66"/>
        <v>0</v>
      </c>
      <c r="AA85" s="4586">
        <f t="shared" si="67"/>
        <v>0</v>
      </c>
      <c r="AR85" s="3524"/>
      <c r="AS85" s="3524"/>
      <c r="AT85" s="3524"/>
      <c r="AU85" s="3524"/>
      <c r="AV85" s="3524"/>
      <c r="AW85" s="3524"/>
    </row>
    <row r="86" spans="1:49" ht="15.75" customHeight="1">
      <c r="A86" s="4594" t="s">
        <v>220</v>
      </c>
      <c r="B86" s="4592">
        <f>'11. Амортиз. план'!BS60</f>
        <v>0</v>
      </c>
      <c r="C86" s="4592">
        <f>'11. Амортиз. план'!BU60</f>
        <v>0</v>
      </c>
      <c r="D86" s="4592">
        <f>'11. Амортиз. план'!BV60</f>
        <v>0</v>
      </c>
      <c r="E86" s="4592">
        <f>'11. Амортиз. план'!BW60</f>
        <v>0</v>
      </c>
      <c r="F86" s="4592">
        <f>'11. Амортиз. план'!BX60</f>
        <v>0</v>
      </c>
      <c r="G86" s="4592">
        <f>'11. Амортиз. план'!BY60</f>
        <v>0</v>
      </c>
      <c r="I86" s="4536" t="s">
        <v>1616</v>
      </c>
      <c r="J86" s="3904">
        <f>J57+J66+J71+J74+J75+J76+J80+J83</f>
        <v>1989.9480016156824</v>
      </c>
      <c r="K86" s="3904">
        <f t="shared" ref="K86:O86" si="69">K57+K66+K71+K74+K75+K76+K80+K83</f>
        <v>1697.4890455714453</v>
      </c>
      <c r="L86" s="3904">
        <f t="shared" si="69"/>
        <v>1664.2550732936911</v>
      </c>
      <c r="M86" s="3904">
        <f t="shared" si="69"/>
        <v>1620.7952633920124</v>
      </c>
      <c r="N86" s="3904">
        <f t="shared" si="69"/>
        <v>1689.8196673535019</v>
      </c>
      <c r="O86" s="3904">
        <f t="shared" si="69"/>
        <v>8662.307051226333</v>
      </c>
      <c r="P86" s="4535">
        <f t="shared" si="51"/>
        <v>0.89820803732371945</v>
      </c>
      <c r="Q86" s="4554"/>
      <c r="S86" s="4591" t="s">
        <v>450</v>
      </c>
      <c r="T86" s="4592">
        <f>'12. Разходи'!CE70</f>
        <v>0</v>
      </c>
      <c r="U86" s="4592">
        <f>'12. Разходи'!CF70</f>
        <v>0</v>
      </c>
      <c r="V86" s="4592">
        <f>'12. Разходи'!CG70</f>
        <v>0</v>
      </c>
      <c r="W86" s="4592">
        <f>'12. Разходи'!CH70</f>
        <v>0</v>
      </c>
      <c r="X86" s="4592">
        <f>'12. Разходи'!CI70</f>
        <v>0</v>
      </c>
      <c r="Y86" s="4592">
        <f>'12. Разходи'!CJ70</f>
        <v>0</v>
      </c>
      <c r="Z86" s="4586">
        <f t="shared" si="66"/>
        <v>0</v>
      </c>
      <c r="AA86" s="4586">
        <f t="shared" si="67"/>
        <v>0</v>
      </c>
      <c r="AR86" s="3524"/>
      <c r="AS86" s="3524"/>
      <c r="AT86" s="3524"/>
      <c r="AU86" s="3524"/>
      <c r="AV86" s="3524"/>
      <c r="AW86" s="3524"/>
    </row>
    <row r="87" spans="1:49" ht="15.75" customHeight="1">
      <c r="A87" s="4594" t="s">
        <v>222</v>
      </c>
      <c r="B87" s="4592">
        <f>'11. Амортиз. план'!BS85</f>
        <v>0</v>
      </c>
      <c r="C87" s="4592">
        <f>'11. Амортиз. план'!BU85</f>
        <v>0</v>
      </c>
      <c r="D87" s="4592">
        <f>'11. Амортиз. план'!BV85</f>
        <v>0</v>
      </c>
      <c r="E87" s="4592">
        <f>'11. Амортиз. план'!BW85</f>
        <v>0</v>
      </c>
      <c r="F87" s="4592">
        <f>'11. Амортиз. план'!BX85</f>
        <v>0</v>
      </c>
      <c r="G87" s="4592">
        <f>'11. Амортиз. план'!BY85</f>
        <v>0</v>
      </c>
      <c r="I87" s="4536" t="s">
        <v>1617</v>
      </c>
      <c r="J87" s="3904">
        <f>J58+J67+J72+J77+J78+J81+J84</f>
        <v>181.50861782465756</v>
      </c>
      <c r="K87" s="3904">
        <f t="shared" ref="K87:O87" si="70">K58+K67+K72+K77+K78+K81+K84</f>
        <v>117.59713267513027</v>
      </c>
      <c r="L87" s="3904">
        <f t="shared" si="70"/>
        <v>258.20240000409035</v>
      </c>
      <c r="M87" s="3904">
        <f t="shared" si="70"/>
        <v>306.77512871773109</v>
      </c>
      <c r="N87" s="3904">
        <f t="shared" si="70"/>
        <v>117.59713267513025</v>
      </c>
      <c r="O87" s="3904">
        <f t="shared" si="70"/>
        <v>981.68041189673954</v>
      </c>
      <c r="P87" s="4535">
        <f t="shared" si="51"/>
        <v>0.10179196267628035</v>
      </c>
      <c r="Q87" s="4554"/>
      <c r="S87" s="4591" t="s">
        <v>267</v>
      </c>
      <c r="T87" s="4592">
        <f>'12. Разходи'!CE76</f>
        <v>0</v>
      </c>
      <c r="U87" s="4592">
        <f>'12. Разходи'!CF76</f>
        <v>0</v>
      </c>
      <c r="V87" s="4592">
        <f>'12. Разходи'!CG76</f>
        <v>0</v>
      </c>
      <c r="W87" s="4592">
        <f>'12. Разходи'!CH76</f>
        <v>0</v>
      </c>
      <c r="X87" s="4592">
        <f>'12. Разходи'!CI76</f>
        <v>0</v>
      </c>
      <c r="Y87" s="4592">
        <f>'12. Разходи'!CJ76</f>
        <v>0</v>
      </c>
      <c r="Z87" s="4586">
        <f t="shared" si="66"/>
        <v>0</v>
      </c>
      <c r="AA87" s="4586">
        <f t="shared" si="67"/>
        <v>0</v>
      </c>
      <c r="AR87" s="3524"/>
      <c r="AS87" s="3524"/>
      <c r="AT87" s="3524"/>
      <c r="AU87" s="3524"/>
      <c r="AV87" s="3524"/>
      <c r="AW87" s="3524"/>
    </row>
    <row r="88" spans="1:49" ht="18" customHeight="1">
      <c r="A88" s="5682" t="s">
        <v>1658</v>
      </c>
      <c r="B88" s="5682"/>
      <c r="C88" s="5682"/>
      <c r="D88" s="5682"/>
      <c r="E88" s="5682"/>
      <c r="F88" s="5682"/>
      <c r="G88" s="5682"/>
      <c r="I88" s="4595" t="s">
        <v>1618</v>
      </c>
      <c r="J88" s="4596">
        <f>J86+J87</f>
        <v>2171.4566194403401</v>
      </c>
      <c r="K88" s="4596">
        <f>K86+K87</f>
        <v>1815.0861782465756</v>
      </c>
      <c r="L88" s="4596">
        <f>L86+L87</f>
        <v>1922.4574732977815</v>
      </c>
      <c r="M88" s="4596">
        <f>M86+M87</f>
        <v>1927.5703921097436</v>
      </c>
      <c r="N88" s="4596">
        <f>N86+N87</f>
        <v>1807.4168000286322</v>
      </c>
      <c r="O88" s="4596">
        <f t="shared" si="62"/>
        <v>9643.9874631230741</v>
      </c>
      <c r="P88" s="4597">
        <f t="shared" si="51"/>
        <v>1</v>
      </c>
      <c r="Q88" s="4554"/>
      <c r="S88" s="4598" t="s">
        <v>277</v>
      </c>
      <c r="T88" s="4599">
        <f>SUM(T78:T80,T84:T87)</f>
        <v>0</v>
      </c>
      <c r="U88" s="4599">
        <f t="shared" ref="U88:Y88" si="71">SUM(U78:U80,U84:U87)</f>
        <v>0</v>
      </c>
      <c r="V88" s="4599">
        <f t="shared" si="71"/>
        <v>0</v>
      </c>
      <c r="W88" s="4599">
        <f t="shared" si="71"/>
        <v>0</v>
      </c>
      <c r="X88" s="4599">
        <f t="shared" si="71"/>
        <v>0</v>
      </c>
      <c r="Y88" s="4599">
        <f t="shared" si="71"/>
        <v>0</v>
      </c>
      <c r="Z88" s="4600">
        <f t="shared" si="66"/>
        <v>0</v>
      </c>
      <c r="AA88" s="4600">
        <f t="shared" si="67"/>
        <v>0</v>
      </c>
    </row>
    <row r="89" spans="1:49" ht="15.75" customHeight="1">
      <c r="A89" s="4589" t="s">
        <v>334</v>
      </c>
      <c r="B89" s="4590">
        <f>'11. Амортиз. план'!BS111</f>
        <v>0</v>
      </c>
      <c r="C89" s="4590">
        <f>'11. Амортиз. план'!BU111</f>
        <v>0</v>
      </c>
      <c r="D89" s="4590">
        <f>'11. Амортиз. план'!BV111</f>
        <v>0</v>
      </c>
      <c r="E89" s="4590">
        <f>'11. Амортиз. план'!BW111</f>
        <v>0</v>
      </c>
      <c r="F89" s="4590">
        <f>'11. Амортиз. план'!BX111</f>
        <v>0</v>
      </c>
      <c r="G89" s="4590">
        <f>'11. Амортиз. план'!BY111</f>
        <v>0</v>
      </c>
      <c r="I89" s="4543"/>
      <c r="J89" s="4543"/>
      <c r="K89" s="4543"/>
      <c r="L89" s="4543"/>
      <c r="M89" s="4543"/>
      <c r="N89" s="4543"/>
      <c r="O89" s="4543"/>
      <c r="P89" s="4543"/>
      <c r="Q89" s="4554"/>
      <c r="S89" s="4555" t="str">
        <f>CONCATENATE("Спестявания и увеличения спрямо ",T77," - нето:")</f>
        <v>Спестявания и увеличения спрямо 2024 г. - нето:</v>
      </c>
      <c r="T89" s="4557"/>
      <c r="U89" s="4601">
        <f>U88-$T88</f>
        <v>0</v>
      </c>
      <c r="V89" s="4601">
        <f t="shared" ref="V89:Y89" si="72">V88-$T88</f>
        <v>0</v>
      </c>
      <c r="W89" s="4601">
        <f t="shared" si="72"/>
        <v>0</v>
      </c>
      <c r="X89" s="4601">
        <f t="shared" si="72"/>
        <v>0</v>
      </c>
      <c r="Y89" s="4601">
        <f t="shared" si="72"/>
        <v>0</v>
      </c>
      <c r="Z89" s="4557"/>
      <c r="AA89" s="4557"/>
    </row>
    <row r="90" spans="1:49" ht="15.75" customHeight="1">
      <c r="A90" s="4593" t="s">
        <v>218</v>
      </c>
      <c r="B90" s="4585">
        <f>'11. Амортиз. план'!BS131</f>
        <v>0</v>
      </c>
      <c r="C90" s="4585">
        <f>'11. Амортиз. план'!BU131</f>
        <v>0</v>
      </c>
      <c r="D90" s="4585">
        <f>'11. Амортиз. план'!BV131</f>
        <v>0</v>
      </c>
      <c r="E90" s="4585">
        <f>'11. Амортиз. план'!BW131</f>
        <v>0</v>
      </c>
      <c r="F90" s="4585">
        <f>'11. Амортиз. план'!BX131</f>
        <v>0</v>
      </c>
      <c r="G90" s="4585">
        <f>'11. Амортиз. план'!BY131</f>
        <v>0</v>
      </c>
      <c r="I90" s="4525" t="s">
        <v>82</v>
      </c>
      <c r="J90" s="4876" t="str">
        <f>+'15. ОПП'!$C$7</f>
        <v>2027 г.</v>
      </c>
      <c r="K90" s="4876" t="str">
        <f>+'15. ОПП'!$D$7</f>
        <v>2028 г.</v>
      </c>
      <c r="L90" s="4876" t="str">
        <f>+'15. ОПП'!$E$7</f>
        <v>2029 г.</v>
      </c>
      <c r="M90" s="4876" t="str">
        <f>+'15. ОПП'!$F$7</f>
        <v>2030 г.</v>
      </c>
      <c r="N90" s="4876" t="str">
        <f>+'15. ОПП'!$G$7</f>
        <v>2031 г.</v>
      </c>
      <c r="O90" s="4876" t="s">
        <v>1619</v>
      </c>
      <c r="P90" s="3524"/>
      <c r="Q90" s="4554"/>
      <c r="S90" s="4591" t="s">
        <v>1669</v>
      </c>
      <c r="T90" s="4592">
        <f>+'12. Разходи'!CE92</f>
        <v>0</v>
      </c>
      <c r="U90" s="4592">
        <f>+'12. Разходи'!CF92</f>
        <v>0</v>
      </c>
      <c r="V90" s="4592">
        <f>+'12. Разходи'!CG92</f>
        <v>0</v>
      </c>
      <c r="W90" s="4592">
        <f>+'12. Разходи'!CH92</f>
        <v>0</v>
      </c>
      <c r="X90" s="4592">
        <f>+'12. Разходи'!CI92</f>
        <v>0</v>
      </c>
      <c r="Y90" s="4592">
        <f>+'12. Разходи'!CJ92</f>
        <v>0</v>
      </c>
      <c r="Z90" s="4586">
        <f t="shared" ref="Z90:Z92" si="73">IFERROR((U90-T90)/T90,0)</f>
        <v>0</v>
      </c>
      <c r="AA90" s="4586">
        <f t="shared" ref="AA90:AA92" si="74">IFERROR((Y90-T90)/T90,0)</f>
        <v>0</v>
      </c>
    </row>
    <row r="91" spans="1:49" ht="15.75" customHeight="1">
      <c r="A91" s="4594" t="s">
        <v>220</v>
      </c>
      <c r="B91" s="4592">
        <f>'11. Амортиз. план'!BS151</f>
        <v>0</v>
      </c>
      <c r="C91" s="4592">
        <f>'11. Амортиз. план'!BU151</f>
        <v>0</v>
      </c>
      <c r="D91" s="4592">
        <f>'11. Амортиз. план'!BV151</f>
        <v>0</v>
      </c>
      <c r="E91" s="4592">
        <f>'11. Амортиз. план'!BW151</f>
        <v>0</v>
      </c>
      <c r="F91" s="4592">
        <f>'11. Амортиз. план'!BX151</f>
        <v>0</v>
      </c>
      <c r="G91" s="4592">
        <f>'11. Амортиз. план'!BY151</f>
        <v>0</v>
      </c>
      <c r="I91" s="3778" t="s">
        <v>1644</v>
      </c>
      <c r="J91" s="3779">
        <f>'2. Променливи'!F10</f>
        <v>188003</v>
      </c>
      <c r="K91" s="3779">
        <f>'2. Променливи'!G10</f>
        <v>181855</v>
      </c>
      <c r="L91" s="3779">
        <f>'2. Променливи'!H10</f>
        <v>175909</v>
      </c>
      <c r="M91" s="3779">
        <f>'2. Променливи'!I10</f>
        <v>170157</v>
      </c>
      <c r="N91" s="3779">
        <f>'2. Променливи'!J10</f>
        <v>164194</v>
      </c>
      <c r="O91" s="3904">
        <f>AVERAGE(J91:N91)</f>
        <v>176023.6</v>
      </c>
      <c r="P91" s="3524"/>
      <c r="Q91" s="4554"/>
      <c r="S91" s="4591" t="s">
        <v>1671</v>
      </c>
      <c r="T91" s="4592">
        <f>+'12. Разходи'!CE93</f>
        <v>0</v>
      </c>
      <c r="U91" s="4592">
        <f>+'12. Разходи'!CF93</f>
        <v>0</v>
      </c>
      <c r="V91" s="4592">
        <f>+'12. Разходи'!CG93</f>
        <v>0</v>
      </c>
      <c r="W91" s="4592">
        <f>+'12. Разходи'!CH93</f>
        <v>0</v>
      </c>
      <c r="X91" s="4592">
        <f>+'12. Разходи'!CI93</f>
        <v>0</v>
      </c>
      <c r="Y91" s="4592">
        <f>+'12. Разходи'!CJ93</f>
        <v>0</v>
      </c>
      <c r="Z91" s="4586">
        <f t="shared" si="73"/>
        <v>0</v>
      </c>
      <c r="AA91" s="4586">
        <f t="shared" si="74"/>
        <v>0</v>
      </c>
    </row>
    <row r="92" spans="1:49" ht="15.75" customHeight="1">
      <c r="A92" s="4594" t="s">
        <v>222</v>
      </c>
      <c r="B92" s="4592">
        <f>'11. Амортиз. план'!BS171</f>
        <v>0</v>
      </c>
      <c r="C92" s="4592">
        <f>'11. Амортиз. план'!BU171</f>
        <v>0</v>
      </c>
      <c r="D92" s="4592">
        <f>'11. Амортиз. план'!BV171</f>
        <v>0</v>
      </c>
      <c r="E92" s="4592">
        <f>'11. Амортиз. план'!BW171</f>
        <v>0</v>
      </c>
      <c r="F92" s="4592">
        <f>'11. Амортиз. план'!BX171</f>
        <v>0</v>
      </c>
      <c r="G92" s="4592">
        <f>'11. Амортиз. план'!BY171</f>
        <v>0</v>
      </c>
      <c r="I92" s="3778" t="s">
        <v>1912</v>
      </c>
      <c r="J92" s="3779">
        <f>J59+J68+J73+J74+J79</f>
        <v>2171.4566194403396</v>
      </c>
      <c r="K92" s="3779">
        <f>K59+K68+K73+K74+K79</f>
        <v>1815.0861782465754</v>
      </c>
      <c r="L92" s="3779">
        <f>L59+L68+L73+L74+L79</f>
        <v>1922.4574732977812</v>
      </c>
      <c r="M92" s="3779">
        <f>M59+M68+M73+M74+M79</f>
        <v>1927.5703921097436</v>
      </c>
      <c r="N92" s="3779">
        <f>N59+N68+N73+N74+N79</f>
        <v>1807.4168000286322</v>
      </c>
      <c r="O92" s="3904">
        <f>AVERAGE(J92:N92)</f>
        <v>1928.7974926246145</v>
      </c>
      <c r="P92" s="3524"/>
      <c r="Q92" s="4554"/>
      <c r="S92" s="4602" t="s">
        <v>1670</v>
      </c>
      <c r="T92" s="4592">
        <f>+'12. Разходи'!CE94</f>
        <v>0</v>
      </c>
      <c r="U92" s="4592">
        <f>+'12. Разходи'!CF94</f>
        <v>0</v>
      </c>
      <c r="V92" s="4592">
        <f>+'12. Разходи'!CG94</f>
        <v>0</v>
      </c>
      <c r="W92" s="4592">
        <f>+'12. Разходи'!CH94</f>
        <v>0</v>
      </c>
      <c r="X92" s="4592">
        <f>+'12. Разходи'!CI94</f>
        <v>0</v>
      </c>
      <c r="Y92" s="4592">
        <f>+'12. Разходи'!CJ94</f>
        <v>0</v>
      </c>
      <c r="Z92" s="4586">
        <f t="shared" si="73"/>
        <v>0</v>
      </c>
      <c r="AA92" s="4586">
        <f t="shared" si="74"/>
        <v>0</v>
      </c>
    </row>
    <row r="93" spans="1:49" ht="18" customHeight="1">
      <c r="A93" s="5682" t="s">
        <v>1659</v>
      </c>
      <c r="B93" s="5682"/>
      <c r="C93" s="5682"/>
      <c r="D93" s="5682"/>
      <c r="E93" s="5682"/>
      <c r="F93" s="5682"/>
      <c r="G93" s="5682"/>
      <c r="I93" s="4542" t="s">
        <v>1913</v>
      </c>
      <c r="J93" s="4603">
        <f>IFERROR((J92*1000)/J91,0)</f>
        <v>11.550116856860473</v>
      </c>
      <c r="K93" s="4603">
        <f t="shared" ref="K93:O93" si="75">IFERROR((K92*1000)/K91,0)</f>
        <v>9.9809528374065906</v>
      </c>
      <c r="L93" s="4603">
        <f t="shared" si="75"/>
        <v>10.928704462521994</v>
      </c>
      <c r="M93" s="4603">
        <f t="shared" si="75"/>
        <v>11.328187451058396</v>
      </c>
      <c r="N93" s="4603">
        <f t="shared" si="75"/>
        <v>11.007812709530386</v>
      </c>
      <c r="O93" s="4603">
        <f t="shared" si="75"/>
        <v>10.957607347109221</v>
      </c>
      <c r="P93" s="3524"/>
      <c r="Q93" s="4554"/>
      <c r="S93" s="4591" t="s">
        <v>1673</v>
      </c>
      <c r="T93" s="4592">
        <f>'12. Разходи'!CE90</f>
        <v>0</v>
      </c>
      <c r="U93" s="4592">
        <f>'12. Разходи'!CF90</f>
        <v>0</v>
      </c>
      <c r="V93" s="4592">
        <f>'12. Разходи'!CG90</f>
        <v>0</v>
      </c>
      <c r="W93" s="4592">
        <f>'12. Разходи'!CH90</f>
        <v>0</v>
      </c>
      <c r="X93" s="4592">
        <f>'12. Разходи'!CI90</f>
        <v>0</v>
      </c>
      <c r="Y93" s="4592">
        <f>'12. Разходи'!CJ90</f>
        <v>0</v>
      </c>
      <c r="Z93" s="4586">
        <f t="shared" si="66"/>
        <v>0</v>
      </c>
      <c r="AA93" s="4586">
        <f t="shared" si="67"/>
        <v>0</v>
      </c>
    </row>
    <row r="94" spans="1:49" ht="15.75" customHeight="1">
      <c r="A94" s="4589" t="s">
        <v>334</v>
      </c>
      <c r="B94" s="4590">
        <f>'11. Амортиз. план'!BS192</f>
        <v>0</v>
      </c>
      <c r="C94" s="4590">
        <f>'11. Амортиз. план'!BU192</f>
        <v>0</v>
      </c>
      <c r="D94" s="4590">
        <f>'11. Амортиз. план'!BV192</f>
        <v>0</v>
      </c>
      <c r="E94" s="4590">
        <f>'11. Амортиз. план'!BW192</f>
        <v>0</v>
      </c>
      <c r="F94" s="4590">
        <f>'11. Амортиз. план'!BX192</f>
        <v>0</v>
      </c>
      <c r="G94" s="4590">
        <f>'11. Амортиз. план'!BY192</f>
        <v>0</v>
      </c>
      <c r="I94" s="1357"/>
      <c r="J94" s="4543"/>
      <c r="K94" s="4543"/>
      <c r="L94" s="4543"/>
      <c r="M94" s="4543"/>
      <c r="N94" s="4543"/>
      <c r="O94" s="4543"/>
      <c r="P94" s="3524"/>
      <c r="Q94" s="4554"/>
      <c r="S94" s="4591" t="s">
        <v>1232</v>
      </c>
      <c r="T94" s="4592">
        <f>'12. Разходи'!CE89</f>
        <v>0</v>
      </c>
      <c r="U94" s="4592">
        <f>'12. Разходи'!CF89</f>
        <v>0</v>
      </c>
      <c r="V94" s="4592">
        <f>'12. Разходи'!CG89</f>
        <v>0</v>
      </c>
      <c r="W94" s="4592">
        <f>'12. Разходи'!CH89</f>
        <v>0</v>
      </c>
      <c r="X94" s="4592">
        <f>'12. Разходи'!CI89</f>
        <v>0</v>
      </c>
      <c r="Y94" s="4592">
        <f>'12. Разходи'!CJ89</f>
        <v>0</v>
      </c>
      <c r="Z94" s="4586">
        <f t="shared" si="66"/>
        <v>0</v>
      </c>
      <c r="AA94" s="4586">
        <f t="shared" si="67"/>
        <v>0</v>
      </c>
    </row>
    <row r="95" spans="1:49" ht="15.75" customHeight="1">
      <c r="A95" s="4593" t="s">
        <v>218</v>
      </c>
      <c r="B95" s="4585">
        <f>'11. Амортиз. план'!BS214</f>
        <v>0</v>
      </c>
      <c r="C95" s="4585">
        <f>'11. Амортиз. план'!BU214</f>
        <v>0</v>
      </c>
      <c r="D95" s="4585">
        <f>'11. Амортиз. план'!BV214</f>
        <v>0</v>
      </c>
      <c r="E95" s="4585">
        <f>'11. Амортиз. план'!BW214</f>
        <v>0</v>
      </c>
      <c r="F95" s="4585">
        <f>'11. Амортиз. план'!BX214</f>
        <v>0</v>
      </c>
      <c r="G95" s="4585">
        <f>'11. Амортиз. план'!BY214</f>
        <v>0</v>
      </c>
      <c r="I95" s="1357" t="s">
        <v>1645</v>
      </c>
      <c r="J95" s="4543"/>
      <c r="K95" s="4543"/>
      <c r="L95" s="4543"/>
      <c r="M95" s="4543"/>
      <c r="N95" s="4543"/>
      <c r="O95" s="4543"/>
      <c r="P95" s="3524"/>
      <c r="Q95" s="4554"/>
      <c r="S95" s="4604"/>
      <c r="T95" s="4605"/>
      <c r="U95" s="4605"/>
      <c r="V95" s="4605"/>
      <c r="W95" s="4605"/>
      <c r="X95" s="4605"/>
      <c r="Y95" s="4605"/>
      <c r="Z95" s="4606"/>
      <c r="AA95" s="4606"/>
    </row>
    <row r="96" spans="1:49" ht="16.5" customHeight="1">
      <c r="A96" s="4594" t="s">
        <v>220</v>
      </c>
      <c r="B96" s="4592">
        <f>'11. Амортиз. план'!BS236</f>
        <v>0</v>
      </c>
      <c r="C96" s="4592">
        <f>'11. Амортиз. план'!BU236</f>
        <v>0</v>
      </c>
      <c r="D96" s="4592">
        <f>'11. Амортиз. план'!BV236</f>
        <v>0</v>
      </c>
      <c r="E96" s="4592">
        <f>'11. Амортиз. план'!BW236</f>
        <v>0</v>
      </c>
      <c r="F96" s="4592">
        <f>'11. Амортиз. план'!BX236</f>
        <v>0</v>
      </c>
      <c r="G96" s="4592">
        <f>'11. Амортиз. план'!BY236</f>
        <v>0</v>
      </c>
      <c r="I96" s="1357" t="s">
        <v>948</v>
      </c>
      <c r="J96" s="4543"/>
      <c r="K96" s="4543"/>
      <c r="L96" s="4543"/>
      <c r="M96" s="4543"/>
      <c r="N96" s="4543"/>
      <c r="O96" s="4543"/>
      <c r="P96" s="3524"/>
      <c r="Q96" s="4554"/>
      <c r="S96" s="4604"/>
      <c r="T96" s="4605"/>
      <c r="U96" s="4605"/>
      <c r="V96" s="4605"/>
      <c r="W96" s="4605"/>
      <c r="X96" s="4605"/>
      <c r="Y96" s="4605"/>
      <c r="Z96" s="4606"/>
      <c r="AA96" s="4606"/>
    </row>
    <row r="97" spans="1:27" ht="15.75" customHeight="1">
      <c r="A97" s="4594" t="s">
        <v>222</v>
      </c>
      <c r="B97" s="4592">
        <f>'11. Амортиз. план'!BS258</f>
        <v>0</v>
      </c>
      <c r="C97" s="4592">
        <f>'11. Амортиз. план'!BU258</f>
        <v>0</v>
      </c>
      <c r="D97" s="4592">
        <f>'11. Амортиз. план'!BV258</f>
        <v>0</v>
      </c>
      <c r="E97" s="4592">
        <f>'11. Амортиз. план'!BW258</f>
        <v>0</v>
      </c>
      <c r="F97" s="4592">
        <f>'11. Амортиз. план'!BX258</f>
        <v>0</v>
      </c>
      <c r="G97" s="4592">
        <f>'11. Амортиз. план'!BY258</f>
        <v>0</v>
      </c>
      <c r="I97" s="4525" t="s">
        <v>1920</v>
      </c>
      <c r="J97" s="4876" t="str">
        <f>+'15. ОПП'!$C$7</f>
        <v>2027 г.</v>
      </c>
      <c r="K97" s="4876" t="str">
        <f>+'15. ОПП'!$D$7</f>
        <v>2028 г.</v>
      </c>
      <c r="L97" s="4876" t="str">
        <f>+'15. ОПП'!$E$7</f>
        <v>2029 г.</v>
      </c>
      <c r="M97" s="4876" t="str">
        <f>+'15. ОПП'!$F$7</f>
        <v>2030 г.</v>
      </c>
      <c r="N97" s="4876" t="str">
        <f>+'15. ОПП'!$G$7</f>
        <v>2031 г.</v>
      </c>
      <c r="O97" s="4876" t="s">
        <v>1622</v>
      </c>
      <c r="P97" s="3524"/>
      <c r="Q97" s="4554"/>
      <c r="S97" s="4604"/>
      <c r="T97" s="4605"/>
      <c r="U97" s="4605"/>
      <c r="V97" s="4605"/>
      <c r="W97" s="4605"/>
      <c r="X97" s="4605"/>
      <c r="Y97" s="4605"/>
      <c r="Z97" s="4606"/>
      <c r="AA97" s="4606"/>
    </row>
    <row r="98" spans="1:27" ht="15.75" customHeight="1">
      <c r="A98" s="2" t="s">
        <v>1664</v>
      </c>
      <c r="B98" s="11"/>
      <c r="C98" s="11"/>
      <c r="D98" s="11"/>
      <c r="E98" s="11"/>
      <c r="F98" s="11"/>
      <c r="G98" s="3760" t="s">
        <v>1911</v>
      </c>
      <c r="I98" s="4579" t="s">
        <v>1617</v>
      </c>
      <c r="J98" s="4547">
        <f>'9.Инвестиционна програма'!BC146</f>
        <v>181.50861782465756</v>
      </c>
      <c r="K98" s="4547">
        <f>'9.Инвестиционна програма'!BD146</f>
        <v>117.59713267513025</v>
      </c>
      <c r="L98" s="4547">
        <f>'9.Инвестиционна програма'!BE146</f>
        <v>258.20240000409035</v>
      </c>
      <c r="M98" s="4547">
        <f>'9.Инвестиционна програма'!BF146</f>
        <v>306.77512871773109</v>
      </c>
      <c r="N98" s="4547">
        <f>'9.Инвестиционна програма'!BG146</f>
        <v>117.59713267513025</v>
      </c>
      <c r="O98" s="4547">
        <f t="shared" ref="O98:O101" si="76">SUM(J98:N98)</f>
        <v>981.68041189673954</v>
      </c>
      <c r="P98" s="3524"/>
      <c r="Q98" s="4554"/>
      <c r="S98" s="4604"/>
      <c r="T98" s="4605"/>
      <c r="U98" s="4605"/>
      <c r="V98" s="4605"/>
      <c r="W98" s="4605"/>
      <c r="X98" s="4605"/>
      <c r="Y98" s="4605"/>
      <c r="Z98" s="4606"/>
      <c r="AA98" s="4606"/>
    </row>
    <row r="99" spans="1:27" ht="16.5" customHeight="1">
      <c r="A99" s="5685" t="s">
        <v>87</v>
      </c>
      <c r="B99" s="5683" t="s">
        <v>1660</v>
      </c>
      <c r="C99" s="5683"/>
      <c r="D99" s="5683"/>
      <c r="E99" s="5683"/>
      <c r="F99" s="5683"/>
      <c r="G99" s="5683"/>
      <c r="I99" s="4593" t="s">
        <v>1623</v>
      </c>
      <c r="J99" s="4585">
        <f>'10. Финансиране на ИП'!CQ15</f>
        <v>181.50861782465756</v>
      </c>
      <c r="K99" s="4585">
        <f>'10. Финансиране на ИП'!CR15</f>
        <v>117.59713267513025</v>
      </c>
      <c r="L99" s="4585">
        <f>'10. Финансиране на ИП'!CS15</f>
        <v>258.20240000409035</v>
      </c>
      <c r="M99" s="4585">
        <f>'10. Финансиране на ИП'!CT15</f>
        <v>306.77512871773109</v>
      </c>
      <c r="N99" s="4585">
        <f>'10. Финансиране на ИП'!CU15</f>
        <v>117.59713267513025</v>
      </c>
      <c r="O99" s="4607">
        <f t="shared" si="76"/>
        <v>981.68041189673954</v>
      </c>
      <c r="Q99" s="4554"/>
      <c r="S99" s="3639" t="s">
        <v>1092</v>
      </c>
      <c r="T99" s="11"/>
      <c r="U99" s="11"/>
      <c r="V99" s="11"/>
      <c r="W99" s="11"/>
      <c r="X99" s="11"/>
      <c r="Y99" s="11"/>
      <c r="Z99" s="11"/>
      <c r="AA99" s="11"/>
    </row>
    <row r="100" spans="1:27" ht="19.5" customHeight="1">
      <c r="A100" s="5685"/>
      <c r="B100" s="4608" t="str">
        <f>B40</f>
        <v>2024 г.</v>
      </c>
      <c r="C100" s="4608" t="str">
        <f>C82</f>
        <v>2027 г.</v>
      </c>
      <c r="D100" s="4608" t="str">
        <f>D40</f>
        <v>2028 г.</v>
      </c>
      <c r="E100" s="4608" t="str">
        <f>E40</f>
        <v>2029 г.</v>
      </c>
      <c r="F100" s="4608" t="str">
        <f>F40</f>
        <v>2030 г.</v>
      </c>
      <c r="G100" s="4608" t="str">
        <f>G40</f>
        <v>2031 г.</v>
      </c>
      <c r="I100" s="4593" t="s">
        <v>1646</v>
      </c>
      <c r="J100" s="4585">
        <f>'10. Финансиране на ИП'!CQ16</f>
        <v>0</v>
      </c>
      <c r="K100" s="4585">
        <f>'10. Финансиране на ИП'!CR16</f>
        <v>0</v>
      </c>
      <c r="L100" s="4585">
        <f>'10. Финансиране на ИП'!CS16</f>
        <v>0</v>
      </c>
      <c r="M100" s="4585">
        <f>'10. Финансиране на ИП'!CT16</f>
        <v>0</v>
      </c>
      <c r="N100" s="4585">
        <f>'10. Финансиране на ИП'!CU16</f>
        <v>0</v>
      </c>
      <c r="O100" s="4607">
        <f t="shared" si="76"/>
        <v>0</v>
      </c>
      <c r="Q100" s="4554"/>
      <c r="S100" s="5676" t="s">
        <v>1921</v>
      </c>
      <c r="T100" s="5676" t="str">
        <f>S99</f>
        <v>Доставяне на вода на друг ВиК оператор</v>
      </c>
      <c r="U100" s="5676"/>
      <c r="V100" s="5676"/>
      <c r="W100" s="5676"/>
      <c r="X100" s="5676"/>
      <c r="Y100" s="5676"/>
      <c r="Z100" s="5619" t="str">
        <f>+"Изменение "&amp;U101&amp;" спр. "&amp;T101</f>
        <v>Изменение 2027 г. спр. 2024 г.</v>
      </c>
      <c r="AA100" s="5619" t="str">
        <f>+"Изменение "&amp;Y101&amp;" спр. "&amp;T101</f>
        <v>Изменение 2031 г. спр. 2024 г.</v>
      </c>
    </row>
    <row r="101" spans="1:27" ht="21" customHeight="1">
      <c r="A101" s="5682" t="s">
        <v>1657</v>
      </c>
      <c r="B101" s="5682"/>
      <c r="C101" s="5682"/>
      <c r="D101" s="5682"/>
      <c r="E101" s="5682"/>
      <c r="F101" s="5682"/>
      <c r="G101" s="5682"/>
      <c r="I101" s="4609" t="s">
        <v>1624</v>
      </c>
      <c r="J101" s="4599">
        <f>'12. Разходи'!CZ56</f>
        <v>543.39589841652901</v>
      </c>
      <c r="K101" s="4599">
        <f>'12. Разходи'!DA56</f>
        <v>557.22634380288684</v>
      </c>
      <c r="L101" s="4599">
        <f>'12. Разходи'!DB56</f>
        <v>575.88849746654876</v>
      </c>
      <c r="M101" s="4599">
        <f>'12. Разходи'!DC56</f>
        <v>603.37043608084559</v>
      </c>
      <c r="N101" s="4599">
        <f>'12. Разходи'!DD56</f>
        <v>623.1829964771988</v>
      </c>
      <c r="O101" s="4599">
        <f t="shared" si="76"/>
        <v>2903.0641722440091</v>
      </c>
      <c r="Q101" s="4554"/>
      <c r="S101" s="5676"/>
      <c r="T101" s="4877" t="str">
        <f t="shared" ref="T101:Y101" si="77">T77</f>
        <v>2024 г.</v>
      </c>
      <c r="U101" s="4877" t="str">
        <f t="shared" si="77"/>
        <v>2027 г.</v>
      </c>
      <c r="V101" s="4877" t="str">
        <f t="shared" si="77"/>
        <v>2028 г.</v>
      </c>
      <c r="W101" s="4877" t="str">
        <f t="shared" si="77"/>
        <v>2029 г.</v>
      </c>
      <c r="X101" s="4877" t="str">
        <f t="shared" si="77"/>
        <v>2030 г.</v>
      </c>
      <c r="Y101" s="4877" t="str">
        <f t="shared" si="77"/>
        <v>2031 г.</v>
      </c>
      <c r="Z101" s="5619"/>
      <c r="AA101" s="5619"/>
    </row>
    <row r="102" spans="1:27" ht="16.5" customHeight="1">
      <c r="A102" s="4589" t="s">
        <v>334</v>
      </c>
      <c r="B102" s="4590">
        <f t="shared" ref="B102:G105" si="78">B6+B24+B42+B60+B84</f>
        <v>12608.457790298748</v>
      </c>
      <c r="C102" s="4590">
        <f t="shared" si="78"/>
        <v>12994.483160601892</v>
      </c>
      <c r="D102" s="4590">
        <f t="shared" si="78"/>
        <v>13112.080293277026</v>
      </c>
      <c r="E102" s="4590">
        <f t="shared" si="78"/>
        <v>13370.282693281115</v>
      </c>
      <c r="F102" s="4590">
        <f t="shared" si="78"/>
        <v>13677.057821998844</v>
      </c>
      <c r="G102" s="4590">
        <f t="shared" si="78"/>
        <v>13794.654954673975</v>
      </c>
      <c r="I102" s="4610" t="s">
        <v>1625</v>
      </c>
      <c r="J102" s="4611">
        <f>J101-J99</f>
        <v>361.88728059187144</v>
      </c>
      <c r="K102" s="4611">
        <f t="shared" ref="K102:O102" si="79">K101-K99</f>
        <v>439.62921112775661</v>
      </c>
      <c r="L102" s="4611">
        <f t="shared" si="79"/>
        <v>317.68609746245841</v>
      </c>
      <c r="M102" s="4611">
        <f t="shared" si="79"/>
        <v>296.5953073631145</v>
      </c>
      <c r="N102" s="4611">
        <f t="shared" si="79"/>
        <v>505.58586380206856</v>
      </c>
      <c r="O102" s="4611">
        <f t="shared" si="79"/>
        <v>1921.3837603472696</v>
      </c>
      <c r="Q102" s="4554"/>
      <c r="S102" s="4591" t="s">
        <v>226</v>
      </c>
      <c r="T102" s="4592">
        <f>'12. Разходи'!CL11</f>
        <v>0</v>
      </c>
      <c r="U102" s="4592">
        <f>'12. Разходи'!CM11</f>
        <v>0</v>
      </c>
      <c r="V102" s="4592">
        <f>'12. Разходи'!CN11</f>
        <v>0</v>
      </c>
      <c r="W102" s="4592">
        <f>'12. Разходи'!CO11</f>
        <v>0</v>
      </c>
      <c r="X102" s="4592">
        <f>'12. Разходи'!CP11</f>
        <v>0</v>
      </c>
      <c r="Y102" s="4592">
        <f>'12. Разходи'!CQ11</f>
        <v>0</v>
      </c>
      <c r="Z102" s="4586">
        <f>IFERROR((U102-T102)/T102,0)</f>
        <v>0</v>
      </c>
      <c r="AA102" s="4586">
        <f>IFERROR((Y102-T102)/T102,0)</f>
        <v>0</v>
      </c>
    </row>
    <row r="103" spans="1:27" ht="15.75" customHeight="1">
      <c r="A103" s="4593" t="s">
        <v>218</v>
      </c>
      <c r="B103" s="4592">
        <f t="shared" si="78"/>
        <v>419.77063446209536</v>
      </c>
      <c r="C103" s="4592">
        <f t="shared" si="78"/>
        <v>543.39589841652912</v>
      </c>
      <c r="D103" s="4592">
        <f t="shared" si="78"/>
        <v>557.22634380288684</v>
      </c>
      <c r="E103" s="4592">
        <f t="shared" si="78"/>
        <v>575.88849746654876</v>
      </c>
      <c r="F103" s="4592">
        <f t="shared" si="78"/>
        <v>603.37043608084559</v>
      </c>
      <c r="G103" s="4592">
        <f t="shared" si="78"/>
        <v>623.1829964771988</v>
      </c>
      <c r="I103" s="4612"/>
      <c r="J103" s="4613"/>
      <c r="K103" s="4613"/>
      <c r="L103" s="4613"/>
      <c r="M103" s="4613"/>
      <c r="N103" s="4613"/>
      <c r="O103" s="4613"/>
      <c r="Q103" s="4554"/>
      <c r="S103" s="4591" t="s">
        <v>239</v>
      </c>
      <c r="T103" s="4592">
        <f>'12. Разходи'!CL29</f>
        <v>0</v>
      </c>
      <c r="U103" s="4592">
        <f>'12. Разходи'!CM29</f>
        <v>0</v>
      </c>
      <c r="V103" s="4592">
        <f>'12. Разходи'!CN29</f>
        <v>0</v>
      </c>
      <c r="W103" s="4592">
        <f>'12. Разходи'!CO29</f>
        <v>0</v>
      </c>
      <c r="X103" s="4592">
        <f>'12. Разходи'!CP29</f>
        <v>0</v>
      </c>
      <c r="Y103" s="4592">
        <f>'12. Разходи'!CQ29</f>
        <v>0</v>
      </c>
      <c r="Z103" s="4586">
        <f t="shared" ref="Z103:Z118" si="80">IFERROR((U103-T103)/T103,0)</f>
        <v>0</v>
      </c>
      <c r="AA103" s="4586">
        <f t="shared" ref="AA103:AA118" si="81">IFERROR((Y103-T103)/T103,0)</f>
        <v>0</v>
      </c>
    </row>
    <row r="104" spans="1:27" ht="21" customHeight="1">
      <c r="A104" s="4594" t="s">
        <v>220</v>
      </c>
      <c r="B104" s="4592">
        <f t="shared" si="78"/>
        <v>5967.5431913816647</v>
      </c>
      <c r="C104" s="4592">
        <f t="shared" si="78"/>
        <v>7034.880332135207</v>
      </c>
      <c r="D104" s="4592">
        <f t="shared" si="78"/>
        <v>7592.1066759380938</v>
      </c>
      <c r="E104" s="4592">
        <f t="shared" si="78"/>
        <v>8167.995173404639</v>
      </c>
      <c r="F104" s="4592">
        <f t="shared" si="78"/>
        <v>8771.3656094854887</v>
      </c>
      <c r="G104" s="4592">
        <f t="shared" si="78"/>
        <v>9394.5486059626837</v>
      </c>
      <c r="I104" s="3637" t="s">
        <v>1728</v>
      </c>
      <c r="J104" s="4876" t="str">
        <f>+'15. ОПП'!$C$7</f>
        <v>2027 г.</v>
      </c>
      <c r="K104" s="4876" t="str">
        <f>+'15. ОПП'!$D$7</f>
        <v>2028 г.</v>
      </c>
      <c r="L104" s="4876" t="str">
        <f>+'15. ОПП'!$E$7</f>
        <v>2029 г.</v>
      </c>
      <c r="M104" s="4876" t="str">
        <f>+'15. ОПП'!$F$7</f>
        <v>2030 г.</v>
      </c>
      <c r="N104" s="4876" t="str">
        <f>+'15. ОПП'!$G$7</f>
        <v>2031 г.</v>
      </c>
      <c r="Q104" s="4554"/>
      <c r="S104" s="4591" t="s">
        <v>446</v>
      </c>
      <c r="T104" s="4592">
        <f>'12. Разходи'!CL55</f>
        <v>0</v>
      </c>
      <c r="U104" s="4592">
        <f>'12. Разходи'!CM55</f>
        <v>0</v>
      </c>
      <c r="V104" s="4592">
        <f>'12. Разходи'!CN55</f>
        <v>0</v>
      </c>
      <c r="W104" s="4592">
        <f>'12. Разходи'!CO55</f>
        <v>0</v>
      </c>
      <c r="X104" s="4592">
        <f>'12. Разходи'!CP55</f>
        <v>0</v>
      </c>
      <c r="Y104" s="4592">
        <f>'12. Разходи'!CQ55</f>
        <v>0</v>
      </c>
      <c r="Z104" s="4586">
        <f t="shared" si="80"/>
        <v>0</v>
      </c>
      <c r="AA104" s="4586">
        <f t="shared" si="81"/>
        <v>0</v>
      </c>
    </row>
    <row r="105" spans="1:27" ht="15.75" customHeight="1">
      <c r="A105" s="4594" t="s">
        <v>222</v>
      </c>
      <c r="B105" s="4592">
        <f t="shared" si="78"/>
        <v>6640.9145989170838</v>
      </c>
      <c r="C105" s="4592">
        <f t="shared" si="78"/>
        <v>5959.6028284666863</v>
      </c>
      <c r="D105" s="4592">
        <f t="shared" si="78"/>
        <v>5519.9736173389301</v>
      </c>
      <c r="E105" s="4592">
        <f t="shared" si="78"/>
        <v>5202.2875198764714</v>
      </c>
      <c r="F105" s="4592">
        <f t="shared" si="78"/>
        <v>4905.6922125133569</v>
      </c>
      <c r="G105" s="4592">
        <f t="shared" si="78"/>
        <v>4400.1063487112888</v>
      </c>
      <c r="I105" s="3630" t="s">
        <v>1914</v>
      </c>
      <c r="J105" s="3635">
        <f>'10. Финансиране на ИП'!CQ59*'10. Финансиране на ИП'!AT66</f>
        <v>0</v>
      </c>
      <c r="K105" s="3635">
        <f>'10. Финансиране на ИП'!CR59*'10. Финансиране на ИП'!AU66</f>
        <v>0</v>
      </c>
      <c r="L105" s="3635">
        <f>'10. Финансиране на ИП'!CS59*'10. Финансиране на ИП'!AV66</f>
        <v>0</v>
      </c>
      <c r="M105" s="3635">
        <f>'10. Финансиране на ИП'!CT59*'10. Финансиране на ИП'!AW66</f>
        <v>0</v>
      </c>
      <c r="N105" s="3635">
        <f>'10. Финансиране на ИП'!CCU59*'10. Финансиране на ИП'!AX66</f>
        <v>0</v>
      </c>
      <c r="Q105" s="4554"/>
      <c r="S105" s="4584" t="s">
        <v>447</v>
      </c>
      <c r="T105" s="4592">
        <f>'12. Разходи'!CL56</f>
        <v>0</v>
      </c>
      <c r="U105" s="4592">
        <f>'12. Разходи'!CM56</f>
        <v>0</v>
      </c>
      <c r="V105" s="4592">
        <f>'12. Разходи'!CN56</f>
        <v>0</v>
      </c>
      <c r="W105" s="4592">
        <f>'12. Разходи'!CO56</f>
        <v>0</v>
      </c>
      <c r="X105" s="4592">
        <f>'12. Разходи'!CP56</f>
        <v>0</v>
      </c>
      <c r="Y105" s="4592">
        <f>'12. Разходи'!CQ56</f>
        <v>0</v>
      </c>
      <c r="Z105" s="4586">
        <f t="shared" si="80"/>
        <v>0</v>
      </c>
      <c r="AA105" s="4586">
        <f t="shared" si="81"/>
        <v>0</v>
      </c>
    </row>
    <row r="106" spans="1:27" ht="15.75" customHeight="1">
      <c r="A106" s="5682" t="s">
        <v>1658</v>
      </c>
      <c r="B106" s="5682"/>
      <c r="C106" s="5682"/>
      <c r="D106" s="5682"/>
      <c r="E106" s="5682"/>
      <c r="F106" s="5682"/>
      <c r="G106" s="5682"/>
      <c r="I106" s="3632" t="s">
        <v>1915</v>
      </c>
      <c r="J106" s="3633">
        <f>'10. Финансиране на ИП'!CQ60*'10. Финансиране на ИП'!AT66</f>
        <v>0</v>
      </c>
      <c r="K106" s="3633">
        <f>'10. Финансиране на ИП'!CR60*'10. Финансиране на ИП'!AU66</f>
        <v>0</v>
      </c>
      <c r="L106" s="3633">
        <f>'10. Финансиране на ИП'!CS60*'10. Финансиране на ИП'!AV66</f>
        <v>0</v>
      </c>
      <c r="M106" s="3633">
        <f>'10. Финансиране на ИП'!CT60*'10. Финансиране на ИП'!AW66</f>
        <v>0</v>
      </c>
      <c r="N106" s="3633">
        <f>'10. Финансиране на ИП'!CU60*'10. Финансиране на ИП'!AX66</f>
        <v>0</v>
      </c>
      <c r="Q106" s="4554"/>
      <c r="S106" s="4584" t="s">
        <v>736</v>
      </c>
      <c r="T106" s="4592">
        <f>'12. Разходи'!CL57</f>
        <v>0</v>
      </c>
      <c r="U106" s="4592">
        <f>'12. Разходи'!CM57</f>
        <v>0</v>
      </c>
      <c r="V106" s="4592">
        <f>'12. Разходи'!CN57</f>
        <v>0</v>
      </c>
      <c r="W106" s="4592">
        <f>'12. Разходи'!CO57</f>
        <v>0</v>
      </c>
      <c r="X106" s="4592">
        <f>'12. Разходи'!CP57</f>
        <v>0</v>
      </c>
      <c r="Y106" s="4592">
        <f>'12. Разходи'!CQ57</f>
        <v>0</v>
      </c>
      <c r="Z106" s="4586">
        <f t="shared" si="80"/>
        <v>0</v>
      </c>
      <c r="AA106" s="4586">
        <f t="shared" si="81"/>
        <v>0</v>
      </c>
    </row>
    <row r="107" spans="1:27" ht="15.75" customHeight="1">
      <c r="A107" s="4589" t="s">
        <v>334</v>
      </c>
      <c r="B107" s="4590">
        <f t="shared" ref="B107:G110" si="82">B11+B29+B47+B65+B89</f>
        <v>13304.837332487998</v>
      </c>
      <c r="C107" s="4590">
        <f t="shared" si="82"/>
        <v>17803.694595133522</v>
      </c>
      <c r="D107" s="4590">
        <f t="shared" si="82"/>
        <v>19501.183640704974</v>
      </c>
      <c r="E107" s="4590">
        <f t="shared" si="82"/>
        <v>21165.438713998665</v>
      </c>
      <c r="F107" s="4590">
        <f t="shared" si="82"/>
        <v>22786.233977390675</v>
      </c>
      <c r="G107" s="4590">
        <f t="shared" si="82"/>
        <v>24476.053644744177</v>
      </c>
      <c r="I107" s="3632" t="s">
        <v>1916</v>
      </c>
      <c r="J107" s="3633">
        <f>'10. Финансиране на ИП'!CQ61*'10. Финансиране на ИП'!AT66</f>
        <v>0</v>
      </c>
      <c r="K107" s="3633">
        <f>'10. Финансиране на ИП'!CR61*'10. Финансиране на ИП'!AU66</f>
        <v>0</v>
      </c>
      <c r="L107" s="3633">
        <f>'10. Финансиране на ИП'!CS61*'10. Финансиране на ИП'!AV66</f>
        <v>0</v>
      </c>
      <c r="M107" s="3633">
        <f>'10. Финансиране на ИП'!CT61*'10. Финансиране на ИП'!AW66</f>
        <v>0</v>
      </c>
      <c r="N107" s="3633">
        <f>'10. Финансиране на ИП'!CU61*'10. Финансиране на ИП'!AX66</f>
        <v>0</v>
      </c>
      <c r="Q107" s="4554"/>
      <c r="S107" s="4584" t="s">
        <v>737</v>
      </c>
      <c r="T107" s="4592">
        <f>'12. Разходи'!CL58</f>
        <v>0</v>
      </c>
      <c r="U107" s="4592">
        <f>'12. Разходи'!CM58</f>
        <v>0</v>
      </c>
      <c r="V107" s="4592">
        <f>'12. Разходи'!CN58</f>
        <v>0</v>
      </c>
      <c r="W107" s="4592">
        <f>'12. Разходи'!CO58</f>
        <v>0</v>
      </c>
      <c r="X107" s="4592">
        <f>'12. Разходи'!CP58</f>
        <v>0</v>
      </c>
      <c r="Y107" s="4592">
        <f>'12. Разходи'!CQ58</f>
        <v>0</v>
      </c>
      <c r="Z107" s="4586">
        <f t="shared" si="80"/>
        <v>0</v>
      </c>
      <c r="AA107" s="4586">
        <f t="shared" si="81"/>
        <v>0</v>
      </c>
    </row>
    <row r="108" spans="1:27" ht="15.75" customHeight="1">
      <c r="A108" s="4593" t="s">
        <v>218</v>
      </c>
      <c r="B108" s="4592">
        <f t="shared" si="82"/>
        <v>310.86546376730087</v>
      </c>
      <c r="C108" s="4592">
        <f t="shared" si="82"/>
        <v>433.82604827617939</v>
      </c>
      <c r="D108" s="4592">
        <f t="shared" si="82"/>
        <v>480.50699702939414</v>
      </c>
      <c r="E108" s="4592">
        <f t="shared" si="82"/>
        <v>523.42995045581665</v>
      </c>
      <c r="F108" s="4592">
        <f t="shared" si="82"/>
        <v>565.48370768420568</v>
      </c>
      <c r="G108" s="4592">
        <f t="shared" si="82"/>
        <v>607.5885941007142</v>
      </c>
      <c r="I108" s="3630" t="s">
        <v>1917</v>
      </c>
      <c r="J108" s="3635">
        <f>'10. Финансиране на ИП'!CQ62*'10. Финансиране на ИП'!AT66</f>
        <v>0</v>
      </c>
      <c r="K108" s="3635">
        <f>'10. Финансиране на ИП'!CR62*'10. Финансиране на ИП'!AU66</f>
        <v>0</v>
      </c>
      <c r="L108" s="3635">
        <f>'10. Финансиране на ИП'!CS62*'10. Финансиране на ИП'!AV66</f>
        <v>0</v>
      </c>
      <c r="M108" s="3635">
        <f>'10. Финансиране на ИП'!CT62*'10. Финансиране на ИП'!AW66</f>
        <v>0</v>
      </c>
      <c r="N108" s="3635">
        <f>'10. Финансиране на ИП'!CU62*'10. Финансиране на ИП'!AX66</f>
        <v>0</v>
      </c>
      <c r="Q108" s="4554"/>
      <c r="S108" s="4591" t="s">
        <v>448</v>
      </c>
      <c r="T108" s="4592">
        <f>'12. Разходи'!CL59</f>
        <v>0</v>
      </c>
      <c r="U108" s="4592">
        <f>'12. Разходи'!CM59</f>
        <v>0</v>
      </c>
      <c r="V108" s="4592">
        <f>'12. Разходи'!CN59</f>
        <v>0</v>
      </c>
      <c r="W108" s="4592">
        <f>'12. Разходи'!CO59</f>
        <v>0</v>
      </c>
      <c r="X108" s="4592">
        <f>'12. Разходи'!CP59</f>
        <v>0</v>
      </c>
      <c r="Y108" s="4592">
        <f>'12. Разходи'!CQ59</f>
        <v>0</v>
      </c>
      <c r="Z108" s="4586">
        <f t="shared" si="80"/>
        <v>0</v>
      </c>
      <c r="AA108" s="4586">
        <f t="shared" si="81"/>
        <v>0</v>
      </c>
    </row>
    <row r="109" spans="1:27" ht="15.75" customHeight="1">
      <c r="A109" s="4594" t="s">
        <v>220</v>
      </c>
      <c r="B109" s="4592">
        <f t="shared" si="82"/>
        <v>1171.8809917017327</v>
      </c>
      <c r="C109" s="4592">
        <f t="shared" si="82"/>
        <v>1983.1248114611192</v>
      </c>
      <c r="D109" s="4592">
        <f t="shared" si="82"/>
        <v>2463.6318084905129</v>
      </c>
      <c r="E109" s="4592">
        <f t="shared" si="82"/>
        <v>2987.0617589463295</v>
      </c>
      <c r="F109" s="4592">
        <f t="shared" si="82"/>
        <v>3552.5454666305354</v>
      </c>
      <c r="G109" s="4592">
        <f t="shared" si="82"/>
        <v>4160.1340607312495</v>
      </c>
      <c r="I109" s="3632" t="s">
        <v>199</v>
      </c>
      <c r="J109" s="3626">
        <f>'10. Финансиране на ИП'!AT63</f>
        <v>0</v>
      </c>
      <c r="K109" s="3626">
        <f>'10. Финансиране на ИП'!AU63</f>
        <v>0</v>
      </c>
      <c r="L109" s="3626">
        <f>'10. Финансиране на ИП'!AV63</f>
        <v>0</v>
      </c>
      <c r="M109" s="3626">
        <f>'10. Финансиране на ИП'!AW63</f>
        <v>0</v>
      </c>
      <c r="N109" s="3626">
        <f>'10. Финансиране на ИП'!AX63</f>
        <v>0</v>
      </c>
      <c r="Q109" s="4554"/>
      <c r="S109" s="4591" t="s">
        <v>449</v>
      </c>
      <c r="T109" s="4592">
        <f>'12. Разходи'!CL63</f>
        <v>0</v>
      </c>
      <c r="U109" s="4592">
        <f>'12. Разходи'!CM63</f>
        <v>0</v>
      </c>
      <c r="V109" s="4592">
        <f>'12. Разходи'!CN63</f>
        <v>0</v>
      </c>
      <c r="W109" s="4592">
        <f>'12. Разходи'!CO63</f>
        <v>0</v>
      </c>
      <c r="X109" s="4592">
        <f>'12. Разходи'!CP63</f>
        <v>0</v>
      </c>
      <c r="Y109" s="4592">
        <f>'12. Разходи'!CQ63</f>
        <v>0</v>
      </c>
      <c r="Z109" s="4586">
        <f t="shared" si="80"/>
        <v>0</v>
      </c>
      <c r="AA109" s="4586">
        <f t="shared" si="81"/>
        <v>0</v>
      </c>
    </row>
    <row r="110" spans="1:27" ht="15.75" customHeight="1">
      <c r="A110" s="4594" t="s">
        <v>222</v>
      </c>
      <c r="B110" s="4592">
        <f t="shared" si="82"/>
        <v>12132.956340786264</v>
      </c>
      <c r="C110" s="4592">
        <f t="shared" si="82"/>
        <v>15820.569783672407</v>
      </c>
      <c r="D110" s="4592">
        <f t="shared" si="82"/>
        <v>17037.551832214456</v>
      </c>
      <c r="E110" s="4592">
        <f t="shared" si="82"/>
        <v>18178.376955052336</v>
      </c>
      <c r="F110" s="4592">
        <f t="shared" si="82"/>
        <v>19233.688510760141</v>
      </c>
      <c r="G110" s="4592">
        <f t="shared" si="82"/>
        <v>20315.919584012925</v>
      </c>
      <c r="I110" s="3630" t="s">
        <v>1918</v>
      </c>
      <c r="J110" s="3636">
        <f>'10. Финансиране на ИП'!CQ64*'10. Финансиране на ИП'!AT66</f>
        <v>0</v>
      </c>
      <c r="K110" s="3636">
        <f>'10. Финансиране на ИП'!CR64*'10. Финансиране на ИП'!AU66</f>
        <v>0</v>
      </c>
      <c r="L110" s="3636">
        <f>'10. Финансиране на ИП'!CS64*'10. Финансиране на ИП'!AV66</f>
        <v>0</v>
      </c>
      <c r="M110" s="3636">
        <f>'10. Финансиране на ИП'!CT64*'10. Финансиране на ИП'!AW66</f>
        <v>0</v>
      </c>
      <c r="N110" s="3636">
        <f>'10. Финансиране на ИП'!CU64*'10. Финансиране на ИП'!AX66</f>
        <v>0</v>
      </c>
      <c r="Q110" s="4554"/>
      <c r="S110" s="4591" t="s">
        <v>450</v>
      </c>
      <c r="T110" s="4592">
        <f>'12. Разходи'!CL70</f>
        <v>0</v>
      </c>
      <c r="U110" s="4592">
        <f>'12. Разходи'!CM70</f>
        <v>0</v>
      </c>
      <c r="V110" s="4592">
        <f>'12. Разходи'!CN70</f>
        <v>0</v>
      </c>
      <c r="W110" s="4592">
        <f>'12. Разходи'!CO70</f>
        <v>0</v>
      </c>
      <c r="X110" s="4592">
        <f>'12. Разходи'!CP70</f>
        <v>0</v>
      </c>
      <c r="Y110" s="4592">
        <f>'12. Разходи'!CQ70</f>
        <v>0</v>
      </c>
      <c r="Z110" s="4586">
        <f t="shared" si="80"/>
        <v>0</v>
      </c>
      <c r="AA110" s="4586">
        <f t="shared" si="81"/>
        <v>0</v>
      </c>
    </row>
    <row r="111" spans="1:27" ht="15.75" customHeight="1">
      <c r="A111" s="5682" t="s">
        <v>1659</v>
      </c>
      <c r="B111" s="5682"/>
      <c r="C111" s="5682"/>
      <c r="D111" s="5682"/>
      <c r="E111" s="5682"/>
      <c r="F111" s="5682"/>
      <c r="G111" s="5682"/>
      <c r="I111" s="3630" t="s">
        <v>1919</v>
      </c>
      <c r="J111" s="3636">
        <f>'10. Финансиране на ИП'!CQ65*'10. Финансиране на ИП'!AT66</f>
        <v>0</v>
      </c>
      <c r="K111" s="3636">
        <f>'10. Финансиране на ИП'!CR65*'10. Финансиране на ИП'!AU66</f>
        <v>0</v>
      </c>
      <c r="L111" s="3636">
        <f>'10. Финансиране на ИП'!CS65*'10. Финансиране на ИП'!AV66</f>
        <v>0</v>
      </c>
      <c r="M111" s="3636">
        <f>'10. Финансиране на ИП'!CT65*'10. Финансиране на ИП'!AW66</f>
        <v>0</v>
      </c>
      <c r="N111" s="3636">
        <f>'10. Финансиране на ИП'!CU65*'10. Финансиране на ИП'!AX66</f>
        <v>0</v>
      </c>
      <c r="Q111" s="4554"/>
      <c r="S111" s="4591" t="s">
        <v>267</v>
      </c>
      <c r="T111" s="4592">
        <f>'12. Разходи'!CL76</f>
        <v>0</v>
      </c>
      <c r="U111" s="4592">
        <f>'12. Разходи'!CM76</f>
        <v>0</v>
      </c>
      <c r="V111" s="4592">
        <f>'12. Разходи'!CN76</f>
        <v>0</v>
      </c>
      <c r="W111" s="4592">
        <f>'12. Разходи'!CO76</f>
        <v>0</v>
      </c>
      <c r="X111" s="4592">
        <f>'12. Разходи'!CP76</f>
        <v>0</v>
      </c>
      <c r="Y111" s="4592">
        <f>'12. Разходи'!CQ76</f>
        <v>0</v>
      </c>
      <c r="Z111" s="4586">
        <f t="shared" si="80"/>
        <v>0</v>
      </c>
      <c r="AA111" s="4586">
        <f t="shared" si="81"/>
        <v>0</v>
      </c>
    </row>
    <row r="112" spans="1:27" ht="20.25" customHeight="1">
      <c r="A112" s="4589" t="s">
        <v>334</v>
      </c>
      <c r="B112" s="4590">
        <f t="shared" ref="B112:G115" si="83">B16+B34+B52+B70+B94</f>
        <v>108428.64666151966</v>
      </c>
      <c r="C112" s="4590">
        <f t="shared" si="83"/>
        <v>108428.64666151966</v>
      </c>
      <c r="D112" s="4590">
        <f t="shared" si="83"/>
        <v>108428.64666151966</v>
      </c>
      <c r="E112" s="4590">
        <f t="shared" si="83"/>
        <v>108428.64666151966</v>
      </c>
      <c r="F112" s="4590">
        <f t="shared" si="83"/>
        <v>108428.64666151966</v>
      </c>
      <c r="G112" s="4590">
        <f t="shared" si="83"/>
        <v>108428.64666151966</v>
      </c>
      <c r="I112" s="3637" t="s">
        <v>1938</v>
      </c>
      <c r="J112" s="4876" t="str">
        <f>+'15. ОПП'!$C$7</f>
        <v>2027 г.</v>
      </c>
      <c r="K112" s="4876" t="str">
        <f>+'15. ОПП'!$D$7</f>
        <v>2028 г.</v>
      </c>
      <c r="L112" s="4876" t="str">
        <f>+'15. ОПП'!$E$7</f>
        <v>2029 г.</v>
      </c>
      <c r="M112" s="4876" t="str">
        <f>+'15. ОПП'!$F$7</f>
        <v>2030 г.</v>
      </c>
      <c r="N112" s="4876" t="str">
        <f>+'15. ОПП'!$G$7</f>
        <v>2031 г.</v>
      </c>
      <c r="Q112" s="4554"/>
      <c r="S112" s="4598" t="s">
        <v>277</v>
      </c>
      <c r="T112" s="4599">
        <f>SUM(T102:T104,T108:T111)</f>
        <v>0</v>
      </c>
      <c r="U112" s="4599">
        <f t="shared" ref="U112:Y112" si="84">SUM(U102:U104,U108:U111)</f>
        <v>0</v>
      </c>
      <c r="V112" s="4599">
        <f t="shared" si="84"/>
        <v>0</v>
      </c>
      <c r="W112" s="4599">
        <f t="shared" si="84"/>
        <v>0</v>
      </c>
      <c r="X112" s="4599">
        <f t="shared" si="84"/>
        <v>0</v>
      </c>
      <c r="Y112" s="4599">
        <f t="shared" si="84"/>
        <v>0</v>
      </c>
      <c r="Z112" s="4600">
        <f t="shared" si="80"/>
        <v>0</v>
      </c>
      <c r="AA112" s="4600">
        <f t="shared" si="81"/>
        <v>0</v>
      </c>
    </row>
    <row r="113" spans="1:27" ht="15.75" customHeight="1">
      <c r="A113" s="4593" t="s">
        <v>218</v>
      </c>
      <c r="B113" s="4592">
        <f t="shared" si="83"/>
        <v>2619.8595992494234</v>
      </c>
      <c r="C113" s="4592">
        <f t="shared" si="83"/>
        <v>2619.8595992494234</v>
      </c>
      <c r="D113" s="4592">
        <f t="shared" si="83"/>
        <v>2619.8595992494234</v>
      </c>
      <c r="E113" s="4592">
        <f t="shared" si="83"/>
        <v>2619.8595992494234</v>
      </c>
      <c r="F113" s="4592">
        <f t="shared" si="83"/>
        <v>2619.8595992494234</v>
      </c>
      <c r="G113" s="4592">
        <f t="shared" si="83"/>
        <v>2619.8595992494234</v>
      </c>
      <c r="I113" s="3630" t="s">
        <v>1914</v>
      </c>
      <c r="J113" s="3635">
        <f>'10. Финансиране на ИП'!CQ70*'10. Финансиране на ИП'!AT77</f>
        <v>0</v>
      </c>
      <c r="K113" s="3635">
        <f>'10. Финансиране на ИП'!CR70*'10. Финансиране на ИП'!AU77</f>
        <v>0</v>
      </c>
      <c r="L113" s="3635">
        <f>'10. Финансиране на ИП'!CS70*'10. Финансиране на ИП'!AV77</f>
        <v>0</v>
      </c>
      <c r="M113" s="3635">
        <f>'10. Финансиране на ИП'!CT70*'10. Финансиране на ИП'!AW77</f>
        <v>0</v>
      </c>
      <c r="N113" s="3635">
        <f>'10. Финансиране на ИП'!CU70*'10. Финансиране на ИП'!AX77</f>
        <v>0</v>
      </c>
      <c r="Q113" s="4554"/>
      <c r="S113" s="4555" t="str">
        <f>CONCATENATE("Спестявания и увеличения спрямо ",T101," - нето:")</f>
        <v>Спестявания и увеличения спрямо 2024 г. - нето:</v>
      </c>
      <c r="T113" s="4557"/>
      <c r="U113" s="4601">
        <f>U112-$T112</f>
        <v>0</v>
      </c>
      <c r="V113" s="4601">
        <f t="shared" ref="V113:Y113" si="85">V112-$T112</f>
        <v>0</v>
      </c>
      <c r="W113" s="4601">
        <f t="shared" si="85"/>
        <v>0</v>
      </c>
      <c r="X113" s="4601">
        <f t="shared" si="85"/>
        <v>0</v>
      </c>
      <c r="Y113" s="4601">
        <f t="shared" si="85"/>
        <v>0</v>
      </c>
      <c r="Z113" s="4557"/>
      <c r="AA113" s="4557"/>
    </row>
    <row r="114" spans="1:27" ht="15.75" customHeight="1">
      <c r="A114" s="4594" t="s">
        <v>220</v>
      </c>
      <c r="B114" s="4592">
        <f t="shared" si="83"/>
        <v>21978.904096981845</v>
      </c>
      <c r="C114" s="4592">
        <f t="shared" si="83"/>
        <v>27218.623295480691</v>
      </c>
      <c r="D114" s="4592">
        <f t="shared" si="83"/>
        <v>29838.482894730118</v>
      </c>
      <c r="E114" s="4592">
        <f t="shared" si="83"/>
        <v>32458.342493979537</v>
      </c>
      <c r="F114" s="4592">
        <f t="shared" si="83"/>
        <v>35078.20209322896</v>
      </c>
      <c r="G114" s="4592">
        <f t="shared" si="83"/>
        <v>37698.061692478383</v>
      </c>
      <c r="I114" s="3632" t="s">
        <v>1915</v>
      </c>
      <c r="J114" s="3633">
        <f>'10. Финансиране на ИП'!CQ71*'10. Финансиране на ИП'!AT77</f>
        <v>0</v>
      </c>
      <c r="K114" s="3633">
        <f>'10. Финансиране на ИП'!CR71*'10. Финансиране на ИП'!AU77</f>
        <v>0</v>
      </c>
      <c r="L114" s="3633">
        <f>'10. Финансиране на ИП'!CS71*'10. Финансиране на ИП'!AV77</f>
        <v>0</v>
      </c>
      <c r="M114" s="3633">
        <f>'10. Финансиране на ИП'!CT71*'10. Финансиране на ИП'!AW77</f>
        <v>0</v>
      </c>
      <c r="N114" s="3633">
        <f>'10. Финансиране на ИП'!CU71*'10. Финансиране на ИП'!AX77</f>
        <v>0</v>
      </c>
      <c r="Q114" s="4554"/>
      <c r="S114" s="4591" t="s">
        <v>1669</v>
      </c>
      <c r="T114" s="4592">
        <f>+'12. Разходи'!CL92</f>
        <v>0</v>
      </c>
      <c r="U114" s="4592">
        <f>+'12. Разходи'!CM92</f>
        <v>0</v>
      </c>
      <c r="V114" s="4592">
        <f>+'12. Разходи'!CN92</f>
        <v>0</v>
      </c>
      <c r="W114" s="4592">
        <f>+'12. Разходи'!CO92</f>
        <v>0</v>
      </c>
      <c r="X114" s="4592">
        <f>+'12. Разходи'!CP92</f>
        <v>0</v>
      </c>
      <c r="Y114" s="4592">
        <f>+'12. Разходи'!CQ92</f>
        <v>0</v>
      </c>
      <c r="Z114" s="4586">
        <f t="shared" ref="Z114:Z116" si="86">IFERROR((U114-T114)/T114,0)</f>
        <v>0</v>
      </c>
      <c r="AA114" s="4586">
        <f t="shared" ref="AA114:AA116" si="87">IFERROR((Y114-T114)/T114,0)</f>
        <v>0</v>
      </c>
    </row>
    <row r="115" spans="1:27" ht="15.75" customHeight="1">
      <c r="A115" s="4594" t="s">
        <v>222</v>
      </c>
      <c r="B115" s="4592">
        <f t="shared" si="83"/>
        <v>86449.74256453781</v>
      </c>
      <c r="C115" s="4592">
        <f t="shared" si="83"/>
        <v>81210.023366038979</v>
      </c>
      <c r="D115" s="4592">
        <f t="shared" si="83"/>
        <v>78590.163766789541</v>
      </c>
      <c r="E115" s="4592">
        <f t="shared" si="83"/>
        <v>75970.304167540133</v>
      </c>
      <c r="F115" s="4592">
        <f t="shared" si="83"/>
        <v>73350.444568290695</v>
      </c>
      <c r="G115" s="4592">
        <f t="shared" si="83"/>
        <v>70730.584969041272</v>
      </c>
      <c r="I115" s="3632" t="s">
        <v>1916</v>
      </c>
      <c r="J115" s="3633">
        <f>'10. Финансиране на ИП'!CQ72*'10. Финансиране на ИП'!AT77</f>
        <v>0</v>
      </c>
      <c r="K115" s="3633">
        <f>'10. Финансиране на ИП'!CR72*'10. Финансиране на ИП'!AU77</f>
        <v>0</v>
      </c>
      <c r="L115" s="3633">
        <f>'10. Финансиране на ИП'!CS72*'10. Финансиране на ИП'!AV77</f>
        <v>0</v>
      </c>
      <c r="M115" s="3633">
        <f>'10. Финансиране на ИП'!CT72*'10. Финансиране на ИП'!AW77</f>
        <v>0</v>
      </c>
      <c r="N115" s="3633">
        <f>'10. Финансиране на ИП'!CU72*'10. Финансиране на ИП'!AX77</f>
        <v>0</v>
      </c>
      <c r="Q115" s="4554"/>
      <c r="S115" s="4591" t="s">
        <v>1671</v>
      </c>
      <c r="T115" s="4592">
        <f>+'12. Разходи'!CL93</f>
        <v>0</v>
      </c>
      <c r="U115" s="4592">
        <f>+'12. Разходи'!CM93</f>
        <v>0</v>
      </c>
      <c r="V115" s="4592">
        <f>+'12. Разходи'!CN93</f>
        <v>0</v>
      </c>
      <c r="W115" s="4592">
        <f>+'12. Разходи'!CO93</f>
        <v>0</v>
      </c>
      <c r="X115" s="4592">
        <f>+'12. Разходи'!CP93</f>
        <v>0</v>
      </c>
      <c r="Y115" s="4592">
        <f>+'12. Разходи'!CQ93</f>
        <v>0</v>
      </c>
      <c r="Z115" s="4586">
        <f t="shared" si="86"/>
        <v>0</v>
      </c>
      <c r="AA115" s="4586">
        <f t="shared" si="87"/>
        <v>0</v>
      </c>
    </row>
    <row r="116" spans="1:27" ht="15.75" customHeight="1">
      <c r="A116" s="4614"/>
      <c r="B116" s="4615"/>
      <c r="C116" s="4615"/>
      <c r="D116" s="4615"/>
      <c r="E116" s="4615"/>
      <c r="F116" s="4615"/>
      <c r="G116" s="3760" t="s">
        <v>1911</v>
      </c>
      <c r="I116" s="3630" t="s">
        <v>1917</v>
      </c>
      <c r="J116" s="3635">
        <f>'10. Финансиране на ИП'!CQ73*'10. Финансиране на ИП'!AT77</f>
        <v>0</v>
      </c>
      <c r="K116" s="3635">
        <f>'10. Финансиране на ИП'!CR73*'10. Финансиране на ИП'!AU77</f>
        <v>0</v>
      </c>
      <c r="L116" s="3635">
        <f>'10. Финансиране на ИП'!CS73*'10. Финансиране на ИП'!AV77</f>
        <v>0</v>
      </c>
      <c r="M116" s="3635">
        <f>'10. Финансиране на ИП'!CT73*'10. Финансиране на ИП'!AW77</f>
        <v>0</v>
      </c>
      <c r="N116" s="3635">
        <f>'10. Финансиране на ИП'!CU73*'10. Финансиране на ИП'!AX77</f>
        <v>0</v>
      </c>
      <c r="Q116" s="4554"/>
      <c r="S116" s="4602" t="s">
        <v>1670</v>
      </c>
      <c r="T116" s="4592">
        <f>+'12. Разходи'!CL94</f>
        <v>0</v>
      </c>
      <c r="U116" s="4592">
        <f>+'12. Разходи'!CM94</f>
        <v>0</v>
      </c>
      <c r="V116" s="4592">
        <f>+'12. Разходи'!CN94</f>
        <v>0</v>
      </c>
      <c r="W116" s="4592">
        <f>+'12. Разходи'!CO94</f>
        <v>0</v>
      </c>
      <c r="X116" s="4592">
        <f>+'12. Разходи'!CP94</f>
        <v>0</v>
      </c>
      <c r="Y116" s="4592">
        <f>+'12. Разходи'!CQ94</f>
        <v>0</v>
      </c>
      <c r="Z116" s="4586">
        <f t="shared" si="86"/>
        <v>0</v>
      </c>
      <c r="AA116" s="4586">
        <f t="shared" si="87"/>
        <v>0</v>
      </c>
    </row>
    <row r="117" spans="1:27" ht="15.75" customHeight="1">
      <c r="A117" s="5685" t="s">
        <v>1661</v>
      </c>
      <c r="B117" s="5683" t="s">
        <v>1660</v>
      </c>
      <c r="C117" s="5683"/>
      <c r="D117" s="5683"/>
      <c r="E117" s="5683"/>
      <c r="F117" s="5683"/>
      <c r="G117" s="5683"/>
      <c r="I117" s="3632" t="s">
        <v>199</v>
      </c>
      <c r="J117" s="3626">
        <f>'10. Финансиране на ИП'!AT74</f>
        <v>0</v>
      </c>
      <c r="K117" s="3626">
        <f>'10. Финансиране на ИП'!AU74</f>
        <v>0</v>
      </c>
      <c r="L117" s="3626">
        <f>'10. Финансиране на ИП'!AV74</f>
        <v>0</v>
      </c>
      <c r="M117" s="3626">
        <f>'10. Финансиране на ИП'!AW74</f>
        <v>0</v>
      </c>
      <c r="N117" s="3626">
        <f>'10. Финансиране на ИП'!CU74</f>
        <v>0</v>
      </c>
      <c r="Q117" s="4554"/>
      <c r="S117" s="4591" t="s">
        <v>637</v>
      </c>
      <c r="T117" s="4592">
        <f>'12. Разходи'!CL90</f>
        <v>0</v>
      </c>
      <c r="U117" s="4592">
        <f>'12. Разходи'!CM90</f>
        <v>0</v>
      </c>
      <c r="V117" s="4592">
        <f>'12. Разходи'!CN90</f>
        <v>0</v>
      </c>
      <c r="W117" s="4592">
        <f>'12. Разходи'!CO90</f>
        <v>0</v>
      </c>
      <c r="X117" s="4592">
        <f>'12. Разходи'!CP90</f>
        <v>0</v>
      </c>
      <c r="Y117" s="4592">
        <f>'12. Разходи'!CQ90</f>
        <v>0</v>
      </c>
      <c r="Z117" s="4586">
        <f t="shared" si="80"/>
        <v>0</v>
      </c>
      <c r="AA117" s="4586">
        <f t="shared" si="81"/>
        <v>0</v>
      </c>
    </row>
    <row r="118" spans="1:27" ht="15.75" customHeight="1">
      <c r="A118" s="5685"/>
      <c r="B118" s="4608" t="str">
        <f>+B100</f>
        <v>2024 г.</v>
      </c>
      <c r="C118" s="4608" t="str">
        <f t="shared" ref="C118:G118" si="88">+C100</f>
        <v>2027 г.</v>
      </c>
      <c r="D118" s="4608" t="str">
        <f t="shared" si="88"/>
        <v>2028 г.</v>
      </c>
      <c r="E118" s="4608" t="str">
        <f t="shared" si="88"/>
        <v>2029 г.</v>
      </c>
      <c r="F118" s="4608" t="str">
        <f t="shared" si="88"/>
        <v>2030 г.</v>
      </c>
      <c r="G118" s="4608" t="str">
        <f t="shared" si="88"/>
        <v>2031 г.</v>
      </c>
      <c r="I118" s="3630" t="s">
        <v>1918</v>
      </c>
      <c r="J118" s="3636">
        <f>'10. Финансиране на ИП'!CQ75*'10. Финансиране на ИП'!AT77</f>
        <v>0</v>
      </c>
      <c r="K118" s="3636">
        <f>'10. Финансиране на ИП'!CR75*'10. Финансиране на ИП'!AU77</f>
        <v>0</v>
      </c>
      <c r="L118" s="3636">
        <f>'10. Финансиране на ИП'!CS75*'10. Финансиране на ИП'!AV77</f>
        <v>0</v>
      </c>
      <c r="M118" s="3636">
        <f>'10. Финансиране на ИП'!CT75*'10. Финансиране на ИП'!AW77</f>
        <v>0</v>
      </c>
      <c r="N118" s="3636">
        <f>'10. Финансиране на ИП'!CU75*'10. Финансиране на ИП'!AX77</f>
        <v>0</v>
      </c>
      <c r="Q118" s="4554"/>
      <c r="S118" s="4591" t="s">
        <v>1668</v>
      </c>
      <c r="T118" s="4592">
        <f>'12. Разходи'!CL89</f>
        <v>0</v>
      </c>
      <c r="U118" s="4592">
        <f>'12. Разходи'!CM89</f>
        <v>0</v>
      </c>
      <c r="V118" s="4592">
        <f>'12. Разходи'!CN89</f>
        <v>0</v>
      </c>
      <c r="W118" s="4592">
        <f>'12. Разходи'!CO89</f>
        <v>0</v>
      </c>
      <c r="X118" s="4592">
        <f>'12. Разходи'!CP89</f>
        <v>0</v>
      </c>
      <c r="Y118" s="4592">
        <f>'12. Разходи'!CQ89</f>
        <v>0</v>
      </c>
      <c r="Z118" s="4586">
        <f t="shared" si="80"/>
        <v>0</v>
      </c>
      <c r="AA118" s="4586">
        <f t="shared" si="81"/>
        <v>0</v>
      </c>
    </row>
    <row r="119" spans="1:27" ht="15.75" customHeight="1">
      <c r="A119" s="4594" t="s">
        <v>1662</v>
      </c>
      <c r="B119" s="4592">
        <f t="shared" ref="B119:G119" si="89">B16</f>
        <v>46684.016504501924</v>
      </c>
      <c r="C119" s="4592">
        <f t="shared" si="89"/>
        <v>46684.016504501924</v>
      </c>
      <c r="D119" s="4592">
        <f t="shared" si="89"/>
        <v>46684.016504501924</v>
      </c>
      <c r="E119" s="4592">
        <f t="shared" si="89"/>
        <v>46684.016504501924</v>
      </c>
      <c r="F119" s="4592">
        <f t="shared" si="89"/>
        <v>46684.016504501924</v>
      </c>
      <c r="G119" s="4592">
        <f t="shared" si="89"/>
        <v>46684.016504501924</v>
      </c>
      <c r="I119" s="3630" t="s">
        <v>1919</v>
      </c>
      <c r="J119" s="3636">
        <f>'10. Финансиране на ИП'!CQ76*'10. Финансиране на ИП'!AT77</f>
        <v>0</v>
      </c>
      <c r="K119" s="3636">
        <f>'10. Финансиране на ИП'!CR76*'10. Финансиране на ИП'!AU77</f>
        <v>0</v>
      </c>
      <c r="L119" s="3636">
        <f>'10. Финансиране на ИП'!CS76*'10. Финансиране на ИП'!AV77</f>
        <v>0</v>
      </c>
      <c r="M119" s="3636">
        <f>'10. Финансиране на ИП'!CT76*'10. Финансиране на ИП'!AW77</f>
        <v>0</v>
      </c>
      <c r="N119" s="3636">
        <f>'10. Финансиране на ИП'!CU76*'10. Финансиране на ИП'!AX77</f>
        <v>0</v>
      </c>
      <c r="Q119" s="4554"/>
      <c r="S119" s="1392" t="s">
        <v>1683</v>
      </c>
      <c r="T119" s="4615"/>
      <c r="U119" s="4615"/>
      <c r="V119" s="4615"/>
      <c r="W119" s="4615"/>
      <c r="X119" s="4615"/>
      <c r="Y119" s="4615"/>
      <c r="Z119" s="4615"/>
      <c r="AA119" s="4615"/>
    </row>
    <row r="120" spans="1:27" ht="15.75" customHeight="1">
      <c r="A120" s="4616" t="s">
        <v>1663</v>
      </c>
      <c r="B120" s="4557"/>
      <c r="C120" s="4585">
        <f>'11.2. ДА за периода'!AX110</f>
        <v>0</v>
      </c>
      <c r="D120" s="4585">
        <f>'11.2. ДА за периода'!AY110</f>
        <v>0</v>
      </c>
      <c r="E120" s="4585">
        <f>'11.2. ДА за периода'!AZ110</f>
        <v>0</v>
      </c>
      <c r="F120" s="4585">
        <f>'11.2. ДА за периода'!BA110</f>
        <v>0</v>
      </c>
      <c r="G120" s="4585">
        <f>'11.2. ДА за периода'!BB110</f>
        <v>0</v>
      </c>
      <c r="I120" s="4617" t="s">
        <v>951</v>
      </c>
      <c r="J120" s="1356"/>
      <c r="K120" s="1356"/>
      <c r="L120" s="1356"/>
      <c r="M120" s="1356"/>
      <c r="N120" s="1356"/>
      <c r="O120" s="1356"/>
      <c r="Q120" s="4554"/>
      <c r="S120" s="5677" t="s">
        <v>1921</v>
      </c>
      <c r="T120" s="5676" t="s">
        <v>1660</v>
      </c>
      <c r="U120" s="5676"/>
      <c r="V120" s="5676"/>
      <c r="W120" s="5676"/>
      <c r="X120" s="5676"/>
      <c r="Y120" s="5676"/>
      <c r="Z120" s="5619" t="str">
        <f>+"Изменение "&amp;U121&amp;" спр. "&amp;T121</f>
        <v>Изменение 2027 г. спр. 2024 г.</v>
      </c>
      <c r="AA120" s="5619" t="str">
        <f>+"Изменение "&amp;Y121&amp;" спр. "&amp;T121</f>
        <v>Изменение 2031 г. спр. 2024 г.</v>
      </c>
    </row>
    <row r="121" spans="1:27" ht="15.75" customHeight="1">
      <c r="A121" s="4594" t="s">
        <v>174</v>
      </c>
      <c r="B121" s="4592">
        <f t="shared" ref="B121:G121" si="90">B34</f>
        <v>41617.625253728598</v>
      </c>
      <c r="C121" s="4592">
        <f t="shared" si="90"/>
        <v>41617.625253728598</v>
      </c>
      <c r="D121" s="4592">
        <f t="shared" si="90"/>
        <v>41617.625253728598</v>
      </c>
      <c r="E121" s="4592">
        <f t="shared" si="90"/>
        <v>41617.625253728598</v>
      </c>
      <c r="F121" s="4592">
        <f t="shared" si="90"/>
        <v>41617.625253728598</v>
      </c>
      <c r="G121" s="4592">
        <f t="shared" si="90"/>
        <v>41617.625253728598</v>
      </c>
      <c r="I121" s="4618" t="s">
        <v>1920</v>
      </c>
      <c r="J121" s="4876" t="str">
        <f>+'15. ОПП'!$C$7</f>
        <v>2027 г.</v>
      </c>
      <c r="K121" s="4876" t="str">
        <f>+'15. ОПП'!$D$7</f>
        <v>2028 г.</v>
      </c>
      <c r="L121" s="4876" t="str">
        <f>+'15. ОПП'!$E$7</f>
        <v>2029 г.</v>
      </c>
      <c r="M121" s="4876" t="str">
        <f>+'15. ОПП'!$F$7</f>
        <v>2030 г.</v>
      </c>
      <c r="N121" s="4876" t="str">
        <f>+'15. ОПП'!$G$7</f>
        <v>2031 г.</v>
      </c>
      <c r="O121" s="4619" t="s">
        <v>1622</v>
      </c>
      <c r="Q121" s="4554"/>
      <c r="S121" s="5678"/>
      <c r="T121" s="4877" t="str">
        <f t="shared" ref="T121:Y121" si="91">T46</f>
        <v>2024 г.</v>
      </c>
      <c r="U121" s="4877" t="str">
        <f t="shared" si="91"/>
        <v>2027 г.</v>
      </c>
      <c r="V121" s="4877" t="str">
        <f t="shared" si="91"/>
        <v>2028 г.</v>
      </c>
      <c r="W121" s="4877" t="str">
        <f t="shared" si="91"/>
        <v>2029 г.</v>
      </c>
      <c r="X121" s="4877" t="str">
        <f t="shared" si="91"/>
        <v>2030 г.</v>
      </c>
      <c r="Y121" s="4877" t="str">
        <f t="shared" si="91"/>
        <v>2031 г.</v>
      </c>
      <c r="Z121" s="5619"/>
      <c r="AA121" s="5619"/>
    </row>
    <row r="122" spans="1:27" ht="15.75" customHeight="1">
      <c r="A122" s="4616" t="s">
        <v>1663</v>
      </c>
      <c r="B122" s="4557"/>
      <c r="C122" s="4585">
        <f>'11.2. ДА за периода'!BE110</f>
        <v>0</v>
      </c>
      <c r="D122" s="4585">
        <f>'11.2. ДА за периода'!BF110</f>
        <v>0</v>
      </c>
      <c r="E122" s="4585">
        <f>'11.2. ДА за периода'!BG110</f>
        <v>0</v>
      </c>
      <c r="F122" s="4585">
        <f>'11.2. ДА за периода'!BH110</f>
        <v>0</v>
      </c>
      <c r="G122" s="4585">
        <f>'11.2. ДА за периода'!BI110</f>
        <v>0</v>
      </c>
      <c r="I122" s="4609" t="s">
        <v>1616</v>
      </c>
      <c r="J122" s="4599">
        <f>'9.Инвестиционна програма'!BC152</f>
        <v>1989.9480016156824</v>
      </c>
      <c r="K122" s="4599">
        <f>'9.Инвестиционна програма'!BD152</f>
        <v>1697.4890455714451</v>
      </c>
      <c r="L122" s="4599">
        <f>'9.Инвестиционна програма'!BE152</f>
        <v>1664.2550732936911</v>
      </c>
      <c r="M122" s="4599">
        <f>'9.Инвестиционна програма'!BF152</f>
        <v>1620.7952633920124</v>
      </c>
      <c r="N122" s="4599">
        <f>'9.Инвестиционна програма'!BG152</f>
        <v>1689.8196673535019</v>
      </c>
      <c r="O122" s="4599">
        <f t="shared" ref="O122:O124" si="92">SUM(J122:N122)</f>
        <v>8662.307051226333</v>
      </c>
      <c r="Q122" s="4554"/>
      <c r="S122" s="4591" t="s">
        <v>226</v>
      </c>
      <c r="T122" s="4592">
        <f t="shared" ref="T122:Y131" si="93">T5+T26+T47+T78+T102</f>
        <v>1401.3565153223949</v>
      </c>
      <c r="U122" s="4592">
        <f t="shared" si="93"/>
        <v>1435.7577284324302</v>
      </c>
      <c r="V122" s="4592">
        <f t="shared" si="93"/>
        <v>1422.1793724403451</v>
      </c>
      <c r="W122" s="4592">
        <f t="shared" si="93"/>
        <v>1408.8618978132047</v>
      </c>
      <c r="X122" s="4592">
        <f t="shared" si="93"/>
        <v>1399.1788732149523</v>
      </c>
      <c r="Y122" s="4592">
        <f t="shared" si="93"/>
        <v>1388.1320082011216</v>
      </c>
      <c r="Z122" s="4586">
        <f>IFERROR((U122-T122)/T122,0)</f>
        <v>2.4548509058111456E-2</v>
      </c>
      <c r="AA122" s="4586">
        <f>IFERROR((Y122-T122)/T122,0)</f>
        <v>-9.4369326981941296E-3</v>
      </c>
    </row>
    <row r="123" spans="1:27" ht="15.75" customHeight="1">
      <c r="A123" s="4594" t="s">
        <v>184</v>
      </c>
      <c r="B123" s="4592">
        <f t="shared" ref="B123:G123" si="94">B52</f>
        <v>20127.00490328914</v>
      </c>
      <c r="C123" s="4592">
        <f t="shared" si="94"/>
        <v>20127.00490328914</v>
      </c>
      <c r="D123" s="4592">
        <f t="shared" si="94"/>
        <v>20127.00490328914</v>
      </c>
      <c r="E123" s="4592">
        <f t="shared" si="94"/>
        <v>20127.00490328914</v>
      </c>
      <c r="F123" s="4592">
        <f t="shared" si="94"/>
        <v>20127.00490328914</v>
      </c>
      <c r="G123" s="4592">
        <f t="shared" si="94"/>
        <v>20127.00490328914</v>
      </c>
      <c r="I123" s="4593" t="s">
        <v>1623</v>
      </c>
      <c r="J123" s="4585">
        <f>'10. Финансиране на ИП'!CQ18</f>
        <v>1989.9480016156824</v>
      </c>
      <c r="K123" s="4585">
        <f>'10. Финансиране на ИП'!CR18</f>
        <v>1697.4890455714451</v>
      </c>
      <c r="L123" s="4585">
        <f>'10. Финансиране на ИП'!CS18</f>
        <v>1664.2550732936911</v>
      </c>
      <c r="M123" s="4585">
        <f>'10. Финансиране на ИП'!CT18</f>
        <v>1620.7952633920124</v>
      </c>
      <c r="N123" s="4585">
        <f>'10. Финансиране на ИП'!CU18</f>
        <v>1689.8196673535019</v>
      </c>
      <c r="O123" s="4607">
        <f t="shared" si="92"/>
        <v>8662.307051226333</v>
      </c>
      <c r="Q123" s="4554"/>
      <c r="S123" s="4591" t="s">
        <v>239</v>
      </c>
      <c r="T123" s="4592">
        <f t="shared" si="93"/>
        <v>1426.6183666269562</v>
      </c>
      <c r="U123" s="4592">
        <f t="shared" si="93"/>
        <v>1458.2044451716151</v>
      </c>
      <c r="V123" s="4592">
        <f t="shared" si="93"/>
        <v>1458.2044451716151</v>
      </c>
      <c r="W123" s="4592">
        <f t="shared" si="93"/>
        <v>1458.2044451716151</v>
      </c>
      <c r="X123" s="4592">
        <f t="shared" si="93"/>
        <v>1458.2044451716151</v>
      </c>
      <c r="Y123" s="4592">
        <f t="shared" si="93"/>
        <v>1458.2044451716151</v>
      </c>
      <c r="Z123" s="4586">
        <f t="shared" ref="Z123:Z138" si="95">IFERROR((U123-T123)/T123,0)</f>
        <v>2.2140524252004311E-2</v>
      </c>
      <c r="AA123" s="4586">
        <f t="shared" ref="AA123:AA138" si="96">IFERROR((Y123-T123)/T123,0)</f>
        <v>2.2140524252004311E-2</v>
      </c>
    </row>
    <row r="124" spans="1:27" ht="15.75" customHeight="1">
      <c r="A124" s="4616" t="s">
        <v>1663</v>
      </c>
      <c r="B124" s="4557"/>
      <c r="C124" s="4585">
        <f>'11.2. ДА за периода'!BL110</f>
        <v>0</v>
      </c>
      <c r="D124" s="4585">
        <f>'11.2. ДА за периода'!BM110</f>
        <v>0</v>
      </c>
      <c r="E124" s="4585">
        <f>'11.2. ДА за периода'!BN110</f>
        <v>0</v>
      </c>
      <c r="F124" s="4585">
        <f>'11.2. ДА за периода'!BO110</f>
        <v>0</v>
      </c>
      <c r="G124" s="4585">
        <f>'11.2. ДА за периода'!BP110</f>
        <v>0</v>
      </c>
      <c r="I124" s="4593" t="s">
        <v>1626</v>
      </c>
      <c r="J124" s="4585">
        <f>'10. Финансиране на ИП'!CQ19</f>
        <v>0</v>
      </c>
      <c r="K124" s="4585">
        <f>'10. Финансиране на ИП'!CR19</f>
        <v>0</v>
      </c>
      <c r="L124" s="4585">
        <f>'10. Финансиране на ИП'!CS19</f>
        <v>0</v>
      </c>
      <c r="M124" s="4585">
        <f>'10. Финансиране на ИП'!CT19</f>
        <v>0</v>
      </c>
      <c r="N124" s="4585">
        <f>'10. Финансиране на ИП'!CU19</f>
        <v>0</v>
      </c>
      <c r="O124" s="4607">
        <f t="shared" si="92"/>
        <v>0</v>
      </c>
      <c r="Q124" s="4554"/>
      <c r="S124" s="4591" t="s">
        <v>446</v>
      </c>
      <c r="T124" s="4592">
        <f t="shared" si="93"/>
        <v>3076.1364740289291</v>
      </c>
      <c r="U124" s="4592">
        <f t="shared" si="93"/>
        <v>2533.340320989043</v>
      </c>
      <c r="V124" s="4592">
        <f t="shared" si="93"/>
        <v>2254.7102764555202</v>
      </c>
      <c r="W124" s="4592">
        <f t="shared" si="93"/>
        <v>2240.1410143008338</v>
      </c>
      <c r="X124" s="4592">
        <f t="shared" si="93"/>
        <v>2224.1605865540464</v>
      </c>
      <c r="Y124" s="4592">
        <f t="shared" si="93"/>
        <v>2312.999596079414</v>
      </c>
      <c r="Z124" s="4586">
        <f t="shared" si="95"/>
        <v>-0.17645385945083444</v>
      </c>
      <c r="AA124" s="4586">
        <f t="shared" si="96"/>
        <v>-0.24808290672162756</v>
      </c>
    </row>
    <row r="125" spans="1:27" ht="15.75" customHeight="1">
      <c r="A125" s="4594" t="s">
        <v>1029</v>
      </c>
      <c r="B125" s="4592">
        <f t="shared" ref="B125:G125" si="97">B70</f>
        <v>0</v>
      </c>
      <c r="C125" s="4592">
        <f t="shared" si="97"/>
        <v>0</v>
      </c>
      <c r="D125" s="4592">
        <f t="shared" si="97"/>
        <v>0</v>
      </c>
      <c r="E125" s="4592">
        <f t="shared" si="97"/>
        <v>0</v>
      </c>
      <c r="F125" s="4592">
        <f t="shared" si="97"/>
        <v>0</v>
      </c>
      <c r="G125" s="4592">
        <f t="shared" si="97"/>
        <v>0</v>
      </c>
      <c r="I125" s="4617"/>
      <c r="J125" s="4620"/>
      <c r="K125" s="4620"/>
      <c r="L125" s="4620"/>
      <c r="M125" s="4620"/>
      <c r="N125" s="4620"/>
      <c r="O125" s="4621"/>
      <c r="Q125" s="4554"/>
      <c r="S125" s="4602" t="s">
        <v>447</v>
      </c>
      <c r="T125" s="4592">
        <f t="shared" si="93"/>
        <v>332.33972277754202</v>
      </c>
      <c r="U125" s="4592">
        <f t="shared" si="93"/>
        <v>543.39589841652912</v>
      </c>
      <c r="V125" s="4592">
        <f t="shared" si="93"/>
        <v>557.22634380288684</v>
      </c>
      <c r="W125" s="4592">
        <f t="shared" si="93"/>
        <v>575.88849746654876</v>
      </c>
      <c r="X125" s="4592">
        <f t="shared" si="93"/>
        <v>603.37043608084559</v>
      </c>
      <c r="Y125" s="4592">
        <f t="shared" si="93"/>
        <v>623.1829964771988</v>
      </c>
      <c r="Z125" s="4586">
        <f t="shared" si="95"/>
        <v>0.63506153846153868</v>
      </c>
      <c r="AA125" s="4586">
        <f t="shared" si="96"/>
        <v>0.87513846153846109</v>
      </c>
    </row>
    <row r="126" spans="1:27" ht="15.75" customHeight="1">
      <c r="A126" s="4616" t="s">
        <v>1663</v>
      </c>
      <c r="B126" s="4557"/>
      <c r="C126" s="4585">
        <f>'11.2. ДА за периода'!BS110</f>
        <v>0</v>
      </c>
      <c r="D126" s="4585">
        <f>'11.2. ДА за периода'!BT110</f>
        <v>0</v>
      </c>
      <c r="E126" s="4585">
        <f>'11.2. ДА за периода'!BU110</f>
        <v>0</v>
      </c>
      <c r="F126" s="4585">
        <f>'11.2. ДА за периода'!BV110</f>
        <v>0</v>
      </c>
      <c r="G126" s="4585">
        <f>'11.2. ДА за периода'!BW110</f>
        <v>0</v>
      </c>
      <c r="I126" s="4618" t="s">
        <v>1920</v>
      </c>
      <c r="J126" s="4876" t="str">
        <f>+'15. ОПП'!$C$7</f>
        <v>2027 г.</v>
      </c>
      <c r="K126" s="4876" t="str">
        <f>+'15. ОПП'!$D$7</f>
        <v>2028 г.</v>
      </c>
      <c r="L126" s="4876" t="str">
        <f>+'15. ОПП'!$E$7</f>
        <v>2029 г.</v>
      </c>
      <c r="M126" s="4876" t="str">
        <f>+'15. ОПП'!$F$7</f>
        <v>2030 г.</v>
      </c>
      <c r="N126" s="4876" t="str">
        <f>+'15. ОПП'!$G$7</f>
        <v>2031 г.</v>
      </c>
      <c r="O126" s="4619" t="s">
        <v>1622</v>
      </c>
      <c r="Q126" s="4554"/>
      <c r="S126" s="4584" t="s">
        <v>736</v>
      </c>
      <c r="T126" s="4592">
        <f t="shared" si="93"/>
        <v>237.75072475624162</v>
      </c>
      <c r="U126" s="4592">
        <f t="shared" si="93"/>
        <v>433.82604827617939</v>
      </c>
      <c r="V126" s="4592">
        <f t="shared" si="93"/>
        <v>480.50699702939414</v>
      </c>
      <c r="W126" s="4592">
        <f t="shared" si="93"/>
        <v>523.42995045581665</v>
      </c>
      <c r="X126" s="4592">
        <f t="shared" si="93"/>
        <v>565.48370768420568</v>
      </c>
      <c r="Y126" s="4592">
        <f t="shared" si="93"/>
        <v>607.5885941007142</v>
      </c>
      <c r="Z126" s="4586">
        <f t="shared" si="95"/>
        <v>0.82470967741935453</v>
      </c>
      <c r="AA126" s="4586">
        <f t="shared" si="96"/>
        <v>1.5555698924731176</v>
      </c>
    </row>
    <row r="127" spans="1:27" ht="15.75" customHeight="1">
      <c r="A127" s="4594" t="s">
        <v>1092</v>
      </c>
      <c r="B127" s="4592">
        <f t="shared" ref="B127:G127" si="98">B94</f>
        <v>0</v>
      </c>
      <c r="C127" s="4592">
        <f t="shared" si="98"/>
        <v>0</v>
      </c>
      <c r="D127" s="4592">
        <f t="shared" si="98"/>
        <v>0</v>
      </c>
      <c r="E127" s="4592">
        <f t="shared" si="98"/>
        <v>0</v>
      </c>
      <c r="F127" s="4592">
        <f t="shared" si="98"/>
        <v>0</v>
      </c>
      <c r="G127" s="4592">
        <f t="shared" si="98"/>
        <v>0</v>
      </c>
      <c r="I127" s="3630" t="s">
        <v>1623</v>
      </c>
      <c r="J127" s="4592">
        <f>J123</f>
        <v>1989.9480016156824</v>
      </c>
      <c r="K127" s="4592">
        <f t="shared" ref="K127:N127" si="99">K123</f>
        <v>1697.4890455714451</v>
      </c>
      <c r="L127" s="4592">
        <f t="shared" si="99"/>
        <v>1664.2550732936911</v>
      </c>
      <c r="M127" s="4592">
        <f t="shared" si="99"/>
        <v>1620.7952633920124</v>
      </c>
      <c r="N127" s="4592">
        <f t="shared" si="99"/>
        <v>1689.8196673535019</v>
      </c>
      <c r="O127" s="4590">
        <f t="shared" ref="O127:O128" si="100">SUM(J127:N127)</f>
        <v>8662.307051226333</v>
      </c>
      <c r="Q127" s="4554"/>
      <c r="S127" s="4584" t="s">
        <v>737</v>
      </c>
      <c r="T127" s="4592">
        <f t="shared" si="93"/>
        <v>2506.0460264951453</v>
      </c>
      <c r="U127" s="4592">
        <f t="shared" si="93"/>
        <v>1556.1183742963347</v>
      </c>
      <c r="V127" s="4592">
        <f t="shared" si="93"/>
        <v>1216.9769356232393</v>
      </c>
      <c r="W127" s="4592">
        <f t="shared" si="93"/>
        <v>1140.8225663784685</v>
      </c>
      <c r="X127" s="4592">
        <f t="shared" si="93"/>
        <v>1055.3064427889949</v>
      </c>
      <c r="Y127" s="4592">
        <f t="shared" si="93"/>
        <v>1082.2280055015008</v>
      </c>
      <c r="Z127" s="4586">
        <f t="shared" si="95"/>
        <v>-0.37905435181784791</v>
      </c>
      <c r="AA127" s="4586">
        <f t="shared" si="96"/>
        <v>-0.56815318072387477</v>
      </c>
    </row>
    <row r="128" spans="1:27" ht="15.75" customHeight="1">
      <c r="A128" s="4616" t="s">
        <v>1663</v>
      </c>
      <c r="B128" s="4557"/>
      <c r="C128" s="4585">
        <f>'11.2. ДА за периода'!BZ110</f>
        <v>0</v>
      </c>
      <c r="D128" s="4585">
        <f>'11.2. ДА за периода'!CA110</f>
        <v>0</v>
      </c>
      <c r="E128" s="4585">
        <f>'11.2. ДА за периода'!CB110</f>
        <v>0</v>
      </c>
      <c r="F128" s="4585">
        <f>'11.2. ДА за периода'!CC110</f>
        <v>0</v>
      </c>
      <c r="G128" s="4585">
        <f>'11.2. ДА за периода'!CD110</f>
        <v>0</v>
      </c>
      <c r="I128" s="4622" t="s">
        <v>1627</v>
      </c>
      <c r="J128" s="4592">
        <f>'10. Финансиране на ИП'!CQ24</f>
        <v>0</v>
      </c>
      <c r="K128" s="4592">
        <f>'10. Финансиране на ИП'!CR24</f>
        <v>0</v>
      </c>
      <c r="L128" s="4592">
        <f>'10. Финансиране на ИП'!CS24</f>
        <v>0</v>
      </c>
      <c r="M128" s="4592">
        <f>'10. Финансиране на ИП'!CT24</f>
        <v>0</v>
      </c>
      <c r="N128" s="4592">
        <f>'10. Финансиране на ИП'!CU24</f>
        <v>0</v>
      </c>
      <c r="O128" s="4590">
        <f t="shared" si="100"/>
        <v>0</v>
      </c>
      <c r="Q128" s="4554"/>
      <c r="S128" s="4623" t="s">
        <v>448</v>
      </c>
      <c r="T128" s="4592">
        <f t="shared" si="93"/>
        <v>5238.1853228552582</v>
      </c>
      <c r="U128" s="4592">
        <f t="shared" si="93"/>
        <v>7619.7829054672447</v>
      </c>
      <c r="V128" s="4592">
        <f t="shared" si="93"/>
        <v>8602.9971930075735</v>
      </c>
      <c r="W128" s="4592">
        <f t="shared" si="93"/>
        <v>9769.2539740161465</v>
      </c>
      <c r="X128" s="4592">
        <f t="shared" si="93"/>
        <v>11019.873915422097</v>
      </c>
      <c r="Y128" s="4592">
        <f t="shared" si="93"/>
        <v>12454.047642177491</v>
      </c>
      <c r="Z128" s="4586">
        <f t="shared" si="95"/>
        <v>0.4546608101512935</v>
      </c>
      <c r="AA128" s="4586">
        <f t="shared" si="96"/>
        <v>1.3775500244021477</v>
      </c>
    </row>
    <row r="129" spans="1:42" ht="15.75" customHeight="1">
      <c r="A129" s="4589" t="s">
        <v>1660</v>
      </c>
      <c r="B129" s="4590">
        <f>SUM(B119,B121,B123,B125,B127)</f>
        <v>108428.64666151966</v>
      </c>
      <c r="C129" s="4590">
        <f t="shared" ref="C129:G129" si="101">SUM(C119,C121,C123,C125,C127)</f>
        <v>108428.64666151966</v>
      </c>
      <c r="D129" s="4590">
        <f t="shared" si="101"/>
        <v>108428.64666151966</v>
      </c>
      <c r="E129" s="4590">
        <f t="shared" si="101"/>
        <v>108428.64666151966</v>
      </c>
      <c r="F129" s="4590">
        <f t="shared" si="101"/>
        <v>108428.64666151966</v>
      </c>
      <c r="G129" s="4590">
        <f t="shared" si="101"/>
        <v>108428.64666151966</v>
      </c>
      <c r="I129" s="3638" t="s">
        <v>1648</v>
      </c>
      <c r="J129" s="4599">
        <f>SUM(J127:J128)</f>
        <v>1989.9480016156824</v>
      </c>
      <c r="K129" s="4599">
        <f t="shared" ref="K129:N129" si="102">SUM(K127:K128)</f>
        <v>1697.4890455714451</v>
      </c>
      <c r="L129" s="4599">
        <f t="shared" si="102"/>
        <v>1664.2550732936911</v>
      </c>
      <c r="M129" s="4599">
        <f t="shared" si="102"/>
        <v>1620.7952633920124</v>
      </c>
      <c r="N129" s="4599">
        <f t="shared" si="102"/>
        <v>1689.8196673535019</v>
      </c>
      <c r="O129" s="4599">
        <f>SUM(J129:N129)</f>
        <v>8662.307051226333</v>
      </c>
      <c r="Q129" s="4554"/>
      <c r="S129" s="4591" t="s">
        <v>449</v>
      </c>
      <c r="T129" s="4592">
        <f t="shared" si="93"/>
        <v>1875.9299121089257</v>
      </c>
      <c r="U129" s="4592">
        <f t="shared" si="93"/>
        <v>2701.1550083596221</v>
      </c>
      <c r="V129" s="4592">
        <f t="shared" si="93"/>
        <v>3105.5868863858313</v>
      </c>
      <c r="W129" s="4592">
        <f t="shared" si="93"/>
        <v>3571.8850820367825</v>
      </c>
      <c r="X129" s="4592">
        <f t="shared" si="93"/>
        <v>4107.71897353042</v>
      </c>
      <c r="Y129" s="4592">
        <f t="shared" si="93"/>
        <v>4723.3143984906665</v>
      </c>
      <c r="Z129" s="4586">
        <f t="shared" si="95"/>
        <v>0.4399018806214226</v>
      </c>
      <c r="AA129" s="4586">
        <f t="shared" si="96"/>
        <v>1.5178522758244752</v>
      </c>
    </row>
    <row r="130" spans="1:42" ht="15.75" customHeight="1">
      <c r="I130" s="3638" t="s">
        <v>1628</v>
      </c>
      <c r="J130" s="4599">
        <f>'12. Разходи'!CZ57</f>
        <v>433.82604827617945</v>
      </c>
      <c r="K130" s="4599">
        <f>'12. Разходи'!DA57</f>
        <v>480.5069970293942</v>
      </c>
      <c r="L130" s="4599">
        <f>'12. Разходи'!DB57</f>
        <v>523.42995045581677</v>
      </c>
      <c r="M130" s="4599">
        <f>'12. Разходи'!DC57</f>
        <v>565.48370768420557</v>
      </c>
      <c r="N130" s="4599">
        <f>'12. Разходи'!DD57</f>
        <v>607.58859410071409</v>
      </c>
      <c r="O130" s="4599">
        <f t="shared" ref="O130:O135" si="103">SUM(J130:N130)</f>
        <v>2610.8352975463099</v>
      </c>
      <c r="Q130" s="4554"/>
      <c r="S130" s="4591" t="s">
        <v>450</v>
      </c>
      <c r="T130" s="4592">
        <f t="shared" si="93"/>
        <v>311.47901402473633</v>
      </c>
      <c r="U130" s="4592">
        <f t="shared" si="93"/>
        <v>315.46709069806684</v>
      </c>
      <c r="V130" s="4592">
        <f t="shared" si="93"/>
        <v>309.84288000490841</v>
      </c>
      <c r="W130" s="4592">
        <f t="shared" si="93"/>
        <v>302.17350178696512</v>
      </c>
      <c r="X130" s="4592">
        <f t="shared" si="93"/>
        <v>295.01541545021803</v>
      </c>
      <c r="Y130" s="4592">
        <f t="shared" si="93"/>
        <v>288.87991287586345</v>
      </c>
      <c r="Z130" s="4586">
        <f t="shared" si="95"/>
        <v>1.2803676953381504E-2</v>
      </c>
      <c r="AA130" s="4586">
        <f t="shared" si="96"/>
        <v>-7.2554169402495136E-2</v>
      </c>
    </row>
    <row r="131" spans="1:42" ht="15.75" customHeight="1">
      <c r="I131" s="4624" t="s">
        <v>1629</v>
      </c>
      <c r="J131" s="4585">
        <f>J130-J129</f>
        <v>-1556.1219533395029</v>
      </c>
      <c r="K131" s="4585">
        <f>K130-K129</f>
        <v>-1216.982048542051</v>
      </c>
      <c r="L131" s="4585">
        <f>L130-L129</f>
        <v>-1140.8251228378745</v>
      </c>
      <c r="M131" s="4585">
        <f>M130-M129</f>
        <v>-1055.3115557078067</v>
      </c>
      <c r="N131" s="4585">
        <f>N130-N129</f>
        <v>-1082.2310732527878</v>
      </c>
      <c r="O131" s="4607">
        <f t="shared" si="103"/>
        <v>-6051.4717536800226</v>
      </c>
      <c r="Q131" s="4554"/>
      <c r="S131" s="4591" t="s">
        <v>267</v>
      </c>
      <c r="T131" s="4592">
        <f t="shared" si="93"/>
        <v>101.92348005706017</v>
      </c>
      <c r="U131" s="4592">
        <f t="shared" si="93"/>
        <v>101.74708435804749</v>
      </c>
      <c r="V131" s="4592">
        <f t="shared" si="93"/>
        <v>101.74708435804749</v>
      </c>
      <c r="W131" s="4592">
        <f t="shared" si="93"/>
        <v>101.74708435804749</v>
      </c>
      <c r="X131" s="4592">
        <f t="shared" si="93"/>
        <v>101.74708435804749</v>
      </c>
      <c r="Y131" s="4592">
        <f t="shared" si="93"/>
        <v>101.74708435804749</v>
      </c>
      <c r="Z131" s="4586">
        <f t="shared" si="95"/>
        <v>-1.7306679374952164E-3</v>
      </c>
      <c r="AA131" s="4586">
        <f t="shared" si="96"/>
        <v>-1.7306679374952164E-3</v>
      </c>
    </row>
    <row r="132" spans="1:42" ht="15.75" customHeight="1">
      <c r="I132" s="3638" t="s">
        <v>1630</v>
      </c>
      <c r="J132" s="4599">
        <f>'11. Амортиз. план'!AS214+'11. Амортиз. план'!AZ214+'11. Амортиз. план'!BG214+'11. Амортиз. план'!BN214+'11. Амортиз. план'!BU214</f>
        <v>2619.8595992494234</v>
      </c>
      <c r="K132" s="4599">
        <f>'11. Амортиз. план'!AT214+'11. Амортиз. план'!BA214+'11. Амортиз. план'!BH214+'11. Амортиз. план'!BO214+'11. Амортиз. план'!BV214</f>
        <v>2619.8595992494234</v>
      </c>
      <c r="L132" s="4599">
        <f>'11. Амортиз. план'!AU214+'11. Амортиз. план'!BB214+'11. Амортиз. план'!BI214+'11. Амортиз. план'!BP214+'11. Амортиз. план'!BW214</f>
        <v>2619.8595992494234</v>
      </c>
      <c r="M132" s="4599">
        <f>'11. Амортиз. план'!AV214+'11. Амортиз. план'!BC214+'11. Амортиз. план'!BY214+'11. Амортиз. план'!BQ214+'11. Амортиз. план'!BX214</f>
        <v>1883.5992903268689</v>
      </c>
      <c r="N132" s="4599">
        <f>'11. Амортиз. план'!AW214+'11. Амортиз. план'!BD214+'11. Амортиз. план'!BK214+'11. Амортиз. план'!BR214+'11. Амортиз. план'!BY214</f>
        <v>2619.8595992494234</v>
      </c>
      <c r="O132" s="4599">
        <f t="shared" si="103"/>
        <v>12363.037687324562</v>
      </c>
      <c r="Q132" s="4554"/>
      <c r="S132" s="4598" t="s">
        <v>277</v>
      </c>
      <c r="T132" s="4599">
        <f>SUM(T122:T124,T128:T131)</f>
        <v>13431.629085024262</v>
      </c>
      <c r="U132" s="4599">
        <f t="shared" ref="U132:Y132" si="104">SUM(U122:U124,U128:U131)</f>
        <v>16165.454583476068</v>
      </c>
      <c r="V132" s="4599">
        <f t="shared" si="104"/>
        <v>17255.268137823841</v>
      </c>
      <c r="W132" s="4599">
        <f t="shared" si="104"/>
        <v>18852.266999483596</v>
      </c>
      <c r="X132" s="4599">
        <f t="shared" si="104"/>
        <v>20605.899293701397</v>
      </c>
      <c r="Y132" s="4599">
        <f t="shared" si="104"/>
        <v>22727.32508735422</v>
      </c>
      <c r="Z132" s="4600">
        <f t="shared" si="95"/>
        <v>0.20353640508878509</v>
      </c>
      <c r="AA132" s="4600">
        <f t="shared" si="96"/>
        <v>0.69207509703303927</v>
      </c>
    </row>
    <row r="133" spans="1:42" ht="15.75" customHeight="1">
      <c r="I133" s="3638" t="s">
        <v>1631</v>
      </c>
      <c r="J133" s="4599">
        <f>'10. Финансиране на ИП'!CQ31</f>
        <v>1556.1183742963347</v>
      </c>
      <c r="K133" s="4599">
        <f>'10. Финансиране на ИП'!CR31</f>
        <v>1216.9769356232393</v>
      </c>
      <c r="L133" s="4599">
        <f>'10. Финансиране на ИП'!CS31</f>
        <v>1140.8225663784685</v>
      </c>
      <c r="M133" s="4599">
        <f>'10. Финансиране на ИП'!CT31</f>
        <v>1055.3064427889949</v>
      </c>
      <c r="N133" s="4599">
        <f>'10. Финансиране на ИП'!CU31</f>
        <v>1082.2280055015008</v>
      </c>
      <c r="O133" s="4599">
        <f t="shared" si="103"/>
        <v>6051.4523245885384</v>
      </c>
      <c r="Q133" s="4554"/>
      <c r="S133" s="4555" t="str">
        <f>CONCATENATE("Спестявания и увеличения спрямо ",T121," - нето:")</f>
        <v>Спестявания и увеличения спрямо 2024 г. - нето:</v>
      </c>
      <c r="T133" s="4557"/>
      <c r="U133" s="4601">
        <f>U132-$T132</f>
        <v>2733.8254984518062</v>
      </c>
      <c r="V133" s="4601">
        <f t="shared" ref="V133:Y133" si="105">V132-$T132</f>
        <v>3823.6390527995791</v>
      </c>
      <c r="W133" s="4601">
        <f t="shared" si="105"/>
        <v>5420.6379144593338</v>
      </c>
      <c r="X133" s="4601">
        <f t="shared" si="105"/>
        <v>7174.2702086771351</v>
      </c>
      <c r="Y133" s="4601">
        <f t="shared" si="105"/>
        <v>9295.696002329958</v>
      </c>
      <c r="Z133" s="4557"/>
      <c r="AA133" s="4557"/>
    </row>
    <row r="134" spans="1:42" ht="15.75" customHeight="1">
      <c r="I134" s="3638" t="s">
        <v>1632</v>
      </c>
      <c r="J134" s="4600">
        <f t="shared" ref="J134:O134" si="106">IFERROR(J133/J132,0)</f>
        <v>0.59397014051522257</v>
      </c>
      <c r="K134" s="4600">
        <f t="shared" si="106"/>
        <v>0.46451990632318507</v>
      </c>
      <c r="L134" s="4600">
        <f t="shared" si="106"/>
        <v>0.43545179547228735</v>
      </c>
      <c r="M134" s="4600">
        <f t="shared" si="106"/>
        <v>0.56026058631921827</v>
      </c>
      <c r="N134" s="4600">
        <f t="shared" si="106"/>
        <v>0.41308626073380178</v>
      </c>
      <c r="O134" s="4600">
        <f t="shared" si="106"/>
        <v>0.48947940446650129</v>
      </c>
      <c r="Q134" s="4554"/>
      <c r="S134" s="4591" t="s">
        <v>1669</v>
      </c>
      <c r="T134" s="4592">
        <f>T17+T38+T59+T90+T114</f>
        <v>7517.5245292280006</v>
      </c>
      <c r="U134" s="4592">
        <f t="shared" ref="U134:Y134" si="107">U17+U38+U59+U90+U114</f>
        <v>0</v>
      </c>
      <c r="V134" s="4592">
        <f t="shared" si="107"/>
        <v>0</v>
      </c>
      <c r="W134" s="4592">
        <f t="shared" si="107"/>
        <v>0</v>
      </c>
      <c r="X134" s="4592">
        <f t="shared" si="107"/>
        <v>0</v>
      </c>
      <c r="Y134" s="4592">
        <f t="shared" si="107"/>
        <v>0</v>
      </c>
      <c r="Z134" s="4586">
        <f t="shared" ref="Z134:Z135" si="108">IFERROR((U134-T134)/T134,0)</f>
        <v>-1</v>
      </c>
      <c r="AA134" s="4586">
        <f t="shared" ref="AA134:AA135" si="109">IFERROR((Y134-T134)/T134,0)</f>
        <v>-1</v>
      </c>
    </row>
    <row r="135" spans="1:42" ht="15.75" customHeight="1">
      <c r="I135" s="4624" t="s">
        <v>1647</v>
      </c>
      <c r="J135" s="4585">
        <f>J133+J131</f>
        <v>-3.5790431682016788E-3</v>
      </c>
      <c r="K135" s="4585">
        <f>K133+K131</f>
        <v>-5.1129188116192381E-3</v>
      </c>
      <c r="L135" s="4585">
        <f>L133+L131</f>
        <v>-2.5564594059233059E-3</v>
      </c>
      <c r="M135" s="4585">
        <f>M133+M131</f>
        <v>-5.1129188118466118E-3</v>
      </c>
      <c r="N135" s="4585">
        <f>N133+N131</f>
        <v>-3.0677512870624923E-3</v>
      </c>
      <c r="O135" s="4607">
        <f t="shared" si="103"/>
        <v>-1.9429091484653327E-2</v>
      </c>
      <c r="Q135" s="4554"/>
      <c r="S135" s="4591" t="s">
        <v>1671</v>
      </c>
      <c r="T135" s="4592">
        <f t="shared" ref="T135:Y138" si="110">T18+T39+T60+T91+T115</f>
        <v>2837.968081767332</v>
      </c>
      <c r="U135" s="4592">
        <f t="shared" si="110"/>
        <v>13632.114262487026</v>
      </c>
      <c r="V135" s="4592">
        <f t="shared" si="110"/>
        <v>15000.557861368321</v>
      </c>
      <c r="W135" s="4592">
        <f t="shared" si="110"/>
        <v>16612.125985182764</v>
      </c>
      <c r="X135" s="4592">
        <f t="shared" si="110"/>
        <v>18381.738707147349</v>
      </c>
      <c r="Y135" s="4592">
        <f t="shared" si="110"/>
        <v>20414.325491274805</v>
      </c>
      <c r="Z135" s="4586">
        <f t="shared" si="108"/>
        <v>3.8034769489013023</v>
      </c>
      <c r="AA135" s="4586">
        <f t="shared" si="109"/>
        <v>6.1932893193646752</v>
      </c>
      <c r="AC135" s="4587"/>
      <c r="AD135" s="11"/>
      <c r="AK135" s="4588"/>
      <c r="AP135" s="11"/>
    </row>
    <row r="136" spans="1:42" ht="15.75" customHeight="1">
      <c r="Q136" s="4554"/>
      <c r="S136" s="4602" t="s">
        <v>1670</v>
      </c>
      <c r="T136" s="4592">
        <f t="shared" si="110"/>
        <v>1411.6768839827591</v>
      </c>
      <c r="U136" s="4592">
        <f t="shared" si="110"/>
        <v>0</v>
      </c>
      <c r="V136" s="4592">
        <f t="shared" si="110"/>
        <v>0</v>
      </c>
      <c r="W136" s="4592">
        <f t="shared" si="110"/>
        <v>0</v>
      </c>
      <c r="X136" s="4592">
        <f t="shared" si="110"/>
        <v>0</v>
      </c>
      <c r="Y136" s="4592">
        <f t="shared" si="110"/>
        <v>0</v>
      </c>
      <c r="Z136" s="4586">
        <f t="shared" si="95"/>
        <v>-1</v>
      </c>
      <c r="AA136" s="4586">
        <f t="shared" si="96"/>
        <v>-1</v>
      </c>
      <c r="AC136" s="4587"/>
      <c r="AD136" s="11"/>
      <c r="AK136" s="4588"/>
      <c r="AP136" s="11"/>
    </row>
    <row r="137" spans="1:42" ht="15.75" customHeight="1">
      <c r="I137" s="3637" t="s">
        <v>1649</v>
      </c>
      <c r="J137" s="4876" t="str">
        <f>+'15. ОПП'!$C$7</f>
        <v>2027 г.</v>
      </c>
      <c r="K137" s="4876" t="str">
        <f>+'15. ОПП'!$D$7</f>
        <v>2028 г.</v>
      </c>
      <c r="L137" s="4876" t="str">
        <f>+'15. ОПП'!$E$7</f>
        <v>2029 г.</v>
      </c>
      <c r="M137" s="4876" t="str">
        <f>+'15. ОПП'!$F$7</f>
        <v>2030 г.</v>
      </c>
      <c r="N137" s="4876" t="str">
        <f>+'15. ОПП'!$G$7</f>
        <v>2031 г.</v>
      </c>
      <c r="Q137" s="4554"/>
      <c r="S137" s="4591" t="s">
        <v>637</v>
      </c>
      <c r="T137" s="4592">
        <f t="shared" si="110"/>
        <v>1346.4360399421216</v>
      </c>
      <c r="U137" s="4592">
        <f t="shared" si="110"/>
        <v>1492.4610012117616</v>
      </c>
      <c r="V137" s="4592">
        <f t="shared" si="110"/>
        <v>1555.3499025988967</v>
      </c>
      <c r="W137" s="4592">
        <f t="shared" si="110"/>
        <v>1628.4646416099558</v>
      </c>
      <c r="X137" s="4592">
        <f t="shared" si="110"/>
        <v>1712.8278020073319</v>
      </c>
      <c r="Y137" s="4592">
        <f t="shared" si="110"/>
        <v>1809.4619675534173</v>
      </c>
      <c r="Z137" s="4586">
        <f t="shared" si="95"/>
        <v>0.10845295055821375</v>
      </c>
      <c r="AA137" s="4586">
        <f t="shared" si="96"/>
        <v>0.34389002810055458</v>
      </c>
      <c r="AC137" s="4587"/>
      <c r="AD137" s="11"/>
      <c r="AK137" s="4588"/>
      <c r="AP137" s="11"/>
    </row>
    <row r="138" spans="1:42" ht="15.75" customHeight="1">
      <c r="I138" s="3630" t="s">
        <v>1914</v>
      </c>
      <c r="J138" s="3635">
        <f>'10. Финансиране на ИП'!CQ59*'10. Финансиране на ИП'!AT67</f>
        <v>0</v>
      </c>
      <c r="K138" s="3635">
        <f>'10. Финансиране на ИП'!CR59*'10. Финансиране на ИП'!AU67</f>
        <v>0</v>
      </c>
      <c r="L138" s="3635">
        <f>'10. Финансиране на ИП'!CS59*'10. Финансиране на ИП'!AV67</f>
        <v>0</v>
      </c>
      <c r="M138" s="3635">
        <f>'10. Финансиране на ИП'!CT59*'10. Финансиране на ИП'!AW67</f>
        <v>0</v>
      </c>
      <c r="N138" s="3635">
        <f>'10. Финансиране на ИП'!CU59*'10. Финансиране на ИП'!AX67</f>
        <v>0</v>
      </c>
      <c r="Q138" s="4554"/>
      <c r="S138" s="4591" t="s">
        <v>1668</v>
      </c>
      <c r="T138" s="4592">
        <f t="shared" si="110"/>
        <v>910.0050174928291</v>
      </c>
      <c r="U138" s="4592">
        <f t="shared" si="110"/>
        <v>980.19666228659958</v>
      </c>
      <c r="V138" s="4592">
        <f t="shared" si="110"/>
        <v>960.99409560135587</v>
      </c>
      <c r="W138" s="4592">
        <f t="shared" si="110"/>
        <v>940.00724275627226</v>
      </c>
      <c r="X138" s="4592">
        <f t="shared" si="110"/>
        <v>923.16613182127276</v>
      </c>
      <c r="Y138" s="4592">
        <f t="shared" si="110"/>
        <v>905.98376423308775</v>
      </c>
      <c r="Z138" s="4586">
        <f t="shared" si="95"/>
        <v>7.7133250305758447E-2</v>
      </c>
      <c r="AA138" s="4586">
        <f t="shared" si="96"/>
        <v>-4.4189352612806123E-3</v>
      </c>
      <c r="AC138" s="4587"/>
      <c r="AD138" s="11"/>
      <c r="AK138" s="4588"/>
      <c r="AP138" s="11"/>
    </row>
    <row r="139" spans="1:42" ht="15.75" customHeight="1">
      <c r="I139" s="3632" t="s">
        <v>1915</v>
      </c>
      <c r="J139" s="3633">
        <f>'10. Финансиране на ИП'!CQ60*'10. Финансиране на ИП'!AT67</f>
        <v>0</v>
      </c>
      <c r="K139" s="3625">
        <f>'10. Финансиране на ИП'!CR60*'10. Финансиране на ИП'!AU67</f>
        <v>0</v>
      </c>
      <c r="L139" s="3625">
        <f>'10. Финансиране на ИП'!CS60*'10. Финансиране на ИП'!AV67</f>
        <v>0</v>
      </c>
      <c r="M139" s="3633">
        <f>'10. Финансиране на ИП'!CT60*'10. Финансиране на ИП'!AW67</f>
        <v>0</v>
      </c>
      <c r="N139" s="3633">
        <f>'10. Финансиране на ИП'!CU60*'10. Финансиране на ИП'!AX67</f>
        <v>0</v>
      </c>
      <c r="Q139" s="4554"/>
      <c r="S139" s="4615"/>
      <c r="T139" s="4615"/>
      <c r="U139" s="4615"/>
      <c r="V139" s="4615"/>
      <c r="W139" s="4615"/>
      <c r="X139" s="4615"/>
      <c r="Y139" s="4615"/>
      <c r="Z139" s="4615"/>
      <c r="AA139" s="4615"/>
      <c r="AC139" s="4587"/>
      <c r="AD139" s="11"/>
      <c r="AK139" s="4588"/>
      <c r="AP139" s="11"/>
    </row>
    <row r="140" spans="1:42" ht="15.75" customHeight="1">
      <c r="I140" s="3632" t="s">
        <v>1916</v>
      </c>
      <c r="J140" s="3633">
        <f>'10. Финансиране на ИП'!CQ61*'10. Финансиране на ИП'!AT67</f>
        <v>0</v>
      </c>
      <c r="K140" s="3625">
        <f>'10. Финансиране на ИП'!CR61*'10. Финансиране на ИП'!AU67</f>
        <v>0</v>
      </c>
      <c r="L140" s="3625">
        <f>'10. Финансиране на ИП'!CS61*'10. Финансиране на ИП'!AV67</f>
        <v>0</v>
      </c>
      <c r="M140" s="3625">
        <f>'10. Финансиране на ИП'!CT61*'10. Финансиране на ИП'!AW67</f>
        <v>0</v>
      </c>
      <c r="N140" s="3625">
        <f>'10. Финансиране на ИП'!CU61*'10. Финансиране на ИП'!AX67</f>
        <v>0</v>
      </c>
      <c r="Q140" s="4554"/>
      <c r="S140" s="1392" t="s">
        <v>1679</v>
      </c>
      <c r="T140" s="4615"/>
      <c r="U140" s="4615"/>
      <c r="V140" s="4615"/>
      <c r="W140" s="4615"/>
      <c r="X140" s="4615"/>
      <c r="Y140" s="4615"/>
      <c r="Z140" s="4615"/>
      <c r="AA140" s="4615"/>
      <c r="AC140" s="4587"/>
      <c r="AD140" s="11"/>
      <c r="AK140" s="4588"/>
      <c r="AP140" s="11"/>
    </row>
    <row r="141" spans="1:42" ht="15.75" customHeight="1">
      <c r="I141" s="3630" t="s">
        <v>1917</v>
      </c>
      <c r="J141" s="3634">
        <f>'10. Финансиране на ИП'!CQ62*'10. Финансиране на ИП'!AT67</f>
        <v>0</v>
      </c>
      <c r="K141" s="3634">
        <f>'10. Финансиране на ИП'!CR62*'10. Финансиране на ИП'!AU67</f>
        <v>0</v>
      </c>
      <c r="L141" s="3634">
        <f>'10. Финансиране на ИП'!CS62*'10. Финансиране на ИП'!AV67</f>
        <v>0</v>
      </c>
      <c r="M141" s="3634">
        <f>'10. Финансиране на ИП'!CT62*'10. Финансиране на ИП'!AW67</f>
        <v>0</v>
      </c>
      <c r="N141" s="3634">
        <f>'10. Финансиране на ИП'!CU62*'10. Финансиране на ИП'!AX67</f>
        <v>0</v>
      </c>
      <c r="Q141" s="4554"/>
      <c r="S141" s="5676" t="s">
        <v>1922</v>
      </c>
      <c r="T141" s="5679" t="s">
        <v>207</v>
      </c>
      <c r="U141" s="5680"/>
      <c r="V141" s="5680"/>
      <c r="W141" s="5680"/>
      <c r="X141" s="5681"/>
      <c r="Y141" s="4615"/>
      <c r="Z141" s="4615"/>
      <c r="AA141" s="11"/>
      <c r="AC141" s="4587"/>
      <c r="AD141" s="11"/>
      <c r="AK141" s="4588"/>
      <c r="AP141" s="11"/>
    </row>
    <row r="142" spans="1:42" ht="15.75" customHeight="1">
      <c r="I142" s="3632" t="s">
        <v>199</v>
      </c>
      <c r="J142" s="3626">
        <f>'10. Финансиране на ИП'!AT63</f>
        <v>0</v>
      </c>
      <c r="K142" s="3626">
        <f>'10. Финансиране на ИП'!AU63</f>
        <v>0</v>
      </c>
      <c r="L142" s="3626">
        <f>'10. Финансиране на ИП'!AV63</f>
        <v>0</v>
      </c>
      <c r="M142" s="3626">
        <f>'10. Финансиране на ИП'!CT63</f>
        <v>0</v>
      </c>
      <c r="N142" s="3626">
        <f>'10. Финансиране на ИП'!AX63</f>
        <v>0</v>
      </c>
      <c r="Q142" s="4554"/>
      <c r="S142" s="5676"/>
      <c r="T142" s="4877" t="str">
        <f>+U121</f>
        <v>2027 г.</v>
      </c>
      <c r="U142" s="4877" t="str">
        <f>+V121</f>
        <v>2028 г.</v>
      </c>
      <c r="V142" s="4877" t="str">
        <f>+W121</f>
        <v>2029 г.</v>
      </c>
      <c r="W142" s="4877" t="str">
        <f>+X121</f>
        <v>2030 г.</v>
      </c>
      <c r="X142" s="4877" t="str">
        <f>+Y121</f>
        <v>2031 г.</v>
      </c>
      <c r="Y142" s="4615"/>
      <c r="Z142" s="4615"/>
      <c r="AA142" s="11"/>
      <c r="AC142" s="4587"/>
      <c r="AD142" s="11"/>
      <c r="AK142" s="4588"/>
      <c r="AP142" s="11"/>
    </row>
    <row r="143" spans="1:42" ht="15.75" customHeight="1">
      <c r="I143" s="3630" t="s">
        <v>1918</v>
      </c>
      <c r="J143" s="3624">
        <f>'10. Финансиране на ИП'!CQ64*'10. Финансиране на ИП'!AT67</f>
        <v>0</v>
      </c>
      <c r="K143" s="3624">
        <f>'10. Финансиране на ИП'!CR64*'10. Финансиране на ИП'!AU67</f>
        <v>0</v>
      </c>
      <c r="L143" s="3624">
        <f>'10. Финансиране на ИП'!CS64*'10. Финансиране на ИП'!AV67</f>
        <v>0</v>
      </c>
      <c r="M143" s="3624">
        <f>'10. Финансиране на ИП'!CT64*'10. Финансиране на ИП'!AW67</f>
        <v>0</v>
      </c>
      <c r="N143" s="3624">
        <f>'10. Финансиране на ИП'!CU64*'10. Финансиране на ИП'!AX67</f>
        <v>0</v>
      </c>
      <c r="Q143" s="4554"/>
      <c r="S143" s="4591">
        <f>'12.2.Нови дейности или обекти'!C10</f>
        <v>0</v>
      </c>
      <c r="T143" s="4592">
        <f>'12.2.Нови дейности или обекти'!AC21</f>
        <v>0</v>
      </c>
      <c r="U143" s="4592">
        <f>'12.2.Нови дейности или обекти'!AD21</f>
        <v>0</v>
      </c>
      <c r="V143" s="4592">
        <f>'12.2.Нови дейности или обекти'!AE21</f>
        <v>0</v>
      </c>
      <c r="W143" s="4592">
        <f>'12.2.Нови дейности или обекти'!AF21</f>
        <v>0</v>
      </c>
      <c r="X143" s="4592">
        <f>'12.2.Нови дейности или обекти'!AG21</f>
        <v>0</v>
      </c>
      <c r="Y143" s="4615"/>
      <c r="Z143" s="4615"/>
      <c r="AA143" s="11"/>
      <c r="AC143" s="4587"/>
      <c r="AD143" s="11"/>
      <c r="AK143" s="4588"/>
      <c r="AP143" s="11"/>
    </row>
    <row r="144" spans="1:42" ht="15.75" customHeight="1">
      <c r="I144" s="3630" t="s">
        <v>1919</v>
      </c>
      <c r="J144" s="3624">
        <f>'10. Финансиране на ИП'!CQ65*'10. Финансиране на ИП'!AT67</f>
        <v>0</v>
      </c>
      <c r="K144" s="3624">
        <f>'10. Финансиране на ИП'!CR65*'10. Финансиране на ИП'!AU67</f>
        <v>0</v>
      </c>
      <c r="L144" s="3624">
        <f>'10. Финансиране на ИП'!CS65*'10. Финансиране на ИП'!AV67</f>
        <v>0</v>
      </c>
      <c r="M144" s="3636">
        <f>'10. Финансиране на ИП'!CT65*'10. Финансиране на ИП'!AW67</f>
        <v>0</v>
      </c>
      <c r="N144" s="3636">
        <f>'10. Финансиране на ИП'!CU65*'10. Финансиране на ИП'!AX67</f>
        <v>0</v>
      </c>
      <c r="Q144" s="4554"/>
      <c r="S144" s="4591">
        <f>'12.2.Нови дейности или обекти'!H10</f>
        <v>0</v>
      </c>
      <c r="T144" s="4592">
        <f>'12.2.Нови дейности или обекти'!AH21</f>
        <v>0</v>
      </c>
      <c r="U144" s="4592">
        <f>'12.2.Нови дейности или обекти'!AI21</f>
        <v>0</v>
      </c>
      <c r="V144" s="4592">
        <f>'12.2.Нови дейности или обекти'!AJ21</f>
        <v>0</v>
      </c>
      <c r="W144" s="4592">
        <f>'12.2.Нови дейности или обекти'!AK21</f>
        <v>0</v>
      </c>
      <c r="X144" s="4592">
        <f>'12.2.Нови дейности или обекти'!AL21</f>
        <v>0</v>
      </c>
      <c r="Y144" s="4615"/>
      <c r="Z144" s="4615"/>
      <c r="AA144" s="11"/>
      <c r="AC144" s="4587"/>
      <c r="AD144" s="11"/>
      <c r="AK144" s="4588"/>
      <c r="AP144" s="11"/>
    </row>
    <row r="145" spans="9:42" ht="15.75" customHeight="1">
      <c r="I145" s="3637" t="s">
        <v>1939</v>
      </c>
      <c r="J145" s="4619" t="s">
        <v>1062</v>
      </c>
      <c r="K145" s="4619" t="s">
        <v>1063</v>
      </c>
      <c r="L145" s="4619" t="s">
        <v>1064</v>
      </c>
      <c r="M145" s="4619" t="s">
        <v>1065</v>
      </c>
      <c r="N145" s="4619" t="s">
        <v>1066</v>
      </c>
      <c r="Q145" s="4554"/>
      <c r="S145" s="4591">
        <f>'12.2.Нови дейности или обекти'!M10</f>
        <v>0</v>
      </c>
      <c r="T145" s="4592">
        <f>'12.2.Нови дейности или обекти'!AM21</f>
        <v>0</v>
      </c>
      <c r="U145" s="4592">
        <f>'12.2.Нови дейности или обекти'!AN21</f>
        <v>0</v>
      </c>
      <c r="V145" s="4592">
        <f>'12.2.Нови дейности или обекти'!AO21</f>
        <v>0</v>
      </c>
      <c r="W145" s="4592">
        <f>'12.2.Нови дейности или обекти'!AP21</f>
        <v>0</v>
      </c>
      <c r="X145" s="4592">
        <f>'12.2.Нови дейности или обекти'!AQ21</f>
        <v>0</v>
      </c>
      <c r="Y145" s="4615"/>
      <c r="Z145" s="4615"/>
      <c r="AA145" s="11"/>
      <c r="AC145" s="4587"/>
      <c r="AD145" s="11"/>
      <c r="AK145" s="4588"/>
      <c r="AP145" s="11"/>
    </row>
    <row r="146" spans="9:42" ht="15.75" customHeight="1">
      <c r="I146" s="3630" t="s">
        <v>1914</v>
      </c>
      <c r="J146" s="3635">
        <f>'10. Финансиране на ИП'!CQ70*'10. Финансиране на ИП'!AT78</f>
        <v>0</v>
      </c>
      <c r="K146" s="3635">
        <f>'10. Финансиране на ИП'!CR70*'10. Финансиране на ИП'!AU78</f>
        <v>0</v>
      </c>
      <c r="L146" s="3635">
        <f>'10. Финансиране на ИП'!CS70*'10. Финансиране на ИП'!AV78</f>
        <v>0</v>
      </c>
      <c r="M146" s="3635">
        <f>'10. Финансиране на ИП'!CT70*'10. Финансиране на ИП'!AW78</f>
        <v>0</v>
      </c>
      <c r="N146" s="3635">
        <f>'10. Финансиране на ИП'!CU70*'10. Финансиране на ИП'!AX78</f>
        <v>0</v>
      </c>
      <c r="S146" s="4591">
        <f>'12.2.Нови дейности или обекти'!R10</f>
        <v>0</v>
      </c>
      <c r="T146" s="4592">
        <f>'12.2.Нови дейности или обекти'!AR21</f>
        <v>0</v>
      </c>
      <c r="U146" s="4592">
        <f>'12.2.Нови дейности или обекти'!AS21</f>
        <v>0</v>
      </c>
      <c r="V146" s="4592">
        <f>'12.2.Нови дейности или обекти'!AT21</f>
        <v>0</v>
      </c>
      <c r="W146" s="4592">
        <f>'12.2.Нови дейности или обекти'!AU21</f>
        <v>0</v>
      </c>
      <c r="X146" s="4592">
        <f>'12.2.Нови дейности или обекти'!AV21</f>
        <v>0</v>
      </c>
      <c r="Y146" s="4615"/>
      <c r="Z146" s="4615"/>
      <c r="AA146" s="11"/>
      <c r="AC146" s="4587"/>
      <c r="AD146" s="11"/>
      <c r="AK146" s="4588"/>
      <c r="AP146" s="11"/>
    </row>
    <row r="147" spans="9:42" ht="15.75" customHeight="1">
      <c r="I147" s="3632" t="s">
        <v>1915</v>
      </c>
      <c r="J147" s="3633">
        <f>'10. Финансиране на ИП'!CQ71*'10. Финансиране на ИП'!AT78</f>
        <v>0</v>
      </c>
      <c r="K147" s="3625">
        <f>'10. Финансиране на ИП'!CR71*'10. Финансиране на ИП'!AU78</f>
        <v>0</v>
      </c>
      <c r="L147" s="3625">
        <f>'10. Финансиране на ИП'!CS71*'10. Финансиране на ИП'!AV78</f>
        <v>0</v>
      </c>
      <c r="M147" s="3633">
        <f>'10. Финансиране на ИП'!CT71*'10. Финансиране на ИП'!AW78</f>
        <v>0</v>
      </c>
      <c r="N147" s="3633">
        <f>'10. Финансиране на ИП'!CU71*'10. Финансиране на ИП'!AX78</f>
        <v>0</v>
      </c>
      <c r="S147" s="4591">
        <f>'12.2.Нови дейности или обекти'!W10</f>
        <v>0</v>
      </c>
      <c r="T147" s="4592">
        <f>'12.2.Нови дейности или обекти'!AW21</f>
        <v>0</v>
      </c>
      <c r="U147" s="4592">
        <f>'12.2.Нови дейности или обекти'!AX21</f>
        <v>0</v>
      </c>
      <c r="V147" s="4592">
        <f>'12.2.Нови дейности или обекти'!AY21</f>
        <v>0</v>
      </c>
      <c r="W147" s="4592">
        <f>'12.2.Нови дейности или обекти'!AZ21</f>
        <v>0</v>
      </c>
      <c r="X147" s="4592">
        <f>'12.2.Нови дейности или обекти'!BA21</f>
        <v>0</v>
      </c>
      <c r="Y147" s="4615"/>
      <c r="Z147" s="4615"/>
      <c r="AA147" s="11"/>
      <c r="AC147" s="4587"/>
      <c r="AD147" s="11"/>
      <c r="AK147" s="4588"/>
      <c r="AP147" s="11"/>
    </row>
    <row r="148" spans="9:42" ht="15.75" customHeight="1">
      <c r="I148" s="3632" t="s">
        <v>1916</v>
      </c>
      <c r="J148" s="3633">
        <f>'10. Финансиране на ИП'!CQ72*'10. Финансиране на ИП'!AT78</f>
        <v>0</v>
      </c>
      <c r="K148" s="3625">
        <f>'10. Финансиране на ИП'!CR72*'10. Финансиране на ИП'!AU78</f>
        <v>0</v>
      </c>
      <c r="L148" s="3625">
        <f>'10. Финансиране на ИП'!CS72*'10. Финансиране на ИП'!AV78</f>
        <v>0</v>
      </c>
      <c r="M148" s="3625">
        <f>'10. Финансиране на ИП'!CT72*'10. Финансиране на ИП'!AW78</f>
        <v>0</v>
      </c>
      <c r="N148" s="3625">
        <f>'10. Финансиране на ИП'!CU72*'10. Финансиране на ИП'!AX78</f>
        <v>0</v>
      </c>
      <c r="S148" s="4591">
        <f>'12.2.Нови дейности или обекти'!C33</f>
        <v>0</v>
      </c>
      <c r="T148" s="4592">
        <f>'12.2.Нови дейности или обекти'!AC44</f>
        <v>0</v>
      </c>
      <c r="U148" s="4592">
        <f>'12.2.Нови дейности или обекти'!AD44</f>
        <v>0</v>
      </c>
      <c r="V148" s="4592">
        <f>'12.2.Нови дейности или обекти'!AE44</f>
        <v>0</v>
      </c>
      <c r="W148" s="4592">
        <f>'12.2.Нови дейности или обекти'!AF44</f>
        <v>0</v>
      </c>
      <c r="X148" s="4592">
        <f>'12.2.Нови дейности или обекти'!AG44</f>
        <v>0</v>
      </c>
      <c r="AA148" s="11"/>
      <c r="AC148" s="4587"/>
      <c r="AD148" s="11"/>
      <c r="AK148" s="4588"/>
      <c r="AP148" s="11"/>
    </row>
    <row r="149" spans="9:42" ht="15.75" customHeight="1">
      <c r="I149" s="3630" t="s">
        <v>1917</v>
      </c>
      <c r="J149" s="3634">
        <f>'10. Финансиране на ИП'!CQ73*'10. Финансиране на ИП'!AT78</f>
        <v>0</v>
      </c>
      <c r="K149" s="3634">
        <f>'10. Финансиране на ИП'!CR73*'10. Финансиране на ИП'!AU78</f>
        <v>0</v>
      </c>
      <c r="L149" s="3634">
        <f>'10. Финансиране на ИП'!CS73*'10. Финансиране на ИП'!AV78</f>
        <v>0</v>
      </c>
      <c r="M149" s="3634">
        <f>'10. Финансиране на ИП'!CT73*'10. Финансиране на ИП'!AW78</f>
        <v>0</v>
      </c>
      <c r="N149" s="3634">
        <f>'10. Финансиране на ИП'!CU73*'10. Финансиране на ИП'!AX78</f>
        <v>0</v>
      </c>
      <c r="S149" s="4591">
        <f>'12.2.Нови дейности или обекти'!H33</f>
        <v>0</v>
      </c>
      <c r="T149" s="4592">
        <f>'12.2.Нови дейности или обекти'!AH44</f>
        <v>0</v>
      </c>
      <c r="U149" s="4592">
        <f>'12.2.Нови дейности или обекти'!AI44</f>
        <v>0</v>
      </c>
      <c r="V149" s="4592">
        <f>'12.2.Нови дейности или обекти'!AJ44</f>
        <v>0</v>
      </c>
      <c r="W149" s="4592">
        <f>'12.2.Нови дейности или обекти'!AK44</f>
        <v>0</v>
      </c>
      <c r="X149" s="4592">
        <f>'12.2.Нови дейности или обекти'!AL44</f>
        <v>0</v>
      </c>
      <c r="AA149" s="11"/>
      <c r="AC149" s="4587"/>
      <c r="AD149" s="11"/>
      <c r="AK149" s="4588"/>
      <c r="AP149" s="11"/>
    </row>
    <row r="150" spans="9:42" ht="15.75" customHeight="1">
      <c r="I150" s="3632" t="s">
        <v>199</v>
      </c>
      <c r="J150" s="3626">
        <f>'10. Финансиране на ИП'!AT74</f>
        <v>0</v>
      </c>
      <c r="K150" s="3626">
        <f>'10. Финансиране на ИП'!AU74</f>
        <v>0</v>
      </c>
      <c r="L150" s="3626">
        <f>'10. Финансиране на ИП'!AV74</f>
        <v>0</v>
      </c>
      <c r="M150" s="3626">
        <f>'10. Финансиране на ИП'!AW74</f>
        <v>0</v>
      </c>
      <c r="N150" s="3626">
        <f>'10. Финансиране на ИП'!AX74</f>
        <v>0</v>
      </c>
      <c r="S150" s="4591">
        <f>'12.2.Нови дейности или обекти'!M33</f>
        <v>0</v>
      </c>
      <c r="T150" s="4592">
        <f>'12.2.Нови дейности или обекти'!AM44</f>
        <v>0</v>
      </c>
      <c r="U150" s="4592">
        <f>'12.2.Нови дейности или обекти'!AN44</f>
        <v>0</v>
      </c>
      <c r="V150" s="4592">
        <f>'12.2.Нови дейности или обекти'!AO44</f>
        <v>0</v>
      </c>
      <c r="W150" s="4592">
        <f>'12.2.Нови дейности или обекти'!AP44</f>
        <v>0</v>
      </c>
      <c r="X150" s="4592">
        <f>'12.2.Нови дейности или обекти'!AQ44</f>
        <v>0</v>
      </c>
      <c r="AA150" s="11"/>
      <c r="AC150" s="4587"/>
      <c r="AD150" s="11"/>
      <c r="AK150" s="4588"/>
      <c r="AP150" s="11"/>
    </row>
    <row r="151" spans="9:42" ht="15.75" customHeight="1">
      <c r="I151" s="3630" t="s">
        <v>1918</v>
      </c>
      <c r="J151" s="3624">
        <f>'10. Финансиране на ИП'!CQ75*'10. Финансиране на ИП'!AT78</f>
        <v>0</v>
      </c>
      <c r="K151" s="3624">
        <f>'10. Финансиране на ИП'!CR75*'10. Финансиране на ИП'!AU78</f>
        <v>0</v>
      </c>
      <c r="L151" s="3624">
        <f>'10. Финансиране на ИП'!CS75*'10. Финансиране на ИП'!AV78</f>
        <v>0</v>
      </c>
      <c r="M151" s="3624">
        <f>'10. Финансиране на ИП'!CT75*'10. Финансиране на ИП'!AW78</f>
        <v>0</v>
      </c>
      <c r="N151" s="3624">
        <f>'10. Финансиране на ИП'!CU75*'10. Финансиране на ИП'!AX78</f>
        <v>0</v>
      </c>
      <c r="S151" s="4591">
        <f>'12.2.Нови дейности или обекти'!R33</f>
        <v>0</v>
      </c>
      <c r="T151" s="4592">
        <f>'12.2.Нови дейности или обекти'!AR44</f>
        <v>0</v>
      </c>
      <c r="U151" s="4592">
        <f>'12.2.Нови дейности или обекти'!AS44</f>
        <v>0</v>
      </c>
      <c r="V151" s="4592">
        <f>'12.2.Нови дейности или обекти'!AT44</f>
        <v>0</v>
      </c>
      <c r="W151" s="4592">
        <f>'12.2.Нови дейности или обекти'!AU44</f>
        <v>0</v>
      </c>
      <c r="X151" s="4592">
        <f>'12.2.Нови дейности или обекти'!AV44</f>
        <v>0</v>
      </c>
      <c r="AA151" s="11"/>
      <c r="AC151" s="4587"/>
      <c r="AD151" s="11"/>
      <c r="AK151" s="4588"/>
      <c r="AP151" s="11"/>
    </row>
    <row r="152" spans="9:42" ht="15.75" customHeight="1">
      <c r="I152" s="3630" t="s">
        <v>1919</v>
      </c>
      <c r="J152" s="3624">
        <f>'10. Финансиране на ИП'!CQ76*'10. Финансиране на ИП'!AT78</f>
        <v>0</v>
      </c>
      <c r="K152" s="3624">
        <f>'10. Финансиране на ИП'!CR76*'10. Финансиране на ИП'!AU78</f>
        <v>0</v>
      </c>
      <c r="L152" s="3624">
        <f>'10. Финансиране на ИП'!CS76*'10. Финансиране на ИП'!AV78</f>
        <v>0</v>
      </c>
      <c r="M152" s="3636">
        <f>'10. Финансиране на ИП'!CT76*'10. Финансиране на ИП'!AW78</f>
        <v>0</v>
      </c>
      <c r="N152" s="3636">
        <f>'10. Финансиране на ИП'!CU76*'10. Финансиране на ИП'!AX78</f>
        <v>0</v>
      </c>
      <c r="S152" s="4591">
        <f>'12.2.Нови дейности или обекти'!W33</f>
        <v>0</v>
      </c>
      <c r="T152" s="4592">
        <f>'12.2.Нови дейности или обекти'!AW44</f>
        <v>0</v>
      </c>
      <c r="U152" s="4592">
        <f>'12.2.Нови дейности или обекти'!AX44</f>
        <v>0</v>
      </c>
      <c r="V152" s="4592">
        <f>'12.2.Нови дейности или обекти'!AY44</f>
        <v>0</v>
      </c>
      <c r="W152" s="4592">
        <f>'12.2.Нови дейности или обекти'!AZ44</f>
        <v>0</v>
      </c>
      <c r="X152" s="4592">
        <f>'12.2.Нови дейности или обекти'!BA44</f>
        <v>0</v>
      </c>
      <c r="AA152" s="11"/>
      <c r="AC152" s="4587"/>
      <c r="AD152" s="11"/>
      <c r="AK152" s="4588"/>
      <c r="AP152" s="11"/>
    </row>
    <row r="153" spans="9:42" ht="15.75" customHeight="1">
      <c r="S153" s="4598" t="s">
        <v>1678</v>
      </c>
      <c r="T153" s="4599">
        <f t="shared" ref="T153:X153" si="111">SUM(T143:T152)</f>
        <v>0</v>
      </c>
      <c r="U153" s="4599">
        <f t="shared" si="111"/>
        <v>0</v>
      </c>
      <c r="V153" s="4599">
        <f t="shared" si="111"/>
        <v>0</v>
      </c>
      <c r="W153" s="4599">
        <f t="shared" si="111"/>
        <v>0</v>
      </c>
      <c r="X153" s="4599">
        <f t="shared" si="111"/>
        <v>0</v>
      </c>
      <c r="AA153" s="11"/>
      <c r="AC153" s="4587"/>
      <c r="AD153" s="11"/>
      <c r="AK153" s="4588"/>
      <c r="AP153" s="11"/>
    </row>
    <row r="154" spans="9:42" ht="15.75" customHeight="1">
      <c r="S154" s="5677" t="s">
        <v>1922</v>
      </c>
      <c r="T154" s="5679" t="s">
        <v>174</v>
      </c>
      <c r="U154" s="5680"/>
      <c r="V154" s="5680"/>
      <c r="W154" s="5680"/>
      <c r="X154" s="5681"/>
      <c r="AA154" s="11"/>
      <c r="AC154" s="4587"/>
      <c r="AD154" s="11"/>
      <c r="AK154" s="4588"/>
      <c r="AP154" s="11"/>
    </row>
    <row r="155" spans="9:42" ht="15.75" customHeight="1">
      <c r="S155" s="5678"/>
      <c r="T155" s="4877" t="str">
        <f t="shared" ref="T155:X155" si="112">+T142</f>
        <v>2027 г.</v>
      </c>
      <c r="U155" s="4877" t="str">
        <f t="shared" si="112"/>
        <v>2028 г.</v>
      </c>
      <c r="V155" s="4877" t="str">
        <f t="shared" si="112"/>
        <v>2029 г.</v>
      </c>
      <c r="W155" s="4877" t="str">
        <f t="shared" si="112"/>
        <v>2030 г.</v>
      </c>
      <c r="X155" s="4877" t="str">
        <f t="shared" si="112"/>
        <v>2031 г.</v>
      </c>
      <c r="AA155" s="11"/>
      <c r="AC155" s="4587"/>
      <c r="AD155" s="11"/>
      <c r="AK155" s="4588"/>
      <c r="AP155" s="11"/>
    </row>
    <row r="156" spans="9:42" ht="15.75" customHeight="1">
      <c r="S156" s="4591">
        <f>'12.2.Нови дейности или обекти'!C57</f>
        <v>0</v>
      </c>
      <c r="T156" s="4592">
        <f>'12.2.Нови дейности или обекти'!AC68</f>
        <v>0</v>
      </c>
      <c r="U156" s="4592">
        <f>'12.2.Нови дейности или обекти'!AD68</f>
        <v>0</v>
      </c>
      <c r="V156" s="4592">
        <f>'12.2.Нови дейности или обекти'!AE68</f>
        <v>0</v>
      </c>
      <c r="W156" s="4592">
        <f>'12.2.Нови дейности или обекти'!AF68</f>
        <v>0</v>
      </c>
      <c r="X156" s="4592">
        <f>'12.2.Нови дейности или обекти'!AG68</f>
        <v>0</v>
      </c>
      <c r="AA156" s="11"/>
      <c r="AC156" s="4587"/>
      <c r="AD156" s="11"/>
      <c r="AK156" s="4588"/>
      <c r="AP156" s="11"/>
    </row>
    <row r="157" spans="9:42" ht="15.75" customHeight="1">
      <c r="S157" s="4591">
        <f>'12.2.Нови дейности или обекти'!H57</f>
        <v>0</v>
      </c>
      <c r="T157" s="4592">
        <f>'12.2.Нови дейности или обекти'!AH68</f>
        <v>0</v>
      </c>
      <c r="U157" s="4592">
        <f>'12.2.Нови дейности или обекти'!AI68</f>
        <v>0</v>
      </c>
      <c r="V157" s="4592">
        <f>'12.2.Нови дейности или обекти'!AJ68</f>
        <v>0</v>
      </c>
      <c r="W157" s="4592">
        <f>'12.2.Нови дейности или обекти'!AK68</f>
        <v>0</v>
      </c>
      <c r="X157" s="4592">
        <f>'12.2.Нови дейности или обекти'!AL68</f>
        <v>0</v>
      </c>
      <c r="AA157" s="11"/>
      <c r="AC157" s="4587"/>
      <c r="AD157" s="11"/>
      <c r="AK157" s="4588"/>
      <c r="AP157" s="11"/>
    </row>
    <row r="158" spans="9:42" ht="15.75" customHeight="1">
      <c r="S158" s="4591">
        <f>'12.2.Нови дейности или обекти'!M57</f>
        <v>0</v>
      </c>
      <c r="T158" s="4592">
        <f>'12.2.Нови дейности или обекти'!AM68</f>
        <v>0</v>
      </c>
      <c r="U158" s="4592">
        <f>'12.2.Нови дейности или обекти'!AN68</f>
        <v>0</v>
      </c>
      <c r="V158" s="4592">
        <f>'12.2.Нови дейности или обекти'!AO68</f>
        <v>0</v>
      </c>
      <c r="W158" s="4592">
        <f>'12.2.Нови дейности или обекти'!AP68</f>
        <v>0</v>
      </c>
      <c r="X158" s="4592">
        <f>'12.2.Нови дейности или обекти'!AQ68</f>
        <v>0</v>
      </c>
      <c r="AA158" s="11"/>
      <c r="AC158" s="4587"/>
      <c r="AD158" s="11"/>
      <c r="AK158" s="4588"/>
      <c r="AP158" s="11"/>
    </row>
    <row r="159" spans="9:42" ht="15.75" customHeight="1">
      <c r="S159" s="4591">
        <f>'12.2.Нови дейности или обекти'!R57</f>
        <v>0</v>
      </c>
      <c r="T159" s="4592">
        <f>'12.2.Нови дейности или обекти'!AR68</f>
        <v>0</v>
      </c>
      <c r="U159" s="4592">
        <f>'12.2.Нови дейности или обекти'!AS68</f>
        <v>0</v>
      </c>
      <c r="V159" s="4592">
        <f>'12.2.Нови дейности или обекти'!AT68</f>
        <v>0</v>
      </c>
      <c r="W159" s="4592">
        <f>'12.2.Нови дейности или обекти'!AU68</f>
        <v>0</v>
      </c>
      <c r="X159" s="4592">
        <f>'12.2.Нови дейности или обекти'!AV68</f>
        <v>0</v>
      </c>
      <c r="AA159" s="11"/>
      <c r="AC159" s="4587"/>
      <c r="AD159" s="11"/>
      <c r="AK159" s="4588"/>
      <c r="AP159" s="11"/>
    </row>
    <row r="160" spans="9:42" ht="15.75" customHeight="1">
      <c r="S160" s="4591">
        <f>'12.2.Нови дейности или обекти'!W57</f>
        <v>0</v>
      </c>
      <c r="T160" s="4592">
        <f>'12.2.Нови дейности или обекти'!AW68</f>
        <v>0</v>
      </c>
      <c r="U160" s="4592">
        <f>'12.2.Нови дейности или обекти'!AX68</f>
        <v>0</v>
      </c>
      <c r="V160" s="4592">
        <f>'12.2.Нови дейности или обекти'!AY68</f>
        <v>0</v>
      </c>
      <c r="W160" s="4592">
        <f>'12.2.Нови дейности или обекти'!AZ68</f>
        <v>0</v>
      </c>
      <c r="X160" s="4592">
        <f>'12.2.Нови дейности или обекти'!BA68</f>
        <v>0</v>
      </c>
      <c r="AA160" s="11"/>
      <c r="AC160" s="4587"/>
      <c r="AD160" s="11"/>
      <c r="AK160" s="4588"/>
      <c r="AP160" s="11"/>
    </row>
    <row r="161" spans="19:42" ht="15.75" customHeight="1">
      <c r="S161" s="4591">
        <f>'12.2.Нови дейности или обекти'!C80</f>
        <v>0</v>
      </c>
      <c r="T161" s="4592">
        <f>'12.2.Нови дейности или обекти'!AC91</f>
        <v>0</v>
      </c>
      <c r="U161" s="4592">
        <f>'12.2.Нови дейности или обекти'!AD91</f>
        <v>0</v>
      </c>
      <c r="V161" s="4592">
        <f>'12.2.Нови дейности или обекти'!AE91</f>
        <v>0</v>
      </c>
      <c r="W161" s="4592">
        <f>'12.2.Нови дейности или обекти'!AF91</f>
        <v>0</v>
      </c>
      <c r="X161" s="4592">
        <f>'12.2.Нови дейности или обекти'!AG91</f>
        <v>0</v>
      </c>
      <c r="AA161" s="11"/>
      <c r="AC161" s="4587"/>
      <c r="AD161" s="11"/>
      <c r="AK161" s="4588"/>
      <c r="AP161" s="11"/>
    </row>
    <row r="162" spans="19:42" ht="15.75" customHeight="1">
      <c r="S162" s="4591">
        <f>'12.2.Нови дейности или обекти'!H80</f>
        <v>0</v>
      </c>
      <c r="T162" s="4592">
        <f>'12.2.Нови дейности или обекти'!AH91</f>
        <v>0</v>
      </c>
      <c r="U162" s="4592">
        <f>'12.2.Нови дейности или обекти'!AI91</f>
        <v>0</v>
      </c>
      <c r="V162" s="4592">
        <f>'12.2.Нови дейности или обекти'!AJ91</f>
        <v>0</v>
      </c>
      <c r="W162" s="4592">
        <f>'12.2.Нови дейности или обекти'!AK91</f>
        <v>0</v>
      </c>
      <c r="X162" s="4592">
        <f>'12.2.Нови дейности или обекти'!AL91</f>
        <v>0</v>
      </c>
      <c r="AA162" s="11"/>
      <c r="AC162" s="4587"/>
      <c r="AD162" s="11"/>
      <c r="AK162" s="4588"/>
      <c r="AP162" s="11"/>
    </row>
    <row r="163" spans="19:42" ht="15.75" customHeight="1">
      <c r="S163" s="4591">
        <f>'12.2.Нови дейности или обекти'!M80</f>
        <v>0</v>
      </c>
      <c r="T163" s="4592">
        <f>'12.2.Нови дейности или обекти'!AM91</f>
        <v>0</v>
      </c>
      <c r="U163" s="4592">
        <f>'12.2.Нови дейности или обекти'!AN91</f>
        <v>0</v>
      </c>
      <c r="V163" s="4592">
        <f>'12.2.Нови дейности или обекти'!AO91</f>
        <v>0</v>
      </c>
      <c r="W163" s="4592">
        <f>'12.2.Нови дейности или обекти'!AP91</f>
        <v>0</v>
      </c>
      <c r="X163" s="4592">
        <f>'12.2.Нови дейности или обекти'!AQ91</f>
        <v>0</v>
      </c>
      <c r="AA163" s="11"/>
      <c r="AC163" s="4587"/>
      <c r="AD163" s="11"/>
      <c r="AK163" s="4588"/>
      <c r="AP163" s="11"/>
    </row>
    <row r="164" spans="19:42" ht="15.75" customHeight="1">
      <c r="S164" s="4591">
        <f>'12.2.Нови дейности или обекти'!R80</f>
        <v>0</v>
      </c>
      <c r="T164" s="4592">
        <f>'12.2.Нови дейности или обекти'!AR91</f>
        <v>0</v>
      </c>
      <c r="U164" s="4592">
        <f>'12.2.Нови дейности или обекти'!AS91</f>
        <v>0</v>
      </c>
      <c r="V164" s="4592">
        <f>'12.2.Нови дейности или обекти'!AT91</f>
        <v>0</v>
      </c>
      <c r="W164" s="4592">
        <f>'12.2.Нови дейности или обекти'!AU91</f>
        <v>0</v>
      </c>
      <c r="X164" s="4592">
        <f>'12.2.Нови дейности или обекти'!AV91</f>
        <v>0</v>
      </c>
      <c r="AA164" s="11"/>
      <c r="AC164" s="4587"/>
      <c r="AD164" s="11"/>
      <c r="AK164" s="4588"/>
      <c r="AP164" s="11"/>
    </row>
    <row r="165" spans="19:42" ht="15.75" customHeight="1">
      <c r="S165" s="4591">
        <f>'12.2.Нови дейности или обекти'!W80</f>
        <v>0</v>
      </c>
      <c r="T165" s="4592">
        <f>'12.2.Нови дейности или обекти'!AW91</f>
        <v>0</v>
      </c>
      <c r="U165" s="4592">
        <f>'12.2.Нови дейности или обекти'!AX91</f>
        <v>0</v>
      </c>
      <c r="V165" s="4592">
        <f>'12.2.Нови дейности или обекти'!AY91</f>
        <v>0</v>
      </c>
      <c r="W165" s="4592">
        <f>'12.2.Нови дейности или обекти'!AZ91</f>
        <v>0</v>
      </c>
      <c r="X165" s="4592">
        <f>'12.2.Нови дейности или обекти'!BA91</f>
        <v>0</v>
      </c>
      <c r="AA165" s="11"/>
      <c r="AC165" s="4587"/>
      <c r="AD165" s="11"/>
      <c r="AK165" s="4588"/>
      <c r="AP165" s="11"/>
    </row>
    <row r="166" spans="19:42" ht="15.75" customHeight="1">
      <c r="S166" s="4598" t="s">
        <v>1677</v>
      </c>
      <c r="T166" s="4599">
        <f t="shared" ref="T166:X166" si="113">SUM(T156:T165)</f>
        <v>0</v>
      </c>
      <c r="U166" s="4599">
        <f t="shared" si="113"/>
        <v>0</v>
      </c>
      <c r="V166" s="4599">
        <f t="shared" si="113"/>
        <v>0</v>
      </c>
      <c r="W166" s="4599">
        <f t="shared" si="113"/>
        <v>0</v>
      </c>
      <c r="X166" s="4599">
        <f t="shared" si="113"/>
        <v>0</v>
      </c>
      <c r="AA166" s="11"/>
      <c r="AC166" s="4587"/>
      <c r="AD166" s="11"/>
      <c r="AK166" s="4588"/>
      <c r="AP166" s="11"/>
    </row>
    <row r="167" spans="19:42" ht="15.75" customHeight="1">
      <c r="S167" s="5676" t="s">
        <v>1922</v>
      </c>
      <c r="T167" s="5679" t="s">
        <v>184</v>
      </c>
      <c r="U167" s="5680"/>
      <c r="V167" s="5680"/>
      <c r="W167" s="5680"/>
      <c r="X167" s="5681"/>
      <c r="AA167" s="11"/>
      <c r="AC167" s="4587"/>
      <c r="AD167" s="11"/>
      <c r="AK167" s="4588"/>
      <c r="AP167" s="11"/>
    </row>
    <row r="168" spans="19:42" ht="15.75" customHeight="1">
      <c r="S168" s="5676"/>
      <c r="T168" s="4877" t="str">
        <f t="shared" ref="T168:X168" si="114">+T155</f>
        <v>2027 г.</v>
      </c>
      <c r="U168" s="4877" t="str">
        <f t="shared" si="114"/>
        <v>2028 г.</v>
      </c>
      <c r="V168" s="4877" t="str">
        <f t="shared" si="114"/>
        <v>2029 г.</v>
      </c>
      <c r="W168" s="4877" t="str">
        <f t="shared" si="114"/>
        <v>2030 г.</v>
      </c>
      <c r="X168" s="4877" t="str">
        <f t="shared" si="114"/>
        <v>2031 г.</v>
      </c>
      <c r="AA168" s="11"/>
      <c r="AC168" s="4587"/>
      <c r="AD168" s="11"/>
      <c r="AK168" s="4588"/>
      <c r="AP168" s="11"/>
    </row>
    <row r="169" spans="19:42" ht="15.75" customHeight="1">
      <c r="S169" s="4591">
        <f>'12.2.Нови дейности или обекти'!C104</f>
        <v>0</v>
      </c>
      <c r="T169" s="4592">
        <f>'12.2.Нови дейности или обекти'!AC115</f>
        <v>0</v>
      </c>
      <c r="U169" s="4592">
        <f>'12.2.Нови дейности или обекти'!AD115</f>
        <v>0</v>
      </c>
      <c r="V169" s="4592">
        <f>'12.2.Нови дейности или обекти'!AE115</f>
        <v>0</v>
      </c>
      <c r="W169" s="4592">
        <f>'12.2.Нови дейности или обекти'!AF115</f>
        <v>0</v>
      </c>
      <c r="X169" s="4592">
        <f>'12.2.Нови дейности или обекти'!AG115</f>
        <v>0</v>
      </c>
      <c r="AA169" s="11"/>
      <c r="AC169" s="4587"/>
      <c r="AD169" s="11"/>
      <c r="AK169" s="4588"/>
      <c r="AP169" s="11"/>
    </row>
    <row r="170" spans="19:42" ht="15.75" customHeight="1">
      <c r="S170" s="4591">
        <f>'12.2.Нови дейности или обекти'!H104</f>
        <v>0</v>
      </c>
      <c r="T170" s="4592">
        <f>'12.2.Нови дейности или обекти'!AH115</f>
        <v>0</v>
      </c>
      <c r="U170" s="4592">
        <f>'12.2.Нови дейности или обекти'!AI115</f>
        <v>0</v>
      </c>
      <c r="V170" s="4592">
        <f>'12.2.Нови дейности или обекти'!AJ115</f>
        <v>0</v>
      </c>
      <c r="W170" s="4592">
        <f>'12.2.Нови дейности или обекти'!AK115</f>
        <v>0</v>
      </c>
      <c r="X170" s="4592">
        <f>'12.2.Нови дейности или обекти'!AL115</f>
        <v>0</v>
      </c>
      <c r="AA170" s="11"/>
      <c r="AC170" s="4587"/>
      <c r="AD170" s="11"/>
      <c r="AK170" s="4588"/>
      <c r="AP170" s="11"/>
    </row>
    <row r="171" spans="19:42" ht="15.75" customHeight="1">
      <c r="S171" s="4591">
        <f>'12.2.Нови дейности или обекти'!M104</f>
        <v>0</v>
      </c>
      <c r="T171" s="4592">
        <f>'12.2.Нови дейности или обекти'!AM115</f>
        <v>0</v>
      </c>
      <c r="U171" s="4592">
        <f>'12.2.Нови дейности или обекти'!AN115</f>
        <v>0</v>
      </c>
      <c r="V171" s="4592">
        <f>'12.2.Нови дейности или обекти'!AO115</f>
        <v>0</v>
      </c>
      <c r="W171" s="4592">
        <f>'12.2.Нови дейности или обекти'!AP115</f>
        <v>0</v>
      </c>
      <c r="X171" s="4592">
        <f>'12.2.Нови дейности или обекти'!AQ115</f>
        <v>0</v>
      </c>
      <c r="AA171" s="11"/>
      <c r="AC171" s="4587"/>
      <c r="AD171" s="11"/>
      <c r="AK171" s="4588"/>
      <c r="AP171" s="11"/>
    </row>
    <row r="172" spans="19:42" ht="15.75" customHeight="1">
      <c r="S172" s="4591">
        <f>'12.2.Нови дейности или обекти'!R104</f>
        <v>0</v>
      </c>
      <c r="T172" s="4592">
        <f>'12.2.Нови дейности или обекти'!AR115</f>
        <v>0</v>
      </c>
      <c r="U172" s="4592">
        <f>'12.2.Нови дейности или обекти'!AS115</f>
        <v>0</v>
      </c>
      <c r="V172" s="4592">
        <f>'12.2.Нови дейности или обекти'!AT115</f>
        <v>0</v>
      </c>
      <c r="W172" s="4592">
        <f>'12.2.Нови дейности или обекти'!AU115</f>
        <v>0</v>
      </c>
      <c r="X172" s="4592">
        <f>'12.2.Нови дейности или обекти'!AV115</f>
        <v>0</v>
      </c>
      <c r="AA172" s="11"/>
      <c r="AC172" s="4587"/>
      <c r="AD172" s="11"/>
      <c r="AK172" s="4588"/>
      <c r="AP172" s="11"/>
    </row>
    <row r="173" spans="19:42" ht="15.75" customHeight="1">
      <c r="S173" s="4591">
        <f>'12.2.Нови дейности или обекти'!W104</f>
        <v>0</v>
      </c>
      <c r="T173" s="4592">
        <f>'12.2.Нови дейности или обекти'!AW115</f>
        <v>0</v>
      </c>
      <c r="U173" s="4592">
        <f>'12.2.Нови дейности или обекти'!AX115</f>
        <v>0</v>
      </c>
      <c r="V173" s="4592">
        <f>'12.2.Нови дейности или обекти'!AY115</f>
        <v>0</v>
      </c>
      <c r="W173" s="4592">
        <f>'12.2.Нови дейности или обекти'!AZ115</f>
        <v>0</v>
      </c>
      <c r="X173" s="4592">
        <f>'12.2.Нови дейности или обекти'!BA115</f>
        <v>0</v>
      </c>
      <c r="AA173" s="11"/>
      <c r="AC173" s="4587"/>
      <c r="AD173" s="11"/>
      <c r="AK173" s="4588"/>
      <c r="AP173" s="11"/>
    </row>
    <row r="174" spans="19:42" ht="15.75" customHeight="1">
      <c r="S174" s="4591">
        <f>'12.2.Нови дейности или обекти'!C127</f>
        <v>0</v>
      </c>
      <c r="T174" s="4592">
        <f>'12.2.Нови дейности или обекти'!AC138</f>
        <v>0</v>
      </c>
      <c r="U174" s="4592">
        <f>'12.2.Нови дейности или обекти'!AD138</f>
        <v>0</v>
      </c>
      <c r="V174" s="4592">
        <f>'12.2.Нови дейности или обекти'!AE138</f>
        <v>0</v>
      </c>
      <c r="W174" s="4592">
        <f>'12.2.Нови дейности или обекти'!AF138</f>
        <v>0</v>
      </c>
      <c r="X174" s="4592">
        <f>'12.2.Нови дейности или обекти'!AG138</f>
        <v>0</v>
      </c>
      <c r="AA174" s="11"/>
    </row>
    <row r="175" spans="19:42" ht="15.75" customHeight="1">
      <c r="S175" s="4591">
        <f>'12.2.Нови дейности или обекти'!H127</f>
        <v>0</v>
      </c>
      <c r="T175" s="4592">
        <f>'12.2.Нови дейности или обекти'!AH138</f>
        <v>0</v>
      </c>
      <c r="U175" s="4592">
        <f>'12.2.Нови дейности или обекти'!AI138</f>
        <v>0</v>
      </c>
      <c r="V175" s="4592">
        <f>'12.2.Нови дейности или обекти'!AJ138</f>
        <v>0</v>
      </c>
      <c r="W175" s="4592">
        <f>'12.2.Нови дейности или обекти'!AK138</f>
        <v>0</v>
      </c>
      <c r="X175" s="4592">
        <f>'12.2.Нови дейности или обекти'!AL138</f>
        <v>0</v>
      </c>
      <c r="AA175" s="11"/>
    </row>
    <row r="176" spans="19:42" ht="15.75" customHeight="1">
      <c r="S176" s="4591">
        <f>'12.2.Нови дейности или обекти'!M127</f>
        <v>0</v>
      </c>
      <c r="T176" s="4592">
        <f>'12.2.Нови дейности или обекти'!AM138</f>
        <v>0</v>
      </c>
      <c r="U176" s="4592">
        <f>'12.2.Нови дейности или обекти'!AN138</f>
        <v>0</v>
      </c>
      <c r="V176" s="4592">
        <f>'12.2.Нови дейности или обекти'!AO138</f>
        <v>0</v>
      </c>
      <c r="W176" s="4592">
        <f>'12.2.Нови дейности или обекти'!AP138</f>
        <v>0</v>
      </c>
      <c r="X176" s="4592">
        <f>'12.2.Нови дейности или обекти'!AQ138</f>
        <v>0</v>
      </c>
      <c r="AA176" s="11"/>
    </row>
    <row r="177" spans="19:27" ht="15.75" customHeight="1">
      <c r="S177" s="4591">
        <f>'12.2.Нови дейности или обекти'!R127</f>
        <v>0</v>
      </c>
      <c r="T177" s="4592">
        <f>'12.2.Нови дейности или обекти'!AR138</f>
        <v>0</v>
      </c>
      <c r="U177" s="4592">
        <f>'12.2.Нови дейности или обекти'!AS138</f>
        <v>0</v>
      </c>
      <c r="V177" s="4592">
        <f>'12.2.Нови дейности или обекти'!AT138</f>
        <v>0</v>
      </c>
      <c r="W177" s="4592">
        <f>'12.2.Нови дейности или обекти'!AU138</f>
        <v>0</v>
      </c>
      <c r="X177" s="4592">
        <f>'12.2.Нови дейности или обекти'!AV138</f>
        <v>0</v>
      </c>
      <c r="AA177" s="11"/>
    </row>
    <row r="178" spans="19:27" ht="15.75" customHeight="1">
      <c r="S178" s="4591">
        <f>'12.2.Нови дейности или обекти'!W127</f>
        <v>0</v>
      </c>
      <c r="T178" s="4592">
        <f>'12.2.Нови дейности или обекти'!AW138</f>
        <v>0</v>
      </c>
      <c r="U178" s="4592">
        <f>'12.2.Нови дейности или обекти'!AX138</f>
        <v>0</v>
      </c>
      <c r="V178" s="4592">
        <f>'12.2.Нови дейности или обекти'!AY138</f>
        <v>0</v>
      </c>
      <c r="W178" s="4592">
        <f>'12.2.Нови дейности или обекти'!AZ138</f>
        <v>0</v>
      </c>
      <c r="X178" s="4592">
        <f>'12.2.Нови дейности или обекти'!BA138</f>
        <v>0</v>
      </c>
      <c r="AA178" s="11"/>
    </row>
    <row r="179" spans="19:27" ht="15.75" customHeight="1">
      <c r="S179" s="4598" t="s">
        <v>1676</v>
      </c>
      <c r="T179" s="4599">
        <f>SUM(T169:T178)</f>
        <v>0</v>
      </c>
      <c r="U179" s="4599">
        <f t="shared" ref="U179:X179" si="115">SUM(U169:U178)</f>
        <v>0</v>
      </c>
      <c r="V179" s="4599">
        <f t="shared" si="115"/>
        <v>0</v>
      </c>
      <c r="W179" s="4599">
        <f t="shared" si="115"/>
        <v>0</v>
      </c>
      <c r="X179" s="4599">
        <f t="shared" si="115"/>
        <v>0</v>
      </c>
      <c r="AA179" s="11"/>
    </row>
  </sheetData>
  <mergeCells count="82">
    <mergeCell ref="S141:S142"/>
    <mergeCell ref="T141:X141"/>
    <mergeCell ref="S154:S155"/>
    <mergeCell ref="T154:X154"/>
    <mergeCell ref="S167:S168"/>
    <mergeCell ref="T167:X167"/>
    <mergeCell ref="A93:G93"/>
    <mergeCell ref="A99:A100"/>
    <mergeCell ref="B99:G99"/>
    <mergeCell ref="AA120:AA121"/>
    <mergeCell ref="T100:Y100"/>
    <mergeCell ref="Z100:Z101"/>
    <mergeCell ref="AA100:AA101"/>
    <mergeCell ref="A101:G101"/>
    <mergeCell ref="A106:G106"/>
    <mergeCell ref="A111:G111"/>
    <mergeCell ref="S100:S101"/>
    <mergeCell ref="A117:A118"/>
    <mergeCell ref="B117:G117"/>
    <mergeCell ref="S120:S121"/>
    <mergeCell ref="T120:Y120"/>
    <mergeCell ref="Z120:Z121"/>
    <mergeCell ref="AA76:AA77"/>
    <mergeCell ref="A81:A82"/>
    <mergeCell ref="B81:G81"/>
    <mergeCell ref="A83:G83"/>
    <mergeCell ref="A88:G88"/>
    <mergeCell ref="A59:G59"/>
    <mergeCell ref="A64:G64"/>
    <mergeCell ref="S76:S77"/>
    <mergeCell ref="T76:Y76"/>
    <mergeCell ref="Z76:Z77"/>
    <mergeCell ref="AS27:AW27"/>
    <mergeCell ref="A28:G28"/>
    <mergeCell ref="A69:G69"/>
    <mergeCell ref="AK35:AK36"/>
    <mergeCell ref="AL35:AP35"/>
    <mergeCell ref="A39:A40"/>
    <mergeCell ref="B39:G39"/>
    <mergeCell ref="A41:G41"/>
    <mergeCell ref="S45:S46"/>
    <mergeCell ref="T45:Y45"/>
    <mergeCell ref="Z45:Z46"/>
    <mergeCell ref="AA45:AA46"/>
    <mergeCell ref="A46:G46"/>
    <mergeCell ref="A51:G51"/>
    <mergeCell ref="A57:A58"/>
    <mergeCell ref="B57:G57"/>
    <mergeCell ref="A15:G15"/>
    <mergeCell ref="AR15:AR16"/>
    <mergeCell ref="AS15:AW15"/>
    <mergeCell ref="A33:G33"/>
    <mergeCell ref="A21:A22"/>
    <mergeCell ref="B21:G21"/>
    <mergeCell ref="AR21:AR22"/>
    <mergeCell ref="AS21:AW21"/>
    <mergeCell ref="A23:G23"/>
    <mergeCell ref="S24:S25"/>
    <mergeCell ref="T24:Y24"/>
    <mergeCell ref="Z24:Z25"/>
    <mergeCell ref="AA24:AA25"/>
    <mergeCell ref="AK27:AK28"/>
    <mergeCell ref="AL27:AP27"/>
    <mergeCell ref="AR27:AR28"/>
    <mergeCell ref="AK19:AK20"/>
    <mergeCell ref="AL19:AP19"/>
    <mergeCell ref="AK3:AK4"/>
    <mergeCell ref="AL3:AP3"/>
    <mergeCell ref="AR3:AR4"/>
    <mergeCell ref="AK11:AK12"/>
    <mergeCell ref="AL11:AP11"/>
    <mergeCell ref="AS3:AW3"/>
    <mergeCell ref="A5:G5"/>
    <mergeCell ref="AR9:AR10"/>
    <mergeCell ref="AS9:AW9"/>
    <mergeCell ref="A10:G10"/>
    <mergeCell ref="A3:A4"/>
    <mergeCell ref="B3:G3"/>
    <mergeCell ref="S3:S4"/>
    <mergeCell ref="T3:Y3"/>
    <mergeCell ref="Z3:Z4"/>
    <mergeCell ref="AA3:AA4"/>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8" sqref="L18"/>
    </sheetView>
  </sheetViews>
  <sheetFormatPr defaultRowHeight="12.7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defaultRowHeight="12.7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2.75"/>
  <sheetData>
    <row r="1" spans="1:1">
      <c r="A1" s="11" t="s">
        <v>1712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6"/>
  <sheetViews>
    <sheetView showGridLines="0" zoomScale="90" zoomScaleNormal="90" zoomScaleSheetLayoutView="100" workbookViewId="0">
      <pane xSplit="4" ySplit="7" topLeftCell="E8" activePane="bottomRight" state="frozen"/>
      <selection pane="topRight" activeCell="E1" sqref="E1"/>
      <selection pane="bottomLeft" activeCell="A7" sqref="A7"/>
      <selection pane="bottomRight" activeCell="E29" sqref="E29"/>
    </sheetView>
  </sheetViews>
  <sheetFormatPr defaultColWidth="9.140625" defaultRowHeight="12.75"/>
  <cols>
    <col min="1" max="1" width="4.7109375" style="1843" customWidth="1"/>
    <col min="2" max="2" width="7.7109375" style="1843" customWidth="1"/>
    <col min="3" max="3" width="62.5703125" style="1697" customWidth="1"/>
    <col min="4" max="4" width="11.7109375" style="1697" customWidth="1"/>
    <col min="5" max="10" width="8.7109375" style="1697" customWidth="1"/>
    <col min="11" max="12" width="9.28515625" style="1697" customWidth="1"/>
    <col min="13" max="13" width="9.140625" style="1697" customWidth="1"/>
    <col min="14" max="14" width="8" style="1697" customWidth="1"/>
    <col min="15" max="15" width="5" style="1697" customWidth="1"/>
    <col min="16" max="16" width="12" style="1697" customWidth="1"/>
    <col min="17" max="21" width="8.7109375" style="1697" customWidth="1"/>
    <col min="22" max="22" width="13.7109375" style="1697" customWidth="1"/>
    <col min="23" max="16384" width="9.140625" style="1697"/>
  </cols>
  <sheetData>
    <row r="1" spans="1:27" ht="13.5">
      <c r="A1" s="1798"/>
      <c r="B1" s="1798"/>
      <c r="C1" s="1799"/>
      <c r="E1" s="1799"/>
      <c r="F1" s="1799"/>
      <c r="G1" s="1799"/>
      <c r="H1" s="1799"/>
      <c r="J1" s="3930"/>
      <c r="L1" s="3930"/>
      <c r="M1" s="5035"/>
      <c r="N1" s="5035"/>
      <c r="O1" s="1510"/>
      <c r="V1" s="3930" t="str">
        <f>'2. Променливи'!R1</f>
        <v>Приложение № 2</v>
      </c>
      <c r="W1" s="3982"/>
    </row>
    <row r="2" spans="1:27" s="1800" customFormat="1" ht="24" customHeight="1">
      <c r="A2" s="5041" t="s">
        <v>1293</v>
      </c>
      <c r="B2" s="5041"/>
      <c r="C2" s="5041"/>
      <c r="D2" s="5041"/>
      <c r="E2" s="5041"/>
      <c r="F2" s="5041"/>
      <c r="G2" s="5041"/>
      <c r="H2" s="5041"/>
      <c r="I2" s="5041"/>
      <c r="J2" s="5041"/>
      <c r="K2" s="5041"/>
      <c r="L2" s="5041"/>
      <c r="M2" s="5041"/>
      <c r="N2" s="5041"/>
      <c r="O2" s="1510"/>
      <c r="V2" s="1776"/>
    </row>
    <row r="3" spans="1:27" s="1800" customFormat="1" ht="18" customHeight="1">
      <c r="A3" s="5041" t="s">
        <v>1292</v>
      </c>
      <c r="B3" s="5041"/>
      <c r="C3" s="5041"/>
      <c r="D3" s="5041"/>
      <c r="E3" s="5041"/>
      <c r="F3" s="5041"/>
      <c r="G3" s="5041"/>
      <c r="H3" s="5041"/>
      <c r="I3" s="5041"/>
      <c r="J3" s="5041"/>
      <c r="K3" s="5041"/>
      <c r="L3" s="5041"/>
      <c r="M3" s="5041"/>
      <c r="N3" s="5041"/>
      <c r="O3" s="1510"/>
    </row>
    <row r="4" spans="1:27" s="1802" customFormat="1" ht="24.75" customHeight="1">
      <c r="A4" s="5017" t="str">
        <f>'1. Обща информация'!A4:D4</f>
        <v>на "ВОДОСНАБДЯВАНЕ И КАНАЛИЗАЦИЯ" ЕООД, гр. БЛАГОЕВГРАД</v>
      </c>
      <c r="B4" s="5017"/>
      <c r="C4" s="5017"/>
      <c r="D4" s="5017"/>
      <c r="E4" s="5017"/>
      <c r="F4" s="5017"/>
      <c r="G4" s="5017"/>
      <c r="H4" s="5017"/>
      <c r="I4" s="5017"/>
      <c r="J4" s="5017"/>
      <c r="K4" s="5017"/>
      <c r="L4" s="5017"/>
      <c r="M4" s="5017"/>
      <c r="N4" s="5017"/>
      <c r="O4" s="1801"/>
    </row>
    <row r="5" spans="1:27" s="1802" customFormat="1" ht="20.25" customHeight="1">
      <c r="A5" s="5017" t="str">
        <f>'1. Обща информация'!A5:D5</f>
        <v>ЕИК по БУЛСТАТ: 811047831</v>
      </c>
      <c r="B5" s="5017"/>
      <c r="C5" s="5017"/>
      <c r="D5" s="5017"/>
      <c r="E5" s="5017"/>
      <c r="F5" s="5017"/>
      <c r="G5" s="5017"/>
      <c r="H5" s="5017"/>
      <c r="I5" s="5017"/>
      <c r="J5" s="5017"/>
      <c r="K5" s="5017"/>
      <c r="L5" s="5017"/>
      <c r="M5" s="5017"/>
      <c r="N5" s="5017"/>
      <c r="O5" s="1801"/>
      <c r="Q5" s="1803"/>
      <c r="R5" s="1803"/>
      <c r="S5" s="1803"/>
      <c r="T5" s="1803"/>
      <c r="U5" s="1803"/>
      <c r="V5" s="1803"/>
    </row>
    <row r="6" spans="1:27" s="1800" customFormat="1" ht="11.25" customHeight="1" thickBot="1">
      <c r="A6" s="1804"/>
      <c r="B6" s="1804"/>
      <c r="C6" s="1805"/>
      <c r="D6" s="1806"/>
      <c r="E6" s="1805"/>
      <c r="F6" s="1805"/>
      <c r="G6" s="1805"/>
      <c r="H6" s="1805"/>
      <c r="I6" s="1805"/>
      <c r="K6" s="662"/>
      <c r="L6" s="662"/>
      <c r="M6" s="1510"/>
      <c r="N6" s="1510"/>
      <c r="O6" s="1510"/>
      <c r="Q6" s="1803"/>
      <c r="R6" s="1803"/>
      <c r="S6" s="1803"/>
      <c r="T6" s="1803"/>
      <c r="U6" s="1803"/>
      <c r="V6" s="1803"/>
    </row>
    <row r="7" spans="1:27" ht="63.75" customHeight="1" thickBot="1">
      <c r="A7" s="335" t="s">
        <v>1</v>
      </c>
      <c r="B7" s="336" t="s">
        <v>773</v>
      </c>
      <c r="C7" s="337" t="s">
        <v>82</v>
      </c>
      <c r="D7" s="338" t="s">
        <v>746</v>
      </c>
      <c r="E7" s="339" t="str">
        <f>'Приложение '!$C12</f>
        <v>2024 г.</v>
      </c>
      <c r="F7" s="338" t="str">
        <f>'Приложение '!$C14</f>
        <v>2027 г.</v>
      </c>
      <c r="G7" s="338" t="str">
        <f>'Приложение '!$C15</f>
        <v>2028 г.</v>
      </c>
      <c r="H7" s="338" t="str">
        <f>'Приложение '!$C16</f>
        <v>2029 г.</v>
      </c>
      <c r="I7" s="338" t="str">
        <f>'Приложение '!$C17</f>
        <v>2030 г.</v>
      </c>
      <c r="J7" s="4486" t="str">
        <f>'Приложение '!$C18</f>
        <v>2031 г.</v>
      </c>
      <c r="K7" s="338" t="str">
        <f>"Качество на информацията за "
&amp;'Приложение '!C12</f>
        <v>Качество на информацията за 2024 г.</v>
      </c>
      <c r="L7" s="338" t="str">
        <f>"Качество на информацията за "
&amp;'Приложение '!C18</f>
        <v>Качество на информацията за 2031 г.</v>
      </c>
      <c r="M7" s="338" t="str">
        <f>CONCATENATE("Индивидуална цел за ",J7)</f>
        <v>Индивидуална цел за 2031 г.</v>
      </c>
      <c r="N7" s="339" t="s">
        <v>780</v>
      </c>
      <c r="O7" s="879"/>
      <c r="P7" s="3929" t="s">
        <v>1313</v>
      </c>
      <c r="Q7" s="4486" t="str">
        <f>CONCATENATE("Разлика ",F7," спрямо ",E7)</f>
        <v>Разлика 2027 г. спрямо 2024 г.</v>
      </c>
      <c r="R7" s="4486" t="str">
        <f t="shared" ref="R7:U7" si="0">CONCATENATE("Разлика ",G7," спрямо ",F7)</f>
        <v>Разлика 2028 г. спрямо 2027 г.</v>
      </c>
      <c r="S7" s="4486" t="str">
        <f t="shared" si="0"/>
        <v>Разлика 2029 г. спрямо 2028 г.</v>
      </c>
      <c r="T7" s="4486" t="str">
        <f t="shared" si="0"/>
        <v>Разлика 2030 г. спрямо 2029 г.</v>
      </c>
      <c r="U7" s="338" t="str">
        <f t="shared" si="0"/>
        <v>Разлика 2031 г. спрямо 2030 г.</v>
      </c>
      <c r="V7" s="4487" t="str">
        <f>CONCATENATE("Отклонение ", J7, " спрямо ", M7)</f>
        <v>Отклонение 2031 г. спрямо Индивидуална цел за 2031 г.</v>
      </c>
    </row>
    <row r="8" spans="1:27" ht="15" thickBot="1">
      <c r="A8" s="5037" t="s">
        <v>1113</v>
      </c>
      <c r="B8" s="5038"/>
      <c r="C8" s="5038"/>
      <c r="D8" s="5038"/>
      <c r="E8" s="5038"/>
      <c r="F8" s="5038"/>
      <c r="G8" s="5038"/>
      <c r="H8" s="5038"/>
      <c r="I8" s="5038"/>
      <c r="J8" s="5038"/>
      <c r="K8" s="5038"/>
      <c r="L8" s="5038"/>
      <c r="M8" s="5038"/>
      <c r="N8" s="5039"/>
      <c r="O8" s="880"/>
      <c r="P8" s="811"/>
      <c r="Q8" s="811"/>
      <c r="R8" s="813"/>
      <c r="S8" s="813"/>
      <c r="T8" s="813"/>
      <c r="U8" s="813"/>
      <c r="V8" s="812"/>
      <c r="X8" s="5040"/>
      <c r="Y8" s="5040"/>
      <c r="Z8" s="5040"/>
      <c r="AA8" s="5040"/>
    </row>
    <row r="9" spans="1:27" ht="14.25">
      <c r="A9" s="1807">
        <v>1</v>
      </c>
      <c r="B9" s="1808" t="s">
        <v>116</v>
      </c>
      <c r="C9" s="4914" t="s">
        <v>751</v>
      </c>
      <c r="D9" s="785" t="s">
        <v>170</v>
      </c>
      <c r="E9" s="3983">
        <f>IFERROR(ROUND('2. Променливи'!E10/'2. Променливи'!E13,4),0)</f>
        <v>0.99690000000000001</v>
      </c>
      <c r="F9" s="3984">
        <f>IFERROR(ROUND('2. Променливи'!F10/'2. Променливи'!F13,4),0)</f>
        <v>0.99739999999999995</v>
      </c>
      <c r="G9" s="3984">
        <f>IFERROR(ROUND('2. Променливи'!G10/'2. Променливи'!G13,4),0)</f>
        <v>0.99739999999999995</v>
      </c>
      <c r="H9" s="3984">
        <f>IFERROR(ROUND('2. Променливи'!H10/'2. Променливи'!H13,4),0)</f>
        <v>0.99739999999999995</v>
      </c>
      <c r="I9" s="3984">
        <f>IFERROR(ROUND('2. Променливи'!I10/'2. Променливи'!I13,4),0)</f>
        <v>0.99739999999999995</v>
      </c>
      <c r="J9" s="3984">
        <f>IFERROR(ROUND('2. Променливи'!J10/'2. Променливи'!J13,4),0)</f>
        <v>0.99739999999999995</v>
      </c>
      <c r="K9" s="934">
        <f>'2. Променливи'!K10</f>
        <v>1</v>
      </c>
      <c r="L9" s="934">
        <f>'2. Променливи'!P10</f>
        <v>0</v>
      </c>
      <c r="M9" s="4910">
        <v>0.99690000000000001</v>
      </c>
      <c r="N9" s="1809">
        <v>0.99</v>
      </c>
      <c r="O9" s="1810"/>
      <c r="P9" s="882" t="s">
        <v>1327</v>
      </c>
      <c r="Q9" s="804">
        <f>F9-E9</f>
        <v>4.9999999999994493E-4</v>
      </c>
      <c r="R9" s="805">
        <f t="shared" ref="R9:U11" si="1">G9-F9</f>
        <v>0</v>
      </c>
      <c r="S9" s="805">
        <f t="shared" si="1"/>
        <v>0</v>
      </c>
      <c r="T9" s="805">
        <f t="shared" si="1"/>
        <v>0</v>
      </c>
      <c r="U9" s="805">
        <f t="shared" si="1"/>
        <v>0</v>
      </c>
      <c r="V9" s="808">
        <f t="shared" ref="V9:V37" si="2">J9-M9</f>
        <v>4.9999999999994493E-4</v>
      </c>
      <c r="W9" s="3985"/>
      <c r="Z9" s="3573"/>
      <c r="AA9" s="3573"/>
    </row>
    <row r="10" spans="1:27" ht="14.25">
      <c r="A10" s="1807">
        <v>2</v>
      </c>
      <c r="B10" s="1811" t="s">
        <v>117</v>
      </c>
      <c r="C10" s="1812" t="s">
        <v>752</v>
      </c>
      <c r="D10" s="785" t="s">
        <v>170</v>
      </c>
      <c r="E10" s="1828">
        <f>IFERROR(ROUND('2. Променливи'!E34/'2. Променливи'!E39,4),"-")</f>
        <v>1</v>
      </c>
      <c r="F10" s="3984">
        <f>IFERROR(ROUND('2. Променливи'!F34/'2. Променливи'!F39,4),"-")</f>
        <v>1</v>
      </c>
      <c r="G10" s="3984">
        <f>IFERROR(ROUND('2. Променливи'!G34/'2. Променливи'!G39,4),"-")</f>
        <v>1</v>
      </c>
      <c r="H10" s="3984">
        <f>IFERROR(ROUND('2. Променливи'!H34/'2. Променливи'!H39,4),"-")</f>
        <v>1</v>
      </c>
      <c r="I10" s="3984">
        <f>IFERROR(ROUND('2. Променливи'!I34/'2. Променливи'!I39,4),"-")</f>
        <v>1</v>
      </c>
      <c r="J10" s="3984">
        <f>IFERROR(ROUND('2. Променливи'!J34/'2. Променливи'!J39,4),"-")</f>
        <v>1</v>
      </c>
      <c r="K10" s="934">
        <f>ROUND(AVERAGE('2. Променливи'!K34,'2. Променливи'!K39),0)</f>
        <v>1</v>
      </c>
      <c r="L10" s="934">
        <f>ROUND(AVERAGE('2. Променливи'!P34,'2. Променливи'!P39),0)</f>
        <v>0</v>
      </c>
      <c r="M10" s="412">
        <v>1</v>
      </c>
      <c r="N10" s="1813">
        <v>0.99</v>
      </c>
      <c r="O10" s="1810"/>
      <c r="P10" s="884" t="s">
        <v>1327</v>
      </c>
      <c r="Q10" s="806">
        <f>IFERROR(F10-E10,"-")</f>
        <v>0</v>
      </c>
      <c r="R10" s="807">
        <f>IFERROR(G10-F10,"-")</f>
        <v>0</v>
      </c>
      <c r="S10" s="807">
        <f>IFERROR(H10-G10,"-")</f>
        <v>0</v>
      </c>
      <c r="T10" s="807">
        <f>IFERROR(I10-H10,"-")</f>
        <v>0</v>
      </c>
      <c r="U10" s="807">
        <f>IFERROR(J10-I10,"-")</f>
        <v>0</v>
      </c>
      <c r="V10" s="809">
        <f>IFERROR(J10-M10,"-")</f>
        <v>0</v>
      </c>
      <c r="Z10" s="3573"/>
      <c r="AA10" s="3573"/>
    </row>
    <row r="11" spans="1:27" ht="14.25">
      <c r="A11" s="1807">
        <v>3</v>
      </c>
      <c r="B11" s="1811" t="s">
        <v>118</v>
      </c>
      <c r="C11" s="1812" t="s">
        <v>753</v>
      </c>
      <c r="D11" s="785" t="s">
        <v>170</v>
      </c>
      <c r="E11" s="1828">
        <f>IFERROR(ROUND('2. Променливи'!E44/'2. Променливи'!E49,4),0)</f>
        <v>0.999</v>
      </c>
      <c r="F11" s="3984">
        <f>IFERROR(ROUND('2. Променливи'!F44/'2. Променливи'!F49,4),0)</f>
        <v>0.99909999999999999</v>
      </c>
      <c r="G11" s="3984">
        <f>IFERROR(ROUND('2. Променливи'!G44/'2. Променливи'!G49,4),0)</f>
        <v>0.99919999999999998</v>
      </c>
      <c r="H11" s="3984">
        <f>IFERROR(ROUND('2. Променливи'!H44/'2. Променливи'!H49,4),0)</f>
        <v>0.99929999999999997</v>
      </c>
      <c r="I11" s="3984">
        <f>IFERROR(ROUND('2. Променливи'!I44/'2. Променливи'!I49,4),0)</f>
        <v>0.99939999999999996</v>
      </c>
      <c r="J11" s="3984">
        <f>IFERROR(ROUND('2. Променливи'!J44/'2. Променливи'!J49,4),0)</f>
        <v>0.99960000000000004</v>
      </c>
      <c r="K11" s="934">
        <f>ROUND(AVERAGE('2. Променливи'!K44,'2. Променливи'!K49),0)</f>
        <v>1</v>
      </c>
      <c r="L11" s="934">
        <f>ROUND(AVERAGE('2. Променливи'!P44,'2. Променливи'!P49),0)</f>
        <v>0</v>
      </c>
      <c r="M11" s="402">
        <v>0.99960000000000004</v>
      </c>
      <c r="N11" s="1813">
        <v>0.98</v>
      </c>
      <c r="O11" s="1810"/>
      <c r="P11" s="885" t="s">
        <v>1327</v>
      </c>
      <c r="Q11" s="806">
        <f t="shared" ref="Q11" si="3">F11-E11</f>
        <v>9.9999999999988987E-5</v>
      </c>
      <c r="R11" s="807">
        <f t="shared" si="1"/>
        <v>9.9999999999988987E-5</v>
      </c>
      <c r="S11" s="807">
        <f t="shared" si="1"/>
        <v>9.9999999999988987E-5</v>
      </c>
      <c r="T11" s="807">
        <f t="shared" si="1"/>
        <v>9.9999999999988987E-5</v>
      </c>
      <c r="U11" s="807">
        <f t="shared" si="1"/>
        <v>2.00000000000089E-4</v>
      </c>
      <c r="V11" s="809">
        <f t="shared" si="2"/>
        <v>0</v>
      </c>
      <c r="Z11" s="3573"/>
      <c r="AA11" s="3573"/>
    </row>
    <row r="12" spans="1:27" ht="14.25">
      <c r="A12" s="1807">
        <v>4</v>
      </c>
      <c r="B12" s="1811" t="s">
        <v>119</v>
      </c>
      <c r="C12" s="1812" t="s">
        <v>754</v>
      </c>
      <c r="D12" s="785" t="s">
        <v>170</v>
      </c>
      <c r="E12" s="1828">
        <f>IFERROR(ROUND('2. Променливи'!E54/'2. Променливи'!E55,4),0)</f>
        <v>1</v>
      </c>
      <c r="F12" s="3984">
        <f>IFERROR(ROUND('2. Променливи'!F54/'2. Променливи'!F55,4),0)</f>
        <v>1</v>
      </c>
      <c r="G12" s="3984">
        <f>IFERROR(ROUND('2. Променливи'!G54/'2. Променливи'!G55,4),0)</f>
        <v>1</v>
      </c>
      <c r="H12" s="3984">
        <f>IFERROR(ROUND('2. Променливи'!H54/'2. Променливи'!H55,4),0)</f>
        <v>1</v>
      </c>
      <c r="I12" s="3984">
        <f>IFERROR(ROUND('2. Променливи'!I54/'2. Променливи'!I55,4),0)</f>
        <v>1</v>
      </c>
      <c r="J12" s="3984">
        <f>IFERROR(ROUND('2. Променливи'!J54/'2. Променливи'!J55,4),0)</f>
        <v>1</v>
      </c>
      <c r="K12" s="934">
        <f>IFERROR(ROUND(AVERAGE('2. Променливи'!K54,'2. Променливи'!K55),0),0)</f>
        <v>1</v>
      </c>
      <c r="L12" s="934">
        <f>IFERROR(ROUND(AVERAGE('2. Променливи'!P54,'2. Променливи'!P55),0),0)</f>
        <v>0</v>
      </c>
      <c r="M12" s="412">
        <v>1</v>
      </c>
      <c r="N12" s="1813">
        <v>1</v>
      </c>
      <c r="O12" s="1810"/>
      <c r="P12" s="884" t="s">
        <v>1327</v>
      </c>
      <c r="Q12" s="806">
        <f t="shared" ref="Q12:Q37" si="4">F12-E12</f>
        <v>0</v>
      </c>
      <c r="R12" s="807">
        <f t="shared" ref="R12:R37" si="5">G12-F12</f>
        <v>0</v>
      </c>
      <c r="S12" s="807">
        <f t="shared" ref="S12:S37" si="6">H12-G12</f>
        <v>0</v>
      </c>
      <c r="T12" s="807">
        <f t="shared" ref="T12:T37" si="7">I12-H12</f>
        <v>0</v>
      </c>
      <c r="U12" s="807">
        <f t="shared" ref="U12:U37" si="8">J12-I12</f>
        <v>0</v>
      </c>
      <c r="V12" s="809">
        <f t="shared" si="2"/>
        <v>0</v>
      </c>
      <c r="Z12" s="3573"/>
      <c r="AA12" s="3573"/>
    </row>
    <row r="13" spans="1:27" ht="14.25">
      <c r="A13" s="1807">
        <v>5</v>
      </c>
      <c r="B13" s="1811" t="s">
        <v>120</v>
      </c>
      <c r="C13" s="1812" t="s">
        <v>755</v>
      </c>
      <c r="D13" s="785" t="s">
        <v>1033</v>
      </c>
      <c r="E13" s="3986">
        <f>IFERROR(ROUND('2. Променливи'!E58/('2. Променливи'!E10*24*365)*1000,3),0)</f>
        <v>1.175</v>
      </c>
      <c r="F13" s="3986">
        <f>IFERROR(ROUND('2. Променливи'!F58/('2. Променливи'!F10*24*365)*1000,3),0)</f>
        <v>1.1539999999999999</v>
      </c>
      <c r="G13" s="3986">
        <f>IFERROR(ROUND('2. Променливи'!G58/('2. Променливи'!G10*24*365)*1000,3),0)</f>
        <v>1.149</v>
      </c>
      <c r="H13" s="3986">
        <f>IFERROR(ROUND('2. Променливи'!H58/('2. Променливи'!H10*24*365)*1000,3),0)</f>
        <v>1.1419999999999999</v>
      </c>
      <c r="I13" s="3986">
        <f>IFERROR(ROUND('2. Променливи'!I58/('2. Променливи'!I10*24*365)*1000,3),0)</f>
        <v>1.1399999999999999</v>
      </c>
      <c r="J13" s="3986">
        <f>IFERROR(ROUND('2. Променливи'!J58/('2. Променливи'!J10*24*365)*1000,3),0)</f>
        <v>1.0780000000000001</v>
      </c>
      <c r="K13" s="934">
        <f>IFERROR(ROUND(AVERAGE('2. Променливи'!K58,'2. Променливи'!K10),0),0)</f>
        <v>1</v>
      </c>
      <c r="L13" s="934">
        <f>IFERROR(ROUND(AVERAGE('2. Променливи'!P58,'2. Променливи'!P10),0),0)</f>
        <v>0</v>
      </c>
      <c r="M13" s="84">
        <v>1.08</v>
      </c>
      <c r="N13" s="1814">
        <v>8</v>
      </c>
      <c r="O13" s="1815"/>
      <c r="P13" s="881" t="s">
        <v>1328</v>
      </c>
      <c r="Q13" s="1456">
        <f t="shared" si="4"/>
        <v>-2.100000000000013E-2</v>
      </c>
      <c r="R13" s="1457">
        <f t="shared" si="5"/>
        <v>-4.9999999999998934E-3</v>
      </c>
      <c r="S13" s="1457">
        <f t="shared" si="6"/>
        <v>-7.0000000000001172E-3</v>
      </c>
      <c r="T13" s="1457">
        <f t="shared" si="7"/>
        <v>-2.0000000000000018E-3</v>
      </c>
      <c r="U13" s="3596">
        <f t="shared" si="8"/>
        <v>-6.1999999999999833E-2</v>
      </c>
      <c r="V13" s="1457">
        <f t="shared" si="2"/>
        <v>-2.0000000000000018E-3</v>
      </c>
      <c r="Z13" s="3573"/>
      <c r="AA13" s="3573"/>
    </row>
    <row r="14" spans="1:27" ht="14.25">
      <c r="A14" s="1807">
        <v>6</v>
      </c>
      <c r="B14" s="1811" t="s">
        <v>744</v>
      </c>
      <c r="C14" s="1812" t="s">
        <v>756</v>
      </c>
      <c r="D14" s="785" t="s">
        <v>1040</v>
      </c>
      <c r="E14" s="1823">
        <f>IFERROR(ROUND('2. Променливи'!E65/'2. Променливи'!E26/365,2),0)</f>
        <v>11.24</v>
      </c>
      <c r="F14" s="1823">
        <f>IFERROR(ROUND('2. Променливи'!F65/'2. Променливи'!F26/365,2),0)</f>
        <v>11.11</v>
      </c>
      <c r="G14" s="1823">
        <f>IFERROR(ROUND('2. Променливи'!G65/'2. Променливи'!G26/365,2),0)</f>
        <v>10.8</v>
      </c>
      <c r="H14" s="1823">
        <f>IFERROR(ROUND('2. Променливи'!H65/'2. Променливи'!H26/365,2),0)</f>
        <v>10.42</v>
      </c>
      <c r="I14" s="1823">
        <f>IFERROR(ROUND('2. Променливи'!I65/'2. Променливи'!I26/365,2),0)</f>
        <v>10.06</v>
      </c>
      <c r="J14" s="1823">
        <f>IFERROR(ROUND('2. Променливи'!J65/'2. Променливи'!J26/365,2),0)</f>
        <v>9.67</v>
      </c>
      <c r="K14" s="935">
        <f>IFERROR(ROUND(AVERAGE('2. Променливи'!K65,'2. Променливи'!K26),0),0)</f>
        <v>1</v>
      </c>
      <c r="L14" s="936">
        <f>IFERROR(ROUND(AVERAGE('2. Променливи'!P65,'2. Променливи'!P26),0),0)</f>
        <v>0</v>
      </c>
      <c r="M14" s="84">
        <v>10.66</v>
      </c>
      <c r="N14" s="1814">
        <v>15</v>
      </c>
      <c r="O14" s="1815"/>
      <c r="P14" s="881" t="s">
        <v>1328</v>
      </c>
      <c r="Q14" s="1454">
        <f t="shared" si="4"/>
        <v>-0.13000000000000078</v>
      </c>
      <c r="R14" s="1455">
        <f t="shared" si="5"/>
        <v>-0.30999999999999872</v>
      </c>
      <c r="S14" s="1455">
        <f t="shared" si="6"/>
        <v>-0.38000000000000078</v>
      </c>
      <c r="T14" s="1455">
        <f t="shared" si="7"/>
        <v>-0.35999999999999943</v>
      </c>
      <c r="U14" s="1455">
        <f t="shared" si="8"/>
        <v>-0.39000000000000057</v>
      </c>
      <c r="V14" s="3987">
        <f t="shared" si="2"/>
        <v>-0.99000000000000021</v>
      </c>
      <c r="Z14" s="3573"/>
      <c r="AA14" s="3573"/>
    </row>
    <row r="15" spans="1:27" ht="14.25">
      <c r="A15" s="1807">
        <v>7</v>
      </c>
      <c r="B15" s="1811" t="s">
        <v>745</v>
      </c>
      <c r="C15" s="1812" t="s">
        <v>756</v>
      </c>
      <c r="D15" s="785" t="s">
        <v>170</v>
      </c>
      <c r="E15" s="1828">
        <f>IFERROR(ROUND('2. Променливи'!E65/'2. Променливи'!E63,4),0)</f>
        <v>0.38769999999999999</v>
      </c>
      <c r="F15" s="1828">
        <f>IFERROR(ROUND('2. Променливи'!F65/'2. Променливи'!F63,4),0)</f>
        <v>0.38769999999999999</v>
      </c>
      <c r="G15" s="1828">
        <f>IFERROR(ROUND('2. Променливи'!G65/'2. Променливи'!G63,4),0)</f>
        <v>0.38750000000000001</v>
      </c>
      <c r="H15" s="1828">
        <f>IFERROR(ROUND('2. Променливи'!H65/'2. Променливи'!H63,4),0)</f>
        <v>0.38690000000000002</v>
      </c>
      <c r="I15" s="1828">
        <f>IFERROR(ROUND('2. Променливи'!I65/'2. Променливи'!I63,4),0)</f>
        <v>0.38569999999999999</v>
      </c>
      <c r="J15" s="1828">
        <f>IFERROR(ROUND('2. Променливи'!J65/'2. Променливи'!J63,4),0)</f>
        <v>0.38429999999999997</v>
      </c>
      <c r="K15" s="935">
        <f>IFERROR(ROUND(AVERAGE('2. Променливи'!K65,'2. Променливи'!K63),0),0)</f>
        <v>1</v>
      </c>
      <c r="L15" s="935">
        <f>IFERROR(ROUND(AVERAGE('2. Променливи'!P65,'2. Променливи'!P63),0),0)</f>
        <v>0</v>
      </c>
      <c r="M15" s="402">
        <v>0.3841</v>
      </c>
      <c r="N15" s="1813">
        <v>0.49</v>
      </c>
      <c r="O15" s="1810"/>
      <c r="P15" s="881" t="s">
        <v>1328</v>
      </c>
      <c r="Q15" s="806">
        <f t="shared" si="4"/>
        <v>0</v>
      </c>
      <c r="R15" s="807">
        <f t="shared" si="5"/>
        <v>-1.9999999999997797E-4</v>
      </c>
      <c r="S15" s="807">
        <f t="shared" si="6"/>
        <v>-5.9999999999998943E-4</v>
      </c>
      <c r="T15" s="807">
        <f t="shared" si="7"/>
        <v>-1.2000000000000344E-3</v>
      </c>
      <c r="U15" s="807">
        <f t="shared" si="8"/>
        <v>-1.4000000000000123E-3</v>
      </c>
      <c r="V15" s="809">
        <f t="shared" si="2"/>
        <v>1.9999999999997797E-4</v>
      </c>
      <c r="Z15" s="3573"/>
      <c r="AA15" s="3573"/>
    </row>
    <row r="16" spans="1:27" ht="14.25">
      <c r="A16" s="1807">
        <v>8</v>
      </c>
      <c r="B16" s="1811" t="s">
        <v>121</v>
      </c>
      <c r="C16" s="1812" t="s">
        <v>757</v>
      </c>
      <c r="D16" s="785" t="s">
        <v>749</v>
      </c>
      <c r="E16" s="1823">
        <f>IFERROR(ROUND('2. Променливи'!E59/'2. Променливи'!E25*100,2),0)</f>
        <v>64.290000000000006</v>
      </c>
      <c r="F16" s="1823">
        <f>IFERROR(ROUND('2. Променливи'!F59/'2. Променливи'!F25*100,2),0)</f>
        <v>62.04</v>
      </c>
      <c r="G16" s="1823">
        <f>IFERROR(ROUND('2. Променливи'!G59/'2. Променливи'!G25*100,2),0)</f>
        <v>60.91</v>
      </c>
      <c r="H16" s="1823">
        <f>IFERROR(ROUND('2. Променливи'!H59/'2. Променливи'!H25*100,2),0)</f>
        <v>60.35</v>
      </c>
      <c r="I16" s="1823">
        <f>IFERROR(ROUND('2. Променливи'!I59/'2. Променливи'!I25*100,2),0)</f>
        <v>59.79</v>
      </c>
      <c r="J16" s="1823">
        <f>IFERROR(ROUND('2. Променливи'!J59/'2. Променливи'!J25*100,2),0)</f>
        <v>59.28</v>
      </c>
      <c r="K16" s="935">
        <f>IFERROR(ROUND(AVERAGE('2. Променливи'!K59,'2. Променливи'!K25),0),0)</f>
        <v>1</v>
      </c>
      <c r="L16" s="935">
        <f>IFERROR(ROUND(AVERAGE('2. Променливи'!P59,'2. Променливи'!P25),0),0)</f>
        <v>0</v>
      </c>
      <c r="M16" s="84">
        <v>59.32</v>
      </c>
      <c r="N16" s="1814">
        <v>60</v>
      </c>
      <c r="O16" s="1815"/>
      <c r="P16" s="881" t="s">
        <v>1328</v>
      </c>
      <c r="Q16" s="1454">
        <f t="shared" si="4"/>
        <v>-2.2500000000000071</v>
      </c>
      <c r="R16" s="1455">
        <f t="shared" si="5"/>
        <v>-1.1300000000000026</v>
      </c>
      <c r="S16" s="1455">
        <f t="shared" si="6"/>
        <v>-0.55999999999999517</v>
      </c>
      <c r="T16" s="1455">
        <f t="shared" si="7"/>
        <v>-0.56000000000000227</v>
      </c>
      <c r="U16" s="1455">
        <f t="shared" si="8"/>
        <v>-0.50999999999999801</v>
      </c>
      <c r="V16" s="1461">
        <f t="shared" si="2"/>
        <v>-3.9999999999999147E-2</v>
      </c>
      <c r="Z16" s="3573"/>
      <c r="AA16" s="3573"/>
    </row>
    <row r="17" spans="1:27" ht="14.25">
      <c r="A17" s="1807">
        <v>9</v>
      </c>
      <c r="B17" s="1811" t="s">
        <v>1248</v>
      </c>
      <c r="C17" s="1816" t="s">
        <v>758</v>
      </c>
      <c r="D17" s="785" t="s">
        <v>170</v>
      </c>
      <c r="E17" s="1828">
        <f>IFERROR(ROUND('2. Променливи'!E73/'2. Променливи'!E27,4),0)</f>
        <v>0.5696</v>
      </c>
      <c r="F17" s="1828">
        <f>IFERROR(ROUND('2. Променливи'!F73/'2. Променливи'!F27,4),0)</f>
        <v>0.75949999999999995</v>
      </c>
      <c r="G17" s="1828">
        <f>IFERROR(ROUND('2. Променливи'!G73/'2. Променливи'!G27,4),0)</f>
        <v>0.79110000000000003</v>
      </c>
      <c r="H17" s="1828">
        <f>IFERROR(ROUND('2. Променливи'!H73/'2. Променливи'!H27,4),0)</f>
        <v>0.85440000000000005</v>
      </c>
      <c r="I17" s="1828">
        <f>IFERROR(ROUND('2. Променливи'!I73/'2. Променливи'!I27,4),0)</f>
        <v>0.8861</v>
      </c>
      <c r="J17" s="1828">
        <f>IFERROR(ROUND('2. Променливи'!J73/'2. Променливи'!J27,4),0)</f>
        <v>1</v>
      </c>
      <c r="K17" s="935">
        <f>IFERROR(ROUND(AVERAGE('2. Променливи'!K73,'2. Променливи'!K27),0),0)</f>
        <v>1</v>
      </c>
      <c r="L17" s="935">
        <f>IFERROR(ROUND(AVERAGE('2. Променливи'!P73,'2. Променливи'!P27),0),0)</f>
        <v>0</v>
      </c>
      <c r="M17" s="412">
        <v>1</v>
      </c>
      <c r="N17" s="1813">
        <v>1</v>
      </c>
      <c r="O17" s="1810"/>
      <c r="P17" s="881" t="s">
        <v>1327</v>
      </c>
      <c r="Q17" s="806">
        <f t="shared" si="4"/>
        <v>0.18989999999999996</v>
      </c>
      <c r="R17" s="807">
        <f t="shared" si="5"/>
        <v>3.1600000000000072E-2</v>
      </c>
      <c r="S17" s="807">
        <f t="shared" si="6"/>
        <v>6.3300000000000023E-2</v>
      </c>
      <c r="T17" s="807">
        <f t="shared" si="7"/>
        <v>3.169999999999995E-2</v>
      </c>
      <c r="U17" s="807">
        <f t="shared" si="8"/>
        <v>0.1139</v>
      </c>
      <c r="V17" s="809">
        <f t="shared" si="2"/>
        <v>0</v>
      </c>
      <c r="Z17" s="3573"/>
      <c r="AA17" s="3573"/>
    </row>
    <row r="18" spans="1:27" ht="14.25">
      <c r="A18" s="1807">
        <v>10</v>
      </c>
      <c r="B18" s="1811" t="s">
        <v>122</v>
      </c>
      <c r="C18" s="1812" t="s">
        <v>759</v>
      </c>
      <c r="D18" s="785" t="s">
        <v>170</v>
      </c>
      <c r="E18" s="1828">
        <f>IFERROR(ROUND('2. Променливи'!E11/'2. Променливи'!E13,4),"-")</f>
        <v>0.79269999999999996</v>
      </c>
      <c r="F18" s="1828">
        <f>IFERROR(ROUND('2. Променливи'!F11/'2. Променливи'!F13,4),"-")</f>
        <v>0.79510000000000003</v>
      </c>
      <c r="G18" s="1828">
        <f>IFERROR(ROUND('2. Променливи'!G11/'2. Променливи'!G13,4),"-")</f>
        <v>0.79510000000000003</v>
      </c>
      <c r="H18" s="1828">
        <f>IFERROR(ROUND('2. Променливи'!H11/'2. Променливи'!H13,4),"-")</f>
        <v>0.79510000000000003</v>
      </c>
      <c r="I18" s="1828">
        <f>IFERROR(ROUND('2. Променливи'!I11/'2. Променливи'!I13,4),"-")</f>
        <v>0.79520000000000002</v>
      </c>
      <c r="J18" s="1828">
        <f>IFERROR(ROUND('2. Променливи'!J11/'2. Променливи'!J13,4),"-")</f>
        <v>0.79520000000000002</v>
      </c>
      <c r="K18" s="935">
        <f>'2. Променливи'!K11</f>
        <v>1</v>
      </c>
      <c r="L18" s="935">
        <f>'2. Променливи'!P11</f>
        <v>0</v>
      </c>
      <c r="M18" s="402">
        <v>0.79510000000000003</v>
      </c>
      <c r="N18" s="1813">
        <v>0.75</v>
      </c>
      <c r="O18" s="1810"/>
      <c r="P18" s="881" t="s">
        <v>1327</v>
      </c>
      <c r="Q18" s="806">
        <f t="shared" ref="Q18:U21" si="9">IFERROR(F18-E18,"-")</f>
        <v>2.4000000000000687E-3</v>
      </c>
      <c r="R18" s="807">
        <f t="shared" si="9"/>
        <v>0</v>
      </c>
      <c r="S18" s="807">
        <f t="shared" si="9"/>
        <v>0</v>
      </c>
      <c r="T18" s="807">
        <f t="shared" si="9"/>
        <v>9.9999999999988987E-5</v>
      </c>
      <c r="U18" s="807">
        <f t="shared" si="9"/>
        <v>0</v>
      </c>
      <c r="V18" s="809">
        <f>IFERROR(J18-M18,"-")</f>
        <v>9.9999999999988987E-5</v>
      </c>
      <c r="Z18" s="3573"/>
      <c r="AA18" s="3573"/>
    </row>
    <row r="19" spans="1:27" ht="14.25">
      <c r="A19" s="1807">
        <v>11</v>
      </c>
      <c r="B19" s="1811" t="s">
        <v>123</v>
      </c>
      <c r="C19" s="1812" t="s">
        <v>760</v>
      </c>
      <c r="D19" s="785" t="s">
        <v>170</v>
      </c>
      <c r="E19" s="1828">
        <f>IFERROR(ROUND('2. Променливи'!E12/'2. Променливи'!E13,4),"-")</f>
        <v>0.443</v>
      </c>
      <c r="F19" s="1828">
        <f>IFERROR(ROUND('2. Променливи'!F12/'2. Променливи'!F13,4),"-")</f>
        <v>0.44330000000000003</v>
      </c>
      <c r="G19" s="1828">
        <f>IFERROR(ROUND('2. Променливи'!G12/'2. Променливи'!G13,4),"-")</f>
        <v>0.44330000000000003</v>
      </c>
      <c r="H19" s="1828">
        <f>IFERROR(ROUND('2. Променливи'!H12/'2. Променливи'!H13,4),"-")</f>
        <v>0.44330000000000003</v>
      </c>
      <c r="I19" s="1828">
        <f>IFERROR(ROUND('2. Променливи'!I12/'2. Променливи'!I13,4),"-")</f>
        <v>0.44330000000000003</v>
      </c>
      <c r="J19" s="3988">
        <f>IFERROR(ROUND('2. Променливи'!J12/'2. Променливи'!J13,4),"-")</f>
        <v>0.44330000000000003</v>
      </c>
      <c r="K19" s="935">
        <f>'2. Променливи'!K12</f>
        <v>1</v>
      </c>
      <c r="L19" s="935">
        <f>'2. Променливи'!P12</f>
        <v>0</v>
      </c>
      <c r="M19" s="402">
        <v>0.44330000000000003</v>
      </c>
      <c r="N19" s="1813">
        <v>0.75</v>
      </c>
      <c r="O19" s="1810"/>
      <c r="P19" s="881" t="s">
        <v>1327</v>
      </c>
      <c r="Q19" s="806">
        <f t="shared" si="9"/>
        <v>3.0000000000002247E-4</v>
      </c>
      <c r="R19" s="807">
        <f t="shared" si="9"/>
        <v>0</v>
      </c>
      <c r="S19" s="807">
        <f t="shared" si="9"/>
        <v>0</v>
      </c>
      <c r="T19" s="807">
        <f t="shared" si="9"/>
        <v>0</v>
      </c>
      <c r="U19" s="807">
        <f t="shared" si="9"/>
        <v>0</v>
      </c>
      <c r="V19" s="809">
        <f>IFERROR(J19-M19,"-")</f>
        <v>0</v>
      </c>
      <c r="Z19" s="3573"/>
      <c r="AA19" s="3573"/>
    </row>
    <row r="20" spans="1:27" ht="14.25">
      <c r="A20" s="1807">
        <v>12</v>
      </c>
      <c r="B20" s="1811" t="s">
        <v>124</v>
      </c>
      <c r="C20" s="1812" t="s">
        <v>761</v>
      </c>
      <c r="D20" s="785" t="s">
        <v>170</v>
      </c>
      <c r="E20" s="1828">
        <f>IFERROR(ROUND('2. Променливи'!E56/'2. Променливи'!E57,4),"-")</f>
        <v>0.1128</v>
      </c>
      <c r="F20" s="1828">
        <f>IFERROR(ROUND('2. Променливи'!F56/'2. Променливи'!F57,4),"-")</f>
        <v>0.122</v>
      </c>
      <c r="G20" s="1828">
        <f>IFERROR(ROUND('2. Променливи'!G56/'2. Променливи'!G57,4),"-")</f>
        <v>0.12959999999999999</v>
      </c>
      <c r="H20" s="1828">
        <f>IFERROR(ROUND('2. Променливи'!H56/'2. Променливи'!H57,4),"-")</f>
        <v>0.13719999999999999</v>
      </c>
      <c r="I20" s="1828">
        <f>IFERROR(ROUND('2. Променливи'!I56/'2. Променливи'!I57,4),"-")</f>
        <v>0.14480000000000001</v>
      </c>
      <c r="J20" s="1828">
        <f>IFERROR(ROUND('2. Променливи'!J56/'2. Променливи'!J57,4),"-")</f>
        <v>0.15240000000000001</v>
      </c>
      <c r="K20" s="935">
        <f>IFERROR(ROUND(AVERAGE('2. Променливи'!K56,'2. Променливи'!K57),0),0)</f>
        <v>1</v>
      </c>
      <c r="L20" s="935">
        <f>IFERROR(ROUND(AVERAGE('2. Променливи'!P56,'2. Променливи'!P57),0),0)</f>
        <v>0</v>
      </c>
      <c r="M20" s="402">
        <v>0.87280000000000002</v>
      </c>
      <c r="N20" s="1813">
        <v>0.93</v>
      </c>
      <c r="O20" s="1810"/>
      <c r="P20" s="881" t="s">
        <v>1327</v>
      </c>
      <c r="Q20" s="806">
        <f t="shared" si="9"/>
        <v>9.1999999999999998E-3</v>
      </c>
      <c r="R20" s="807">
        <f t="shared" si="9"/>
        <v>7.5999999999999956E-3</v>
      </c>
      <c r="S20" s="807">
        <f t="shared" si="9"/>
        <v>7.5999999999999956E-3</v>
      </c>
      <c r="T20" s="807">
        <f t="shared" si="9"/>
        <v>7.6000000000000234E-3</v>
      </c>
      <c r="U20" s="807">
        <f t="shared" si="9"/>
        <v>7.5999999999999956E-3</v>
      </c>
      <c r="V20" s="809">
        <f>IFERROR(J20-M20,"-")</f>
        <v>-0.72040000000000004</v>
      </c>
      <c r="Z20" s="3573"/>
      <c r="AA20" s="3573"/>
    </row>
    <row r="21" spans="1:27" ht="14.25">
      <c r="A21" s="1807">
        <v>13</v>
      </c>
      <c r="B21" s="1811" t="s">
        <v>125</v>
      </c>
      <c r="C21" s="1812" t="s">
        <v>762</v>
      </c>
      <c r="D21" s="785" t="s">
        <v>749</v>
      </c>
      <c r="E21" s="3989">
        <f>IFERROR(ROUND(('2. Променливи'!E60+'2. Променливи'!E61+'2. Променливи'!E62)/'2. Променливи'!E31*100,2),"-")</f>
        <v>72.86</v>
      </c>
      <c r="F21" s="3989">
        <f>IFERROR(ROUND(('2. Променливи'!F60+'2. Променливи'!F61+'2. Променливи'!F62)/'2. Променливи'!F31*100,2),"-")</f>
        <v>65.53</v>
      </c>
      <c r="G21" s="3989">
        <f>IFERROR(ROUND(('2. Променливи'!G60+'2. Променливи'!G61+'2. Променливи'!G62)/'2. Променливи'!G31*100,2),"-")</f>
        <v>59.47</v>
      </c>
      <c r="H21" s="3989">
        <f>IFERROR(ROUND(('2. Променливи'!H60+'2. Променливи'!H61+'2. Променливи'!H62)/'2. Променливи'!H31*100,2),"-")</f>
        <v>53.4</v>
      </c>
      <c r="I21" s="3989">
        <f>IFERROR(ROUND(('2. Променливи'!I60+'2. Променливи'!I61+'2. Променливи'!I62)/'2. Променливи'!I31*100,2),"-")</f>
        <v>47.33</v>
      </c>
      <c r="J21" s="3989">
        <f>IFERROR(ROUND(('2. Променливи'!J60+'2. Променливи'!J61+'2. Променливи'!J62)/'2. Променливи'!J31*100,2),"-")</f>
        <v>41.26</v>
      </c>
      <c r="K21" s="935">
        <f>IFERROR(ROUND(AVERAGE('2. Променливи'!K60,'2. Променливи'!K61,'2. Променливи'!K62,'2. Променливи'!K31),0),0)</f>
        <v>1</v>
      </c>
      <c r="L21" s="935">
        <f>IFERROR(ROUND(AVERAGE('2. Променливи'!P60,'2. Променливи'!P61,'2. Променливи'!P62,'2. Променливи'!P31),0),0)</f>
        <v>0</v>
      </c>
      <c r="M21" s="84">
        <v>27.38</v>
      </c>
      <c r="N21" s="1814">
        <v>120</v>
      </c>
      <c r="O21" s="1815"/>
      <c r="P21" s="881" t="s">
        <v>1328</v>
      </c>
      <c r="Q21" s="1454">
        <f t="shared" si="9"/>
        <v>-7.3299999999999983</v>
      </c>
      <c r="R21" s="1455">
        <f t="shared" si="9"/>
        <v>-6.0600000000000023</v>
      </c>
      <c r="S21" s="1455">
        <f t="shared" si="9"/>
        <v>-6.07</v>
      </c>
      <c r="T21" s="1455">
        <f t="shared" si="9"/>
        <v>-6.07</v>
      </c>
      <c r="U21" s="1455">
        <f t="shared" si="9"/>
        <v>-6.07</v>
      </c>
      <c r="V21" s="810">
        <f>IFERROR(J21-M21,"-")</f>
        <v>13.879999999999999</v>
      </c>
      <c r="Z21" s="3573"/>
      <c r="AA21" s="3573"/>
    </row>
    <row r="22" spans="1:27" ht="18" customHeight="1">
      <c r="A22" s="1807">
        <v>14</v>
      </c>
      <c r="B22" s="1811" t="s">
        <v>126</v>
      </c>
      <c r="C22" s="1816" t="s">
        <v>763</v>
      </c>
      <c r="D22" s="785" t="s">
        <v>750</v>
      </c>
      <c r="E22" s="3990">
        <f>IFERROR(ROUND('2. Променливи'!E105/'2. Променливи'!E14*10000,3),0)</f>
        <v>0.92100000000000004</v>
      </c>
      <c r="F22" s="3990">
        <f>IFERROR(ROUND('2. Променливи'!F105/'2. Променливи'!F14*10000,3),0)</f>
        <v>0.86299999999999999</v>
      </c>
      <c r="G22" s="3991">
        <f>IFERROR(ROUND('2. Променливи'!G105/'2. Променливи'!G14*10000,3),0)</f>
        <v>0.79900000000000004</v>
      </c>
      <c r="H22" s="3991">
        <f>IFERROR(ROUND('2. Променливи'!H105/'2. Променливи'!H14*10000,3),0)</f>
        <v>0.73199999999999998</v>
      </c>
      <c r="I22" s="3991">
        <f>IFERROR(ROUND('2. Променливи'!I105/'2. Променливи'!I14*10000,3),0)</f>
        <v>0.65900000000000003</v>
      </c>
      <c r="J22" s="3991">
        <f>IFERROR(ROUND('2. Променливи'!J105/'2. Променливи'!J14*10000,3),0)</f>
        <v>0.57899999999999996</v>
      </c>
      <c r="K22" s="935">
        <f>IFERROR(ROUND(AVERAGE('2. Променливи'!K105,'2. Променливи'!K14),0),0)</f>
        <v>1</v>
      </c>
      <c r="L22" s="935">
        <f>IFERROR(ROUND(AVERAGE('2. Променливи'!P105,'2. Променливи'!P14),0),0)</f>
        <v>0</v>
      </c>
      <c r="M22" s="84">
        <v>0.57999999999999996</v>
      </c>
      <c r="N22" s="1814">
        <v>0.5</v>
      </c>
      <c r="O22" s="1815"/>
      <c r="P22" s="881" t="s">
        <v>1328</v>
      </c>
      <c r="Q22" s="1456">
        <f t="shared" si="4"/>
        <v>-5.8000000000000052E-2</v>
      </c>
      <c r="R22" s="1457">
        <f t="shared" si="5"/>
        <v>-6.3999999999999946E-2</v>
      </c>
      <c r="S22" s="1457">
        <f t="shared" si="6"/>
        <v>-6.700000000000006E-2</v>
      </c>
      <c r="T22" s="1457">
        <f t="shared" si="7"/>
        <v>-7.2999999999999954E-2</v>
      </c>
      <c r="U22" s="1457">
        <f t="shared" si="8"/>
        <v>-8.0000000000000071E-2</v>
      </c>
      <c r="V22" s="1460">
        <f t="shared" si="2"/>
        <v>-1.0000000000000009E-3</v>
      </c>
      <c r="Z22" s="3573"/>
      <c r="AA22" s="3573"/>
    </row>
    <row r="23" spans="1:27" ht="25.5">
      <c r="A23" s="1807">
        <v>15</v>
      </c>
      <c r="B23" s="1811" t="s">
        <v>127</v>
      </c>
      <c r="C23" s="1816" t="s">
        <v>1312</v>
      </c>
      <c r="D23" s="785" t="s">
        <v>1854</v>
      </c>
      <c r="E23" s="3986">
        <f>IFERROR(ROUND('2. Променливи'!E80/'2. Променливи'!E63,3),0)</f>
        <v>7.5999999999999998E-2</v>
      </c>
      <c r="F23" s="3986">
        <f>IFERROR(ROUND('2. Променливи'!F80/'2. Променливи'!F63,3),0)</f>
        <v>7.5999999999999998E-2</v>
      </c>
      <c r="G23" s="3986">
        <f>IFERROR(ROUND('2. Променливи'!G80/'2. Променливи'!G63,3),0)</f>
        <v>7.4999999999999997E-2</v>
      </c>
      <c r="H23" s="3986">
        <f>IFERROR(ROUND('2. Променливи'!H80/'2. Променливи'!H63,3),0)</f>
        <v>7.3999999999999996E-2</v>
      </c>
      <c r="I23" s="3986">
        <f>IFERROR(ROUND('2. Променливи'!I80/'2. Променливи'!I63,3),0)</f>
        <v>7.2999999999999995E-2</v>
      </c>
      <c r="J23" s="3986">
        <f>IFERROR(ROUND('2. Променливи'!J80/'2. Променливи'!J63,3),0)</f>
        <v>7.1999999999999995E-2</v>
      </c>
      <c r="K23" s="935">
        <f>IFERROR(ROUND(AVERAGE('2. Променливи'!K80,'2. Променливи'!K63),0),0)</f>
        <v>1</v>
      </c>
      <c r="L23" s="935">
        <f>IFERROR(ROUND(AVERAGE('2. Променливи'!P80,'2. Променливи'!P63),0),0)</f>
        <v>0</v>
      </c>
      <c r="M23" s="84">
        <v>7.1999999999999995E-2</v>
      </c>
      <c r="N23" s="1814">
        <v>0.45</v>
      </c>
      <c r="O23" s="1815"/>
      <c r="P23" s="881" t="s">
        <v>1328</v>
      </c>
      <c r="Q23" s="1456">
        <f t="shared" si="4"/>
        <v>0</v>
      </c>
      <c r="R23" s="1457">
        <f t="shared" si="5"/>
        <v>-1.0000000000000009E-3</v>
      </c>
      <c r="S23" s="1457">
        <f t="shared" si="6"/>
        <v>-1.0000000000000009E-3</v>
      </c>
      <c r="T23" s="1457">
        <f t="shared" si="7"/>
        <v>-1.0000000000000009E-3</v>
      </c>
      <c r="U23" s="1457">
        <f t="shared" si="8"/>
        <v>-1.0000000000000009E-3</v>
      </c>
      <c r="V23" s="1460">
        <f t="shared" si="2"/>
        <v>0</v>
      </c>
      <c r="Z23" s="3573"/>
      <c r="AA23" s="3573"/>
    </row>
    <row r="24" spans="1:27" ht="29.25" customHeight="1">
      <c r="A24" s="1807">
        <v>16</v>
      </c>
      <c r="B24" s="1811" t="s">
        <v>128</v>
      </c>
      <c r="C24" s="1816" t="s">
        <v>764</v>
      </c>
      <c r="D24" s="785" t="s">
        <v>1854</v>
      </c>
      <c r="E24" s="3986">
        <f>IFERROR(ROUND('2. Променливи'!E81/'2. Променливи'!E66,3),"-")</f>
        <v>0.25800000000000001</v>
      </c>
      <c r="F24" s="3986">
        <f>IFERROR(ROUND('2. Променливи'!F81/'2. Променливи'!F66,3),"-")</f>
        <v>0.25700000000000001</v>
      </c>
      <c r="G24" s="3992">
        <f>IFERROR(ROUND('2. Променливи'!G81/'2. Променливи'!G66,3),"-")</f>
        <v>0.253</v>
      </c>
      <c r="H24" s="3986">
        <f>IFERROR(ROUND('2. Променливи'!H81/'2. Променливи'!H66,3),"-")</f>
        <v>0.249</v>
      </c>
      <c r="I24" s="3992">
        <f>IFERROR(ROUND('2. Променливи'!I81/'2. Променливи'!I66,3),"-")</f>
        <v>0.247</v>
      </c>
      <c r="J24" s="3986">
        <f>IFERROR(ROUND('2. Променливи'!J81/'2. Променливи'!J66,3),"-")</f>
        <v>0.246</v>
      </c>
      <c r="K24" s="935">
        <f>IFERROR(ROUND(AVERAGE('2. Променливи'!K81,'2. Променливи'!K66),0),0)</f>
        <v>1</v>
      </c>
      <c r="L24" s="935">
        <f>IFERROR(ROUND(AVERAGE('2. Променливи'!P81,'2. Променливи'!P66),0),0)</f>
        <v>0</v>
      </c>
      <c r="M24" s="84">
        <v>0.246</v>
      </c>
      <c r="N24" s="1814">
        <v>0.25</v>
      </c>
      <c r="O24" s="1815"/>
      <c r="P24" s="881" t="s">
        <v>1328</v>
      </c>
      <c r="Q24" s="1456">
        <f>IFERROR(F24-E24,"-")</f>
        <v>-1.0000000000000009E-3</v>
      </c>
      <c r="R24" s="1457">
        <f>IFERROR(G24-F24,"-")</f>
        <v>-4.0000000000000036E-3</v>
      </c>
      <c r="S24" s="1457">
        <f>IFERROR(H24-G24,"-")</f>
        <v>-4.0000000000000036E-3</v>
      </c>
      <c r="T24" s="1457">
        <f>IFERROR(I24-H24,"-")</f>
        <v>-2.0000000000000018E-3</v>
      </c>
      <c r="U24" s="1457">
        <f>IFERROR(J24-I24,"-")</f>
        <v>-1.0000000000000009E-3</v>
      </c>
      <c r="V24" s="1460">
        <f>IFERROR(J24-M24,"-")</f>
        <v>0</v>
      </c>
      <c r="Z24" s="3573"/>
      <c r="AA24" s="3573"/>
    </row>
    <row r="25" spans="1:27" ht="14.25">
      <c r="A25" s="1807">
        <v>17</v>
      </c>
      <c r="B25" s="1811" t="s">
        <v>129</v>
      </c>
      <c r="C25" s="1812" t="s">
        <v>765</v>
      </c>
      <c r="D25" s="785" t="s">
        <v>170</v>
      </c>
      <c r="E25" s="1828">
        <f>IFERROR(ROUND('2. Променливи'!E82/'2. Променливи'!E83,4),0)</f>
        <v>0</v>
      </c>
      <c r="F25" s="1828">
        <f>IFERROR(ROUND('2. Променливи'!F82/'2. Променливи'!F83,4),0)</f>
        <v>0.29409999999999997</v>
      </c>
      <c r="G25" s="1828">
        <f>IFERROR(ROUND('2. Променливи'!G82/'2. Променливи'!G83,4),0)</f>
        <v>0.58819999999999995</v>
      </c>
      <c r="H25" s="1828">
        <f>IFERROR(ROUND('2. Променливи'!H82/'2. Променливи'!H83,4),0)</f>
        <v>0.58819999999999995</v>
      </c>
      <c r="I25" s="1828">
        <f>IFERROR(ROUND('2. Променливи'!I82/'2. Променливи'!I83,4),0)</f>
        <v>0.88239999999999996</v>
      </c>
      <c r="J25" s="1828">
        <f>IFERROR(ROUND('2. Променливи'!J82/'2. Променливи'!J83,4),0)</f>
        <v>0.97060000000000002</v>
      </c>
      <c r="K25" s="935">
        <f>IFERROR(ROUND(AVERAGE('2. Променливи'!K82,'2. Променливи'!K83),0),0)</f>
        <v>1</v>
      </c>
      <c r="L25" s="935">
        <f>IFERROR(ROUND(AVERAGE('2. Променливи'!P82,'2. Променливи'!P83),0),0)</f>
        <v>0</v>
      </c>
      <c r="M25" s="402">
        <v>0.96150000000000002</v>
      </c>
      <c r="N25" s="1813">
        <v>1</v>
      </c>
      <c r="O25" s="1810"/>
      <c r="P25" s="881" t="s">
        <v>1327</v>
      </c>
      <c r="Q25" s="806">
        <f t="shared" si="4"/>
        <v>0.29409999999999997</v>
      </c>
      <c r="R25" s="807">
        <f t="shared" si="5"/>
        <v>0.29409999999999997</v>
      </c>
      <c r="S25" s="807">
        <f t="shared" si="6"/>
        <v>0</v>
      </c>
      <c r="T25" s="807">
        <f t="shared" si="7"/>
        <v>0.29420000000000002</v>
      </c>
      <c r="U25" s="807">
        <f t="shared" si="8"/>
        <v>8.8200000000000056E-2</v>
      </c>
      <c r="V25" s="809">
        <f t="shared" si="2"/>
        <v>9.099999999999997E-3</v>
      </c>
      <c r="Z25" s="3573"/>
      <c r="AA25" s="3573"/>
    </row>
    <row r="26" spans="1:27" ht="14.25">
      <c r="A26" s="1807">
        <v>18</v>
      </c>
      <c r="B26" s="1811" t="s">
        <v>130</v>
      </c>
      <c r="C26" s="1812" t="s">
        <v>766</v>
      </c>
      <c r="D26" s="785" t="s">
        <v>170</v>
      </c>
      <c r="E26" s="1828">
        <f>IFERROR(ROUND('2. Променливи'!E78/'2. Променливи'!E25,4),0)</f>
        <v>2.2599999999999999E-2</v>
      </c>
      <c r="F26" s="3984">
        <f>IFERROR(ROUND('2. Променливи'!F78/'2. Променливи'!F25,4),0)</f>
        <v>2.2599999999999999E-2</v>
      </c>
      <c r="G26" s="3984">
        <f>IFERROR(ROUND('2. Променливи'!G78/'2. Променливи'!G25,4),0)</f>
        <v>2.3099999999999999E-2</v>
      </c>
      <c r="H26" s="3984">
        <f>IFERROR(ROUND('2. Променливи'!H78/'2. Променливи'!H25,4),0)</f>
        <v>2.3699999999999999E-2</v>
      </c>
      <c r="I26" s="1828">
        <f>IFERROR(ROUND('2. Променливи'!I78/'2. Променливи'!I25,4),0)</f>
        <v>2.3699999999999999E-2</v>
      </c>
      <c r="J26" s="1828">
        <f>IFERROR(ROUND('2. Променливи'!J78/'2. Променливи'!J25,4),0)</f>
        <v>2.4299999999999999E-2</v>
      </c>
      <c r="K26" s="935">
        <f>IFERROR(ROUND(AVERAGE('2. Променливи'!K78,'2. Променливи'!K25),0),0)</f>
        <v>1</v>
      </c>
      <c r="L26" s="936">
        <f>IFERROR(ROUND(AVERAGE('2. Променливи'!P78,'2. Променливи'!P25),0),0)</f>
        <v>0</v>
      </c>
      <c r="M26" s="402">
        <v>2.4299999999999999E-2</v>
      </c>
      <c r="N26" s="1817">
        <v>1.2500000000000001E-2</v>
      </c>
      <c r="O26" s="1818"/>
      <c r="P26" s="881" t="s">
        <v>1327</v>
      </c>
      <c r="Q26" s="806">
        <f t="shared" si="4"/>
        <v>0</v>
      </c>
      <c r="R26" s="807">
        <f t="shared" si="5"/>
        <v>5.0000000000000044E-4</v>
      </c>
      <c r="S26" s="807">
        <f t="shared" si="6"/>
        <v>5.9999999999999984E-4</v>
      </c>
      <c r="T26" s="807">
        <f t="shared" si="7"/>
        <v>0</v>
      </c>
      <c r="U26" s="807">
        <f t="shared" si="8"/>
        <v>5.9999999999999984E-4</v>
      </c>
      <c r="V26" s="809">
        <f t="shared" si="2"/>
        <v>0</v>
      </c>
      <c r="Z26" s="3573"/>
      <c r="AA26" s="3573"/>
    </row>
    <row r="27" spans="1:27" ht="14.25">
      <c r="A27" s="1807">
        <v>19</v>
      </c>
      <c r="B27" s="1811" t="s">
        <v>774</v>
      </c>
      <c r="C27" s="1812" t="s">
        <v>775</v>
      </c>
      <c r="D27" s="785" t="s">
        <v>170</v>
      </c>
      <c r="E27" s="1828">
        <f>IFERROR(ROUND('2. Променливи'!E79/'2. Променливи'!E25,4),0)</f>
        <v>1.24E-2</v>
      </c>
      <c r="F27" s="1828">
        <f>IFERROR(ROUND('2. Променливи'!F79/'2. Променливи'!F25,4),0)</f>
        <v>1.24E-2</v>
      </c>
      <c r="G27" s="1828">
        <f>IFERROR(ROUND('2. Променливи'!G79/'2. Променливи'!G25,4),0)</f>
        <v>1.24E-2</v>
      </c>
      <c r="H27" s="1828">
        <f>IFERROR(ROUND('2. Променливи'!H79/'2. Променливи'!H25,4),0)</f>
        <v>1.24E-2</v>
      </c>
      <c r="I27" s="1828">
        <f>IFERROR(ROUND('2. Променливи'!I79/'2. Променливи'!I25,4),0)</f>
        <v>1.24E-2</v>
      </c>
      <c r="J27" s="1828">
        <f>IFERROR(ROUND('2. Променливи'!J79/'2. Променливи'!J25,4),0)</f>
        <v>1.24E-2</v>
      </c>
      <c r="K27" s="935">
        <f>IFERROR(ROUND(AVERAGE('2. Променливи'!K79,'2. Променливи'!K25),0),0)</f>
        <v>1</v>
      </c>
      <c r="L27" s="935">
        <f>IFERROR(ROUND(AVERAGE('2. Променливи'!P79,'2. Променливи'!P25),0),0)</f>
        <v>0</v>
      </c>
      <c r="M27" s="402">
        <v>1.41E-2</v>
      </c>
      <c r="N27" s="1817">
        <v>1.2500000000000001E-2</v>
      </c>
      <c r="O27" s="1818"/>
      <c r="P27" s="881" t="s">
        <v>1327</v>
      </c>
      <c r="Q27" s="806">
        <f t="shared" si="4"/>
        <v>0</v>
      </c>
      <c r="R27" s="807">
        <f t="shared" si="5"/>
        <v>0</v>
      </c>
      <c r="S27" s="807">
        <f t="shared" si="6"/>
        <v>0</v>
      </c>
      <c r="T27" s="807">
        <f t="shared" si="7"/>
        <v>0</v>
      </c>
      <c r="U27" s="807">
        <f t="shared" si="8"/>
        <v>0</v>
      </c>
      <c r="V27" s="809">
        <f t="shared" si="2"/>
        <v>-1.7000000000000001E-3</v>
      </c>
      <c r="Z27" s="3573"/>
      <c r="AA27" s="3573"/>
    </row>
    <row r="28" spans="1:27" ht="14.25">
      <c r="A28" s="1807">
        <v>20</v>
      </c>
      <c r="B28" s="1811" t="s">
        <v>131</v>
      </c>
      <c r="C28" s="1812" t="s">
        <v>47</v>
      </c>
      <c r="D28" s="785" t="s">
        <v>1033</v>
      </c>
      <c r="E28" s="1823">
        <f>IFERROR(ROUND('2. Променливи'!E84/'2. Променливи'!E85,2),0)</f>
        <v>1</v>
      </c>
      <c r="F28" s="3993">
        <f>IFERROR(ROUND('2. Променливи'!F84/'2. Променливи'!F85,2),0)</f>
        <v>1</v>
      </c>
      <c r="G28" s="1823">
        <f>IFERROR(ROUND('2. Променливи'!G84/'2. Променливи'!G85,2),0)</f>
        <v>1</v>
      </c>
      <c r="H28" s="1823">
        <f>IFERROR(ROUND('2. Променливи'!H84/'2. Променливи'!H85,2),0)</f>
        <v>1</v>
      </c>
      <c r="I28" s="1823">
        <f>IFERROR(ROUND('2. Променливи'!I84/'2. Променливи'!I85,2),0)</f>
        <v>1</v>
      </c>
      <c r="J28" s="1823">
        <f>IFERROR(ROUND('2. Променливи'!J84/'2. Променливи'!J85,2),0)</f>
        <v>1</v>
      </c>
      <c r="K28" s="935">
        <f>IFERROR(ROUND(AVERAGE('2. Променливи'!K84,'2. Променливи'!K85),0),0)</f>
        <v>1</v>
      </c>
      <c r="L28" s="935">
        <f>IFERROR(ROUND(AVERAGE('2. Променливи'!P84,'2. Променливи'!P85),0),0)</f>
        <v>0</v>
      </c>
      <c r="M28" s="84">
        <v>1.1000000000000001</v>
      </c>
      <c r="N28" s="1814">
        <v>1.1000000000000001</v>
      </c>
      <c r="O28" s="1815"/>
      <c r="P28" s="881" t="s">
        <v>1327</v>
      </c>
      <c r="Q28" s="1454">
        <f t="shared" si="4"/>
        <v>0</v>
      </c>
      <c r="R28" s="1455">
        <f t="shared" si="5"/>
        <v>0</v>
      </c>
      <c r="S28" s="1455">
        <f t="shared" si="6"/>
        <v>0</v>
      </c>
      <c r="T28" s="1455">
        <f t="shared" si="7"/>
        <v>0</v>
      </c>
      <c r="U28" s="1455">
        <f t="shared" si="8"/>
        <v>0</v>
      </c>
      <c r="V28" s="810">
        <f t="shared" si="2"/>
        <v>-0.10000000000000009</v>
      </c>
      <c r="Z28" s="3573"/>
      <c r="AA28" s="3573"/>
    </row>
    <row r="29" spans="1:27" ht="14.25">
      <c r="A29" s="1807">
        <v>21</v>
      </c>
      <c r="B29" s="1811" t="s">
        <v>132</v>
      </c>
      <c r="C29" s="1812" t="s">
        <v>50</v>
      </c>
      <c r="D29" s="785" t="s">
        <v>1033</v>
      </c>
      <c r="E29" s="1823">
        <f>IFERROR(ROUND('2. Променливи'!E86/'2. Променливи'!E87,2),"-")</f>
        <v>0.65</v>
      </c>
      <c r="F29" s="3993">
        <f>IFERROR(ROUND('2. Променливи'!F86/'2. Променливи'!F87,2),"-")</f>
        <v>1</v>
      </c>
      <c r="G29" s="1823">
        <f>IFERROR(ROUND('2. Променливи'!G86/'2. Променливи'!G87,2),"-")</f>
        <v>1</v>
      </c>
      <c r="H29" s="3993">
        <f>IFERROR(ROUND('2. Променливи'!H86/'2. Променливи'!H87,2),"-")</f>
        <v>1</v>
      </c>
      <c r="I29" s="1823">
        <f>IFERROR(ROUND('2. Променливи'!I86/'2. Променливи'!I87,2),"-")</f>
        <v>1</v>
      </c>
      <c r="J29" s="3993">
        <f>IFERROR(ROUND('2. Променливи'!J86/'2. Променливи'!J87,2),"-")</f>
        <v>1</v>
      </c>
      <c r="K29" s="935">
        <f>IFERROR(ROUND(AVERAGE('2. Променливи'!K86,'2. Променливи'!K87),0),0)</f>
        <v>1</v>
      </c>
      <c r="L29" s="935">
        <f>IFERROR(ROUND(AVERAGE('2. Променливи'!P86,'2. Променливи'!P87),0),0)</f>
        <v>0</v>
      </c>
      <c r="M29" s="84">
        <v>1.1000000000000001</v>
      </c>
      <c r="N29" s="1814">
        <v>1.1000000000000001</v>
      </c>
      <c r="O29" s="1815"/>
      <c r="P29" s="881" t="s">
        <v>1327</v>
      </c>
      <c r="Q29" s="1454">
        <f t="shared" ref="Q29:U30" si="10">IFERROR(F29-E29,"-")</f>
        <v>0.35</v>
      </c>
      <c r="R29" s="1455">
        <f t="shared" si="10"/>
        <v>0</v>
      </c>
      <c r="S29" s="1455">
        <f t="shared" si="10"/>
        <v>0</v>
      </c>
      <c r="T29" s="1455">
        <f t="shared" si="10"/>
        <v>0</v>
      </c>
      <c r="U29" s="1455">
        <f t="shared" si="10"/>
        <v>0</v>
      </c>
      <c r="V29" s="810">
        <f>IFERROR(J29-M29,"-")</f>
        <v>-0.10000000000000009</v>
      </c>
      <c r="Z29" s="3573"/>
      <c r="AA29" s="3573"/>
    </row>
    <row r="30" spans="1:27" ht="14.25">
      <c r="A30" s="1807">
        <v>22</v>
      </c>
      <c r="B30" s="1811" t="s">
        <v>133</v>
      </c>
      <c r="C30" s="1812" t="s">
        <v>53</v>
      </c>
      <c r="D30" s="785" t="s">
        <v>1033</v>
      </c>
      <c r="E30" s="1823">
        <f>IFERROR(ROUND('2. Променливи'!E88/'2. Променливи'!E89,2),"-")</f>
        <v>1</v>
      </c>
      <c r="F30" s="1823">
        <f>IFERROR(ROUND('2. Променливи'!F88/'2. Променливи'!F89,2),"-")</f>
        <v>1</v>
      </c>
      <c r="G30" s="1823">
        <f>IFERROR(ROUND('2. Променливи'!G88/'2. Променливи'!G89,2),"-")</f>
        <v>1</v>
      </c>
      <c r="H30" s="1823">
        <f>IFERROR(ROUND('2. Променливи'!H88/'2. Променливи'!H89,2),"-")</f>
        <v>1</v>
      </c>
      <c r="I30" s="1823">
        <f>IFERROR(ROUND('2. Променливи'!I88/'2. Променливи'!I89,2),"-")</f>
        <v>1</v>
      </c>
      <c r="J30" s="1823">
        <f>IFERROR(ROUND('2. Променливи'!J88/'2. Променливи'!J89,2),"-")</f>
        <v>1</v>
      </c>
      <c r="K30" s="935">
        <f>IFERROR(ROUND(AVERAGE('2. Променливи'!K88,'2. Променливи'!K89),0),0)</f>
        <v>1</v>
      </c>
      <c r="L30" s="935">
        <f>IFERROR(ROUND(AVERAGE('2. Променливи'!P88,'2. Променливи'!P89),0),0)</f>
        <v>0</v>
      </c>
      <c r="M30" s="84">
        <v>1.06</v>
      </c>
      <c r="N30" s="1814">
        <v>1.1000000000000001</v>
      </c>
      <c r="O30" s="1815"/>
      <c r="P30" s="881" t="s">
        <v>1327</v>
      </c>
      <c r="Q30" s="1454">
        <f t="shared" si="10"/>
        <v>0</v>
      </c>
      <c r="R30" s="1455">
        <f t="shared" si="10"/>
        <v>0</v>
      </c>
      <c r="S30" s="1455">
        <f t="shared" si="10"/>
        <v>0</v>
      </c>
      <c r="T30" s="1455">
        <f t="shared" si="10"/>
        <v>0</v>
      </c>
      <c r="U30" s="1455">
        <f t="shared" si="10"/>
        <v>0</v>
      </c>
      <c r="V30" s="810">
        <f>IFERROR(J30-M30,"-")</f>
        <v>-6.0000000000000053E-2</v>
      </c>
      <c r="Z30" s="3573"/>
      <c r="AA30" s="3573"/>
    </row>
    <row r="31" spans="1:27" ht="15" customHeight="1">
      <c r="A31" s="1807">
        <v>23</v>
      </c>
      <c r="B31" s="1811" t="s">
        <v>134</v>
      </c>
      <c r="C31" s="1812" t="s">
        <v>767</v>
      </c>
      <c r="D31" s="785" t="s">
        <v>170</v>
      </c>
      <c r="E31" s="1828">
        <f>IFERROR(ROUND(('2. Променливи'!E90-('2. Променливи'!E91-'2. Променливи'!E92))/('2. Променливи'!E90+'2. Променливи'!E92),4),0)</f>
        <v>0.9446</v>
      </c>
      <c r="F31" s="3984">
        <f>IFERROR(ROUND(('2. Променливи'!F90-('2. Променливи'!F91-'2. Променливи'!F92))/('2. Променливи'!F90+'2. Променливи'!F92),4),0)</f>
        <v>1</v>
      </c>
      <c r="G31" s="1828">
        <f>IFERROR(ROUND(('2. Променливи'!G90-('2. Променливи'!G91-'2. Променливи'!G92))/('2. Променливи'!G90+'2. Променливи'!G92),4),0)</f>
        <v>1</v>
      </c>
      <c r="H31" s="1828">
        <f>IFERROR(ROUND(('2. Променливи'!H90-('2. Променливи'!H91-'2. Променливи'!H92))/('2. Променливи'!H90+'2. Променливи'!H92),4),0)</f>
        <v>1</v>
      </c>
      <c r="I31" s="1828">
        <f>IFERROR(ROUND(('2. Променливи'!I90-('2. Променливи'!I91-'2. Променливи'!I92))/('2. Променливи'!I90+'2. Променливи'!I92),4),0)</f>
        <v>1</v>
      </c>
      <c r="J31" s="3984">
        <f>IFERROR(ROUND(('2. Променливи'!J90-('2. Променливи'!J91-'2. Променливи'!J92))/('2. Променливи'!J90+'2. Променливи'!J92),4),0)</f>
        <v>1</v>
      </c>
      <c r="K31" s="935">
        <f>IFERROR(ROUND(AVERAGE('2. Променливи'!K90,'2. Променливи'!K91,'2. Променливи'!K92),0),0)</f>
        <v>1</v>
      </c>
      <c r="L31" s="935">
        <f>IFERROR(ROUND(AVERAGE('2. Променливи'!P90,'2. Променливи'!P91,'2. Променливи'!P92),0),0)</f>
        <v>0</v>
      </c>
      <c r="M31" s="402">
        <v>0.95140000000000002</v>
      </c>
      <c r="N31" s="1813">
        <v>0.95</v>
      </c>
      <c r="O31" s="1810"/>
      <c r="P31" s="881" t="s">
        <v>1327</v>
      </c>
      <c r="Q31" s="806">
        <f t="shared" si="4"/>
        <v>5.5400000000000005E-2</v>
      </c>
      <c r="R31" s="807">
        <f t="shared" si="5"/>
        <v>0</v>
      </c>
      <c r="S31" s="807">
        <f t="shared" si="6"/>
        <v>0</v>
      </c>
      <c r="T31" s="807">
        <f t="shared" si="7"/>
        <v>0</v>
      </c>
      <c r="U31" s="807">
        <f t="shared" si="8"/>
        <v>0</v>
      </c>
      <c r="V31" s="809">
        <f t="shared" si="2"/>
        <v>4.8599999999999977E-2</v>
      </c>
      <c r="Z31" s="3573"/>
      <c r="AA31" s="3573"/>
    </row>
    <row r="32" spans="1:27" ht="14.25">
      <c r="A32" s="1807">
        <v>24</v>
      </c>
      <c r="B32" s="1811" t="s">
        <v>776</v>
      </c>
      <c r="C32" s="1812" t="s">
        <v>778</v>
      </c>
      <c r="D32" s="785" t="s">
        <v>170</v>
      </c>
      <c r="E32" s="1828">
        <f>IFERROR(ROUND('2. Променливи'!E74/'2. Променливи'!E29,4),0)</f>
        <v>0.16259999999999999</v>
      </c>
      <c r="F32" s="1828">
        <f>IFERROR(ROUND('2. Променливи'!F74/'2. Променливи'!F29,4),0)</f>
        <v>0.17399999999999999</v>
      </c>
      <c r="G32" s="1828">
        <f>IFERROR(ROUND('2. Променливи'!G74/'2. Променливи'!G29,4),0)</f>
        <v>0.182</v>
      </c>
      <c r="H32" s="1828">
        <f>IFERROR(ROUND('2. Променливи'!H74/'2. Променливи'!H29,4),0)</f>
        <v>0.19009999999999999</v>
      </c>
      <c r="I32" s="1828">
        <f>IFERROR(ROUND('2. Променливи'!I74/'2. Променливи'!I29,4),0)</f>
        <v>0.19800000000000001</v>
      </c>
      <c r="J32" s="1828">
        <f>IFERROR(ROUND('2. Променливи'!J74/'2. Променливи'!J29,4),0)</f>
        <v>0.20030000000000001</v>
      </c>
      <c r="K32" s="935">
        <f>IFERROR(ROUND(AVERAGE('2. Променливи'!K74,'2. Променливи'!K29),0),0)</f>
        <v>1</v>
      </c>
      <c r="L32" s="935">
        <f>IFERROR(ROUND(AVERAGE('2. Променливи'!P74,'2. Променливи'!P29),0),0)</f>
        <v>0</v>
      </c>
      <c r="M32" s="402">
        <v>0.20030000000000001</v>
      </c>
      <c r="N32" s="1813">
        <v>0.2</v>
      </c>
      <c r="O32" s="1810"/>
      <c r="P32" s="881" t="s">
        <v>1327</v>
      </c>
      <c r="Q32" s="806">
        <f t="shared" si="4"/>
        <v>1.1399999999999993E-2</v>
      </c>
      <c r="R32" s="807">
        <f t="shared" si="5"/>
        <v>8.0000000000000071E-3</v>
      </c>
      <c r="S32" s="807">
        <f t="shared" si="6"/>
        <v>8.0999999999999961E-3</v>
      </c>
      <c r="T32" s="807">
        <f t="shared" si="7"/>
        <v>7.9000000000000181E-3</v>
      </c>
      <c r="U32" s="807">
        <f t="shared" si="8"/>
        <v>2.2999999999999965E-3</v>
      </c>
      <c r="V32" s="809">
        <f t="shared" si="2"/>
        <v>0</v>
      </c>
      <c r="Z32" s="3573"/>
      <c r="AA32" s="3573"/>
    </row>
    <row r="33" spans="1:27" ht="14.25">
      <c r="A33" s="1807">
        <v>25</v>
      </c>
      <c r="B33" s="1811" t="s">
        <v>777</v>
      </c>
      <c r="C33" s="1812" t="s">
        <v>779</v>
      </c>
      <c r="D33" s="785" t="s">
        <v>170</v>
      </c>
      <c r="E33" s="1828">
        <f>IFERROR(ROUND('2. Променливи'!E75/'2. Променливи'!E29,4),0)</f>
        <v>0.85960000000000003</v>
      </c>
      <c r="F33" s="1828">
        <f>IFERROR(ROUND('2. Променливи'!F75/'2. Променливи'!F29,4),0)</f>
        <v>0.86119999999999997</v>
      </c>
      <c r="G33" s="1828">
        <f>IFERROR(ROUND('2. Променливи'!G75/'2. Променливи'!G29,4),0)</f>
        <v>0.8669</v>
      </c>
      <c r="H33" s="1828">
        <f>IFERROR(ROUND('2. Променливи'!H75/'2. Променливи'!H29,4),0)</f>
        <v>0.88119999999999998</v>
      </c>
      <c r="I33" s="1828">
        <f>IFERROR(ROUND('2. Променливи'!I75/'2. Променливи'!I29,4),0)</f>
        <v>0.89539999999999997</v>
      </c>
      <c r="J33" s="1828">
        <f>IFERROR(ROUND('2. Променливи'!J75/'2. Променливи'!J29,4),0)</f>
        <v>0.9</v>
      </c>
      <c r="K33" s="935">
        <f>IFERROR(ROUND(AVERAGE('2. Променливи'!K75,'2. Променливи'!K29),0),0)</f>
        <v>1</v>
      </c>
      <c r="L33" s="935">
        <f>IFERROR(ROUND(AVERAGE('2. Променливи'!P75,'2. Променливи'!P29),0),0)</f>
        <v>0</v>
      </c>
      <c r="M33" s="402">
        <v>0.9</v>
      </c>
      <c r="N33" s="1813">
        <v>0.9</v>
      </c>
      <c r="O33" s="1810"/>
      <c r="P33" s="881" t="s">
        <v>1327</v>
      </c>
      <c r="Q33" s="806">
        <f t="shared" si="4"/>
        <v>1.5999999999999348E-3</v>
      </c>
      <c r="R33" s="807">
        <f t="shared" si="5"/>
        <v>5.7000000000000384E-3</v>
      </c>
      <c r="S33" s="807">
        <f t="shared" si="6"/>
        <v>1.4299999999999979E-2</v>
      </c>
      <c r="T33" s="807">
        <f t="shared" si="7"/>
        <v>1.419999999999999E-2</v>
      </c>
      <c r="U33" s="807">
        <f t="shared" si="8"/>
        <v>4.6000000000000485E-3</v>
      </c>
      <c r="V33" s="809">
        <f t="shared" si="2"/>
        <v>0</v>
      </c>
      <c r="Z33" s="3573"/>
      <c r="AA33" s="3573"/>
    </row>
    <row r="34" spans="1:27" ht="14.25">
      <c r="A34" s="1807">
        <v>26</v>
      </c>
      <c r="B34" s="1811" t="s">
        <v>135</v>
      </c>
      <c r="C34" s="1816" t="s">
        <v>768</v>
      </c>
      <c r="D34" s="785" t="s">
        <v>170</v>
      </c>
      <c r="E34" s="1828">
        <f>IFERROR(ROUND('2. Променливи'!E93/'2. Променливи'!E97,4),0)</f>
        <v>0.97829999999999995</v>
      </c>
      <c r="F34" s="1828">
        <f>IFERROR(ROUND('2. Променливи'!F93/'2. Променливи'!F97,4),0)</f>
        <v>0.98540000000000005</v>
      </c>
      <c r="G34" s="1828">
        <f>IFERROR(ROUND('2. Променливи'!G93/'2. Променливи'!G97,4),0)</f>
        <v>0.99260000000000004</v>
      </c>
      <c r="H34" s="1828">
        <f>IFERROR(ROUND('2. Променливи'!H93/'2. Променливи'!H97,4),0)</f>
        <v>1</v>
      </c>
      <c r="I34" s="1828">
        <f>IFERROR(ROUND('2. Променливи'!I93/'2. Променливи'!I97,4),0)</f>
        <v>1</v>
      </c>
      <c r="J34" s="1828">
        <f>IFERROR(ROUND('2. Променливи'!J93/'2. Променливи'!J97,4),0)</f>
        <v>1</v>
      </c>
      <c r="K34" s="935">
        <f>IFERROR(ROUND(AVERAGE('2. Променливи'!K93,'2. Променливи'!K97),0),0)</f>
        <v>1</v>
      </c>
      <c r="L34" s="935">
        <f>IFERROR(ROUND(AVERAGE('2. Променливи'!P93,'2. Променливи'!P97),0),0)</f>
        <v>0</v>
      </c>
      <c r="M34" s="412">
        <v>1</v>
      </c>
      <c r="N34" s="1813">
        <v>1</v>
      </c>
      <c r="O34" s="1810"/>
      <c r="P34" s="881" t="s">
        <v>1327</v>
      </c>
      <c r="Q34" s="806">
        <f t="shared" si="4"/>
        <v>7.1000000000001062E-3</v>
      </c>
      <c r="R34" s="807">
        <f t="shared" si="5"/>
        <v>7.1999999999999842E-3</v>
      </c>
      <c r="S34" s="807">
        <f t="shared" si="6"/>
        <v>7.3999999999999622E-3</v>
      </c>
      <c r="T34" s="807">
        <f t="shared" si="7"/>
        <v>0</v>
      </c>
      <c r="U34" s="807">
        <f t="shared" si="8"/>
        <v>0</v>
      </c>
      <c r="V34" s="809">
        <f t="shared" si="2"/>
        <v>0</v>
      </c>
      <c r="Z34" s="3573"/>
      <c r="AA34" s="3573"/>
    </row>
    <row r="35" spans="1:27" ht="15" customHeight="1">
      <c r="A35" s="1807">
        <v>27</v>
      </c>
      <c r="B35" s="1811" t="s">
        <v>136</v>
      </c>
      <c r="C35" s="1816" t="s">
        <v>769</v>
      </c>
      <c r="D35" s="785" t="s">
        <v>170</v>
      </c>
      <c r="E35" s="1828">
        <f>IFERROR(ROUND('2. Променливи'!E109/'2. Променливи'!E110,4),0)</f>
        <v>1</v>
      </c>
      <c r="F35" s="1828">
        <f>IFERROR(ROUND('2. Променливи'!F109/'2. Променливи'!F110,4),0)</f>
        <v>1</v>
      </c>
      <c r="G35" s="1828">
        <f>IFERROR(ROUND('2. Променливи'!G109/'2. Променливи'!G110,4),0)</f>
        <v>1</v>
      </c>
      <c r="H35" s="1828">
        <f>IFERROR(ROUND('2. Променливи'!H109/'2. Променливи'!H110,4),0)</f>
        <v>1</v>
      </c>
      <c r="I35" s="1828">
        <f>IFERROR(ROUND('2. Променливи'!I109/'2. Променливи'!I110,4),0)</f>
        <v>1</v>
      </c>
      <c r="J35" s="1828">
        <f>IFERROR(ROUND('2. Променливи'!J109/'2. Променливи'!J110,4),0)</f>
        <v>1</v>
      </c>
      <c r="K35" s="935">
        <f>IFERROR(ROUND(AVERAGE('2. Променливи'!K109,'2. Променливи'!K110),0),0)</f>
        <v>1</v>
      </c>
      <c r="L35" s="935">
        <f>IFERROR(ROUND(AVERAGE('2. Променливи'!P109,'2. Променливи'!P110),0),0)</f>
        <v>0</v>
      </c>
      <c r="M35" s="402">
        <v>1</v>
      </c>
      <c r="N35" s="1813">
        <v>1</v>
      </c>
      <c r="O35" s="1810"/>
      <c r="P35" s="881" t="s">
        <v>1327</v>
      </c>
      <c r="Q35" s="806">
        <f t="shared" si="4"/>
        <v>0</v>
      </c>
      <c r="R35" s="807">
        <f t="shared" si="5"/>
        <v>0</v>
      </c>
      <c r="S35" s="807">
        <f t="shared" si="6"/>
        <v>0</v>
      </c>
      <c r="T35" s="807">
        <f t="shared" si="7"/>
        <v>0</v>
      </c>
      <c r="U35" s="807">
        <f t="shared" si="8"/>
        <v>0</v>
      </c>
      <c r="V35" s="809">
        <f t="shared" si="2"/>
        <v>0</v>
      </c>
      <c r="Z35" s="3573"/>
      <c r="AA35" s="3573"/>
    </row>
    <row r="36" spans="1:27" ht="18" customHeight="1">
      <c r="A36" s="1807">
        <v>28</v>
      </c>
      <c r="B36" s="1811" t="s">
        <v>137</v>
      </c>
      <c r="C36" s="1812" t="s">
        <v>770</v>
      </c>
      <c r="D36" s="785" t="s">
        <v>170</v>
      </c>
      <c r="E36" s="1828">
        <f>IFERROR(ROUND('2. Променливи'!E111/'2. Променливи'!E112,4),"-")</f>
        <v>1</v>
      </c>
      <c r="F36" s="1828">
        <f>IFERROR(ROUND('2. Променливи'!F111/'2. Променливи'!F112,4),"-")</f>
        <v>1</v>
      </c>
      <c r="G36" s="1828">
        <f>IFERROR(ROUND('2. Променливи'!G111/'2. Променливи'!G112,4),"-")</f>
        <v>1</v>
      </c>
      <c r="H36" s="1828">
        <f>IFERROR(ROUND('2. Променливи'!H111/'2. Променливи'!H112,4),"-")</f>
        <v>1</v>
      </c>
      <c r="I36" s="1828">
        <f>IFERROR(ROUND('2. Променливи'!I111/'2. Променливи'!I112,4),"-")</f>
        <v>1</v>
      </c>
      <c r="J36" s="1828">
        <f>IFERROR(ROUND('2. Променливи'!J111/'2. Променливи'!J112,4),"-")</f>
        <v>1</v>
      </c>
      <c r="K36" s="935">
        <f>IFERROR(ROUND(AVERAGE('2. Променливи'!K111,'2. Променливи'!K112),0),0)</f>
        <v>1</v>
      </c>
      <c r="L36" s="935">
        <f>IFERROR(ROUND(AVERAGE('2. Променливи'!P111,'2. Променливи'!P112),0),0)</f>
        <v>0</v>
      </c>
      <c r="M36" s="402">
        <v>1</v>
      </c>
      <c r="N36" s="1813">
        <v>1</v>
      </c>
      <c r="O36" s="1810"/>
      <c r="P36" s="881" t="s">
        <v>1327</v>
      </c>
      <c r="Q36" s="806">
        <f>IFERROR(F36-E36,"-")</f>
        <v>0</v>
      </c>
      <c r="R36" s="807">
        <f>IFERROR(G36-F36,"-")</f>
        <v>0</v>
      </c>
      <c r="S36" s="807">
        <f>IFERROR(H36-G36,"-")</f>
        <v>0</v>
      </c>
      <c r="T36" s="807">
        <f>IFERROR(I36-H36,"-")</f>
        <v>0</v>
      </c>
      <c r="U36" s="807">
        <f>IFERROR(J36-I36,"-")</f>
        <v>0</v>
      </c>
      <c r="V36" s="809">
        <f>IFERROR(J36-M36,"-")</f>
        <v>0</v>
      </c>
      <c r="Z36" s="3573"/>
      <c r="AA36" s="3573"/>
    </row>
    <row r="37" spans="1:27" ht="24.95" customHeight="1">
      <c r="A37" s="1807">
        <v>29</v>
      </c>
      <c r="B37" s="1811" t="s">
        <v>138</v>
      </c>
      <c r="C37" s="1816" t="s">
        <v>771</v>
      </c>
      <c r="D37" s="785" t="s">
        <v>747</v>
      </c>
      <c r="E37" s="1823">
        <f>IFERROR(ROUND('2. Променливи'!E113/'2. Променливи'!E28*1000,2),0)</f>
        <v>5.69</v>
      </c>
      <c r="F37" s="1823">
        <f>IFERROR(ROUND('2. Променливи'!F113/'2. Променливи'!F28*1000,2),0)</f>
        <v>5.58</v>
      </c>
      <c r="G37" s="1823">
        <f>IFERROR(ROUND('2. Променливи'!G113/'2. Променливи'!G28*1000,2),0)</f>
        <v>5.43</v>
      </c>
      <c r="H37" s="3993">
        <f>IFERROR(ROUND('2. Променливи'!H113/'2. Променливи'!H28*1000,2),0)</f>
        <v>5.33</v>
      </c>
      <c r="I37" s="1823">
        <f>IFERROR(ROUND('2. Променливи'!I113/'2. Променливи'!I28*1000,2),0)</f>
        <v>5.19</v>
      </c>
      <c r="J37" s="1823">
        <f>IFERROR(ROUND('2. Променливи'!J113/'2. Променливи'!J28*1000,2),0)</f>
        <v>5.0599999999999996</v>
      </c>
      <c r="K37" s="935">
        <f>IFERROR(ROUND(AVERAGE('2. Променливи'!K113,'2. Променливи'!K28),0),0)</f>
        <v>1</v>
      </c>
      <c r="L37" s="935">
        <f>IFERROR(ROUND(AVERAGE('2. Променливи'!P113,'2. Променливи'!P28),0),0)</f>
        <v>0</v>
      </c>
      <c r="M37" s="84">
        <v>5.05</v>
      </c>
      <c r="N37" s="1814">
        <v>4</v>
      </c>
      <c r="O37" s="1815"/>
      <c r="P37" s="881" t="s">
        <v>1328</v>
      </c>
      <c r="Q37" s="1454">
        <f t="shared" si="4"/>
        <v>-0.11000000000000032</v>
      </c>
      <c r="R37" s="1455">
        <f t="shared" si="5"/>
        <v>-0.15000000000000036</v>
      </c>
      <c r="S37" s="1455">
        <f t="shared" si="6"/>
        <v>-9.9999999999999645E-2</v>
      </c>
      <c r="T37" s="1455">
        <f t="shared" si="7"/>
        <v>-0.13999999999999968</v>
      </c>
      <c r="U37" s="1455">
        <f t="shared" si="8"/>
        <v>-0.13000000000000078</v>
      </c>
      <c r="V37" s="1461">
        <f t="shared" si="2"/>
        <v>9.9999999999997868E-3</v>
      </c>
      <c r="Z37" s="3573"/>
      <c r="AA37" s="3573"/>
    </row>
    <row r="38" spans="1:27" ht="15" thickBot="1">
      <c r="A38" s="1819">
        <v>30</v>
      </c>
      <c r="B38" s="1820" t="s">
        <v>139</v>
      </c>
      <c r="C38" s="1821" t="s">
        <v>772</v>
      </c>
      <c r="D38" s="786" t="s">
        <v>748</v>
      </c>
      <c r="E38" s="3994">
        <f>IFERROR(ROUND('2. Променливи'!E114/'2. Променливи'!E30*1000,2),"-")</f>
        <v>4.8</v>
      </c>
      <c r="F38" s="1823">
        <f>IFERROR(ROUND('2. Променливи'!F114/'2. Променливи'!F30*1000,2),"-")</f>
        <v>4.4000000000000004</v>
      </c>
      <c r="G38" s="1823">
        <f>IFERROR(ROUND('2. Променливи'!G114/'2. Променливи'!G30*1000,2),"-")</f>
        <v>4.3499999999999996</v>
      </c>
      <c r="H38" s="1823">
        <f>IFERROR(ROUND('2. Променливи'!H114/'2. Променливи'!H30*1000,2),"-")</f>
        <v>4.3099999999999996</v>
      </c>
      <c r="I38" s="1823">
        <f>IFERROR(ROUND('2. Променливи'!I114/'2. Променливи'!I30*1000,2),"-")</f>
        <v>4.2300000000000004</v>
      </c>
      <c r="J38" s="1823">
        <f>IFERROR(ROUND('2. Променливи'!J114/'2. Променливи'!J30*1000,2),"-")</f>
        <v>4.1900000000000004</v>
      </c>
      <c r="K38" s="937">
        <f>IFERROR(ROUND(AVERAGE('2. Променливи'!K114,'2. Променливи'!K30),0),0)</f>
        <v>1</v>
      </c>
      <c r="L38" s="937">
        <f>IFERROR(ROUND(AVERAGE('2. Променливи'!P114,'2. Променливи'!P30),0),0)</f>
        <v>0</v>
      </c>
      <c r="M38" s="411">
        <v>4.21</v>
      </c>
      <c r="N38" s="1822">
        <v>3</v>
      </c>
      <c r="O38" s="1815"/>
      <c r="P38" s="883" t="s">
        <v>1328</v>
      </c>
      <c r="Q38" s="1458">
        <f>IFERROR(F38-E38,"-")</f>
        <v>-0.39999999999999947</v>
      </c>
      <c r="R38" s="1458">
        <f>IFERROR(G38-F38,"-")</f>
        <v>-5.0000000000000711E-2</v>
      </c>
      <c r="S38" s="1458">
        <f>IFERROR(H38-G38,"-")</f>
        <v>-4.0000000000000036E-2</v>
      </c>
      <c r="T38" s="1458">
        <f>IFERROR(I38-H38,"-")</f>
        <v>-7.9999999999999183E-2</v>
      </c>
      <c r="U38" s="1458">
        <f>IFERROR(J38-I38,"-")</f>
        <v>-4.0000000000000036E-2</v>
      </c>
      <c r="V38" s="1462">
        <f>IFERROR(J38-M38,"-")</f>
        <v>-1.9999999999999574E-2</v>
      </c>
      <c r="Z38" s="3573"/>
      <c r="AA38" s="3573"/>
    </row>
    <row r="39" spans="1:27" ht="13.5" thickBot="1">
      <c r="A39" s="5037" t="s">
        <v>1107</v>
      </c>
      <c r="B39" s="5038"/>
      <c r="C39" s="5038"/>
      <c r="D39" s="5038"/>
      <c r="E39" s="5038"/>
      <c r="F39" s="5038"/>
      <c r="G39" s="5038"/>
      <c r="H39" s="5038"/>
      <c r="I39" s="5038"/>
      <c r="J39" s="5038"/>
      <c r="K39" s="5038"/>
      <c r="L39" s="5038"/>
      <c r="M39" s="5038"/>
      <c r="N39" s="5039"/>
      <c r="O39" s="880"/>
      <c r="Q39" s="1799"/>
      <c r="R39" s="1799"/>
    </row>
    <row r="40" spans="1:27" ht="14.25">
      <c r="A40" s="1807">
        <v>1</v>
      </c>
      <c r="B40" s="1811" t="s">
        <v>744</v>
      </c>
      <c r="C40" s="1812" t="s">
        <v>756</v>
      </c>
      <c r="D40" s="785" t="s">
        <v>1040</v>
      </c>
      <c r="E40" s="1823">
        <f>IFERROR(ROUND('2. Променливи'!E129/'2. Променливи'!E123/365,2),0)</f>
        <v>0</v>
      </c>
      <c r="F40" s="1823">
        <f>IFERROR(ROUND('2. Променливи'!F129/'2. Променливи'!F123/365,2),0)</f>
        <v>0</v>
      </c>
      <c r="G40" s="1823">
        <f>IFERROR(ROUND('2. Променливи'!G129/'2. Променливи'!G123/365,2),0)</f>
        <v>0</v>
      </c>
      <c r="H40" s="1823">
        <f>IFERROR(ROUND('2. Променливи'!H129/'2. Променливи'!H123/365,2),0)</f>
        <v>0</v>
      </c>
      <c r="I40" s="1823">
        <f>IFERROR(ROUND('2. Променливи'!I129/'2. Променливи'!I123/365,2),0)</f>
        <v>0</v>
      </c>
      <c r="J40" s="1823">
        <f>IFERROR(ROUND('2. Променливи'!J129/'2. Променливи'!J123/365,2),0)</f>
        <v>0</v>
      </c>
      <c r="K40" s="938">
        <f>IFERROR(ROUND(AVERAGE('2. Променливи'!K129,'2. Променливи'!K123),0),0)</f>
        <v>0</v>
      </c>
      <c r="L40" s="938">
        <f>IFERROR(ROUND(AVERAGE('2. Променливи'!P129,'2. Променливи'!P123),0),0)</f>
        <v>0</v>
      </c>
      <c r="M40" s="1824"/>
      <c r="N40" s="1825"/>
      <c r="O40" s="1826"/>
      <c r="P40" s="979" t="s">
        <v>1328</v>
      </c>
      <c r="Q40" s="1463">
        <f t="shared" ref="Q40:Q44" si="11">F40-E40</f>
        <v>0</v>
      </c>
      <c r="R40" s="1459">
        <f t="shared" ref="R40:R44" si="12">G40-F40</f>
        <v>0</v>
      </c>
      <c r="S40" s="1459">
        <f t="shared" ref="S40:S44" si="13">H40-G40</f>
        <v>0</v>
      </c>
      <c r="T40" s="1459">
        <f t="shared" ref="T40:T44" si="14">I40-H40</f>
        <v>0</v>
      </c>
      <c r="U40" s="1459">
        <f t="shared" ref="U40:U44" si="15">J40-I40</f>
        <v>0</v>
      </c>
      <c r="V40" s="1827"/>
    </row>
    <row r="41" spans="1:27" ht="14.25">
      <c r="A41" s="1807">
        <v>2</v>
      </c>
      <c r="B41" s="1811" t="s">
        <v>745</v>
      </c>
      <c r="C41" s="1812" t="s">
        <v>756</v>
      </c>
      <c r="D41" s="785" t="s">
        <v>170</v>
      </c>
      <c r="E41" s="1828">
        <f>IFERROR(ROUND('2. Променливи'!E129/'2. Променливи'!E127,4),0)</f>
        <v>0</v>
      </c>
      <c r="F41" s="1828">
        <f>IFERROR(ROUND('2. Променливи'!F129/'2. Променливи'!F127,4),0)</f>
        <v>0</v>
      </c>
      <c r="G41" s="1828">
        <f>IFERROR(ROUND('2. Променливи'!G129/'2. Променливи'!G127,4),0)</f>
        <v>0</v>
      </c>
      <c r="H41" s="1828">
        <f>IFERROR(ROUND('2. Променливи'!H129/'2. Променливи'!H127,4),0)</f>
        <v>0</v>
      </c>
      <c r="I41" s="1828">
        <f>IFERROR(ROUND('2. Променливи'!I129/'2. Променливи'!I127,4),0)</f>
        <v>0</v>
      </c>
      <c r="J41" s="1828">
        <f>IFERROR(ROUND('2. Променливи'!J129/'2. Променливи'!J127,4),0)</f>
        <v>0</v>
      </c>
      <c r="K41" s="938">
        <f>IFERROR(ROUND(AVERAGE('2. Променливи'!K129,'2. Променливи'!K127),0),0)</f>
        <v>0</v>
      </c>
      <c r="L41" s="938">
        <f>IFERROR(ROUND(AVERAGE('2. Променливи'!P129,'2. Променливи'!P127),0),0)</f>
        <v>0</v>
      </c>
      <c r="M41" s="1829"/>
      <c r="N41" s="1830"/>
      <c r="O41" s="1831"/>
      <c r="P41" s="980" t="s">
        <v>1328</v>
      </c>
      <c r="Q41" s="806">
        <f t="shared" si="11"/>
        <v>0</v>
      </c>
      <c r="R41" s="807">
        <f t="shared" si="12"/>
        <v>0</v>
      </c>
      <c r="S41" s="807">
        <f t="shared" si="13"/>
        <v>0</v>
      </c>
      <c r="T41" s="807">
        <f t="shared" si="14"/>
        <v>0</v>
      </c>
      <c r="U41" s="807">
        <f t="shared" si="15"/>
        <v>0</v>
      </c>
      <c r="V41" s="1832"/>
    </row>
    <row r="42" spans="1:27" ht="15" customHeight="1">
      <c r="A42" s="1807">
        <v>3</v>
      </c>
      <c r="B42" s="1811" t="s">
        <v>121</v>
      </c>
      <c r="C42" s="1812" t="s">
        <v>757</v>
      </c>
      <c r="D42" s="785" t="s">
        <v>749</v>
      </c>
      <c r="E42" s="1823">
        <f>IFERROR(ROUND('2. Променливи'!E126/'2. Променливи'!E122*100,2),0)</f>
        <v>0</v>
      </c>
      <c r="F42" s="1823">
        <f>IFERROR(ROUND('2. Променливи'!F126/'2. Променливи'!F122*100,2),0)</f>
        <v>0</v>
      </c>
      <c r="G42" s="1823">
        <f>IFERROR(ROUND('2. Променливи'!G126/'2. Променливи'!G122*100,2),0)</f>
        <v>0</v>
      </c>
      <c r="H42" s="1823">
        <f>IFERROR(ROUND('2. Променливи'!H126/'2. Променливи'!H122*100,2),0)</f>
        <v>0</v>
      </c>
      <c r="I42" s="1823">
        <f>IFERROR(ROUND('2. Променливи'!I126/'2. Променливи'!I122*100,2),0)</f>
        <v>0</v>
      </c>
      <c r="J42" s="1823">
        <f>IFERROR(ROUND('2. Променливи'!J126/'2. Променливи'!J122*100,2),0)</f>
        <v>0</v>
      </c>
      <c r="K42" s="938">
        <f>IFERROR(ROUND(AVERAGE('2. Променливи'!K126,'2. Променливи'!K122),0),0)</f>
        <v>0</v>
      </c>
      <c r="L42" s="938">
        <f>IFERROR(ROUND(AVERAGE('2. Променливи'!P126,'2. Променливи'!P122),0),0)</f>
        <v>0</v>
      </c>
      <c r="M42" s="1833"/>
      <c r="N42" s="1834"/>
      <c r="O42" s="1826"/>
      <c r="P42" s="981" t="s">
        <v>1328</v>
      </c>
      <c r="Q42" s="1454">
        <f t="shared" si="11"/>
        <v>0</v>
      </c>
      <c r="R42" s="1455">
        <f t="shared" si="12"/>
        <v>0</v>
      </c>
      <c r="S42" s="1455">
        <f t="shared" si="13"/>
        <v>0</v>
      </c>
      <c r="T42" s="1455">
        <f t="shared" si="14"/>
        <v>0</v>
      </c>
      <c r="U42" s="1455">
        <f t="shared" si="15"/>
        <v>0</v>
      </c>
      <c r="V42" s="1835"/>
    </row>
    <row r="43" spans="1:27" ht="15" customHeight="1">
      <c r="A43" s="1807">
        <v>4</v>
      </c>
      <c r="B43" s="1811" t="s">
        <v>130</v>
      </c>
      <c r="C43" s="1812" t="s">
        <v>766</v>
      </c>
      <c r="D43" s="785" t="s">
        <v>170</v>
      </c>
      <c r="E43" s="1828">
        <f>IFERROR(ROUND('2. Променливи'!E130/'2. Променливи'!E122,4),0)</f>
        <v>0</v>
      </c>
      <c r="F43" s="1828">
        <f>IFERROR(ROUND('2. Променливи'!F130/'2. Променливи'!F122,4),0)</f>
        <v>0</v>
      </c>
      <c r="G43" s="1828">
        <f>IFERROR(ROUND('2. Променливи'!G130/'2. Променливи'!G122,4),0)</f>
        <v>0</v>
      </c>
      <c r="H43" s="1828">
        <f>IFERROR(ROUND('2. Променливи'!H130/'2. Променливи'!H122,4),0)</f>
        <v>0</v>
      </c>
      <c r="I43" s="1828">
        <f>IFERROR(ROUND('2. Променливи'!I130/'2. Променливи'!I122,4),0)</f>
        <v>0</v>
      </c>
      <c r="J43" s="1828">
        <f>IFERROR(ROUND('2. Променливи'!J130/'2. Променливи'!J122,4),0)</f>
        <v>0</v>
      </c>
      <c r="K43" s="938">
        <f>IFERROR(ROUND(AVERAGE('2. Променливи'!K130,'2. Променливи'!K122),0),0)</f>
        <v>0</v>
      </c>
      <c r="L43" s="938">
        <f>IFERROR(ROUND(AVERAGE('2. Променливи'!P130,'2. Променливи'!P122),0),0)</f>
        <v>0</v>
      </c>
      <c r="M43" s="1833"/>
      <c r="N43" s="1836"/>
      <c r="O43" s="1837"/>
      <c r="P43" s="982" t="s">
        <v>1327</v>
      </c>
      <c r="Q43" s="806">
        <f t="shared" si="11"/>
        <v>0</v>
      </c>
      <c r="R43" s="807">
        <f t="shared" si="12"/>
        <v>0</v>
      </c>
      <c r="S43" s="807">
        <f t="shared" si="13"/>
        <v>0</v>
      </c>
      <c r="T43" s="807">
        <f t="shared" si="14"/>
        <v>0</v>
      </c>
      <c r="U43" s="807">
        <f t="shared" si="15"/>
        <v>0</v>
      </c>
      <c r="V43" s="1835"/>
    </row>
    <row r="44" spans="1:27" ht="29.25" customHeight="1" thickBot="1">
      <c r="A44" s="1819">
        <v>5</v>
      </c>
      <c r="B44" s="1820" t="s">
        <v>131</v>
      </c>
      <c r="C44" s="1838" t="s">
        <v>47</v>
      </c>
      <c r="D44" s="786" t="s">
        <v>1033</v>
      </c>
      <c r="E44" s="1839">
        <f>IFERROR(ROUND('2. Променливи'!E132/'2. Променливи'!E133,2),0)</f>
        <v>0</v>
      </c>
      <c r="F44" s="1839">
        <f>IFERROR(ROUND('2. Променливи'!F132/'2. Променливи'!F133,2),0)</f>
        <v>0</v>
      </c>
      <c r="G44" s="1839">
        <f>IFERROR(ROUND('2. Променливи'!G132/'2. Променливи'!G133,2),0)</f>
        <v>0</v>
      </c>
      <c r="H44" s="1839">
        <f>IFERROR(ROUND('2. Променливи'!H132/'2. Променливи'!H133,2),0)</f>
        <v>0</v>
      </c>
      <c r="I44" s="1839">
        <f>IFERROR(ROUND('2. Променливи'!I132/'2. Променливи'!I133,2),0)</f>
        <v>0</v>
      </c>
      <c r="J44" s="1839">
        <f>IFERROR(ROUND('2. Променливи'!J132/'2. Променливи'!J133,2),0)</f>
        <v>0</v>
      </c>
      <c r="K44" s="351">
        <f>IFERROR(ROUND(AVERAGE('2. Променливи'!K132,'2. Променливи'!K133),0),0)</f>
        <v>0</v>
      </c>
      <c r="L44" s="939">
        <f>IFERROR(ROUND(AVERAGE('2. Променливи'!P132,'2. Променливи'!P133),0),0)</f>
        <v>0</v>
      </c>
      <c r="M44" s="1840"/>
      <c r="N44" s="1841"/>
      <c r="O44" s="1826"/>
      <c r="P44" s="983" t="s">
        <v>1327</v>
      </c>
      <c r="Q44" s="1464">
        <f t="shared" si="11"/>
        <v>0</v>
      </c>
      <c r="R44" s="1458">
        <f t="shared" si="12"/>
        <v>0</v>
      </c>
      <c r="S44" s="1458">
        <f t="shared" si="13"/>
        <v>0</v>
      </c>
      <c r="T44" s="1458">
        <f t="shared" si="14"/>
        <v>0</v>
      </c>
      <c r="U44" s="1458">
        <f t="shared" si="15"/>
        <v>0</v>
      </c>
      <c r="V44" s="1842"/>
    </row>
    <row r="45" spans="1:27">
      <c r="F45" s="1844"/>
      <c r="G45" s="1844"/>
      <c r="L45" s="1845"/>
      <c r="Q45" s="1799"/>
      <c r="R45" s="1799"/>
    </row>
    <row r="46" spans="1:27" hidden="1">
      <c r="E46" s="1844"/>
    </row>
    <row r="47" spans="1:27" hidden="1">
      <c r="E47" s="1844"/>
      <c r="F47" s="1844"/>
      <c r="G47" s="1844"/>
    </row>
    <row r="48" spans="1:27">
      <c r="E48" s="1844"/>
      <c r="F48" s="1844"/>
      <c r="G48" s="1844"/>
    </row>
    <row r="49" spans="1:14">
      <c r="C49" s="1778" t="str">
        <f>'Приложение '!B82</f>
        <v>Дата: 15.04.2026 г.</v>
      </c>
      <c r="M49" s="1776"/>
    </row>
    <row r="50" spans="1:14">
      <c r="D50" s="5036"/>
      <c r="E50" s="5036"/>
      <c r="M50" s="1776"/>
      <c r="N50" s="1846"/>
    </row>
    <row r="51" spans="1:14">
      <c r="M51" s="1776"/>
    </row>
    <row r="52" spans="1:14">
      <c r="A52" s="1780" t="s">
        <v>555</v>
      </c>
    </row>
    <row r="53" spans="1:14">
      <c r="A53" s="4472" t="str">
        <f>CONCATENATE("1. Попълват се само клетките в жълт цвят съгласно определените с решение на КЕВР индивидуални цели на дружеството за ",J7)</f>
        <v>1. Попълват се само клетките в жълт цвят съгласно определените с решение на КЕВР индивидуални цели на дружеството за 2031 г.</v>
      </c>
    </row>
    <row r="54" spans="1:14">
      <c r="A54" s="3947" t="s">
        <v>1436</v>
      </c>
    </row>
    <row r="55" spans="1:14">
      <c r="A55" s="3947" t="s">
        <v>1472</v>
      </c>
      <c r="B55" s="3932"/>
    </row>
    <row r="56" spans="1:14">
      <c r="A56" s="3947" t="str">
        <f>CONCATENATE("4. В случай, че дружеството планира за ",J7," различна цел от определената с решение на КЕВР индивидуална цел по даден показател, в колона ""Отклонение ",J7," спрямо индивидуалната цел за ",J7,"""ще сепояви червена маркировка.")</f>
        <v>4. В случай, че дружеството планира за 2031 г. различна цел от определената с решение на КЕВР индивидуална цел по даден показател, в колона "Отклонение 2031 г. спрямо индивидуалната цел за 2031 г."ще сепояви червена маркировка.</v>
      </c>
    </row>
  </sheetData>
  <sheetProtection algorithmName="SHA-512" hashValue="+7gxySq4zGAFK3wVIKjIDCUK3M5sLSxxpR7OF7NKtnaGaBxJcSEFCec3pE6e8PXT3Fq1S6EBqzVSSA37RQ/Xug==" saltValue="I+rRXrZLOZvy6OH3IWYU2g==" spinCount="100000" sheet="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65" priority="229" operator="lessThan">
      <formula>0</formula>
    </cfRule>
  </conditionalFormatting>
  <conditionalFormatting sqref="V15">
    <cfRule type="cellIs" dxfId="264" priority="228" operator="greaterThan">
      <formula>0</formula>
    </cfRule>
  </conditionalFormatting>
  <conditionalFormatting sqref="V17">
    <cfRule type="cellIs" dxfId="263" priority="227" operator="lessThan">
      <formula>0</formula>
    </cfRule>
  </conditionalFormatting>
  <conditionalFormatting sqref="V18">
    <cfRule type="cellIs" dxfId="262" priority="225" operator="lessThan">
      <formula>0</formula>
    </cfRule>
    <cfRule type="cellIs" dxfId="261" priority="226" operator="lessThan">
      <formula>0</formula>
    </cfRule>
  </conditionalFormatting>
  <conditionalFormatting sqref="V19">
    <cfRule type="cellIs" dxfId="260" priority="224" operator="lessThan">
      <formula>0</formula>
    </cfRule>
  </conditionalFormatting>
  <conditionalFormatting sqref="V20">
    <cfRule type="cellIs" dxfId="259" priority="223" operator="lessThan">
      <formula>0</formula>
    </cfRule>
  </conditionalFormatting>
  <conditionalFormatting sqref="V22">
    <cfRule type="cellIs" dxfId="258" priority="222" operator="greaterThan">
      <formula>0</formula>
    </cfRule>
  </conditionalFormatting>
  <conditionalFormatting sqref="V23">
    <cfRule type="cellIs" dxfId="257" priority="221" operator="greaterThan">
      <formula>0</formula>
    </cfRule>
  </conditionalFormatting>
  <conditionalFormatting sqref="V24">
    <cfRule type="cellIs" dxfId="256" priority="220" operator="greaterThan">
      <formula>0</formula>
    </cfRule>
  </conditionalFormatting>
  <conditionalFormatting sqref="V25:V36">
    <cfRule type="cellIs" dxfId="255" priority="219" operator="lessThan">
      <formula>0</formula>
    </cfRule>
  </conditionalFormatting>
  <conditionalFormatting sqref="Q9:T12">
    <cfRule type="cellIs" dxfId="254" priority="218" operator="lessThan">
      <formula>0</formula>
    </cfRule>
  </conditionalFormatting>
  <conditionalFormatting sqref="V14">
    <cfRule type="cellIs" dxfId="253" priority="217" operator="greaterThan">
      <formula>$E$14</formula>
    </cfRule>
  </conditionalFormatting>
  <conditionalFormatting sqref="P9:P38">
    <cfRule type="cellIs" dxfId="252" priority="216" operator="lessThan">
      <formula>0</formula>
    </cfRule>
  </conditionalFormatting>
  <conditionalFormatting sqref="Q13:T16">
    <cfRule type="cellIs" dxfId="251"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50" priority="212" operator="lessThan">
      <formula>0</formula>
    </cfRule>
  </conditionalFormatting>
  <conditionalFormatting sqref="Q21:T24">
    <cfRule type="cellIs" dxfId="249" priority="211" operator="greaterThan">
      <formula>0</formula>
    </cfRule>
  </conditionalFormatting>
  <conditionalFormatting sqref="Q25:T36">
    <cfRule type="cellIs" dxfId="248" priority="210" operator="lessThan">
      <formula>0</formula>
    </cfRule>
  </conditionalFormatting>
  <conditionalFormatting sqref="Q37:S37">
    <cfRule type="cellIs" dxfId="247" priority="209" operator="greaterThan">
      <formula>0</formula>
    </cfRule>
  </conditionalFormatting>
  <conditionalFormatting sqref="U9:U12">
    <cfRule type="cellIs" dxfId="246" priority="208" operator="lessThan">
      <formula>0</formula>
    </cfRule>
  </conditionalFormatting>
  <conditionalFormatting sqref="U13:U16">
    <cfRule type="cellIs" dxfId="245"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44" priority="204" operator="lessThan">
      <formula>0</formula>
    </cfRule>
  </conditionalFormatting>
  <conditionalFormatting sqref="U21:U24">
    <cfRule type="cellIs" dxfId="243" priority="203" operator="greaterThan">
      <formula>0</formula>
    </cfRule>
  </conditionalFormatting>
  <conditionalFormatting sqref="U25:U36">
    <cfRule type="cellIs" dxfId="242" priority="202" operator="lessThan">
      <formula>0</formula>
    </cfRule>
  </conditionalFormatting>
  <conditionalFormatting sqref="V16">
    <cfRule type="cellIs" dxfId="241" priority="199" operator="greaterThan">
      <formula>0</formula>
    </cfRule>
    <cfRule type="cellIs" priority="200" operator="greaterThan">
      <formula>0</formula>
    </cfRule>
    <cfRule type="cellIs" priority="201" operator="greaterThan">
      <formula>0</formula>
    </cfRule>
  </conditionalFormatting>
  <conditionalFormatting sqref="V21">
    <cfRule type="cellIs" dxfId="240" priority="198" operator="greaterThan">
      <formula>0</formula>
    </cfRule>
  </conditionalFormatting>
  <conditionalFormatting sqref="V37">
    <cfRule type="cellIs" dxfId="239" priority="197" operator="greaterThan">
      <formula>0</formula>
    </cfRule>
  </conditionalFormatting>
  <conditionalFormatting sqref="T37:U37">
    <cfRule type="cellIs" dxfId="238" priority="196" operator="greaterThan">
      <formula>0</formula>
    </cfRule>
  </conditionalFormatting>
  <conditionalFormatting sqref="Q38:V38">
    <cfRule type="cellIs" dxfId="237" priority="195" operator="greaterThan">
      <formula>0</formula>
    </cfRule>
  </conditionalFormatting>
  <conditionalFormatting sqref="F9">
    <cfRule type="cellIs" dxfId="236" priority="194" operator="lessThan">
      <formula>$E$9</formula>
    </cfRule>
  </conditionalFormatting>
  <conditionalFormatting sqref="G9">
    <cfRule type="cellIs" dxfId="235" priority="193" operator="lessThan">
      <formula>$F$9</formula>
    </cfRule>
  </conditionalFormatting>
  <conditionalFormatting sqref="H9">
    <cfRule type="cellIs" dxfId="234" priority="192" operator="lessThan">
      <formula>$G$9</formula>
    </cfRule>
  </conditionalFormatting>
  <conditionalFormatting sqref="I9">
    <cfRule type="cellIs" dxfId="233" priority="191" operator="lessThan">
      <formula>$H$9</formula>
    </cfRule>
  </conditionalFormatting>
  <conditionalFormatting sqref="J9">
    <cfRule type="cellIs" dxfId="232" priority="190" operator="lessThan">
      <formula>$I$9</formula>
    </cfRule>
  </conditionalFormatting>
  <conditionalFormatting sqref="F10">
    <cfRule type="cellIs" dxfId="231" priority="189" operator="lessThan">
      <formula>$E$10</formula>
    </cfRule>
  </conditionalFormatting>
  <conditionalFormatting sqref="G10">
    <cfRule type="cellIs" dxfId="230" priority="188" operator="lessThan">
      <formula>$F$10</formula>
    </cfRule>
  </conditionalFormatting>
  <conditionalFormatting sqref="H10">
    <cfRule type="cellIs" dxfId="229" priority="187" operator="lessThan">
      <formula>$G$10</formula>
    </cfRule>
  </conditionalFormatting>
  <conditionalFormatting sqref="I10">
    <cfRule type="cellIs" dxfId="228" priority="186" operator="lessThan">
      <formula>$H$10</formula>
    </cfRule>
  </conditionalFormatting>
  <conditionalFormatting sqref="J10">
    <cfRule type="cellIs" dxfId="227" priority="185" operator="lessThan">
      <formula>$I$10</formula>
    </cfRule>
  </conditionalFormatting>
  <conditionalFormatting sqref="F11">
    <cfRule type="cellIs" dxfId="226" priority="184" operator="lessThan">
      <formula>$E$11</formula>
    </cfRule>
  </conditionalFormatting>
  <conditionalFormatting sqref="G11">
    <cfRule type="cellIs" dxfId="225" priority="183" operator="lessThan">
      <formula>$F$11</formula>
    </cfRule>
  </conditionalFormatting>
  <conditionalFormatting sqref="H11">
    <cfRule type="cellIs" dxfId="224" priority="182" operator="lessThan">
      <formula>$G$11</formula>
    </cfRule>
  </conditionalFormatting>
  <conditionalFormatting sqref="I11">
    <cfRule type="cellIs" dxfId="223" priority="181" operator="lessThan">
      <formula>$H$11</formula>
    </cfRule>
  </conditionalFormatting>
  <conditionalFormatting sqref="J11">
    <cfRule type="cellIs" dxfId="222" priority="180" operator="lessThan">
      <formula>$I$11</formula>
    </cfRule>
  </conditionalFormatting>
  <conditionalFormatting sqref="F12">
    <cfRule type="cellIs" dxfId="221" priority="179" operator="lessThan">
      <formula>$E$12</formula>
    </cfRule>
  </conditionalFormatting>
  <conditionalFormatting sqref="G12">
    <cfRule type="cellIs" dxfId="220" priority="178" operator="lessThan">
      <formula>$F$12</formula>
    </cfRule>
  </conditionalFormatting>
  <conditionalFormatting sqref="H12">
    <cfRule type="cellIs" dxfId="219" priority="177" operator="lessThan">
      <formula>$G$12</formula>
    </cfRule>
  </conditionalFormatting>
  <conditionalFormatting sqref="I12">
    <cfRule type="cellIs" dxfId="218" priority="176" operator="lessThan">
      <formula>$H$12</formula>
    </cfRule>
  </conditionalFormatting>
  <conditionalFormatting sqref="J12">
    <cfRule type="cellIs" dxfId="217" priority="175" operator="lessThan">
      <formula>$I$12</formula>
    </cfRule>
  </conditionalFormatting>
  <conditionalFormatting sqref="F13">
    <cfRule type="cellIs" dxfId="216" priority="174" operator="greaterThan">
      <formula>$E$13</formula>
    </cfRule>
  </conditionalFormatting>
  <conditionalFormatting sqref="G13">
    <cfRule type="cellIs" dxfId="215" priority="173" operator="greaterThan">
      <formula>$F$13</formula>
    </cfRule>
  </conditionalFormatting>
  <conditionalFormatting sqref="H13">
    <cfRule type="cellIs" dxfId="214" priority="172" operator="greaterThan">
      <formula>$G$13</formula>
    </cfRule>
  </conditionalFormatting>
  <conditionalFormatting sqref="I13">
    <cfRule type="cellIs" dxfId="213" priority="171" operator="greaterThan">
      <formula>$H$13</formula>
    </cfRule>
  </conditionalFormatting>
  <conditionalFormatting sqref="J13">
    <cfRule type="cellIs" dxfId="212" priority="170" operator="greaterThan">
      <formula>$I$13</formula>
    </cfRule>
  </conditionalFormatting>
  <conditionalFormatting sqref="Q40:S40">
    <cfRule type="cellIs" dxfId="211" priority="169" operator="greaterThan">
      <formula>0</formula>
    </cfRule>
  </conditionalFormatting>
  <conditionalFormatting sqref="T40:U40">
    <cfRule type="cellIs" dxfId="210" priority="168" operator="greaterThan">
      <formula>0</formula>
    </cfRule>
  </conditionalFormatting>
  <conditionalFormatting sqref="Q41:T41">
    <cfRule type="cellIs" dxfId="209"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8"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207" priority="161" operator="lessThan">
      <formula>0</formula>
    </cfRule>
  </conditionalFormatting>
  <conditionalFormatting sqref="U44">
    <cfRule type="cellIs" dxfId="206" priority="160" operator="lessThan">
      <formula>0</formula>
    </cfRule>
  </conditionalFormatting>
  <conditionalFormatting sqref="Q42:T42">
    <cfRule type="cellIs" dxfId="205" priority="157" operator="greaterThan">
      <formula>0</formula>
    </cfRule>
    <cfRule type="cellIs" priority="158" operator="greaterThan">
      <formula>0</formula>
    </cfRule>
    <cfRule type="cellIs" priority="159" operator="greaterThan">
      <formula>0</formula>
    </cfRule>
  </conditionalFormatting>
  <conditionalFormatting sqref="U42">
    <cfRule type="cellIs" dxfId="204"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203" priority="153" operator="lessThan">
      <formula>0</formula>
    </cfRule>
  </conditionalFormatting>
  <conditionalFormatting sqref="U43">
    <cfRule type="cellIs" dxfId="202" priority="152" operator="lessThan">
      <formula>0</formula>
    </cfRule>
  </conditionalFormatting>
  <conditionalFormatting sqref="F14">
    <cfRule type="cellIs" dxfId="201" priority="151" operator="greaterThan">
      <formula>$E$14</formula>
    </cfRule>
  </conditionalFormatting>
  <conditionalFormatting sqref="G14">
    <cfRule type="cellIs" dxfId="200" priority="150" operator="greaterThan">
      <formula>$F$14</formula>
    </cfRule>
  </conditionalFormatting>
  <conditionalFormatting sqref="H14">
    <cfRule type="cellIs" dxfId="199" priority="149" operator="greaterThan">
      <formula>$G$14</formula>
    </cfRule>
  </conditionalFormatting>
  <conditionalFormatting sqref="I14">
    <cfRule type="cellIs" dxfId="198" priority="148" operator="greaterThan">
      <formula>$H$14</formula>
    </cfRule>
  </conditionalFormatting>
  <conditionalFormatting sqref="J14">
    <cfRule type="cellIs" dxfId="197" priority="147" operator="greaterThan">
      <formula>$I$14</formula>
    </cfRule>
  </conditionalFormatting>
  <conditionalFormatting sqref="F15">
    <cfRule type="cellIs" dxfId="196" priority="146" operator="greaterThan">
      <formula>$E$15</formula>
    </cfRule>
  </conditionalFormatting>
  <conditionalFormatting sqref="G15">
    <cfRule type="cellIs" dxfId="195" priority="145" operator="greaterThan">
      <formula>$F$15</formula>
    </cfRule>
  </conditionalFormatting>
  <conditionalFormatting sqref="H15">
    <cfRule type="cellIs" dxfId="194" priority="144" operator="greaterThan">
      <formula>$G$15</formula>
    </cfRule>
  </conditionalFormatting>
  <conditionalFormatting sqref="I15">
    <cfRule type="cellIs" dxfId="193" priority="143" operator="greaterThan">
      <formula>$H$15</formula>
    </cfRule>
  </conditionalFormatting>
  <conditionalFormatting sqref="J15">
    <cfRule type="cellIs" dxfId="192" priority="142" operator="greaterThan">
      <formula>$I$15</formula>
    </cfRule>
  </conditionalFormatting>
  <conditionalFormatting sqref="F16">
    <cfRule type="cellIs" dxfId="191" priority="141" operator="greaterThan">
      <formula>$E$16</formula>
    </cfRule>
  </conditionalFormatting>
  <conditionalFormatting sqref="G16">
    <cfRule type="cellIs" dxfId="190" priority="140" operator="greaterThan">
      <formula>$F$16</formula>
    </cfRule>
  </conditionalFormatting>
  <conditionalFormatting sqref="H16">
    <cfRule type="cellIs" dxfId="189" priority="139" operator="greaterThan">
      <formula>$G$16</formula>
    </cfRule>
  </conditionalFormatting>
  <conditionalFormatting sqref="I16">
    <cfRule type="cellIs" dxfId="188" priority="138" operator="greaterThan">
      <formula>$H$16</formula>
    </cfRule>
  </conditionalFormatting>
  <conditionalFormatting sqref="J16">
    <cfRule type="cellIs" dxfId="187" priority="137" operator="greaterThan">
      <formula>$I$16</formula>
    </cfRule>
  </conditionalFormatting>
  <conditionalFormatting sqref="F17 I17">
    <cfRule type="cellIs" dxfId="186" priority="136" operator="lessThan">
      <formula>$E$17</formula>
    </cfRule>
  </conditionalFormatting>
  <conditionalFormatting sqref="G17 J17">
    <cfRule type="cellIs" dxfId="185" priority="135" operator="lessThan">
      <formula>$F$17</formula>
    </cfRule>
  </conditionalFormatting>
  <conditionalFormatting sqref="H17">
    <cfRule type="cellIs" dxfId="184" priority="134" operator="lessThan">
      <formula>$G$17</formula>
    </cfRule>
  </conditionalFormatting>
  <conditionalFormatting sqref="F18">
    <cfRule type="cellIs" dxfId="183" priority="133" operator="lessThan">
      <formula>$E$18</formula>
    </cfRule>
  </conditionalFormatting>
  <conditionalFormatting sqref="G18">
    <cfRule type="cellIs" dxfId="182" priority="132" operator="lessThan">
      <formula>$F$18</formula>
    </cfRule>
  </conditionalFormatting>
  <conditionalFormatting sqref="H18">
    <cfRule type="cellIs" dxfId="181" priority="131" operator="lessThan">
      <formula>$G$18</formula>
    </cfRule>
  </conditionalFormatting>
  <conditionalFormatting sqref="I18">
    <cfRule type="cellIs" dxfId="180" priority="130" operator="lessThan">
      <formula>$H$18</formula>
    </cfRule>
  </conditionalFormatting>
  <conditionalFormatting sqref="J18">
    <cfRule type="cellIs" dxfId="179" priority="129" operator="lessThan">
      <formula>$I$18</formula>
    </cfRule>
  </conditionalFormatting>
  <conditionalFormatting sqref="F19">
    <cfRule type="cellIs" dxfId="178" priority="128" operator="lessThan">
      <formula>$E$19</formula>
    </cfRule>
  </conditionalFormatting>
  <conditionalFormatting sqref="G19">
    <cfRule type="cellIs" dxfId="177" priority="127" operator="lessThan">
      <formula>$F$19</formula>
    </cfRule>
  </conditionalFormatting>
  <conditionalFormatting sqref="H19">
    <cfRule type="cellIs" dxfId="176" priority="126" operator="lessThan">
      <formula>$G$19</formula>
    </cfRule>
  </conditionalFormatting>
  <conditionalFormatting sqref="I19">
    <cfRule type="cellIs" dxfId="175" priority="125" operator="lessThan">
      <formula>$H$19</formula>
    </cfRule>
  </conditionalFormatting>
  <conditionalFormatting sqref="J19">
    <cfRule type="cellIs" dxfId="174" priority="124" operator="lessThan">
      <formula>$I$19</formula>
    </cfRule>
  </conditionalFormatting>
  <conditionalFormatting sqref="F20">
    <cfRule type="cellIs" dxfId="173" priority="123" operator="lessThan">
      <formula>$E$20</formula>
    </cfRule>
  </conditionalFormatting>
  <conditionalFormatting sqref="G20">
    <cfRule type="cellIs" dxfId="172" priority="122" operator="lessThan">
      <formula>$F$20</formula>
    </cfRule>
  </conditionalFormatting>
  <conditionalFormatting sqref="H20">
    <cfRule type="cellIs" dxfId="171" priority="121" operator="lessThan">
      <formula>$G$20</formula>
    </cfRule>
  </conditionalFormatting>
  <conditionalFormatting sqref="I20">
    <cfRule type="cellIs" dxfId="170" priority="120" operator="lessThan">
      <formula>$H$20</formula>
    </cfRule>
  </conditionalFormatting>
  <conditionalFormatting sqref="J20">
    <cfRule type="cellIs" dxfId="169" priority="119" operator="lessThan">
      <formula>$I$20</formula>
    </cfRule>
  </conditionalFormatting>
  <conditionalFormatting sqref="F21">
    <cfRule type="cellIs" dxfId="168" priority="118" operator="greaterThan">
      <formula>$E$21</formula>
    </cfRule>
  </conditionalFormatting>
  <conditionalFormatting sqref="G21">
    <cfRule type="cellIs" dxfId="167" priority="117" operator="greaterThan">
      <formula>$F$21</formula>
    </cfRule>
  </conditionalFormatting>
  <conditionalFormatting sqref="H21">
    <cfRule type="cellIs" dxfId="166" priority="116" operator="greaterThan">
      <formula>$G$21</formula>
    </cfRule>
  </conditionalFormatting>
  <conditionalFormatting sqref="I21">
    <cfRule type="cellIs" dxfId="165" priority="115" operator="greaterThan">
      <formula>$H$21</formula>
    </cfRule>
  </conditionalFormatting>
  <conditionalFormatting sqref="J21">
    <cfRule type="cellIs" dxfId="164" priority="114" operator="greaterThan">
      <formula>$I$21</formula>
    </cfRule>
  </conditionalFormatting>
  <conditionalFormatting sqref="F22">
    <cfRule type="cellIs" dxfId="163" priority="113" operator="greaterThan">
      <formula>$E$22</formula>
    </cfRule>
  </conditionalFormatting>
  <conditionalFormatting sqref="G22">
    <cfRule type="cellIs" dxfId="162" priority="112" operator="greaterThan">
      <formula>$F$22</formula>
    </cfRule>
  </conditionalFormatting>
  <conditionalFormatting sqref="H22">
    <cfRule type="cellIs" dxfId="161" priority="111" operator="greaterThan">
      <formula>$G$22</formula>
    </cfRule>
  </conditionalFormatting>
  <conditionalFormatting sqref="I22">
    <cfRule type="cellIs" dxfId="160" priority="110" operator="greaterThan">
      <formula>$H$22</formula>
    </cfRule>
  </conditionalFormatting>
  <conditionalFormatting sqref="J22">
    <cfRule type="cellIs" dxfId="159" priority="109" operator="greaterThan">
      <formula>$I$22</formula>
    </cfRule>
  </conditionalFormatting>
  <conditionalFormatting sqref="F23">
    <cfRule type="cellIs" dxfId="158" priority="108" operator="greaterThan">
      <formula>$E$23</formula>
    </cfRule>
  </conditionalFormatting>
  <conditionalFormatting sqref="G23">
    <cfRule type="cellIs" dxfId="157" priority="107" operator="greaterThan">
      <formula>$F$23</formula>
    </cfRule>
  </conditionalFormatting>
  <conditionalFormatting sqref="H23">
    <cfRule type="cellIs" dxfId="156" priority="106" operator="greaterThan">
      <formula>$G$23</formula>
    </cfRule>
  </conditionalFormatting>
  <conditionalFormatting sqref="I23">
    <cfRule type="cellIs" dxfId="155" priority="105" operator="greaterThan">
      <formula>$H$23</formula>
    </cfRule>
  </conditionalFormatting>
  <conditionalFormatting sqref="J23">
    <cfRule type="cellIs" dxfId="154" priority="104" operator="greaterThan">
      <formula>$I$23</formula>
    </cfRule>
  </conditionalFormatting>
  <conditionalFormatting sqref="F24">
    <cfRule type="cellIs" dxfId="153" priority="103" operator="greaterThan">
      <formula>$E$24</formula>
    </cfRule>
  </conditionalFormatting>
  <conditionalFormatting sqref="G24">
    <cfRule type="cellIs" dxfId="152" priority="102" operator="greaterThan">
      <formula>$F$24</formula>
    </cfRule>
  </conditionalFormatting>
  <conditionalFormatting sqref="H24">
    <cfRule type="cellIs" dxfId="151" priority="101" operator="greaterThan">
      <formula>$G$24</formula>
    </cfRule>
  </conditionalFormatting>
  <conditionalFormatting sqref="I24">
    <cfRule type="cellIs" dxfId="150" priority="100" operator="greaterThan">
      <formula>$H$24</formula>
    </cfRule>
  </conditionalFormatting>
  <conditionalFormatting sqref="J24">
    <cfRule type="cellIs" dxfId="149" priority="99" operator="greaterThan">
      <formula>$I$24</formula>
    </cfRule>
  </conditionalFormatting>
  <conditionalFormatting sqref="G25">
    <cfRule type="cellIs" dxfId="148" priority="98" operator="lessThan">
      <formula>$F$25</formula>
    </cfRule>
  </conditionalFormatting>
  <conditionalFormatting sqref="H25">
    <cfRule type="cellIs" dxfId="147" priority="97" operator="lessThan">
      <formula>$G$25</formula>
    </cfRule>
  </conditionalFormatting>
  <conditionalFormatting sqref="I25">
    <cfRule type="cellIs" dxfId="146" priority="96" operator="lessThan">
      <formula>$H$25</formula>
    </cfRule>
  </conditionalFormatting>
  <conditionalFormatting sqref="J25">
    <cfRule type="cellIs" dxfId="145" priority="95" operator="lessThan">
      <formula>$I$25</formula>
    </cfRule>
  </conditionalFormatting>
  <conditionalFormatting sqref="F26">
    <cfRule type="cellIs" dxfId="144" priority="94" operator="lessThan">
      <formula>$E$26</formula>
    </cfRule>
  </conditionalFormatting>
  <conditionalFormatting sqref="G26">
    <cfRule type="cellIs" dxfId="143" priority="93" operator="lessThan">
      <formula>$F$26</formula>
    </cfRule>
  </conditionalFormatting>
  <conditionalFormatting sqref="H26">
    <cfRule type="cellIs" dxfId="142" priority="92" operator="lessThan">
      <formula>$G$26</formula>
    </cfRule>
  </conditionalFormatting>
  <conditionalFormatting sqref="I26">
    <cfRule type="cellIs" dxfId="141" priority="90" operator="lessThan">
      <formula>$H$26</formula>
    </cfRule>
    <cfRule type="cellIs" dxfId="140" priority="91" operator="lessThan">
      <formula>$H$26</formula>
    </cfRule>
  </conditionalFormatting>
  <conditionalFormatting sqref="J26">
    <cfRule type="cellIs" dxfId="139" priority="89" operator="lessThan">
      <formula>$I$26</formula>
    </cfRule>
  </conditionalFormatting>
  <conditionalFormatting sqref="F27">
    <cfRule type="cellIs" dxfId="138" priority="88" operator="lessThan">
      <formula>$E$27</formula>
    </cfRule>
  </conditionalFormatting>
  <conditionalFormatting sqref="G27">
    <cfRule type="cellIs" dxfId="137" priority="87" operator="lessThan">
      <formula>$F$27</formula>
    </cfRule>
  </conditionalFormatting>
  <conditionalFormatting sqref="H27">
    <cfRule type="cellIs" dxfId="136" priority="86" operator="lessThan">
      <formula>$G$27</formula>
    </cfRule>
  </conditionalFormatting>
  <conditionalFormatting sqref="I27">
    <cfRule type="cellIs" dxfId="135" priority="85" operator="lessThan">
      <formula>$H$27</formula>
    </cfRule>
  </conditionalFormatting>
  <conditionalFormatting sqref="J27">
    <cfRule type="cellIs" dxfId="134" priority="84" operator="lessThan">
      <formula>$I$27</formula>
    </cfRule>
  </conditionalFormatting>
  <conditionalFormatting sqref="F28">
    <cfRule type="cellIs" dxfId="133" priority="83" operator="lessThan">
      <formula>$E$28</formula>
    </cfRule>
  </conditionalFormatting>
  <conditionalFormatting sqref="G28">
    <cfRule type="cellIs" dxfId="132" priority="82" operator="lessThan">
      <formula>$F$28</formula>
    </cfRule>
  </conditionalFormatting>
  <conditionalFormatting sqref="H28">
    <cfRule type="cellIs" dxfId="131" priority="81" operator="lessThan">
      <formula>$G$28</formula>
    </cfRule>
  </conditionalFormatting>
  <conditionalFormatting sqref="I28">
    <cfRule type="cellIs" dxfId="130" priority="80" operator="lessThan">
      <formula>$H$28</formula>
    </cfRule>
  </conditionalFormatting>
  <conditionalFormatting sqref="J28">
    <cfRule type="cellIs" dxfId="129" priority="79" operator="lessThan">
      <formula>$I$28</formula>
    </cfRule>
  </conditionalFormatting>
  <conditionalFormatting sqref="F29">
    <cfRule type="cellIs" dxfId="128" priority="78" operator="lessThan">
      <formula>$E$29</formula>
    </cfRule>
  </conditionalFormatting>
  <conditionalFormatting sqref="G29">
    <cfRule type="cellIs" dxfId="127" priority="77" operator="lessThan">
      <formula>$F$29</formula>
    </cfRule>
  </conditionalFormatting>
  <conditionalFormatting sqref="H29">
    <cfRule type="cellIs" dxfId="126" priority="76" operator="lessThan">
      <formula>$G$29</formula>
    </cfRule>
  </conditionalFormatting>
  <conditionalFormatting sqref="I29">
    <cfRule type="cellIs" dxfId="125" priority="75" operator="lessThan">
      <formula>$H$29</formula>
    </cfRule>
  </conditionalFormatting>
  <conditionalFormatting sqref="J29">
    <cfRule type="cellIs" dxfId="124" priority="74" operator="lessThan">
      <formula>$I$29</formula>
    </cfRule>
  </conditionalFormatting>
  <conditionalFormatting sqref="F30">
    <cfRule type="cellIs" dxfId="123" priority="73" operator="lessThan">
      <formula>$E$30</formula>
    </cfRule>
  </conditionalFormatting>
  <conditionalFormatting sqref="G30">
    <cfRule type="cellIs" dxfId="122" priority="72" operator="lessThan">
      <formula>$F$30</formula>
    </cfRule>
  </conditionalFormatting>
  <conditionalFormatting sqref="H30">
    <cfRule type="cellIs" dxfId="121" priority="71" operator="lessThan">
      <formula>$G$30</formula>
    </cfRule>
  </conditionalFormatting>
  <conditionalFormatting sqref="I30">
    <cfRule type="cellIs" dxfId="120" priority="70" operator="lessThan">
      <formula>$H$30</formula>
    </cfRule>
  </conditionalFormatting>
  <conditionalFormatting sqref="J30">
    <cfRule type="cellIs" dxfId="119" priority="69" operator="lessThan">
      <formula>$I$30</formula>
    </cfRule>
  </conditionalFormatting>
  <conditionalFormatting sqref="F31">
    <cfRule type="cellIs" dxfId="118" priority="68" operator="lessThan">
      <formula>$E$31</formula>
    </cfRule>
  </conditionalFormatting>
  <conditionalFormatting sqref="G31">
    <cfRule type="cellIs" dxfId="117" priority="67" operator="lessThan">
      <formula>$F$31</formula>
    </cfRule>
  </conditionalFormatting>
  <conditionalFormatting sqref="H31">
    <cfRule type="cellIs" dxfId="116" priority="66" operator="lessThan">
      <formula>$G$31</formula>
    </cfRule>
  </conditionalFormatting>
  <conditionalFormatting sqref="I31">
    <cfRule type="cellIs" dxfId="115" priority="65" operator="lessThan">
      <formula>$H$31</formula>
    </cfRule>
  </conditionalFormatting>
  <conditionalFormatting sqref="J31">
    <cfRule type="cellIs" dxfId="114" priority="64" operator="lessThan">
      <formula>$I$31</formula>
    </cfRule>
  </conditionalFormatting>
  <conditionalFormatting sqref="F32">
    <cfRule type="cellIs" dxfId="113" priority="63" operator="lessThan">
      <formula>$E$32</formula>
    </cfRule>
  </conditionalFormatting>
  <conditionalFormatting sqref="G32">
    <cfRule type="cellIs" dxfId="112" priority="62" operator="lessThan">
      <formula>$F$32</formula>
    </cfRule>
  </conditionalFormatting>
  <conditionalFormatting sqref="H32">
    <cfRule type="cellIs" dxfId="111" priority="61" operator="lessThan">
      <formula>$G$32</formula>
    </cfRule>
  </conditionalFormatting>
  <conditionalFormatting sqref="I32">
    <cfRule type="cellIs" dxfId="110" priority="60" operator="lessThan">
      <formula>$H$32</formula>
    </cfRule>
  </conditionalFormatting>
  <conditionalFormatting sqref="J32">
    <cfRule type="cellIs" dxfId="109" priority="59" operator="lessThan">
      <formula>$I$32</formula>
    </cfRule>
  </conditionalFormatting>
  <conditionalFormatting sqref="F33">
    <cfRule type="cellIs" dxfId="108" priority="58" operator="lessThan">
      <formula>$E$33</formula>
    </cfRule>
  </conditionalFormatting>
  <conditionalFormatting sqref="G33">
    <cfRule type="cellIs" dxfId="107" priority="57" operator="lessThan">
      <formula>$F$33</formula>
    </cfRule>
  </conditionalFormatting>
  <conditionalFormatting sqref="H33">
    <cfRule type="cellIs" dxfId="106" priority="56" operator="lessThan">
      <formula>$G$33</formula>
    </cfRule>
  </conditionalFormatting>
  <conditionalFormatting sqref="I33">
    <cfRule type="cellIs" dxfId="105" priority="55" operator="lessThan">
      <formula>$H$33</formula>
    </cfRule>
  </conditionalFormatting>
  <conditionalFormatting sqref="J33">
    <cfRule type="cellIs" dxfId="104" priority="54" operator="lessThan">
      <formula>$I$33</formula>
    </cfRule>
  </conditionalFormatting>
  <conditionalFormatting sqref="F34">
    <cfRule type="cellIs" dxfId="103" priority="53" operator="lessThan">
      <formula>$E$34</formula>
    </cfRule>
  </conditionalFormatting>
  <conditionalFormatting sqref="F35">
    <cfRule type="cellIs" dxfId="102" priority="52" operator="lessThan">
      <formula>$E$35</formula>
    </cfRule>
  </conditionalFormatting>
  <conditionalFormatting sqref="F36">
    <cfRule type="cellIs" dxfId="101" priority="51" operator="lessThan">
      <formula>$E$36</formula>
    </cfRule>
  </conditionalFormatting>
  <conditionalFormatting sqref="G34">
    <cfRule type="cellIs" dxfId="100" priority="50" operator="lessThan">
      <formula>$F$34</formula>
    </cfRule>
  </conditionalFormatting>
  <conditionalFormatting sqref="H34">
    <cfRule type="cellIs" dxfId="99" priority="49" operator="lessThan">
      <formula>$G$34</formula>
    </cfRule>
  </conditionalFormatting>
  <conditionalFormatting sqref="I34">
    <cfRule type="cellIs" dxfId="98" priority="48" operator="lessThan">
      <formula>$H$34</formula>
    </cfRule>
  </conditionalFormatting>
  <conditionalFormatting sqref="J34">
    <cfRule type="cellIs" dxfId="97" priority="47" operator="lessThan">
      <formula>$I$34</formula>
    </cfRule>
  </conditionalFormatting>
  <conditionalFormatting sqref="G35">
    <cfRule type="cellIs" dxfId="96" priority="46" operator="lessThan">
      <formula>$F$35</formula>
    </cfRule>
  </conditionalFormatting>
  <conditionalFormatting sqref="H35">
    <cfRule type="cellIs" dxfId="95" priority="45" operator="lessThan">
      <formula>$G$35</formula>
    </cfRule>
  </conditionalFormatting>
  <conditionalFormatting sqref="I35">
    <cfRule type="cellIs" dxfId="94" priority="44" operator="lessThan">
      <formula>$H$35</formula>
    </cfRule>
  </conditionalFormatting>
  <conditionalFormatting sqref="J35">
    <cfRule type="cellIs" dxfId="93" priority="43" operator="lessThan">
      <formula>$I$35</formula>
    </cfRule>
  </conditionalFormatting>
  <conditionalFormatting sqref="G36">
    <cfRule type="cellIs" dxfId="92" priority="42" operator="lessThan">
      <formula>$F$36</formula>
    </cfRule>
  </conditionalFormatting>
  <conditionalFormatting sqref="H36">
    <cfRule type="cellIs" dxfId="91" priority="41" operator="lessThan">
      <formula>$G$36</formula>
    </cfRule>
  </conditionalFormatting>
  <conditionalFormatting sqref="I36">
    <cfRule type="cellIs" dxfId="90" priority="40" operator="lessThan">
      <formula>$H$36</formula>
    </cfRule>
  </conditionalFormatting>
  <conditionalFormatting sqref="J36">
    <cfRule type="cellIs" dxfId="89" priority="39" operator="lessThan">
      <formula>$I$36</formula>
    </cfRule>
  </conditionalFormatting>
  <conditionalFormatting sqref="F37">
    <cfRule type="cellIs" dxfId="88" priority="38" operator="greaterThan">
      <formula>$E$37</formula>
    </cfRule>
  </conditionalFormatting>
  <conditionalFormatting sqref="F38">
    <cfRule type="cellIs" dxfId="87" priority="37" operator="greaterThan">
      <formula>$E$38</formula>
    </cfRule>
  </conditionalFormatting>
  <conditionalFormatting sqref="G37">
    <cfRule type="cellIs" dxfId="86" priority="36" operator="greaterThan">
      <formula>$F$37</formula>
    </cfRule>
  </conditionalFormatting>
  <conditionalFormatting sqref="G38">
    <cfRule type="cellIs" dxfId="85" priority="35" operator="greaterThan">
      <formula>$F$38</formula>
    </cfRule>
  </conditionalFormatting>
  <conditionalFormatting sqref="H37">
    <cfRule type="cellIs" dxfId="84" priority="34" operator="greaterThan">
      <formula>$G$37</formula>
    </cfRule>
  </conditionalFormatting>
  <conditionalFormatting sqref="I37">
    <cfRule type="cellIs" dxfId="83" priority="33" operator="greaterThan">
      <formula>$H$37</formula>
    </cfRule>
  </conditionalFormatting>
  <conditionalFormatting sqref="J37">
    <cfRule type="cellIs" dxfId="82" priority="32" operator="greaterThan">
      <formula>$I$37</formula>
    </cfRule>
  </conditionalFormatting>
  <conditionalFormatting sqref="H38">
    <cfRule type="cellIs" dxfId="81" priority="31" operator="greaterThan">
      <formula>$G$38</formula>
    </cfRule>
  </conditionalFormatting>
  <conditionalFormatting sqref="I38">
    <cfRule type="cellIs" dxfId="80" priority="30" operator="greaterThan">
      <formula>$H$38</formula>
    </cfRule>
  </conditionalFormatting>
  <conditionalFormatting sqref="J38">
    <cfRule type="cellIs" dxfId="79" priority="29" operator="greaterThan">
      <formula>$I$38</formula>
    </cfRule>
  </conditionalFormatting>
  <conditionalFormatting sqref="F40">
    <cfRule type="cellIs" dxfId="78" priority="28" operator="greaterThan">
      <formula>$E$40</formula>
    </cfRule>
  </conditionalFormatting>
  <conditionalFormatting sqref="G40">
    <cfRule type="cellIs" dxfId="77" priority="27" operator="greaterThan">
      <formula>$F$40</formula>
    </cfRule>
  </conditionalFormatting>
  <conditionalFormatting sqref="H40">
    <cfRule type="cellIs" dxfId="76" priority="26" operator="greaterThan">
      <formula>$G$40</formula>
    </cfRule>
  </conditionalFormatting>
  <conditionalFormatting sqref="I40">
    <cfRule type="cellIs" dxfId="75" priority="25" operator="greaterThan">
      <formula>$H$40</formula>
    </cfRule>
  </conditionalFormatting>
  <conditionalFormatting sqref="J40">
    <cfRule type="cellIs" dxfId="74" priority="24" operator="greaterThan">
      <formula>$I$40</formula>
    </cfRule>
  </conditionalFormatting>
  <conditionalFormatting sqref="F41">
    <cfRule type="cellIs" dxfId="73" priority="23" operator="greaterThan">
      <formula>$E$41</formula>
    </cfRule>
  </conditionalFormatting>
  <conditionalFormatting sqref="G41">
    <cfRule type="cellIs" dxfId="72" priority="22" operator="greaterThan">
      <formula>$F$41</formula>
    </cfRule>
  </conditionalFormatting>
  <conditionalFormatting sqref="H41">
    <cfRule type="cellIs" dxfId="71" priority="21" operator="greaterThan">
      <formula>$G$41</formula>
    </cfRule>
  </conditionalFormatting>
  <conditionalFormatting sqref="I41">
    <cfRule type="cellIs" dxfId="70" priority="20" operator="greaterThan">
      <formula>$H$41</formula>
    </cfRule>
  </conditionalFormatting>
  <conditionalFormatting sqref="J41">
    <cfRule type="cellIs" dxfId="69" priority="19" operator="greaterThan">
      <formula>$I$41</formula>
    </cfRule>
  </conditionalFormatting>
  <conditionalFormatting sqref="F42">
    <cfRule type="cellIs" dxfId="68" priority="18" operator="greaterThan">
      <formula>$E$42</formula>
    </cfRule>
  </conditionalFormatting>
  <conditionalFormatting sqref="G42">
    <cfRule type="cellIs" dxfId="67" priority="17" operator="greaterThan">
      <formula>$F$42</formula>
    </cfRule>
  </conditionalFormatting>
  <conditionalFormatting sqref="H42">
    <cfRule type="cellIs" dxfId="66" priority="16" operator="greaterThan">
      <formula>$G$42</formula>
    </cfRule>
  </conditionalFormatting>
  <conditionalFormatting sqref="I42">
    <cfRule type="cellIs" dxfId="65" priority="15" operator="greaterThan">
      <formula>$H$42</formula>
    </cfRule>
  </conditionalFormatting>
  <conditionalFormatting sqref="J42">
    <cfRule type="cellIs" dxfId="64" priority="14" operator="greaterThan">
      <formula>$I$42</formula>
    </cfRule>
  </conditionalFormatting>
  <conditionalFormatting sqref="F43">
    <cfRule type="cellIs" dxfId="63" priority="13" operator="lessThan">
      <formula>$E$43</formula>
    </cfRule>
  </conditionalFormatting>
  <conditionalFormatting sqref="G43">
    <cfRule type="cellIs" dxfId="62" priority="12" operator="lessThan">
      <formula>$F$43</formula>
    </cfRule>
  </conditionalFormatting>
  <conditionalFormatting sqref="H43">
    <cfRule type="cellIs" dxfId="61" priority="11" operator="lessThan">
      <formula>$G$43</formula>
    </cfRule>
  </conditionalFormatting>
  <conditionalFormatting sqref="I43">
    <cfRule type="cellIs" dxfId="60" priority="10" operator="lessThan">
      <formula>$H$43</formula>
    </cfRule>
  </conditionalFormatting>
  <conditionalFormatting sqref="J43">
    <cfRule type="cellIs" dxfId="59" priority="9" operator="lessThan">
      <formula>$I$43</formula>
    </cfRule>
  </conditionalFormatting>
  <conditionalFormatting sqref="F44">
    <cfRule type="cellIs" dxfId="58" priority="8" operator="lessThan">
      <formula>$E$44</formula>
    </cfRule>
  </conditionalFormatting>
  <conditionalFormatting sqref="G44">
    <cfRule type="cellIs" dxfId="57" priority="7" operator="lessThan">
      <formula>$F$44</formula>
    </cfRule>
  </conditionalFormatting>
  <conditionalFormatting sqref="H44">
    <cfRule type="cellIs" dxfId="56" priority="6" operator="lessThan">
      <formula>$G$44</formula>
    </cfRule>
  </conditionalFormatting>
  <conditionalFormatting sqref="I44">
    <cfRule type="cellIs" dxfId="55" priority="5" operator="lessThan">
      <formula>$H$44</formula>
    </cfRule>
  </conditionalFormatting>
  <conditionalFormatting sqref="J44">
    <cfRule type="cellIs" dxfId="54" priority="4" operator="lessThan">
      <formula>$I$44</formula>
    </cfRule>
  </conditionalFormatting>
  <conditionalFormatting sqref="V13">
    <cfRule type="cellIs" dxfId="53"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3"/>
  <sheetViews>
    <sheetView zoomScale="110" zoomScaleNormal="110" zoomScaleSheetLayoutView="100" workbookViewId="0">
      <pane xSplit="9" ySplit="7" topLeftCell="J8" activePane="bottomRight" state="frozen"/>
      <selection pane="topRight" activeCell="K1" sqref="K1"/>
      <selection pane="bottomLeft" activeCell="A9" sqref="A9"/>
      <selection pane="bottomRight" activeCell="D58" sqref="D58:I60"/>
    </sheetView>
  </sheetViews>
  <sheetFormatPr defaultRowHeight="12.75"/>
  <cols>
    <col min="1" max="1" width="8.28515625" style="1847" customWidth="1"/>
    <col min="2" max="2" width="42" style="1847" customWidth="1"/>
    <col min="3" max="3" width="8.28515625" style="1847" customWidth="1"/>
    <col min="4" max="7" width="10.7109375" style="1847" customWidth="1"/>
    <col min="8" max="8" width="11" style="1847" customWidth="1"/>
    <col min="9" max="9" width="10.7109375" style="1847" customWidth="1"/>
    <col min="10" max="10" width="12.7109375" style="1847" customWidth="1"/>
    <col min="11" max="11" width="9.7109375" style="1847" bestFit="1" customWidth="1"/>
    <col min="12" max="254" width="9.140625" style="1847"/>
    <col min="255" max="255" width="5.28515625" style="1847" customWidth="1"/>
    <col min="256" max="256" width="56.42578125" style="1847" customWidth="1"/>
    <col min="257" max="257" width="10.28515625" style="1847" customWidth="1"/>
    <col min="258" max="264" width="10.7109375" style="1847" customWidth="1"/>
    <col min="265" max="265" width="9.140625" style="1847"/>
    <col min="266" max="266" width="11.28515625" style="1847" bestFit="1" customWidth="1"/>
    <col min="267" max="267" width="9.7109375" style="1847" bestFit="1" customWidth="1"/>
    <col min="268" max="510" width="9.140625" style="1847"/>
    <col min="511" max="511" width="5.28515625" style="1847" customWidth="1"/>
    <col min="512" max="512" width="56.42578125" style="1847" customWidth="1"/>
    <col min="513" max="513" width="10.28515625" style="1847" customWidth="1"/>
    <col min="514" max="520" width="10.7109375" style="1847" customWidth="1"/>
    <col min="521" max="521" width="9.140625" style="1847"/>
    <col min="522" max="522" width="11.28515625" style="1847" bestFit="1" customWidth="1"/>
    <col min="523" max="523" width="9.7109375" style="1847" bestFit="1" customWidth="1"/>
    <col min="524" max="766" width="9.140625" style="1847"/>
    <col min="767" max="767" width="5.28515625" style="1847" customWidth="1"/>
    <col min="768" max="768" width="56.42578125" style="1847" customWidth="1"/>
    <col min="769" max="769" width="10.28515625" style="1847" customWidth="1"/>
    <col min="770" max="776" width="10.7109375" style="1847" customWidth="1"/>
    <col min="777" max="777" width="9.140625" style="1847"/>
    <col min="778" max="778" width="11.28515625" style="1847" bestFit="1" customWidth="1"/>
    <col min="779" max="779" width="9.7109375" style="1847" bestFit="1" customWidth="1"/>
    <col min="780" max="1022" width="9.140625" style="1847"/>
    <col min="1023" max="1023" width="5.28515625" style="1847" customWidth="1"/>
    <col min="1024" max="1024" width="56.42578125" style="1847" customWidth="1"/>
    <col min="1025" max="1025" width="10.28515625" style="1847" customWidth="1"/>
    <col min="1026" max="1032" width="10.7109375" style="1847" customWidth="1"/>
    <col min="1033" max="1033" width="9.140625" style="1847"/>
    <col min="1034" max="1034" width="11.28515625" style="1847" bestFit="1" customWidth="1"/>
    <col min="1035" max="1035" width="9.7109375" style="1847" bestFit="1" customWidth="1"/>
    <col min="1036" max="1278" width="9.140625" style="1847"/>
    <col min="1279" max="1279" width="5.28515625" style="1847" customWidth="1"/>
    <col min="1280" max="1280" width="56.42578125" style="1847" customWidth="1"/>
    <col min="1281" max="1281" width="10.28515625" style="1847" customWidth="1"/>
    <col min="1282" max="1288" width="10.7109375" style="1847" customWidth="1"/>
    <col min="1289" max="1289" width="9.140625" style="1847"/>
    <col min="1290" max="1290" width="11.28515625" style="1847" bestFit="1" customWidth="1"/>
    <col min="1291" max="1291" width="9.7109375" style="1847" bestFit="1" customWidth="1"/>
    <col min="1292" max="1534" width="9.140625" style="1847"/>
    <col min="1535" max="1535" width="5.28515625" style="1847" customWidth="1"/>
    <col min="1536" max="1536" width="56.42578125" style="1847" customWidth="1"/>
    <col min="1537" max="1537" width="10.28515625" style="1847" customWidth="1"/>
    <col min="1538" max="1544" width="10.7109375" style="1847" customWidth="1"/>
    <col min="1545" max="1545" width="9.140625" style="1847"/>
    <col min="1546" max="1546" width="11.28515625" style="1847" bestFit="1" customWidth="1"/>
    <col min="1547" max="1547" width="9.7109375" style="1847" bestFit="1" customWidth="1"/>
    <col min="1548" max="1790" width="9.140625" style="1847"/>
    <col min="1791" max="1791" width="5.28515625" style="1847" customWidth="1"/>
    <col min="1792" max="1792" width="56.42578125" style="1847" customWidth="1"/>
    <col min="1793" max="1793" width="10.28515625" style="1847" customWidth="1"/>
    <col min="1794" max="1800" width="10.7109375" style="1847" customWidth="1"/>
    <col min="1801" max="1801" width="9.140625" style="1847"/>
    <col min="1802" max="1802" width="11.28515625" style="1847" bestFit="1" customWidth="1"/>
    <col min="1803" max="1803" width="9.7109375" style="1847" bestFit="1" customWidth="1"/>
    <col min="1804" max="2046" width="9.140625" style="1847"/>
    <col min="2047" max="2047" width="5.28515625" style="1847" customWidth="1"/>
    <col min="2048" max="2048" width="56.42578125" style="1847" customWidth="1"/>
    <col min="2049" max="2049" width="10.28515625" style="1847" customWidth="1"/>
    <col min="2050" max="2056" width="10.7109375" style="1847" customWidth="1"/>
    <col min="2057" max="2057" width="9.140625" style="1847"/>
    <col min="2058" max="2058" width="11.28515625" style="1847" bestFit="1" customWidth="1"/>
    <col min="2059" max="2059" width="9.7109375" style="1847" bestFit="1" customWidth="1"/>
    <col min="2060" max="2302" width="9.140625" style="1847"/>
    <col min="2303" max="2303" width="5.28515625" style="1847" customWidth="1"/>
    <col min="2304" max="2304" width="56.42578125" style="1847" customWidth="1"/>
    <col min="2305" max="2305" width="10.28515625" style="1847" customWidth="1"/>
    <col min="2306" max="2312" width="10.7109375" style="1847" customWidth="1"/>
    <col min="2313" max="2313" width="9.140625" style="1847"/>
    <col min="2314" max="2314" width="11.28515625" style="1847" bestFit="1" customWidth="1"/>
    <col min="2315" max="2315" width="9.7109375" style="1847" bestFit="1" customWidth="1"/>
    <col min="2316" max="2558" width="9.140625" style="1847"/>
    <col min="2559" max="2559" width="5.28515625" style="1847" customWidth="1"/>
    <col min="2560" max="2560" width="56.42578125" style="1847" customWidth="1"/>
    <col min="2561" max="2561" width="10.28515625" style="1847" customWidth="1"/>
    <col min="2562" max="2568" width="10.7109375" style="1847" customWidth="1"/>
    <col min="2569" max="2569" width="9.140625" style="1847"/>
    <col min="2570" max="2570" width="11.28515625" style="1847" bestFit="1" customWidth="1"/>
    <col min="2571" max="2571" width="9.7109375" style="1847" bestFit="1" customWidth="1"/>
    <col min="2572" max="2814" width="9.140625" style="1847"/>
    <col min="2815" max="2815" width="5.28515625" style="1847" customWidth="1"/>
    <col min="2816" max="2816" width="56.42578125" style="1847" customWidth="1"/>
    <col min="2817" max="2817" width="10.28515625" style="1847" customWidth="1"/>
    <col min="2818" max="2824" width="10.7109375" style="1847" customWidth="1"/>
    <col min="2825" max="2825" width="9.140625" style="1847"/>
    <col min="2826" max="2826" width="11.28515625" style="1847" bestFit="1" customWidth="1"/>
    <col min="2827" max="2827" width="9.7109375" style="1847" bestFit="1" customWidth="1"/>
    <col min="2828" max="3070" width="9.140625" style="1847"/>
    <col min="3071" max="3071" width="5.28515625" style="1847" customWidth="1"/>
    <col min="3072" max="3072" width="56.42578125" style="1847" customWidth="1"/>
    <col min="3073" max="3073" width="10.28515625" style="1847" customWidth="1"/>
    <col min="3074" max="3080" width="10.7109375" style="1847" customWidth="1"/>
    <col min="3081" max="3081" width="9.140625" style="1847"/>
    <col min="3082" max="3082" width="11.28515625" style="1847" bestFit="1" customWidth="1"/>
    <col min="3083" max="3083" width="9.7109375" style="1847" bestFit="1" customWidth="1"/>
    <col min="3084" max="3326" width="9.140625" style="1847"/>
    <col min="3327" max="3327" width="5.28515625" style="1847" customWidth="1"/>
    <col min="3328" max="3328" width="56.42578125" style="1847" customWidth="1"/>
    <col min="3329" max="3329" width="10.28515625" style="1847" customWidth="1"/>
    <col min="3330" max="3336" width="10.7109375" style="1847" customWidth="1"/>
    <col min="3337" max="3337" width="9.140625" style="1847"/>
    <col min="3338" max="3338" width="11.28515625" style="1847" bestFit="1" customWidth="1"/>
    <col min="3339" max="3339" width="9.7109375" style="1847" bestFit="1" customWidth="1"/>
    <col min="3340" max="3582" width="9.140625" style="1847"/>
    <col min="3583" max="3583" width="5.28515625" style="1847" customWidth="1"/>
    <col min="3584" max="3584" width="56.42578125" style="1847" customWidth="1"/>
    <col min="3585" max="3585" width="10.28515625" style="1847" customWidth="1"/>
    <col min="3586" max="3592" width="10.7109375" style="1847" customWidth="1"/>
    <col min="3593" max="3593" width="9.140625" style="1847"/>
    <col min="3594" max="3594" width="11.28515625" style="1847" bestFit="1" customWidth="1"/>
    <col min="3595" max="3595" width="9.7109375" style="1847" bestFit="1" customWidth="1"/>
    <col min="3596" max="3838" width="9.140625" style="1847"/>
    <col min="3839" max="3839" width="5.28515625" style="1847" customWidth="1"/>
    <col min="3840" max="3840" width="56.42578125" style="1847" customWidth="1"/>
    <col min="3841" max="3841" width="10.28515625" style="1847" customWidth="1"/>
    <col min="3842" max="3848" width="10.7109375" style="1847" customWidth="1"/>
    <col min="3849" max="3849" width="9.140625" style="1847"/>
    <col min="3850" max="3850" width="11.28515625" style="1847" bestFit="1" customWidth="1"/>
    <col min="3851" max="3851" width="9.7109375" style="1847" bestFit="1" customWidth="1"/>
    <col min="3852" max="4094" width="9.140625" style="1847"/>
    <col min="4095" max="4095" width="5.28515625" style="1847" customWidth="1"/>
    <col min="4096" max="4096" width="56.42578125" style="1847" customWidth="1"/>
    <col min="4097" max="4097" width="10.28515625" style="1847" customWidth="1"/>
    <col min="4098" max="4104" width="10.7109375" style="1847" customWidth="1"/>
    <col min="4105" max="4105" width="9.140625" style="1847"/>
    <col min="4106" max="4106" width="11.28515625" style="1847" bestFit="1" customWidth="1"/>
    <col min="4107" max="4107" width="9.7109375" style="1847" bestFit="1" customWidth="1"/>
    <col min="4108" max="4350" width="9.140625" style="1847"/>
    <col min="4351" max="4351" width="5.28515625" style="1847" customWidth="1"/>
    <col min="4352" max="4352" width="56.42578125" style="1847" customWidth="1"/>
    <col min="4353" max="4353" width="10.28515625" style="1847" customWidth="1"/>
    <col min="4354" max="4360" width="10.7109375" style="1847" customWidth="1"/>
    <col min="4361" max="4361" width="9.140625" style="1847"/>
    <col min="4362" max="4362" width="11.28515625" style="1847" bestFit="1" customWidth="1"/>
    <col min="4363" max="4363" width="9.7109375" style="1847" bestFit="1" customWidth="1"/>
    <col min="4364" max="4606" width="9.140625" style="1847"/>
    <col min="4607" max="4607" width="5.28515625" style="1847" customWidth="1"/>
    <col min="4608" max="4608" width="56.42578125" style="1847" customWidth="1"/>
    <col min="4609" max="4609" width="10.28515625" style="1847" customWidth="1"/>
    <col min="4610" max="4616" width="10.7109375" style="1847" customWidth="1"/>
    <col min="4617" max="4617" width="9.140625" style="1847"/>
    <col min="4618" max="4618" width="11.28515625" style="1847" bestFit="1" customWidth="1"/>
    <col min="4619" max="4619" width="9.7109375" style="1847" bestFit="1" customWidth="1"/>
    <col min="4620" max="4862" width="9.140625" style="1847"/>
    <col min="4863" max="4863" width="5.28515625" style="1847" customWidth="1"/>
    <col min="4864" max="4864" width="56.42578125" style="1847" customWidth="1"/>
    <col min="4865" max="4865" width="10.28515625" style="1847" customWidth="1"/>
    <col min="4866" max="4872" width="10.7109375" style="1847" customWidth="1"/>
    <col min="4873" max="4873" width="9.140625" style="1847"/>
    <col min="4874" max="4874" width="11.28515625" style="1847" bestFit="1" customWidth="1"/>
    <col min="4875" max="4875" width="9.7109375" style="1847" bestFit="1" customWidth="1"/>
    <col min="4876" max="5118" width="9.140625" style="1847"/>
    <col min="5119" max="5119" width="5.28515625" style="1847" customWidth="1"/>
    <col min="5120" max="5120" width="56.42578125" style="1847" customWidth="1"/>
    <col min="5121" max="5121" width="10.28515625" style="1847" customWidth="1"/>
    <col min="5122" max="5128" width="10.7109375" style="1847" customWidth="1"/>
    <col min="5129" max="5129" width="9.140625" style="1847"/>
    <col min="5130" max="5130" width="11.28515625" style="1847" bestFit="1" customWidth="1"/>
    <col min="5131" max="5131" width="9.7109375" style="1847" bestFit="1" customWidth="1"/>
    <col min="5132" max="5374" width="9.140625" style="1847"/>
    <col min="5375" max="5375" width="5.28515625" style="1847" customWidth="1"/>
    <col min="5376" max="5376" width="56.42578125" style="1847" customWidth="1"/>
    <col min="5377" max="5377" width="10.28515625" style="1847" customWidth="1"/>
    <col min="5378" max="5384" width="10.7109375" style="1847" customWidth="1"/>
    <col min="5385" max="5385" width="9.140625" style="1847"/>
    <col min="5386" max="5386" width="11.28515625" style="1847" bestFit="1" customWidth="1"/>
    <col min="5387" max="5387" width="9.7109375" style="1847" bestFit="1" customWidth="1"/>
    <col min="5388" max="5630" width="9.140625" style="1847"/>
    <col min="5631" max="5631" width="5.28515625" style="1847" customWidth="1"/>
    <col min="5632" max="5632" width="56.42578125" style="1847" customWidth="1"/>
    <col min="5633" max="5633" width="10.28515625" style="1847" customWidth="1"/>
    <col min="5634" max="5640" width="10.7109375" style="1847" customWidth="1"/>
    <col min="5641" max="5641" width="9.140625" style="1847"/>
    <col min="5642" max="5642" width="11.28515625" style="1847" bestFit="1" customWidth="1"/>
    <col min="5643" max="5643" width="9.7109375" style="1847" bestFit="1" customWidth="1"/>
    <col min="5644" max="5886" width="9.140625" style="1847"/>
    <col min="5887" max="5887" width="5.28515625" style="1847" customWidth="1"/>
    <col min="5888" max="5888" width="56.42578125" style="1847" customWidth="1"/>
    <col min="5889" max="5889" width="10.28515625" style="1847" customWidth="1"/>
    <col min="5890" max="5896" width="10.7109375" style="1847" customWidth="1"/>
    <col min="5897" max="5897" width="9.140625" style="1847"/>
    <col min="5898" max="5898" width="11.28515625" style="1847" bestFit="1" customWidth="1"/>
    <col min="5899" max="5899" width="9.7109375" style="1847" bestFit="1" customWidth="1"/>
    <col min="5900" max="6142" width="9.140625" style="1847"/>
    <col min="6143" max="6143" width="5.28515625" style="1847" customWidth="1"/>
    <col min="6144" max="6144" width="56.42578125" style="1847" customWidth="1"/>
    <col min="6145" max="6145" width="10.28515625" style="1847" customWidth="1"/>
    <col min="6146" max="6152" width="10.7109375" style="1847" customWidth="1"/>
    <col min="6153" max="6153" width="9.140625" style="1847"/>
    <col min="6154" max="6154" width="11.28515625" style="1847" bestFit="1" customWidth="1"/>
    <col min="6155" max="6155" width="9.7109375" style="1847" bestFit="1" customWidth="1"/>
    <col min="6156" max="6398" width="9.140625" style="1847"/>
    <col min="6399" max="6399" width="5.28515625" style="1847" customWidth="1"/>
    <col min="6400" max="6400" width="56.42578125" style="1847" customWidth="1"/>
    <col min="6401" max="6401" width="10.28515625" style="1847" customWidth="1"/>
    <col min="6402" max="6408" width="10.7109375" style="1847" customWidth="1"/>
    <col min="6409" max="6409" width="9.140625" style="1847"/>
    <col min="6410" max="6410" width="11.28515625" style="1847" bestFit="1" customWidth="1"/>
    <col min="6411" max="6411" width="9.7109375" style="1847" bestFit="1" customWidth="1"/>
    <col min="6412" max="6654" width="9.140625" style="1847"/>
    <col min="6655" max="6655" width="5.28515625" style="1847" customWidth="1"/>
    <col min="6656" max="6656" width="56.42578125" style="1847" customWidth="1"/>
    <col min="6657" max="6657" width="10.28515625" style="1847" customWidth="1"/>
    <col min="6658" max="6664" width="10.7109375" style="1847" customWidth="1"/>
    <col min="6665" max="6665" width="9.140625" style="1847"/>
    <col min="6666" max="6666" width="11.28515625" style="1847" bestFit="1" customWidth="1"/>
    <col min="6667" max="6667" width="9.7109375" style="1847" bestFit="1" customWidth="1"/>
    <col min="6668" max="6910" width="9.140625" style="1847"/>
    <col min="6911" max="6911" width="5.28515625" style="1847" customWidth="1"/>
    <col min="6912" max="6912" width="56.42578125" style="1847" customWidth="1"/>
    <col min="6913" max="6913" width="10.28515625" style="1847" customWidth="1"/>
    <col min="6914" max="6920" width="10.7109375" style="1847" customWidth="1"/>
    <col min="6921" max="6921" width="9.140625" style="1847"/>
    <col min="6922" max="6922" width="11.28515625" style="1847" bestFit="1" customWidth="1"/>
    <col min="6923" max="6923" width="9.7109375" style="1847" bestFit="1" customWidth="1"/>
    <col min="6924" max="7166" width="9.140625" style="1847"/>
    <col min="7167" max="7167" width="5.28515625" style="1847" customWidth="1"/>
    <col min="7168" max="7168" width="56.42578125" style="1847" customWidth="1"/>
    <col min="7169" max="7169" width="10.28515625" style="1847" customWidth="1"/>
    <col min="7170" max="7176" width="10.7109375" style="1847" customWidth="1"/>
    <col min="7177" max="7177" width="9.140625" style="1847"/>
    <col min="7178" max="7178" width="11.28515625" style="1847" bestFit="1" customWidth="1"/>
    <col min="7179" max="7179" width="9.7109375" style="1847" bestFit="1" customWidth="1"/>
    <col min="7180" max="7422" width="9.140625" style="1847"/>
    <col min="7423" max="7423" width="5.28515625" style="1847" customWidth="1"/>
    <col min="7424" max="7424" width="56.42578125" style="1847" customWidth="1"/>
    <col min="7425" max="7425" width="10.28515625" style="1847" customWidth="1"/>
    <col min="7426" max="7432" width="10.7109375" style="1847" customWidth="1"/>
    <col min="7433" max="7433" width="9.140625" style="1847"/>
    <col min="7434" max="7434" width="11.28515625" style="1847" bestFit="1" customWidth="1"/>
    <col min="7435" max="7435" width="9.7109375" style="1847" bestFit="1" customWidth="1"/>
    <col min="7436" max="7678" width="9.140625" style="1847"/>
    <col min="7679" max="7679" width="5.28515625" style="1847" customWidth="1"/>
    <col min="7680" max="7680" width="56.42578125" style="1847" customWidth="1"/>
    <col min="7681" max="7681" width="10.28515625" style="1847" customWidth="1"/>
    <col min="7682" max="7688" width="10.7109375" style="1847" customWidth="1"/>
    <col min="7689" max="7689" width="9.140625" style="1847"/>
    <col min="7690" max="7690" width="11.28515625" style="1847" bestFit="1" customWidth="1"/>
    <col min="7691" max="7691" width="9.7109375" style="1847" bestFit="1" customWidth="1"/>
    <col min="7692" max="7934" width="9.140625" style="1847"/>
    <col min="7935" max="7935" width="5.28515625" style="1847" customWidth="1"/>
    <col min="7936" max="7936" width="56.42578125" style="1847" customWidth="1"/>
    <col min="7937" max="7937" width="10.28515625" style="1847" customWidth="1"/>
    <col min="7938" max="7944" width="10.7109375" style="1847" customWidth="1"/>
    <col min="7945" max="7945" width="9.140625" style="1847"/>
    <col min="7946" max="7946" width="11.28515625" style="1847" bestFit="1" customWidth="1"/>
    <col min="7947" max="7947" width="9.7109375" style="1847" bestFit="1" customWidth="1"/>
    <col min="7948" max="8190" width="9.140625" style="1847"/>
    <col min="8191" max="8191" width="5.28515625" style="1847" customWidth="1"/>
    <col min="8192" max="8192" width="56.42578125" style="1847" customWidth="1"/>
    <col min="8193" max="8193" width="10.28515625" style="1847" customWidth="1"/>
    <col min="8194" max="8200" width="10.7109375" style="1847" customWidth="1"/>
    <col min="8201" max="8201" width="9.140625" style="1847"/>
    <col min="8202" max="8202" width="11.28515625" style="1847" bestFit="1" customWidth="1"/>
    <col min="8203" max="8203" width="9.7109375" style="1847" bestFit="1" customWidth="1"/>
    <col min="8204" max="8446" width="9.140625" style="1847"/>
    <col min="8447" max="8447" width="5.28515625" style="1847" customWidth="1"/>
    <col min="8448" max="8448" width="56.42578125" style="1847" customWidth="1"/>
    <col min="8449" max="8449" width="10.28515625" style="1847" customWidth="1"/>
    <col min="8450" max="8456" width="10.7109375" style="1847" customWidth="1"/>
    <col min="8457" max="8457" width="9.140625" style="1847"/>
    <col min="8458" max="8458" width="11.28515625" style="1847" bestFit="1" customWidth="1"/>
    <col min="8459" max="8459" width="9.7109375" style="1847" bestFit="1" customWidth="1"/>
    <col min="8460" max="8702" width="9.140625" style="1847"/>
    <col min="8703" max="8703" width="5.28515625" style="1847" customWidth="1"/>
    <col min="8704" max="8704" width="56.42578125" style="1847" customWidth="1"/>
    <col min="8705" max="8705" width="10.28515625" style="1847" customWidth="1"/>
    <col min="8706" max="8712" width="10.7109375" style="1847" customWidth="1"/>
    <col min="8713" max="8713" width="9.140625" style="1847"/>
    <col min="8714" max="8714" width="11.28515625" style="1847" bestFit="1" customWidth="1"/>
    <col min="8715" max="8715" width="9.7109375" style="1847" bestFit="1" customWidth="1"/>
    <col min="8716" max="8958" width="9.140625" style="1847"/>
    <col min="8959" max="8959" width="5.28515625" style="1847" customWidth="1"/>
    <col min="8960" max="8960" width="56.42578125" style="1847" customWidth="1"/>
    <col min="8961" max="8961" width="10.28515625" style="1847" customWidth="1"/>
    <col min="8962" max="8968" width="10.7109375" style="1847" customWidth="1"/>
    <col min="8969" max="8969" width="9.140625" style="1847"/>
    <col min="8970" max="8970" width="11.28515625" style="1847" bestFit="1" customWidth="1"/>
    <col min="8971" max="8971" width="9.7109375" style="1847" bestFit="1" customWidth="1"/>
    <col min="8972" max="9214" width="9.140625" style="1847"/>
    <col min="9215" max="9215" width="5.28515625" style="1847" customWidth="1"/>
    <col min="9216" max="9216" width="56.42578125" style="1847" customWidth="1"/>
    <col min="9217" max="9217" width="10.28515625" style="1847" customWidth="1"/>
    <col min="9218" max="9224" width="10.7109375" style="1847" customWidth="1"/>
    <col min="9225" max="9225" width="9.140625" style="1847"/>
    <col min="9226" max="9226" width="11.28515625" style="1847" bestFit="1" customWidth="1"/>
    <col min="9227" max="9227" width="9.7109375" style="1847" bestFit="1" customWidth="1"/>
    <col min="9228" max="9470" width="9.140625" style="1847"/>
    <col min="9471" max="9471" width="5.28515625" style="1847" customWidth="1"/>
    <col min="9472" max="9472" width="56.42578125" style="1847" customWidth="1"/>
    <col min="9473" max="9473" width="10.28515625" style="1847" customWidth="1"/>
    <col min="9474" max="9480" width="10.7109375" style="1847" customWidth="1"/>
    <col min="9481" max="9481" width="9.140625" style="1847"/>
    <col min="9482" max="9482" width="11.28515625" style="1847" bestFit="1" customWidth="1"/>
    <col min="9483" max="9483" width="9.7109375" style="1847" bestFit="1" customWidth="1"/>
    <col min="9484" max="9726" width="9.140625" style="1847"/>
    <col min="9727" max="9727" width="5.28515625" style="1847" customWidth="1"/>
    <col min="9728" max="9728" width="56.42578125" style="1847" customWidth="1"/>
    <col min="9729" max="9729" width="10.28515625" style="1847" customWidth="1"/>
    <col min="9730" max="9736" width="10.7109375" style="1847" customWidth="1"/>
    <col min="9737" max="9737" width="9.140625" style="1847"/>
    <col min="9738" max="9738" width="11.28515625" style="1847" bestFit="1" customWidth="1"/>
    <col min="9739" max="9739" width="9.7109375" style="1847" bestFit="1" customWidth="1"/>
    <col min="9740" max="9982" width="9.140625" style="1847"/>
    <col min="9983" max="9983" width="5.28515625" style="1847" customWidth="1"/>
    <col min="9984" max="9984" width="56.42578125" style="1847" customWidth="1"/>
    <col min="9985" max="9985" width="10.28515625" style="1847" customWidth="1"/>
    <col min="9986" max="9992" width="10.7109375" style="1847" customWidth="1"/>
    <col min="9993" max="9993" width="9.140625" style="1847"/>
    <col min="9994" max="9994" width="11.28515625" style="1847" bestFit="1" customWidth="1"/>
    <col min="9995" max="9995" width="9.7109375" style="1847" bestFit="1" customWidth="1"/>
    <col min="9996" max="10238" width="9.140625" style="1847"/>
    <col min="10239" max="10239" width="5.28515625" style="1847" customWidth="1"/>
    <col min="10240" max="10240" width="56.42578125" style="1847" customWidth="1"/>
    <col min="10241" max="10241" width="10.28515625" style="1847" customWidth="1"/>
    <col min="10242" max="10248" width="10.7109375" style="1847" customWidth="1"/>
    <col min="10249" max="10249" width="9.140625" style="1847"/>
    <col min="10250" max="10250" width="11.28515625" style="1847" bestFit="1" customWidth="1"/>
    <col min="10251" max="10251" width="9.7109375" style="1847" bestFit="1" customWidth="1"/>
    <col min="10252" max="10494" width="9.140625" style="1847"/>
    <col min="10495" max="10495" width="5.28515625" style="1847" customWidth="1"/>
    <col min="10496" max="10496" width="56.42578125" style="1847" customWidth="1"/>
    <col min="10497" max="10497" width="10.28515625" style="1847" customWidth="1"/>
    <col min="10498" max="10504" width="10.7109375" style="1847" customWidth="1"/>
    <col min="10505" max="10505" width="9.140625" style="1847"/>
    <col min="10506" max="10506" width="11.28515625" style="1847" bestFit="1" customWidth="1"/>
    <col min="10507" max="10507" width="9.7109375" style="1847" bestFit="1" customWidth="1"/>
    <col min="10508" max="10750" width="9.140625" style="1847"/>
    <col min="10751" max="10751" width="5.28515625" style="1847" customWidth="1"/>
    <col min="10752" max="10752" width="56.42578125" style="1847" customWidth="1"/>
    <col min="10753" max="10753" width="10.28515625" style="1847" customWidth="1"/>
    <col min="10754" max="10760" width="10.7109375" style="1847" customWidth="1"/>
    <col min="10761" max="10761" width="9.140625" style="1847"/>
    <col min="10762" max="10762" width="11.28515625" style="1847" bestFit="1" customWidth="1"/>
    <col min="10763" max="10763" width="9.7109375" style="1847" bestFit="1" customWidth="1"/>
    <col min="10764" max="11006" width="9.140625" style="1847"/>
    <col min="11007" max="11007" width="5.28515625" style="1847" customWidth="1"/>
    <col min="11008" max="11008" width="56.42578125" style="1847" customWidth="1"/>
    <col min="11009" max="11009" width="10.28515625" style="1847" customWidth="1"/>
    <col min="11010" max="11016" width="10.7109375" style="1847" customWidth="1"/>
    <col min="11017" max="11017" width="9.140625" style="1847"/>
    <col min="11018" max="11018" width="11.28515625" style="1847" bestFit="1" customWidth="1"/>
    <col min="11019" max="11019" width="9.7109375" style="1847" bestFit="1" customWidth="1"/>
    <col min="11020" max="11262" width="9.140625" style="1847"/>
    <col min="11263" max="11263" width="5.28515625" style="1847" customWidth="1"/>
    <col min="11264" max="11264" width="56.42578125" style="1847" customWidth="1"/>
    <col min="11265" max="11265" width="10.28515625" style="1847" customWidth="1"/>
    <col min="11266" max="11272" width="10.7109375" style="1847" customWidth="1"/>
    <col min="11273" max="11273" width="9.140625" style="1847"/>
    <col min="11274" max="11274" width="11.28515625" style="1847" bestFit="1" customWidth="1"/>
    <col min="11275" max="11275" width="9.7109375" style="1847" bestFit="1" customWidth="1"/>
    <col min="11276" max="11518" width="9.140625" style="1847"/>
    <col min="11519" max="11519" width="5.28515625" style="1847" customWidth="1"/>
    <col min="11520" max="11520" width="56.42578125" style="1847" customWidth="1"/>
    <col min="11521" max="11521" width="10.28515625" style="1847" customWidth="1"/>
    <col min="11522" max="11528" width="10.7109375" style="1847" customWidth="1"/>
    <col min="11529" max="11529" width="9.140625" style="1847"/>
    <col min="11530" max="11530" width="11.28515625" style="1847" bestFit="1" customWidth="1"/>
    <col min="11531" max="11531" width="9.7109375" style="1847" bestFit="1" customWidth="1"/>
    <col min="11532" max="11774" width="9.140625" style="1847"/>
    <col min="11775" max="11775" width="5.28515625" style="1847" customWidth="1"/>
    <col min="11776" max="11776" width="56.42578125" style="1847" customWidth="1"/>
    <col min="11777" max="11777" width="10.28515625" style="1847" customWidth="1"/>
    <col min="11778" max="11784" width="10.7109375" style="1847" customWidth="1"/>
    <col min="11785" max="11785" width="9.140625" style="1847"/>
    <col min="11786" max="11786" width="11.28515625" style="1847" bestFit="1" customWidth="1"/>
    <col min="11787" max="11787" width="9.7109375" style="1847" bestFit="1" customWidth="1"/>
    <col min="11788" max="12030" width="9.140625" style="1847"/>
    <col min="12031" max="12031" width="5.28515625" style="1847" customWidth="1"/>
    <col min="12032" max="12032" width="56.42578125" style="1847" customWidth="1"/>
    <col min="12033" max="12033" width="10.28515625" style="1847" customWidth="1"/>
    <col min="12034" max="12040" width="10.7109375" style="1847" customWidth="1"/>
    <col min="12041" max="12041" width="9.140625" style="1847"/>
    <col min="12042" max="12042" width="11.28515625" style="1847" bestFit="1" customWidth="1"/>
    <col min="12043" max="12043" width="9.7109375" style="1847" bestFit="1" customWidth="1"/>
    <col min="12044" max="12286" width="9.140625" style="1847"/>
    <col min="12287" max="12287" width="5.28515625" style="1847" customWidth="1"/>
    <col min="12288" max="12288" width="56.42578125" style="1847" customWidth="1"/>
    <col min="12289" max="12289" width="10.28515625" style="1847" customWidth="1"/>
    <col min="12290" max="12296" width="10.7109375" style="1847" customWidth="1"/>
    <col min="12297" max="12297" width="9.140625" style="1847"/>
    <col min="12298" max="12298" width="11.28515625" style="1847" bestFit="1" customWidth="1"/>
    <col min="12299" max="12299" width="9.7109375" style="1847" bestFit="1" customWidth="1"/>
    <col min="12300" max="12542" width="9.140625" style="1847"/>
    <col min="12543" max="12543" width="5.28515625" style="1847" customWidth="1"/>
    <col min="12544" max="12544" width="56.42578125" style="1847" customWidth="1"/>
    <col min="12545" max="12545" width="10.28515625" style="1847" customWidth="1"/>
    <col min="12546" max="12552" width="10.7109375" style="1847" customWidth="1"/>
    <col min="12553" max="12553" width="9.140625" style="1847"/>
    <col min="12554" max="12554" width="11.28515625" style="1847" bestFit="1" customWidth="1"/>
    <col min="12555" max="12555" width="9.7109375" style="1847" bestFit="1" customWidth="1"/>
    <col min="12556" max="12798" width="9.140625" style="1847"/>
    <col min="12799" max="12799" width="5.28515625" style="1847" customWidth="1"/>
    <col min="12800" max="12800" width="56.42578125" style="1847" customWidth="1"/>
    <col min="12801" max="12801" width="10.28515625" style="1847" customWidth="1"/>
    <col min="12802" max="12808" width="10.7109375" style="1847" customWidth="1"/>
    <col min="12809" max="12809" width="9.140625" style="1847"/>
    <col min="12810" max="12810" width="11.28515625" style="1847" bestFit="1" customWidth="1"/>
    <col min="12811" max="12811" width="9.7109375" style="1847" bestFit="1" customWidth="1"/>
    <col min="12812" max="13054" width="9.140625" style="1847"/>
    <col min="13055" max="13055" width="5.28515625" style="1847" customWidth="1"/>
    <col min="13056" max="13056" width="56.42578125" style="1847" customWidth="1"/>
    <col min="13057" max="13057" width="10.28515625" style="1847" customWidth="1"/>
    <col min="13058" max="13064" width="10.7109375" style="1847" customWidth="1"/>
    <col min="13065" max="13065" width="9.140625" style="1847"/>
    <col min="13066" max="13066" width="11.28515625" style="1847" bestFit="1" customWidth="1"/>
    <col min="13067" max="13067" width="9.7109375" style="1847" bestFit="1" customWidth="1"/>
    <col min="13068" max="13310" width="9.140625" style="1847"/>
    <col min="13311" max="13311" width="5.28515625" style="1847" customWidth="1"/>
    <col min="13312" max="13312" width="56.42578125" style="1847" customWidth="1"/>
    <col min="13313" max="13313" width="10.28515625" style="1847" customWidth="1"/>
    <col min="13314" max="13320" width="10.7109375" style="1847" customWidth="1"/>
    <col min="13321" max="13321" width="9.140625" style="1847"/>
    <col min="13322" max="13322" width="11.28515625" style="1847" bestFit="1" customWidth="1"/>
    <col min="13323" max="13323" width="9.7109375" style="1847" bestFit="1" customWidth="1"/>
    <col min="13324" max="13566" width="9.140625" style="1847"/>
    <col min="13567" max="13567" width="5.28515625" style="1847" customWidth="1"/>
    <col min="13568" max="13568" width="56.42578125" style="1847" customWidth="1"/>
    <col min="13569" max="13569" width="10.28515625" style="1847" customWidth="1"/>
    <col min="13570" max="13576" width="10.7109375" style="1847" customWidth="1"/>
    <col min="13577" max="13577" width="9.140625" style="1847"/>
    <col min="13578" max="13578" width="11.28515625" style="1847" bestFit="1" customWidth="1"/>
    <col min="13579" max="13579" width="9.7109375" style="1847" bestFit="1" customWidth="1"/>
    <col min="13580" max="13822" width="9.140625" style="1847"/>
    <col min="13823" max="13823" width="5.28515625" style="1847" customWidth="1"/>
    <col min="13824" max="13824" width="56.42578125" style="1847" customWidth="1"/>
    <col min="13825" max="13825" width="10.28515625" style="1847" customWidth="1"/>
    <col min="13826" max="13832" width="10.7109375" style="1847" customWidth="1"/>
    <col min="13833" max="13833" width="9.140625" style="1847"/>
    <col min="13834" max="13834" width="11.28515625" style="1847" bestFit="1" customWidth="1"/>
    <col min="13835" max="13835" width="9.7109375" style="1847" bestFit="1" customWidth="1"/>
    <col min="13836" max="14078" width="9.140625" style="1847"/>
    <col min="14079" max="14079" width="5.28515625" style="1847" customWidth="1"/>
    <col min="14080" max="14080" width="56.42578125" style="1847" customWidth="1"/>
    <col min="14081" max="14081" width="10.28515625" style="1847" customWidth="1"/>
    <col min="14082" max="14088" width="10.7109375" style="1847" customWidth="1"/>
    <col min="14089" max="14089" width="9.140625" style="1847"/>
    <col min="14090" max="14090" width="11.28515625" style="1847" bestFit="1" customWidth="1"/>
    <col min="14091" max="14091" width="9.7109375" style="1847" bestFit="1" customWidth="1"/>
    <col min="14092" max="14334" width="9.140625" style="1847"/>
    <col min="14335" max="14335" width="5.28515625" style="1847" customWidth="1"/>
    <col min="14336" max="14336" width="56.42578125" style="1847" customWidth="1"/>
    <col min="14337" max="14337" width="10.28515625" style="1847" customWidth="1"/>
    <col min="14338" max="14344" width="10.7109375" style="1847" customWidth="1"/>
    <col min="14345" max="14345" width="9.140625" style="1847"/>
    <col min="14346" max="14346" width="11.28515625" style="1847" bestFit="1" customWidth="1"/>
    <col min="14347" max="14347" width="9.7109375" style="1847" bestFit="1" customWidth="1"/>
    <col min="14348" max="14590" width="9.140625" style="1847"/>
    <col min="14591" max="14591" width="5.28515625" style="1847" customWidth="1"/>
    <col min="14592" max="14592" width="56.42578125" style="1847" customWidth="1"/>
    <col min="14593" max="14593" width="10.28515625" style="1847" customWidth="1"/>
    <col min="14594" max="14600" width="10.7109375" style="1847" customWidth="1"/>
    <col min="14601" max="14601" width="9.140625" style="1847"/>
    <col min="14602" max="14602" width="11.28515625" style="1847" bestFit="1" customWidth="1"/>
    <col min="14603" max="14603" width="9.7109375" style="1847" bestFit="1" customWidth="1"/>
    <col min="14604" max="14846" width="9.140625" style="1847"/>
    <col min="14847" max="14847" width="5.28515625" style="1847" customWidth="1"/>
    <col min="14848" max="14848" width="56.42578125" style="1847" customWidth="1"/>
    <col min="14849" max="14849" width="10.28515625" style="1847" customWidth="1"/>
    <col min="14850" max="14856" width="10.7109375" style="1847" customWidth="1"/>
    <col min="14857" max="14857" width="9.140625" style="1847"/>
    <col min="14858" max="14858" width="11.28515625" style="1847" bestFit="1" customWidth="1"/>
    <col min="14859" max="14859" width="9.7109375" style="1847" bestFit="1" customWidth="1"/>
    <col min="14860" max="15102" width="9.140625" style="1847"/>
    <col min="15103" max="15103" width="5.28515625" style="1847" customWidth="1"/>
    <col min="15104" max="15104" width="56.42578125" style="1847" customWidth="1"/>
    <col min="15105" max="15105" width="10.28515625" style="1847" customWidth="1"/>
    <col min="15106" max="15112" width="10.7109375" style="1847" customWidth="1"/>
    <col min="15113" max="15113" width="9.140625" style="1847"/>
    <col min="15114" max="15114" width="11.28515625" style="1847" bestFit="1" customWidth="1"/>
    <col min="15115" max="15115" width="9.7109375" style="1847" bestFit="1" customWidth="1"/>
    <col min="15116" max="15358" width="9.140625" style="1847"/>
    <col min="15359" max="15359" width="5.28515625" style="1847" customWidth="1"/>
    <col min="15360" max="15360" width="56.42578125" style="1847" customWidth="1"/>
    <col min="15361" max="15361" width="10.28515625" style="1847" customWidth="1"/>
    <col min="15362" max="15368" width="10.7109375" style="1847" customWidth="1"/>
    <col min="15369" max="15369" width="9.140625" style="1847"/>
    <col min="15370" max="15370" width="11.28515625" style="1847" bestFit="1" customWidth="1"/>
    <col min="15371" max="15371" width="9.7109375" style="1847" bestFit="1" customWidth="1"/>
    <col min="15372" max="15614" width="9.140625" style="1847"/>
    <col min="15615" max="15615" width="5.28515625" style="1847" customWidth="1"/>
    <col min="15616" max="15616" width="56.42578125" style="1847" customWidth="1"/>
    <col min="15617" max="15617" width="10.28515625" style="1847" customWidth="1"/>
    <col min="15618" max="15624" width="10.7109375" style="1847" customWidth="1"/>
    <col min="15625" max="15625" width="9.140625" style="1847"/>
    <col min="15626" max="15626" width="11.28515625" style="1847" bestFit="1" customWidth="1"/>
    <col min="15627" max="15627" width="9.7109375" style="1847" bestFit="1" customWidth="1"/>
    <col min="15628" max="15870" width="9.140625" style="1847"/>
    <col min="15871" max="15871" width="5.28515625" style="1847" customWidth="1"/>
    <col min="15872" max="15872" width="56.42578125" style="1847" customWidth="1"/>
    <col min="15873" max="15873" width="10.28515625" style="1847" customWidth="1"/>
    <col min="15874" max="15880" width="10.7109375" style="1847" customWidth="1"/>
    <col min="15881" max="15881" width="9.140625" style="1847"/>
    <col min="15882" max="15882" width="11.28515625" style="1847" bestFit="1" customWidth="1"/>
    <col min="15883" max="15883" width="9.7109375" style="1847" bestFit="1" customWidth="1"/>
    <col min="15884" max="16126" width="9.140625" style="1847"/>
    <col min="16127" max="16127" width="5.28515625" style="1847" customWidth="1"/>
    <col min="16128" max="16128" width="56.42578125" style="1847" customWidth="1"/>
    <col min="16129" max="16129" width="10.28515625" style="1847" customWidth="1"/>
    <col min="16130" max="16136" width="10.7109375" style="1847" customWidth="1"/>
    <col min="16137" max="16137" width="9.140625" style="1847"/>
    <col min="16138" max="16138" width="11.28515625" style="1847" bestFit="1" customWidth="1"/>
    <col min="16139" max="16139" width="9.7109375" style="1847" bestFit="1" customWidth="1"/>
    <col min="16140" max="16384" width="9.140625" style="1847"/>
  </cols>
  <sheetData>
    <row r="1" spans="1:11" ht="13.5">
      <c r="B1" s="1848"/>
      <c r="C1" s="1848"/>
      <c r="D1" s="1848"/>
      <c r="E1" s="1848"/>
      <c r="F1" s="1848"/>
      <c r="G1" s="1848"/>
      <c r="H1" s="1848"/>
      <c r="I1" s="1849" t="s">
        <v>0</v>
      </c>
    </row>
    <row r="2" spans="1:11" s="2173" customFormat="1" ht="18.75">
      <c r="A2" s="5043" t="s">
        <v>1295</v>
      </c>
      <c r="B2" s="5043"/>
      <c r="C2" s="5043"/>
      <c r="D2" s="5043"/>
      <c r="E2" s="5043"/>
      <c r="F2" s="5043"/>
      <c r="G2" s="5043"/>
      <c r="H2" s="5043"/>
      <c r="I2" s="5043"/>
    </row>
    <row r="3" spans="1:11" s="2173" customFormat="1" ht="18.75">
      <c r="A3" s="5043" t="s">
        <v>1296</v>
      </c>
      <c r="B3" s="5043"/>
      <c r="C3" s="5043"/>
      <c r="D3" s="5043"/>
      <c r="E3" s="5043"/>
      <c r="F3" s="5043"/>
      <c r="G3" s="5043"/>
      <c r="H3" s="5043"/>
      <c r="I3" s="5043"/>
    </row>
    <row r="4" spans="1:11" ht="15.75">
      <c r="A4" s="5089" t="str">
        <f>'1. Обща информация'!A4:D4</f>
        <v>на "ВОДОСНАБДЯВАНЕ И КАНАЛИЗАЦИЯ" ЕООД, гр. БЛАГОЕВГРАД</v>
      </c>
      <c r="B4" s="5089"/>
      <c r="C4" s="5089"/>
      <c r="D4" s="5089"/>
      <c r="E4" s="5089"/>
      <c r="F4" s="5089"/>
      <c r="G4" s="5089"/>
      <c r="H4" s="5089"/>
      <c r="I4" s="5089"/>
    </row>
    <row r="5" spans="1:11" ht="15.75">
      <c r="A5" s="5089" t="str">
        <f>'1. Обща информация'!A5:D5</f>
        <v>ЕИК по БУЛСТАТ: 811047831</v>
      </c>
      <c r="B5" s="5089"/>
      <c r="C5" s="5089"/>
      <c r="D5" s="5089"/>
      <c r="E5" s="5089"/>
      <c r="F5" s="5089"/>
      <c r="G5" s="5089"/>
      <c r="H5" s="5089"/>
      <c r="I5" s="5089"/>
      <c r="J5" s="3995"/>
    </row>
    <row r="6" spans="1:11" ht="13.5" thickBot="1"/>
    <row r="7" spans="1:11" s="2173" customFormat="1" ht="13.5" thickBot="1">
      <c r="A7" s="181" t="s">
        <v>1</v>
      </c>
      <c r="B7" s="373" t="s">
        <v>87</v>
      </c>
      <c r="C7" s="374" t="s">
        <v>166</v>
      </c>
      <c r="D7" s="4488" t="str">
        <f>'Приложение '!$C12</f>
        <v>2024 г.</v>
      </c>
      <c r="E7" s="4488" t="str">
        <f>'Приложение '!$C14</f>
        <v>2027 г.</v>
      </c>
      <c r="F7" s="4488" t="str">
        <f>'Приложение '!$C15</f>
        <v>2028 г.</v>
      </c>
      <c r="G7" s="4488" t="str">
        <f>'Приложение '!$C16</f>
        <v>2029 г.</v>
      </c>
      <c r="H7" s="4488" t="str">
        <f>'Приложение '!$C17</f>
        <v>2030 г.</v>
      </c>
      <c r="I7" s="4489" t="str">
        <f>'Приложение '!$C18</f>
        <v>2031 г.</v>
      </c>
      <c r="J7" s="3996"/>
      <c r="K7" s="3997"/>
    </row>
    <row r="8" spans="1:11" ht="13.5" thickBot="1">
      <c r="A8" s="174" t="s">
        <v>167</v>
      </c>
      <c r="B8" s="1382" t="s">
        <v>168</v>
      </c>
      <c r="C8" s="375"/>
      <c r="D8" s="1532"/>
      <c r="E8" s="179"/>
      <c r="F8" s="179"/>
      <c r="G8" s="179"/>
      <c r="H8" s="179"/>
      <c r="I8" s="180"/>
      <c r="J8" s="3995"/>
    </row>
    <row r="9" spans="1:11" ht="28.5" customHeight="1">
      <c r="A9" s="175" t="s">
        <v>205</v>
      </c>
      <c r="B9" s="178" t="s">
        <v>570</v>
      </c>
      <c r="C9" s="376" t="s">
        <v>781</v>
      </c>
      <c r="D9" s="210">
        <f>D10+D11+D12+D13-D14-D15-D16-D17</f>
        <v>18733752</v>
      </c>
      <c r="E9" s="210">
        <f t="shared" ref="E9:I9" si="0">E10+E11+E12+E13-E14-E15-E16-E17</f>
        <v>18545315</v>
      </c>
      <c r="F9" s="210">
        <f t="shared" si="0"/>
        <v>18039784</v>
      </c>
      <c r="G9" s="210">
        <f t="shared" si="0"/>
        <v>17431253</v>
      </c>
      <c r="H9" s="210">
        <f t="shared" si="0"/>
        <v>16872722</v>
      </c>
      <c r="I9" s="211">
        <f t="shared" si="0"/>
        <v>16281192</v>
      </c>
      <c r="J9" s="3995"/>
    </row>
    <row r="10" spans="1:11" ht="15.75">
      <c r="A10" s="176" t="s">
        <v>90</v>
      </c>
      <c r="B10" s="377" t="s">
        <v>906</v>
      </c>
      <c r="C10" s="378" t="s">
        <v>781</v>
      </c>
      <c r="D10" s="212">
        <v>8927907</v>
      </c>
      <c r="E10" s="212">
        <v>8759849</v>
      </c>
      <c r="F10" s="212">
        <v>8631791</v>
      </c>
      <c r="G10" s="212">
        <v>8373733</v>
      </c>
      <c r="H10" s="212">
        <v>7955675</v>
      </c>
      <c r="I10" s="213">
        <v>7689619</v>
      </c>
      <c r="J10" s="3995"/>
    </row>
    <row r="11" spans="1:11" ht="15.75">
      <c r="A11" s="176" t="s">
        <v>91</v>
      </c>
      <c r="B11" s="377" t="s">
        <v>907</v>
      </c>
      <c r="C11" s="378" t="s">
        <v>781</v>
      </c>
      <c r="D11" s="212">
        <v>8780239</v>
      </c>
      <c r="E11" s="212">
        <v>8716766</v>
      </c>
      <c r="F11" s="212">
        <v>8339293</v>
      </c>
      <c r="G11" s="212">
        <v>7988820</v>
      </c>
      <c r="H11" s="212">
        <v>7848347</v>
      </c>
      <c r="I11" s="213">
        <v>7522873</v>
      </c>
      <c r="J11" s="3998"/>
    </row>
    <row r="12" spans="1:11" ht="24">
      <c r="A12" s="176" t="s">
        <v>93</v>
      </c>
      <c r="B12" s="377" t="s">
        <v>908</v>
      </c>
      <c r="C12" s="378" t="s">
        <v>781</v>
      </c>
      <c r="D12" s="954">
        <f>'4.2. Продад. и закупени кол-ва'!D103</f>
        <v>1025606</v>
      </c>
      <c r="E12" s="954">
        <f>'4.2. Продад. и закупени кол-ва'!E103</f>
        <v>1068700</v>
      </c>
      <c r="F12" s="954">
        <f>'4.2. Продад. и закупени кол-ва'!F103</f>
        <v>1068700</v>
      </c>
      <c r="G12" s="954">
        <f>'4.2. Продад. и закупени кол-ва'!G103</f>
        <v>1068700</v>
      </c>
      <c r="H12" s="954">
        <f>'4.2. Продад. и закупени кол-ва'!H103</f>
        <v>1068700</v>
      </c>
      <c r="I12" s="3999">
        <f>'4.2. Продад. и закупени кол-ва'!I103</f>
        <v>1068700</v>
      </c>
      <c r="J12" s="1383"/>
    </row>
    <row r="13" spans="1:11" ht="24">
      <c r="A13" s="176" t="s">
        <v>145</v>
      </c>
      <c r="B13" s="377" t="s">
        <v>909</v>
      </c>
      <c r="C13" s="378" t="s">
        <v>781</v>
      </c>
      <c r="D13" s="1435">
        <f>'4.2. Продад. и закупени кол-ва'!D105</f>
        <v>0</v>
      </c>
      <c r="E13" s="1435">
        <f>'4.2. Продад. и закупени кол-ва'!E105</f>
        <v>0</v>
      </c>
      <c r="F13" s="1435">
        <f>'4.2. Продад. и закупени кол-ва'!F105</f>
        <v>0</v>
      </c>
      <c r="G13" s="1435">
        <f>'4.2. Продад. и закупени кол-ва'!G105</f>
        <v>0</v>
      </c>
      <c r="H13" s="1435">
        <f>'4.2. Продад. и закупени кол-ва'!H105</f>
        <v>0</v>
      </c>
      <c r="I13" s="1436">
        <f>'4.2. Продад. и закупени кол-ва'!I105</f>
        <v>0</v>
      </c>
      <c r="J13" s="1383"/>
    </row>
    <row r="14" spans="1:11" ht="15.75">
      <c r="A14" s="176" t="s">
        <v>147</v>
      </c>
      <c r="B14" s="377" t="s">
        <v>995</v>
      </c>
      <c r="C14" s="378" t="s">
        <v>781</v>
      </c>
      <c r="D14" s="212"/>
      <c r="E14" s="214"/>
      <c r="F14" s="214"/>
      <c r="G14" s="214"/>
      <c r="H14" s="214"/>
      <c r="I14" s="215"/>
      <c r="J14" s="1383"/>
    </row>
    <row r="15" spans="1:11" ht="24">
      <c r="A15" s="176" t="s">
        <v>149</v>
      </c>
      <c r="B15" s="377" t="s">
        <v>1037</v>
      </c>
      <c r="C15" s="378" t="s">
        <v>781</v>
      </c>
      <c r="D15" s="212"/>
      <c r="E15" s="214"/>
      <c r="F15" s="214"/>
      <c r="G15" s="214"/>
      <c r="H15" s="214"/>
      <c r="I15" s="215"/>
      <c r="J15" s="1383"/>
    </row>
    <row r="16" spans="1:11" ht="15.75">
      <c r="A16" s="176" t="s">
        <v>151</v>
      </c>
      <c r="B16" s="377" t="s">
        <v>996</v>
      </c>
      <c r="C16" s="378" t="s">
        <v>781</v>
      </c>
      <c r="D16" s="212"/>
      <c r="E16" s="214"/>
      <c r="F16" s="214"/>
      <c r="G16" s="214"/>
      <c r="H16" s="214"/>
      <c r="I16" s="215"/>
      <c r="J16" s="1383"/>
    </row>
    <row r="17" spans="1:11" ht="24.75" thickBot="1">
      <c r="A17" s="177" t="s">
        <v>153</v>
      </c>
      <c r="B17" s="610" t="s">
        <v>1038</v>
      </c>
      <c r="C17" s="382" t="s">
        <v>781</v>
      </c>
      <c r="D17" s="931"/>
      <c r="E17" s="217"/>
      <c r="F17" s="818"/>
      <c r="G17" s="818"/>
      <c r="H17" s="818"/>
      <c r="I17" s="819"/>
      <c r="J17" s="1383"/>
    </row>
    <row r="18" spans="1:11" ht="15.75">
      <c r="A18" s="5079" t="s">
        <v>95</v>
      </c>
      <c r="B18" s="5091" t="s">
        <v>571</v>
      </c>
      <c r="C18" s="379" t="s">
        <v>781</v>
      </c>
      <c r="D18" s="821">
        <f t="shared" ref="D18:I18" si="1">D20+D26</f>
        <v>11747916</v>
      </c>
      <c r="E18" s="219">
        <f t="shared" si="1"/>
        <v>11629443</v>
      </c>
      <c r="F18" s="236">
        <f t="shared" si="1"/>
        <v>11316584.020081241</v>
      </c>
      <c r="G18" s="236">
        <f t="shared" si="1"/>
        <v>10944207.423367359</v>
      </c>
      <c r="H18" s="236">
        <f t="shared" si="1"/>
        <v>10614373.287091164</v>
      </c>
      <c r="I18" s="237">
        <f t="shared" si="1"/>
        <v>10266137.521163668</v>
      </c>
      <c r="J18" s="1383"/>
      <c r="K18" s="3995"/>
    </row>
    <row r="19" spans="1:11" ht="13.5" thickBot="1">
      <c r="A19" s="5090"/>
      <c r="B19" s="5092"/>
      <c r="C19" s="380" t="s">
        <v>170</v>
      </c>
      <c r="D19" s="221">
        <f>IFERROR(D18/D9,0)</f>
        <v>0.6270989388564554</v>
      </c>
      <c r="E19" s="222">
        <f t="shared" ref="E19:I19" si="2">IFERROR(E18/E9,0)</f>
        <v>0.62708252731215408</v>
      </c>
      <c r="F19" s="222">
        <f t="shared" si="2"/>
        <v>0.6273126119515201</v>
      </c>
      <c r="G19" s="222">
        <f t="shared" si="2"/>
        <v>0.62784972619968049</v>
      </c>
      <c r="H19" s="222">
        <f t="shared" si="2"/>
        <v>0.62908482028514212</v>
      </c>
      <c r="I19" s="223">
        <f t="shared" si="2"/>
        <v>0.63055195965772459</v>
      </c>
      <c r="J19" s="1383"/>
    </row>
    <row r="20" spans="1:11" ht="15.75">
      <c r="A20" s="5093" t="s">
        <v>96</v>
      </c>
      <c r="B20" s="5095" t="s">
        <v>1775</v>
      </c>
      <c r="C20" s="381" t="s">
        <v>781</v>
      </c>
      <c r="D20" s="244">
        <f>'4.1. Фактурирани количества'!E39</f>
        <v>11471057</v>
      </c>
      <c r="E20" s="224">
        <f>'4.1. Фактурирани количества'!G39</f>
        <v>11354943</v>
      </c>
      <c r="F20" s="224">
        <f>'4.1. Фактурирани количества'!H39</f>
        <v>11050084.020081241</v>
      </c>
      <c r="G20" s="224">
        <f>'4.1. Фактурирани количества'!I39</f>
        <v>10686707.423367359</v>
      </c>
      <c r="H20" s="224">
        <f>'4.1. Фактурирани количества'!J39</f>
        <v>10364373.287091164</v>
      </c>
      <c r="I20" s="224">
        <f>'4.1. Фактурирани количества'!K39</f>
        <v>10025137.521163668</v>
      </c>
      <c r="J20" s="1383"/>
    </row>
    <row r="21" spans="1:11">
      <c r="A21" s="5094"/>
      <c r="B21" s="5096"/>
      <c r="C21" s="378" t="s">
        <v>170</v>
      </c>
      <c r="D21" s="227">
        <f>IFERROR(D20/D9,0)</f>
        <v>0.61232031896226657</v>
      </c>
      <c r="E21" s="228">
        <f t="shared" ref="E21:I21" si="3">IFERROR(E20/E9,0)</f>
        <v>0.61228094534927013</v>
      </c>
      <c r="F21" s="228">
        <f t="shared" si="3"/>
        <v>0.61253970779701361</v>
      </c>
      <c r="G21" s="228">
        <f t="shared" si="3"/>
        <v>0.6130774089141704</v>
      </c>
      <c r="H21" s="228">
        <f t="shared" si="3"/>
        <v>0.61426800531005987</v>
      </c>
      <c r="I21" s="229">
        <f t="shared" si="3"/>
        <v>0.61574960366315123</v>
      </c>
      <c r="J21" s="1383"/>
    </row>
    <row r="22" spans="1:11" ht="15.75">
      <c r="A22" s="87" t="s">
        <v>573</v>
      </c>
      <c r="B22" s="97" t="s">
        <v>574</v>
      </c>
      <c r="C22" s="378" t="s">
        <v>781</v>
      </c>
      <c r="D22" s="1435">
        <f>'4.1. Фактурирани количества'!E26</f>
        <v>8263122</v>
      </c>
      <c r="E22" s="954">
        <f>'4.1. Фактурирани количества'!G26</f>
        <v>8207649.333333333</v>
      </c>
      <c r="F22" s="954">
        <f>'4.1. Фактурирани количества'!H26</f>
        <v>7939246.0200812398</v>
      </c>
      <c r="G22" s="954">
        <f>'4.1. Фактурирани количества'!I26</f>
        <v>7679661.4233673578</v>
      </c>
      <c r="H22" s="954">
        <f>'4.1. Фактурирани количества'!J26</f>
        <v>7428546.2870911639</v>
      </c>
      <c r="I22" s="3999">
        <f>'4.1. Фактурирани количества'!K26</f>
        <v>7168219.5211636694</v>
      </c>
      <c r="J22" s="1383"/>
    </row>
    <row r="23" spans="1:11" ht="15.75">
      <c r="A23" s="87" t="s">
        <v>577</v>
      </c>
      <c r="B23" s="1384" t="s">
        <v>575</v>
      </c>
      <c r="C23" s="378" t="s">
        <v>781</v>
      </c>
      <c r="D23" s="1435">
        <f>'4.1. Фактурирани количества'!E30</f>
        <v>2512605</v>
      </c>
      <c r="E23" s="954">
        <f>'4.1. Фактурирани количества'!G30</f>
        <v>2489017.6666666665</v>
      </c>
      <c r="F23" s="954">
        <f>'4.1. Фактурирани количества'!H30</f>
        <v>2407627</v>
      </c>
      <c r="G23" s="954">
        <f>'4.1. Фактурирани количества'!I30</f>
        <v>2328899</v>
      </c>
      <c r="H23" s="954">
        <f>'4.1. Фактурирани количества'!J30</f>
        <v>2252743</v>
      </c>
      <c r="I23" s="3999">
        <f>'4.1. Фактурирани количества'!K30</f>
        <v>2173898</v>
      </c>
      <c r="J23" s="1383"/>
    </row>
    <row r="24" spans="1:11" ht="15.75">
      <c r="A24" s="87" t="s">
        <v>1179</v>
      </c>
      <c r="B24" s="97" t="s">
        <v>576</v>
      </c>
      <c r="C24" s="378" t="s">
        <v>781</v>
      </c>
      <c r="D24" s="1435">
        <f>'4.1. Фактурирани количества'!E34</f>
        <v>695330</v>
      </c>
      <c r="E24" s="954">
        <f>'4.1. Фактурирани количества'!G34</f>
        <v>658276</v>
      </c>
      <c r="F24" s="954">
        <f>'4.1. Фактурирани количества'!H34</f>
        <v>653211</v>
      </c>
      <c r="G24" s="954">
        <f>'4.1. Фактурирани количества'!I34</f>
        <v>648147</v>
      </c>
      <c r="H24" s="954">
        <f>'4.1. Фактурирани количества'!J34</f>
        <v>643084</v>
      </c>
      <c r="I24" s="3999">
        <f>'4.1. Фактурирани количества'!K34</f>
        <v>638020</v>
      </c>
      <c r="J24" s="1383"/>
    </row>
    <row r="25" spans="1:11" ht="16.5" thickBot="1">
      <c r="A25" s="4303" t="s">
        <v>1206</v>
      </c>
      <c r="B25" s="4304" t="s">
        <v>1776</v>
      </c>
      <c r="C25" s="4305" t="s">
        <v>781</v>
      </c>
      <c r="D25" s="4308"/>
      <c r="E25" s="4306">
        <f>'4.1. Фактурирани количества'!G38</f>
        <v>0</v>
      </c>
      <c r="F25" s="4306">
        <f>'4.1. Фактурирани количества'!H38</f>
        <v>50000</v>
      </c>
      <c r="G25" s="4306">
        <f>'4.1. Фактурирани количества'!I38</f>
        <v>30000</v>
      </c>
      <c r="H25" s="4306">
        <f>'4.1. Фактурирани количества'!J38</f>
        <v>40000</v>
      </c>
      <c r="I25" s="4307">
        <f>'4.1. Фактурирани количества'!K38</f>
        <v>45000</v>
      </c>
      <c r="J25" s="1383"/>
    </row>
    <row r="26" spans="1:11" ht="15.75">
      <c r="A26" s="5097" t="s">
        <v>97</v>
      </c>
      <c r="B26" s="5095" t="s">
        <v>688</v>
      </c>
      <c r="C26" s="381" t="s">
        <v>781</v>
      </c>
      <c r="D26" s="224">
        <f>D28+D29</f>
        <v>276859</v>
      </c>
      <c r="E26" s="225">
        <f t="shared" ref="E26:I26" si="4">E28+E29</f>
        <v>274500</v>
      </c>
      <c r="F26" s="225">
        <f t="shared" si="4"/>
        <v>266500</v>
      </c>
      <c r="G26" s="225">
        <f t="shared" si="4"/>
        <v>257500</v>
      </c>
      <c r="H26" s="225">
        <f t="shared" si="4"/>
        <v>250000</v>
      </c>
      <c r="I26" s="226">
        <f t="shared" si="4"/>
        <v>241000</v>
      </c>
      <c r="J26" s="1383"/>
    </row>
    <row r="27" spans="1:11">
      <c r="A27" s="5098"/>
      <c r="B27" s="5096"/>
      <c r="C27" s="378" t="s">
        <v>170</v>
      </c>
      <c r="D27" s="232">
        <f t="shared" ref="D27:I27" si="5">IFERROR(D26/D9,0)</f>
        <v>1.4778619894188841E-2</v>
      </c>
      <c r="E27" s="233">
        <f t="shared" si="5"/>
        <v>1.4801581962883887E-2</v>
      </c>
      <c r="F27" s="233">
        <f t="shared" si="5"/>
        <v>1.4772904154506506E-2</v>
      </c>
      <c r="G27" s="233">
        <f t="shared" si="5"/>
        <v>1.4772317285510112E-2</v>
      </c>
      <c r="H27" s="233">
        <f t="shared" si="5"/>
        <v>1.4816814975082266E-2</v>
      </c>
      <c r="I27" s="234">
        <f t="shared" si="5"/>
        <v>1.480235599457337E-2</v>
      </c>
      <c r="J27" s="1383"/>
    </row>
    <row r="28" spans="1:11" ht="28.5" customHeight="1">
      <c r="A28" s="4196" t="s">
        <v>159</v>
      </c>
      <c r="B28" s="4195" t="s">
        <v>578</v>
      </c>
      <c r="C28" s="378" t="s">
        <v>781</v>
      </c>
      <c r="D28" s="212">
        <v>96859</v>
      </c>
      <c r="E28" s="212">
        <v>98500</v>
      </c>
      <c r="F28" s="212">
        <v>98500</v>
      </c>
      <c r="G28" s="212">
        <v>97500</v>
      </c>
      <c r="H28" s="212">
        <v>97000</v>
      </c>
      <c r="I28" s="213">
        <v>96000</v>
      </c>
      <c r="J28" s="1383"/>
    </row>
    <row r="29" spans="1:11" ht="27.75" customHeight="1" thickBot="1">
      <c r="A29" s="88" t="s">
        <v>164</v>
      </c>
      <c r="B29" s="98" t="s">
        <v>579</v>
      </c>
      <c r="C29" s="382" t="s">
        <v>781</v>
      </c>
      <c r="D29" s="216">
        <v>180000</v>
      </c>
      <c r="E29" s="216">
        <v>176000</v>
      </c>
      <c r="F29" s="216">
        <v>168000</v>
      </c>
      <c r="G29" s="216">
        <v>160000</v>
      </c>
      <c r="H29" s="216">
        <v>153000</v>
      </c>
      <c r="I29" s="235">
        <v>145000</v>
      </c>
      <c r="J29" s="1383"/>
    </row>
    <row r="30" spans="1:11" ht="15.75">
      <c r="A30" s="5099" t="s">
        <v>99</v>
      </c>
      <c r="B30" s="5091" t="s">
        <v>689</v>
      </c>
      <c r="C30" s="376" t="s">
        <v>781</v>
      </c>
      <c r="D30" s="210">
        <f>D33+D37</f>
        <v>6985836</v>
      </c>
      <c r="E30" s="236">
        <f t="shared" ref="E30:I30" si="6">E33+E37</f>
        <v>6915872</v>
      </c>
      <c r="F30" s="236">
        <f t="shared" si="6"/>
        <v>6723200</v>
      </c>
      <c r="G30" s="236">
        <f t="shared" si="6"/>
        <v>6487046</v>
      </c>
      <c r="H30" s="236">
        <f t="shared" si="6"/>
        <v>6258349</v>
      </c>
      <c r="I30" s="237">
        <f t="shared" si="6"/>
        <v>6015054</v>
      </c>
      <c r="J30" s="1383"/>
    </row>
    <row r="31" spans="1:11">
      <c r="A31" s="5080"/>
      <c r="B31" s="5100"/>
      <c r="C31" s="383" t="s">
        <v>170</v>
      </c>
      <c r="D31" s="238">
        <f t="shared" ref="D31:I31" si="7">IFERROR(D30/D9,0)</f>
        <v>0.37290106114354454</v>
      </c>
      <c r="E31" s="239">
        <f t="shared" si="7"/>
        <v>0.37291747268784597</v>
      </c>
      <c r="F31" s="239">
        <f t="shared" si="7"/>
        <v>0.37268738916164407</v>
      </c>
      <c r="G31" s="239">
        <f t="shared" si="7"/>
        <v>0.37215029808815236</v>
      </c>
      <c r="H31" s="239">
        <f t="shared" si="7"/>
        <v>0.37091519672996448</v>
      </c>
      <c r="I31" s="240">
        <f t="shared" si="7"/>
        <v>0.36944801093187773</v>
      </c>
      <c r="J31" s="1383"/>
    </row>
    <row r="32" spans="1:11" ht="29.25" thickBot="1">
      <c r="A32" s="5090"/>
      <c r="B32" s="5101"/>
      <c r="C32" s="380" t="s">
        <v>1041</v>
      </c>
      <c r="D32" s="241">
        <f>IFERROR(D30/'2. Променливи'!E26/365,0)</f>
        <v>10.813150684931507</v>
      </c>
      <c r="E32" s="242">
        <f>IFERROR(E30/'2. Променливи'!F26/365,0)</f>
        <v>10.686742538380116</v>
      </c>
      <c r="F32" s="242">
        <f>IFERROR(F30/'2. Променливи'!G26/365,0)</f>
        <v>10.389016371910468</v>
      </c>
      <c r="G32" s="242">
        <f>IFERROR(G30/'2. Променливи'!H26/365,0)</f>
        <v>10.024099699449119</v>
      </c>
      <c r="H32" s="242">
        <f>IFERROR(H30/'2. Променливи'!I26/365,0)</f>
        <v>9.6707059468898002</v>
      </c>
      <c r="I32" s="243">
        <f>IFERROR(I30/'2. Променливи'!J26/365,0)</f>
        <v>9.2947546531302869</v>
      </c>
      <c r="J32" s="1383"/>
    </row>
    <row r="33" spans="1:16" s="4001" customFormat="1" ht="15.75">
      <c r="A33" s="5093" t="s">
        <v>171</v>
      </c>
      <c r="B33" s="5102" t="s">
        <v>580</v>
      </c>
      <c r="C33" s="381" t="s">
        <v>781</v>
      </c>
      <c r="D33" s="244">
        <f>D35+D36</f>
        <v>1500000</v>
      </c>
      <c r="E33" s="245">
        <f t="shared" ref="E33:I33" si="8">E35+E36</f>
        <v>1470000</v>
      </c>
      <c r="F33" s="245">
        <f t="shared" si="8"/>
        <v>1420000</v>
      </c>
      <c r="G33" s="245">
        <f t="shared" si="8"/>
        <v>1390000</v>
      </c>
      <c r="H33" s="245">
        <f t="shared" si="8"/>
        <v>1350000</v>
      </c>
      <c r="I33" s="246">
        <f t="shared" si="8"/>
        <v>1305000</v>
      </c>
      <c r="J33" s="1385"/>
      <c r="K33" s="4000"/>
      <c r="L33" s="4000"/>
      <c r="M33" s="4000"/>
      <c r="N33" s="4000"/>
    </row>
    <row r="34" spans="1:16" s="4001" customFormat="1">
      <c r="A34" s="5094"/>
      <c r="B34" s="5103"/>
      <c r="C34" s="378" t="s">
        <v>170</v>
      </c>
      <c r="D34" s="247">
        <f t="shared" ref="D34:I34" si="9">IFERROR(D33/D9,0)</f>
        <v>8.006938492620165E-2</v>
      </c>
      <c r="E34" s="248">
        <f t="shared" si="9"/>
        <v>7.9265302314897326E-2</v>
      </c>
      <c r="F34" s="248">
        <f t="shared" si="9"/>
        <v>7.8714911442398644E-2</v>
      </c>
      <c r="G34" s="248">
        <f t="shared" si="9"/>
        <v>7.9741829230520603E-2</v>
      </c>
      <c r="H34" s="248">
        <f t="shared" si="9"/>
        <v>8.0010800865444237E-2</v>
      </c>
      <c r="I34" s="249">
        <f t="shared" si="9"/>
        <v>8.0153836402150402E-2</v>
      </c>
      <c r="J34" s="1385"/>
    </row>
    <row r="35" spans="1:16" s="4001" customFormat="1" ht="15.75">
      <c r="A35" s="89" t="s">
        <v>581</v>
      </c>
      <c r="B35" s="99" t="s">
        <v>582</v>
      </c>
      <c r="C35" s="378" t="s">
        <v>781</v>
      </c>
      <c r="D35" s="212">
        <v>1300000</v>
      </c>
      <c r="E35" s="212">
        <v>1270000</v>
      </c>
      <c r="F35" s="212">
        <v>1250000</v>
      </c>
      <c r="G35" s="212">
        <v>1230000</v>
      </c>
      <c r="H35" s="212">
        <v>1210000</v>
      </c>
      <c r="I35" s="213">
        <v>1170000</v>
      </c>
      <c r="J35" s="1385"/>
    </row>
    <row r="36" spans="1:16" s="4001" customFormat="1" ht="16.5" thickBot="1">
      <c r="A36" s="90" t="s">
        <v>583</v>
      </c>
      <c r="B36" s="100" t="s">
        <v>584</v>
      </c>
      <c r="C36" s="382" t="s">
        <v>781</v>
      </c>
      <c r="D36" s="216">
        <v>200000</v>
      </c>
      <c r="E36" s="216">
        <v>200000</v>
      </c>
      <c r="F36" s="216">
        <v>170000</v>
      </c>
      <c r="G36" s="216">
        <v>160000</v>
      </c>
      <c r="H36" s="216">
        <v>140000</v>
      </c>
      <c r="I36" s="235">
        <v>135000</v>
      </c>
      <c r="J36" s="1385"/>
    </row>
    <row r="37" spans="1:16" s="4001" customFormat="1" ht="15.75">
      <c r="A37" s="5093" t="s">
        <v>172</v>
      </c>
      <c r="B37" s="5085" t="s">
        <v>585</v>
      </c>
      <c r="C37" s="381" t="s">
        <v>781</v>
      </c>
      <c r="D37" s="244">
        <f>SUM(D39:D42)</f>
        <v>5485836</v>
      </c>
      <c r="E37" s="245">
        <f t="shared" ref="E37:I37" si="10">SUM(E39:E42)</f>
        <v>5445872</v>
      </c>
      <c r="F37" s="245">
        <f t="shared" si="10"/>
        <v>5303200</v>
      </c>
      <c r="G37" s="245">
        <f t="shared" si="10"/>
        <v>5097046</v>
      </c>
      <c r="H37" s="245">
        <f t="shared" si="10"/>
        <v>4908349</v>
      </c>
      <c r="I37" s="246">
        <f t="shared" si="10"/>
        <v>4710054</v>
      </c>
      <c r="J37" s="1385"/>
    </row>
    <row r="38" spans="1:16" s="4001" customFormat="1">
      <c r="A38" s="5094"/>
      <c r="B38" s="5086"/>
      <c r="C38" s="378" t="s">
        <v>170</v>
      </c>
      <c r="D38" s="247">
        <f t="shared" ref="D38:I38" si="11">IFERROR(D37/D9,0)</f>
        <v>0.29283167621734291</v>
      </c>
      <c r="E38" s="248">
        <f t="shared" si="11"/>
        <v>0.29365217037294866</v>
      </c>
      <c r="F38" s="248">
        <f t="shared" si="11"/>
        <v>0.2939724777192454</v>
      </c>
      <c r="G38" s="248">
        <f t="shared" si="11"/>
        <v>0.29240846885763178</v>
      </c>
      <c r="H38" s="248">
        <f t="shared" si="11"/>
        <v>0.29090439586452027</v>
      </c>
      <c r="I38" s="249">
        <f t="shared" si="11"/>
        <v>0.28929417452972733</v>
      </c>
      <c r="J38" s="1385"/>
    </row>
    <row r="39" spans="1:16" s="4001" customFormat="1" ht="25.5">
      <c r="A39" s="89" t="s">
        <v>586</v>
      </c>
      <c r="B39" s="101" t="s">
        <v>587</v>
      </c>
      <c r="C39" s="378" t="s">
        <v>781</v>
      </c>
      <c r="D39" s="212">
        <v>1200000</v>
      </c>
      <c r="E39" s="212">
        <v>1200000</v>
      </c>
      <c r="F39" s="212">
        <v>1200000</v>
      </c>
      <c r="G39" s="212">
        <v>1150000</v>
      </c>
      <c r="H39" s="212">
        <v>1150000</v>
      </c>
      <c r="I39" s="213">
        <v>1100000</v>
      </c>
      <c r="J39" s="1385"/>
    </row>
    <row r="40" spans="1:16" s="4001" customFormat="1" ht="15.75">
      <c r="A40" s="89" t="s">
        <v>588</v>
      </c>
      <c r="B40" s="99" t="s">
        <v>589</v>
      </c>
      <c r="C40" s="378" t="s">
        <v>781</v>
      </c>
      <c r="D40" s="212">
        <v>150000</v>
      </c>
      <c r="E40" s="212">
        <v>145000</v>
      </c>
      <c r="F40" s="212">
        <v>145000</v>
      </c>
      <c r="G40" s="212">
        <v>140000</v>
      </c>
      <c r="H40" s="212">
        <v>140000</v>
      </c>
      <c r="I40" s="213">
        <v>135000</v>
      </c>
      <c r="J40" s="1385"/>
    </row>
    <row r="41" spans="1:16" s="4001" customFormat="1" ht="15.75">
      <c r="A41" s="89" t="s">
        <v>590</v>
      </c>
      <c r="B41" s="99" t="s">
        <v>591</v>
      </c>
      <c r="C41" s="378" t="s">
        <v>781</v>
      </c>
      <c r="D41" s="212">
        <v>3135836</v>
      </c>
      <c r="E41" s="212">
        <v>3100872</v>
      </c>
      <c r="F41" s="212">
        <v>2988200</v>
      </c>
      <c r="G41" s="212">
        <v>2857046</v>
      </c>
      <c r="H41" s="212">
        <v>2688349</v>
      </c>
      <c r="I41" s="213">
        <v>2575054</v>
      </c>
      <c r="J41" s="1385"/>
    </row>
    <row r="42" spans="1:16" ht="16.5" thickBot="1">
      <c r="A42" s="90" t="s">
        <v>592</v>
      </c>
      <c r="B42" s="102" t="s">
        <v>593</v>
      </c>
      <c r="C42" s="382" t="s">
        <v>781</v>
      </c>
      <c r="D42" s="216">
        <v>1000000</v>
      </c>
      <c r="E42" s="216">
        <v>1000000</v>
      </c>
      <c r="F42" s="216">
        <v>970000</v>
      </c>
      <c r="G42" s="216">
        <v>950000</v>
      </c>
      <c r="H42" s="216">
        <v>930000</v>
      </c>
      <c r="I42" s="235">
        <v>900000</v>
      </c>
      <c r="J42" s="1383"/>
    </row>
    <row r="43" spans="1:16" ht="15.75">
      <c r="A43" s="5079" t="s">
        <v>100</v>
      </c>
      <c r="B43" s="5082" t="s">
        <v>594</v>
      </c>
      <c r="C43" s="379" t="s">
        <v>781</v>
      </c>
      <c r="D43" s="218">
        <f t="shared" ref="D43:I43" si="12">D30+D26</f>
        <v>7262695</v>
      </c>
      <c r="E43" s="219">
        <f t="shared" si="12"/>
        <v>7190372</v>
      </c>
      <c r="F43" s="219">
        <f t="shared" si="12"/>
        <v>6989700</v>
      </c>
      <c r="G43" s="219">
        <f t="shared" si="12"/>
        <v>6744546</v>
      </c>
      <c r="H43" s="219">
        <f t="shared" si="12"/>
        <v>6508349</v>
      </c>
      <c r="I43" s="220">
        <f t="shared" si="12"/>
        <v>6256054</v>
      </c>
      <c r="J43" s="1383"/>
      <c r="L43" s="1847" t="s">
        <v>202</v>
      </c>
    </row>
    <row r="44" spans="1:16">
      <c r="A44" s="5080"/>
      <c r="B44" s="5083"/>
      <c r="C44" s="383" t="s">
        <v>170</v>
      </c>
      <c r="D44" s="966">
        <f t="shared" ref="D44:I44" si="13">IFERROR(D43/D9,0)</f>
        <v>0.38767968103773337</v>
      </c>
      <c r="E44" s="967">
        <f t="shared" si="13"/>
        <v>0.38771905465072987</v>
      </c>
      <c r="F44" s="967">
        <f t="shared" si="13"/>
        <v>0.38746029331615056</v>
      </c>
      <c r="G44" s="967">
        <f t="shared" si="13"/>
        <v>0.38692261537366246</v>
      </c>
      <c r="H44" s="967">
        <f t="shared" si="13"/>
        <v>0.38573201170504678</v>
      </c>
      <c r="I44" s="968">
        <f t="shared" si="13"/>
        <v>0.38425036692645109</v>
      </c>
      <c r="J44" s="1383"/>
    </row>
    <row r="45" spans="1:16" ht="28.5">
      <c r="A45" s="5080"/>
      <c r="B45" s="5083"/>
      <c r="C45" s="383" t="s">
        <v>1041</v>
      </c>
      <c r="D45" s="250">
        <f>IFERROR(D43/'2. Променливи'!E26/365,0)</f>
        <v>11.241691819518614</v>
      </c>
      <c r="E45" s="251">
        <f>IFERROR(E43/'2. Променливи'!F26/365,0)</f>
        <v>11.110913319271571</v>
      </c>
      <c r="F45" s="251">
        <f>IFERROR(F43/'2. Променливи'!G26/365,0)</f>
        <v>10.800825162830586</v>
      </c>
      <c r="G45" s="251">
        <f>IFERROR(G43/'2. Променливи'!H26/365,0)</f>
        <v>10.422001251651483</v>
      </c>
      <c r="H45" s="251">
        <f>IFERROR(H43/'2. Променливи'!I26/365,0)</f>
        <v>10.05701813349404</v>
      </c>
      <c r="I45" s="252">
        <f>IFERROR(I43/'2. Променливи'!J26/365,0)</f>
        <v>9.667159601016774</v>
      </c>
      <c r="J45" s="1383"/>
    </row>
    <row r="46" spans="1:16" ht="13.5" thickBot="1">
      <c r="A46" s="5081"/>
      <c r="B46" s="5084"/>
      <c r="C46" s="384" t="s">
        <v>725</v>
      </c>
      <c r="D46" s="253">
        <f t="shared" ref="D46:I46" si="14">D9-D20-D43</f>
        <v>0</v>
      </c>
      <c r="E46" s="254">
        <f t="shared" si="14"/>
        <v>0</v>
      </c>
      <c r="F46" s="254">
        <f t="shared" si="14"/>
        <v>-2.0081240683794022E-2</v>
      </c>
      <c r="G46" s="254">
        <f t="shared" si="14"/>
        <v>-0.42336735874414444</v>
      </c>
      <c r="H46" s="254">
        <f t="shared" si="14"/>
        <v>-0.28709116391837597</v>
      </c>
      <c r="I46" s="255">
        <f t="shared" si="14"/>
        <v>0.47883633151650429</v>
      </c>
      <c r="J46" s="1383"/>
    </row>
    <row r="47" spans="1:16" ht="18.75" customHeight="1" thickBot="1">
      <c r="A47" s="91" t="s">
        <v>173</v>
      </c>
      <c r="B47" s="1386" t="s">
        <v>174</v>
      </c>
      <c r="C47" s="385"/>
      <c r="D47" s="1850"/>
      <c r="E47" s="1850"/>
      <c r="F47" s="1850"/>
      <c r="G47" s="1850"/>
      <c r="H47" s="1850"/>
      <c r="I47" s="1851"/>
      <c r="J47" s="3995"/>
      <c r="K47" s="4002"/>
      <c r="L47" s="3995"/>
      <c r="M47" s="3995"/>
      <c r="N47" s="3995"/>
      <c r="O47" s="3995"/>
      <c r="P47" s="3995"/>
    </row>
    <row r="48" spans="1:16" ht="15.75">
      <c r="A48" s="5074">
        <v>5</v>
      </c>
      <c r="B48" s="5076" t="s">
        <v>175</v>
      </c>
      <c r="C48" s="376" t="s">
        <v>781</v>
      </c>
      <c r="D48" s="204">
        <f t="shared" ref="D48:I48" si="15">D50+D51</f>
        <v>9812164</v>
      </c>
      <c r="E48" s="205">
        <f t="shared" si="15"/>
        <v>9547294.9999999981</v>
      </c>
      <c r="F48" s="205">
        <f t="shared" si="15"/>
        <v>9248377.691771986</v>
      </c>
      <c r="G48" s="205">
        <f t="shared" si="15"/>
        <v>8958863.1215095669</v>
      </c>
      <c r="H48" s="205">
        <f t="shared" si="15"/>
        <v>8678455.362442337</v>
      </c>
      <c r="I48" s="206">
        <f t="shared" si="15"/>
        <v>8388483.7760139331</v>
      </c>
      <c r="J48" s="4003"/>
    </row>
    <row r="49" spans="1:10" ht="13.5" thickBot="1">
      <c r="A49" s="5075"/>
      <c r="B49" s="5077"/>
      <c r="C49" s="380" t="s">
        <v>170</v>
      </c>
      <c r="D49" s="207">
        <f t="shared" ref="D49:I49" si="16">IFERROR(D48/D20,0)</f>
        <v>0.85538446892906206</v>
      </c>
      <c r="E49" s="208">
        <f t="shared" si="16"/>
        <v>0.84080518942279125</v>
      </c>
      <c r="F49" s="208">
        <f t="shared" si="16"/>
        <v>0.83695089331130634</v>
      </c>
      <c r="G49" s="208">
        <f t="shared" si="16"/>
        <v>0.83831836753762723</v>
      </c>
      <c r="H49" s="208">
        <f t="shared" si="16"/>
        <v>0.83733527556860199</v>
      </c>
      <c r="I49" s="209">
        <f t="shared" si="16"/>
        <v>0.83674500806650676</v>
      </c>
      <c r="J49" s="4003"/>
    </row>
    <row r="50" spans="1:10" ht="33" customHeight="1">
      <c r="A50" s="92" t="s">
        <v>105</v>
      </c>
      <c r="B50" s="1387" t="s">
        <v>177</v>
      </c>
      <c r="C50" s="381" t="s">
        <v>781</v>
      </c>
      <c r="D50" s="1437">
        <f>'4.1. Фактурирани количества'!E62+'4.1. Фактурирани количества'!E66</f>
        <v>8906850</v>
      </c>
      <c r="E50" s="1438">
        <f>'4.1. Фактурирани количества'!G62+'4.1. Фактурирани количества'!G66</f>
        <v>8846883.3333333321</v>
      </c>
      <c r="F50" s="1438">
        <f>'4.1. Фактурирани количества'!H62+'4.1. Фактурирани количества'!H66</f>
        <v>8557827.691771986</v>
      </c>
      <c r="G50" s="1438">
        <f>'4.1. Фактурирани количества'!I62+'4.1. Фактурирани количества'!I66</f>
        <v>8278178.1215095669</v>
      </c>
      <c r="H50" s="1438">
        <f>'4.1. Фактурирани количества'!J62+'4.1. Фактурирани количества'!J66</f>
        <v>8007635.362442336</v>
      </c>
      <c r="I50" s="1439">
        <f>'4.1. Фактурирани количества'!K62+'4.1. Фактурирани количества'!K66</f>
        <v>7727528.7760139331</v>
      </c>
      <c r="J50" s="3995"/>
    </row>
    <row r="51" spans="1:10" ht="16.5" thickBot="1">
      <c r="A51" s="93" t="s">
        <v>109</v>
      </c>
      <c r="B51" s="1388" t="s">
        <v>179</v>
      </c>
      <c r="C51" s="378" t="s">
        <v>781</v>
      </c>
      <c r="D51" s="1440">
        <f>'4.1. Фактурирани количества'!E70</f>
        <v>905314</v>
      </c>
      <c r="E51" s="1441">
        <f>'4.1. Фактурирани количества'!G70</f>
        <v>700411.66666666663</v>
      </c>
      <c r="F51" s="1441">
        <f>'4.1. Фактурирани количества'!H70</f>
        <v>690550</v>
      </c>
      <c r="G51" s="1441">
        <f>'4.1. Фактурирани количества'!I70</f>
        <v>680685</v>
      </c>
      <c r="H51" s="1441">
        <f>'4.1. Фактурирани количества'!J70</f>
        <v>670820</v>
      </c>
      <c r="I51" s="1442">
        <f>'4.1. Фактурирани количества'!K70</f>
        <v>660955</v>
      </c>
    </row>
    <row r="52" spans="1:10" ht="18" customHeight="1" thickBot="1">
      <c r="A52" s="94" t="s">
        <v>183</v>
      </c>
      <c r="B52" s="1386" t="s">
        <v>184</v>
      </c>
      <c r="C52" s="385"/>
      <c r="D52" s="1852"/>
      <c r="E52" s="1852"/>
      <c r="F52" s="1852"/>
      <c r="G52" s="1852"/>
      <c r="H52" s="1852"/>
      <c r="I52" s="1853"/>
    </row>
    <row r="53" spans="1:10" ht="15.75">
      <c r="A53" s="5074">
        <v>6</v>
      </c>
      <c r="B53" s="5076" t="s">
        <v>185</v>
      </c>
      <c r="C53" s="376" t="s">
        <v>781</v>
      </c>
      <c r="D53" s="204">
        <f t="shared" ref="D53:I53" si="17">D55+D56</f>
        <v>5349375</v>
      </c>
      <c r="E53" s="205">
        <f t="shared" si="17"/>
        <v>5338934.666666666</v>
      </c>
      <c r="F53" s="205">
        <f t="shared" si="17"/>
        <v>5182660.1569519248</v>
      </c>
      <c r="G53" s="205">
        <f t="shared" si="17"/>
        <v>5030679.2791940952</v>
      </c>
      <c r="H53" s="205">
        <f t="shared" si="17"/>
        <v>4890313.6719728708</v>
      </c>
      <c r="I53" s="206">
        <f t="shared" si="17"/>
        <v>3569290.411729503</v>
      </c>
    </row>
    <row r="54" spans="1:10" ht="13.5" thickBot="1">
      <c r="A54" s="5075"/>
      <c r="B54" s="5077"/>
      <c r="C54" s="380" t="s">
        <v>170</v>
      </c>
      <c r="D54" s="207">
        <f t="shared" ref="D54:I54" si="18">IFERROR(D53/D20,0)</f>
        <v>0.46633671160382167</v>
      </c>
      <c r="E54" s="208">
        <f t="shared" si="18"/>
        <v>0.47018595044172973</v>
      </c>
      <c r="F54" s="208">
        <f t="shared" si="18"/>
        <v>0.46901545251000015</v>
      </c>
      <c r="G54" s="208">
        <f t="shared" si="18"/>
        <v>0.47074174298007859</v>
      </c>
      <c r="H54" s="208">
        <f t="shared" si="18"/>
        <v>0.47183882097953389</v>
      </c>
      <c r="I54" s="209">
        <f t="shared" si="18"/>
        <v>0.35603405980162528</v>
      </c>
      <c r="J54" s="3995"/>
    </row>
    <row r="55" spans="1:10" ht="32.25" customHeight="1">
      <c r="A55" s="95" t="s">
        <v>268</v>
      </c>
      <c r="B55" s="1387" t="s">
        <v>177</v>
      </c>
      <c r="C55" s="1443" t="s">
        <v>781</v>
      </c>
      <c r="D55" s="1437">
        <f>'4.1. Фактурирани количества'!E95+'4.1. Фактурирани количества'!E99</f>
        <v>4981329</v>
      </c>
      <c r="E55" s="1438">
        <f>'4.1. Фактурирани количества'!G95+'4.1. Фактурирани количества'!G99</f>
        <v>4955705.333333333</v>
      </c>
      <c r="F55" s="1438">
        <f>'4.1. Фактурирани количества'!H95+'4.1. Фактурирани количества'!H99</f>
        <v>4811710.1569519248</v>
      </c>
      <c r="G55" s="1438">
        <f>'4.1. Фактурирани количества'!I95+'4.1. Фактурирани количества'!I99</f>
        <v>4672094.2791940952</v>
      </c>
      <c r="H55" s="1438">
        <f>'4.1. Фактурирани количества'!J95+'4.1. Фактурирани количества'!J99</f>
        <v>4536674.6719728708</v>
      </c>
      <c r="I55" s="1439">
        <f>'4.1. Фактурирани количества'!K95+'4.1. Фактурирани количества'!K99</f>
        <v>3220597.411729503</v>
      </c>
    </row>
    <row r="56" spans="1:10" ht="15.75">
      <c r="A56" s="93" t="s">
        <v>270</v>
      </c>
      <c r="B56" s="1388" t="s">
        <v>179</v>
      </c>
      <c r="C56" s="1444" t="s">
        <v>781</v>
      </c>
      <c r="D56" s="4745">
        <f>'4.1. Фактурирани количества'!E103</f>
        <v>368046</v>
      </c>
      <c r="E56" s="230">
        <f>'4.1. Фактурирани количества'!G103</f>
        <v>383229.33333333331</v>
      </c>
      <c r="F56" s="230">
        <f>'4.1. Фактурирани количества'!H103</f>
        <v>370950</v>
      </c>
      <c r="G56" s="230">
        <f>'4.1. Фактурирани количества'!I103</f>
        <v>358585</v>
      </c>
      <c r="H56" s="230">
        <f>'4.1. Фактурирани количества'!J103</f>
        <v>353639</v>
      </c>
      <c r="I56" s="231">
        <f>'4.1. Фактурирани количества'!K103</f>
        <v>348693</v>
      </c>
    </row>
    <row r="57" spans="1:10" ht="30" customHeight="1">
      <c r="A57" s="1389"/>
      <c r="B57" s="4004" t="s">
        <v>186</v>
      </c>
      <c r="C57" s="1444" t="s">
        <v>1434</v>
      </c>
      <c r="D57" s="1446">
        <f>D56-SUM(D58:D60)</f>
        <v>0</v>
      </c>
      <c r="E57" s="1447">
        <f t="shared" ref="E57:I57" si="19">E56-SUM(E58:E60)</f>
        <v>0.33333333331393078</v>
      </c>
      <c r="F57" s="1447">
        <f t="shared" si="19"/>
        <v>0</v>
      </c>
      <c r="G57" s="1447">
        <f t="shared" si="19"/>
        <v>0</v>
      </c>
      <c r="H57" s="1447">
        <f t="shared" si="19"/>
        <v>0</v>
      </c>
      <c r="I57" s="1448">
        <f t="shared" si="19"/>
        <v>0</v>
      </c>
    </row>
    <row r="58" spans="1:10" ht="15.75">
      <c r="A58" s="93" t="s">
        <v>351</v>
      </c>
      <c r="B58" s="1390" t="s">
        <v>997</v>
      </c>
      <c r="C58" s="1444" t="s">
        <v>781</v>
      </c>
      <c r="D58" s="212">
        <v>200339</v>
      </c>
      <c r="E58" s="214">
        <v>208590</v>
      </c>
      <c r="F58" s="214">
        <v>201910</v>
      </c>
      <c r="G58" s="214">
        <v>195180</v>
      </c>
      <c r="H58" s="214">
        <v>192485</v>
      </c>
      <c r="I58" s="215">
        <v>189795</v>
      </c>
    </row>
    <row r="59" spans="1:10" ht="15.75">
      <c r="A59" s="93" t="s">
        <v>718</v>
      </c>
      <c r="B59" s="1390" t="s">
        <v>998</v>
      </c>
      <c r="C59" s="1444" t="s">
        <v>781</v>
      </c>
      <c r="D59" s="212">
        <v>28576</v>
      </c>
      <c r="E59" s="212">
        <v>29738</v>
      </c>
      <c r="F59" s="214">
        <v>28785</v>
      </c>
      <c r="G59" s="212">
        <v>27826</v>
      </c>
      <c r="H59" s="214">
        <v>27445</v>
      </c>
      <c r="I59" s="213">
        <v>27060</v>
      </c>
    </row>
    <row r="60" spans="1:10" ht="16.5" thickBot="1">
      <c r="A60" s="96" t="s">
        <v>719</v>
      </c>
      <c r="B60" s="1391" t="s">
        <v>999</v>
      </c>
      <c r="C60" s="1445" t="s">
        <v>781</v>
      </c>
      <c r="D60" s="216">
        <v>139131</v>
      </c>
      <c r="E60" s="216">
        <v>144901</v>
      </c>
      <c r="F60" s="217">
        <v>140255</v>
      </c>
      <c r="G60" s="216">
        <v>135579</v>
      </c>
      <c r="H60" s="217">
        <v>133709</v>
      </c>
      <c r="I60" s="235">
        <v>131838</v>
      </c>
    </row>
    <row r="61" spans="1:10" s="4005" customFormat="1" ht="16.5" customHeight="1" thickBot="1">
      <c r="A61" s="521" t="s">
        <v>1116</v>
      </c>
      <c r="B61" s="1854" t="s">
        <v>1029</v>
      </c>
      <c r="C61" s="953"/>
      <c r="D61" s="522"/>
      <c r="E61" s="523"/>
      <c r="F61" s="523"/>
      <c r="G61" s="523"/>
      <c r="H61" s="523"/>
      <c r="I61" s="524"/>
    </row>
    <row r="62" spans="1:10" s="4005" customFormat="1" ht="27" customHeight="1" thickBot="1">
      <c r="A62" s="525" t="s">
        <v>205</v>
      </c>
      <c r="B62" s="526" t="s">
        <v>570</v>
      </c>
      <c r="C62" s="527" t="s">
        <v>781</v>
      </c>
      <c r="D62" s="528">
        <f>D63+D64+D65+D66</f>
        <v>0</v>
      </c>
      <c r="E62" s="529">
        <f t="shared" ref="E62:I62" si="20">E63+E64+E65+E66</f>
        <v>0</v>
      </c>
      <c r="F62" s="529">
        <f t="shared" si="20"/>
        <v>0</v>
      </c>
      <c r="G62" s="529">
        <f t="shared" si="20"/>
        <v>0</v>
      </c>
      <c r="H62" s="529">
        <f t="shared" si="20"/>
        <v>0</v>
      </c>
      <c r="I62" s="530">
        <f t="shared" si="20"/>
        <v>0</v>
      </c>
    </row>
    <row r="63" spans="1:10" s="4006" customFormat="1" ht="30" customHeight="1">
      <c r="A63" s="531" t="s">
        <v>90</v>
      </c>
      <c r="B63" s="1387" t="s">
        <v>906</v>
      </c>
      <c r="C63" s="532" t="s">
        <v>781</v>
      </c>
      <c r="D63" s="533"/>
      <c r="E63" s="534"/>
      <c r="F63" s="534"/>
      <c r="G63" s="534"/>
      <c r="H63" s="534"/>
      <c r="I63" s="535"/>
    </row>
    <row r="64" spans="1:10" s="4006" customFormat="1" ht="27" customHeight="1">
      <c r="A64" s="531" t="s">
        <v>91</v>
      </c>
      <c r="B64" s="1388" t="s">
        <v>907</v>
      </c>
      <c r="C64" s="532" t="s">
        <v>781</v>
      </c>
      <c r="D64" s="533"/>
      <c r="E64" s="534"/>
      <c r="F64" s="534"/>
      <c r="G64" s="534"/>
      <c r="H64" s="534"/>
      <c r="I64" s="535"/>
    </row>
    <row r="65" spans="1:10" s="4006" customFormat="1" ht="34.5" customHeight="1">
      <c r="A65" s="531" t="s">
        <v>93</v>
      </c>
      <c r="B65" s="1388" t="s">
        <v>908</v>
      </c>
      <c r="C65" s="532" t="s">
        <v>781</v>
      </c>
      <c r="D65" s="4757">
        <f>'4.2. Продад. и закупени кол-ва'!D109</f>
        <v>0</v>
      </c>
      <c r="E65" s="4758">
        <f>'4.2. Продад. и закупени кол-ва'!E109</f>
        <v>0</v>
      </c>
      <c r="F65" s="4758">
        <f>'4.2. Продад. и закупени кол-ва'!F109</f>
        <v>0</v>
      </c>
      <c r="G65" s="4758">
        <f>'4.2. Продад. и закупени кол-ва'!G109</f>
        <v>0</v>
      </c>
      <c r="H65" s="4758">
        <f>'4.2. Продад. и закупени кол-ва'!H109</f>
        <v>0</v>
      </c>
      <c r="I65" s="4759">
        <f>'4.2. Продад. и закупени кол-ва'!I109</f>
        <v>0</v>
      </c>
    </row>
    <row r="66" spans="1:10" s="4006" customFormat="1" ht="38.25" customHeight="1" thickBot="1">
      <c r="A66" s="536" t="s">
        <v>145</v>
      </c>
      <c r="B66" s="4007" t="s">
        <v>909</v>
      </c>
      <c r="C66" s="532" t="s">
        <v>781</v>
      </c>
      <c r="D66" s="533"/>
      <c r="E66" s="534"/>
      <c r="F66" s="534"/>
      <c r="G66" s="534"/>
      <c r="H66" s="534"/>
      <c r="I66" s="535"/>
    </row>
    <row r="67" spans="1:10" s="4005" customFormat="1" ht="15.75">
      <c r="A67" s="5048" t="s">
        <v>95</v>
      </c>
      <c r="B67" s="5067" t="s">
        <v>571</v>
      </c>
      <c r="C67" s="527" t="s">
        <v>781</v>
      </c>
      <c r="D67" s="537">
        <f t="shared" ref="D67:I67" si="21">D69+D71</f>
        <v>0</v>
      </c>
      <c r="E67" s="538">
        <f t="shared" si="21"/>
        <v>0</v>
      </c>
      <c r="F67" s="538">
        <f t="shared" si="21"/>
        <v>0</v>
      </c>
      <c r="G67" s="538">
        <f t="shared" si="21"/>
        <v>0</v>
      </c>
      <c r="H67" s="538">
        <f t="shared" si="21"/>
        <v>0</v>
      </c>
      <c r="I67" s="539">
        <f t="shared" si="21"/>
        <v>0</v>
      </c>
    </row>
    <row r="68" spans="1:10" s="4005" customFormat="1">
      <c r="A68" s="5066"/>
      <c r="B68" s="5073"/>
      <c r="C68" s="540" t="s">
        <v>170</v>
      </c>
      <c r="D68" s="541">
        <f>IFERROR(D67/D62,0)</f>
        <v>0</v>
      </c>
      <c r="E68" s="542">
        <f t="shared" ref="E68:I68" si="22">IFERROR(E67/E62,0)</f>
        <v>0</v>
      </c>
      <c r="F68" s="542">
        <f t="shared" si="22"/>
        <v>0</v>
      </c>
      <c r="G68" s="542">
        <f t="shared" si="22"/>
        <v>0</v>
      </c>
      <c r="H68" s="542">
        <f t="shared" si="22"/>
        <v>0</v>
      </c>
      <c r="I68" s="543">
        <f t="shared" si="22"/>
        <v>0</v>
      </c>
    </row>
    <row r="69" spans="1:10" s="4005" customFormat="1" ht="15.75">
      <c r="A69" s="5045" t="s">
        <v>96</v>
      </c>
      <c r="B69" s="5078" t="s">
        <v>572</v>
      </c>
      <c r="C69" s="544" t="s">
        <v>781</v>
      </c>
      <c r="D69" s="1864"/>
      <c r="E69" s="1865"/>
      <c r="F69" s="1865"/>
      <c r="G69" s="1865"/>
      <c r="H69" s="1865"/>
      <c r="I69" s="4200"/>
    </row>
    <row r="70" spans="1:10" s="4005" customFormat="1">
      <c r="A70" s="5070"/>
      <c r="B70" s="5072"/>
      <c r="C70" s="532" t="s">
        <v>170</v>
      </c>
      <c r="D70" s="548">
        <f t="shared" ref="D70:I70" si="23">IFERROR(D69/D62,0)</f>
        <v>0</v>
      </c>
      <c r="E70" s="549">
        <f t="shared" si="23"/>
        <v>0</v>
      </c>
      <c r="F70" s="549">
        <f t="shared" si="23"/>
        <v>0</v>
      </c>
      <c r="G70" s="549">
        <f t="shared" si="23"/>
        <v>0</v>
      </c>
      <c r="H70" s="549">
        <f t="shared" si="23"/>
        <v>0</v>
      </c>
      <c r="I70" s="550">
        <f t="shared" si="23"/>
        <v>0</v>
      </c>
    </row>
    <row r="71" spans="1:10" s="4005" customFormat="1" ht="15.75">
      <c r="A71" s="5063" t="s">
        <v>97</v>
      </c>
      <c r="B71" s="5065" t="s">
        <v>688</v>
      </c>
      <c r="C71" s="544" t="s">
        <v>781</v>
      </c>
      <c r="D71" s="545">
        <f>D73+D74</f>
        <v>0</v>
      </c>
      <c r="E71" s="546">
        <f t="shared" ref="E71:I71" si="24">E73+E74</f>
        <v>0</v>
      </c>
      <c r="F71" s="546">
        <f t="shared" si="24"/>
        <v>0</v>
      </c>
      <c r="G71" s="546">
        <f t="shared" si="24"/>
        <v>0</v>
      </c>
      <c r="H71" s="546">
        <f t="shared" si="24"/>
        <v>0</v>
      </c>
      <c r="I71" s="547">
        <f t="shared" si="24"/>
        <v>0</v>
      </c>
    </row>
    <row r="72" spans="1:10" s="4005" customFormat="1">
      <c r="A72" s="5064"/>
      <c r="B72" s="5056"/>
      <c r="C72" s="532" t="s">
        <v>170</v>
      </c>
      <c r="D72" s="548">
        <f t="shared" ref="D72:I72" si="25">IFERROR(D71/D62,0)</f>
        <v>0</v>
      </c>
      <c r="E72" s="549">
        <f t="shared" si="25"/>
        <v>0</v>
      </c>
      <c r="F72" s="549">
        <f t="shared" si="25"/>
        <v>0</v>
      </c>
      <c r="G72" s="549">
        <f t="shared" si="25"/>
        <v>0</v>
      </c>
      <c r="H72" s="549">
        <f t="shared" si="25"/>
        <v>0</v>
      </c>
      <c r="I72" s="550">
        <f t="shared" si="25"/>
        <v>0</v>
      </c>
    </row>
    <row r="73" spans="1:10" s="4005" customFormat="1" ht="27" customHeight="1">
      <c r="A73" s="552" t="s">
        <v>159</v>
      </c>
      <c r="B73" s="553" t="s">
        <v>578</v>
      </c>
      <c r="C73" s="532" t="s">
        <v>781</v>
      </c>
      <c r="D73" s="533"/>
      <c r="E73" s="534"/>
      <c r="F73" s="534"/>
      <c r="G73" s="534"/>
      <c r="H73" s="534"/>
      <c r="I73" s="535"/>
    </row>
    <row r="74" spans="1:10" s="4005" customFormat="1" ht="27.75" customHeight="1" thickBot="1">
      <c r="A74" s="554" t="s">
        <v>164</v>
      </c>
      <c r="B74" s="555" t="s">
        <v>579</v>
      </c>
      <c r="C74" s="551" t="s">
        <v>781</v>
      </c>
      <c r="D74" s="556"/>
      <c r="E74" s="557"/>
      <c r="F74" s="557"/>
      <c r="G74" s="557"/>
      <c r="H74" s="557"/>
      <c r="I74" s="558"/>
    </row>
    <row r="75" spans="1:10" s="4005" customFormat="1" ht="15.75">
      <c r="A75" s="5048" t="s">
        <v>99</v>
      </c>
      <c r="B75" s="5067" t="s">
        <v>689</v>
      </c>
      <c r="C75" s="527" t="s">
        <v>781</v>
      </c>
      <c r="D75" s="537">
        <f>D78+D82</f>
        <v>0</v>
      </c>
      <c r="E75" s="538">
        <f t="shared" ref="E75:I75" si="26">E78+E82</f>
        <v>0</v>
      </c>
      <c r="F75" s="538">
        <f t="shared" si="26"/>
        <v>0</v>
      </c>
      <c r="G75" s="538">
        <f t="shared" si="26"/>
        <v>0</v>
      </c>
      <c r="H75" s="538">
        <f t="shared" si="26"/>
        <v>0</v>
      </c>
      <c r="I75" s="539">
        <f t="shared" si="26"/>
        <v>0</v>
      </c>
    </row>
    <row r="76" spans="1:10" s="4008" customFormat="1">
      <c r="A76" s="5049"/>
      <c r="B76" s="5068"/>
      <c r="C76" s="540" t="s">
        <v>170</v>
      </c>
      <c r="D76" s="541">
        <f t="shared" ref="D76:I76" si="27">IFERROR(D75/D62,0)</f>
        <v>0</v>
      </c>
      <c r="E76" s="542">
        <f t="shared" si="27"/>
        <v>0</v>
      </c>
      <c r="F76" s="542">
        <f t="shared" si="27"/>
        <v>0</v>
      </c>
      <c r="G76" s="542">
        <f t="shared" si="27"/>
        <v>0</v>
      </c>
      <c r="H76" s="542">
        <f t="shared" si="27"/>
        <v>0</v>
      </c>
      <c r="I76" s="543">
        <f t="shared" si="27"/>
        <v>0</v>
      </c>
    </row>
    <row r="77" spans="1:10" s="4008" customFormat="1" ht="28.5">
      <c r="A77" s="5066"/>
      <c r="B77" s="5073"/>
      <c r="C77" s="540" t="s">
        <v>1115</v>
      </c>
      <c r="D77" s="582">
        <f>IFERROR(D75/'2. Променливи'!E123/365,0)</f>
        <v>0</v>
      </c>
      <c r="E77" s="583">
        <f>IFERROR(E75/'2. Променливи'!F123/365,0)</f>
        <v>0</v>
      </c>
      <c r="F77" s="583">
        <f>IFERROR(F75/'2. Променливи'!G123/365,0)</f>
        <v>0</v>
      </c>
      <c r="G77" s="560">
        <f>IFERROR(G75/'2. Променливи'!H123/365,0)</f>
        <v>0</v>
      </c>
      <c r="H77" s="560">
        <f>IFERROR(H75/'2. Променливи'!I123/365,0)</f>
        <v>0</v>
      </c>
      <c r="I77" s="4009">
        <f>IFERROR(I75/'2. Променливи'!J123/365,0)</f>
        <v>0</v>
      </c>
      <c r="J77" s="4198"/>
    </row>
    <row r="78" spans="1:10" s="4008" customFormat="1" ht="15.75">
      <c r="A78" s="5044" t="s">
        <v>171</v>
      </c>
      <c r="B78" s="5061" t="s">
        <v>580</v>
      </c>
      <c r="C78" s="544" t="s">
        <v>781</v>
      </c>
      <c r="D78" s="561">
        <f>D80+D81</f>
        <v>0</v>
      </c>
      <c r="E78" s="562">
        <f t="shared" ref="E78:I78" si="28">E80+E81</f>
        <v>0</v>
      </c>
      <c r="F78" s="562">
        <f t="shared" si="28"/>
        <v>0</v>
      </c>
      <c r="G78" s="562">
        <f t="shared" si="28"/>
        <v>0</v>
      </c>
      <c r="H78" s="562">
        <f t="shared" si="28"/>
        <v>0</v>
      </c>
      <c r="I78" s="563">
        <f t="shared" si="28"/>
        <v>0</v>
      </c>
    </row>
    <row r="79" spans="1:10" s="4008" customFormat="1">
      <c r="A79" s="5045"/>
      <c r="B79" s="5062"/>
      <c r="C79" s="532" t="s">
        <v>170</v>
      </c>
      <c r="D79" s="564">
        <f t="shared" ref="D79:I79" si="29">IFERROR(D78/D62,0)</f>
        <v>0</v>
      </c>
      <c r="E79" s="565">
        <f t="shared" si="29"/>
        <v>0</v>
      </c>
      <c r="F79" s="565">
        <f t="shared" si="29"/>
        <v>0</v>
      </c>
      <c r="G79" s="565">
        <f>IFERROR(G78/G62,0)</f>
        <v>0</v>
      </c>
      <c r="H79" s="565">
        <f t="shared" si="29"/>
        <v>0</v>
      </c>
      <c r="I79" s="566">
        <f t="shared" si="29"/>
        <v>0</v>
      </c>
    </row>
    <row r="80" spans="1:10" s="4008" customFormat="1" ht="15.75">
      <c r="A80" s="567" t="s">
        <v>581</v>
      </c>
      <c r="B80" s="568" t="s">
        <v>582</v>
      </c>
      <c r="C80" s="532" t="s">
        <v>781</v>
      </c>
      <c r="D80" s="533"/>
      <c r="E80" s="534"/>
      <c r="F80" s="534"/>
      <c r="G80" s="534"/>
      <c r="H80" s="534"/>
      <c r="I80" s="535"/>
    </row>
    <row r="81" spans="1:10" s="4008" customFormat="1" ht="16.5" thickBot="1">
      <c r="A81" s="569" t="s">
        <v>583</v>
      </c>
      <c r="B81" s="570" t="s">
        <v>584</v>
      </c>
      <c r="C81" s="551" t="s">
        <v>781</v>
      </c>
      <c r="D81" s="556"/>
      <c r="E81" s="557"/>
      <c r="F81" s="557"/>
      <c r="G81" s="557"/>
      <c r="H81" s="557"/>
      <c r="I81" s="558"/>
    </row>
    <row r="82" spans="1:10" s="4008" customFormat="1" ht="15.75">
      <c r="A82" s="5044" t="s">
        <v>172</v>
      </c>
      <c r="B82" s="5046" t="s">
        <v>585</v>
      </c>
      <c r="C82" s="571" t="s">
        <v>781</v>
      </c>
      <c r="D82" s="561">
        <f>SUM(D84:D87)</f>
        <v>0</v>
      </c>
      <c r="E82" s="562">
        <f t="shared" ref="E82:I82" si="30">SUM(E84:E87)</f>
        <v>0</v>
      </c>
      <c r="F82" s="562">
        <f t="shared" si="30"/>
        <v>0</v>
      </c>
      <c r="G82" s="562">
        <f t="shared" si="30"/>
        <v>0</v>
      </c>
      <c r="H82" s="562">
        <f t="shared" si="30"/>
        <v>0</v>
      </c>
      <c r="I82" s="563">
        <f t="shared" si="30"/>
        <v>0</v>
      </c>
    </row>
    <row r="83" spans="1:10" s="4008" customFormat="1">
      <c r="A83" s="5045"/>
      <c r="B83" s="5047"/>
      <c r="C83" s="532" t="s">
        <v>170</v>
      </c>
      <c r="D83" s="564">
        <f t="shared" ref="D83:I83" si="31">IFERROR(D82/D62,0)</f>
        <v>0</v>
      </c>
      <c r="E83" s="565">
        <f t="shared" si="31"/>
        <v>0</v>
      </c>
      <c r="F83" s="565">
        <f t="shared" si="31"/>
        <v>0</v>
      </c>
      <c r="G83" s="565">
        <f t="shared" si="31"/>
        <v>0</v>
      </c>
      <c r="H83" s="565">
        <f t="shared" si="31"/>
        <v>0</v>
      </c>
      <c r="I83" s="566">
        <f t="shared" si="31"/>
        <v>0</v>
      </c>
    </row>
    <row r="84" spans="1:10" s="4008" customFormat="1" ht="36.75" customHeight="1">
      <c r="A84" s="567" t="s">
        <v>586</v>
      </c>
      <c r="B84" s="572" t="s">
        <v>587</v>
      </c>
      <c r="C84" s="532" t="s">
        <v>781</v>
      </c>
      <c r="D84" s="533"/>
      <c r="E84" s="534"/>
      <c r="F84" s="534"/>
      <c r="G84" s="534"/>
      <c r="H84" s="534"/>
      <c r="I84" s="535"/>
    </row>
    <row r="85" spans="1:10" s="4005" customFormat="1" ht="31.5" customHeight="1">
      <c r="A85" s="567" t="s">
        <v>588</v>
      </c>
      <c r="B85" s="572" t="s">
        <v>589</v>
      </c>
      <c r="C85" s="532" t="s">
        <v>781</v>
      </c>
      <c r="D85" s="533"/>
      <c r="E85" s="534"/>
      <c r="F85" s="534"/>
      <c r="G85" s="534"/>
      <c r="H85" s="534"/>
      <c r="I85" s="535"/>
    </row>
    <row r="86" spans="1:10" s="4005" customFormat="1" ht="36" customHeight="1">
      <c r="A86" s="567" t="s">
        <v>590</v>
      </c>
      <c r="B86" s="572" t="s">
        <v>591</v>
      </c>
      <c r="C86" s="532" t="s">
        <v>781</v>
      </c>
      <c r="D86" s="533"/>
      <c r="E86" s="534"/>
      <c r="F86" s="534"/>
      <c r="G86" s="534"/>
      <c r="H86" s="534"/>
      <c r="I86" s="535"/>
    </row>
    <row r="87" spans="1:10" s="4005" customFormat="1" ht="16.5" thickBot="1">
      <c r="A87" s="569" t="s">
        <v>592</v>
      </c>
      <c r="B87" s="573" t="s">
        <v>593</v>
      </c>
      <c r="C87" s="551" t="s">
        <v>781</v>
      </c>
      <c r="D87" s="556"/>
      <c r="E87" s="557"/>
      <c r="F87" s="557"/>
      <c r="G87" s="557"/>
      <c r="H87" s="557"/>
      <c r="I87" s="558"/>
    </row>
    <row r="88" spans="1:10" s="4005" customFormat="1" ht="15.75">
      <c r="A88" s="5048" t="s">
        <v>100</v>
      </c>
      <c r="B88" s="5051" t="s">
        <v>594</v>
      </c>
      <c r="C88" s="574" t="s">
        <v>781</v>
      </c>
      <c r="D88" s="537">
        <f>D75+D71</f>
        <v>0</v>
      </c>
      <c r="E88" s="538">
        <f t="shared" ref="E88:I88" si="32">E75+E71</f>
        <v>0</v>
      </c>
      <c r="F88" s="538">
        <f t="shared" si="32"/>
        <v>0</v>
      </c>
      <c r="G88" s="538">
        <f t="shared" si="32"/>
        <v>0</v>
      </c>
      <c r="H88" s="538">
        <f t="shared" si="32"/>
        <v>0</v>
      </c>
      <c r="I88" s="539">
        <f t="shared" si="32"/>
        <v>0</v>
      </c>
    </row>
    <row r="89" spans="1:10" s="4005" customFormat="1">
      <c r="A89" s="5049"/>
      <c r="B89" s="5052"/>
      <c r="C89" s="540" t="s">
        <v>170</v>
      </c>
      <c r="D89" s="963">
        <f t="shared" ref="D89:I89" si="33">IFERROR(D88/D62,0)</f>
        <v>0</v>
      </c>
      <c r="E89" s="964">
        <f t="shared" si="33"/>
        <v>0</v>
      </c>
      <c r="F89" s="964">
        <f t="shared" si="33"/>
        <v>0</v>
      </c>
      <c r="G89" s="964">
        <f t="shared" si="33"/>
        <v>0</v>
      </c>
      <c r="H89" s="964">
        <f t="shared" si="33"/>
        <v>0</v>
      </c>
      <c r="I89" s="965">
        <f t="shared" si="33"/>
        <v>0</v>
      </c>
    </row>
    <row r="90" spans="1:10" s="4005" customFormat="1" ht="28.5">
      <c r="A90" s="5049"/>
      <c r="B90" s="5052"/>
      <c r="C90" s="540" t="s">
        <v>1115</v>
      </c>
      <c r="D90" s="559">
        <f>IFERROR(D88/'2. Променливи'!E123/365,0)</f>
        <v>0</v>
      </c>
      <c r="E90" s="560">
        <f>IFERROR(E88/'2. Променливи'!F123/365,0)</f>
        <v>0</v>
      </c>
      <c r="F90" s="584">
        <f>IFERROR(F88/'2. Променливи'!G123/365,0)</f>
        <v>0</v>
      </c>
      <c r="G90" s="583">
        <f>IFERROR(G88/'2. Променливи'!H123/365,0)</f>
        <v>0</v>
      </c>
      <c r="H90" s="583">
        <f>IFERROR(H88/'2. Променливи'!I123/365,0)</f>
        <v>0</v>
      </c>
      <c r="I90" s="585">
        <f>IFERROR(I88/'2. Променливи'!J123/365,0)</f>
        <v>0</v>
      </c>
    </row>
    <row r="91" spans="1:10" s="4005" customFormat="1" ht="13.5" thickBot="1">
      <c r="A91" s="5050"/>
      <c r="B91" s="5053"/>
      <c r="C91" s="575" t="s">
        <v>725</v>
      </c>
      <c r="D91" s="576">
        <f t="shared" ref="D91:I91" si="34">D62-D69-D88</f>
        <v>0</v>
      </c>
      <c r="E91" s="577">
        <f t="shared" si="34"/>
        <v>0</v>
      </c>
      <c r="F91" s="577">
        <f t="shared" si="34"/>
        <v>0</v>
      </c>
      <c r="G91" s="577">
        <f t="shared" si="34"/>
        <v>0</v>
      </c>
      <c r="H91" s="577">
        <f t="shared" si="34"/>
        <v>0</v>
      </c>
      <c r="I91" s="578">
        <f t="shared" si="34"/>
        <v>0</v>
      </c>
    </row>
    <row r="92" spans="1:10" s="4005" customFormat="1" ht="27" customHeight="1" thickBot="1">
      <c r="A92" s="521" t="s">
        <v>1117</v>
      </c>
      <c r="B92" s="4010" t="s">
        <v>1294</v>
      </c>
      <c r="C92" s="953"/>
      <c r="D92" s="522"/>
      <c r="E92" s="523"/>
      <c r="F92" s="523"/>
      <c r="G92" s="523"/>
      <c r="H92" s="523"/>
      <c r="I92" s="524"/>
    </row>
    <row r="93" spans="1:10" s="4005" customFormat="1" ht="24.75" customHeight="1">
      <c r="A93" s="525" t="s">
        <v>205</v>
      </c>
      <c r="B93" s="526" t="s">
        <v>570</v>
      </c>
      <c r="C93" s="527" t="s">
        <v>781</v>
      </c>
      <c r="D93" s="528">
        <f>D94+D95+D96+D97</f>
        <v>0</v>
      </c>
      <c r="E93" s="529">
        <f t="shared" ref="E93:I93" si="35">E94+E95+E96+E97</f>
        <v>0</v>
      </c>
      <c r="F93" s="529">
        <f t="shared" si="35"/>
        <v>0</v>
      </c>
      <c r="G93" s="529">
        <f t="shared" si="35"/>
        <v>0</v>
      </c>
      <c r="H93" s="529">
        <f t="shared" si="35"/>
        <v>0</v>
      </c>
      <c r="I93" s="530">
        <f t="shared" si="35"/>
        <v>0</v>
      </c>
    </row>
    <row r="94" spans="1:10" s="4011" customFormat="1" ht="33" customHeight="1">
      <c r="A94" s="531" t="s">
        <v>90</v>
      </c>
      <c r="B94" s="572" t="s">
        <v>906</v>
      </c>
      <c r="C94" s="532" t="s">
        <v>781</v>
      </c>
      <c r="D94" s="954">
        <f>'4.2. Продад. и закупени кол-ва'!D11+'4.2. Продад. и закупени кол-ва'!D30+'4.2. Продад. и закупени кол-ва'!D49</f>
        <v>0</v>
      </c>
      <c r="E94" s="954">
        <f>'4.2. Продад. и закупени кол-ва'!E11+'4.2. Продад. и закупени кол-ва'!E30+'4.2. Продад. и закупени кол-ва'!E49</f>
        <v>0</v>
      </c>
      <c r="F94" s="954">
        <f>'4.2. Продад. и закупени кол-ва'!F11+'4.2. Продад. и закупени кол-ва'!F30+'4.2. Продад. и закупени кол-ва'!F49</f>
        <v>0</v>
      </c>
      <c r="G94" s="954">
        <f>'4.2. Продад. и закупени кол-ва'!G11+'4.2. Продад. и закупени кол-ва'!G30+'4.2. Продад. и закупени кол-ва'!G49</f>
        <v>0</v>
      </c>
      <c r="H94" s="954">
        <f>'4.2. Продад. и закупени кол-ва'!H11+'4.2. Продад. и закупени кол-ва'!H30+'4.2. Продад. и закупени кол-ва'!H49</f>
        <v>0</v>
      </c>
      <c r="I94" s="955">
        <f>'4.2. Продад. и закупени кол-ва'!I11+'4.2. Продад. и закупени кол-ва'!I30+'4.2. Продад. и закупени кол-ва'!I49</f>
        <v>0</v>
      </c>
    </row>
    <row r="95" spans="1:10" s="4011" customFormat="1" ht="22.5" customHeight="1">
      <c r="A95" s="531" t="s">
        <v>91</v>
      </c>
      <c r="B95" s="572" t="s">
        <v>907</v>
      </c>
      <c r="C95" s="532" t="s">
        <v>781</v>
      </c>
      <c r="D95" s="954">
        <f>'4.2. Продад. и закупени кол-ва'!D12+'4.2. Продад. и закупени кол-ва'!D31+'4.2. Продад. и закупени кол-ва'!D50</f>
        <v>0</v>
      </c>
      <c r="E95" s="954">
        <f>'4.2. Продад. и закупени кол-ва'!E12+'4.2. Продад. и закупени кол-ва'!E31+'4.2. Продад. и закупени кол-ва'!E50</f>
        <v>0</v>
      </c>
      <c r="F95" s="954">
        <f>'4.2. Продад. и закупени кол-ва'!F12+'4.2. Продад. и закупени кол-ва'!F31+'4.2. Продад. и закупени кол-ва'!F50</f>
        <v>0</v>
      </c>
      <c r="G95" s="954">
        <f>'4.2. Продад. и закупени кол-ва'!G12+'4.2. Продад. и закупени кол-ва'!G31+'4.2. Продад. и закупени кол-ва'!G50</f>
        <v>0</v>
      </c>
      <c r="H95" s="954">
        <f>'4.2. Продад. и закупени кол-ва'!H12+'4.2. Продад. и закупени кол-ва'!H31+'4.2. Продад. и закупени кол-ва'!H50</f>
        <v>0</v>
      </c>
      <c r="I95" s="3999">
        <f>'4.2. Продад. и закупени кол-ва'!I12+'4.2. Продад. и закупени кол-ва'!I31+'4.2. Продад. и закупени кол-ва'!I50</f>
        <v>0</v>
      </c>
      <c r="J95" s="4199"/>
    </row>
    <row r="96" spans="1:10" s="4011" customFormat="1" ht="36" customHeight="1">
      <c r="A96" s="531" t="s">
        <v>93</v>
      </c>
      <c r="B96" s="572" t="s">
        <v>908</v>
      </c>
      <c r="C96" s="532" t="s">
        <v>781</v>
      </c>
      <c r="D96" s="954">
        <f>'4.2. Продад. и закупени кол-ва'!D13+'4.2. Продад. и закупени кол-ва'!D32+'4.2. Продад. и закупени кол-ва'!D51</f>
        <v>0</v>
      </c>
      <c r="E96" s="954">
        <f>'4.2. Продад. и закупени кол-ва'!E13+'4.2. Продад. и закупени кол-ва'!E32+'4.2. Продад. и закупени кол-ва'!E51</f>
        <v>0</v>
      </c>
      <c r="F96" s="954">
        <f>'4.2. Продад. и закупени кол-ва'!F13+'4.2. Продад. и закупени кол-ва'!F32+'4.2. Продад. и закупени кол-ва'!F51</f>
        <v>0</v>
      </c>
      <c r="G96" s="954">
        <f>'4.2. Продад. и закупени кол-ва'!G13+'4.2. Продад. и закупени кол-ва'!G32+'4.2. Продад. и закупени кол-ва'!G51</f>
        <v>0</v>
      </c>
      <c r="H96" s="954">
        <f>'4.2. Продад. и закупени кол-ва'!H13+'4.2. Продад. и закупени кол-ва'!H32+'4.2. Продад. и закупени кол-ва'!H51</f>
        <v>0</v>
      </c>
      <c r="I96" s="955">
        <f>'4.2. Продад. и закупени кол-ва'!I13+'4.2. Продад. и закупени кол-ва'!I32+'4.2. Продад. и закупени кол-ва'!I51</f>
        <v>0</v>
      </c>
    </row>
    <row r="97" spans="1:10" s="4011" customFormat="1" ht="34.5" customHeight="1" thickBot="1">
      <c r="A97" s="536" t="s">
        <v>145</v>
      </c>
      <c r="B97" s="572" t="s">
        <v>909</v>
      </c>
      <c r="C97" s="532" t="s">
        <v>781</v>
      </c>
      <c r="D97" s="954">
        <f>'4.2. Продад. и закупени кол-ва'!D14+'4.2. Продад. и закупени кол-ва'!D33+'4.2. Продад. и закупени кол-ва'!D52</f>
        <v>0</v>
      </c>
      <c r="E97" s="954">
        <f>'4.2. Продад. и закупени кол-ва'!E14+'4.2. Продад. и закупени кол-ва'!E33+'4.2. Продад. и закупени кол-ва'!E52</f>
        <v>0</v>
      </c>
      <c r="F97" s="954">
        <f>'4.2. Продад. и закупени кол-ва'!F14+'4.2. Продад. и закупени кол-ва'!F33+'4.2. Продад. и закупени кол-ва'!F52</f>
        <v>0</v>
      </c>
      <c r="G97" s="954">
        <f>'4.2. Продад. и закупени кол-ва'!G14+'4.2. Продад. и закупени кол-ва'!G33+'4.2. Продад. и закупени кол-ва'!G52</f>
        <v>0</v>
      </c>
      <c r="H97" s="954">
        <f>'4.2. Продад. и закупени кол-ва'!H14+'4.2. Продад. и закупени кол-ва'!H33+'4.2. Продад. и закупени кол-ва'!H52</f>
        <v>0</v>
      </c>
      <c r="I97" s="956">
        <f>'4.2. Продад. и закупени кол-ва'!I14+'4.2. Продад. и закупени кол-ва'!I33+'4.2. Продад. и закупени кол-ва'!I52</f>
        <v>0</v>
      </c>
      <c r="J97" s="4199"/>
    </row>
    <row r="98" spans="1:10" s="4011" customFormat="1" ht="15.75">
      <c r="A98" s="5048" t="s">
        <v>95</v>
      </c>
      <c r="B98" s="5067" t="s">
        <v>571</v>
      </c>
      <c r="C98" s="527" t="s">
        <v>781</v>
      </c>
      <c r="D98" s="537">
        <f t="shared" ref="D98:I98" si="36">D100+D102</f>
        <v>0</v>
      </c>
      <c r="E98" s="538">
        <f t="shared" si="36"/>
        <v>0</v>
      </c>
      <c r="F98" s="538">
        <f t="shared" si="36"/>
        <v>0</v>
      </c>
      <c r="G98" s="538">
        <f t="shared" si="36"/>
        <v>0</v>
      </c>
      <c r="H98" s="538">
        <f t="shared" si="36"/>
        <v>0</v>
      </c>
      <c r="I98" s="539">
        <f t="shared" si="36"/>
        <v>0</v>
      </c>
    </row>
    <row r="99" spans="1:10" s="4011" customFormat="1" ht="13.5" thickBot="1">
      <c r="A99" s="5049"/>
      <c r="B99" s="5068"/>
      <c r="C99" s="774" t="s">
        <v>170</v>
      </c>
      <c r="D99" s="775">
        <f t="shared" ref="D99:I99" si="37">IFERROR(D98/D93,0)</f>
        <v>0</v>
      </c>
      <c r="E99" s="777">
        <f t="shared" si="37"/>
        <v>0</v>
      </c>
      <c r="F99" s="777">
        <f t="shared" si="37"/>
        <v>0</v>
      </c>
      <c r="G99" s="777">
        <f t="shared" si="37"/>
        <v>0</v>
      </c>
      <c r="H99" s="777">
        <f t="shared" si="37"/>
        <v>0</v>
      </c>
      <c r="I99" s="780">
        <f t="shared" si="37"/>
        <v>0</v>
      </c>
    </row>
    <row r="100" spans="1:10" s="4011" customFormat="1" ht="15.75">
      <c r="A100" s="5069" t="s">
        <v>96</v>
      </c>
      <c r="B100" s="5071" t="s">
        <v>572</v>
      </c>
      <c r="C100" s="571" t="s">
        <v>781</v>
      </c>
      <c r="D100" s="1449">
        <f>'4.2. Продад. и закупени кол-ва'!D15+'4.2. Продад. и закупени кол-ва'!D34+'4.2. Продад. и закупени кол-ва'!D53</f>
        <v>0</v>
      </c>
      <c r="E100" s="825">
        <f>'4.2. Продад. и закупени кол-ва'!E15+'4.2. Продад. и закупени кол-ва'!E34+'4.2. Продад. и закупени кол-ва'!E53</f>
        <v>0</v>
      </c>
      <c r="F100" s="825">
        <f>'4.2. Продад. и закупени кол-ва'!F15+'4.2. Продад. и закупени кол-ва'!F34+'4.2. Продад. и закупени кол-ва'!F53</f>
        <v>0</v>
      </c>
      <c r="G100" s="825">
        <f>'4.2. Продад. и закупени кол-ва'!G15+'4.2. Продад. и закупени кол-ва'!G34+'4.2. Продад. и закупени кол-ва'!G53</f>
        <v>0</v>
      </c>
      <c r="H100" s="825">
        <f>'4.2. Продад. и закупени кол-ва'!H15+'4.2. Продад. и закупени кол-ва'!H34+'4.2. Продад. и закупени кол-ва'!H53</f>
        <v>0</v>
      </c>
      <c r="I100" s="826">
        <f>'4.2. Продад. и закупени кол-ва'!I15+'4.2. Продад. и закупени кол-ва'!I34+'4.2. Продад. и закупени кол-ва'!I53</f>
        <v>0</v>
      </c>
    </row>
    <row r="101" spans="1:10" s="4011" customFormat="1">
      <c r="A101" s="5070"/>
      <c r="B101" s="5072"/>
      <c r="C101" s="532" t="s">
        <v>170</v>
      </c>
      <c r="D101" s="548">
        <f t="shared" ref="D101:I101" si="38">IFERROR(D100/D93,0)</f>
        <v>0</v>
      </c>
      <c r="E101" s="549">
        <f t="shared" si="38"/>
        <v>0</v>
      </c>
      <c r="F101" s="549">
        <f t="shared" si="38"/>
        <v>0</v>
      </c>
      <c r="G101" s="549">
        <f t="shared" si="38"/>
        <v>0</v>
      </c>
      <c r="H101" s="549">
        <f t="shared" si="38"/>
        <v>0</v>
      </c>
      <c r="I101" s="550">
        <f t="shared" si="38"/>
        <v>0</v>
      </c>
    </row>
    <row r="102" spans="1:10" s="4011" customFormat="1" ht="15.75">
      <c r="A102" s="5054" t="s">
        <v>97</v>
      </c>
      <c r="B102" s="5056" t="s">
        <v>688</v>
      </c>
      <c r="C102" s="532" t="s">
        <v>781</v>
      </c>
      <c r="D102" s="4012">
        <f>'4.2. Продад. и закупени кол-ва'!D17+'4.2. Продад. и закупени кол-ва'!D36+'4.2. Продад. и закупени кол-ва'!D55</f>
        <v>0</v>
      </c>
      <c r="E102" s="4013">
        <f>'4.2. Продад. и закупени кол-ва'!E17+'4.2. Продад. и закупени кол-ва'!E36+'4.2. Продад. и закупени кол-ва'!E55</f>
        <v>0</v>
      </c>
      <c r="F102" s="4013">
        <f>'4.2. Продад. и закупени кол-ва'!F17+'4.2. Продад. и закупени кол-ва'!F36+'4.2. Продад. и закупени кол-ва'!F55</f>
        <v>0</v>
      </c>
      <c r="G102" s="4013">
        <f>'4.2. Продад. и закупени кол-ва'!G17+'4.2. Продад. и закупени кол-ва'!G36+'4.2. Продад. и закупени кол-ва'!G55</f>
        <v>0</v>
      </c>
      <c r="H102" s="4013">
        <f>'4.2. Продад. и закупени кол-ва'!H17+'4.2. Продад. и закупени кол-ва'!H36+'4.2. Продад. и закупени кол-ва'!H55</f>
        <v>0</v>
      </c>
      <c r="I102" s="4014">
        <f>'4.2. Продад. и закупени кол-ва'!I17+'4.2. Продад. и закупени кол-ва'!I36+'4.2. Продад. и закупени кол-ва'!I55</f>
        <v>0</v>
      </c>
    </row>
    <row r="103" spans="1:10" s="4011" customFormat="1" ht="13.5" thickBot="1">
      <c r="A103" s="5055"/>
      <c r="B103" s="5057"/>
      <c r="C103" s="551" t="s">
        <v>170</v>
      </c>
      <c r="D103" s="947">
        <f t="shared" ref="D103:I103" si="39">IFERROR(D102/D93,0)</f>
        <v>0</v>
      </c>
      <c r="E103" s="948">
        <f t="shared" si="39"/>
        <v>0</v>
      </c>
      <c r="F103" s="948">
        <f t="shared" si="39"/>
        <v>0</v>
      </c>
      <c r="G103" s="948">
        <f t="shared" si="39"/>
        <v>0</v>
      </c>
      <c r="H103" s="948">
        <f t="shared" si="39"/>
        <v>0</v>
      </c>
      <c r="I103" s="949">
        <f t="shared" si="39"/>
        <v>0</v>
      </c>
    </row>
    <row r="104" spans="1:10" s="4011" customFormat="1" ht="15.75">
      <c r="A104" s="5048" t="s">
        <v>99</v>
      </c>
      <c r="B104" s="5058" t="s">
        <v>689</v>
      </c>
      <c r="C104" s="527" t="s">
        <v>781</v>
      </c>
      <c r="D104" s="537">
        <f t="shared" ref="D104:I104" si="40">D106+D108</f>
        <v>0</v>
      </c>
      <c r="E104" s="538">
        <f t="shared" si="40"/>
        <v>0</v>
      </c>
      <c r="F104" s="538">
        <f t="shared" si="40"/>
        <v>0</v>
      </c>
      <c r="G104" s="538">
        <f t="shared" si="40"/>
        <v>0</v>
      </c>
      <c r="H104" s="538">
        <f t="shared" si="40"/>
        <v>0</v>
      </c>
      <c r="I104" s="539">
        <f t="shared" si="40"/>
        <v>0</v>
      </c>
    </row>
    <row r="105" spans="1:10" s="4011" customFormat="1" ht="13.5" thickBot="1">
      <c r="A105" s="5050"/>
      <c r="B105" s="5059"/>
      <c r="C105" s="575" t="s">
        <v>170</v>
      </c>
      <c r="D105" s="944">
        <f t="shared" ref="D105:I105" si="41">IFERROR(D104/D93,0)</f>
        <v>0</v>
      </c>
      <c r="E105" s="779">
        <f t="shared" si="41"/>
        <v>0</v>
      </c>
      <c r="F105" s="779">
        <f t="shared" si="41"/>
        <v>0</v>
      </c>
      <c r="G105" s="779">
        <f t="shared" si="41"/>
        <v>0</v>
      </c>
      <c r="H105" s="779">
        <f t="shared" si="41"/>
        <v>0</v>
      </c>
      <c r="I105" s="945">
        <f t="shared" si="41"/>
        <v>0</v>
      </c>
    </row>
    <row r="106" spans="1:10" s="4011" customFormat="1" ht="15.75">
      <c r="A106" s="5060" t="s">
        <v>171</v>
      </c>
      <c r="B106" s="5061" t="s">
        <v>580</v>
      </c>
      <c r="C106" s="571" t="s">
        <v>781</v>
      </c>
      <c r="D106" s="776">
        <f>'4.2. Продад. и закупени кол-ва'!D21+'4.2. Продад. и закупени кол-ва'!D40+'4.2. Продад. и закупени кол-ва'!D59</f>
        <v>0</v>
      </c>
      <c r="E106" s="778">
        <f>'4.2. Продад. и закупени кол-ва'!E21+'4.2. Продад. и закупени кол-ва'!E40+'4.2. Продад. и закупени кол-ва'!E59</f>
        <v>0</v>
      </c>
      <c r="F106" s="562">
        <f>'4.2. Продад. и закупени кол-ва'!F21+'4.2. Продад. и закупени кол-ва'!F40+'4.2. Продад. и закупени кол-ва'!F59</f>
        <v>0</v>
      </c>
      <c r="G106" s="778">
        <f>'4.2. Продад. и закупени кол-ва'!G21+'4.2. Продад. и закупени кол-ва'!G40+'4.2. Продад. и закупени кол-ва'!G59</f>
        <v>0</v>
      </c>
      <c r="H106" s="562">
        <f>'4.2. Продад. и закупени кол-ва'!H21+'4.2. Продад. и закупени кол-ва'!H40+'4.2. Продад. и закупени кол-ва'!H59</f>
        <v>0</v>
      </c>
      <c r="I106" s="781">
        <f>'4.2. Продад. и закупени кол-ва'!I21+'4.2. Продад. и закупени кол-ва'!I40+'4.2. Продад. и закупени кол-ва'!I59</f>
        <v>0</v>
      </c>
    </row>
    <row r="107" spans="1:10" s="4011" customFormat="1">
      <c r="A107" s="5045"/>
      <c r="B107" s="5062"/>
      <c r="C107" s="946" t="s">
        <v>170</v>
      </c>
      <c r="D107" s="564">
        <f t="shared" ref="D107:I107" si="42">IFERROR(D106/D93,0)</f>
        <v>0</v>
      </c>
      <c r="E107" s="565">
        <f t="shared" si="42"/>
        <v>0</v>
      </c>
      <c r="F107" s="565">
        <f t="shared" si="42"/>
        <v>0</v>
      </c>
      <c r="G107" s="565">
        <f t="shared" si="42"/>
        <v>0</v>
      </c>
      <c r="H107" s="565">
        <f t="shared" si="42"/>
        <v>0</v>
      </c>
      <c r="I107" s="566">
        <f t="shared" si="42"/>
        <v>0</v>
      </c>
    </row>
    <row r="108" spans="1:10" s="4011" customFormat="1" ht="15.75">
      <c r="A108" s="5044" t="s">
        <v>172</v>
      </c>
      <c r="B108" s="5046" t="s">
        <v>585</v>
      </c>
      <c r="C108" s="532" t="s">
        <v>781</v>
      </c>
      <c r="D108" s="561">
        <f>'4.2. Продад. и закупени кол-ва'!D23+'4.2. Продад. и закупени кол-ва'!D42+'4.2. Продад. и закупени кол-ва'!D61</f>
        <v>0</v>
      </c>
      <c r="E108" s="562">
        <f>'4.2. Продад. и закупени кол-ва'!E23+'4.2. Продад. и закупени кол-ва'!E42+'4.2. Продад. и закупени кол-ва'!E61</f>
        <v>0</v>
      </c>
      <c r="F108" s="562">
        <f>'4.2. Продад. и закупени кол-ва'!F23+'4.2. Продад. и закупени кол-ва'!F42+'4.2. Продад. и закупени кол-ва'!F61</f>
        <v>0</v>
      </c>
      <c r="G108" s="562">
        <f>'4.2. Продад. и закупени кол-ва'!G23+'4.2. Продад. и закупени кол-ва'!G42+'4.2. Продад. и закупени кол-ва'!G61</f>
        <v>0</v>
      </c>
      <c r="H108" s="562">
        <f>'4.2. Продад. и закупени кол-ва'!H23+'4.2. Продад. и закупени кол-ва'!H42+'4.2. Продад. и закупени кол-ва'!H61</f>
        <v>0</v>
      </c>
      <c r="I108" s="563">
        <f>'4.2. Продад. и закупени кол-ва'!I23+'4.2. Продад. и закупени кол-ва'!I42+'4.2. Продад. и закупени кол-ва'!I61</f>
        <v>0</v>
      </c>
    </row>
    <row r="109" spans="1:10" s="4011" customFormat="1" ht="13.5" thickBot="1">
      <c r="A109" s="5045"/>
      <c r="B109" s="5047"/>
      <c r="C109" s="532" t="s">
        <v>170</v>
      </c>
      <c r="D109" s="564">
        <f t="shared" ref="D109:I109" si="43">IFERROR(D108/D93,0)</f>
        <v>0</v>
      </c>
      <c r="E109" s="565">
        <f t="shared" si="43"/>
        <v>0</v>
      </c>
      <c r="F109" s="565">
        <f t="shared" si="43"/>
        <v>0</v>
      </c>
      <c r="G109" s="565">
        <f t="shared" si="43"/>
        <v>0</v>
      </c>
      <c r="H109" s="565">
        <f t="shared" si="43"/>
        <v>0</v>
      </c>
      <c r="I109" s="566">
        <f t="shared" si="43"/>
        <v>0</v>
      </c>
    </row>
    <row r="110" spans="1:10" s="4011" customFormat="1" ht="15.75">
      <c r="A110" s="5048" t="s">
        <v>100</v>
      </c>
      <c r="B110" s="5051" t="s">
        <v>594</v>
      </c>
      <c r="C110" s="574" t="s">
        <v>781</v>
      </c>
      <c r="D110" s="814">
        <f t="shared" ref="D110:I110" si="44">D104+D102</f>
        <v>0</v>
      </c>
      <c r="E110" s="538">
        <f t="shared" si="44"/>
        <v>0</v>
      </c>
      <c r="F110" s="932">
        <f t="shared" si="44"/>
        <v>0</v>
      </c>
      <c r="G110" s="933">
        <f t="shared" si="44"/>
        <v>0</v>
      </c>
      <c r="H110" s="933">
        <f t="shared" si="44"/>
        <v>0</v>
      </c>
      <c r="I110" s="539">
        <f t="shared" si="44"/>
        <v>0</v>
      </c>
      <c r="J110" s="4199"/>
    </row>
    <row r="111" spans="1:10" s="4011" customFormat="1">
      <c r="A111" s="5049"/>
      <c r="B111" s="5052"/>
      <c r="C111" s="540" t="s">
        <v>170</v>
      </c>
      <c r="D111" s="963">
        <f t="shared" ref="D111:I111" si="45">IFERROR(D110/D93,0)</f>
        <v>0</v>
      </c>
      <c r="E111" s="964">
        <f t="shared" si="45"/>
        <v>0</v>
      </c>
      <c r="F111" s="964">
        <f t="shared" si="45"/>
        <v>0</v>
      </c>
      <c r="G111" s="964">
        <f t="shared" si="45"/>
        <v>0</v>
      </c>
      <c r="H111" s="964">
        <f t="shared" si="45"/>
        <v>0</v>
      </c>
      <c r="I111" s="965">
        <f t="shared" si="45"/>
        <v>0</v>
      </c>
    </row>
    <row r="112" spans="1:10" s="4011" customFormat="1" ht="13.5" thickBot="1">
      <c r="A112" s="5050"/>
      <c r="B112" s="5053"/>
      <c r="C112" s="575" t="s">
        <v>725</v>
      </c>
      <c r="D112" s="576">
        <f t="shared" ref="D112:I112" si="46">D93-D100-D110</f>
        <v>0</v>
      </c>
      <c r="E112" s="577">
        <f t="shared" si="46"/>
        <v>0</v>
      </c>
      <c r="F112" s="577">
        <f t="shared" si="46"/>
        <v>0</v>
      </c>
      <c r="G112" s="577">
        <f t="shared" si="46"/>
        <v>0</v>
      </c>
      <c r="H112" s="577">
        <f t="shared" si="46"/>
        <v>0</v>
      </c>
      <c r="I112" s="578">
        <f t="shared" si="46"/>
        <v>0</v>
      </c>
    </row>
    <row r="113" spans="1:12" s="4011" customFormat="1" ht="25.5">
      <c r="A113" s="929"/>
      <c r="B113" s="957" t="s">
        <v>1331</v>
      </c>
      <c r="C113" s="958"/>
      <c r="D113" s="958">
        <f t="shared" ref="D113:I113" si="47">D100-(D14+D16)</f>
        <v>0</v>
      </c>
      <c r="E113" s="959">
        <f t="shared" si="47"/>
        <v>0</v>
      </c>
      <c r="F113" s="959">
        <f t="shared" si="47"/>
        <v>0</v>
      </c>
      <c r="G113" s="959">
        <f t="shared" si="47"/>
        <v>0</v>
      </c>
      <c r="H113" s="958">
        <f t="shared" si="47"/>
        <v>0</v>
      </c>
      <c r="I113" s="958">
        <f t="shared" si="47"/>
        <v>0</v>
      </c>
    </row>
    <row r="114" spans="1:12" s="4011" customFormat="1" ht="25.5">
      <c r="A114" s="930"/>
      <c r="B114" s="957" t="s">
        <v>1332</v>
      </c>
      <c r="C114" s="960"/>
      <c r="D114" s="961">
        <f t="shared" ref="D114:I114" si="48">D110-(D15+D17)</f>
        <v>0</v>
      </c>
      <c r="E114" s="962">
        <f t="shared" si="48"/>
        <v>0</v>
      </c>
      <c r="F114" s="962">
        <f t="shared" si="48"/>
        <v>0</v>
      </c>
      <c r="G114" s="962">
        <f t="shared" si="48"/>
        <v>0</v>
      </c>
      <c r="H114" s="961">
        <f t="shared" si="48"/>
        <v>0</v>
      </c>
      <c r="I114" s="961">
        <f t="shared" si="48"/>
        <v>0</v>
      </c>
    </row>
    <row r="115" spans="1:12">
      <c r="J115" s="50"/>
      <c r="K115" s="50"/>
    </row>
    <row r="116" spans="1:12">
      <c r="B116" s="1855" t="str">
        <f>'Приложение '!B82</f>
        <v>Дата: 15.04.2026 г.</v>
      </c>
      <c r="F116" s="1856"/>
      <c r="J116" s="52"/>
      <c r="K116" s="52"/>
    </row>
    <row r="117" spans="1:12">
      <c r="B117" s="1857"/>
      <c r="C117" s="5087"/>
      <c r="D117" s="5087"/>
      <c r="E117" s="1857"/>
      <c r="F117" s="1856"/>
      <c r="G117" s="1858"/>
      <c r="I117" s="1859"/>
      <c r="J117" s="52"/>
      <c r="K117" s="52"/>
      <c r="L117" s="51"/>
    </row>
    <row r="118" spans="1:12">
      <c r="E118" s="1857"/>
      <c r="F118" s="1856"/>
      <c r="I118" s="1859"/>
      <c r="J118" s="52"/>
      <c r="K118" s="52"/>
      <c r="L118" s="51"/>
    </row>
    <row r="119" spans="1:12">
      <c r="A119" s="1860" t="s">
        <v>187</v>
      </c>
      <c r="E119" s="1857"/>
      <c r="G119" s="1861"/>
      <c r="I119" s="1859"/>
      <c r="J119" s="52"/>
      <c r="K119" s="52"/>
      <c r="L119" s="1859"/>
    </row>
    <row r="120" spans="1:12">
      <c r="A120" s="1862" t="s">
        <v>188</v>
      </c>
      <c r="B120" s="1860"/>
      <c r="C120" s="1860"/>
      <c r="D120" s="1860"/>
      <c r="E120" s="1863"/>
      <c r="F120" s="1863"/>
    </row>
    <row r="121" spans="1:12" s="1860" customFormat="1" ht="30.75" customHeight="1">
      <c r="A121" s="5042" t="s">
        <v>726</v>
      </c>
      <c r="B121" s="5042"/>
      <c r="C121" s="5042"/>
      <c r="D121" s="5042"/>
      <c r="E121" s="5042"/>
      <c r="F121" s="5042"/>
      <c r="G121" s="5042"/>
      <c r="H121" s="5042"/>
      <c r="I121" s="5042"/>
    </row>
    <row r="122" spans="1:12" s="1860" customFormat="1" ht="63" customHeight="1">
      <c r="A122" s="5042" t="s">
        <v>1476</v>
      </c>
      <c r="B122" s="5042"/>
      <c r="C122" s="5042"/>
      <c r="D122" s="5042"/>
      <c r="E122" s="5042"/>
      <c r="F122" s="5042"/>
      <c r="G122" s="5042"/>
      <c r="H122" s="5042"/>
      <c r="I122" s="5042"/>
    </row>
    <row r="123" spans="1:12" ht="79.5" customHeight="1">
      <c r="A123" s="5088" t="s">
        <v>1471</v>
      </c>
      <c r="B123" s="5088"/>
      <c r="C123" s="5088"/>
      <c r="D123" s="5088"/>
      <c r="E123" s="5088"/>
      <c r="F123" s="5088"/>
      <c r="G123" s="5088"/>
      <c r="H123" s="5088"/>
      <c r="I123" s="5088"/>
    </row>
  </sheetData>
  <sheetProtection password="EF75" sheet="1" objects="1" scenarios="1" formatCells="0" formatColumns="0" formatRows="0"/>
  <mergeCells count="54">
    <mergeCell ref="C117:D117"/>
    <mergeCell ref="A123:I123"/>
    <mergeCell ref="A121:I121"/>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2:I122"/>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39"/>
  <sheetViews>
    <sheetView showGridLines="0" view="pageBreakPreview" topLeftCell="B1" zoomScale="130" zoomScaleNormal="70" zoomScaleSheetLayoutView="130" workbookViewId="0">
      <selection activeCell="B1" sqref="A1:XFD1048576"/>
    </sheetView>
  </sheetViews>
  <sheetFormatPr defaultColWidth="9.140625" defaultRowHeight="12.75"/>
  <cols>
    <col min="1" max="1" width="46.85546875" style="1866" customWidth="1"/>
    <col min="2" max="2" width="62.85546875" style="1866" customWidth="1"/>
    <col min="3" max="3" width="6.85546875" style="1866" customWidth="1"/>
    <col min="4" max="5" width="9.85546875" style="1866" bestFit="1" customWidth="1"/>
    <col min="6" max="6" width="10.42578125" style="1866" customWidth="1"/>
    <col min="7" max="7" width="9.5703125" style="1866" customWidth="1"/>
    <col min="8" max="10" width="9.85546875" style="1866" bestFit="1" customWidth="1"/>
    <col min="11" max="11" width="10.28515625" style="1866" customWidth="1"/>
    <col min="12" max="12" width="12.5703125" style="1866" customWidth="1"/>
    <col min="13" max="13" width="15.7109375" style="1866" customWidth="1"/>
    <col min="14" max="14" width="11.5703125" style="1866" customWidth="1"/>
    <col min="15" max="16384" width="9.140625" style="1866"/>
  </cols>
  <sheetData>
    <row r="1" spans="1:14" ht="13.5">
      <c r="M1" s="1867" t="s">
        <v>0</v>
      </c>
    </row>
    <row r="2" spans="1:14" ht="15.75">
      <c r="A2" s="5155" t="s">
        <v>1166</v>
      </c>
      <c r="B2" s="5155"/>
      <c r="C2" s="5155"/>
      <c r="D2" s="5155"/>
      <c r="E2" s="5155"/>
      <c r="F2" s="5155"/>
      <c r="G2" s="5155"/>
      <c r="H2" s="5155"/>
      <c r="I2" s="5155"/>
      <c r="J2" s="5155"/>
      <c r="K2" s="5155"/>
      <c r="L2" s="5155"/>
      <c r="M2" s="5155"/>
    </row>
    <row r="3" spans="1:14" ht="15.75">
      <c r="A3" s="5156" t="s">
        <v>1739</v>
      </c>
      <c r="B3" s="5156"/>
      <c r="C3" s="5156"/>
      <c r="D3" s="5156"/>
      <c r="E3" s="5156"/>
      <c r="F3" s="5156"/>
      <c r="G3" s="5156"/>
      <c r="H3" s="5156"/>
      <c r="I3" s="5156"/>
      <c r="J3" s="5156"/>
      <c r="K3" s="5156"/>
      <c r="L3" s="5156"/>
      <c r="M3" s="5156"/>
    </row>
    <row r="4" spans="1:14" ht="15.75">
      <c r="A4" s="5156" t="str">
        <f>'1. Обща информация'!A4</f>
        <v>на "ВОДОСНАБДЯВАНЕ И КАНАЛИЗАЦИЯ" ЕООД, гр. БЛАГОЕВГРАД</v>
      </c>
      <c r="B4" s="5156"/>
      <c r="C4" s="5156"/>
      <c r="D4" s="5156"/>
      <c r="E4" s="5156"/>
      <c r="F4" s="5156"/>
      <c r="G4" s="5156"/>
      <c r="H4" s="5156"/>
      <c r="I4" s="5156"/>
      <c r="J4" s="5156"/>
      <c r="K4" s="5156"/>
      <c r="L4" s="5156"/>
      <c r="M4" s="5156"/>
    </row>
    <row r="5" spans="1:14" ht="15.75">
      <c r="A5" s="5157" t="str">
        <f>'1. Обща информация'!A5</f>
        <v>ЕИК по БУЛСТАТ: 811047831</v>
      </c>
      <c r="B5" s="5157"/>
      <c r="C5" s="5157"/>
      <c r="D5" s="5157"/>
      <c r="E5" s="5157"/>
      <c r="F5" s="5157"/>
      <c r="G5" s="5157"/>
      <c r="H5" s="5157"/>
      <c r="I5" s="5157"/>
      <c r="J5" s="5157"/>
      <c r="K5" s="5157"/>
      <c r="L5" s="5157"/>
      <c r="M5" s="5157"/>
      <c r="N5" s="1886"/>
    </row>
    <row r="6" spans="1:14" ht="18" customHeight="1" thickBot="1">
      <c r="A6" s="5158" t="s">
        <v>1401</v>
      </c>
      <c r="B6" s="5159"/>
      <c r="C6" s="1868"/>
      <c r="G6" s="1869"/>
      <c r="H6" s="1869"/>
      <c r="I6" s="1869"/>
      <c r="J6" s="1869"/>
      <c r="K6" s="1869"/>
      <c r="N6" s="1886"/>
    </row>
    <row r="7" spans="1:14" ht="16.5" customHeight="1">
      <c r="A7" s="5144" t="s">
        <v>82</v>
      </c>
      <c r="B7" s="5125" t="s">
        <v>1129</v>
      </c>
      <c r="C7" s="5125" t="s">
        <v>166</v>
      </c>
      <c r="D7" s="4490" t="str">
        <f>CONCATENATE(LEFT(G7,4)-4, " г. ")</f>
        <v xml:space="preserve">2023 г. </v>
      </c>
      <c r="E7" s="4491" t="str">
        <f>CONCATENATE(LEFT(H7,4)-4, " г. ")</f>
        <v xml:space="preserve">2024 г. </v>
      </c>
      <c r="F7" s="4492" t="str">
        <f>CONCATENATE(LEFT(I7,4)-4, " г. ")</f>
        <v xml:space="preserve">2025 г. </v>
      </c>
      <c r="G7" s="4493" t="str">
        <f>'Приложение '!$C14</f>
        <v>2027 г.</v>
      </c>
      <c r="H7" s="4494" t="str">
        <f>'Приложение '!$C15</f>
        <v>2028 г.</v>
      </c>
      <c r="I7" s="4494" t="str">
        <f>'Приложение '!$C16</f>
        <v>2029 г.</v>
      </c>
      <c r="J7" s="4494" t="str">
        <f>'Приложение '!$C17</f>
        <v>2030 г.</v>
      </c>
      <c r="K7" s="4492" t="str">
        <f>'Приложение '!$C18</f>
        <v>2031 г.</v>
      </c>
      <c r="L7" s="5130" t="str">
        <f>CONCATENATE("Средноаритметична",D7," - ",F7)</f>
        <v xml:space="preserve">Средноаритметична2023 г.  - 2025 г. </v>
      </c>
      <c r="M7" s="5125" t="s">
        <v>1130</v>
      </c>
    </row>
    <row r="8" spans="1:14" ht="20.25" customHeight="1" thickBot="1">
      <c r="A8" s="5145"/>
      <c r="B8" s="5126"/>
      <c r="C8" s="5126"/>
      <c r="D8" s="5136" t="s">
        <v>1329</v>
      </c>
      <c r="E8" s="5137"/>
      <c r="F8" s="5138"/>
      <c r="G8" s="5136" t="s">
        <v>1330</v>
      </c>
      <c r="H8" s="5137"/>
      <c r="I8" s="5137"/>
      <c r="J8" s="5137"/>
      <c r="K8" s="5138"/>
      <c r="L8" s="5131"/>
      <c r="M8" s="5126"/>
    </row>
    <row r="9" spans="1:14">
      <c r="A9" s="5150" t="s">
        <v>1417</v>
      </c>
      <c r="B9" s="4276" t="s">
        <v>1131</v>
      </c>
      <c r="C9" s="1871" t="s">
        <v>676</v>
      </c>
      <c r="D9" s="1015"/>
      <c r="E9" s="1016"/>
      <c r="F9" s="1017"/>
      <c r="G9" s="940">
        <v>188003</v>
      </c>
      <c r="H9" s="748">
        <v>181855</v>
      </c>
      <c r="I9" s="748">
        <v>175909</v>
      </c>
      <c r="J9" s="748">
        <v>170157</v>
      </c>
      <c r="K9" s="747">
        <v>164194</v>
      </c>
      <c r="L9" s="5146">
        <f>IFERROR(AVERAGE(D13:F13),0)</f>
        <v>200737.33333333334</v>
      </c>
      <c r="M9" s="743"/>
    </row>
    <row r="10" spans="1:14">
      <c r="A10" s="5151"/>
      <c r="B10" s="4277" t="s">
        <v>1428</v>
      </c>
      <c r="C10" s="1872" t="s">
        <v>170</v>
      </c>
      <c r="D10" s="1020"/>
      <c r="E10" s="1021"/>
      <c r="F10" s="4243"/>
      <c r="G10" s="1873"/>
      <c r="H10" s="1023">
        <f>IFERROR((H9-G9)/G9,0)</f>
        <v>-3.2701605825438955E-2</v>
      </c>
      <c r="I10" s="1023">
        <f>IFERROR((I9-H9)/H9,0)</f>
        <v>-3.2696378983255892E-2</v>
      </c>
      <c r="J10" s="1023">
        <f>IFERROR((J9-I9)/I9,0)</f>
        <v>-3.2698724908901765E-2</v>
      </c>
      <c r="K10" s="1024">
        <f>IFERROR((K9-J9)/J9,0)</f>
        <v>-3.5044106325334841E-2</v>
      </c>
      <c r="L10" s="5147"/>
      <c r="M10" s="4287"/>
    </row>
    <row r="11" spans="1:14" ht="22.5" customHeight="1">
      <c r="A11" s="5152"/>
      <c r="B11" s="4278" t="s">
        <v>1774</v>
      </c>
      <c r="C11" s="1875" t="s">
        <v>676</v>
      </c>
      <c r="D11" s="1031"/>
      <c r="E11" s="1032"/>
      <c r="F11" s="1033"/>
      <c r="G11" s="941"/>
      <c r="H11" s="761"/>
      <c r="I11" s="761"/>
      <c r="J11" s="761"/>
      <c r="K11" s="761"/>
      <c r="L11" s="5147"/>
      <c r="M11" s="746"/>
    </row>
    <row r="12" spans="1:14" ht="25.5">
      <c r="A12" s="5153"/>
      <c r="B12" s="4274" t="s">
        <v>1773</v>
      </c>
      <c r="C12" s="1875" t="s">
        <v>676</v>
      </c>
      <c r="D12" s="1031"/>
      <c r="E12" s="1032"/>
      <c r="F12" s="1033"/>
      <c r="G12" s="4265">
        <f>G11</f>
        <v>0</v>
      </c>
      <c r="H12" s="4266">
        <f>SUM(G11:H11)</f>
        <v>0</v>
      </c>
      <c r="I12" s="4266">
        <f>SUM(G11:I11)</f>
        <v>0</v>
      </c>
      <c r="J12" s="4266">
        <f>SUM(G11:J11)</f>
        <v>0</v>
      </c>
      <c r="K12" s="4266">
        <f>SUM(G11:K11)</f>
        <v>0</v>
      </c>
      <c r="L12" s="5147"/>
      <c r="M12" s="4287"/>
    </row>
    <row r="13" spans="1:14" ht="13.5" thickBot="1">
      <c r="A13" s="5154"/>
      <c r="B13" s="4279" t="s">
        <v>1028</v>
      </c>
      <c r="C13" s="1877" t="s">
        <v>676</v>
      </c>
      <c r="D13" s="1981">
        <v>200286</v>
      </c>
      <c r="E13" s="1982">
        <v>200963</v>
      </c>
      <c r="F13" s="1983">
        <v>200963</v>
      </c>
      <c r="G13" s="4259">
        <f>G9+G12</f>
        <v>188003</v>
      </c>
      <c r="H13" s="4259">
        <f t="shared" ref="H13:K13" si="0">H9+H12</f>
        <v>181855</v>
      </c>
      <c r="I13" s="4259">
        <f t="shared" si="0"/>
        <v>175909</v>
      </c>
      <c r="J13" s="4259">
        <f t="shared" si="0"/>
        <v>170157</v>
      </c>
      <c r="K13" s="4259">
        <f t="shared" si="0"/>
        <v>164194</v>
      </c>
      <c r="L13" s="5148"/>
      <c r="M13" s="746"/>
    </row>
    <row r="14" spans="1:14" ht="12.75" customHeight="1">
      <c r="A14" s="5105" t="s">
        <v>1132</v>
      </c>
      <c r="B14" s="4276" t="s">
        <v>1131</v>
      </c>
      <c r="C14" s="1871" t="s">
        <v>676</v>
      </c>
      <c r="D14" s="1015"/>
      <c r="E14" s="1016"/>
      <c r="F14" s="1017"/>
      <c r="G14" s="4290">
        <v>115930</v>
      </c>
      <c r="H14" s="759">
        <v>112382</v>
      </c>
      <c r="I14" s="759">
        <v>108930</v>
      </c>
      <c r="J14" s="759">
        <v>105574</v>
      </c>
      <c r="K14" s="758">
        <v>102907</v>
      </c>
      <c r="L14" s="5146">
        <f>IFERROR(AVERAGE(D17:F17),0)</f>
        <v>115720.66666666667</v>
      </c>
      <c r="M14" s="743"/>
    </row>
    <row r="15" spans="1:14" ht="25.5">
      <c r="A15" s="5106"/>
      <c r="B15" s="4278" t="s">
        <v>1772</v>
      </c>
      <c r="C15" s="1875" t="s">
        <v>676</v>
      </c>
      <c r="D15" s="1031"/>
      <c r="E15" s="1032"/>
      <c r="F15" s="1033"/>
      <c r="G15" s="942"/>
      <c r="H15" s="752">
        <v>200</v>
      </c>
      <c r="I15" s="752">
        <v>200</v>
      </c>
      <c r="J15" s="752">
        <v>200</v>
      </c>
      <c r="K15" s="755">
        <v>200</v>
      </c>
      <c r="L15" s="5147"/>
      <c r="M15" s="742"/>
    </row>
    <row r="16" spans="1:14" ht="25.5">
      <c r="A16" s="5106"/>
      <c r="B16" s="4274" t="s">
        <v>1773</v>
      </c>
      <c r="C16" s="1875" t="s">
        <v>676</v>
      </c>
      <c r="D16" s="1031"/>
      <c r="E16" s="1032"/>
      <c r="F16" s="1033"/>
      <c r="G16" s="4265">
        <f>G15</f>
        <v>0</v>
      </c>
      <c r="H16" s="4266">
        <f>SUM(G15:H15)</f>
        <v>200</v>
      </c>
      <c r="I16" s="4266">
        <f>SUM(G15:I15)</f>
        <v>400</v>
      </c>
      <c r="J16" s="4266">
        <f>SUM(G15:J15)</f>
        <v>600</v>
      </c>
      <c r="K16" s="4266">
        <f>SUM(G15:K15)</f>
        <v>800</v>
      </c>
      <c r="L16" s="5147"/>
      <c r="M16" s="4287"/>
    </row>
    <row r="17" spans="1:13">
      <c r="A17" s="5106"/>
      <c r="B17" s="4280" t="s">
        <v>1028</v>
      </c>
      <c r="C17" s="1879" t="s">
        <v>676</v>
      </c>
      <c r="D17" s="1880">
        <f>D18+D19+D20</f>
        <v>110600</v>
      </c>
      <c r="E17" s="1881">
        <f>E18+E19+E20</f>
        <v>117133</v>
      </c>
      <c r="F17" s="1036">
        <f>F18+F19+F20</f>
        <v>119429</v>
      </c>
      <c r="G17" s="4260">
        <f>G14+G16</f>
        <v>115930</v>
      </c>
      <c r="H17" s="4260">
        <f t="shared" ref="H17:K17" si="1">H14+H16</f>
        <v>112582</v>
      </c>
      <c r="I17" s="4260">
        <f t="shared" si="1"/>
        <v>109330</v>
      </c>
      <c r="J17" s="4260">
        <f t="shared" si="1"/>
        <v>106174</v>
      </c>
      <c r="K17" s="4260">
        <f t="shared" si="1"/>
        <v>103707</v>
      </c>
      <c r="L17" s="5149"/>
      <c r="M17" s="4287"/>
    </row>
    <row r="18" spans="1:13">
      <c r="A18" s="5106"/>
      <c r="B18" s="4281" t="s">
        <v>1133</v>
      </c>
      <c r="C18" s="1875" t="s">
        <v>676</v>
      </c>
      <c r="D18" s="750">
        <v>103095</v>
      </c>
      <c r="E18" s="749">
        <v>109200</v>
      </c>
      <c r="F18" s="757">
        <v>111346</v>
      </c>
      <c r="G18" s="943">
        <v>107880</v>
      </c>
      <c r="H18" s="754">
        <v>104552</v>
      </c>
      <c r="I18" s="754">
        <v>101340</v>
      </c>
      <c r="J18" s="754">
        <v>98239</v>
      </c>
      <c r="K18" s="754">
        <v>95827</v>
      </c>
      <c r="L18" s="1421">
        <f>IFERROR(AVERAGE(D18:F18),0)</f>
        <v>107880.33333333333</v>
      </c>
      <c r="M18" s="742"/>
    </row>
    <row r="19" spans="1:13">
      <c r="A19" s="5106"/>
      <c r="B19" s="4281" t="s">
        <v>1134</v>
      </c>
      <c r="C19" s="1875" t="s">
        <v>676</v>
      </c>
      <c r="D19" s="750">
        <v>6901</v>
      </c>
      <c r="E19" s="749">
        <v>7295</v>
      </c>
      <c r="F19" s="757">
        <v>7433</v>
      </c>
      <c r="G19" s="749">
        <v>7400</v>
      </c>
      <c r="H19" s="745">
        <v>7385</v>
      </c>
      <c r="I19" s="745">
        <v>7350</v>
      </c>
      <c r="J19" s="745">
        <v>7300</v>
      </c>
      <c r="K19" s="744">
        <v>7250</v>
      </c>
      <c r="L19" s="1421">
        <f>IFERROR(AVERAGE(D19:F19),0)</f>
        <v>7209.666666666667</v>
      </c>
      <c r="M19" s="742"/>
    </row>
    <row r="20" spans="1:13">
      <c r="A20" s="5106"/>
      <c r="B20" s="4281" t="s">
        <v>1135</v>
      </c>
      <c r="C20" s="4251" t="s">
        <v>676</v>
      </c>
      <c r="D20" s="750">
        <v>604</v>
      </c>
      <c r="E20" s="4247">
        <v>638</v>
      </c>
      <c r="F20" s="4248">
        <v>650</v>
      </c>
      <c r="G20" s="4247">
        <v>650</v>
      </c>
      <c r="H20" s="4249">
        <v>645</v>
      </c>
      <c r="I20" s="4249">
        <v>640</v>
      </c>
      <c r="J20" s="4249">
        <v>635</v>
      </c>
      <c r="K20" s="744">
        <v>630</v>
      </c>
      <c r="L20" s="1421">
        <f>IFERROR(AVERAGE(D20:F20),0)</f>
        <v>630.66666666666663</v>
      </c>
      <c r="M20" s="742"/>
    </row>
    <row r="21" spans="1:13" ht="13.5" thickBot="1">
      <c r="A21" s="5107"/>
      <c r="B21" s="4275" t="s">
        <v>1771</v>
      </c>
      <c r="C21" s="4293" t="s">
        <v>676</v>
      </c>
      <c r="D21" s="4253"/>
      <c r="E21" s="4254"/>
      <c r="F21" s="4257"/>
      <c r="G21" s="4267">
        <f>G17-G18-G19-G20</f>
        <v>0</v>
      </c>
      <c r="H21" s="4268">
        <f>H17-H18-H19-H20</f>
        <v>0</v>
      </c>
      <c r="I21" s="4269">
        <f>I17-I18-I19-I20</f>
        <v>0</v>
      </c>
      <c r="J21" s="4270">
        <f>J17-J18-J19-J20</f>
        <v>0</v>
      </c>
      <c r="K21" s="4271">
        <f>K17-K18-K19-K20</f>
        <v>0</v>
      </c>
      <c r="L21" s="4255"/>
      <c r="M21" s="4299"/>
    </row>
    <row r="22" spans="1:13" ht="15.75">
      <c r="A22" s="5117" t="s">
        <v>1136</v>
      </c>
      <c r="B22" s="4282" t="s">
        <v>1308</v>
      </c>
      <c r="C22" s="1882" t="s">
        <v>1429</v>
      </c>
      <c r="D22" s="1883"/>
      <c r="E22" s="1884"/>
      <c r="F22" s="1885"/>
      <c r="G22" s="1021">
        <f>L22</f>
        <v>8207649.333333333</v>
      </c>
      <c r="H22" s="1037">
        <f>(G22+(H10)*G22)</f>
        <v>7939246.0200812398</v>
      </c>
      <c r="I22" s="1037">
        <f>(H22+(I10)*H22)</f>
        <v>7679661.4233673578</v>
      </c>
      <c r="J22" s="1037">
        <f>(I22+(J10)*I22)</f>
        <v>7428546.2870911639</v>
      </c>
      <c r="K22" s="4288">
        <f>(J22+(K10)*J22)</f>
        <v>7168219.5211636694</v>
      </c>
      <c r="L22" s="5140">
        <f>IFERROR(AVERAGE(D26:F26),0)</f>
        <v>8207649.333333333</v>
      </c>
      <c r="M22" s="4289"/>
    </row>
    <row r="23" spans="1:13">
      <c r="A23" s="5117"/>
      <c r="B23" s="4277" t="s">
        <v>1428</v>
      </c>
      <c r="C23" s="1872" t="s">
        <v>170</v>
      </c>
      <c r="D23" s="1020"/>
      <c r="E23" s="1021"/>
      <c r="F23" s="4243"/>
      <c r="G23" s="1022"/>
      <c r="H23" s="1023">
        <f>IFERROR((H22-G22)/G22,0)</f>
        <v>-3.2701605825438927E-2</v>
      </c>
      <c r="I23" s="1023">
        <f t="shared" ref="I23:K23" si="2">IFERROR((I22-H22)/H22,0)</f>
        <v>-3.2696378983255857E-2</v>
      </c>
      <c r="J23" s="1023">
        <f t="shared" si="2"/>
        <v>-3.2698724908901723E-2</v>
      </c>
      <c r="K23" s="1038">
        <f t="shared" si="2"/>
        <v>-3.5044106325334896E-2</v>
      </c>
      <c r="L23" s="5140"/>
      <c r="M23" s="4287"/>
    </row>
    <row r="24" spans="1:13" ht="25.5">
      <c r="A24" s="5118"/>
      <c r="B24" s="4278" t="s">
        <v>1309</v>
      </c>
      <c r="C24" s="1882" t="s">
        <v>1429</v>
      </c>
      <c r="D24" s="1031"/>
      <c r="E24" s="1032"/>
      <c r="F24" s="1033"/>
      <c r="G24" s="942"/>
      <c r="H24" s="752"/>
      <c r="I24" s="752"/>
      <c r="J24" s="752"/>
      <c r="K24" s="752"/>
      <c r="L24" s="5140"/>
      <c r="M24" s="746"/>
    </row>
    <row r="25" spans="1:13" ht="25.5">
      <c r="A25" s="5119"/>
      <c r="B25" s="4274" t="s">
        <v>1773</v>
      </c>
      <c r="C25" s="1882" t="s">
        <v>1429</v>
      </c>
      <c r="D25" s="1031"/>
      <c r="E25" s="1032"/>
      <c r="F25" s="1033"/>
      <c r="G25" s="4265">
        <f>G24</f>
        <v>0</v>
      </c>
      <c r="H25" s="4266">
        <f>SUM(G24:H24)</f>
        <v>0</v>
      </c>
      <c r="I25" s="4266">
        <f>SUM(G24:I24)</f>
        <v>0</v>
      </c>
      <c r="J25" s="4266">
        <f>SUM(G24:J24)</f>
        <v>0</v>
      </c>
      <c r="K25" s="4266">
        <f>SUM(G24:K24)</f>
        <v>0</v>
      </c>
      <c r="L25" s="5140"/>
      <c r="M25" s="4287"/>
    </row>
    <row r="26" spans="1:13" ht="16.5" thickBot="1">
      <c r="A26" s="5119"/>
      <c r="B26" s="4283" t="s">
        <v>1028</v>
      </c>
      <c r="C26" s="1886" t="s">
        <v>1429</v>
      </c>
      <c r="D26" s="1984">
        <v>7800939</v>
      </c>
      <c r="E26" s="1985">
        <v>8263122</v>
      </c>
      <c r="F26" s="1986">
        <v>8558887</v>
      </c>
      <c r="G26" s="4259">
        <f>G22+G25</f>
        <v>8207649.333333333</v>
      </c>
      <c r="H26" s="4259">
        <f t="shared" ref="H26:K26" si="3">H22+H25</f>
        <v>7939246.0200812398</v>
      </c>
      <c r="I26" s="4259">
        <f t="shared" si="3"/>
        <v>7679661.4233673578</v>
      </c>
      <c r="J26" s="4259">
        <f t="shared" si="3"/>
        <v>7428546.2870911639</v>
      </c>
      <c r="K26" s="4259">
        <f t="shared" si="3"/>
        <v>7168219.5211636694</v>
      </c>
      <c r="L26" s="5141"/>
      <c r="M26" s="4256"/>
    </row>
    <row r="27" spans="1:13" ht="15.75">
      <c r="A27" s="5116" t="s">
        <v>1138</v>
      </c>
      <c r="B27" s="4276" t="s">
        <v>1310</v>
      </c>
      <c r="C27" s="1871" t="s">
        <v>1429</v>
      </c>
      <c r="D27" s="1015"/>
      <c r="E27" s="1016"/>
      <c r="F27" s="1017"/>
      <c r="G27" s="1018">
        <f>L27</f>
        <v>2489017.6666666665</v>
      </c>
      <c r="H27" s="748">
        <v>2407627</v>
      </c>
      <c r="I27" s="748">
        <v>2328899</v>
      </c>
      <c r="J27" s="748">
        <v>2252743</v>
      </c>
      <c r="K27" s="753">
        <v>2173898</v>
      </c>
      <c r="L27" s="5139">
        <f>IFERROR(AVERAGE(D30:F30),0)</f>
        <v>2489017.6666666665</v>
      </c>
      <c r="M27" s="743"/>
    </row>
    <row r="28" spans="1:13" ht="25.5">
      <c r="A28" s="5118"/>
      <c r="B28" s="4278" t="s">
        <v>1309</v>
      </c>
      <c r="C28" s="1882" t="s">
        <v>1429</v>
      </c>
      <c r="D28" s="1031"/>
      <c r="E28" s="1032"/>
      <c r="F28" s="1033"/>
      <c r="G28" s="942"/>
      <c r="H28" s="752"/>
      <c r="I28" s="752"/>
      <c r="J28" s="752"/>
      <c r="K28" s="751"/>
      <c r="L28" s="5140"/>
      <c r="M28" s="746"/>
    </row>
    <row r="29" spans="1:13" ht="25.5">
      <c r="A29" s="5119"/>
      <c r="B29" s="4274" t="s">
        <v>1773</v>
      </c>
      <c r="C29" s="1882" t="s">
        <v>1429</v>
      </c>
      <c r="D29" s="1031"/>
      <c r="E29" s="1032"/>
      <c r="F29" s="1033"/>
      <c r="G29" s="4265">
        <f>G28</f>
        <v>0</v>
      </c>
      <c r="H29" s="4266">
        <f>SUM(G28:H28)</f>
        <v>0</v>
      </c>
      <c r="I29" s="4266">
        <f>SUM(G28:I28)</f>
        <v>0</v>
      </c>
      <c r="J29" s="4266">
        <f>SUM(G28:J28)</f>
        <v>0</v>
      </c>
      <c r="K29" s="4266">
        <f>SUM(G28:K28)</f>
        <v>0</v>
      </c>
      <c r="L29" s="5140"/>
      <c r="M29" s="4287"/>
    </row>
    <row r="30" spans="1:13" ht="16.5" thickBot="1">
      <c r="A30" s="5120"/>
      <c r="B30" s="4279" t="s">
        <v>1028</v>
      </c>
      <c r="C30" s="1887" t="s">
        <v>1429</v>
      </c>
      <c r="D30" s="1981">
        <v>2385809</v>
      </c>
      <c r="E30" s="1982">
        <v>2512605</v>
      </c>
      <c r="F30" s="1983">
        <v>2568639</v>
      </c>
      <c r="G30" s="4259">
        <f>G27+G29</f>
        <v>2489017.6666666665</v>
      </c>
      <c r="H30" s="4259">
        <f t="shared" ref="H30:K30" si="4">H27+H29</f>
        <v>2407627</v>
      </c>
      <c r="I30" s="4259">
        <f t="shared" si="4"/>
        <v>2328899</v>
      </c>
      <c r="J30" s="4259">
        <f t="shared" si="4"/>
        <v>2252743</v>
      </c>
      <c r="K30" s="4259">
        <f t="shared" si="4"/>
        <v>2173898</v>
      </c>
      <c r="L30" s="5141"/>
      <c r="M30" s="746"/>
    </row>
    <row r="31" spans="1:13" ht="15.75">
      <c r="A31" s="5117" t="s">
        <v>1139</v>
      </c>
      <c r="B31" s="4282" t="s">
        <v>1310</v>
      </c>
      <c r="C31" s="1882" t="s">
        <v>1429</v>
      </c>
      <c r="D31" s="1883"/>
      <c r="E31" s="1884"/>
      <c r="F31" s="1885"/>
      <c r="G31" s="1018">
        <f>L31</f>
        <v>658276</v>
      </c>
      <c r="H31" s="748">
        <v>653211</v>
      </c>
      <c r="I31" s="748">
        <v>648147</v>
      </c>
      <c r="J31" s="748">
        <v>643084</v>
      </c>
      <c r="K31" s="753">
        <v>638020</v>
      </c>
      <c r="L31" s="5139">
        <f>IFERROR(AVERAGE(D34:F34),0)</f>
        <v>658276</v>
      </c>
      <c r="M31" s="743"/>
    </row>
    <row r="32" spans="1:13" ht="25.5">
      <c r="A32" s="5118"/>
      <c r="B32" s="4278" t="s">
        <v>1309</v>
      </c>
      <c r="C32" s="1882" t="s">
        <v>1429</v>
      </c>
      <c r="D32" s="1031"/>
      <c r="E32" s="1032"/>
      <c r="F32" s="1033"/>
      <c r="G32" s="942"/>
      <c r="H32" s="752"/>
      <c r="I32" s="752"/>
      <c r="J32" s="752"/>
      <c r="K32" s="751"/>
      <c r="L32" s="5140"/>
      <c r="M32" s="746"/>
    </row>
    <row r="33" spans="1:13" ht="25.5">
      <c r="A33" s="5119"/>
      <c r="B33" s="4274" t="s">
        <v>1773</v>
      </c>
      <c r="C33" s="1882" t="s">
        <v>1429</v>
      </c>
      <c r="D33" s="1031"/>
      <c r="E33" s="1032"/>
      <c r="F33" s="1033"/>
      <c r="G33" s="4265">
        <f>G32</f>
        <v>0</v>
      </c>
      <c r="H33" s="4266">
        <f>SUM(G32:H32)</f>
        <v>0</v>
      </c>
      <c r="I33" s="4266">
        <f>SUM(G32:I32)</f>
        <v>0</v>
      </c>
      <c r="J33" s="4266">
        <f>SUM(G32:J32)</f>
        <v>0</v>
      </c>
      <c r="K33" s="4266">
        <f>SUM(G32:K32)</f>
        <v>0</v>
      </c>
      <c r="L33" s="5140"/>
      <c r="M33" s="4287"/>
    </row>
    <row r="34" spans="1:13" ht="16.5" thickBot="1">
      <c r="A34" s="5119"/>
      <c r="B34" s="4283" t="s">
        <v>1028</v>
      </c>
      <c r="C34" s="1886" t="s">
        <v>1429</v>
      </c>
      <c r="D34" s="1984">
        <v>658088</v>
      </c>
      <c r="E34" s="1985">
        <v>695330</v>
      </c>
      <c r="F34" s="1986">
        <v>621410</v>
      </c>
      <c r="G34" s="4259">
        <f>G31+G33</f>
        <v>658276</v>
      </c>
      <c r="H34" s="4259">
        <f t="shared" ref="H34:K34" si="5">H31+H33</f>
        <v>653211</v>
      </c>
      <c r="I34" s="4259">
        <f t="shared" si="5"/>
        <v>648147</v>
      </c>
      <c r="J34" s="4259">
        <f t="shared" si="5"/>
        <v>643084</v>
      </c>
      <c r="K34" s="4259">
        <f t="shared" si="5"/>
        <v>638020</v>
      </c>
      <c r="L34" s="5141"/>
      <c r="M34" s="746"/>
    </row>
    <row r="35" spans="1:13" ht="15.75">
      <c r="A35" s="5160" t="s">
        <v>1140</v>
      </c>
      <c r="B35" s="4276" t="s">
        <v>1311</v>
      </c>
      <c r="C35" s="1871" t="s">
        <v>1429</v>
      </c>
      <c r="D35" s="1015"/>
      <c r="E35" s="1016"/>
      <c r="F35" s="1017"/>
      <c r="G35" s="1025">
        <f>G22+G27+G31</f>
        <v>11354943</v>
      </c>
      <c r="H35" s="1026">
        <f>H22+H27+H31</f>
        <v>11000084.020081241</v>
      </c>
      <c r="I35" s="1026">
        <f>I22+I27+I31</f>
        <v>10656707.423367359</v>
      </c>
      <c r="J35" s="1026">
        <f>J22+J27+J31</f>
        <v>10324373.287091164</v>
      </c>
      <c r="K35" s="1888">
        <f>K22+K27+K31</f>
        <v>9980137.5211636685</v>
      </c>
      <c r="L35" s="5139">
        <f>IFERROR(AVERAGE(D39:F39),0)</f>
        <v>11354943</v>
      </c>
      <c r="M35" s="4300"/>
    </row>
    <row r="36" spans="1:13" ht="25.5">
      <c r="A36" s="5161"/>
      <c r="B36" s="4278" t="s">
        <v>1309</v>
      </c>
      <c r="C36" s="1882" t="s">
        <v>1429</v>
      </c>
      <c r="D36" s="1031"/>
      <c r="E36" s="1032"/>
      <c r="F36" s="1033"/>
      <c r="G36" s="1028">
        <f t="shared" ref="G36:K37" si="6">G24+G28+G32</f>
        <v>0</v>
      </c>
      <c r="H36" s="1029">
        <f t="shared" si="6"/>
        <v>0</v>
      </c>
      <c r="I36" s="1029">
        <f t="shared" si="6"/>
        <v>0</v>
      </c>
      <c r="J36" s="1029">
        <f t="shared" si="6"/>
        <v>0</v>
      </c>
      <c r="K36" s="1889">
        <f t="shared" si="6"/>
        <v>0</v>
      </c>
      <c r="L36" s="5140"/>
      <c r="M36" s="4287"/>
    </row>
    <row r="37" spans="1:13" ht="25.5">
      <c r="A37" s="5161"/>
      <c r="B37" s="4274" t="s">
        <v>1773</v>
      </c>
      <c r="C37" s="1882" t="s">
        <v>1429</v>
      </c>
      <c r="D37" s="1031"/>
      <c r="E37" s="1032"/>
      <c r="F37" s="1033"/>
      <c r="G37" s="4261">
        <f t="shared" si="6"/>
        <v>0</v>
      </c>
      <c r="H37" s="4262">
        <f t="shared" si="6"/>
        <v>0</v>
      </c>
      <c r="I37" s="4262">
        <f t="shared" si="6"/>
        <v>0</v>
      </c>
      <c r="J37" s="4262">
        <f t="shared" si="6"/>
        <v>0</v>
      </c>
      <c r="K37" s="4263">
        <f t="shared" si="6"/>
        <v>0</v>
      </c>
      <c r="L37" s="5140"/>
      <c r="M37" s="4287"/>
    </row>
    <row r="38" spans="1:13" ht="15.75">
      <c r="A38" s="5161"/>
      <c r="B38" s="1874" t="s">
        <v>1137</v>
      </c>
      <c r="C38" s="1882" t="s">
        <v>1429</v>
      </c>
      <c r="D38" s="1031"/>
      <c r="E38" s="1032"/>
      <c r="F38" s="1033"/>
      <c r="G38" s="1987"/>
      <c r="H38" s="1988">
        <v>50000</v>
      </c>
      <c r="I38" s="1988">
        <v>30000</v>
      </c>
      <c r="J38" s="1988">
        <v>40000</v>
      </c>
      <c r="K38" s="1988">
        <v>45000</v>
      </c>
      <c r="L38" s="5140"/>
      <c r="M38" s="746"/>
    </row>
    <row r="39" spans="1:13" ht="16.5" thickBot="1">
      <c r="A39" s="5162"/>
      <c r="B39" s="1876" t="s">
        <v>1028</v>
      </c>
      <c r="C39" s="1887" t="s">
        <v>1429</v>
      </c>
      <c r="D39" s="1433">
        <f>D26+D30+D34</f>
        <v>10844836</v>
      </c>
      <c r="E39" s="1039">
        <f>E26+E30+E34</f>
        <v>11471057</v>
      </c>
      <c r="F39" s="1434">
        <f>F26+F30+F34</f>
        <v>11748936</v>
      </c>
      <c r="G39" s="4259">
        <f>G35+G37+G38</f>
        <v>11354943</v>
      </c>
      <c r="H39" s="4259">
        <f t="shared" ref="H39:K39" si="7">H35+H37+H38</f>
        <v>11050084.020081241</v>
      </c>
      <c r="I39" s="4259">
        <f t="shared" si="7"/>
        <v>10686707.423367359</v>
      </c>
      <c r="J39" s="4259">
        <f t="shared" si="7"/>
        <v>10364373.287091164</v>
      </c>
      <c r="K39" s="4259">
        <f t="shared" si="7"/>
        <v>10025137.521163668</v>
      </c>
      <c r="L39" s="5141"/>
      <c r="M39" s="4299"/>
    </row>
    <row r="40" spans="1:13" s="1896" customFormat="1" ht="15.75">
      <c r="A40" s="5114" t="s">
        <v>1167</v>
      </c>
      <c r="B40" s="5115"/>
      <c r="C40" s="1890" t="s">
        <v>1430</v>
      </c>
      <c r="D40" s="1891"/>
      <c r="E40" s="1892"/>
      <c r="F40" s="1892"/>
      <c r="G40" s="1893"/>
      <c r="H40" s="1894">
        <f>-H38-('4. Отчет и прогн. потребление'!F33-'4. Отчет и прогн. потребление'!E33)</f>
        <v>0</v>
      </c>
      <c r="I40" s="1894">
        <f>-I38-('4. Отчет и прогн. потребление'!G33-'4. Отчет и прогн. потребление'!F33)</f>
        <v>0</v>
      </c>
      <c r="J40" s="1894">
        <f>-J38-('4. Отчет и прогн. потребление'!H33-'4. Отчет и прогн. потребление'!G33)</f>
        <v>0</v>
      </c>
      <c r="K40" s="1894">
        <f>-K38-('4. Отчет и прогн. потребление'!I33-'4. Отчет и прогн. потребление'!H33)</f>
        <v>0</v>
      </c>
      <c r="L40" s="1895"/>
    </row>
    <row r="41" spans="1:13" hidden="1">
      <c r="D41" s="1897"/>
      <c r="E41" s="1897"/>
      <c r="F41" s="1897"/>
      <c r="G41" s="1897"/>
      <c r="H41" s="1897"/>
      <c r="I41" s="1897"/>
      <c r="J41" s="1897"/>
      <c r="K41" s="1897"/>
      <c r="L41" s="1897"/>
    </row>
    <row r="42" spans="1:13" ht="13.5" thickBot="1">
      <c r="A42" s="4015" t="s">
        <v>1141</v>
      </c>
      <c r="B42" s="1898"/>
      <c r="C42" s="1899"/>
      <c r="D42" s="1897"/>
      <c r="E42" s="1897"/>
      <c r="F42" s="1897"/>
      <c r="G42" s="1897"/>
      <c r="H42" s="1897"/>
      <c r="I42" s="1897"/>
      <c r="J42" s="1897"/>
      <c r="K42" s="1897"/>
      <c r="L42" s="1897"/>
    </row>
    <row r="43" spans="1:13" ht="13.5" hidden="1" thickBot="1">
      <c r="A43" s="5134" t="s">
        <v>82</v>
      </c>
      <c r="B43" s="5163" t="s">
        <v>1129</v>
      </c>
      <c r="C43" s="5125" t="s">
        <v>166</v>
      </c>
      <c r="D43" s="1900" t="str">
        <f t="shared" ref="D43:K43" si="8">D7</f>
        <v xml:space="preserve">2023 г. </v>
      </c>
      <c r="E43" s="1901" t="str">
        <f t="shared" si="8"/>
        <v xml:space="preserve">2024 г. </v>
      </c>
      <c r="F43" s="1902" t="str">
        <f t="shared" si="8"/>
        <v xml:space="preserve">2025 г. </v>
      </c>
      <c r="G43" s="1901" t="str">
        <f t="shared" si="8"/>
        <v>2027 г.</v>
      </c>
      <c r="H43" s="1901" t="str">
        <f t="shared" si="8"/>
        <v>2028 г.</v>
      </c>
      <c r="I43" s="1901" t="str">
        <f t="shared" si="8"/>
        <v>2029 г.</v>
      </c>
      <c r="J43" s="1901" t="str">
        <f t="shared" si="8"/>
        <v>2030 г.</v>
      </c>
      <c r="K43" s="1901" t="str">
        <f t="shared" si="8"/>
        <v>2031 г.</v>
      </c>
      <c r="L43" s="5130" t="s">
        <v>1427</v>
      </c>
      <c r="M43" s="5125" t="s">
        <v>1130</v>
      </c>
    </row>
    <row r="44" spans="1:13" ht="13.5" hidden="1" thickBot="1">
      <c r="A44" s="5135"/>
      <c r="B44" s="5164"/>
      <c r="C44" s="5126"/>
      <c r="D44" s="5136" t="s">
        <v>1329</v>
      </c>
      <c r="E44" s="5137"/>
      <c r="F44" s="5138"/>
      <c r="G44" s="5137" t="s">
        <v>1330</v>
      </c>
      <c r="H44" s="5137"/>
      <c r="I44" s="5137"/>
      <c r="J44" s="5137"/>
      <c r="K44" s="5138"/>
      <c r="L44" s="5131"/>
      <c r="M44" s="5126"/>
    </row>
    <row r="45" spans="1:13" ht="18" customHeight="1">
      <c r="A45" s="5121" t="s">
        <v>1418</v>
      </c>
      <c r="B45" s="4276" t="s">
        <v>1131</v>
      </c>
      <c r="C45" s="1871" t="s">
        <v>676</v>
      </c>
      <c r="D45" s="1015"/>
      <c r="E45" s="1016"/>
      <c r="F45" s="1017"/>
      <c r="G45" s="940">
        <v>149862</v>
      </c>
      <c r="H45" s="748">
        <v>144967</v>
      </c>
      <c r="I45" s="748">
        <v>140231</v>
      </c>
      <c r="J45" s="748">
        <v>135649</v>
      </c>
      <c r="K45" s="747">
        <v>130905</v>
      </c>
      <c r="L45" s="5139">
        <f>IFERROR(AVERAGE(D49:F49),0)</f>
        <v>159809</v>
      </c>
      <c r="M45" s="743"/>
    </row>
    <row r="46" spans="1:13" ht="18" customHeight="1">
      <c r="A46" s="5122"/>
      <c r="B46" s="4277" t="s">
        <v>1165</v>
      </c>
      <c r="C46" s="1872" t="s">
        <v>170</v>
      </c>
      <c r="D46" s="1020"/>
      <c r="E46" s="1021"/>
      <c r="F46" s="4243"/>
      <c r="G46" s="1022"/>
      <c r="H46" s="1023">
        <f>IFERROR((H45-G45)/G45,0)</f>
        <v>-3.2663383646287916E-2</v>
      </c>
      <c r="I46" s="1023">
        <f>IFERROR((I45-H45)/H45,0)</f>
        <v>-3.2669504094035191E-2</v>
      </c>
      <c r="J46" s="1023">
        <f>IFERROR((J45-I45)/I45,0)</f>
        <v>-3.2674658242471351E-2</v>
      </c>
      <c r="K46" s="1024">
        <f>IFERROR((K45-J45)/J45,0)</f>
        <v>-3.497261314126901E-2</v>
      </c>
      <c r="L46" s="5140"/>
      <c r="M46" s="4287"/>
    </row>
    <row r="47" spans="1:13" ht="24" customHeight="1">
      <c r="A47" s="5123"/>
      <c r="B47" s="4278" t="s">
        <v>1772</v>
      </c>
      <c r="C47" s="1875" t="s">
        <v>676</v>
      </c>
      <c r="D47" s="1031"/>
      <c r="E47" s="1032"/>
      <c r="F47" s="1033"/>
      <c r="G47" s="749"/>
      <c r="H47" s="745"/>
      <c r="I47" s="745"/>
      <c r="J47" s="745"/>
      <c r="K47" s="744"/>
      <c r="L47" s="5140"/>
      <c r="M47" s="742"/>
    </row>
    <row r="48" spans="1:13" ht="25.5">
      <c r="A48" s="5124"/>
      <c r="B48" s="4274" t="s">
        <v>1773</v>
      </c>
      <c r="C48" s="1875" t="s">
        <v>676</v>
      </c>
      <c r="D48" s="1031"/>
      <c r="E48" s="1032"/>
      <c r="F48" s="1033"/>
      <c r="G48" s="4265">
        <f>G47</f>
        <v>0</v>
      </c>
      <c r="H48" s="4266">
        <f>SUM(G47:H47)</f>
        <v>0</v>
      </c>
      <c r="I48" s="4266">
        <f>SUM(G47:I47)</f>
        <v>0</v>
      </c>
      <c r="J48" s="4266">
        <f>SUM(G47:J47)</f>
        <v>0</v>
      </c>
      <c r="K48" s="4266">
        <f>SUM(G47:K47)</f>
        <v>0</v>
      </c>
      <c r="L48" s="5140"/>
      <c r="M48" s="4287"/>
    </row>
    <row r="49" spans="1:13" ht="18" customHeight="1" thickBot="1">
      <c r="A49" s="5142"/>
      <c r="B49" s="4279" t="s">
        <v>1028</v>
      </c>
      <c r="C49" s="1877" t="s">
        <v>676</v>
      </c>
      <c r="D49" s="1984">
        <v>159809</v>
      </c>
      <c r="E49" s="1985">
        <v>159809</v>
      </c>
      <c r="F49" s="1986">
        <v>159809</v>
      </c>
      <c r="G49" s="4264">
        <f>G45+G48</f>
        <v>149862</v>
      </c>
      <c r="H49" s="4264">
        <f t="shared" ref="H49:K49" si="9">H45+H48</f>
        <v>144967</v>
      </c>
      <c r="I49" s="4264">
        <f t="shared" si="9"/>
        <v>140231</v>
      </c>
      <c r="J49" s="4264">
        <f t="shared" si="9"/>
        <v>135649</v>
      </c>
      <c r="K49" s="4264">
        <f t="shared" si="9"/>
        <v>130905</v>
      </c>
      <c r="L49" s="5141"/>
      <c r="M49" s="746"/>
    </row>
    <row r="50" spans="1:13" ht="12.75" customHeight="1">
      <c r="A50" s="5108" t="s">
        <v>850</v>
      </c>
      <c r="B50" s="4276" t="s">
        <v>1131</v>
      </c>
      <c r="C50" s="1871" t="s">
        <v>676</v>
      </c>
      <c r="D50" s="1015"/>
      <c r="E50" s="1016"/>
      <c r="F50" s="1017"/>
      <c r="G50" s="940">
        <v>97803</v>
      </c>
      <c r="H50" s="760">
        <v>94620</v>
      </c>
      <c r="I50" s="759">
        <v>91536</v>
      </c>
      <c r="J50" s="759">
        <v>91550</v>
      </c>
      <c r="K50" s="4290">
        <v>89655</v>
      </c>
      <c r="L50" s="5139">
        <f>IFERROR(AVERAGE(D53:F53),0)</f>
        <v>97810.666666666672</v>
      </c>
      <c r="M50" s="743"/>
    </row>
    <row r="51" spans="1:13" ht="25.5">
      <c r="A51" s="5109"/>
      <c r="B51" s="4278" t="s">
        <v>1772</v>
      </c>
      <c r="C51" s="1875" t="s">
        <v>676</v>
      </c>
      <c r="D51" s="1031"/>
      <c r="E51" s="1032"/>
      <c r="F51" s="1033"/>
      <c r="G51" s="749"/>
      <c r="H51" s="803">
        <v>130</v>
      </c>
      <c r="I51" s="803">
        <v>130</v>
      </c>
      <c r="J51" s="803">
        <v>130</v>
      </c>
      <c r="K51" s="803">
        <v>130</v>
      </c>
      <c r="L51" s="5140"/>
      <c r="M51" s="742"/>
    </row>
    <row r="52" spans="1:13" ht="25.5">
      <c r="A52" s="5109"/>
      <c r="B52" s="4274" t="s">
        <v>1773</v>
      </c>
      <c r="C52" s="1875" t="s">
        <v>676</v>
      </c>
      <c r="D52" s="1031"/>
      <c r="E52" s="1032"/>
      <c r="F52" s="1033"/>
      <c r="G52" s="4265">
        <f>G51</f>
        <v>0</v>
      </c>
      <c r="H52" s="4266">
        <f>SUM(G51:H51)</f>
        <v>130</v>
      </c>
      <c r="I52" s="4266">
        <f>SUM(G51:I51)</f>
        <v>260</v>
      </c>
      <c r="J52" s="4266">
        <f>SUM(G51:J51)</f>
        <v>390</v>
      </c>
      <c r="K52" s="4296">
        <f>SUM(G51:K51)</f>
        <v>520</v>
      </c>
      <c r="L52" s="5140"/>
      <c r="M52" s="4287"/>
    </row>
    <row r="53" spans="1:13">
      <c r="A53" s="5109"/>
      <c r="B53" s="4280" t="s">
        <v>1028</v>
      </c>
      <c r="C53" s="1879" t="s">
        <v>676</v>
      </c>
      <c r="D53" s="1034">
        <f>D54+D55+D56</f>
        <v>105406</v>
      </c>
      <c r="E53" s="1035">
        <f>E54+E55+E56</f>
        <v>93348</v>
      </c>
      <c r="F53" s="1036">
        <f>F54+F55+F56</f>
        <v>94678</v>
      </c>
      <c r="G53" s="4260">
        <f>G50+G52</f>
        <v>97803</v>
      </c>
      <c r="H53" s="4260">
        <f t="shared" ref="H53:K53" si="10">H50+H52</f>
        <v>94750</v>
      </c>
      <c r="I53" s="4260">
        <f t="shared" si="10"/>
        <v>91796</v>
      </c>
      <c r="J53" s="4260">
        <f t="shared" si="10"/>
        <v>91940</v>
      </c>
      <c r="K53" s="4297">
        <f t="shared" si="10"/>
        <v>90175</v>
      </c>
      <c r="L53" s="5143"/>
      <c r="M53" s="4287"/>
    </row>
    <row r="54" spans="1:13">
      <c r="A54" s="5109"/>
      <c r="B54" s="4281" t="s">
        <v>1142</v>
      </c>
      <c r="C54" s="1875" t="s">
        <v>676</v>
      </c>
      <c r="D54" s="750">
        <v>100225</v>
      </c>
      <c r="E54" s="749">
        <v>88856</v>
      </c>
      <c r="F54" s="757">
        <v>90122</v>
      </c>
      <c r="G54" s="749">
        <v>93068</v>
      </c>
      <c r="H54" s="754">
        <v>90025</v>
      </c>
      <c r="I54" s="754">
        <v>87081</v>
      </c>
      <c r="J54" s="754">
        <v>84235</v>
      </c>
      <c r="K54" s="803">
        <v>82480</v>
      </c>
      <c r="L54" s="4298">
        <f>IFERROR(AVERAGE(D54:F54),0)</f>
        <v>93067.666666666672</v>
      </c>
      <c r="M54" s="742"/>
    </row>
    <row r="55" spans="1:13">
      <c r="A55" s="5109"/>
      <c r="B55" s="4281" t="s">
        <v>1143</v>
      </c>
      <c r="C55" s="1875" t="s">
        <v>676</v>
      </c>
      <c r="D55" s="750">
        <v>4728</v>
      </c>
      <c r="E55" s="749">
        <v>4187</v>
      </c>
      <c r="F55" s="757">
        <v>4247</v>
      </c>
      <c r="G55" s="749">
        <v>4380</v>
      </c>
      <c r="H55" s="745">
        <v>4375</v>
      </c>
      <c r="I55" s="745">
        <v>4370</v>
      </c>
      <c r="J55" s="745">
        <v>7365</v>
      </c>
      <c r="K55" s="4258">
        <v>7360</v>
      </c>
      <c r="L55" s="4298">
        <f>IFERROR(AVERAGE(D55:F55),0)</f>
        <v>4387.333333333333</v>
      </c>
      <c r="M55" s="742"/>
    </row>
    <row r="56" spans="1:13">
      <c r="A56" s="5109"/>
      <c r="B56" s="4281" t="s">
        <v>1144</v>
      </c>
      <c r="C56" s="1875" t="s">
        <v>676</v>
      </c>
      <c r="D56" s="750">
        <v>453</v>
      </c>
      <c r="E56" s="749">
        <v>305</v>
      </c>
      <c r="F56" s="757">
        <v>309</v>
      </c>
      <c r="G56" s="749">
        <v>355</v>
      </c>
      <c r="H56" s="745">
        <v>350</v>
      </c>
      <c r="I56" s="745">
        <v>345</v>
      </c>
      <c r="J56" s="745">
        <v>340</v>
      </c>
      <c r="K56" s="4258">
        <v>335</v>
      </c>
      <c r="L56" s="4298">
        <f>IFERROR(AVERAGE(D56:F56),0)</f>
        <v>355.66666666666669</v>
      </c>
      <c r="M56" s="742"/>
    </row>
    <row r="57" spans="1:13" ht="13.5" thickBot="1">
      <c r="A57" s="5109"/>
      <c r="B57" s="4275" t="s">
        <v>1771</v>
      </c>
      <c r="C57" s="4293" t="s">
        <v>676</v>
      </c>
      <c r="D57" s="4253"/>
      <c r="E57" s="4254"/>
      <c r="F57" s="4252"/>
      <c r="G57" s="4267">
        <f>G53-G54-G55-G56</f>
        <v>0</v>
      </c>
      <c r="H57" s="4268">
        <f>H53-H54-H55-H56</f>
        <v>0</v>
      </c>
      <c r="I57" s="4269">
        <f>I53-I54-I55-I56</f>
        <v>0</v>
      </c>
      <c r="J57" s="4270">
        <f>J53-J54-J55-J56</f>
        <v>0</v>
      </c>
      <c r="K57" s="4270">
        <f>K53-K54-K55-K56</f>
        <v>0</v>
      </c>
      <c r="L57" s="4255"/>
      <c r="M57" s="4287"/>
    </row>
    <row r="58" spans="1:13" ht="15.75">
      <c r="A58" s="5116" t="s">
        <v>1136</v>
      </c>
      <c r="B58" s="4282" t="s">
        <v>1308</v>
      </c>
      <c r="C58" s="1882" t="s">
        <v>1429</v>
      </c>
      <c r="D58" s="1883"/>
      <c r="E58" s="1884"/>
      <c r="F58" s="1017"/>
      <c r="G58" s="1021">
        <f>L58</f>
        <v>6481834.333333333</v>
      </c>
      <c r="H58" s="1021">
        <f>(G58+(H46)*G58)</f>
        <v>6270115.691771986</v>
      </c>
      <c r="I58" s="1021">
        <f>(H58+(I46)*H58)</f>
        <v>6065274.1215095669</v>
      </c>
      <c r="J58" s="1021">
        <f>(I58+(J46)*I58)</f>
        <v>5867093.362442336</v>
      </c>
      <c r="K58" s="1021">
        <f>(J58+(K46)*J58)</f>
        <v>5661905.7760139331</v>
      </c>
      <c r="L58" s="5140">
        <f>IFERROR(AVERAGE(D62:F62),0)</f>
        <v>6481834.333333333</v>
      </c>
      <c r="M58" s="4287"/>
    </row>
    <row r="59" spans="1:13">
      <c r="A59" s="5117"/>
      <c r="B59" s="4277" t="s">
        <v>1165</v>
      </c>
      <c r="C59" s="1872" t="s">
        <v>170</v>
      </c>
      <c r="D59" s="1020"/>
      <c r="E59" s="1021"/>
      <c r="F59" s="4243"/>
      <c r="G59" s="1022"/>
      <c r="H59" s="1023">
        <f>IFERROR((H58-G58)/G58,0)</f>
        <v>-3.2663383646287847E-2</v>
      </c>
      <c r="I59" s="1023">
        <f>IFERROR((I58-H58)/H58,0)</f>
        <v>-3.2669504094035171E-2</v>
      </c>
      <c r="J59" s="1023">
        <f>IFERROR((J58-I58)/I58,0)</f>
        <v>-3.2674658242471372E-2</v>
      </c>
      <c r="K59" s="1024">
        <f>IFERROR((K58-J58)/J58,0)</f>
        <v>-3.4972613141268996E-2</v>
      </c>
      <c r="L59" s="5140"/>
      <c r="M59" s="4287"/>
    </row>
    <row r="60" spans="1:13" ht="25.5">
      <c r="A60" s="5118"/>
      <c r="B60" s="4278" t="s">
        <v>1309</v>
      </c>
      <c r="C60" s="1882" t="s">
        <v>1429</v>
      </c>
      <c r="D60" s="1031"/>
      <c r="E60" s="1032"/>
      <c r="F60" s="1033"/>
      <c r="G60" s="749"/>
      <c r="H60" s="745"/>
      <c r="I60" s="745"/>
      <c r="J60" s="745"/>
      <c r="K60" s="744"/>
      <c r="L60" s="5140"/>
      <c r="M60" s="742"/>
    </row>
    <row r="61" spans="1:13" ht="25.5">
      <c r="A61" s="5119"/>
      <c r="B61" s="4274" t="s">
        <v>1773</v>
      </c>
      <c r="C61" s="1882" t="s">
        <v>1429</v>
      </c>
      <c r="D61" s="1031"/>
      <c r="E61" s="1032"/>
      <c r="F61" s="1033"/>
      <c r="G61" s="4265">
        <f>G60</f>
        <v>0</v>
      </c>
      <c r="H61" s="4266">
        <f>SUM(G60:H60)</f>
        <v>0</v>
      </c>
      <c r="I61" s="4266">
        <f>SUM(G60:I60)</f>
        <v>0</v>
      </c>
      <c r="J61" s="4266">
        <f>SUM(G60:J60)</f>
        <v>0</v>
      </c>
      <c r="K61" s="4266">
        <f>SUM(G60:K60)</f>
        <v>0</v>
      </c>
      <c r="L61" s="5140"/>
      <c r="M61" s="4287"/>
    </row>
    <row r="62" spans="1:13" ht="16.5" thickBot="1">
      <c r="A62" s="5120"/>
      <c r="B62" s="4279" t="s">
        <v>1028</v>
      </c>
      <c r="C62" s="1887" t="s">
        <v>1429</v>
      </c>
      <c r="D62" s="1984">
        <v>6011958</v>
      </c>
      <c r="E62" s="1985">
        <v>6276668</v>
      </c>
      <c r="F62" s="1986">
        <v>7156877</v>
      </c>
      <c r="G62" s="4264">
        <f>G58+G61</f>
        <v>6481834.333333333</v>
      </c>
      <c r="H62" s="4264">
        <f t="shared" ref="H62:K62" si="11">H58+H61</f>
        <v>6270115.691771986</v>
      </c>
      <c r="I62" s="4264">
        <f t="shared" si="11"/>
        <v>6065274.1215095669</v>
      </c>
      <c r="J62" s="4264">
        <f t="shared" si="11"/>
        <v>5867093.362442336</v>
      </c>
      <c r="K62" s="4264">
        <f t="shared" si="11"/>
        <v>5661905.7760139331</v>
      </c>
      <c r="L62" s="5140"/>
      <c r="M62" s="4295"/>
    </row>
    <row r="63" spans="1:13" ht="15.75">
      <c r="A63" s="5117" t="s">
        <v>1138</v>
      </c>
      <c r="B63" s="4282" t="s">
        <v>1310</v>
      </c>
      <c r="C63" s="1882" t="s">
        <v>1429</v>
      </c>
      <c r="D63" s="1015"/>
      <c r="E63" s="1016"/>
      <c r="F63" s="1017"/>
      <c r="G63" s="1018">
        <f>L63</f>
        <v>2365049</v>
      </c>
      <c r="H63" s="748">
        <v>2287712</v>
      </c>
      <c r="I63" s="748">
        <v>2212904</v>
      </c>
      <c r="J63" s="748">
        <v>2140542</v>
      </c>
      <c r="K63" s="747">
        <v>2065623</v>
      </c>
      <c r="L63" s="5139">
        <f>IFERROR(AVERAGE(D66:F66),0)</f>
        <v>2365049</v>
      </c>
      <c r="M63" s="743"/>
    </row>
    <row r="64" spans="1:13" ht="25.5">
      <c r="A64" s="5118"/>
      <c r="B64" s="4278" t="s">
        <v>1309</v>
      </c>
      <c r="C64" s="1882" t="s">
        <v>1429</v>
      </c>
      <c r="D64" s="1031"/>
      <c r="E64" s="1032"/>
      <c r="F64" s="1033"/>
      <c r="G64" s="749"/>
      <c r="H64" s="745"/>
      <c r="I64" s="745"/>
      <c r="J64" s="745"/>
      <c r="K64" s="744"/>
      <c r="L64" s="5140"/>
      <c r="M64" s="742"/>
    </row>
    <row r="65" spans="1:13" ht="25.5">
      <c r="A65" s="5119"/>
      <c r="B65" s="4274" t="s">
        <v>1773</v>
      </c>
      <c r="C65" s="1882" t="s">
        <v>1429</v>
      </c>
      <c r="D65" s="1031"/>
      <c r="E65" s="1032"/>
      <c r="F65" s="1033"/>
      <c r="G65" s="4265">
        <f>G64</f>
        <v>0</v>
      </c>
      <c r="H65" s="4266">
        <f>SUM(G64:H64)</f>
        <v>0</v>
      </c>
      <c r="I65" s="4266">
        <f>SUM(G64:I64)</f>
        <v>0</v>
      </c>
      <c r="J65" s="4266">
        <f>SUM(G64:J64)</f>
        <v>0</v>
      </c>
      <c r="K65" s="4266">
        <f>SUM(G64:K64)</f>
        <v>0</v>
      </c>
      <c r="L65" s="5140"/>
      <c r="M65" s="4287"/>
    </row>
    <row r="66" spans="1:13" ht="16.5" thickBot="1">
      <c r="A66" s="5119"/>
      <c r="B66" s="4283" t="s">
        <v>1028</v>
      </c>
      <c r="C66" s="1886" t="s">
        <v>1429</v>
      </c>
      <c r="D66" s="1981">
        <v>2036015</v>
      </c>
      <c r="E66" s="1982">
        <v>2630182</v>
      </c>
      <c r="F66" s="1983">
        <v>2428950</v>
      </c>
      <c r="G66" s="4259">
        <f>G63+G65</f>
        <v>2365049</v>
      </c>
      <c r="H66" s="4259">
        <f t="shared" ref="H66:K66" si="12">H63+H65</f>
        <v>2287712</v>
      </c>
      <c r="I66" s="4259">
        <f t="shared" si="12"/>
        <v>2212904</v>
      </c>
      <c r="J66" s="4259">
        <f t="shared" si="12"/>
        <v>2140542</v>
      </c>
      <c r="K66" s="4259">
        <f t="shared" si="12"/>
        <v>2065623</v>
      </c>
      <c r="L66" s="5141"/>
      <c r="M66" s="741"/>
    </row>
    <row r="67" spans="1:13" ht="15.75">
      <c r="A67" s="5116" t="s">
        <v>1139</v>
      </c>
      <c r="B67" s="4276" t="s">
        <v>1310</v>
      </c>
      <c r="C67" s="1871" t="s">
        <v>1429</v>
      </c>
      <c r="D67" s="1015"/>
      <c r="E67" s="1016"/>
      <c r="F67" s="1017"/>
      <c r="G67" s="1018">
        <f>L67</f>
        <v>700411.66666666663</v>
      </c>
      <c r="H67" s="748">
        <v>690550</v>
      </c>
      <c r="I67" s="748">
        <v>680685</v>
      </c>
      <c r="J67" s="748">
        <v>670820</v>
      </c>
      <c r="K67" s="747">
        <v>660955</v>
      </c>
      <c r="L67" s="5139">
        <f>IFERROR(AVERAGE(D70:F70),0)</f>
        <v>700411.66666666663</v>
      </c>
      <c r="M67" s="743"/>
    </row>
    <row r="68" spans="1:13" ht="25.5">
      <c r="A68" s="5118"/>
      <c r="B68" s="4278" t="s">
        <v>1309</v>
      </c>
      <c r="C68" s="1882" t="s">
        <v>1429</v>
      </c>
      <c r="D68" s="1031"/>
      <c r="E68" s="1032"/>
      <c r="F68" s="1033"/>
      <c r="G68" s="749"/>
      <c r="H68" s="745"/>
      <c r="I68" s="745"/>
      <c r="J68" s="745"/>
      <c r="K68" s="744"/>
      <c r="L68" s="5140"/>
      <c r="M68" s="742"/>
    </row>
    <row r="69" spans="1:13" ht="25.5">
      <c r="A69" s="5119"/>
      <c r="B69" s="4274" t="s">
        <v>1773</v>
      </c>
      <c r="C69" s="1882" t="s">
        <v>1429</v>
      </c>
      <c r="D69" s="1031"/>
      <c r="E69" s="1032"/>
      <c r="F69" s="1033"/>
      <c r="G69" s="4265">
        <f>G68</f>
        <v>0</v>
      </c>
      <c r="H69" s="4266">
        <f>SUM(G68:H68)</f>
        <v>0</v>
      </c>
      <c r="I69" s="4266">
        <f>SUM(G68:I68)</f>
        <v>0</v>
      </c>
      <c r="J69" s="4266">
        <f>SUM(G68:J68)</f>
        <v>0</v>
      </c>
      <c r="K69" s="4266">
        <f>SUM(G68:K68)</f>
        <v>0</v>
      </c>
      <c r="L69" s="5140"/>
      <c r="M69" s="4287"/>
    </row>
    <row r="70" spans="1:13" ht="16.5" thickBot="1">
      <c r="A70" s="5120"/>
      <c r="B70" s="4279" t="s">
        <v>1028</v>
      </c>
      <c r="C70" s="1887" t="s">
        <v>1429</v>
      </c>
      <c r="D70" s="1984">
        <v>866448</v>
      </c>
      <c r="E70" s="1985">
        <v>905314</v>
      </c>
      <c r="F70" s="1986">
        <v>329473</v>
      </c>
      <c r="G70" s="4264">
        <f>G67+G69</f>
        <v>700411.66666666663</v>
      </c>
      <c r="H70" s="4264">
        <f t="shared" ref="H70:K70" si="13">H67+H69</f>
        <v>690550</v>
      </c>
      <c r="I70" s="4264">
        <f t="shared" si="13"/>
        <v>680685</v>
      </c>
      <c r="J70" s="4264">
        <f t="shared" si="13"/>
        <v>670820</v>
      </c>
      <c r="K70" s="4264">
        <f t="shared" si="13"/>
        <v>660955</v>
      </c>
      <c r="L70" s="5140"/>
      <c r="M70" s="4295"/>
    </row>
    <row r="71" spans="1:13" ht="15.75">
      <c r="A71" s="5160" t="s">
        <v>1145</v>
      </c>
      <c r="B71" s="4276" t="s">
        <v>1310</v>
      </c>
      <c r="C71" s="1903" t="s">
        <v>1429</v>
      </c>
      <c r="D71" s="1015"/>
      <c r="E71" s="1016"/>
      <c r="F71" s="1017"/>
      <c r="G71" s="1025">
        <f>G58+G63+G67</f>
        <v>9547294.9999999981</v>
      </c>
      <c r="H71" s="1026">
        <f>H58+H63+H67</f>
        <v>9248377.691771986</v>
      </c>
      <c r="I71" s="1026">
        <f>I58+I63+I67</f>
        <v>8958863.1215095669</v>
      </c>
      <c r="J71" s="1026">
        <f>J58+J63+J67</f>
        <v>8678455.362442337</v>
      </c>
      <c r="K71" s="1027">
        <f>K58+K63+K67</f>
        <v>8388483.7760139331</v>
      </c>
      <c r="L71" s="5139">
        <f>IFERROR(AVERAGE(D74:F74),0)</f>
        <v>9547295</v>
      </c>
      <c r="M71" s="4300"/>
    </row>
    <row r="72" spans="1:13" ht="25.5">
      <c r="A72" s="5161"/>
      <c r="B72" s="4278" t="s">
        <v>1309</v>
      </c>
      <c r="C72" s="1904" t="s">
        <v>1429</v>
      </c>
      <c r="D72" s="1031"/>
      <c r="E72" s="1032"/>
      <c r="F72" s="1033"/>
      <c r="G72" s="1028">
        <f t="shared" ref="G72:K73" si="14">G60+G64+G68</f>
        <v>0</v>
      </c>
      <c r="H72" s="1029">
        <f t="shared" si="14"/>
        <v>0</v>
      </c>
      <c r="I72" s="1029">
        <f t="shared" si="14"/>
        <v>0</v>
      </c>
      <c r="J72" s="1029">
        <f t="shared" si="14"/>
        <v>0</v>
      </c>
      <c r="K72" s="1030">
        <f t="shared" si="14"/>
        <v>0</v>
      </c>
      <c r="L72" s="5140"/>
      <c r="M72" s="4287"/>
    </row>
    <row r="73" spans="1:13" ht="25.5">
      <c r="A73" s="5165"/>
      <c r="B73" s="4274" t="s">
        <v>1773</v>
      </c>
      <c r="C73" s="1904" t="s">
        <v>1429</v>
      </c>
      <c r="D73" s="1031"/>
      <c r="E73" s="1032"/>
      <c r="F73" s="1033"/>
      <c r="G73" s="4261">
        <f t="shared" si="14"/>
        <v>0</v>
      </c>
      <c r="H73" s="4262">
        <f t="shared" si="14"/>
        <v>0</v>
      </c>
      <c r="I73" s="4262">
        <f t="shared" si="14"/>
        <v>0</v>
      </c>
      <c r="J73" s="4262">
        <f t="shared" si="14"/>
        <v>0</v>
      </c>
      <c r="K73" s="4263">
        <f t="shared" si="14"/>
        <v>0</v>
      </c>
      <c r="L73" s="5140"/>
      <c r="M73" s="4287"/>
    </row>
    <row r="74" spans="1:13" ht="16.5" thickBot="1">
      <c r="A74" s="5162"/>
      <c r="B74" s="4279" t="s">
        <v>1028</v>
      </c>
      <c r="C74" s="1905" t="s">
        <v>1429</v>
      </c>
      <c r="D74" s="1433">
        <f>D62+D66+D70</f>
        <v>8914421</v>
      </c>
      <c r="E74" s="1039">
        <f t="shared" ref="E74:F74" si="15">E62+E66+E70</f>
        <v>9812164</v>
      </c>
      <c r="F74" s="1434">
        <f t="shared" si="15"/>
        <v>9915300</v>
      </c>
      <c r="G74" s="4259">
        <f>G71+G73</f>
        <v>9547294.9999999981</v>
      </c>
      <c r="H74" s="4259">
        <f t="shared" ref="H74:K74" si="16">H71+H73</f>
        <v>9248377.691771986</v>
      </c>
      <c r="I74" s="4259">
        <f t="shared" si="16"/>
        <v>8958863.1215095669</v>
      </c>
      <c r="J74" s="4259">
        <f t="shared" si="16"/>
        <v>8678455.362442337</v>
      </c>
      <c r="K74" s="4259">
        <f t="shared" si="16"/>
        <v>8388483.7760139331</v>
      </c>
      <c r="L74" s="5141"/>
      <c r="M74" s="4299"/>
    </row>
    <row r="75" spans="1:13" ht="13.5" thickBot="1">
      <c r="A75" s="4016" t="s">
        <v>1146</v>
      </c>
      <c r="B75" s="4284"/>
      <c r="D75" s="1897"/>
      <c r="E75" s="1897"/>
      <c r="F75" s="1897"/>
      <c r="G75" s="1897"/>
      <c r="H75" s="1897"/>
      <c r="I75" s="1897"/>
      <c r="J75" s="1897"/>
      <c r="K75" s="1897"/>
      <c r="L75" s="1897"/>
      <c r="M75" s="4301"/>
    </row>
    <row r="76" spans="1:13" ht="13.5" hidden="1" thickBot="1">
      <c r="A76" s="5134" t="s">
        <v>82</v>
      </c>
      <c r="B76" s="5132" t="s">
        <v>1129</v>
      </c>
      <c r="C76" s="5125" t="s">
        <v>166</v>
      </c>
      <c r="D76" s="1900" t="str">
        <f t="shared" ref="D76:K76" si="17">D7</f>
        <v xml:space="preserve">2023 г. </v>
      </c>
      <c r="E76" s="1901" t="str">
        <f t="shared" si="17"/>
        <v xml:space="preserve">2024 г. </v>
      </c>
      <c r="F76" s="1902" t="str">
        <f t="shared" si="17"/>
        <v xml:space="preserve">2025 г. </v>
      </c>
      <c r="G76" s="1901" t="str">
        <f t="shared" si="17"/>
        <v>2027 г.</v>
      </c>
      <c r="H76" s="1901" t="str">
        <f t="shared" si="17"/>
        <v>2028 г.</v>
      </c>
      <c r="I76" s="1901" t="str">
        <f t="shared" si="17"/>
        <v>2029 г.</v>
      </c>
      <c r="J76" s="1901" t="str">
        <f t="shared" si="17"/>
        <v>2030 г.</v>
      </c>
      <c r="K76" s="1901" t="str">
        <f t="shared" si="17"/>
        <v>2031 г.</v>
      </c>
      <c r="L76" s="5130" t="s">
        <v>1427</v>
      </c>
      <c r="M76" s="5128" t="s">
        <v>1130</v>
      </c>
    </row>
    <row r="77" spans="1:13" ht="13.5" hidden="1" thickBot="1">
      <c r="A77" s="5135"/>
      <c r="B77" s="5133"/>
      <c r="C77" s="5126"/>
      <c r="D77" s="5136" t="s">
        <v>1329</v>
      </c>
      <c r="E77" s="5137"/>
      <c r="F77" s="5138"/>
      <c r="G77" s="5137" t="s">
        <v>1330</v>
      </c>
      <c r="H77" s="5137"/>
      <c r="I77" s="5137"/>
      <c r="J77" s="5137"/>
      <c r="K77" s="5138"/>
      <c r="L77" s="5131"/>
      <c r="M77" s="5129"/>
    </row>
    <row r="78" spans="1:13" ht="17.25" customHeight="1">
      <c r="A78" s="5121" t="s">
        <v>1419</v>
      </c>
      <c r="B78" s="4276" t="s">
        <v>1131</v>
      </c>
      <c r="C78" s="1871" t="s">
        <v>676</v>
      </c>
      <c r="D78" s="1015"/>
      <c r="E78" s="1016"/>
      <c r="F78" s="1017"/>
      <c r="G78" s="940">
        <v>83550</v>
      </c>
      <c r="H78" s="748">
        <v>80819</v>
      </c>
      <c r="I78" s="748">
        <v>78178</v>
      </c>
      <c r="J78" s="748">
        <v>75623</v>
      </c>
      <c r="K78" s="747">
        <v>72975</v>
      </c>
      <c r="L78" s="5139">
        <f>IFERROR(AVERAGE(D82:F82),0)</f>
        <v>89306</v>
      </c>
      <c r="M78" s="743"/>
    </row>
    <row r="79" spans="1:13" ht="17.25" customHeight="1">
      <c r="A79" s="5122"/>
      <c r="B79" s="4277" t="s">
        <v>1165</v>
      </c>
      <c r="C79" s="1872" t="s">
        <v>170</v>
      </c>
      <c r="D79" s="1020"/>
      <c r="E79" s="1021"/>
      <c r="F79" s="4243"/>
      <c r="G79" s="1022"/>
      <c r="H79" s="1023">
        <f>IFERROR((H78-G78)/G78,0)</f>
        <v>-3.2687013764213048E-2</v>
      </c>
      <c r="I79" s="1023">
        <f>IFERROR((I78-H78)/H78,0)</f>
        <v>-3.2677959390737324E-2</v>
      </c>
      <c r="J79" s="1023">
        <f>IFERROR((J78-I78)/I78,0)</f>
        <v>-3.2681828647445572E-2</v>
      </c>
      <c r="K79" s="1024">
        <f>IFERROR((K78-J78)/J78,0)</f>
        <v>-3.5015802070798567E-2</v>
      </c>
      <c r="L79" s="5140"/>
      <c r="M79" s="4287"/>
    </row>
    <row r="80" spans="1:13" ht="22.5" customHeight="1">
      <c r="A80" s="5123"/>
      <c r="B80" s="4278" t="s">
        <v>1772</v>
      </c>
      <c r="C80" s="1875" t="s">
        <v>676</v>
      </c>
      <c r="D80" s="1031"/>
      <c r="E80" s="1032"/>
      <c r="F80" s="1033"/>
      <c r="G80" s="749"/>
      <c r="H80" s="754"/>
      <c r="I80" s="754"/>
      <c r="J80" s="754"/>
      <c r="K80" s="754"/>
      <c r="L80" s="5140"/>
      <c r="M80" s="742"/>
    </row>
    <row r="81" spans="1:13" ht="25.5">
      <c r="A81" s="5124"/>
      <c r="B81" s="4274" t="s">
        <v>1773</v>
      </c>
      <c r="C81" s="1875" t="s">
        <v>676</v>
      </c>
      <c r="D81" s="1031"/>
      <c r="E81" s="1032"/>
      <c r="F81" s="1033"/>
      <c r="G81" s="4265">
        <f>G80</f>
        <v>0</v>
      </c>
      <c r="H81" s="4266">
        <f>SUM(G80:H80)</f>
        <v>0</v>
      </c>
      <c r="I81" s="4266">
        <f>SUM(G80:I80)</f>
        <v>0</v>
      </c>
      <c r="J81" s="4266">
        <f>SUM(G80:J80)</f>
        <v>0</v>
      </c>
      <c r="K81" s="4266">
        <f>SUM(G80:K80)</f>
        <v>0</v>
      </c>
      <c r="L81" s="5140"/>
      <c r="M81" s="4287"/>
    </row>
    <row r="82" spans="1:13" ht="17.25" customHeight="1" thickBot="1">
      <c r="A82" s="5124"/>
      <c r="B82" s="4283" t="s">
        <v>1028</v>
      </c>
      <c r="C82" s="1877" t="s">
        <v>676</v>
      </c>
      <c r="D82" s="1981">
        <v>89306</v>
      </c>
      <c r="E82" s="1982">
        <v>89306</v>
      </c>
      <c r="F82" s="1983">
        <v>89306</v>
      </c>
      <c r="G82" s="4259">
        <f>G78+G81</f>
        <v>83550</v>
      </c>
      <c r="H82" s="4259">
        <f t="shared" ref="H82:K82" si="18">H78+H81</f>
        <v>80819</v>
      </c>
      <c r="I82" s="4259">
        <f t="shared" si="18"/>
        <v>78178</v>
      </c>
      <c r="J82" s="4259">
        <f t="shared" si="18"/>
        <v>75623</v>
      </c>
      <c r="K82" s="4259">
        <f t="shared" si="18"/>
        <v>72975</v>
      </c>
      <c r="L82" s="5141"/>
      <c r="M82" s="742"/>
    </row>
    <row r="83" spans="1:13" ht="12.75" customHeight="1">
      <c r="A83" s="5108" t="s">
        <v>851</v>
      </c>
      <c r="B83" s="4276" t="s">
        <v>1131</v>
      </c>
      <c r="C83" s="1871" t="s">
        <v>676</v>
      </c>
      <c r="D83" s="1015"/>
      <c r="E83" s="1016"/>
      <c r="F83" s="1017"/>
      <c r="G83" s="940">
        <v>66695</v>
      </c>
      <c r="H83" s="759">
        <v>64607</v>
      </c>
      <c r="I83" s="759">
        <v>62585</v>
      </c>
      <c r="J83" s="759">
        <v>60633</v>
      </c>
      <c r="K83" s="760">
        <v>58611</v>
      </c>
      <c r="L83" s="5139">
        <f>IFERROR(AVERAGE(D86:F86),0)</f>
        <v>66708.333333333328</v>
      </c>
      <c r="M83" s="743"/>
    </row>
    <row r="84" spans="1:13" ht="25.5">
      <c r="A84" s="5109"/>
      <c r="B84" s="4278" t="s">
        <v>1772</v>
      </c>
      <c r="C84" s="1875" t="s">
        <v>676</v>
      </c>
      <c r="D84" s="1031"/>
      <c r="E84" s="1032"/>
      <c r="F84" s="1033"/>
      <c r="G84" s="749"/>
      <c r="H84" s="745"/>
      <c r="I84" s="745"/>
      <c r="J84" s="745"/>
      <c r="K84" s="4258"/>
      <c r="L84" s="5140"/>
      <c r="M84" s="742"/>
    </row>
    <row r="85" spans="1:13" ht="25.5">
      <c r="A85" s="5109"/>
      <c r="B85" s="4274" t="s">
        <v>1773</v>
      </c>
      <c r="C85" s="1875" t="s">
        <v>676</v>
      </c>
      <c r="D85" s="1031"/>
      <c r="E85" s="1032"/>
      <c r="F85" s="1033"/>
      <c r="G85" s="4265">
        <f>G84</f>
        <v>0</v>
      </c>
      <c r="H85" s="4266">
        <f>SUM(G84:H84)</f>
        <v>0</v>
      </c>
      <c r="I85" s="4266">
        <f>SUM(G84:I84)</f>
        <v>0</v>
      </c>
      <c r="J85" s="4266">
        <f>SUM(G84:J84)</f>
        <v>0</v>
      </c>
      <c r="K85" s="4266">
        <f>SUM(G84:K84)</f>
        <v>0</v>
      </c>
      <c r="L85" s="5140"/>
      <c r="M85" s="4287"/>
    </row>
    <row r="86" spans="1:13">
      <c r="A86" s="5109"/>
      <c r="B86" s="4280" t="s">
        <v>1028</v>
      </c>
      <c r="C86" s="1879" t="s">
        <v>676</v>
      </c>
      <c r="D86" s="1034">
        <f>D87+D88+D89</f>
        <v>73629</v>
      </c>
      <c r="E86" s="1035">
        <f>E87+E88+E89</f>
        <v>62768</v>
      </c>
      <c r="F86" s="1036">
        <f>F87+F88+F89</f>
        <v>63728</v>
      </c>
      <c r="G86" s="4260">
        <f>G83+G85</f>
        <v>66695</v>
      </c>
      <c r="H86" s="4260">
        <f t="shared" ref="H86:K86" si="19">H83+H85</f>
        <v>64607</v>
      </c>
      <c r="I86" s="4260">
        <f t="shared" si="19"/>
        <v>62585</v>
      </c>
      <c r="J86" s="4260">
        <f t="shared" si="19"/>
        <v>60633</v>
      </c>
      <c r="K86" s="4260">
        <f t="shared" si="19"/>
        <v>58611</v>
      </c>
      <c r="L86" s="5143"/>
      <c r="M86" s="4287"/>
    </row>
    <row r="87" spans="1:13">
      <c r="A87" s="5109"/>
      <c r="B87" s="4281" t="s">
        <v>1147</v>
      </c>
      <c r="C87" s="1875" t="s">
        <v>676</v>
      </c>
      <c r="D87" s="750">
        <v>70184</v>
      </c>
      <c r="E87" s="749">
        <v>59832</v>
      </c>
      <c r="F87" s="757">
        <v>60747</v>
      </c>
      <c r="G87" s="749">
        <v>63590</v>
      </c>
      <c r="H87" s="754">
        <v>61512</v>
      </c>
      <c r="I87" s="754">
        <v>59500</v>
      </c>
      <c r="J87" s="754">
        <v>57555</v>
      </c>
      <c r="K87" s="756">
        <v>55540</v>
      </c>
      <c r="L87" s="1422">
        <f>IFERROR(AVERAGE(D87:F87),0)</f>
        <v>63587.666666666664</v>
      </c>
      <c r="M87" s="742"/>
    </row>
    <row r="88" spans="1:13">
      <c r="A88" s="5109"/>
      <c r="B88" s="4281" t="s">
        <v>1148</v>
      </c>
      <c r="C88" s="1875" t="s">
        <v>676</v>
      </c>
      <c r="D88" s="750">
        <v>3278</v>
      </c>
      <c r="E88" s="749">
        <v>2794</v>
      </c>
      <c r="F88" s="757">
        <v>2823</v>
      </c>
      <c r="G88" s="749">
        <v>2950</v>
      </c>
      <c r="H88" s="745">
        <v>2945</v>
      </c>
      <c r="I88" s="745">
        <v>2940</v>
      </c>
      <c r="J88" s="745">
        <v>2935</v>
      </c>
      <c r="K88" s="744">
        <v>2930</v>
      </c>
      <c r="L88" s="1422">
        <f>IFERROR(AVERAGE(D88:F88),0)</f>
        <v>2965</v>
      </c>
      <c r="M88" s="742"/>
    </row>
    <row r="89" spans="1:13">
      <c r="A89" s="5109"/>
      <c r="B89" s="4285" t="s">
        <v>1149</v>
      </c>
      <c r="C89" s="1919" t="s">
        <v>676</v>
      </c>
      <c r="D89" s="4246">
        <v>167</v>
      </c>
      <c r="E89" s="4249">
        <v>142</v>
      </c>
      <c r="F89" s="4248">
        <v>158</v>
      </c>
      <c r="G89" s="4247">
        <v>155</v>
      </c>
      <c r="H89" s="4249">
        <v>150</v>
      </c>
      <c r="I89" s="4249">
        <v>145</v>
      </c>
      <c r="J89" s="745">
        <v>143</v>
      </c>
      <c r="K89" s="4250">
        <v>141</v>
      </c>
      <c r="L89" s="1422">
        <f>IFERROR(AVERAGE(D89:F89),0)</f>
        <v>155.66666666666666</v>
      </c>
      <c r="M89" s="742"/>
    </row>
    <row r="90" spans="1:13" ht="13.5" thickBot="1">
      <c r="A90" s="5110"/>
      <c r="B90" s="4286" t="s">
        <v>1771</v>
      </c>
      <c r="C90" s="4292" t="s">
        <v>676</v>
      </c>
      <c r="D90" s="4253"/>
      <c r="E90" s="4254"/>
      <c r="F90" s="4257"/>
      <c r="G90" s="4272">
        <f>G86-G87-G88-G89</f>
        <v>0</v>
      </c>
      <c r="H90" s="4268">
        <f>H86-H87-H88-H89</f>
        <v>0</v>
      </c>
      <c r="I90" s="4268">
        <f>I86-I87-I88-I89</f>
        <v>0</v>
      </c>
      <c r="J90" s="4273">
        <f>J86-J87-J88-J89</f>
        <v>0</v>
      </c>
      <c r="K90" s="4271">
        <f>K86-K87-K88-K89</f>
        <v>0</v>
      </c>
      <c r="L90" s="4255"/>
      <c r="M90" s="4299"/>
    </row>
    <row r="91" spans="1:13" ht="15.75">
      <c r="A91" s="5116" t="s">
        <v>1136</v>
      </c>
      <c r="B91" s="4276" t="s">
        <v>1308</v>
      </c>
      <c r="C91" s="1871" t="s">
        <v>1429</v>
      </c>
      <c r="D91" s="1015"/>
      <c r="E91" s="1016"/>
      <c r="F91" s="1017"/>
      <c r="G91" s="1018">
        <f>L91</f>
        <v>3537536.6666666665</v>
      </c>
      <c r="H91" s="1019">
        <f>(G91+(H79)*G91)</f>
        <v>3421905.1569519248</v>
      </c>
      <c r="I91" s="1019">
        <f>(H91+(I79)*H91)</f>
        <v>3310084.2791940952</v>
      </c>
      <c r="J91" s="1019">
        <f>(I91+(J79)*I91)</f>
        <v>3201904.6719728704</v>
      </c>
      <c r="K91" s="1019">
        <f>(J91+(K79)*J91)</f>
        <v>3089787.411729503</v>
      </c>
      <c r="L91" s="5139">
        <f>IFERROR(AVERAGE(D95:F95),0)</f>
        <v>3537536.6666666665</v>
      </c>
      <c r="M91" s="4287"/>
    </row>
    <row r="92" spans="1:13">
      <c r="A92" s="5117"/>
      <c r="B92" s="4277" t="s">
        <v>1165</v>
      </c>
      <c r="C92" s="1872" t="s">
        <v>170</v>
      </c>
      <c r="D92" s="1020"/>
      <c r="E92" s="1021"/>
      <c r="F92" s="4243"/>
      <c r="G92" s="1022"/>
      <c r="H92" s="1023">
        <f>IFERROR((H91-G91)/G91,0)</f>
        <v>-3.2687013764213062E-2</v>
      </c>
      <c r="I92" s="1023">
        <f>IFERROR((I91-H91)/H91,0)</f>
        <v>-3.2677959390737317E-2</v>
      </c>
      <c r="J92" s="1023">
        <f>IFERROR((J91-I91)/I91,0)</f>
        <v>-3.2681828647445572E-2</v>
      </c>
      <c r="K92" s="1024">
        <f>IFERROR((K91-J91)/J91,0)</f>
        <v>-3.5015802070798616E-2</v>
      </c>
      <c r="L92" s="5140"/>
      <c r="M92" s="4287"/>
    </row>
    <row r="93" spans="1:13" ht="25.5">
      <c r="A93" s="5118"/>
      <c r="B93" s="4278" t="s">
        <v>1309</v>
      </c>
      <c r="C93" s="1882" t="s">
        <v>1429</v>
      </c>
      <c r="D93" s="1031"/>
      <c r="E93" s="1032"/>
      <c r="F93" s="1033"/>
      <c r="G93" s="749"/>
      <c r="H93" s="745"/>
      <c r="I93" s="745"/>
      <c r="J93" s="745"/>
      <c r="K93" s="744"/>
      <c r="L93" s="5140"/>
      <c r="M93" s="742"/>
    </row>
    <row r="94" spans="1:13" ht="25.5">
      <c r="A94" s="5119"/>
      <c r="B94" s="4274" t="s">
        <v>1773</v>
      </c>
      <c r="C94" s="1882" t="s">
        <v>1429</v>
      </c>
      <c r="D94" s="1031"/>
      <c r="E94" s="1032"/>
      <c r="F94" s="1033"/>
      <c r="G94" s="4265">
        <f>G93</f>
        <v>0</v>
      </c>
      <c r="H94" s="4266">
        <f>SUM(G93:H93)</f>
        <v>0</v>
      </c>
      <c r="I94" s="4266">
        <f>SUM(G93:I93)</f>
        <v>0</v>
      </c>
      <c r="J94" s="4266">
        <f>SUM(G93:J93)</f>
        <v>0</v>
      </c>
      <c r="K94" s="4266">
        <f>SUM(G93:K93)</f>
        <v>0</v>
      </c>
      <c r="L94" s="5140"/>
      <c r="M94" s="4287"/>
    </row>
    <row r="95" spans="1:13" ht="16.5" thickBot="1">
      <c r="A95" s="5120"/>
      <c r="B95" s="4283" t="s">
        <v>1028</v>
      </c>
      <c r="C95" s="1887" t="s">
        <v>1429</v>
      </c>
      <c r="D95" s="1981">
        <v>3347126</v>
      </c>
      <c r="E95" s="1982">
        <v>3448344</v>
      </c>
      <c r="F95" s="1983">
        <v>3817140</v>
      </c>
      <c r="G95" s="4259">
        <f>G91+G94</f>
        <v>3537536.6666666665</v>
      </c>
      <c r="H95" s="4259">
        <f t="shared" ref="H95:K95" si="20">H91+H94</f>
        <v>3421905.1569519248</v>
      </c>
      <c r="I95" s="4259">
        <f t="shared" si="20"/>
        <v>3310084.2791940952</v>
      </c>
      <c r="J95" s="4259">
        <f t="shared" si="20"/>
        <v>3201904.6719728704</v>
      </c>
      <c r="K95" s="4259">
        <f t="shared" si="20"/>
        <v>3089787.411729503</v>
      </c>
      <c r="L95" s="5141"/>
      <c r="M95" s="742"/>
    </row>
    <row r="96" spans="1:13" ht="15.75">
      <c r="A96" s="5116" t="s">
        <v>1138</v>
      </c>
      <c r="B96" s="4276" t="s">
        <v>1310</v>
      </c>
      <c r="C96" s="1882" t="s">
        <v>1429</v>
      </c>
      <c r="D96" s="1015"/>
      <c r="E96" s="1016"/>
      <c r="F96" s="1017"/>
      <c r="G96" s="1018">
        <f>L96</f>
        <v>1418168.6666666667</v>
      </c>
      <c r="H96" s="748">
        <v>1389805</v>
      </c>
      <c r="I96" s="748">
        <v>1362010</v>
      </c>
      <c r="J96" s="748">
        <v>1334770</v>
      </c>
      <c r="K96" s="747">
        <v>130810</v>
      </c>
      <c r="L96" s="5139">
        <f>IFERROR(AVERAGE(D99:F99),0)</f>
        <v>1418168.6666666667</v>
      </c>
      <c r="M96" s="743"/>
    </row>
    <row r="97" spans="1:13" ht="25.5">
      <c r="A97" s="5118"/>
      <c r="B97" s="4278" t="s">
        <v>1309</v>
      </c>
      <c r="C97" s="1882" t="s">
        <v>1429</v>
      </c>
      <c r="D97" s="1031"/>
      <c r="E97" s="1032"/>
      <c r="F97" s="1033"/>
      <c r="G97" s="749"/>
      <c r="H97" s="745"/>
      <c r="I97" s="745"/>
      <c r="J97" s="745"/>
      <c r="K97" s="744"/>
      <c r="L97" s="5140"/>
      <c r="M97" s="742"/>
    </row>
    <row r="98" spans="1:13" ht="25.5">
      <c r="A98" s="5119"/>
      <c r="B98" s="4274" t="s">
        <v>1773</v>
      </c>
      <c r="C98" s="1904" t="s">
        <v>1429</v>
      </c>
      <c r="D98" s="1031"/>
      <c r="E98" s="1032"/>
      <c r="F98" s="1033"/>
      <c r="G98" s="4265">
        <f>G97</f>
        <v>0</v>
      </c>
      <c r="H98" s="4266">
        <f>SUM(G97:H97)</f>
        <v>0</v>
      </c>
      <c r="I98" s="4266">
        <f>SUM(G97:I97)</f>
        <v>0</v>
      </c>
      <c r="J98" s="4266">
        <f>SUM(G97:J97)</f>
        <v>0</v>
      </c>
      <c r="K98" s="4266">
        <f>SUM(G97:K97)</f>
        <v>0</v>
      </c>
      <c r="L98" s="5140"/>
      <c r="M98" s="4287"/>
    </row>
    <row r="99" spans="1:13" ht="16.5" thickBot="1">
      <c r="A99" s="5120"/>
      <c r="B99" s="4279" t="s">
        <v>1028</v>
      </c>
      <c r="C99" s="1886" t="s">
        <v>1429</v>
      </c>
      <c r="D99" s="1984">
        <v>1425074</v>
      </c>
      <c r="E99" s="4294">
        <v>1532985</v>
      </c>
      <c r="F99" s="1986">
        <v>1296447</v>
      </c>
      <c r="G99" s="4264">
        <f>G96+G98</f>
        <v>1418168.6666666667</v>
      </c>
      <c r="H99" s="4264">
        <f t="shared" ref="H99:K99" si="21">H96+H98</f>
        <v>1389805</v>
      </c>
      <c r="I99" s="4264">
        <f t="shared" si="21"/>
        <v>1362010</v>
      </c>
      <c r="J99" s="4264">
        <f t="shared" si="21"/>
        <v>1334770</v>
      </c>
      <c r="K99" s="4264">
        <f t="shared" si="21"/>
        <v>130810</v>
      </c>
      <c r="L99" s="5140"/>
      <c r="M99" s="4295"/>
    </row>
    <row r="100" spans="1:13" ht="15.75">
      <c r="A100" s="5117" t="s">
        <v>1139</v>
      </c>
      <c r="B100" s="4282" t="s">
        <v>1310</v>
      </c>
      <c r="C100" s="1871" t="s">
        <v>1429</v>
      </c>
      <c r="D100" s="1015"/>
      <c r="E100" s="1016"/>
      <c r="F100" s="1017"/>
      <c r="G100" s="1018">
        <f>L100</f>
        <v>383229.33333333331</v>
      </c>
      <c r="H100" s="748">
        <v>370950</v>
      </c>
      <c r="I100" s="748">
        <v>358585</v>
      </c>
      <c r="J100" s="748">
        <v>353639</v>
      </c>
      <c r="K100" s="747">
        <v>348693</v>
      </c>
      <c r="L100" s="5139">
        <f>IFERROR(AVERAGE(D103:F103),0)</f>
        <v>383229.33333333331</v>
      </c>
      <c r="M100" s="743"/>
    </row>
    <row r="101" spans="1:13" ht="25.5">
      <c r="A101" s="5118"/>
      <c r="B101" s="4278" t="s">
        <v>1309</v>
      </c>
      <c r="C101" s="1882" t="s">
        <v>1429</v>
      </c>
      <c r="D101" s="1031"/>
      <c r="E101" s="1032"/>
      <c r="F101" s="1033"/>
      <c r="G101" s="749"/>
      <c r="H101" s="745"/>
      <c r="I101" s="745"/>
      <c r="J101" s="745"/>
      <c r="K101" s="744"/>
      <c r="L101" s="5140"/>
      <c r="M101" s="742"/>
    </row>
    <row r="102" spans="1:13" ht="25.5">
      <c r="A102" s="5119"/>
      <c r="B102" s="4274" t="s">
        <v>1773</v>
      </c>
      <c r="C102" s="1904" t="s">
        <v>1429</v>
      </c>
      <c r="D102" s="1031"/>
      <c r="E102" s="1032"/>
      <c r="F102" s="1033"/>
      <c r="G102" s="4265">
        <f>G101</f>
        <v>0</v>
      </c>
      <c r="H102" s="4266">
        <f>SUM(G101:H101)</f>
        <v>0</v>
      </c>
      <c r="I102" s="4266">
        <f>SUM(G101:I101)</f>
        <v>0</v>
      </c>
      <c r="J102" s="4266">
        <f>SUM(G101:J101)</f>
        <v>0</v>
      </c>
      <c r="K102" s="4266">
        <f>SUM(G101:K101)</f>
        <v>0</v>
      </c>
      <c r="L102" s="5140"/>
      <c r="M102" s="4287"/>
    </row>
    <row r="103" spans="1:13" ht="16.5" thickBot="1">
      <c r="A103" s="5119"/>
      <c r="B103" s="4283" t="s">
        <v>1028</v>
      </c>
      <c r="C103" s="1887" t="s">
        <v>1429</v>
      </c>
      <c r="D103" s="1981">
        <v>396751</v>
      </c>
      <c r="E103" s="1982">
        <v>368046</v>
      </c>
      <c r="F103" s="1983">
        <v>384891</v>
      </c>
      <c r="G103" s="4259">
        <f>G100+G102</f>
        <v>383229.33333333331</v>
      </c>
      <c r="H103" s="4259">
        <f t="shared" ref="H103:K103" si="22">H100+H102</f>
        <v>370950</v>
      </c>
      <c r="I103" s="4259">
        <f t="shared" si="22"/>
        <v>358585</v>
      </c>
      <c r="J103" s="4259">
        <f t="shared" si="22"/>
        <v>353639</v>
      </c>
      <c r="K103" s="4259">
        <f t="shared" si="22"/>
        <v>348693</v>
      </c>
      <c r="L103" s="5141"/>
      <c r="M103" s="741"/>
    </row>
    <row r="104" spans="1:13" ht="15.75">
      <c r="A104" s="5160" t="s">
        <v>1150</v>
      </c>
      <c r="B104" s="4276" t="s">
        <v>1310</v>
      </c>
      <c r="C104" s="1903" t="s">
        <v>1429</v>
      </c>
      <c r="D104" s="1015"/>
      <c r="E104" s="1016"/>
      <c r="F104" s="1017"/>
      <c r="G104" s="1025">
        <f>G91+G96+G100</f>
        <v>5338934.666666666</v>
      </c>
      <c r="H104" s="1026">
        <f>H91+H96+H100</f>
        <v>5182660.1569519248</v>
      </c>
      <c r="I104" s="1026">
        <f>I91+I96+I100</f>
        <v>5030679.2791940952</v>
      </c>
      <c r="J104" s="1026">
        <f>J91+J96+J100</f>
        <v>4890313.6719728708</v>
      </c>
      <c r="K104" s="1027">
        <f>K91+K96+K100</f>
        <v>3569290.411729503</v>
      </c>
      <c r="L104" s="5139">
        <f>IFERROR(AVERAGE(D107:F107),0)</f>
        <v>5338934.666666667</v>
      </c>
      <c r="M104" s="4300"/>
    </row>
    <row r="105" spans="1:13" ht="25.5">
      <c r="A105" s="5161"/>
      <c r="B105" s="4278" t="s">
        <v>1309</v>
      </c>
      <c r="C105" s="1904" t="s">
        <v>1429</v>
      </c>
      <c r="D105" s="1031"/>
      <c r="E105" s="1032"/>
      <c r="F105" s="1033"/>
      <c r="G105" s="1028">
        <f t="shared" ref="G105:K106" si="23">G93+G97+G101</f>
        <v>0</v>
      </c>
      <c r="H105" s="1029">
        <f t="shared" si="23"/>
        <v>0</v>
      </c>
      <c r="I105" s="1029">
        <f t="shared" si="23"/>
        <v>0</v>
      </c>
      <c r="J105" s="1029">
        <f t="shared" si="23"/>
        <v>0</v>
      </c>
      <c r="K105" s="1030">
        <f t="shared" si="23"/>
        <v>0</v>
      </c>
      <c r="L105" s="5140"/>
      <c r="M105" s="4287"/>
    </row>
    <row r="106" spans="1:13" ht="25.5">
      <c r="A106" s="5161"/>
      <c r="B106" s="4274" t="s">
        <v>1773</v>
      </c>
      <c r="C106" s="1904" t="s">
        <v>1429</v>
      </c>
      <c r="D106" s="1031"/>
      <c r="E106" s="1032"/>
      <c r="F106" s="1033"/>
      <c r="G106" s="4261">
        <f t="shared" si="23"/>
        <v>0</v>
      </c>
      <c r="H106" s="4262">
        <f t="shared" si="23"/>
        <v>0</v>
      </c>
      <c r="I106" s="4262">
        <f t="shared" si="23"/>
        <v>0</v>
      </c>
      <c r="J106" s="4262">
        <f t="shared" si="23"/>
        <v>0</v>
      </c>
      <c r="K106" s="4263">
        <f t="shared" si="23"/>
        <v>0</v>
      </c>
      <c r="L106" s="5140"/>
      <c r="M106" s="4287"/>
    </row>
    <row r="107" spans="1:13" ht="15.75">
      <c r="A107" s="5161"/>
      <c r="B107" s="1878" t="s">
        <v>1028</v>
      </c>
      <c r="C107" s="1904" t="s">
        <v>1429</v>
      </c>
      <c r="D107" s="1880">
        <f>D95+D99+D103</f>
        <v>5168951</v>
      </c>
      <c r="E107" s="1881">
        <f>E95+E99+E103</f>
        <v>5349375</v>
      </c>
      <c r="F107" s="1036">
        <f>F95+F99+F103</f>
        <v>5498478</v>
      </c>
      <c r="G107" s="4260">
        <f>G104+G106</f>
        <v>5338934.666666666</v>
      </c>
      <c r="H107" s="4260">
        <f t="shared" ref="H107:K107" si="24">H104+H106</f>
        <v>5182660.1569519248</v>
      </c>
      <c r="I107" s="4260">
        <f t="shared" si="24"/>
        <v>5030679.2791940952</v>
      </c>
      <c r="J107" s="4260">
        <f t="shared" si="24"/>
        <v>4890313.6719728708</v>
      </c>
      <c r="K107" s="4260">
        <f t="shared" si="24"/>
        <v>3569290.411729503</v>
      </c>
      <c r="L107" s="5143"/>
      <c r="M107" s="4287"/>
    </row>
    <row r="108" spans="1:13" ht="13.5" thickBot="1">
      <c r="A108" s="1906" t="s">
        <v>1151</v>
      </c>
      <c r="E108" s="1897"/>
      <c r="F108" s="1897"/>
      <c r="G108" s="1897"/>
      <c r="H108" s="1897"/>
      <c r="I108" s="1897"/>
      <c r="J108" s="1897"/>
      <c r="K108" s="1897"/>
      <c r="L108" s="1897"/>
      <c r="M108" s="1897"/>
    </row>
    <row r="109" spans="1:13" ht="26.25" hidden="1" thickBot="1">
      <c r="A109" s="1907" t="s">
        <v>82</v>
      </c>
      <c r="B109" s="1908" t="s">
        <v>1129</v>
      </c>
      <c r="C109" s="1870" t="s">
        <v>166</v>
      </c>
      <c r="D109" s="1900" t="str">
        <f t="shared" ref="D109:K109" si="25">D7</f>
        <v xml:space="preserve">2023 г. </v>
      </c>
      <c r="E109" s="1901" t="str">
        <f t="shared" si="25"/>
        <v xml:space="preserve">2024 г. </v>
      </c>
      <c r="F109" s="1902" t="str">
        <f t="shared" si="25"/>
        <v xml:space="preserve">2025 г. </v>
      </c>
      <c r="G109" s="1901" t="str">
        <f t="shared" si="25"/>
        <v>2027 г.</v>
      </c>
      <c r="H109" s="1901" t="str">
        <f t="shared" si="25"/>
        <v>2028 г.</v>
      </c>
      <c r="I109" s="1901" t="str">
        <f t="shared" si="25"/>
        <v>2029 г.</v>
      </c>
      <c r="J109" s="1901" t="str">
        <f t="shared" si="25"/>
        <v>2030 г.</v>
      </c>
      <c r="K109" s="1901" t="str">
        <f t="shared" si="25"/>
        <v>2031 г.</v>
      </c>
      <c r="L109" s="1909"/>
      <c r="M109" s="4244" t="s">
        <v>1130</v>
      </c>
    </row>
    <row r="110" spans="1:13">
      <c r="A110" s="5116" t="s">
        <v>1439</v>
      </c>
      <c r="B110" s="1910" t="s">
        <v>210</v>
      </c>
      <c r="C110" s="1871" t="s">
        <v>1433</v>
      </c>
      <c r="D110" s="1911">
        <f t="shared" ref="D110:K110" si="26">IFERROR((D26/D13/365)*1000,0)</f>
        <v>106.70958337796131</v>
      </c>
      <c r="E110" s="1025">
        <f t="shared" si="26"/>
        <v>112.65103731014615</v>
      </c>
      <c r="F110" s="1912">
        <f t="shared" si="26"/>
        <v>116.68319779985397</v>
      </c>
      <c r="G110" s="1025">
        <f t="shared" si="26"/>
        <v>119.60825360384199</v>
      </c>
      <c r="H110" s="1026">
        <f t="shared" si="26"/>
        <v>119.60825360384199</v>
      </c>
      <c r="I110" s="1026">
        <f t="shared" si="26"/>
        <v>119.60825360384199</v>
      </c>
      <c r="J110" s="1026">
        <f t="shared" si="26"/>
        <v>119.60825360384199</v>
      </c>
      <c r="K110" s="1026">
        <f t="shared" si="26"/>
        <v>119.60825360384199</v>
      </c>
      <c r="L110" s="1913"/>
      <c r="M110" s="743"/>
    </row>
    <row r="111" spans="1:13">
      <c r="A111" s="5118"/>
      <c r="B111" s="1914" t="s">
        <v>174</v>
      </c>
      <c r="C111" s="1875" t="s">
        <v>1433</v>
      </c>
      <c r="D111" s="1915">
        <f t="shared" ref="D111:K111" si="27">IFERROR((D62/D49/365)*1000,0)</f>
        <v>103.06752315713869</v>
      </c>
      <c r="E111" s="1028">
        <f t="shared" si="27"/>
        <v>107.6056460207592</v>
      </c>
      <c r="F111" s="1916">
        <f t="shared" si="27"/>
        <v>122.69573172838091</v>
      </c>
      <c r="G111" s="1028">
        <f t="shared" si="27"/>
        <v>118.49868698075898</v>
      </c>
      <c r="H111" s="1029">
        <f t="shared" si="27"/>
        <v>118.49868698075898</v>
      </c>
      <c r="I111" s="1029">
        <f t="shared" si="27"/>
        <v>118.49868698075898</v>
      </c>
      <c r="J111" s="1029">
        <f t="shared" si="27"/>
        <v>118.49868698075898</v>
      </c>
      <c r="K111" s="1029">
        <f t="shared" si="27"/>
        <v>118.49868698075898</v>
      </c>
      <c r="L111" s="1917"/>
      <c r="M111" s="742"/>
    </row>
    <row r="112" spans="1:13" ht="13.5" thickBot="1">
      <c r="A112" s="5119"/>
      <c r="B112" s="1918" t="s">
        <v>184</v>
      </c>
      <c r="C112" s="1919" t="s">
        <v>1433</v>
      </c>
      <c r="D112" s="1920">
        <f t="shared" ref="D112:K112" si="28">IFERROR((D95/D82/365)*1000,0)</f>
        <v>102.68300247663183</v>
      </c>
      <c r="E112" s="1921">
        <f t="shared" si="28"/>
        <v>105.78816438110739</v>
      </c>
      <c r="F112" s="1922">
        <f t="shared" si="28"/>
        <v>117.1020738608736</v>
      </c>
      <c r="G112" s="1921">
        <f t="shared" si="28"/>
        <v>116.00097281315153</v>
      </c>
      <c r="H112" s="1923">
        <f t="shared" si="28"/>
        <v>116.00097281315153</v>
      </c>
      <c r="I112" s="1923">
        <f t="shared" si="28"/>
        <v>116.00097281315153</v>
      </c>
      <c r="J112" s="1923">
        <f t="shared" si="28"/>
        <v>116.00097281315153</v>
      </c>
      <c r="K112" s="1923">
        <f t="shared" si="28"/>
        <v>116.00097281315153</v>
      </c>
      <c r="L112" s="1924"/>
      <c r="M112" s="741"/>
    </row>
    <row r="113" spans="1:13" ht="28.5">
      <c r="A113" s="5116" t="s">
        <v>1440</v>
      </c>
      <c r="B113" s="1910" t="s">
        <v>210</v>
      </c>
      <c r="C113" s="1925" t="s">
        <v>1432</v>
      </c>
      <c r="D113" s="1926">
        <f t="shared" ref="D113:K113" si="29">IFERROR((D26/D18/12),0)</f>
        <v>6.3056234540957368</v>
      </c>
      <c r="E113" s="1927">
        <f t="shared" si="29"/>
        <v>6.3058012820512817</v>
      </c>
      <c r="F113" s="1928">
        <f t="shared" si="29"/>
        <v>6.4056237613684672</v>
      </c>
      <c r="G113" s="1927">
        <f t="shared" si="29"/>
        <v>6.3401073208915255</v>
      </c>
      <c r="H113" s="1929">
        <f t="shared" si="29"/>
        <v>6.3279883216654866</v>
      </c>
      <c r="I113" s="1929">
        <f t="shared" si="29"/>
        <v>6.3150955721394624</v>
      </c>
      <c r="J113" s="1929">
        <f t="shared" si="29"/>
        <v>6.3014233036193739</v>
      </c>
      <c r="K113" s="1929">
        <f t="shared" si="29"/>
        <v>6.2336463289431903</v>
      </c>
      <c r="L113" s="1913"/>
      <c r="M113" s="743"/>
    </row>
    <row r="114" spans="1:13" ht="28.5">
      <c r="A114" s="5118"/>
      <c r="B114" s="1914" t="s">
        <v>174</v>
      </c>
      <c r="C114" s="1930" t="s">
        <v>1432</v>
      </c>
      <c r="D114" s="1931">
        <f t="shared" ref="D114:K114" si="30">IFERROR((D62/D54/12),0)</f>
        <v>4.9987178847592917</v>
      </c>
      <c r="E114" s="1932">
        <f t="shared" si="30"/>
        <v>5.8865542750817808</v>
      </c>
      <c r="F114" s="1933">
        <f t="shared" si="30"/>
        <v>6.6177672118535611</v>
      </c>
      <c r="G114" s="1932">
        <f t="shared" si="30"/>
        <v>5.803851604322765</v>
      </c>
      <c r="H114" s="1934">
        <f t="shared" si="30"/>
        <v>5.8040504413329499</v>
      </c>
      <c r="I114" s="1934">
        <f t="shared" si="30"/>
        <v>5.8042455888861779</v>
      </c>
      <c r="J114" s="1934">
        <f t="shared" si="30"/>
        <v>5.8042909345307132</v>
      </c>
      <c r="K114" s="1934">
        <f t="shared" si="30"/>
        <v>5.7204835273338324</v>
      </c>
      <c r="L114" s="1917"/>
      <c r="M114" s="742"/>
    </row>
    <row r="115" spans="1:13" ht="29.25" thickBot="1">
      <c r="A115" s="5120"/>
      <c r="B115" s="1935" t="s">
        <v>184</v>
      </c>
      <c r="C115" s="1882" t="s">
        <v>1432</v>
      </c>
      <c r="D115" s="1936">
        <f t="shared" ref="D115:K115" si="31">IFERROR((D95/D87/12),0)</f>
        <v>3.9742272692731486</v>
      </c>
      <c r="E115" s="1937">
        <f t="shared" si="31"/>
        <v>4.8028145473993851</v>
      </c>
      <c r="F115" s="1938">
        <f t="shared" si="31"/>
        <v>5.236390274416844</v>
      </c>
      <c r="G115" s="1937">
        <f t="shared" si="31"/>
        <v>4.6358660516153831</v>
      </c>
      <c r="H115" s="1939">
        <f t="shared" si="31"/>
        <v>4.6358233040598105</v>
      </c>
      <c r="I115" s="1939">
        <f t="shared" si="31"/>
        <v>4.6359723798236629</v>
      </c>
      <c r="J115" s="1939">
        <f t="shared" si="31"/>
        <v>4.63600711199848</v>
      </c>
      <c r="K115" s="1939">
        <f t="shared" si="31"/>
        <v>4.6359791917679489</v>
      </c>
      <c r="L115" s="1924"/>
      <c r="M115" s="741"/>
    </row>
    <row r="116" spans="1:13" ht="28.5">
      <c r="A116" s="5117" t="s">
        <v>1441</v>
      </c>
      <c r="B116" s="1940" t="s">
        <v>210</v>
      </c>
      <c r="C116" s="1925" t="s">
        <v>1432</v>
      </c>
      <c r="D116" s="1911">
        <f t="shared" ref="D116:K116" si="32">IFERROR((D30/D19/12),0)</f>
        <v>28.809943003429453</v>
      </c>
      <c r="E116" s="1025">
        <f t="shared" si="32"/>
        <v>28.702364633310484</v>
      </c>
      <c r="F116" s="1912">
        <f t="shared" si="32"/>
        <v>28.797692721646712</v>
      </c>
      <c r="G116" s="1025">
        <f t="shared" si="32"/>
        <v>28.029478228228228</v>
      </c>
      <c r="H116" s="1026">
        <f t="shared" si="32"/>
        <v>27.167986910403972</v>
      </c>
      <c r="I116" s="1026">
        <f t="shared" si="32"/>
        <v>26.404750566893426</v>
      </c>
      <c r="J116" s="1026">
        <f t="shared" si="32"/>
        <v>25.716244292237445</v>
      </c>
      <c r="K116" s="1026">
        <f t="shared" si="32"/>
        <v>24.987333333333336</v>
      </c>
      <c r="L116" s="1913"/>
      <c r="M116" s="743"/>
    </row>
    <row r="117" spans="1:13" ht="28.5">
      <c r="A117" s="5118"/>
      <c r="B117" s="1914" t="s">
        <v>174</v>
      </c>
      <c r="C117" s="1930" t="s">
        <v>1432</v>
      </c>
      <c r="D117" s="1915">
        <f t="shared" ref="D117:K117" si="33">IFERROR((D66/D55/12),0)</f>
        <v>35.885769176536947</v>
      </c>
      <c r="E117" s="1028">
        <f t="shared" si="33"/>
        <v>52.34818087731869</v>
      </c>
      <c r="F117" s="1916">
        <f t="shared" si="33"/>
        <v>47.660113020955968</v>
      </c>
      <c r="G117" s="1028">
        <f t="shared" si="33"/>
        <v>44.997127092846277</v>
      </c>
      <c r="H117" s="1029">
        <f t="shared" si="33"/>
        <v>43.575466666666671</v>
      </c>
      <c r="I117" s="1029">
        <f t="shared" si="33"/>
        <v>42.198779557589624</v>
      </c>
      <c r="J117" s="1029">
        <f t="shared" si="33"/>
        <v>24.219755600814665</v>
      </c>
      <c r="K117" s="1029">
        <f t="shared" si="33"/>
        <v>23.387941576086956</v>
      </c>
      <c r="L117" s="1917"/>
      <c r="M117" s="742"/>
    </row>
    <row r="118" spans="1:13" ht="29.25" thickBot="1">
      <c r="A118" s="5120"/>
      <c r="B118" s="1935" t="s">
        <v>184</v>
      </c>
      <c r="C118" s="1882" t="s">
        <v>1432</v>
      </c>
      <c r="D118" s="1920">
        <f>IFERROR((D99/D88/12),0)</f>
        <v>36.228238763473662</v>
      </c>
      <c r="E118" s="1921">
        <f t="shared" ref="E118:K118" si="34">IFERROR((E99/E88/12),0)</f>
        <v>45.72253042233357</v>
      </c>
      <c r="F118" s="1922">
        <f t="shared" si="34"/>
        <v>38.270368402408785</v>
      </c>
      <c r="G118" s="1921">
        <f t="shared" si="34"/>
        <v>40.061261770244819</v>
      </c>
      <c r="H118" s="1923">
        <f t="shared" si="34"/>
        <v>39.326683644595356</v>
      </c>
      <c r="I118" s="1923">
        <f t="shared" si="34"/>
        <v>38.605725623582764</v>
      </c>
      <c r="J118" s="1923">
        <f t="shared" si="34"/>
        <v>37.898069278818852</v>
      </c>
      <c r="K118" s="1923">
        <f t="shared" si="34"/>
        <v>3.7204209328782709</v>
      </c>
      <c r="L118" s="1924"/>
      <c r="M118" s="741"/>
    </row>
    <row r="119" spans="1:13" ht="28.5">
      <c r="A119" s="5116" t="s">
        <v>1442</v>
      </c>
      <c r="B119" s="1910" t="s">
        <v>210</v>
      </c>
      <c r="C119" s="1925" t="s">
        <v>1432</v>
      </c>
      <c r="D119" s="1911">
        <f t="shared" ref="D119:K119" si="35">IFERROR((D34/D20/12),0)</f>
        <v>90.795805739514336</v>
      </c>
      <c r="E119" s="1025">
        <f t="shared" si="35"/>
        <v>90.821577847439926</v>
      </c>
      <c r="F119" s="1912">
        <f t="shared" si="35"/>
        <v>79.667948717948718</v>
      </c>
      <c r="G119" s="1025">
        <f t="shared" si="35"/>
        <v>84.39435897435898</v>
      </c>
      <c r="H119" s="1026">
        <f t="shared" si="35"/>
        <v>84.394186046511621</v>
      </c>
      <c r="I119" s="1026">
        <f t="shared" si="35"/>
        <v>84.394140624999991</v>
      </c>
      <c r="J119" s="1026">
        <f t="shared" si="35"/>
        <v>84.394225721784778</v>
      </c>
      <c r="K119" s="1026">
        <f t="shared" si="35"/>
        <v>84.394179894179885</v>
      </c>
      <c r="L119" s="1913"/>
      <c r="M119" s="743"/>
    </row>
    <row r="120" spans="1:13" ht="28.5">
      <c r="A120" s="5118"/>
      <c r="B120" s="1914" t="s">
        <v>174</v>
      </c>
      <c r="C120" s="1930" t="s">
        <v>1432</v>
      </c>
      <c r="D120" s="1915">
        <f t="shared" ref="D120:K120" si="36">IFERROR((D70/D56/12),0)</f>
        <v>159.39072847682118</v>
      </c>
      <c r="E120" s="1028">
        <f t="shared" si="36"/>
        <v>247.35355191256829</v>
      </c>
      <c r="F120" s="1916">
        <f t="shared" si="36"/>
        <v>88.854638619201737</v>
      </c>
      <c r="G120" s="1028">
        <f t="shared" si="36"/>
        <v>164.41588419405321</v>
      </c>
      <c r="H120" s="1029">
        <f t="shared" si="36"/>
        <v>164.41666666666666</v>
      </c>
      <c r="I120" s="1029">
        <f t="shared" si="36"/>
        <v>164.41666666666666</v>
      </c>
      <c r="J120" s="1029">
        <f t="shared" si="36"/>
        <v>164.41666666666666</v>
      </c>
      <c r="K120" s="1029">
        <f t="shared" si="36"/>
        <v>164.41666666666666</v>
      </c>
      <c r="L120" s="1917"/>
      <c r="M120" s="742"/>
    </row>
    <row r="121" spans="1:13" ht="29.25" thickBot="1">
      <c r="A121" s="5119"/>
      <c r="B121" s="1918" t="s">
        <v>184</v>
      </c>
      <c r="C121" s="1882" t="s">
        <v>1432</v>
      </c>
      <c r="D121" s="1920">
        <f>IFERROR((D103/D89/12),0)</f>
        <v>197.97954091816368</v>
      </c>
      <c r="E121" s="1921">
        <f t="shared" ref="E121:K121" si="37">IFERROR((E103/E89/12),0)</f>
        <v>215.9894366197183</v>
      </c>
      <c r="F121" s="1922">
        <f t="shared" si="37"/>
        <v>203.00158227848101</v>
      </c>
      <c r="G121" s="1921">
        <f t="shared" si="37"/>
        <v>206.03727598566309</v>
      </c>
      <c r="H121" s="1923">
        <f t="shared" si="37"/>
        <v>206.08333333333334</v>
      </c>
      <c r="I121" s="1923">
        <f t="shared" si="37"/>
        <v>206.08333333333334</v>
      </c>
      <c r="J121" s="1923">
        <f t="shared" si="37"/>
        <v>206.08333333333334</v>
      </c>
      <c r="K121" s="1923">
        <f t="shared" si="37"/>
        <v>206.08333333333334</v>
      </c>
      <c r="L121" s="1924"/>
      <c r="M121" s="741"/>
    </row>
    <row r="122" spans="1:13" ht="29.25" thickBot="1">
      <c r="A122" s="1941" t="s">
        <v>1443</v>
      </c>
      <c r="B122" s="1942" t="s">
        <v>210</v>
      </c>
      <c r="C122" s="1943" t="s">
        <v>1432</v>
      </c>
      <c r="D122" s="1944"/>
      <c r="E122" s="1945"/>
      <c r="F122" s="4291"/>
      <c r="G122" s="1946">
        <f>IFERROR(G38/12,0)</f>
        <v>0</v>
      </c>
      <c r="H122" s="1947">
        <f>IFERROR(H38/12,0)</f>
        <v>4166.666666666667</v>
      </c>
      <c r="I122" s="1947">
        <f>IFERROR(I38/12,0)</f>
        <v>2500</v>
      </c>
      <c r="J122" s="1947">
        <f>IFERROR(J38/12,0)</f>
        <v>3333.3333333333335</v>
      </c>
      <c r="K122" s="1947">
        <f>IFERROR(K38/12,0)</f>
        <v>3750</v>
      </c>
      <c r="L122" s="1948"/>
      <c r="M122" s="740"/>
    </row>
    <row r="123" spans="1:13" ht="13.5" thickBot="1"/>
    <row r="124" spans="1:13" s="1896" customFormat="1" ht="33" customHeight="1">
      <c r="A124" s="5111" t="s">
        <v>849</v>
      </c>
      <c r="B124" s="1949" t="s">
        <v>1168</v>
      </c>
      <c r="C124" s="1950" t="s">
        <v>170</v>
      </c>
      <c r="D124" s="1951">
        <f t="shared" ref="D124:K124" si="38">IFERROR(D49/D13,0)</f>
        <v>0.79790399728388406</v>
      </c>
      <c r="E124" s="1952">
        <f t="shared" si="38"/>
        <v>0.79521603479247427</v>
      </c>
      <c r="F124" s="1953">
        <f t="shared" si="38"/>
        <v>0.79521603479247427</v>
      </c>
      <c r="G124" s="1952">
        <f t="shared" si="38"/>
        <v>0.79712557778333326</v>
      </c>
      <c r="H124" s="1952">
        <f t="shared" si="38"/>
        <v>0.79715707569217231</v>
      </c>
      <c r="I124" s="1952">
        <f t="shared" si="38"/>
        <v>0.79717922334843583</v>
      </c>
      <c r="J124" s="1952">
        <f t="shared" si="38"/>
        <v>0.79719905734116137</v>
      </c>
      <c r="K124" s="1954">
        <f t="shared" si="38"/>
        <v>0.79725812149043207</v>
      </c>
      <c r="L124" s="1955"/>
    </row>
    <row r="125" spans="1:13" s="1896" customFormat="1" ht="39" thickBot="1">
      <c r="A125" s="5112"/>
      <c r="B125" s="1956" t="s">
        <v>1169</v>
      </c>
      <c r="C125" s="1957" t="s">
        <v>170</v>
      </c>
      <c r="D125" s="1958">
        <f t="shared" ref="D125:K125" si="39">IFERROR(D82/D13,0)</f>
        <v>0.44589237390531539</v>
      </c>
      <c r="E125" s="1959">
        <f t="shared" si="39"/>
        <v>0.44439026089379635</v>
      </c>
      <c r="F125" s="1960">
        <f t="shared" si="39"/>
        <v>0.44439026089379635</v>
      </c>
      <c r="G125" s="1959">
        <f t="shared" si="39"/>
        <v>0.44440780200315955</v>
      </c>
      <c r="H125" s="1959">
        <f t="shared" si="39"/>
        <v>0.44441450606252236</v>
      </c>
      <c r="I125" s="1959">
        <f t="shared" si="39"/>
        <v>0.44442296869404069</v>
      </c>
      <c r="J125" s="1959">
        <f t="shared" si="39"/>
        <v>0.44443073161844648</v>
      </c>
      <c r="K125" s="1961">
        <f t="shared" si="39"/>
        <v>0.44444376773816341</v>
      </c>
      <c r="L125" s="1962"/>
    </row>
    <row r="126" spans="1:13" s="1896" customFormat="1" ht="38.25">
      <c r="A126" s="5111" t="s">
        <v>852</v>
      </c>
      <c r="B126" s="1963" t="s">
        <v>1170</v>
      </c>
      <c r="C126" s="1964" t="s">
        <v>170</v>
      </c>
      <c r="D126" s="1951">
        <f t="shared" ref="D126:K126" si="40">IFERROR(D53/D17,0)</f>
        <v>0.95303797468354434</v>
      </c>
      <c r="E126" s="1952">
        <f t="shared" si="40"/>
        <v>0.79694023033645511</v>
      </c>
      <c r="F126" s="1953">
        <f t="shared" si="40"/>
        <v>0.79275552838925223</v>
      </c>
      <c r="G126" s="1952">
        <f t="shared" si="40"/>
        <v>0.8436384024842577</v>
      </c>
      <c r="H126" s="1952">
        <f t="shared" si="40"/>
        <v>0.84160878293155217</v>
      </c>
      <c r="I126" s="1952">
        <f t="shared" si="40"/>
        <v>0.83962315924265984</v>
      </c>
      <c r="J126" s="1952">
        <f t="shared" si="40"/>
        <v>0.86593704673460548</v>
      </c>
      <c r="K126" s="1954">
        <f t="shared" si="40"/>
        <v>0.86951700463806691</v>
      </c>
      <c r="L126" s="1955"/>
    </row>
    <row r="127" spans="1:13" s="1896" customFormat="1" ht="39" thickBot="1">
      <c r="A127" s="5112"/>
      <c r="B127" s="1965" t="s">
        <v>1171</v>
      </c>
      <c r="C127" s="1957" t="s">
        <v>170</v>
      </c>
      <c r="D127" s="1958">
        <f t="shared" ref="D127:K127" si="41">IFERROR(D86/D17,0)</f>
        <v>0.66572332730560579</v>
      </c>
      <c r="E127" s="1959">
        <f t="shared" si="41"/>
        <v>0.53586948170028936</v>
      </c>
      <c r="F127" s="1960">
        <f t="shared" si="41"/>
        <v>0.53360574064925603</v>
      </c>
      <c r="G127" s="1959">
        <f t="shared" si="41"/>
        <v>0.57530406279651514</v>
      </c>
      <c r="H127" s="1959">
        <f t="shared" si="41"/>
        <v>0.57386615977687372</v>
      </c>
      <c r="I127" s="1959">
        <f t="shared" si="41"/>
        <v>0.57244123296441962</v>
      </c>
      <c r="J127" s="1959">
        <f t="shared" si="41"/>
        <v>0.5710720138640345</v>
      </c>
      <c r="K127" s="1961">
        <f t="shared" si="41"/>
        <v>0.56515953600046287</v>
      </c>
      <c r="L127" s="1966"/>
    </row>
    <row r="128" spans="1:13" s="1896" customFormat="1" ht="25.5">
      <c r="A128" s="5111" t="s">
        <v>1172</v>
      </c>
      <c r="B128" s="1963" t="s">
        <v>1173</v>
      </c>
      <c r="C128" s="1964" t="s">
        <v>170</v>
      </c>
      <c r="D128" s="1951">
        <f t="shared" ref="D128:K128" si="42">IFERROR(D74/D39,0)</f>
        <v>0.82199684716301846</v>
      </c>
      <c r="E128" s="1952">
        <f t="shared" si="42"/>
        <v>0.85538446892906206</v>
      </c>
      <c r="F128" s="1953">
        <f t="shared" si="42"/>
        <v>0.84393173986137981</v>
      </c>
      <c r="G128" s="1952">
        <f t="shared" si="42"/>
        <v>0.84080518942279125</v>
      </c>
      <c r="H128" s="1952">
        <f t="shared" si="42"/>
        <v>0.83695089331130634</v>
      </c>
      <c r="I128" s="1952">
        <f t="shared" si="42"/>
        <v>0.83831836753762723</v>
      </c>
      <c r="J128" s="1952">
        <f t="shared" si="42"/>
        <v>0.83733527556860199</v>
      </c>
      <c r="K128" s="1954">
        <f t="shared" si="42"/>
        <v>0.83674500806650676</v>
      </c>
      <c r="L128" s="1955"/>
    </row>
    <row r="129" spans="1:12" s="1896" customFormat="1" ht="26.25" thickBot="1">
      <c r="A129" s="5113"/>
      <c r="B129" s="1956" t="s">
        <v>1174</v>
      </c>
      <c r="C129" s="1967" t="s">
        <v>170</v>
      </c>
      <c r="D129" s="1968">
        <f t="shared" ref="D129:K129" si="43">IFERROR(D107/D39,0)</f>
        <v>0.47662786233005278</v>
      </c>
      <c r="E129" s="1969">
        <f t="shared" si="43"/>
        <v>0.46633671160382167</v>
      </c>
      <c r="F129" s="1970">
        <f t="shared" si="43"/>
        <v>0.46799795317635573</v>
      </c>
      <c r="G129" s="1969">
        <f t="shared" si="43"/>
        <v>0.47018595044172973</v>
      </c>
      <c r="H129" s="1969">
        <f t="shared" si="43"/>
        <v>0.46901545251000015</v>
      </c>
      <c r="I129" s="1969">
        <f t="shared" si="43"/>
        <v>0.47074174298007859</v>
      </c>
      <c r="J129" s="1969">
        <f t="shared" si="43"/>
        <v>0.47183882097953389</v>
      </c>
      <c r="K129" s="1971">
        <f t="shared" si="43"/>
        <v>0.35603405980162528</v>
      </c>
      <c r="L129" s="1972"/>
    </row>
    <row r="130" spans="1:12" s="1896" customFormat="1">
      <c r="A130" s="1973"/>
      <c r="B130" s="1973"/>
      <c r="C130" s="1973"/>
      <c r="D130" s="1974"/>
      <c r="E130" s="1974"/>
      <c r="F130" s="1974"/>
      <c r="G130" s="1974"/>
      <c r="H130" s="1974"/>
      <c r="I130" s="1974"/>
      <c r="J130" s="1974"/>
      <c r="K130" s="1974"/>
      <c r="L130" s="1975"/>
    </row>
    <row r="132" spans="1:12">
      <c r="A132" s="1976" t="str">
        <f>'Приложение '!B82</f>
        <v>Дата: 15.04.2026 г.</v>
      </c>
      <c r="B132" s="1886"/>
      <c r="C132" s="1886"/>
      <c r="D132" s="1886"/>
      <c r="E132" s="1886"/>
      <c r="F132" s="1977"/>
      <c r="G132" s="1978"/>
      <c r="H132" s="1979"/>
      <c r="I132" s="1977"/>
      <c r="J132" s="1977"/>
    </row>
    <row r="133" spans="1:12">
      <c r="B133" s="1886"/>
      <c r="C133" s="1886"/>
      <c r="D133" s="1886"/>
      <c r="E133" s="1886"/>
      <c r="F133" s="1977"/>
      <c r="G133" s="1978"/>
      <c r="H133" s="1980"/>
      <c r="I133" s="1977"/>
      <c r="J133" s="1977"/>
    </row>
    <row r="134" spans="1:12">
      <c r="B134" s="1886"/>
      <c r="C134" s="1886"/>
      <c r="D134" s="1886"/>
      <c r="E134" s="1886"/>
      <c r="F134" s="1977"/>
      <c r="G134" s="1978"/>
      <c r="H134" s="1979"/>
      <c r="I134" s="1977"/>
      <c r="J134" s="1977"/>
    </row>
    <row r="135" spans="1:12" hidden="1">
      <c r="B135" s="1886"/>
      <c r="C135" s="1886"/>
      <c r="D135" s="1886"/>
      <c r="E135" s="1886"/>
      <c r="F135" s="1886"/>
      <c r="G135" s="1886"/>
      <c r="H135" s="1886"/>
      <c r="I135" s="1886"/>
      <c r="J135" s="1886"/>
    </row>
    <row r="136" spans="1:12">
      <c r="A136" s="5127" t="s">
        <v>187</v>
      </c>
      <c r="B136" s="5127"/>
      <c r="C136" s="5127"/>
      <c r="D136" s="5127"/>
      <c r="E136" s="5127"/>
    </row>
    <row r="137" spans="1:12">
      <c r="A137" s="5104" t="s">
        <v>188</v>
      </c>
      <c r="B137" s="5104"/>
      <c r="C137" s="5104"/>
      <c r="D137" s="5104"/>
      <c r="E137" s="5104"/>
    </row>
    <row r="138" spans="1:12">
      <c r="A138" s="4245" t="s">
        <v>1444</v>
      </c>
      <c r="B138" s="4245"/>
      <c r="C138" s="4245"/>
      <c r="D138" s="4245"/>
      <c r="E138" s="4245"/>
    </row>
    <row r="139" spans="1:12">
      <c r="A139" s="5104" t="s">
        <v>1435</v>
      </c>
      <c r="B139" s="5104"/>
      <c r="C139" s="5104"/>
      <c r="D139" s="5104"/>
      <c r="E139" s="5104"/>
    </row>
  </sheetData>
  <sheetProtection password="EF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6:E136"/>
    <mergeCell ref="M76:M77"/>
    <mergeCell ref="L76:L77"/>
    <mergeCell ref="B76:B77"/>
    <mergeCell ref="A76:A77"/>
    <mergeCell ref="D77:F77"/>
    <mergeCell ref="G77:K77"/>
    <mergeCell ref="M43:M44"/>
    <mergeCell ref="L43:L44"/>
    <mergeCell ref="L63:L66"/>
    <mergeCell ref="A45:A49"/>
    <mergeCell ref="L100:L103"/>
    <mergeCell ref="L104:L107"/>
    <mergeCell ref="A137:E137"/>
    <mergeCell ref="A14:A21"/>
    <mergeCell ref="A50:A57"/>
    <mergeCell ref="A83:A90"/>
    <mergeCell ref="A139:E139"/>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20"/>
  <sheetViews>
    <sheetView showGridLines="0" zoomScale="120" zoomScaleNormal="120" zoomScaleSheetLayoutView="130" workbookViewId="0">
      <pane xSplit="2" ySplit="8" topLeftCell="C99" activePane="bottomRight" state="frozen"/>
      <selection pane="topRight" activeCell="C1" sqref="C1"/>
      <selection pane="bottomLeft" activeCell="A9" sqref="A9"/>
      <selection pane="bottomRight" activeCell="G79" sqref="G79"/>
    </sheetView>
  </sheetViews>
  <sheetFormatPr defaultRowHeight="15"/>
  <cols>
    <col min="1" max="1" width="5.28515625" style="2000" customWidth="1"/>
    <col min="2" max="2" width="46.5703125" style="2011" customWidth="1"/>
    <col min="3" max="3" width="10.28515625" style="2011" customWidth="1"/>
    <col min="4" max="9" width="9.7109375" style="2011" customWidth="1"/>
    <col min="10" max="10" width="2.140625" style="2011" customWidth="1"/>
    <col min="11" max="11" width="10.85546875" style="2011" customWidth="1"/>
    <col min="12" max="17" width="10.7109375" style="2011" customWidth="1"/>
    <col min="18" max="238" width="9.140625" style="2011"/>
    <col min="239" max="239" width="5.28515625" style="2011" customWidth="1"/>
    <col min="240" max="240" width="56.42578125" style="2011" customWidth="1"/>
    <col min="241" max="241" width="10.28515625" style="2011" customWidth="1"/>
    <col min="242" max="248" width="10.7109375" style="2011" customWidth="1"/>
    <col min="249" max="249" width="9.140625" style="2011"/>
    <col min="250" max="250" width="11.28515625" style="2011" bestFit="1" customWidth="1"/>
    <col min="251" max="251" width="9.7109375" style="2011" bestFit="1" customWidth="1"/>
    <col min="252" max="494" width="9.140625" style="2011"/>
    <col min="495" max="495" width="5.28515625" style="2011" customWidth="1"/>
    <col min="496" max="496" width="56.42578125" style="2011" customWidth="1"/>
    <col min="497" max="497" width="10.28515625" style="2011" customWidth="1"/>
    <col min="498" max="504" width="10.7109375" style="2011" customWidth="1"/>
    <col min="505" max="505" width="9.140625" style="2011"/>
    <col min="506" max="506" width="11.28515625" style="2011" bestFit="1" customWidth="1"/>
    <col min="507" max="507" width="9.7109375" style="2011" bestFit="1" customWidth="1"/>
    <col min="508" max="750" width="9.140625" style="2011"/>
    <col min="751" max="751" width="5.28515625" style="2011" customWidth="1"/>
    <col min="752" max="752" width="56.42578125" style="2011" customWidth="1"/>
    <col min="753" max="753" width="10.28515625" style="2011" customWidth="1"/>
    <col min="754" max="760" width="10.7109375" style="2011" customWidth="1"/>
    <col min="761" max="761" width="9.140625" style="2011"/>
    <col min="762" max="762" width="11.28515625" style="2011" bestFit="1" customWidth="1"/>
    <col min="763" max="763" width="9.7109375" style="2011" bestFit="1" customWidth="1"/>
    <col min="764" max="1006" width="9.140625" style="2011"/>
    <col min="1007" max="1007" width="5.28515625" style="2011" customWidth="1"/>
    <col min="1008" max="1008" width="56.42578125" style="2011" customWidth="1"/>
    <col min="1009" max="1009" width="10.28515625" style="2011" customWidth="1"/>
    <col min="1010" max="1016" width="10.7109375" style="2011" customWidth="1"/>
    <col min="1017" max="1017" width="9.140625" style="2011"/>
    <col min="1018" max="1018" width="11.28515625" style="2011" bestFit="1" customWidth="1"/>
    <col min="1019" max="1019" width="9.7109375" style="2011" bestFit="1" customWidth="1"/>
    <col min="1020" max="1262" width="9.140625" style="2011"/>
    <col min="1263" max="1263" width="5.28515625" style="2011" customWidth="1"/>
    <col min="1264" max="1264" width="56.42578125" style="2011" customWidth="1"/>
    <col min="1265" max="1265" width="10.28515625" style="2011" customWidth="1"/>
    <col min="1266" max="1272" width="10.7109375" style="2011" customWidth="1"/>
    <col min="1273" max="1273" width="9.140625" style="2011"/>
    <col min="1274" max="1274" width="11.28515625" style="2011" bestFit="1" customWidth="1"/>
    <col min="1275" max="1275" width="9.7109375" style="2011" bestFit="1" customWidth="1"/>
    <col min="1276" max="1518" width="9.140625" style="2011"/>
    <col min="1519" max="1519" width="5.28515625" style="2011" customWidth="1"/>
    <col min="1520" max="1520" width="56.42578125" style="2011" customWidth="1"/>
    <col min="1521" max="1521" width="10.28515625" style="2011" customWidth="1"/>
    <col min="1522" max="1528" width="10.7109375" style="2011" customWidth="1"/>
    <col min="1529" max="1529" width="9.140625" style="2011"/>
    <col min="1530" max="1530" width="11.28515625" style="2011" bestFit="1" customWidth="1"/>
    <col min="1531" max="1531" width="9.7109375" style="2011" bestFit="1" customWidth="1"/>
    <col min="1532" max="1774" width="9.140625" style="2011"/>
    <col min="1775" max="1775" width="5.28515625" style="2011" customWidth="1"/>
    <col min="1776" max="1776" width="56.42578125" style="2011" customWidth="1"/>
    <col min="1777" max="1777" width="10.28515625" style="2011" customWidth="1"/>
    <col min="1778" max="1784" width="10.7109375" style="2011" customWidth="1"/>
    <col min="1785" max="1785" width="9.140625" style="2011"/>
    <col min="1786" max="1786" width="11.28515625" style="2011" bestFit="1" customWidth="1"/>
    <col min="1787" max="1787" width="9.7109375" style="2011" bestFit="1" customWidth="1"/>
    <col min="1788" max="2030" width="9.140625" style="2011"/>
    <col min="2031" max="2031" width="5.28515625" style="2011" customWidth="1"/>
    <col min="2032" max="2032" width="56.42578125" style="2011" customWidth="1"/>
    <col min="2033" max="2033" width="10.28515625" style="2011" customWidth="1"/>
    <col min="2034" max="2040" width="10.7109375" style="2011" customWidth="1"/>
    <col min="2041" max="2041" width="9.140625" style="2011"/>
    <col min="2042" max="2042" width="11.28515625" style="2011" bestFit="1" customWidth="1"/>
    <col min="2043" max="2043" width="9.7109375" style="2011" bestFit="1" customWidth="1"/>
    <col min="2044" max="2286" width="9.140625" style="2011"/>
    <col min="2287" max="2287" width="5.28515625" style="2011" customWidth="1"/>
    <col min="2288" max="2288" width="56.42578125" style="2011" customWidth="1"/>
    <col min="2289" max="2289" width="10.28515625" style="2011" customWidth="1"/>
    <col min="2290" max="2296" width="10.7109375" style="2011" customWidth="1"/>
    <col min="2297" max="2297" width="9.140625" style="2011"/>
    <col min="2298" max="2298" width="11.28515625" style="2011" bestFit="1" customWidth="1"/>
    <col min="2299" max="2299" width="9.7109375" style="2011" bestFit="1" customWidth="1"/>
    <col min="2300" max="2542" width="9.140625" style="2011"/>
    <col min="2543" max="2543" width="5.28515625" style="2011" customWidth="1"/>
    <col min="2544" max="2544" width="56.42578125" style="2011" customWidth="1"/>
    <col min="2545" max="2545" width="10.28515625" style="2011" customWidth="1"/>
    <col min="2546" max="2552" width="10.7109375" style="2011" customWidth="1"/>
    <col min="2553" max="2553" width="9.140625" style="2011"/>
    <col min="2554" max="2554" width="11.28515625" style="2011" bestFit="1" customWidth="1"/>
    <col min="2555" max="2555" width="9.7109375" style="2011" bestFit="1" customWidth="1"/>
    <col min="2556" max="2798" width="9.140625" style="2011"/>
    <col min="2799" max="2799" width="5.28515625" style="2011" customWidth="1"/>
    <col min="2800" max="2800" width="56.42578125" style="2011" customWidth="1"/>
    <col min="2801" max="2801" width="10.28515625" style="2011" customWidth="1"/>
    <col min="2802" max="2808" width="10.7109375" style="2011" customWidth="1"/>
    <col min="2809" max="2809" width="9.140625" style="2011"/>
    <col min="2810" max="2810" width="11.28515625" style="2011" bestFit="1" customWidth="1"/>
    <col min="2811" max="2811" width="9.7109375" style="2011" bestFit="1" customWidth="1"/>
    <col min="2812" max="3054" width="9.140625" style="2011"/>
    <col min="3055" max="3055" width="5.28515625" style="2011" customWidth="1"/>
    <col min="3056" max="3056" width="56.42578125" style="2011" customWidth="1"/>
    <col min="3057" max="3057" width="10.28515625" style="2011" customWidth="1"/>
    <col min="3058" max="3064" width="10.7109375" style="2011" customWidth="1"/>
    <col min="3065" max="3065" width="9.140625" style="2011"/>
    <col min="3066" max="3066" width="11.28515625" style="2011" bestFit="1" customWidth="1"/>
    <col min="3067" max="3067" width="9.7109375" style="2011" bestFit="1" customWidth="1"/>
    <col min="3068" max="3310" width="9.140625" style="2011"/>
    <col min="3311" max="3311" width="5.28515625" style="2011" customWidth="1"/>
    <col min="3312" max="3312" width="56.42578125" style="2011" customWidth="1"/>
    <col min="3313" max="3313" width="10.28515625" style="2011" customWidth="1"/>
    <col min="3314" max="3320" width="10.7109375" style="2011" customWidth="1"/>
    <col min="3321" max="3321" width="9.140625" style="2011"/>
    <col min="3322" max="3322" width="11.28515625" style="2011" bestFit="1" customWidth="1"/>
    <col min="3323" max="3323" width="9.7109375" style="2011" bestFit="1" customWidth="1"/>
    <col min="3324" max="3566" width="9.140625" style="2011"/>
    <col min="3567" max="3567" width="5.28515625" style="2011" customWidth="1"/>
    <col min="3568" max="3568" width="56.42578125" style="2011" customWidth="1"/>
    <col min="3569" max="3569" width="10.28515625" style="2011" customWidth="1"/>
    <col min="3570" max="3576" width="10.7109375" style="2011" customWidth="1"/>
    <col min="3577" max="3577" width="9.140625" style="2011"/>
    <col min="3578" max="3578" width="11.28515625" style="2011" bestFit="1" customWidth="1"/>
    <col min="3579" max="3579" width="9.7109375" style="2011" bestFit="1" customWidth="1"/>
    <col min="3580" max="3822" width="9.140625" style="2011"/>
    <col min="3823" max="3823" width="5.28515625" style="2011" customWidth="1"/>
    <col min="3824" max="3824" width="56.42578125" style="2011" customWidth="1"/>
    <col min="3825" max="3825" width="10.28515625" style="2011" customWidth="1"/>
    <col min="3826" max="3832" width="10.7109375" style="2011" customWidth="1"/>
    <col min="3833" max="3833" width="9.140625" style="2011"/>
    <col min="3834" max="3834" width="11.28515625" style="2011" bestFit="1" customWidth="1"/>
    <col min="3835" max="3835" width="9.7109375" style="2011" bestFit="1" customWidth="1"/>
    <col min="3836" max="4078" width="9.140625" style="2011"/>
    <col min="4079" max="4079" width="5.28515625" style="2011" customWidth="1"/>
    <col min="4080" max="4080" width="56.42578125" style="2011" customWidth="1"/>
    <col min="4081" max="4081" width="10.28515625" style="2011" customWidth="1"/>
    <col min="4082" max="4088" width="10.7109375" style="2011" customWidth="1"/>
    <col min="4089" max="4089" width="9.140625" style="2011"/>
    <col min="4090" max="4090" width="11.28515625" style="2011" bestFit="1" customWidth="1"/>
    <col min="4091" max="4091" width="9.7109375" style="2011" bestFit="1" customWidth="1"/>
    <col min="4092" max="4334" width="9.140625" style="2011"/>
    <col min="4335" max="4335" width="5.28515625" style="2011" customWidth="1"/>
    <col min="4336" max="4336" width="56.42578125" style="2011" customWidth="1"/>
    <col min="4337" max="4337" width="10.28515625" style="2011" customWidth="1"/>
    <col min="4338" max="4344" width="10.7109375" style="2011" customWidth="1"/>
    <col min="4345" max="4345" width="9.140625" style="2011"/>
    <col min="4346" max="4346" width="11.28515625" style="2011" bestFit="1" customWidth="1"/>
    <col min="4347" max="4347" width="9.7109375" style="2011" bestFit="1" customWidth="1"/>
    <col min="4348" max="4590" width="9.140625" style="2011"/>
    <col min="4591" max="4591" width="5.28515625" style="2011" customWidth="1"/>
    <col min="4592" max="4592" width="56.42578125" style="2011" customWidth="1"/>
    <col min="4593" max="4593" width="10.28515625" style="2011" customWidth="1"/>
    <col min="4594" max="4600" width="10.7109375" style="2011" customWidth="1"/>
    <col min="4601" max="4601" width="9.140625" style="2011"/>
    <col min="4602" max="4602" width="11.28515625" style="2011" bestFit="1" customWidth="1"/>
    <col min="4603" max="4603" width="9.7109375" style="2011" bestFit="1" customWidth="1"/>
    <col min="4604" max="4846" width="9.140625" style="2011"/>
    <col min="4847" max="4847" width="5.28515625" style="2011" customWidth="1"/>
    <col min="4848" max="4848" width="56.42578125" style="2011" customWidth="1"/>
    <col min="4849" max="4849" width="10.28515625" style="2011" customWidth="1"/>
    <col min="4850" max="4856" width="10.7109375" style="2011" customWidth="1"/>
    <col min="4857" max="4857" width="9.140625" style="2011"/>
    <col min="4858" max="4858" width="11.28515625" style="2011" bestFit="1" customWidth="1"/>
    <col min="4859" max="4859" width="9.7109375" style="2011" bestFit="1" customWidth="1"/>
    <col min="4860" max="5102" width="9.140625" style="2011"/>
    <col min="5103" max="5103" width="5.28515625" style="2011" customWidth="1"/>
    <col min="5104" max="5104" width="56.42578125" style="2011" customWidth="1"/>
    <col min="5105" max="5105" width="10.28515625" style="2011" customWidth="1"/>
    <col min="5106" max="5112" width="10.7109375" style="2011" customWidth="1"/>
    <col min="5113" max="5113" width="9.140625" style="2011"/>
    <col min="5114" max="5114" width="11.28515625" style="2011" bestFit="1" customWidth="1"/>
    <col min="5115" max="5115" width="9.7109375" style="2011" bestFit="1" customWidth="1"/>
    <col min="5116" max="5358" width="9.140625" style="2011"/>
    <col min="5359" max="5359" width="5.28515625" style="2011" customWidth="1"/>
    <col min="5360" max="5360" width="56.42578125" style="2011" customWidth="1"/>
    <col min="5361" max="5361" width="10.28515625" style="2011" customWidth="1"/>
    <col min="5362" max="5368" width="10.7109375" style="2011" customWidth="1"/>
    <col min="5369" max="5369" width="9.140625" style="2011"/>
    <col min="5370" max="5370" width="11.28515625" style="2011" bestFit="1" customWidth="1"/>
    <col min="5371" max="5371" width="9.7109375" style="2011" bestFit="1" customWidth="1"/>
    <col min="5372" max="5614" width="9.140625" style="2011"/>
    <col min="5615" max="5615" width="5.28515625" style="2011" customWidth="1"/>
    <col min="5616" max="5616" width="56.42578125" style="2011" customWidth="1"/>
    <col min="5617" max="5617" width="10.28515625" style="2011" customWidth="1"/>
    <col min="5618" max="5624" width="10.7109375" style="2011" customWidth="1"/>
    <col min="5625" max="5625" width="9.140625" style="2011"/>
    <col min="5626" max="5626" width="11.28515625" style="2011" bestFit="1" customWidth="1"/>
    <col min="5627" max="5627" width="9.7109375" style="2011" bestFit="1" customWidth="1"/>
    <col min="5628" max="5870" width="9.140625" style="2011"/>
    <col min="5871" max="5871" width="5.28515625" style="2011" customWidth="1"/>
    <col min="5872" max="5872" width="56.42578125" style="2011" customWidth="1"/>
    <col min="5873" max="5873" width="10.28515625" style="2011" customWidth="1"/>
    <col min="5874" max="5880" width="10.7109375" style="2011" customWidth="1"/>
    <col min="5881" max="5881" width="9.140625" style="2011"/>
    <col min="5882" max="5882" width="11.28515625" style="2011" bestFit="1" customWidth="1"/>
    <col min="5883" max="5883" width="9.7109375" style="2011" bestFit="1" customWidth="1"/>
    <col min="5884" max="6126" width="9.140625" style="2011"/>
    <col min="6127" max="6127" width="5.28515625" style="2011" customWidth="1"/>
    <col min="6128" max="6128" width="56.42578125" style="2011" customWidth="1"/>
    <col min="6129" max="6129" width="10.28515625" style="2011" customWidth="1"/>
    <col min="6130" max="6136" width="10.7109375" style="2011" customWidth="1"/>
    <col min="6137" max="6137" width="9.140625" style="2011"/>
    <col min="6138" max="6138" width="11.28515625" style="2011" bestFit="1" customWidth="1"/>
    <col min="6139" max="6139" width="9.7109375" style="2011" bestFit="1" customWidth="1"/>
    <col min="6140" max="6382" width="9.140625" style="2011"/>
    <col min="6383" max="6383" width="5.28515625" style="2011" customWidth="1"/>
    <col min="6384" max="6384" width="56.42578125" style="2011" customWidth="1"/>
    <col min="6385" max="6385" width="10.28515625" style="2011" customWidth="1"/>
    <col min="6386" max="6392" width="10.7109375" style="2011" customWidth="1"/>
    <col min="6393" max="6393" width="9.140625" style="2011"/>
    <col min="6394" max="6394" width="11.28515625" style="2011" bestFit="1" customWidth="1"/>
    <col min="6395" max="6395" width="9.7109375" style="2011" bestFit="1" customWidth="1"/>
    <col min="6396" max="6638" width="9.140625" style="2011"/>
    <col min="6639" max="6639" width="5.28515625" style="2011" customWidth="1"/>
    <col min="6640" max="6640" width="56.42578125" style="2011" customWidth="1"/>
    <col min="6641" max="6641" width="10.28515625" style="2011" customWidth="1"/>
    <col min="6642" max="6648" width="10.7109375" style="2011" customWidth="1"/>
    <col min="6649" max="6649" width="9.140625" style="2011"/>
    <col min="6650" max="6650" width="11.28515625" style="2011" bestFit="1" customWidth="1"/>
    <col min="6651" max="6651" width="9.7109375" style="2011" bestFit="1" customWidth="1"/>
    <col min="6652" max="6894" width="9.140625" style="2011"/>
    <col min="6895" max="6895" width="5.28515625" style="2011" customWidth="1"/>
    <col min="6896" max="6896" width="56.42578125" style="2011" customWidth="1"/>
    <col min="6897" max="6897" width="10.28515625" style="2011" customWidth="1"/>
    <col min="6898" max="6904" width="10.7109375" style="2011" customWidth="1"/>
    <col min="6905" max="6905" width="9.140625" style="2011"/>
    <col min="6906" max="6906" width="11.28515625" style="2011" bestFit="1" customWidth="1"/>
    <col min="6907" max="6907" width="9.7109375" style="2011" bestFit="1" customWidth="1"/>
    <col min="6908" max="7150" width="9.140625" style="2011"/>
    <col min="7151" max="7151" width="5.28515625" style="2011" customWidth="1"/>
    <col min="7152" max="7152" width="56.42578125" style="2011" customWidth="1"/>
    <col min="7153" max="7153" width="10.28515625" style="2011" customWidth="1"/>
    <col min="7154" max="7160" width="10.7109375" style="2011" customWidth="1"/>
    <col min="7161" max="7161" width="9.140625" style="2011"/>
    <col min="7162" max="7162" width="11.28515625" style="2011" bestFit="1" customWidth="1"/>
    <col min="7163" max="7163" width="9.7109375" style="2011" bestFit="1" customWidth="1"/>
    <col min="7164" max="7406" width="9.140625" style="2011"/>
    <col min="7407" max="7407" width="5.28515625" style="2011" customWidth="1"/>
    <col min="7408" max="7408" width="56.42578125" style="2011" customWidth="1"/>
    <col min="7409" max="7409" width="10.28515625" style="2011" customWidth="1"/>
    <col min="7410" max="7416" width="10.7109375" style="2011" customWidth="1"/>
    <col min="7417" max="7417" width="9.140625" style="2011"/>
    <col min="7418" max="7418" width="11.28515625" style="2011" bestFit="1" customWidth="1"/>
    <col min="7419" max="7419" width="9.7109375" style="2011" bestFit="1" customWidth="1"/>
    <col min="7420" max="7662" width="9.140625" style="2011"/>
    <col min="7663" max="7663" width="5.28515625" style="2011" customWidth="1"/>
    <col min="7664" max="7664" width="56.42578125" style="2011" customWidth="1"/>
    <col min="7665" max="7665" width="10.28515625" style="2011" customWidth="1"/>
    <col min="7666" max="7672" width="10.7109375" style="2011" customWidth="1"/>
    <col min="7673" max="7673" width="9.140625" style="2011"/>
    <col min="7674" max="7674" width="11.28515625" style="2011" bestFit="1" customWidth="1"/>
    <col min="7675" max="7675" width="9.7109375" style="2011" bestFit="1" customWidth="1"/>
    <col min="7676" max="7918" width="9.140625" style="2011"/>
    <col min="7919" max="7919" width="5.28515625" style="2011" customWidth="1"/>
    <col min="7920" max="7920" width="56.42578125" style="2011" customWidth="1"/>
    <col min="7921" max="7921" width="10.28515625" style="2011" customWidth="1"/>
    <col min="7922" max="7928" width="10.7109375" style="2011" customWidth="1"/>
    <col min="7929" max="7929" width="9.140625" style="2011"/>
    <col min="7930" max="7930" width="11.28515625" style="2011" bestFit="1" customWidth="1"/>
    <col min="7931" max="7931" width="9.7109375" style="2011" bestFit="1" customWidth="1"/>
    <col min="7932" max="8174" width="9.140625" style="2011"/>
    <col min="8175" max="8175" width="5.28515625" style="2011" customWidth="1"/>
    <col min="8176" max="8176" width="56.42578125" style="2011" customWidth="1"/>
    <col min="8177" max="8177" width="10.28515625" style="2011" customWidth="1"/>
    <col min="8178" max="8184" width="10.7109375" style="2011" customWidth="1"/>
    <col min="8185" max="8185" width="9.140625" style="2011"/>
    <col min="8186" max="8186" width="11.28515625" style="2011" bestFit="1" customWidth="1"/>
    <col min="8187" max="8187" width="9.7109375" style="2011" bestFit="1" customWidth="1"/>
    <col min="8188" max="8430" width="9.140625" style="2011"/>
    <col min="8431" max="8431" width="5.28515625" style="2011" customWidth="1"/>
    <col min="8432" max="8432" width="56.42578125" style="2011" customWidth="1"/>
    <col min="8433" max="8433" width="10.28515625" style="2011" customWidth="1"/>
    <col min="8434" max="8440" width="10.7109375" style="2011" customWidth="1"/>
    <col min="8441" max="8441" width="9.140625" style="2011"/>
    <col min="8442" max="8442" width="11.28515625" style="2011" bestFit="1" customWidth="1"/>
    <col min="8443" max="8443" width="9.7109375" style="2011" bestFit="1" customWidth="1"/>
    <col min="8444" max="8686" width="9.140625" style="2011"/>
    <col min="8687" max="8687" width="5.28515625" style="2011" customWidth="1"/>
    <col min="8688" max="8688" width="56.42578125" style="2011" customWidth="1"/>
    <col min="8689" max="8689" width="10.28515625" style="2011" customWidth="1"/>
    <col min="8690" max="8696" width="10.7109375" style="2011" customWidth="1"/>
    <col min="8697" max="8697" width="9.140625" style="2011"/>
    <col min="8698" max="8698" width="11.28515625" style="2011" bestFit="1" customWidth="1"/>
    <col min="8699" max="8699" width="9.7109375" style="2011" bestFit="1" customWidth="1"/>
    <col min="8700" max="8942" width="9.140625" style="2011"/>
    <col min="8943" max="8943" width="5.28515625" style="2011" customWidth="1"/>
    <col min="8944" max="8944" width="56.42578125" style="2011" customWidth="1"/>
    <col min="8945" max="8945" width="10.28515625" style="2011" customWidth="1"/>
    <col min="8946" max="8952" width="10.7109375" style="2011" customWidth="1"/>
    <col min="8953" max="8953" width="9.140625" style="2011"/>
    <col min="8954" max="8954" width="11.28515625" style="2011" bestFit="1" customWidth="1"/>
    <col min="8955" max="8955" width="9.7109375" style="2011" bestFit="1" customWidth="1"/>
    <col min="8956" max="9198" width="9.140625" style="2011"/>
    <col min="9199" max="9199" width="5.28515625" style="2011" customWidth="1"/>
    <col min="9200" max="9200" width="56.42578125" style="2011" customWidth="1"/>
    <col min="9201" max="9201" width="10.28515625" style="2011" customWidth="1"/>
    <col min="9202" max="9208" width="10.7109375" style="2011" customWidth="1"/>
    <col min="9209" max="9209" width="9.140625" style="2011"/>
    <col min="9210" max="9210" width="11.28515625" style="2011" bestFit="1" customWidth="1"/>
    <col min="9211" max="9211" width="9.7109375" style="2011" bestFit="1" customWidth="1"/>
    <col min="9212" max="9454" width="9.140625" style="2011"/>
    <col min="9455" max="9455" width="5.28515625" style="2011" customWidth="1"/>
    <col min="9456" max="9456" width="56.42578125" style="2011" customWidth="1"/>
    <col min="9457" max="9457" width="10.28515625" style="2011" customWidth="1"/>
    <col min="9458" max="9464" width="10.7109375" style="2011" customWidth="1"/>
    <col min="9465" max="9465" width="9.140625" style="2011"/>
    <col min="9466" max="9466" width="11.28515625" style="2011" bestFit="1" customWidth="1"/>
    <col min="9467" max="9467" width="9.7109375" style="2011" bestFit="1" customWidth="1"/>
    <col min="9468" max="9710" width="9.140625" style="2011"/>
    <col min="9711" max="9711" width="5.28515625" style="2011" customWidth="1"/>
    <col min="9712" max="9712" width="56.42578125" style="2011" customWidth="1"/>
    <col min="9713" max="9713" width="10.28515625" style="2011" customWidth="1"/>
    <col min="9714" max="9720" width="10.7109375" style="2011" customWidth="1"/>
    <col min="9721" max="9721" width="9.140625" style="2011"/>
    <col min="9722" max="9722" width="11.28515625" style="2011" bestFit="1" customWidth="1"/>
    <col min="9723" max="9723" width="9.7109375" style="2011" bestFit="1" customWidth="1"/>
    <col min="9724" max="9966" width="9.140625" style="2011"/>
    <col min="9967" max="9967" width="5.28515625" style="2011" customWidth="1"/>
    <col min="9968" max="9968" width="56.42578125" style="2011" customWidth="1"/>
    <col min="9969" max="9969" width="10.28515625" style="2011" customWidth="1"/>
    <col min="9970" max="9976" width="10.7109375" style="2011" customWidth="1"/>
    <col min="9977" max="9977" width="9.140625" style="2011"/>
    <col min="9978" max="9978" width="11.28515625" style="2011" bestFit="1" customWidth="1"/>
    <col min="9979" max="9979" width="9.7109375" style="2011" bestFit="1" customWidth="1"/>
    <col min="9980" max="10222" width="9.140625" style="2011"/>
    <col min="10223" max="10223" width="5.28515625" style="2011" customWidth="1"/>
    <col min="10224" max="10224" width="56.42578125" style="2011" customWidth="1"/>
    <col min="10225" max="10225" width="10.28515625" style="2011" customWidth="1"/>
    <col min="10226" max="10232" width="10.7109375" style="2011" customWidth="1"/>
    <col min="10233" max="10233" width="9.140625" style="2011"/>
    <col min="10234" max="10234" width="11.28515625" style="2011" bestFit="1" customWidth="1"/>
    <col min="10235" max="10235" width="9.7109375" style="2011" bestFit="1" customWidth="1"/>
    <col min="10236" max="10478" width="9.140625" style="2011"/>
    <col min="10479" max="10479" width="5.28515625" style="2011" customWidth="1"/>
    <col min="10480" max="10480" width="56.42578125" style="2011" customWidth="1"/>
    <col min="10481" max="10481" width="10.28515625" style="2011" customWidth="1"/>
    <col min="10482" max="10488" width="10.7109375" style="2011" customWidth="1"/>
    <col min="10489" max="10489" width="9.140625" style="2011"/>
    <col min="10490" max="10490" width="11.28515625" style="2011" bestFit="1" customWidth="1"/>
    <col min="10491" max="10491" width="9.7109375" style="2011" bestFit="1" customWidth="1"/>
    <col min="10492" max="10734" width="9.140625" style="2011"/>
    <col min="10735" max="10735" width="5.28515625" style="2011" customWidth="1"/>
    <col min="10736" max="10736" width="56.42578125" style="2011" customWidth="1"/>
    <col min="10737" max="10737" width="10.28515625" style="2011" customWidth="1"/>
    <col min="10738" max="10744" width="10.7109375" style="2011" customWidth="1"/>
    <col min="10745" max="10745" width="9.140625" style="2011"/>
    <col min="10746" max="10746" width="11.28515625" style="2011" bestFit="1" customWidth="1"/>
    <col min="10747" max="10747" width="9.7109375" style="2011" bestFit="1" customWidth="1"/>
    <col min="10748" max="10990" width="9.140625" style="2011"/>
    <col min="10991" max="10991" width="5.28515625" style="2011" customWidth="1"/>
    <col min="10992" max="10992" width="56.42578125" style="2011" customWidth="1"/>
    <col min="10993" max="10993" width="10.28515625" style="2011" customWidth="1"/>
    <col min="10994" max="11000" width="10.7109375" style="2011" customWidth="1"/>
    <col min="11001" max="11001" width="9.140625" style="2011"/>
    <col min="11002" max="11002" width="11.28515625" style="2011" bestFit="1" customWidth="1"/>
    <col min="11003" max="11003" width="9.7109375" style="2011" bestFit="1" customWidth="1"/>
    <col min="11004" max="11246" width="9.140625" style="2011"/>
    <col min="11247" max="11247" width="5.28515625" style="2011" customWidth="1"/>
    <col min="11248" max="11248" width="56.42578125" style="2011" customWidth="1"/>
    <col min="11249" max="11249" width="10.28515625" style="2011" customWidth="1"/>
    <col min="11250" max="11256" width="10.7109375" style="2011" customWidth="1"/>
    <col min="11257" max="11257" width="9.140625" style="2011"/>
    <col min="11258" max="11258" width="11.28515625" style="2011" bestFit="1" customWidth="1"/>
    <col min="11259" max="11259" width="9.7109375" style="2011" bestFit="1" customWidth="1"/>
    <col min="11260" max="11502" width="9.140625" style="2011"/>
    <col min="11503" max="11503" width="5.28515625" style="2011" customWidth="1"/>
    <col min="11504" max="11504" width="56.42578125" style="2011" customWidth="1"/>
    <col min="11505" max="11505" width="10.28515625" style="2011" customWidth="1"/>
    <col min="11506" max="11512" width="10.7109375" style="2011" customWidth="1"/>
    <col min="11513" max="11513" width="9.140625" style="2011"/>
    <col min="11514" max="11514" width="11.28515625" style="2011" bestFit="1" customWidth="1"/>
    <col min="11515" max="11515" width="9.7109375" style="2011" bestFit="1" customWidth="1"/>
    <col min="11516" max="11758" width="9.140625" style="2011"/>
    <col min="11759" max="11759" width="5.28515625" style="2011" customWidth="1"/>
    <col min="11760" max="11760" width="56.42578125" style="2011" customWidth="1"/>
    <col min="11761" max="11761" width="10.28515625" style="2011" customWidth="1"/>
    <col min="11762" max="11768" width="10.7109375" style="2011" customWidth="1"/>
    <col min="11769" max="11769" width="9.140625" style="2011"/>
    <col min="11770" max="11770" width="11.28515625" style="2011" bestFit="1" customWidth="1"/>
    <col min="11771" max="11771" width="9.7109375" style="2011" bestFit="1" customWidth="1"/>
    <col min="11772" max="12014" width="9.140625" style="2011"/>
    <col min="12015" max="12015" width="5.28515625" style="2011" customWidth="1"/>
    <col min="12016" max="12016" width="56.42578125" style="2011" customWidth="1"/>
    <col min="12017" max="12017" width="10.28515625" style="2011" customWidth="1"/>
    <col min="12018" max="12024" width="10.7109375" style="2011" customWidth="1"/>
    <col min="12025" max="12025" width="9.140625" style="2011"/>
    <col min="12026" max="12026" width="11.28515625" style="2011" bestFit="1" customWidth="1"/>
    <col min="12027" max="12027" width="9.7109375" style="2011" bestFit="1" customWidth="1"/>
    <col min="12028" max="12270" width="9.140625" style="2011"/>
    <col min="12271" max="12271" width="5.28515625" style="2011" customWidth="1"/>
    <col min="12272" max="12272" width="56.42578125" style="2011" customWidth="1"/>
    <col min="12273" max="12273" width="10.28515625" style="2011" customWidth="1"/>
    <col min="12274" max="12280" width="10.7109375" style="2011" customWidth="1"/>
    <col min="12281" max="12281" width="9.140625" style="2011"/>
    <col min="12282" max="12282" width="11.28515625" style="2011" bestFit="1" customWidth="1"/>
    <col min="12283" max="12283" width="9.7109375" style="2011" bestFit="1" customWidth="1"/>
    <col min="12284" max="12526" width="9.140625" style="2011"/>
    <col min="12527" max="12527" width="5.28515625" style="2011" customWidth="1"/>
    <col min="12528" max="12528" width="56.42578125" style="2011" customWidth="1"/>
    <col min="12529" max="12529" width="10.28515625" style="2011" customWidth="1"/>
    <col min="12530" max="12536" width="10.7109375" style="2011" customWidth="1"/>
    <col min="12537" max="12537" width="9.140625" style="2011"/>
    <col min="12538" max="12538" width="11.28515625" style="2011" bestFit="1" customWidth="1"/>
    <col min="12539" max="12539" width="9.7109375" style="2011" bestFit="1" customWidth="1"/>
    <col min="12540" max="12782" width="9.140625" style="2011"/>
    <col min="12783" max="12783" width="5.28515625" style="2011" customWidth="1"/>
    <col min="12784" max="12784" width="56.42578125" style="2011" customWidth="1"/>
    <col min="12785" max="12785" width="10.28515625" style="2011" customWidth="1"/>
    <col min="12786" max="12792" width="10.7109375" style="2011" customWidth="1"/>
    <col min="12793" max="12793" width="9.140625" style="2011"/>
    <col min="12794" max="12794" width="11.28515625" style="2011" bestFit="1" customWidth="1"/>
    <col min="12795" max="12795" width="9.7109375" style="2011" bestFit="1" customWidth="1"/>
    <col min="12796" max="13038" width="9.140625" style="2011"/>
    <col min="13039" max="13039" width="5.28515625" style="2011" customWidth="1"/>
    <col min="13040" max="13040" width="56.42578125" style="2011" customWidth="1"/>
    <col min="13041" max="13041" width="10.28515625" style="2011" customWidth="1"/>
    <col min="13042" max="13048" width="10.7109375" style="2011" customWidth="1"/>
    <col min="13049" max="13049" width="9.140625" style="2011"/>
    <col min="13050" max="13050" width="11.28515625" style="2011" bestFit="1" customWidth="1"/>
    <col min="13051" max="13051" width="9.7109375" style="2011" bestFit="1" customWidth="1"/>
    <col min="13052" max="13294" width="9.140625" style="2011"/>
    <col min="13295" max="13295" width="5.28515625" style="2011" customWidth="1"/>
    <col min="13296" max="13296" width="56.42578125" style="2011" customWidth="1"/>
    <col min="13297" max="13297" width="10.28515625" style="2011" customWidth="1"/>
    <col min="13298" max="13304" width="10.7109375" style="2011" customWidth="1"/>
    <col min="13305" max="13305" width="9.140625" style="2011"/>
    <col min="13306" max="13306" width="11.28515625" style="2011" bestFit="1" customWidth="1"/>
    <col min="13307" max="13307" width="9.7109375" style="2011" bestFit="1" customWidth="1"/>
    <col min="13308" max="13550" width="9.140625" style="2011"/>
    <col min="13551" max="13551" width="5.28515625" style="2011" customWidth="1"/>
    <col min="13552" max="13552" width="56.42578125" style="2011" customWidth="1"/>
    <col min="13553" max="13553" width="10.28515625" style="2011" customWidth="1"/>
    <col min="13554" max="13560" width="10.7109375" style="2011" customWidth="1"/>
    <col min="13561" max="13561" width="9.140625" style="2011"/>
    <col min="13562" max="13562" width="11.28515625" style="2011" bestFit="1" customWidth="1"/>
    <col min="13563" max="13563" width="9.7109375" style="2011" bestFit="1" customWidth="1"/>
    <col min="13564" max="13806" width="9.140625" style="2011"/>
    <col min="13807" max="13807" width="5.28515625" style="2011" customWidth="1"/>
    <col min="13808" max="13808" width="56.42578125" style="2011" customWidth="1"/>
    <col min="13809" max="13809" width="10.28515625" style="2011" customWidth="1"/>
    <col min="13810" max="13816" width="10.7109375" style="2011" customWidth="1"/>
    <col min="13817" max="13817" width="9.140625" style="2011"/>
    <col min="13818" max="13818" width="11.28515625" style="2011" bestFit="1" customWidth="1"/>
    <col min="13819" max="13819" width="9.7109375" style="2011" bestFit="1" customWidth="1"/>
    <col min="13820" max="14062" width="9.140625" style="2011"/>
    <col min="14063" max="14063" width="5.28515625" style="2011" customWidth="1"/>
    <col min="14064" max="14064" width="56.42578125" style="2011" customWidth="1"/>
    <col min="14065" max="14065" width="10.28515625" style="2011" customWidth="1"/>
    <col min="14066" max="14072" width="10.7109375" style="2011" customWidth="1"/>
    <col min="14073" max="14073" width="9.140625" style="2011"/>
    <col min="14074" max="14074" width="11.28515625" style="2011" bestFit="1" customWidth="1"/>
    <col min="14075" max="14075" width="9.7109375" style="2011" bestFit="1" customWidth="1"/>
    <col min="14076" max="14318" width="9.140625" style="2011"/>
    <col min="14319" max="14319" width="5.28515625" style="2011" customWidth="1"/>
    <col min="14320" max="14320" width="56.42578125" style="2011" customWidth="1"/>
    <col min="14321" max="14321" width="10.28515625" style="2011" customWidth="1"/>
    <col min="14322" max="14328" width="10.7109375" style="2011" customWidth="1"/>
    <col min="14329" max="14329" width="9.140625" style="2011"/>
    <col min="14330" max="14330" width="11.28515625" style="2011" bestFit="1" customWidth="1"/>
    <col min="14331" max="14331" width="9.7109375" style="2011" bestFit="1" customWidth="1"/>
    <col min="14332" max="14574" width="9.140625" style="2011"/>
    <col min="14575" max="14575" width="5.28515625" style="2011" customWidth="1"/>
    <col min="14576" max="14576" width="56.42578125" style="2011" customWidth="1"/>
    <col min="14577" max="14577" width="10.28515625" style="2011" customWidth="1"/>
    <col min="14578" max="14584" width="10.7109375" style="2011" customWidth="1"/>
    <col min="14585" max="14585" width="9.140625" style="2011"/>
    <col min="14586" max="14586" width="11.28515625" style="2011" bestFit="1" customWidth="1"/>
    <col min="14587" max="14587" width="9.7109375" style="2011" bestFit="1" customWidth="1"/>
    <col min="14588" max="14830" width="9.140625" style="2011"/>
    <col min="14831" max="14831" width="5.28515625" style="2011" customWidth="1"/>
    <col min="14832" max="14832" width="56.42578125" style="2011" customWidth="1"/>
    <col min="14833" max="14833" width="10.28515625" style="2011" customWidth="1"/>
    <col min="14834" max="14840" width="10.7109375" style="2011" customWidth="1"/>
    <col min="14841" max="14841" width="9.140625" style="2011"/>
    <col min="14842" max="14842" width="11.28515625" style="2011" bestFit="1" customWidth="1"/>
    <col min="14843" max="14843" width="9.7109375" style="2011" bestFit="1" customWidth="1"/>
    <col min="14844" max="15086" width="9.140625" style="2011"/>
    <col min="15087" max="15087" width="5.28515625" style="2011" customWidth="1"/>
    <col min="15088" max="15088" width="56.42578125" style="2011" customWidth="1"/>
    <col min="15089" max="15089" width="10.28515625" style="2011" customWidth="1"/>
    <col min="15090" max="15096" width="10.7109375" style="2011" customWidth="1"/>
    <col min="15097" max="15097" width="9.140625" style="2011"/>
    <col min="15098" max="15098" width="11.28515625" style="2011" bestFit="1" customWidth="1"/>
    <col min="15099" max="15099" width="9.7109375" style="2011" bestFit="1" customWidth="1"/>
    <col min="15100" max="15342" width="9.140625" style="2011"/>
    <col min="15343" max="15343" width="5.28515625" style="2011" customWidth="1"/>
    <col min="15344" max="15344" width="56.42578125" style="2011" customWidth="1"/>
    <col min="15345" max="15345" width="10.28515625" style="2011" customWidth="1"/>
    <col min="15346" max="15352" width="10.7109375" style="2011" customWidth="1"/>
    <col min="15353" max="15353" width="9.140625" style="2011"/>
    <col min="15354" max="15354" width="11.28515625" style="2011" bestFit="1" customWidth="1"/>
    <col min="15355" max="15355" width="9.7109375" style="2011" bestFit="1" customWidth="1"/>
    <col min="15356" max="15598" width="9.140625" style="2011"/>
    <col min="15599" max="15599" width="5.28515625" style="2011" customWidth="1"/>
    <col min="15600" max="15600" width="56.42578125" style="2011" customWidth="1"/>
    <col min="15601" max="15601" width="10.28515625" style="2011" customWidth="1"/>
    <col min="15602" max="15608" width="10.7109375" style="2011" customWidth="1"/>
    <col min="15609" max="15609" width="9.140625" style="2011"/>
    <col min="15610" max="15610" width="11.28515625" style="2011" bestFit="1" customWidth="1"/>
    <col min="15611" max="15611" width="9.7109375" style="2011" bestFit="1" customWidth="1"/>
    <col min="15612" max="15854" width="9.140625" style="2011"/>
    <col min="15855" max="15855" width="5.28515625" style="2011" customWidth="1"/>
    <col min="15856" max="15856" width="56.42578125" style="2011" customWidth="1"/>
    <col min="15857" max="15857" width="10.28515625" style="2011" customWidth="1"/>
    <col min="15858" max="15864" width="10.7109375" style="2011" customWidth="1"/>
    <col min="15865" max="15865" width="9.140625" style="2011"/>
    <col min="15866" max="15866" width="11.28515625" style="2011" bestFit="1" customWidth="1"/>
    <col min="15867" max="15867" width="9.7109375" style="2011" bestFit="1" customWidth="1"/>
    <col min="15868" max="16110" width="9.140625" style="2011"/>
    <col min="16111" max="16111" width="5.28515625" style="2011" customWidth="1"/>
    <col min="16112" max="16112" width="56.42578125" style="2011" customWidth="1"/>
    <col min="16113" max="16113" width="10.28515625" style="2011" customWidth="1"/>
    <col min="16114" max="16120" width="10.7109375" style="2011" customWidth="1"/>
    <col min="16121" max="16121" width="9.140625" style="2011"/>
    <col min="16122" max="16122" width="11.28515625" style="2011" bestFit="1" customWidth="1"/>
    <col min="16123" max="16123" width="9.7109375" style="2011" bestFit="1" customWidth="1"/>
    <col min="16124" max="16384" width="9.140625" style="2011"/>
  </cols>
  <sheetData>
    <row r="1" spans="1:25" ht="16.5" thickBot="1">
      <c r="A1" s="5004" t="str">
        <f>+'1. Обща информация'!B40</f>
        <v>Фиксиран курс на лева към 1 евро</v>
      </c>
      <c r="B1" s="5004"/>
      <c r="C1" s="5005">
        <f>+'1. Обща информация'!$C$40</f>
        <v>1.95583</v>
      </c>
      <c r="D1" s="5005"/>
      <c r="E1" s="4781"/>
      <c r="F1" s="4781"/>
      <c r="G1" s="4781"/>
      <c r="H1" s="4781"/>
      <c r="I1" s="4769" t="s">
        <v>0</v>
      </c>
    </row>
    <row r="2" spans="1:25" s="4017" customFormat="1" ht="18.75">
      <c r="A2" s="5190" t="s">
        <v>1380</v>
      </c>
      <c r="B2" s="5190"/>
      <c r="C2" s="5190"/>
      <c r="D2" s="5190"/>
      <c r="E2" s="5190"/>
      <c r="F2" s="5190"/>
      <c r="G2" s="5190"/>
      <c r="H2" s="5190"/>
      <c r="I2" s="5190"/>
    </row>
    <row r="3" spans="1:25" s="4018" customFormat="1" ht="15.75">
      <c r="A3" s="5191" t="s">
        <v>1288</v>
      </c>
      <c r="B3" s="5191"/>
      <c r="C3" s="5191"/>
      <c r="D3" s="5191"/>
      <c r="E3" s="5191"/>
      <c r="F3" s="5191"/>
      <c r="G3" s="5191"/>
      <c r="H3" s="5191"/>
      <c r="I3" s="5191"/>
    </row>
    <row r="4" spans="1:25" s="4018" customFormat="1" ht="15.75">
      <c r="A4" s="5192" t="str">
        <f>'1. Обща информация'!A4</f>
        <v>на "ВОДОСНАБДЯВАНЕ И КАНАЛИЗАЦИЯ" ЕООД, гр. БЛАГОЕВГРАД</v>
      </c>
      <c r="B4" s="5192"/>
      <c r="C4" s="5192"/>
      <c r="D4" s="5192"/>
      <c r="E4" s="5192"/>
      <c r="F4" s="5192"/>
      <c r="G4" s="5192"/>
      <c r="H4" s="5192"/>
      <c r="I4" s="5192"/>
      <c r="J4" s="189"/>
      <c r="K4" s="189"/>
      <c r="L4" s="189"/>
      <c r="M4" s="189"/>
      <c r="N4" s="189"/>
      <c r="O4" s="189"/>
      <c r="P4" s="189"/>
      <c r="Q4" s="189"/>
      <c r="R4" s="189"/>
      <c r="S4" s="189"/>
      <c r="T4" s="189"/>
      <c r="U4" s="189"/>
      <c r="V4" s="189"/>
      <c r="W4" s="189"/>
      <c r="X4" s="189"/>
      <c r="Y4" s="189"/>
    </row>
    <row r="5" spans="1:25" s="4018" customFormat="1" ht="15.75">
      <c r="A5" s="5193" t="str">
        <f>'1. Обща информация'!A5</f>
        <v>ЕИК по БУЛСТАТ: 811047831</v>
      </c>
      <c r="B5" s="5193"/>
      <c r="C5" s="5193"/>
      <c r="D5" s="5193"/>
      <c r="E5" s="5193"/>
      <c r="F5" s="5193"/>
      <c r="G5" s="5193"/>
      <c r="H5" s="5193"/>
      <c r="I5" s="5193"/>
      <c r="J5" s="189"/>
      <c r="K5" s="189"/>
      <c r="L5" s="189"/>
      <c r="M5" s="189"/>
      <c r="N5" s="189"/>
      <c r="O5" s="189"/>
      <c r="P5" s="189"/>
      <c r="Q5" s="189"/>
      <c r="R5" s="189"/>
      <c r="S5" s="189"/>
      <c r="T5" s="189"/>
      <c r="U5" s="189"/>
      <c r="V5" s="189"/>
      <c r="W5" s="189"/>
      <c r="X5" s="189"/>
      <c r="Y5" s="189"/>
    </row>
    <row r="6" spans="1:25" s="4018" customFormat="1" ht="16.5" thickBot="1">
      <c r="A6" s="3931"/>
      <c r="B6" s="3931"/>
      <c r="C6" s="3931"/>
      <c r="D6" s="771"/>
      <c r="E6" s="3931"/>
      <c r="F6" s="3931"/>
      <c r="G6" s="3931"/>
      <c r="H6" s="3931"/>
      <c r="I6" s="771"/>
      <c r="J6" s="189"/>
      <c r="K6" s="189"/>
      <c r="L6" s="189"/>
      <c r="M6" s="189"/>
      <c r="N6" s="189"/>
      <c r="O6" s="189"/>
      <c r="P6" s="189"/>
      <c r="Q6" s="189"/>
      <c r="R6" s="189"/>
      <c r="S6" s="189"/>
      <c r="T6" s="189"/>
      <c r="U6" s="189"/>
      <c r="V6" s="189"/>
      <c r="W6" s="189"/>
      <c r="X6" s="189"/>
      <c r="Y6" s="189"/>
    </row>
    <row r="7" spans="1:25" s="4019" customFormat="1" ht="19.5" thickBot="1">
      <c r="A7" s="770" t="s">
        <v>1</v>
      </c>
      <c r="B7" s="1989" t="s">
        <v>87</v>
      </c>
      <c r="C7" s="1989" t="s">
        <v>166</v>
      </c>
      <c r="D7" s="4488" t="str">
        <f>'Приложение '!$C12</f>
        <v>2024 г.</v>
      </c>
      <c r="E7" s="4488" t="str">
        <f>'Приложение '!$C14</f>
        <v>2027 г.</v>
      </c>
      <c r="F7" s="4488" t="str">
        <f>'Приложение '!$C15</f>
        <v>2028 г.</v>
      </c>
      <c r="G7" s="4488" t="str">
        <f>'Приложение '!$C16</f>
        <v>2029 г.</v>
      </c>
      <c r="H7" s="4488" t="str">
        <f>'Приложение '!$C17</f>
        <v>2030 г.</v>
      </c>
      <c r="I7" s="4489" t="str">
        <f>'Приложение '!$C18</f>
        <v>2031 г.</v>
      </c>
      <c r="J7" s="4775"/>
      <c r="K7" s="4777" t="s">
        <v>166</v>
      </c>
      <c r="L7" s="4777" t="str">
        <f>'Приложение '!$C$12</f>
        <v>2024 г.</v>
      </c>
      <c r="M7" s="4777" t="str">
        <f>'Приложение '!$C$14</f>
        <v>2027 г.</v>
      </c>
      <c r="N7" s="4777" t="str">
        <f>'Приложение '!$C$15</f>
        <v>2028 г.</v>
      </c>
      <c r="O7" s="4777" t="str">
        <f>'Приложение '!$C$16</f>
        <v>2029 г.</v>
      </c>
      <c r="P7" s="4777" t="str">
        <f>'Приложение '!$C$17</f>
        <v>2030 г.</v>
      </c>
      <c r="Q7" s="4777" t="str">
        <f>'Приложение '!$C$18</f>
        <v>2031 г.</v>
      </c>
    </row>
    <row r="8" spans="1:25" s="4020" customFormat="1" ht="13.5" thickBot="1">
      <c r="A8" s="181" t="s">
        <v>167</v>
      </c>
      <c r="B8" s="5194" t="s">
        <v>1152</v>
      </c>
      <c r="C8" s="5195"/>
      <c r="D8" s="5195"/>
      <c r="E8" s="5195"/>
      <c r="F8" s="5195"/>
      <c r="G8" s="5195"/>
      <c r="H8" s="5195"/>
      <c r="I8" s="5196"/>
      <c r="J8" s="4775"/>
    </row>
    <row r="9" spans="1:25" s="2001" customFormat="1" ht="13.5" thickBot="1">
      <c r="A9" s="1990" t="s">
        <v>205</v>
      </c>
      <c r="B9" s="1991" t="str">
        <f>"Доставяне на вода на друг ВиК оператор - "&amp;'1. Обща информация'!B33</f>
        <v xml:space="preserve">Доставяне на вода на друг ВиК оператор - </v>
      </c>
      <c r="C9" s="1990"/>
      <c r="D9" s="1992"/>
      <c r="E9" s="1993"/>
      <c r="F9" s="1993"/>
      <c r="G9" s="1993"/>
      <c r="H9" s="1993"/>
      <c r="I9" s="1994"/>
      <c r="J9" s="4775"/>
    </row>
    <row r="10" spans="1:25" s="2001" customFormat="1" ht="15.75">
      <c r="A10" s="4197" t="s">
        <v>463</v>
      </c>
      <c r="B10" s="764" t="s">
        <v>570</v>
      </c>
      <c r="C10" s="376" t="s">
        <v>781</v>
      </c>
      <c r="D10" s="815">
        <f>D11+D12+D13+D14</f>
        <v>0</v>
      </c>
      <c r="E10" s="219">
        <f>E11+E12+E13+E14</f>
        <v>0</v>
      </c>
      <c r="F10" s="219">
        <f>F11+F12+F13+F14</f>
        <v>0</v>
      </c>
      <c r="G10" s="219">
        <f t="shared" ref="G10:I10" si="0">G11+G12+G13+G14</f>
        <v>0</v>
      </c>
      <c r="H10" s="219">
        <f t="shared" si="0"/>
        <v>0</v>
      </c>
      <c r="I10" s="220">
        <f t="shared" si="0"/>
        <v>0</v>
      </c>
      <c r="J10" s="4775"/>
    </row>
    <row r="11" spans="1:25" s="1847" customFormat="1" ht="15.75">
      <c r="A11" s="86" t="s">
        <v>463</v>
      </c>
      <c r="B11" s="1995" t="s">
        <v>906</v>
      </c>
      <c r="C11" s="378" t="s">
        <v>781</v>
      </c>
      <c r="D11" s="816"/>
      <c r="E11" s="214"/>
      <c r="F11" s="214"/>
      <c r="G11" s="214"/>
      <c r="H11" s="214"/>
      <c r="I11" s="215"/>
      <c r="J11" s="4775"/>
    </row>
    <row r="12" spans="1:25" s="1847" customFormat="1" ht="15.75">
      <c r="A12" s="86" t="s">
        <v>465</v>
      </c>
      <c r="B12" s="765" t="s">
        <v>907</v>
      </c>
      <c r="C12" s="378" t="s">
        <v>781</v>
      </c>
      <c r="D12" s="816"/>
      <c r="E12" s="214"/>
      <c r="F12" s="214"/>
      <c r="G12" s="214"/>
      <c r="H12" s="214"/>
      <c r="I12" s="215"/>
      <c r="J12" s="4775"/>
    </row>
    <row r="13" spans="1:25" s="1847" customFormat="1" ht="15.75">
      <c r="A13" s="86" t="s">
        <v>466</v>
      </c>
      <c r="B13" s="765" t="s">
        <v>908</v>
      </c>
      <c r="C13" s="378" t="s">
        <v>781</v>
      </c>
      <c r="D13" s="816"/>
      <c r="E13" s="214"/>
      <c r="F13" s="214"/>
      <c r="G13" s="214"/>
      <c r="H13" s="214"/>
      <c r="I13" s="215"/>
      <c r="J13" s="4775"/>
    </row>
    <row r="14" spans="1:25" s="1847" customFormat="1" ht="26.25" thickBot="1">
      <c r="A14" s="766" t="s">
        <v>468</v>
      </c>
      <c r="B14" s="4021" t="s">
        <v>909</v>
      </c>
      <c r="C14" s="767" t="s">
        <v>781</v>
      </c>
      <c r="D14" s="817"/>
      <c r="E14" s="818"/>
      <c r="F14" s="818"/>
      <c r="G14" s="818"/>
      <c r="H14" s="818"/>
      <c r="I14" s="819"/>
      <c r="J14" s="4775"/>
    </row>
    <row r="15" spans="1:25" s="2001" customFormat="1" ht="15.75">
      <c r="A15" s="5093" t="s">
        <v>477</v>
      </c>
      <c r="B15" s="5095" t="s">
        <v>572</v>
      </c>
      <c r="C15" s="381" t="s">
        <v>781</v>
      </c>
      <c r="D15" s="2017"/>
      <c r="E15" s="2018"/>
      <c r="F15" s="2018"/>
      <c r="G15" s="2018"/>
      <c r="H15" s="2018"/>
      <c r="I15" s="2019"/>
      <c r="J15" s="4775"/>
    </row>
    <row r="16" spans="1:25" s="2001" customFormat="1" ht="13.5" thickBot="1">
      <c r="A16" s="5094"/>
      <c r="B16" s="5096"/>
      <c r="C16" s="378" t="s">
        <v>170</v>
      </c>
      <c r="D16" s="820">
        <f>IFERROR(D15/D10,0)</f>
        <v>0</v>
      </c>
      <c r="E16" s="233">
        <f t="shared" ref="E16:I16" si="1">IFERROR(E15/E10,0)</f>
        <v>0</v>
      </c>
      <c r="F16" s="233">
        <f t="shared" si="1"/>
        <v>0</v>
      </c>
      <c r="G16" s="233">
        <f t="shared" si="1"/>
        <v>0</v>
      </c>
      <c r="H16" s="233">
        <f t="shared" si="1"/>
        <v>0</v>
      </c>
      <c r="I16" s="234">
        <f t="shared" si="1"/>
        <v>0</v>
      </c>
      <c r="J16" s="4775"/>
    </row>
    <row r="17" spans="1:10" s="2001" customFormat="1" ht="15.75">
      <c r="A17" s="5188" t="s">
        <v>479</v>
      </c>
      <c r="B17" s="5189" t="s">
        <v>688</v>
      </c>
      <c r="C17" s="571" t="s">
        <v>781</v>
      </c>
      <c r="D17" s="2020"/>
      <c r="E17" s="2021"/>
      <c r="F17" s="2021"/>
      <c r="G17" s="2021"/>
      <c r="H17" s="2021"/>
      <c r="I17" s="2022"/>
      <c r="J17" s="4775"/>
    </row>
    <row r="18" spans="1:10" s="2001" customFormat="1" ht="13.5" thickBot="1">
      <c r="A18" s="5055"/>
      <c r="B18" s="5057"/>
      <c r="C18" s="551" t="s">
        <v>170</v>
      </c>
      <c r="D18" s="947">
        <f t="shared" ref="D18:I18" si="2">IFERROR(D17/D10,0)</f>
        <v>0</v>
      </c>
      <c r="E18" s="948">
        <f t="shared" si="2"/>
        <v>0</v>
      </c>
      <c r="F18" s="948">
        <f t="shared" si="2"/>
        <v>0</v>
      </c>
      <c r="G18" s="948">
        <f t="shared" si="2"/>
        <v>0</v>
      </c>
      <c r="H18" s="948">
        <f t="shared" si="2"/>
        <v>0</v>
      </c>
      <c r="I18" s="949">
        <f t="shared" si="2"/>
        <v>0</v>
      </c>
      <c r="J18" s="4775"/>
    </row>
    <row r="19" spans="1:10" s="2001" customFormat="1" ht="15.75">
      <c r="A19" s="5048" t="s">
        <v>219</v>
      </c>
      <c r="B19" s="5058" t="s">
        <v>689</v>
      </c>
      <c r="C19" s="527" t="s">
        <v>781</v>
      </c>
      <c r="D19" s="537">
        <f>D21+D23</f>
        <v>0</v>
      </c>
      <c r="E19" s="538">
        <f t="shared" ref="E19:I19" si="3">E21+E23</f>
        <v>0</v>
      </c>
      <c r="F19" s="538">
        <f t="shared" si="3"/>
        <v>0</v>
      </c>
      <c r="G19" s="538">
        <f t="shared" si="3"/>
        <v>0</v>
      </c>
      <c r="H19" s="538">
        <f t="shared" si="3"/>
        <v>0</v>
      </c>
      <c r="I19" s="539">
        <f t="shared" si="3"/>
        <v>0</v>
      </c>
      <c r="J19" s="4775"/>
    </row>
    <row r="20" spans="1:10" s="2001" customFormat="1" ht="13.5" thickBot="1">
      <c r="A20" s="5050"/>
      <c r="B20" s="5059"/>
      <c r="C20" s="575" t="s">
        <v>170</v>
      </c>
      <c r="D20" s="944">
        <f t="shared" ref="D20:I20" si="4">IFERROR(D19/D10,0)</f>
        <v>0</v>
      </c>
      <c r="E20" s="779">
        <f t="shared" si="4"/>
        <v>0</v>
      </c>
      <c r="F20" s="779">
        <f t="shared" si="4"/>
        <v>0</v>
      </c>
      <c r="G20" s="779">
        <f t="shared" si="4"/>
        <v>0</v>
      </c>
      <c r="H20" s="779">
        <f t="shared" si="4"/>
        <v>0</v>
      </c>
      <c r="I20" s="945">
        <f t="shared" si="4"/>
        <v>0</v>
      </c>
      <c r="J20" s="4775"/>
    </row>
    <row r="21" spans="1:10" s="2001" customFormat="1" ht="15.75">
      <c r="A21" s="5060" t="s">
        <v>171</v>
      </c>
      <c r="B21" s="5174" t="s">
        <v>580</v>
      </c>
      <c r="C21" s="571" t="s">
        <v>781</v>
      </c>
      <c r="D21" s="2020"/>
      <c r="E21" s="2021"/>
      <c r="F21" s="2021"/>
      <c r="G21" s="2021"/>
      <c r="H21" s="2021"/>
      <c r="I21" s="2022"/>
      <c r="J21" s="4775"/>
    </row>
    <row r="22" spans="1:10" s="2001" customFormat="1" ht="12.75">
      <c r="A22" s="5045"/>
      <c r="B22" s="5062"/>
      <c r="C22" s="946" t="s">
        <v>170</v>
      </c>
      <c r="D22" s="564">
        <f t="shared" ref="D22:I22" si="5">IFERROR(D21/D10,0)</f>
        <v>0</v>
      </c>
      <c r="E22" s="565">
        <f t="shared" si="5"/>
        <v>0</v>
      </c>
      <c r="F22" s="565">
        <f t="shared" si="5"/>
        <v>0</v>
      </c>
      <c r="G22" s="565">
        <f t="shared" si="5"/>
        <v>0</v>
      </c>
      <c r="H22" s="565">
        <f t="shared" si="5"/>
        <v>0</v>
      </c>
      <c r="I22" s="566">
        <f t="shared" si="5"/>
        <v>0</v>
      </c>
      <c r="J22" s="4775"/>
    </row>
    <row r="23" spans="1:10" s="2001" customFormat="1" ht="15.75">
      <c r="A23" s="5044" t="s">
        <v>172</v>
      </c>
      <c r="B23" s="5046" t="s">
        <v>585</v>
      </c>
      <c r="C23" s="532" t="s">
        <v>781</v>
      </c>
      <c r="D23" s="2023"/>
      <c r="E23" s="2024"/>
      <c r="F23" s="2024"/>
      <c r="G23" s="2024"/>
      <c r="H23" s="2024"/>
      <c r="I23" s="2025"/>
      <c r="J23" s="4775"/>
    </row>
    <row r="24" spans="1:10" s="2001" customFormat="1" ht="13.5" thickBot="1">
      <c r="A24" s="5175"/>
      <c r="B24" s="5176"/>
      <c r="C24" s="551" t="s">
        <v>170</v>
      </c>
      <c r="D24" s="950">
        <f t="shared" ref="D24:I24" si="6">IFERROR(D23/D10,0)</f>
        <v>0</v>
      </c>
      <c r="E24" s="951">
        <f t="shared" si="6"/>
        <v>0</v>
      </c>
      <c r="F24" s="951">
        <f t="shared" si="6"/>
        <v>0</v>
      </c>
      <c r="G24" s="951">
        <f t="shared" si="6"/>
        <v>0</v>
      </c>
      <c r="H24" s="951">
        <f t="shared" si="6"/>
        <v>0</v>
      </c>
      <c r="I24" s="952">
        <f t="shared" si="6"/>
        <v>0</v>
      </c>
      <c r="J24" s="4775"/>
    </row>
    <row r="25" spans="1:10" s="2001" customFormat="1" ht="15.75">
      <c r="A25" s="5197" t="s">
        <v>221</v>
      </c>
      <c r="B25" s="5200" t="s">
        <v>594</v>
      </c>
      <c r="C25" s="376" t="s">
        <v>781</v>
      </c>
      <c r="D25" s="821">
        <f>D19+D17</f>
        <v>0</v>
      </c>
      <c r="E25" s="236">
        <f t="shared" ref="E25:I25" si="7">E19+E17</f>
        <v>0</v>
      </c>
      <c r="F25" s="236">
        <f t="shared" si="7"/>
        <v>0</v>
      </c>
      <c r="G25" s="236">
        <f t="shared" si="7"/>
        <v>0</v>
      </c>
      <c r="H25" s="236">
        <f t="shared" si="7"/>
        <v>0</v>
      </c>
      <c r="I25" s="237">
        <f t="shared" si="7"/>
        <v>0</v>
      </c>
      <c r="J25" s="4775"/>
    </row>
    <row r="26" spans="1:10" s="2001" customFormat="1" ht="12.75">
      <c r="A26" s="5198"/>
      <c r="B26" s="5201"/>
      <c r="C26" s="383" t="s">
        <v>170</v>
      </c>
      <c r="D26" s="4022">
        <f t="shared" ref="D26:I26" si="8">IFERROR(D25/D10,0)</f>
        <v>0</v>
      </c>
      <c r="E26" s="4023">
        <f t="shared" si="8"/>
        <v>0</v>
      </c>
      <c r="F26" s="4023">
        <f t="shared" si="8"/>
        <v>0</v>
      </c>
      <c r="G26" s="4023">
        <f t="shared" si="8"/>
        <v>0</v>
      </c>
      <c r="H26" s="4023">
        <f t="shared" si="8"/>
        <v>0</v>
      </c>
      <c r="I26" s="4024">
        <f t="shared" si="8"/>
        <v>0</v>
      </c>
      <c r="J26" s="4775"/>
    </row>
    <row r="27" spans="1:10" s="2001" customFormat="1" ht="13.5" thickBot="1">
      <c r="A27" s="5199"/>
      <c r="B27" s="5202"/>
      <c r="C27" s="384" t="s">
        <v>725</v>
      </c>
      <c r="D27" s="822">
        <f t="shared" ref="D27:I27" si="9">D10-D15-D25</f>
        <v>0</v>
      </c>
      <c r="E27" s="823">
        <f t="shared" si="9"/>
        <v>0</v>
      </c>
      <c r="F27" s="823">
        <f t="shared" si="9"/>
        <v>0</v>
      </c>
      <c r="G27" s="823">
        <f t="shared" si="9"/>
        <v>0</v>
      </c>
      <c r="H27" s="823">
        <f t="shared" si="9"/>
        <v>0</v>
      </c>
      <c r="I27" s="824">
        <f t="shared" si="9"/>
        <v>0</v>
      </c>
      <c r="J27" s="4775"/>
    </row>
    <row r="28" spans="1:10" s="2001" customFormat="1" ht="13.5" thickBot="1">
      <c r="A28" s="1990" t="s">
        <v>1153</v>
      </c>
      <c r="B28" s="1991" t="str">
        <f>"Доставяне на вода на друг ВиК оператор - "&amp;'1. Обща информация'!B34</f>
        <v xml:space="preserve">Доставяне на вода на друг ВиК оператор - </v>
      </c>
      <c r="C28" s="1990"/>
      <c r="D28" s="1996"/>
      <c r="E28" s="1997"/>
      <c r="F28" s="1997"/>
      <c r="G28" s="1997"/>
      <c r="H28" s="1997"/>
      <c r="I28" s="1998"/>
      <c r="J28" s="4775"/>
    </row>
    <row r="29" spans="1:10" s="2001" customFormat="1" ht="15.75">
      <c r="A29" s="4197" t="s">
        <v>205</v>
      </c>
      <c r="B29" s="764" t="s">
        <v>570</v>
      </c>
      <c r="C29" s="376" t="s">
        <v>781</v>
      </c>
      <c r="D29" s="815">
        <f>D30+D31+D32+D33</f>
        <v>0</v>
      </c>
      <c r="E29" s="219">
        <f>E30+E31+E32+E33</f>
        <v>0</v>
      </c>
      <c r="F29" s="219">
        <f>F30+F31+F32+F33</f>
        <v>0</v>
      </c>
      <c r="G29" s="219">
        <f t="shared" ref="G29:I29" si="10">G30+G31+G32+G33</f>
        <v>0</v>
      </c>
      <c r="H29" s="219">
        <f t="shared" si="10"/>
        <v>0</v>
      </c>
      <c r="I29" s="220">
        <f t="shared" si="10"/>
        <v>0</v>
      </c>
      <c r="J29" s="4775"/>
    </row>
    <row r="30" spans="1:10" s="1847" customFormat="1" ht="15.75">
      <c r="A30" s="86" t="s">
        <v>463</v>
      </c>
      <c r="B30" s="1995" t="s">
        <v>906</v>
      </c>
      <c r="C30" s="378" t="s">
        <v>781</v>
      </c>
      <c r="D30" s="816"/>
      <c r="E30" s="214"/>
      <c r="F30" s="214"/>
      <c r="G30" s="214"/>
      <c r="H30" s="214"/>
      <c r="I30" s="215"/>
      <c r="J30" s="4775"/>
    </row>
    <row r="31" spans="1:10" s="1847" customFormat="1" ht="15.75">
      <c r="A31" s="86" t="s">
        <v>465</v>
      </c>
      <c r="B31" s="765" t="s">
        <v>907</v>
      </c>
      <c r="C31" s="378" t="s">
        <v>781</v>
      </c>
      <c r="D31" s="816"/>
      <c r="E31" s="214"/>
      <c r="F31" s="214"/>
      <c r="G31" s="214"/>
      <c r="H31" s="214"/>
      <c r="I31" s="215"/>
      <c r="J31" s="4775"/>
    </row>
    <row r="32" spans="1:10" s="1847" customFormat="1" ht="15.75">
      <c r="A32" s="86" t="s">
        <v>466</v>
      </c>
      <c r="B32" s="765" t="s">
        <v>908</v>
      </c>
      <c r="C32" s="378" t="s">
        <v>781</v>
      </c>
      <c r="D32" s="816"/>
      <c r="E32" s="214"/>
      <c r="F32" s="214"/>
      <c r="G32" s="214"/>
      <c r="H32" s="214"/>
      <c r="I32" s="215"/>
      <c r="J32" s="4775"/>
    </row>
    <row r="33" spans="1:10" s="1847" customFormat="1" ht="26.25" thickBot="1">
      <c r="A33" s="766" t="s">
        <v>468</v>
      </c>
      <c r="B33" s="4021" t="s">
        <v>909</v>
      </c>
      <c r="C33" s="767" t="s">
        <v>781</v>
      </c>
      <c r="D33" s="817"/>
      <c r="E33" s="818"/>
      <c r="F33" s="818"/>
      <c r="G33" s="818"/>
      <c r="H33" s="818"/>
      <c r="I33" s="819"/>
      <c r="J33" s="4775"/>
    </row>
    <row r="34" spans="1:10" s="2001" customFormat="1" ht="15.75">
      <c r="A34" s="5093" t="s">
        <v>477</v>
      </c>
      <c r="B34" s="5095" t="s">
        <v>572</v>
      </c>
      <c r="C34" s="381" t="s">
        <v>781</v>
      </c>
      <c r="D34" s="2017"/>
      <c r="E34" s="2018"/>
      <c r="F34" s="2018"/>
      <c r="G34" s="2018"/>
      <c r="H34" s="2018"/>
      <c r="I34" s="2019"/>
      <c r="J34" s="4775"/>
    </row>
    <row r="35" spans="1:10" s="2001" customFormat="1" ht="13.5" thickBot="1">
      <c r="A35" s="5094"/>
      <c r="B35" s="5096"/>
      <c r="C35" s="378" t="s">
        <v>170</v>
      </c>
      <c r="D35" s="820">
        <f>IFERROR(D34/D29,0)</f>
        <v>0</v>
      </c>
      <c r="E35" s="233">
        <f t="shared" ref="E35:I35" si="11">IFERROR(E34/E29,0)</f>
        <v>0</v>
      </c>
      <c r="F35" s="233">
        <f t="shared" si="11"/>
        <v>0</v>
      </c>
      <c r="G35" s="233">
        <f t="shared" si="11"/>
        <v>0</v>
      </c>
      <c r="H35" s="233">
        <f t="shared" si="11"/>
        <v>0</v>
      </c>
      <c r="I35" s="234">
        <f t="shared" si="11"/>
        <v>0</v>
      </c>
      <c r="J35" s="4775"/>
    </row>
    <row r="36" spans="1:10" s="2001" customFormat="1" ht="15.75">
      <c r="A36" s="5188" t="s">
        <v>479</v>
      </c>
      <c r="B36" s="5189" t="s">
        <v>688</v>
      </c>
      <c r="C36" s="571" t="s">
        <v>781</v>
      </c>
      <c r="D36" s="2020"/>
      <c r="E36" s="2021"/>
      <c r="F36" s="2021"/>
      <c r="G36" s="2021"/>
      <c r="H36" s="2021"/>
      <c r="I36" s="2022"/>
      <c r="J36" s="4775"/>
    </row>
    <row r="37" spans="1:10" s="2001" customFormat="1" ht="13.5" thickBot="1">
      <c r="A37" s="5055"/>
      <c r="B37" s="5057"/>
      <c r="C37" s="551" t="s">
        <v>170</v>
      </c>
      <c r="D37" s="947">
        <f t="shared" ref="D37:I37" si="12">IFERROR(D36/D29,0)</f>
        <v>0</v>
      </c>
      <c r="E37" s="948">
        <f t="shared" si="12"/>
        <v>0</v>
      </c>
      <c r="F37" s="948">
        <f t="shared" si="12"/>
        <v>0</v>
      </c>
      <c r="G37" s="948">
        <f t="shared" si="12"/>
        <v>0</v>
      </c>
      <c r="H37" s="948">
        <f t="shared" si="12"/>
        <v>0</v>
      </c>
      <c r="I37" s="949">
        <f t="shared" si="12"/>
        <v>0</v>
      </c>
      <c r="J37" s="4775"/>
    </row>
    <row r="38" spans="1:10" s="2001" customFormat="1" ht="15.75">
      <c r="A38" s="5048" t="s">
        <v>219</v>
      </c>
      <c r="B38" s="5058" t="s">
        <v>689</v>
      </c>
      <c r="C38" s="527" t="s">
        <v>781</v>
      </c>
      <c r="D38" s="537">
        <f>D40+D42</f>
        <v>0</v>
      </c>
      <c r="E38" s="538">
        <f t="shared" ref="E38:I38" si="13">E40+E42</f>
        <v>0</v>
      </c>
      <c r="F38" s="538">
        <f t="shared" si="13"/>
        <v>0</v>
      </c>
      <c r="G38" s="538">
        <f t="shared" si="13"/>
        <v>0</v>
      </c>
      <c r="H38" s="538">
        <f t="shared" si="13"/>
        <v>0</v>
      </c>
      <c r="I38" s="539">
        <f t="shared" si="13"/>
        <v>0</v>
      </c>
      <c r="J38" s="4775"/>
    </row>
    <row r="39" spans="1:10" s="2001" customFormat="1" ht="13.5" thickBot="1">
      <c r="A39" s="5050"/>
      <c r="B39" s="5059"/>
      <c r="C39" s="575" t="s">
        <v>170</v>
      </c>
      <c r="D39" s="944">
        <f t="shared" ref="D39:I39" si="14">IFERROR(D38/D29,0)</f>
        <v>0</v>
      </c>
      <c r="E39" s="779">
        <f t="shared" si="14"/>
        <v>0</v>
      </c>
      <c r="F39" s="779">
        <f t="shared" si="14"/>
        <v>0</v>
      </c>
      <c r="G39" s="779">
        <f t="shared" si="14"/>
        <v>0</v>
      </c>
      <c r="H39" s="779">
        <f t="shared" si="14"/>
        <v>0</v>
      </c>
      <c r="I39" s="945">
        <f t="shared" si="14"/>
        <v>0</v>
      </c>
      <c r="J39" s="4775"/>
    </row>
    <row r="40" spans="1:10" s="2001" customFormat="1" ht="15.75">
      <c r="A40" s="5060" t="s">
        <v>263</v>
      </c>
      <c r="B40" s="5174" t="s">
        <v>580</v>
      </c>
      <c r="C40" s="571" t="s">
        <v>781</v>
      </c>
      <c r="D40" s="2020"/>
      <c r="E40" s="2021"/>
      <c r="F40" s="2021"/>
      <c r="G40" s="2021"/>
      <c r="H40" s="2021"/>
      <c r="I40" s="2022"/>
      <c r="J40" s="4775"/>
    </row>
    <row r="41" spans="1:10" s="2001" customFormat="1" ht="12.75">
      <c r="A41" s="5045"/>
      <c r="B41" s="5062"/>
      <c r="C41" s="946" t="s">
        <v>170</v>
      </c>
      <c r="D41" s="564">
        <f t="shared" ref="D41:I41" si="15">IFERROR(D40/D29,0)</f>
        <v>0</v>
      </c>
      <c r="E41" s="565">
        <f t="shared" si="15"/>
        <v>0</v>
      </c>
      <c r="F41" s="565">
        <f t="shared" si="15"/>
        <v>0</v>
      </c>
      <c r="G41" s="565">
        <f t="shared" si="15"/>
        <v>0</v>
      </c>
      <c r="H41" s="565">
        <f t="shared" si="15"/>
        <v>0</v>
      </c>
      <c r="I41" s="566">
        <f t="shared" si="15"/>
        <v>0</v>
      </c>
      <c r="J41" s="4775"/>
    </row>
    <row r="42" spans="1:10" s="2001" customFormat="1" ht="15.75">
      <c r="A42" s="5044" t="s">
        <v>264</v>
      </c>
      <c r="B42" s="5046" t="s">
        <v>585</v>
      </c>
      <c r="C42" s="532" t="s">
        <v>781</v>
      </c>
      <c r="D42" s="2023"/>
      <c r="E42" s="2024"/>
      <c r="F42" s="2024"/>
      <c r="G42" s="2024"/>
      <c r="H42" s="2024"/>
      <c r="I42" s="2025"/>
      <c r="J42" s="4775"/>
    </row>
    <row r="43" spans="1:10" s="2001" customFormat="1" ht="13.5" thickBot="1">
      <c r="A43" s="5175"/>
      <c r="B43" s="5176"/>
      <c r="C43" s="551" t="s">
        <v>170</v>
      </c>
      <c r="D43" s="950">
        <f t="shared" ref="D43:I43" si="16">IFERROR(D42/D29,0)</f>
        <v>0</v>
      </c>
      <c r="E43" s="951">
        <f t="shared" si="16"/>
        <v>0</v>
      </c>
      <c r="F43" s="951">
        <f t="shared" si="16"/>
        <v>0</v>
      </c>
      <c r="G43" s="951">
        <f t="shared" si="16"/>
        <v>0</v>
      </c>
      <c r="H43" s="951">
        <f t="shared" si="16"/>
        <v>0</v>
      </c>
      <c r="I43" s="952">
        <f t="shared" si="16"/>
        <v>0</v>
      </c>
      <c r="J43" s="4775"/>
    </row>
    <row r="44" spans="1:10" s="2001" customFormat="1" ht="15.75">
      <c r="A44" s="5197" t="s">
        <v>221</v>
      </c>
      <c r="B44" s="5200" t="s">
        <v>594</v>
      </c>
      <c r="C44" s="376" t="s">
        <v>781</v>
      </c>
      <c r="D44" s="821">
        <f>D38+D36</f>
        <v>0</v>
      </c>
      <c r="E44" s="236">
        <f t="shared" ref="E44:I44" si="17">E38+E36</f>
        <v>0</v>
      </c>
      <c r="F44" s="236">
        <f t="shared" si="17"/>
        <v>0</v>
      </c>
      <c r="G44" s="236">
        <f t="shared" si="17"/>
        <v>0</v>
      </c>
      <c r="H44" s="236">
        <f t="shared" si="17"/>
        <v>0</v>
      </c>
      <c r="I44" s="237">
        <f t="shared" si="17"/>
        <v>0</v>
      </c>
      <c r="J44" s="4775"/>
    </row>
    <row r="45" spans="1:10" s="2001" customFormat="1" ht="12.75">
      <c r="A45" s="5198"/>
      <c r="B45" s="5201"/>
      <c r="C45" s="383" t="s">
        <v>170</v>
      </c>
      <c r="D45" s="4022">
        <f t="shared" ref="D45:I45" si="18">IFERROR(D44/D29,0)</f>
        <v>0</v>
      </c>
      <c r="E45" s="4023">
        <f t="shared" si="18"/>
        <v>0</v>
      </c>
      <c r="F45" s="4023">
        <f t="shared" si="18"/>
        <v>0</v>
      </c>
      <c r="G45" s="4023">
        <f t="shared" si="18"/>
        <v>0</v>
      </c>
      <c r="H45" s="4023">
        <f t="shared" si="18"/>
        <v>0</v>
      </c>
      <c r="I45" s="4024">
        <f t="shared" si="18"/>
        <v>0</v>
      </c>
      <c r="J45" s="4775"/>
    </row>
    <row r="46" spans="1:10" s="2001" customFormat="1" ht="13.5" thickBot="1">
      <c r="A46" s="5199"/>
      <c r="B46" s="5202"/>
      <c r="C46" s="384" t="s">
        <v>725</v>
      </c>
      <c r="D46" s="822">
        <f t="shared" ref="D46:I46" si="19">D29-D34-D44</f>
        <v>0</v>
      </c>
      <c r="E46" s="823">
        <f t="shared" si="19"/>
        <v>0</v>
      </c>
      <c r="F46" s="823">
        <f t="shared" si="19"/>
        <v>0</v>
      </c>
      <c r="G46" s="823">
        <f t="shared" si="19"/>
        <v>0</v>
      </c>
      <c r="H46" s="823">
        <f t="shared" si="19"/>
        <v>0</v>
      </c>
      <c r="I46" s="824">
        <f t="shared" si="19"/>
        <v>0</v>
      </c>
      <c r="J46" s="4775"/>
    </row>
    <row r="47" spans="1:10" s="2001" customFormat="1" ht="13.5" thickBot="1">
      <c r="A47" s="1990" t="s">
        <v>1287</v>
      </c>
      <c r="B47" s="1991" t="str">
        <f>"Доставяне на вода на друг ВиК оператор - "&amp;'1. Обща информация'!B35</f>
        <v xml:space="preserve">Доставяне на вода на друг ВиК оператор - </v>
      </c>
      <c r="C47" s="1990"/>
      <c r="D47" s="1996"/>
      <c r="E47" s="1997"/>
      <c r="F47" s="1997"/>
      <c r="G47" s="1997"/>
      <c r="H47" s="1997"/>
      <c r="I47" s="1998"/>
      <c r="J47" s="4775"/>
    </row>
    <row r="48" spans="1:10" s="2001" customFormat="1" ht="15.75">
      <c r="A48" s="4197" t="s">
        <v>205</v>
      </c>
      <c r="B48" s="764" t="s">
        <v>570</v>
      </c>
      <c r="C48" s="376" t="s">
        <v>781</v>
      </c>
      <c r="D48" s="815">
        <f>D49+D50+D51+D52</f>
        <v>0</v>
      </c>
      <c r="E48" s="219">
        <f>E49+E50+E51+E52</f>
        <v>0</v>
      </c>
      <c r="F48" s="219">
        <f>F49+F50+F51+F52</f>
        <v>0</v>
      </c>
      <c r="G48" s="219">
        <f t="shared" ref="G48:I48" si="20">G49+G50+G51+G52</f>
        <v>0</v>
      </c>
      <c r="H48" s="219">
        <f t="shared" si="20"/>
        <v>0</v>
      </c>
      <c r="I48" s="220">
        <f t="shared" si="20"/>
        <v>0</v>
      </c>
      <c r="J48" s="4775"/>
    </row>
    <row r="49" spans="1:10" s="1847" customFormat="1" ht="15.75">
      <c r="A49" s="86" t="s">
        <v>463</v>
      </c>
      <c r="B49" s="1995" t="s">
        <v>906</v>
      </c>
      <c r="C49" s="378" t="s">
        <v>781</v>
      </c>
      <c r="D49" s="816"/>
      <c r="E49" s="214"/>
      <c r="F49" s="214"/>
      <c r="G49" s="214"/>
      <c r="H49" s="214"/>
      <c r="I49" s="215"/>
      <c r="J49" s="4775"/>
    </row>
    <row r="50" spans="1:10" s="1847" customFormat="1" ht="15.75">
      <c r="A50" s="86" t="s">
        <v>465</v>
      </c>
      <c r="B50" s="765" t="s">
        <v>907</v>
      </c>
      <c r="C50" s="378" t="s">
        <v>781</v>
      </c>
      <c r="D50" s="816"/>
      <c r="E50" s="214"/>
      <c r="F50" s="214"/>
      <c r="G50" s="214"/>
      <c r="H50" s="214"/>
      <c r="I50" s="215"/>
      <c r="J50" s="4775"/>
    </row>
    <row r="51" spans="1:10" s="1847" customFormat="1" ht="15.75">
      <c r="A51" s="86" t="s">
        <v>466</v>
      </c>
      <c r="B51" s="765" t="s">
        <v>908</v>
      </c>
      <c r="C51" s="378" t="s">
        <v>781</v>
      </c>
      <c r="D51" s="816"/>
      <c r="E51" s="214"/>
      <c r="F51" s="214"/>
      <c r="G51" s="214"/>
      <c r="H51" s="214"/>
      <c r="I51" s="215"/>
      <c r="J51" s="4775"/>
    </row>
    <row r="52" spans="1:10" s="1847" customFormat="1" ht="26.25" thickBot="1">
      <c r="A52" s="766" t="s">
        <v>468</v>
      </c>
      <c r="B52" s="4021" t="s">
        <v>909</v>
      </c>
      <c r="C52" s="767" t="s">
        <v>781</v>
      </c>
      <c r="D52" s="817"/>
      <c r="E52" s="214"/>
      <c r="F52" s="214"/>
      <c r="G52" s="214"/>
      <c r="H52" s="214"/>
      <c r="I52" s="215"/>
      <c r="J52" s="4775"/>
    </row>
    <row r="53" spans="1:10" s="2001" customFormat="1" ht="15.75">
      <c r="A53" s="5093" t="s">
        <v>206</v>
      </c>
      <c r="B53" s="5095" t="s">
        <v>572</v>
      </c>
      <c r="C53" s="381" t="s">
        <v>781</v>
      </c>
      <c r="D53" s="2017"/>
      <c r="E53" s="2018"/>
      <c r="F53" s="2018"/>
      <c r="G53" s="2018"/>
      <c r="H53" s="2018"/>
      <c r="I53" s="2019"/>
      <c r="J53" s="4775"/>
    </row>
    <row r="54" spans="1:10" s="2001" customFormat="1" ht="13.5" thickBot="1">
      <c r="A54" s="5094"/>
      <c r="B54" s="5096"/>
      <c r="C54" s="378" t="s">
        <v>170</v>
      </c>
      <c r="D54" s="820">
        <f>IFERROR(D53/D48,0)</f>
        <v>0</v>
      </c>
      <c r="E54" s="233">
        <f t="shared" ref="E54:I54" si="21">IFERROR(E53/E48,0)</f>
        <v>0</v>
      </c>
      <c r="F54" s="233">
        <f t="shared" si="21"/>
        <v>0</v>
      </c>
      <c r="G54" s="233">
        <f t="shared" si="21"/>
        <v>0</v>
      </c>
      <c r="H54" s="233">
        <f t="shared" si="21"/>
        <v>0</v>
      </c>
      <c r="I54" s="234">
        <f t="shared" si="21"/>
        <v>0</v>
      </c>
      <c r="J54" s="4775"/>
    </row>
    <row r="55" spans="1:10" s="2001" customFormat="1" ht="15.75">
      <c r="A55" s="5188" t="s">
        <v>97</v>
      </c>
      <c r="B55" s="5189" t="s">
        <v>688</v>
      </c>
      <c r="C55" s="571" t="s">
        <v>781</v>
      </c>
      <c r="D55" s="2020"/>
      <c r="E55" s="2021"/>
      <c r="F55" s="2021"/>
      <c r="G55" s="2021"/>
      <c r="H55" s="2021"/>
      <c r="I55" s="2022"/>
      <c r="J55" s="4775"/>
    </row>
    <row r="56" spans="1:10" s="2001" customFormat="1" ht="13.5" thickBot="1">
      <c r="A56" s="5055"/>
      <c r="B56" s="5057"/>
      <c r="C56" s="551" t="s">
        <v>170</v>
      </c>
      <c r="D56" s="947">
        <f t="shared" ref="D56:I56" si="22">IFERROR(D55/D48,0)</f>
        <v>0</v>
      </c>
      <c r="E56" s="948">
        <f t="shared" si="22"/>
        <v>0</v>
      </c>
      <c r="F56" s="948">
        <f t="shared" si="22"/>
        <v>0</v>
      </c>
      <c r="G56" s="948">
        <f t="shared" si="22"/>
        <v>0</v>
      </c>
      <c r="H56" s="948">
        <f t="shared" si="22"/>
        <v>0</v>
      </c>
      <c r="I56" s="949">
        <f t="shared" si="22"/>
        <v>0</v>
      </c>
      <c r="J56" s="4775"/>
    </row>
    <row r="57" spans="1:10" s="2001" customFormat="1" ht="15.75">
      <c r="A57" s="5048" t="s">
        <v>219</v>
      </c>
      <c r="B57" s="5058" t="s">
        <v>689</v>
      </c>
      <c r="C57" s="527" t="s">
        <v>781</v>
      </c>
      <c r="D57" s="537">
        <f>D59+D61</f>
        <v>0</v>
      </c>
      <c r="E57" s="538">
        <f t="shared" ref="E57:I57" si="23">E59+E61</f>
        <v>0</v>
      </c>
      <c r="F57" s="538">
        <f t="shared" si="23"/>
        <v>0</v>
      </c>
      <c r="G57" s="538">
        <f t="shared" si="23"/>
        <v>0</v>
      </c>
      <c r="H57" s="538">
        <f t="shared" si="23"/>
        <v>0</v>
      </c>
      <c r="I57" s="539">
        <f t="shared" si="23"/>
        <v>0</v>
      </c>
      <c r="J57" s="4775"/>
    </row>
    <row r="58" spans="1:10" s="2001" customFormat="1" ht="13.5" thickBot="1">
      <c r="A58" s="5050"/>
      <c r="B58" s="5059"/>
      <c r="C58" s="575" t="s">
        <v>170</v>
      </c>
      <c r="D58" s="944">
        <f t="shared" ref="D58:I58" si="24">IFERROR(D57/D48,0)</f>
        <v>0</v>
      </c>
      <c r="E58" s="779">
        <f t="shared" si="24"/>
        <v>0</v>
      </c>
      <c r="F58" s="779">
        <f t="shared" si="24"/>
        <v>0</v>
      </c>
      <c r="G58" s="779">
        <f t="shared" si="24"/>
        <v>0</v>
      </c>
      <c r="H58" s="779">
        <f t="shared" si="24"/>
        <v>0</v>
      </c>
      <c r="I58" s="945">
        <f t="shared" si="24"/>
        <v>0</v>
      </c>
      <c r="J58" s="4775"/>
    </row>
    <row r="59" spans="1:10" s="2001" customFormat="1" ht="15.75">
      <c r="A59" s="5060" t="s">
        <v>263</v>
      </c>
      <c r="B59" s="5174" t="s">
        <v>580</v>
      </c>
      <c r="C59" s="571" t="s">
        <v>781</v>
      </c>
      <c r="D59" s="2020"/>
      <c r="E59" s="2021"/>
      <c r="F59" s="2021"/>
      <c r="G59" s="2021"/>
      <c r="H59" s="2021"/>
      <c r="I59" s="2022"/>
      <c r="J59" s="4775"/>
    </row>
    <row r="60" spans="1:10" s="2001" customFormat="1" ht="12.75">
      <c r="A60" s="5045"/>
      <c r="B60" s="5062"/>
      <c r="C60" s="946" t="s">
        <v>170</v>
      </c>
      <c r="D60" s="564">
        <f t="shared" ref="D60:I60" si="25">IFERROR(D59/D48,0)</f>
        <v>0</v>
      </c>
      <c r="E60" s="565">
        <f t="shared" si="25"/>
        <v>0</v>
      </c>
      <c r="F60" s="565">
        <f t="shared" si="25"/>
        <v>0</v>
      </c>
      <c r="G60" s="565">
        <f t="shared" si="25"/>
        <v>0</v>
      </c>
      <c r="H60" s="565">
        <f t="shared" si="25"/>
        <v>0</v>
      </c>
      <c r="I60" s="566">
        <f t="shared" si="25"/>
        <v>0</v>
      </c>
      <c r="J60" s="4775"/>
    </row>
    <row r="61" spans="1:10" s="2001" customFormat="1" ht="15.75">
      <c r="A61" s="5044" t="s">
        <v>264</v>
      </c>
      <c r="B61" s="5046" t="s">
        <v>585</v>
      </c>
      <c r="C61" s="532" t="s">
        <v>781</v>
      </c>
      <c r="D61" s="2023"/>
      <c r="E61" s="2024"/>
      <c r="F61" s="2024"/>
      <c r="G61" s="2024"/>
      <c r="H61" s="2024"/>
      <c r="I61" s="2025"/>
      <c r="J61" s="4775"/>
    </row>
    <row r="62" spans="1:10" s="2001" customFormat="1" ht="13.5" thickBot="1">
      <c r="A62" s="5175"/>
      <c r="B62" s="5176"/>
      <c r="C62" s="551" t="s">
        <v>170</v>
      </c>
      <c r="D62" s="950">
        <f t="shared" ref="D62:I62" si="26">IFERROR(D61/D48,0)</f>
        <v>0</v>
      </c>
      <c r="E62" s="951">
        <f t="shared" si="26"/>
        <v>0</v>
      </c>
      <c r="F62" s="951">
        <f t="shared" si="26"/>
        <v>0</v>
      </c>
      <c r="G62" s="951">
        <f t="shared" si="26"/>
        <v>0</v>
      </c>
      <c r="H62" s="951">
        <f t="shared" si="26"/>
        <v>0</v>
      </c>
      <c r="I62" s="952">
        <f t="shared" si="26"/>
        <v>0</v>
      </c>
      <c r="J62" s="4775"/>
    </row>
    <row r="63" spans="1:10" s="2001" customFormat="1" ht="15.75">
      <c r="A63" s="5197" t="s">
        <v>221</v>
      </c>
      <c r="B63" s="5200" t="s">
        <v>594</v>
      </c>
      <c r="C63" s="376" t="s">
        <v>781</v>
      </c>
      <c r="D63" s="821">
        <f>D57+D55</f>
        <v>0</v>
      </c>
      <c r="E63" s="236">
        <f t="shared" ref="E63:I63" si="27">E57+E55</f>
        <v>0</v>
      </c>
      <c r="F63" s="236">
        <f t="shared" si="27"/>
        <v>0</v>
      </c>
      <c r="G63" s="236">
        <f t="shared" si="27"/>
        <v>0</v>
      </c>
      <c r="H63" s="236">
        <f t="shared" si="27"/>
        <v>0</v>
      </c>
      <c r="I63" s="237">
        <f t="shared" si="27"/>
        <v>0</v>
      </c>
      <c r="J63" s="4775"/>
    </row>
    <row r="64" spans="1:10" s="2001" customFormat="1" ht="12.75">
      <c r="A64" s="5198"/>
      <c r="B64" s="5201"/>
      <c r="C64" s="383" t="s">
        <v>170</v>
      </c>
      <c r="D64" s="4022">
        <f t="shared" ref="D64:I64" si="28">IFERROR(D63/D48,0)</f>
        <v>0</v>
      </c>
      <c r="E64" s="4023">
        <f t="shared" si="28"/>
        <v>0</v>
      </c>
      <c r="F64" s="4023">
        <f t="shared" si="28"/>
        <v>0</v>
      </c>
      <c r="G64" s="4023">
        <f t="shared" si="28"/>
        <v>0</v>
      </c>
      <c r="H64" s="4023">
        <f t="shared" si="28"/>
        <v>0</v>
      </c>
      <c r="I64" s="4024">
        <f t="shared" si="28"/>
        <v>0</v>
      </c>
      <c r="J64" s="4775"/>
    </row>
    <row r="65" spans="1:17" s="2001" customFormat="1" ht="13.5" thickBot="1">
      <c r="A65" s="5199"/>
      <c r="B65" s="5202"/>
      <c r="C65" s="384" t="s">
        <v>725</v>
      </c>
      <c r="D65" s="822">
        <f t="shared" ref="D65:I65" si="29">D48-D53-D63</f>
        <v>0</v>
      </c>
      <c r="E65" s="823">
        <f t="shared" si="29"/>
        <v>0</v>
      </c>
      <c r="F65" s="823">
        <f t="shared" si="29"/>
        <v>0</v>
      </c>
      <c r="G65" s="823">
        <f t="shared" si="29"/>
        <v>0</v>
      </c>
      <c r="H65" s="823">
        <f t="shared" si="29"/>
        <v>0</v>
      </c>
      <c r="I65" s="824">
        <f t="shared" si="29"/>
        <v>0</v>
      </c>
      <c r="J65" s="4775"/>
    </row>
    <row r="66" spans="1:17" s="4020" customFormat="1" ht="13.5" thickBot="1">
      <c r="A66" s="181" t="s">
        <v>1153</v>
      </c>
      <c r="B66" s="5194" t="s">
        <v>1154</v>
      </c>
      <c r="C66" s="5195"/>
      <c r="D66" s="5195"/>
      <c r="E66" s="5195"/>
      <c r="F66" s="5195"/>
      <c r="G66" s="5195"/>
      <c r="H66" s="5195"/>
      <c r="I66" s="5196"/>
      <c r="J66" s="4775"/>
    </row>
    <row r="67" spans="1:17" s="4020" customFormat="1" ht="13.5" thickBot="1">
      <c r="A67" s="1999" t="s">
        <v>205</v>
      </c>
      <c r="B67" s="4025" t="s">
        <v>1982</v>
      </c>
      <c r="C67" s="4026"/>
      <c r="D67" s="4026"/>
      <c r="E67" s="4026"/>
      <c r="F67" s="4026"/>
      <c r="G67" s="4026"/>
      <c r="H67" s="4026"/>
      <c r="I67" s="4027"/>
      <c r="J67" s="4775"/>
    </row>
    <row r="68" spans="1:17" s="4020" customFormat="1" ht="15.75">
      <c r="A68" s="5180" t="s">
        <v>463</v>
      </c>
      <c r="B68" s="5186" t="s">
        <v>1156</v>
      </c>
      <c r="C68" s="587" t="s">
        <v>781</v>
      </c>
      <c r="D68" s="588">
        <v>419273</v>
      </c>
      <c r="E68" s="589">
        <v>420000</v>
      </c>
      <c r="F68" s="589">
        <v>420000</v>
      </c>
      <c r="G68" s="589">
        <v>420000</v>
      </c>
      <c r="H68" s="589">
        <v>420000</v>
      </c>
      <c r="I68" s="590">
        <v>420000</v>
      </c>
      <c r="J68" s="4775"/>
    </row>
    <row r="69" spans="1:17" s="4020" customFormat="1" ht="15.75">
      <c r="A69" s="5185"/>
      <c r="B69" s="5187"/>
      <c r="C69" s="587" t="s">
        <v>1157</v>
      </c>
      <c r="D69" s="607">
        <v>0.04</v>
      </c>
      <c r="E69" s="606">
        <v>0.04</v>
      </c>
      <c r="F69" s="606">
        <v>0.04</v>
      </c>
      <c r="G69" s="606">
        <v>0.04</v>
      </c>
      <c r="H69" s="606">
        <v>0.04</v>
      </c>
      <c r="I69" s="606">
        <v>0.04</v>
      </c>
      <c r="J69" s="4775"/>
      <c r="K69" s="4782" t="s">
        <v>1898</v>
      </c>
      <c r="L69" s="4783">
        <f>IFERROR(D69/$C$1,0)</f>
        <v>2.0451675247848741E-2</v>
      </c>
      <c r="M69" s="4783">
        <f t="shared" ref="M69:Q70" si="30">IFERROR(E69/$C$1,0)</f>
        <v>2.0451675247848741E-2</v>
      </c>
      <c r="N69" s="4783">
        <f t="shared" si="30"/>
        <v>2.0451675247848741E-2</v>
      </c>
      <c r="O69" s="4783">
        <f t="shared" si="30"/>
        <v>2.0451675247848741E-2</v>
      </c>
      <c r="P69" s="4783">
        <f t="shared" si="30"/>
        <v>2.0451675247848741E-2</v>
      </c>
      <c r="Q69" s="4783">
        <f t="shared" si="30"/>
        <v>2.0451675247848741E-2</v>
      </c>
    </row>
    <row r="70" spans="1:17" s="4020" customFormat="1" ht="12.75">
      <c r="A70" s="5181"/>
      <c r="B70" s="591" t="s">
        <v>1158</v>
      </c>
      <c r="C70" s="587" t="s">
        <v>1159</v>
      </c>
      <c r="D70" s="1007">
        <f>D68*D69/1000</f>
        <v>16.77092</v>
      </c>
      <c r="E70" s="1007">
        <f t="shared" ref="E70:I70" si="31">E68*E69/1000</f>
        <v>16.8</v>
      </c>
      <c r="F70" s="1007">
        <f t="shared" si="31"/>
        <v>16.8</v>
      </c>
      <c r="G70" s="1007">
        <f t="shared" si="31"/>
        <v>16.8</v>
      </c>
      <c r="H70" s="1007">
        <f t="shared" si="31"/>
        <v>16.8</v>
      </c>
      <c r="I70" s="1008">
        <f t="shared" si="31"/>
        <v>16.8</v>
      </c>
      <c r="J70" s="4775"/>
      <c r="K70" s="4782" t="s">
        <v>1876</v>
      </c>
      <c r="L70" s="4784">
        <f>IFERROR(D70/$C$1,0)</f>
        <v>8.5748352361912854</v>
      </c>
      <c r="M70" s="4784">
        <f t="shared" si="30"/>
        <v>8.5897036040964707</v>
      </c>
      <c r="N70" s="4784">
        <f t="shared" si="30"/>
        <v>8.5897036040964707</v>
      </c>
      <c r="O70" s="4784">
        <f t="shared" si="30"/>
        <v>8.5897036040964707</v>
      </c>
      <c r="P70" s="4784">
        <f t="shared" si="30"/>
        <v>8.5897036040964707</v>
      </c>
      <c r="Q70" s="4784">
        <f t="shared" si="30"/>
        <v>8.5897036040964707</v>
      </c>
    </row>
    <row r="71" spans="1:17" s="4020" customFormat="1" ht="15.75">
      <c r="A71" s="5180" t="s">
        <v>465</v>
      </c>
      <c r="B71" s="5186" t="s">
        <v>1160</v>
      </c>
      <c r="C71" s="587" t="s">
        <v>1161</v>
      </c>
      <c r="D71" s="592"/>
      <c r="E71" s="589"/>
      <c r="F71" s="593"/>
      <c r="G71" s="593"/>
      <c r="H71" s="589"/>
      <c r="I71" s="594"/>
      <c r="J71" s="4775"/>
    </row>
    <row r="72" spans="1:17" s="4020" customFormat="1" ht="15.75">
      <c r="A72" s="5185"/>
      <c r="B72" s="5187"/>
      <c r="C72" s="587" t="s">
        <v>1157</v>
      </c>
      <c r="D72" s="595"/>
      <c r="E72" s="589"/>
      <c r="F72" s="596"/>
      <c r="G72" s="589"/>
      <c r="H72" s="593"/>
      <c r="I72" s="597"/>
      <c r="J72" s="4775"/>
      <c r="K72" s="4782" t="s">
        <v>1898</v>
      </c>
      <c r="L72" s="4783">
        <f>IFERROR(D72/$C$1,0)</f>
        <v>0</v>
      </c>
      <c r="M72" s="4783">
        <f t="shared" ref="M72:M73" si="32">IFERROR(E72/$C$1,0)</f>
        <v>0</v>
      </c>
      <c r="N72" s="4783">
        <f t="shared" ref="N72:N73" si="33">IFERROR(F72/$C$1,0)</f>
        <v>0</v>
      </c>
      <c r="O72" s="4783">
        <f t="shared" ref="O72:O73" si="34">IFERROR(G72/$C$1,0)</f>
        <v>0</v>
      </c>
      <c r="P72" s="4783">
        <f t="shared" ref="P72:P73" si="35">IFERROR(H72/$C$1,0)</f>
        <v>0</v>
      </c>
      <c r="Q72" s="4783">
        <f t="shared" ref="Q72:Q73" si="36">IFERROR(I72/$C$1,0)</f>
        <v>0</v>
      </c>
    </row>
    <row r="73" spans="1:17" s="4020" customFormat="1" ht="13.5" thickBot="1">
      <c r="A73" s="5182"/>
      <c r="B73" s="591" t="s">
        <v>1162</v>
      </c>
      <c r="C73" s="783" t="s">
        <v>1159</v>
      </c>
      <c r="D73" s="1009">
        <f>D71*D72/1000</f>
        <v>0</v>
      </c>
      <c r="E73" s="1010">
        <f t="shared" ref="E73:I73" si="37">E71*E72/1000</f>
        <v>0</v>
      </c>
      <c r="F73" s="1011">
        <f t="shared" si="37"/>
        <v>0</v>
      </c>
      <c r="G73" s="1011">
        <f t="shared" si="37"/>
        <v>0</v>
      </c>
      <c r="H73" s="1011">
        <f t="shared" si="37"/>
        <v>0</v>
      </c>
      <c r="I73" s="1012">
        <f t="shared" si="37"/>
        <v>0</v>
      </c>
      <c r="J73" s="4775"/>
      <c r="K73" s="4782" t="s">
        <v>1876</v>
      </c>
      <c r="L73" s="4784">
        <f>IFERROR(D73/$C$1,0)</f>
        <v>0</v>
      </c>
      <c r="M73" s="4784">
        <f t="shared" si="32"/>
        <v>0</v>
      </c>
      <c r="N73" s="4784">
        <f t="shared" si="33"/>
        <v>0</v>
      </c>
      <c r="O73" s="4784">
        <f t="shared" si="34"/>
        <v>0</v>
      </c>
      <c r="P73" s="4784">
        <f t="shared" si="35"/>
        <v>0</v>
      </c>
      <c r="Q73" s="4784">
        <f t="shared" si="36"/>
        <v>0</v>
      </c>
    </row>
    <row r="74" spans="1:17" s="4020" customFormat="1" ht="13.5" thickBot="1">
      <c r="A74" s="1999" t="s">
        <v>206</v>
      </c>
      <c r="B74" s="4025" t="s">
        <v>1983</v>
      </c>
      <c r="C74" s="4026"/>
      <c r="D74" s="4026"/>
      <c r="E74" s="4026"/>
      <c r="F74" s="4026"/>
      <c r="G74" s="4026"/>
      <c r="H74" s="4026"/>
      <c r="I74" s="4027"/>
      <c r="J74" s="4775"/>
    </row>
    <row r="75" spans="1:17" s="4020" customFormat="1" ht="15.75">
      <c r="A75" s="5180" t="s">
        <v>477</v>
      </c>
      <c r="B75" s="5186" t="s">
        <v>1156</v>
      </c>
      <c r="C75" s="587" t="s">
        <v>781</v>
      </c>
      <c r="D75" s="588"/>
      <c r="E75" s="589">
        <v>38700</v>
      </c>
      <c r="F75" s="589">
        <v>38700</v>
      </c>
      <c r="G75" s="589">
        <v>38700</v>
      </c>
      <c r="H75" s="589">
        <v>38700</v>
      </c>
      <c r="I75" s="590">
        <v>38700</v>
      </c>
      <c r="J75" s="4775"/>
    </row>
    <row r="76" spans="1:17" s="4020" customFormat="1" ht="15.75">
      <c r="A76" s="5185"/>
      <c r="B76" s="5187"/>
      <c r="C76" s="587" t="s">
        <v>1157</v>
      </c>
      <c r="D76" s="588">
        <v>2.6020000000000001E-2</v>
      </c>
      <c r="E76" s="4912">
        <v>2.664E-2</v>
      </c>
      <c r="F76" s="4912">
        <v>2.664E-2</v>
      </c>
      <c r="G76" s="4912">
        <v>2.664E-2</v>
      </c>
      <c r="H76" s="4912">
        <v>2.664E-2</v>
      </c>
      <c r="I76" s="4912">
        <v>2.664E-2</v>
      </c>
      <c r="J76" s="4775"/>
      <c r="K76" s="4782" t="s">
        <v>1898</v>
      </c>
      <c r="L76" s="4783">
        <f>IFERROR(D76/$C$1,0)</f>
        <v>1.3303814748725606E-2</v>
      </c>
      <c r="M76" s="4783">
        <f t="shared" ref="M76:M77" si="38">IFERROR(E76/$C$1,0)</f>
        <v>1.362081571506726E-2</v>
      </c>
      <c r="N76" s="4783">
        <f t="shared" ref="N76:N77" si="39">IFERROR(F76/$C$1,0)</f>
        <v>1.362081571506726E-2</v>
      </c>
      <c r="O76" s="4783">
        <f t="shared" ref="O76:O77" si="40">IFERROR(G76/$C$1,0)</f>
        <v>1.362081571506726E-2</v>
      </c>
      <c r="P76" s="4783">
        <f t="shared" ref="P76:P77" si="41">IFERROR(H76/$C$1,0)</f>
        <v>1.362081571506726E-2</v>
      </c>
      <c r="Q76" s="4783">
        <f t="shared" ref="Q76:Q77" si="42">IFERROR(I76/$C$1,0)</f>
        <v>1.362081571506726E-2</v>
      </c>
    </row>
    <row r="77" spans="1:17" s="4020" customFormat="1" ht="12.75">
      <c r="A77" s="5181"/>
      <c r="B77" s="591" t="s">
        <v>1158</v>
      </c>
      <c r="C77" s="587" t="s">
        <v>1159</v>
      </c>
      <c r="D77" s="1007">
        <f>D75*D76/1000</f>
        <v>0</v>
      </c>
      <c r="E77" s="1007">
        <f t="shared" ref="E77:I77" si="43">E75*E76/1000</f>
        <v>1.0309680000000001</v>
      </c>
      <c r="F77" s="1007">
        <f t="shared" si="43"/>
        <v>1.0309680000000001</v>
      </c>
      <c r="G77" s="1007">
        <f t="shared" si="43"/>
        <v>1.0309680000000001</v>
      </c>
      <c r="H77" s="1007">
        <f t="shared" si="43"/>
        <v>1.0309680000000001</v>
      </c>
      <c r="I77" s="1008">
        <f t="shared" si="43"/>
        <v>1.0309680000000001</v>
      </c>
      <c r="J77" s="4775"/>
      <c r="K77" s="4782" t="s">
        <v>1876</v>
      </c>
      <c r="L77" s="4784">
        <f>IFERROR(D77/$C$1,0)</f>
        <v>0</v>
      </c>
      <c r="M77" s="4784">
        <f t="shared" si="38"/>
        <v>0.52712556817310308</v>
      </c>
      <c r="N77" s="4784">
        <f t="shared" si="39"/>
        <v>0.52712556817310308</v>
      </c>
      <c r="O77" s="4784">
        <f t="shared" si="40"/>
        <v>0.52712556817310308</v>
      </c>
      <c r="P77" s="4784">
        <f t="shared" si="41"/>
        <v>0.52712556817310308</v>
      </c>
      <c r="Q77" s="4784">
        <f t="shared" si="42"/>
        <v>0.52712556817310308</v>
      </c>
    </row>
    <row r="78" spans="1:17" s="4020" customFormat="1" ht="15.75">
      <c r="A78" s="5180" t="s">
        <v>479</v>
      </c>
      <c r="B78" s="5186" t="s">
        <v>1160</v>
      </c>
      <c r="C78" s="587" t="s">
        <v>1161</v>
      </c>
      <c r="D78" s="592"/>
      <c r="E78" s="589"/>
      <c r="F78" s="593"/>
      <c r="G78" s="593"/>
      <c r="H78" s="589"/>
      <c r="I78" s="594"/>
      <c r="J78" s="4775"/>
    </row>
    <row r="79" spans="1:17" s="4020" customFormat="1" ht="15.75">
      <c r="A79" s="5185"/>
      <c r="B79" s="5187"/>
      <c r="C79" s="587" t="s">
        <v>1157</v>
      </c>
      <c r="D79" s="595"/>
      <c r="E79" s="589"/>
      <c r="F79" s="596"/>
      <c r="G79" s="589"/>
      <c r="H79" s="593"/>
      <c r="I79" s="597"/>
      <c r="J79" s="4775"/>
      <c r="K79" s="4782" t="s">
        <v>1898</v>
      </c>
      <c r="L79" s="4783">
        <f>IFERROR(D79/$C$1,0)</f>
        <v>0</v>
      </c>
      <c r="M79" s="4783">
        <f t="shared" ref="M79:M80" si="44">IFERROR(E79/$C$1,0)</f>
        <v>0</v>
      </c>
      <c r="N79" s="4783">
        <f t="shared" ref="N79:N80" si="45">IFERROR(F79/$C$1,0)</f>
        <v>0</v>
      </c>
      <c r="O79" s="4783">
        <f t="shared" ref="O79:O80" si="46">IFERROR(G79/$C$1,0)</f>
        <v>0</v>
      </c>
      <c r="P79" s="4783">
        <f t="shared" ref="P79:P80" si="47">IFERROR(H79/$C$1,0)</f>
        <v>0</v>
      </c>
      <c r="Q79" s="4783">
        <f t="shared" ref="Q79:Q80" si="48">IFERROR(I79/$C$1,0)</f>
        <v>0</v>
      </c>
    </row>
    <row r="80" spans="1:17" s="4020" customFormat="1" ht="13.5" thickBot="1">
      <c r="A80" s="5182"/>
      <c r="B80" s="591" t="s">
        <v>1162</v>
      </c>
      <c r="C80" s="784" t="s">
        <v>1159</v>
      </c>
      <c r="D80" s="1009">
        <f>D78*D79/1000</f>
        <v>0</v>
      </c>
      <c r="E80" s="1011">
        <f t="shared" ref="E80:I80" si="49">E78*E79/1000</f>
        <v>0</v>
      </c>
      <c r="F80" s="1011">
        <f t="shared" si="49"/>
        <v>0</v>
      </c>
      <c r="G80" s="1010">
        <f t="shared" si="49"/>
        <v>0</v>
      </c>
      <c r="H80" s="1011">
        <f t="shared" si="49"/>
        <v>0</v>
      </c>
      <c r="I80" s="1012">
        <f t="shared" si="49"/>
        <v>0</v>
      </c>
      <c r="J80" s="4775"/>
      <c r="K80" s="4782" t="s">
        <v>1876</v>
      </c>
      <c r="L80" s="4784">
        <f>IFERROR(D80/$C$1,0)</f>
        <v>0</v>
      </c>
      <c r="M80" s="4784">
        <f t="shared" si="44"/>
        <v>0</v>
      </c>
      <c r="N80" s="4784">
        <f t="shared" si="45"/>
        <v>0</v>
      </c>
      <c r="O80" s="4784">
        <f t="shared" si="46"/>
        <v>0</v>
      </c>
      <c r="P80" s="4784">
        <f t="shared" si="47"/>
        <v>0</v>
      </c>
      <c r="Q80" s="4784">
        <f t="shared" si="48"/>
        <v>0</v>
      </c>
    </row>
    <row r="81" spans="1:17" s="4020" customFormat="1" ht="13.5" thickBot="1">
      <c r="A81" s="1999" t="s">
        <v>219</v>
      </c>
      <c r="B81" s="4025" t="s">
        <v>1984</v>
      </c>
      <c r="C81" s="4026"/>
      <c r="D81" s="4026"/>
      <c r="E81" s="4026"/>
      <c r="F81" s="4026"/>
      <c r="G81" s="4026"/>
      <c r="H81" s="4026"/>
      <c r="I81" s="4027"/>
      <c r="J81" s="4775"/>
    </row>
    <row r="82" spans="1:17" s="4020" customFormat="1" ht="15.75">
      <c r="A82" s="5180" t="s">
        <v>263</v>
      </c>
      <c r="B82" s="5186" t="s">
        <v>1156</v>
      </c>
      <c r="C82" s="587" t="s">
        <v>781</v>
      </c>
      <c r="D82" s="588">
        <v>606333</v>
      </c>
      <c r="E82" s="589">
        <v>610000</v>
      </c>
      <c r="F82" s="589">
        <v>610000</v>
      </c>
      <c r="G82" s="589">
        <v>610000</v>
      </c>
      <c r="H82" s="589">
        <v>610000</v>
      </c>
      <c r="I82" s="590">
        <v>610000</v>
      </c>
      <c r="J82" s="4775"/>
    </row>
    <row r="83" spans="1:17" s="4020" customFormat="1" ht="15.75">
      <c r="A83" s="5185"/>
      <c r="B83" s="5187"/>
      <c r="C83" s="587" t="s">
        <v>1157</v>
      </c>
      <c r="D83" s="588">
        <v>4.5760000000000002E-2</v>
      </c>
      <c r="E83" s="4911">
        <v>4.6859999999999999E-2</v>
      </c>
      <c r="F83" s="4911">
        <v>4.6859999999999999E-2</v>
      </c>
      <c r="G83" s="4911">
        <v>4.6859999999999999E-2</v>
      </c>
      <c r="H83" s="4911">
        <v>4.6859999999999999E-2</v>
      </c>
      <c r="I83" s="4911">
        <v>4.6859999999999999E-2</v>
      </c>
      <c r="J83" s="4775"/>
      <c r="K83" s="4782" t="s">
        <v>1898</v>
      </c>
      <c r="L83" s="4783">
        <f>IFERROR(D83/$C$1,0)</f>
        <v>2.339671648353896E-2</v>
      </c>
      <c r="M83" s="4783">
        <f t="shared" ref="M83:M84" si="50">IFERROR(E83/$C$1,0)</f>
        <v>2.3959137552854799E-2</v>
      </c>
      <c r="N83" s="4783">
        <f t="shared" ref="N83:N84" si="51">IFERROR(F83/$C$1,0)</f>
        <v>2.3959137552854799E-2</v>
      </c>
      <c r="O83" s="4783">
        <f t="shared" ref="O83:O84" si="52">IFERROR(G83/$C$1,0)</f>
        <v>2.3959137552854799E-2</v>
      </c>
      <c r="P83" s="4783">
        <f t="shared" ref="P83:P84" si="53">IFERROR(H83/$C$1,0)</f>
        <v>2.3959137552854799E-2</v>
      </c>
      <c r="Q83" s="4783">
        <f t="shared" ref="Q83:Q84" si="54">IFERROR(I83/$C$1,0)</f>
        <v>2.3959137552854799E-2</v>
      </c>
    </row>
    <row r="84" spans="1:17" s="4020" customFormat="1" ht="12.75">
      <c r="A84" s="5181"/>
      <c r="B84" s="591" t="s">
        <v>1158</v>
      </c>
      <c r="C84" s="587" t="s">
        <v>1159</v>
      </c>
      <c r="D84" s="1007">
        <f>D82*D83/1000</f>
        <v>27.74579808</v>
      </c>
      <c r="E84" s="1007">
        <f t="shared" ref="E84:I84" si="55">E82*E83/1000</f>
        <v>28.584599999999998</v>
      </c>
      <c r="F84" s="1007">
        <f t="shared" si="55"/>
        <v>28.584599999999998</v>
      </c>
      <c r="G84" s="1007">
        <f t="shared" si="55"/>
        <v>28.584599999999998</v>
      </c>
      <c r="H84" s="1007">
        <f t="shared" si="55"/>
        <v>28.584599999999998</v>
      </c>
      <c r="I84" s="1008">
        <f t="shared" si="55"/>
        <v>28.584599999999998</v>
      </c>
      <c r="J84" s="4775"/>
      <c r="K84" s="4782" t="s">
        <v>1876</v>
      </c>
      <c r="L84" s="4784">
        <f>IFERROR(D84/$C$1,0)</f>
        <v>14.186201295613627</v>
      </c>
      <c r="M84" s="4784">
        <f t="shared" si="50"/>
        <v>14.615073907241426</v>
      </c>
      <c r="N84" s="4784">
        <f t="shared" si="51"/>
        <v>14.615073907241426</v>
      </c>
      <c r="O84" s="4784">
        <f t="shared" si="52"/>
        <v>14.615073907241426</v>
      </c>
      <c r="P84" s="4784">
        <f t="shared" si="53"/>
        <v>14.615073907241426</v>
      </c>
      <c r="Q84" s="4784">
        <f t="shared" si="54"/>
        <v>14.615073907241426</v>
      </c>
    </row>
    <row r="85" spans="1:17" s="4020" customFormat="1" ht="15.75">
      <c r="A85" s="5180" t="s">
        <v>264</v>
      </c>
      <c r="B85" s="5186" t="s">
        <v>1160</v>
      </c>
      <c r="C85" s="587" t="s">
        <v>1161</v>
      </c>
      <c r="D85" s="592"/>
      <c r="E85" s="589"/>
      <c r="F85" s="593"/>
      <c r="G85" s="593"/>
      <c r="H85" s="589"/>
      <c r="I85" s="594"/>
      <c r="J85" s="4775"/>
    </row>
    <row r="86" spans="1:17" s="4020" customFormat="1" ht="15.75">
      <c r="A86" s="5185"/>
      <c r="B86" s="5187"/>
      <c r="C86" s="587" t="s">
        <v>1157</v>
      </c>
      <c r="D86" s="595"/>
      <c r="E86" s="589"/>
      <c r="F86" s="596"/>
      <c r="G86" s="589"/>
      <c r="H86" s="593"/>
      <c r="I86" s="597"/>
      <c r="J86" s="4775"/>
      <c r="K86" s="4782" t="s">
        <v>1898</v>
      </c>
      <c r="L86" s="4783">
        <f>IFERROR(D86/$C$1,0)</f>
        <v>0</v>
      </c>
      <c r="M86" s="4783">
        <f t="shared" ref="M86:M87" si="56">IFERROR(E86/$C$1,0)</f>
        <v>0</v>
      </c>
      <c r="N86" s="4783">
        <f t="shared" ref="N86:N87" si="57">IFERROR(F86/$C$1,0)</f>
        <v>0</v>
      </c>
      <c r="O86" s="4783">
        <f t="shared" ref="O86:O87" si="58">IFERROR(G86/$C$1,0)</f>
        <v>0</v>
      </c>
      <c r="P86" s="4783">
        <f t="shared" ref="P86:P87" si="59">IFERROR(H86/$C$1,0)</f>
        <v>0</v>
      </c>
      <c r="Q86" s="4783">
        <f t="shared" ref="Q86:Q87" si="60">IFERROR(I86/$C$1,0)</f>
        <v>0</v>
      </c>
    </row>
    <row r="87" spans="1:17" s="4020" customFormat="1" ht="13.5" thickBot="1">
      <c r="A87" s="5182"/>
      <c r="B87" s="591" t="s">
        <v>1162</v>
      </c>
      <c r="C87" s="587" t="s">
        <v>1159</v>
      </c>
      <c r="D87" s="1009">
        <f>D85*D86/1000</f>
        <v>0</v>
      </c>
      <c r="E87" s="1013">
        <f t="shared" ref="E87:I87" si="61">E85*E86/1000</f>
        <v>0</v>
      </c>
      <c r="F87" s="1011">
        <f t="shared" si="61"/>
        <v>0</v>
      </c>
      <c r="G87" s="1010">
        <f t="shared" si="61"/>
        <v>0</v>
      </c>
      <c r="H87" s="1011">
        <f t="shared" si="61"/>
        <v>0</v>
      </c>
      <c r="I87" s="1012">
        <f t="shared" si="61"/>
        <v>0</v>
      </c>
      <c r="J87" s="4775"/>
      <c r="K87" s="4782" t="s">
        <v>1876</v>
      </c>
      <c r="L87" s="4784">
        <f>IFERROR(D87/$C$1,0)</f>
        <v>0</v>
      </c>
      <c r="M87" s="4784">
        <f t="shared" si="56"/>
        <v>0</v>
      </c>
      <c r="N87" s="4784">
        <f t="shared" si="57"/>
        <v>0</v>
      </c>
      <c r="O87" s="4784">
        <f t="shared" si="58"/>
        <v>0</v>
      </c>
      <c r="P87" s="4784">
        <f t="shared" si="59"/>
        <v>0</v>
      </c>
      <c r="Q87" s="4784">
        <f t="shared" si="60"/>
        <v>0</v>
      </c>
    </row>
    <row r="88" spans="1:17" s="4020" customFormat="1" ht="12.75">
      <c r="A88" s="586" t="s">
        <v>221</v>
      </c>
      <c r="B88" s="5177" t="s">
        <v>1155</v>
      </c>
      <c r="C88" s="5178"/>
      <c r="D88" s="5178"/>
      <c r="E88" s="5178"/>
      <c r="F88" s="5178"/>
      <c r="G88" s="5178"/>
      <c r="H88" s="5178"/>
      <c r="I88" s="5179"/>
      <c r="J88" s="4775"/>
    </row>
    <row r="89" spans="1:17" s="4020" customFormat="1" ht="15.75">
      <c r="A89" s="5180" t="s">
        <v>566</v>
      </c>
      <c r="B89" s="5186" t="s">
        <v>1156</v>
      </c>
      <c r="C89" s="587" t="s">
        <v>781</v>
      </c>
      <c r="D89" s="588"/>
      <c r="E89" s="589"/>
      <c r="F89" s="589"/>
      <c r="G89" s="589"/>
      <c r="H89" s="589"/>
      <c r="I89" s="590"/>
      <c r="J89" s="4775"/>
    </row>
    <row r="90" spans="1:17" s="4020" customFormat="1" ht="15.75">
      <c r="A90" s="5185"/>
      <c r="B90" s="5187"/>
      <c r="C90" s="587" t="s">
        <v>1157</v>
      </c>
      <c r="D90" s="588"/>
      <c r="E90" s="589"/>
      <c r="F90" s="589"/>
      <c r="G90" s="589"/>
      <c r="H90" s="589"/>
      <c r="I90" s="590"/>
      <c r="J90" s="4775"/>
      <c r="K90" s="4782" t="s">
        <v>1898</v>
      </c>
      <c r="L90" s="4783">
        <f>IFERROR(D90/$C$1,0)</f>
        <v>0</v>
      </c>
      <c r="M90" s="4783">
        <f t="shared" ref="M90:M91" si="62">IFERROR(E90/$C$1,0)</f>
        <v>0</v>
      </c>
      <c r="N90" s="4783">
        <f t="shared" ref="N90:N91" si="63">IFERROR(F90/$C$1,0)</f>
        <v>0</v>
      </c>
      <c r="O90" s="4783">
        <f t="shared" ref="O90:O91" si="64">IFERROR(G90/$C$1,0)</f>
        <v>0</v>
      </c>
      <c r="P90" s="4783">
        <f t="shared" ref="P90:P91" si="65">IFERROR(H90/$C$1,0)</f>
        <v>0</v>
      </c>
      <c r="Q90" s="4783">
        <f t="shared" ref="Q90:Q91" si="66">IFERROR(I90/$C$1,0)</f>
        <v>0</v>
      </c>
    </row>
    <row r="91" spans="1:17" s="4020" customFormat="1" ht="12.75">
      <c r="A91" s="5181"/>
      <c r="B91" s="591" t="s">
        <v>1158</v>
      </c>
      <c r="C91" s="587" t="s">
        <v>1159</v>
      </c>
      <c r="D91" s="1007">
        <f>D89*D90/1000</f>
        <v>0</v>
      </c>
      <c r="E91" s="1007">
        <f t="shared" ref="E91:I91" si="67">E89*E90/1000</f>
        <v>0</v>
      </c>
      <c r="F91" s="1007">
        <f t="shared" si="67"/>
        <v>0</v>
      </c>
      <c r="G91" s="1007">
        <f t="shared" si="67"/>
        <v>0</v>
      </c>
      <c r="H91" s="1007">
        <f t="shared" si="67"/>
        <v>0</v>
      </c>
      <c r="I91" s="1008">
        <f t="shared" si="67"/>
        <v>0</v>
      </c>
      <c r="J91" s="4775"/>
      <c r="K91" s="4782" t="s">
        <v>1876</v>
      </c>
      <c r="L91" s="4784">
        <f>IFERROR(D91/$C$1,0)</f>
        <v>0</v>
      </c>
      <c r="M91" s="4784">
        <f t="shared" si="62"/>
        <v>0</v>
      </c>
      <c r="N91" s="4784">
        <f t="shared" si="63"/>
        <v>0</v>
      </c>
      <c r="O91" s="4784">
        <f t="shared" si="64"/>
        <v>0</v>
      </c>
      <c r="P91" s="4784">
        <f t="shared" si="65"/>
        <v>0</v>
      </c>
      <c r="Q91" s="4784">
        <f t="shared" si="66"/>
        <v>0</v>
      </c>
    </row>
    <row r="92" spans="1:17" s="4020" customFormat="1" ht="15.75">
      <c r="A92" s="5180" t="s">
        <v>567</v>
      </c>
      <c r="B92" s="5186" t="s">
        <v>1160</v>
      </c>
      <c r="C92" s="587" t="s">
        <v>1161</v>
      </c>
      <c r="D92" s="592"/>
      <c r="E92" s="589"/>
      <c r="F92" s="593"/>
      <c r="G92" s="593"/>
      <c r="H92" s="589"/>
      <c r="I92" s="594"/>
      <c r="J92" s="4775"/>
    </row>
    <row r="93" spans="1:17" s="4020" customFormat="1" ht="15.75">
      <c r="A93" s="5185"/>
      <c r="B93" s="5187"/>
      <c r="C93" s="587" t="s">
        <v>1157</v>
      </c>
      <c r="D93" s="595"/>
      <c r="E93" s="589"/>
      <c r="F93" s="596"/>
      <c r="G93" s="589"/>
      <c r="H93" s="593"/>
      <c r="I93" s="597"/>
      <c r="J93" s="4775"/>
      <c r="K93" s="4782" t="s">
        <v>1898</v>
      </c>
      <c r="L93" s="4783">
        <f>IFERROR(D93/$C$1,0)</f>
        <v>0</v>
      </c>
      <c r="M93" s="4783">
        <f t="shared" ref="M93:Q94" si="68">IFERROR(E93/$C$1,0)</f>
        <v>0</v>
      </c>
      <c r="N93" s="4783">
        <f t="shared" si="68"/>
        <v>0</v>
      </c>
      <c r="O93" s="4783">
        <f t="shared" si="68"/>
        <v>0</v>
      </c>
      <c r="P93" s="4783">
        <f t="shared" si="68"/>
        <v>0</v>
      </c>
      <c r="Q93" s="4783">
        <f t="shared" si="68"/>
        <v>0</v>
      </c>
    </row>
    <row r="94" spans="1:17" s="4020" customFormat="1" ht="13.5" thickBot="1">
      <c r="A94" s="5182"/>
      <c r="B94" s="591" t="s">
        <v>1162</v>
      </c>
      <c r="C94" s="587" t="s">
        <v>1159</v>
      </c>
      <c r="D94" s="1009">
        <f>D92*D93/1000</f>
        <v>0</v>
      </c>
      <c r="E94" s="1013">
        <f t="shared" ref="E94:I94" si="69">E92*E93/1000</f>
        <v>0</v>
      </c>
      <c r="F94" s="1011">
        <f t="shared" si="69"/>
        <v>0</v>
      </c>
      <c r="G94" s="1010">
        <f t="shared" si="69"/>
        <v>0</v>
      </c>
      <c r="H94" s="1011">
        <f t="shared" si="69"/>
        <v>0</v>
      </c>
      <c r="I94" s="1012">
        <f t="shared" si="69"/>
        <v>0</v>
      </c>
      <c r="J94" s="4775"/>
      <c r="K94" s="4782" t="s">
        <v>1876</v>
      </c>
      <c r="L94" s="4784">
        <f>IFERROR(D94/$C$1,0)</f>
        <v>0</v>
      </c>
      <c r="M94" s="4784">
        <f t="shared" si="68"/>
        <v>0</v>
      </c>
      <c r="N94" s="4784">
        <f t="shared" si="68"/>
        <v>0</v>
      </c>
      <c r="O94" s="4784">
        <f t="shared" si="68"/>
        <v>0</v>
      </c>
      <c r="P94" s="4784">
        <f t="shared" si="68"/>
        <v>0</v>
      </c>
      <c r="Q94" s="4784">
        <f t="shared" si="68"/>
        <v>0</v>
      </c>
    </row>
    <row r="95" spans="1:17" s="4020" customFormat="1" ht="12.75">
      <c r="A95" s="586" t="s">
        <v>308</v>
      </c>
      <c r="B95" s="5177" t="s">
        <v>1155</v>
      </c>
      <c r="C95" s="5178"/>
      <c r="D95" s="5178"/>
      <c r="E95" s="5178"/>
      <c r="F95" s="5178"/>
      <c r="G95" s="5178"/>
      <c r="H95" s="5178"/>
      <c r="I95" s="5179"/>
      <c r="J95" s="4775"/>
    </row>
    <row r="96" spans="1:17" s="4020" customFormat="1" ht="15.75">
      <c r="A96" s="5180" t="s">
        <v>568</v>
      </c>
      <c r="B96" s="5186" t="s">
        <v>1156</v>
      </c>
      <c r="C96" s="587" t="s">
        <v>781</v>
      </c>
      <c r="D96" s="588"/>
      <c r="E96" s="589"/>
      <c r="F96" s="589"/>
      <c r="G96" s="589"/>
      <c r="H96" s="589"/>
      <c r="I96" s="590"/>
      <c r="J96" s="4775"/>
    </row>
    <row r="97" spans="1:17" s="4020" customFormat="1" ht="15.75">
      <c r="A97" s="5185"/>
      <c r="B97" s="5187"/>
      <c r="C97" s="587" t="s">
        <v>1157</v>
      </c>
      <c r="D97" s="588"/>
      <c r="E97" s="589"/>
      <c r="F97" s="589"/>
      <c r="G97" s="589"/>
      <c r="H97" s="589"/>
      <c r="I97" s="590"/>
      <c r="J97" s="4775"/>
      <c r="K97" s="4782" t="s">
        <v>1898</v>
      </c>
      <c r="L97" s="4783">
        <f>IFERROR(D97/$C$1,0)</f>
        <v>0</v>
      </c>
      <c r="M97" s="4783">
        <f t="shared" ref="M97:M98" si="70">IFERROR(E97/$C$1,0)</f>
        <v>0</v>
      </c>
      <c r="N97" s="4783">
        <f t="shared" ref="N97:N98" si="71">IFERROR(F97/$C$1,0)</f>
        <v>0</v>
      </c>
      <c r="O97" s="4783">
        <f t="shared" ref="O97:O98" si="72">IFERROR(G97/$C$1,0)</f>
        <v>0</v>
      </c>
      <c r="P97" s="4783">
        <f t="shared" ref="P97:P98" si="73">IFERROR(H97/$C$1,0)</f>
        <v>0</v>
      </c>
      <c r="Q97" s="4783">
        <f t="shared" ref="Q97:Q98" si="74">IFERROR(I97/$C$1,0)</f>
        <v>0</v>
      </c>
    </row>
    <row r="98" spans="1:17" s="4020" customFormat="1" ht="12.75">
      <c r="A98" s="5181"/>
      <c r="B98" s="591" t="s">
        <v>1158</v>
      </c>
      <c r="C98" s="587" t="s">
        <v>1159</v>
      </c>
      <c r="D98" s="1007">
        <f>D96*D97/1000</f>
        <v>0</v>
      </c>
      <c r="E98" s="1007">
        <f t="shared" ref="E98:I98" si="75">E96*E97/1000</f>
        <v>0</v>
      </c>
      <c r="F98" s="1007">
        <f t="shared" si="75"/>
        <v>0</v>
      </c>
      <c r="G98" s="1007">
        <f t="shared" si="75"/>
        <v>0</v>
      </c>
      <c r="H98" s="1007">
        <f t="shared" si="75"/>
        <v>0</v>
      </c>
      <c r="I98" s="1014">
        <f t="shared" si="75"/>
        <v>0</v>
      </c>
      <c r="J98" s="4775"/>
      <c r="K98" s="4782" t="s">
        <v>1876</v>
      </c>
      <c r="L98" s="4784">
        <f>IFERROR(D98/$C$1,0)</f>
        <v>0</v>
      </c>
      <c r="M98" s="4784">
        <f t="shared" si="70"/>
        <v>0</v>
      </c>
      <c r="N98" s="4784">
        <f t="shared" si="71"/>
        <v>0</v>
      </c>
      <c r="O98" s="4784">
        <f t="shared" si="72"/>
        <v>0</v>
      </c>
      <c r="P98" s="4784">
        <f t="shared" si="73"/>
        <v>0</v>
      </c>
      <c r="Q98" s="4784">
        <f t="shared" si="74"/>
        <v>0</v>
      </c>
    </row>
    <row r="99" spans="1:17" s="4020" customFormat="1" ht="15.75">
      <c r="A99" s="5180" t="s">
        <v>569</v>
      </c>
      <c r="B99" s="5186" t="s">
        <v>1160</v>
      </c>
      <c r="C99" s="587" t="s">
        <v>1161</v>
      </c>
      <c r="D99" s="592"/>
      <c r="E99" s="589"/>
      <c r="F99" s="593"/>
      <c r="G99" s="593"/>
      <c r="H99" s="589"/>
      <c r="I99" s="594"/>
      <c r="J99" s="4775"/>
    </row>
    <row r="100" spans="1:17" s="4020" customFormat="1" ht="15.75">
      <c r="A100" s="5185"/>
      <c r="B100" s="5187"/>
      <c r="C100" s="587" t="s">
        <v>1157</v>
      </c>
      <c r="D100" s="595"/>
      <c r="E100" s="589"/>
      <c r="F100" s="596"/>
      <c r="G100" s="589"/>
      <c r="H100" s="593"/>
      <c r="I100" s="597"/>
      <c r="J100" s="4775"/>
      <c r="K100" s="4782" t="s">
        <v>1898</v>
      </c>
      <c r="L100" s="4783">
        <f>IFERROR(D100/$C$1,0)</f>
        <v>0</v>
      </c>
      <c r="M100" s="4783">
        <f t="shared" ref="M100:M101" si="76">IFERROR(E100/$C$1,0)</f>
        <v>0</v>
      </c>
      <c r="N100" s="4783">
        <f t="shared" ref="N100:N101" si="77">IFERROR(F100/$C$1,0)</f>
        <v>0</v>
      </c>
      <c r="O100" s="4783">
        <f t="shared" ref="O100:O101" si="78">IFERROR(G100/$C$1,0)</f>
        <v>0</v>
      </c>
      <c r="P100" s="4783">
        <f t="shared" ref="P100:P101" si="79">IFERROR(H100/$C$1,0)</f>
        <v>0</v>
      </c>
      <c r="Q100" s="4783">
        <f t="shared" ref="Q100:Q101" si="80">IFERROR(I100/$C$1,0)</f>
        <v>0</v>
      </c>
    </row>
    <row r="101" spans="1:17" s="4020" customFormat="1" ht="13.5" thickBot="1">
      <c r="A101" s="5182"/>
      <c r="B101" s="591" t="s">
        <v>1162</v>
      </c>
      <c r="C101" s="587" t="s">
        <v>1159</v>
      </c>
      <c r="D101" s="1009">
        <f>D99*D100/1000</f>
        <v>0</v>
      </c>
      <c r="E101" s="1013">
        <f t="shared" ref="E101:I101" si="81">E99*E100/1000</f>
        <v>0</v>
      </c>
      <c r="F101" s="1011">
        <f t="shared" si="81"/>
        <v>0</v>
      </c>
      <c r="G101" s="1010">
        <f t="shared" si="81"/>
        <v>0</v>
      </c>
      <c r="H101" s="1011">
        <f t="shared" si="81"/>
        <v>0</v>
      </c>
      <c r="I101" s="1012">
        <f t="shared" si="81"/>
        <v>0</v>
      </c>
      <c r="J101" s="4775"/>
      <c r="K101" s="4782" t="s">
        <v>1876</v>
      </c>
      <c r="L101" s="4784">
        <f>IFERROR(D101/$C$1,0)</f>
        <v>0</v>
      </c>
      <c r="M101" s="4784">
        <f t="shared" si="76"/>
        <v>0</v>
      </c>
      <c r="N101" s="4784">
        <f t="shared" si="77"/>
        <v>0</v>
      </c>
      <c r="O101" s="4784">
        <f t="shared" si="78"/>
        <v>0</v>
      </c>
      <c r="P101" s="4784">
        <f t="shared" si="79"/>
        <v>0</v>
      </c>
      <c r="Q101" s="4784">
        <f t="shared" si="80"/>
        <v>0</v>
      </c>
    </row>
    <row r="102" spans="1:17" s="4020" customFormat="1" ht="12.75">
      <c r="A102" s="586" t="s">
        <v>311</v>
      </c>
      <c r="B102" s="5177" t="s">
        <v>1028</v>
      </c>
      <c r="C102" s="5178"/>
      <c r="D102" s="5178"/>
      <c r="E102" s="5178"/>
      <c r="F102" s="5178"/>
      <c r="G102" s="5178"/>
      <c r="H102" s="5178"/>
      <c r="I102" s="5179"/>
      <c r="J102" s="4775"/>
    </row>
    <row r="103" spans="1:17" s="4020" customFormat="1" ht="15.75">
      <c r="A103" s="5180" t="s">
        <v>956</v>
      </c>
      <c r="B103" s="598" t="s">
        <v>1163</v>
      </c>
      <c r="C103" s="587" t="s">
        <v>781</v>
      </c>
      <c r="D103" s="1000">
        <f>D68+D75+D82+D89+D96</f>
        <v>1025606</v>
      </c>
      <c r="E103" s="1000">
        <f t="shared" ref="E103:I103" si="82">E68+E75+E82+E89+E96</f>
        <v>1068700</v>
      </c>
      <c r="F103" s="1000">
        <f t="shared" si="82"/>
        <v>1068700</v>
      </c>
      <c r="G103" s="1000">
        <f t="shared" si="82"/>
        <v>1068700</v>
      </c>
      <c r="H103" s="1000">
        <f t="shared" si="82"/>
        <v>1068700</v>
      </c>
      <c r="I103" s="1001">
        <f t="shared" si="82"/>
        <v>1068700</v>
      </c>
      <c r="J103" s="4775"/>
    </row>
    <row r="104" spans="1:17" s="4020" customFormat="1" ht="12.75">
      <c r="A104" s="5181"/>
      <c r="B104" s="599" t="s">
        <v>1158</v>
      </c>
      <c r="C104" s="587" t="s">
        <v>1159</v>
      </c>
      <c r="D104" s="1000">
        <f>D70+D77+D84+D91+D98</f>
        <v>44.516718080000004</v>
      </c>
      <c r="E104" s="1000">
        <f t="shared" ref="E104:I105" si="83">E70+E77+E84+E91+E98</f>
        <v>46.415568</v>
      </c>
      <c r="F104" s="1000">
        <f t="shared" si="83"/>
        <v>46.415568</v>
      </c>
      <c r="G104" s="1000">
        <f t="shared" si="83"/>
        <v>46.415568</v>
      </c>
      <c r="H104" s="1000">
        <f t="shared" si="83"/>
        <v>46.415568</v>
      </c>
      <c r="I104" s="1001">
        <f t="shared" si="83"/>
        <v>46.415568</v>
      </c>
      <c r="J104" s="4775"/>
      <c r="K104" s="4782" t="s">
        <v>1876</v>
      </c>
      <c r="L104" s="4784">
        <f>IFERROR(D104/$C$1,0)</f>
        <v>22.761036531804915</v>
      </c>
      <c r="M104" s="4784">
        <f t="shared" ref="M104:Q104" si="84">IFERROR(E104/$C$1,0)</f>
        <v>23.731903079511</v>
      </c>
      <c r="N104" s="4784">
        <f t="shared" si="84"/>
        <v>23.731903079511</v>
      </c>
      <c r="O104" s="4784">
        <f t="shared" si="84"/>
        <v>23.731903079511</v>
      </c>
      <c r="P104" s="4784">
        <f t="shared" si="84"/>
        <v>23.731903079511</v>
      </c>
      <c r="Q104" s="4784">
        <f t="shared" si="84"/>
        <v>23.731903079511</v>
      </c>
    </row>
    <row r="105" spans="1:17" s="4020" customFormat="1" ht="15.75">
      <c r="A105" s="5180" t="s">
        <v>957</v>
      </c>
      <c r="B105" s="598" t="s">
        <v>1164</v>
      </c>
      <c r="C105" s="587" t="s">
        <v>1161</v>
      </c>
      <c r="D105" s="1000">
        <f>D71+D78+D85+D92+D99</f>
        <v>0</v>
      </c>
      <c r="E105" s="1000">
        <f t="shared" si="83"/>
        <v>0</v>
      </c>
      <c r="F105" s="1000">
        <f t="shared" si="83"/>
        <v>0</v>
      </c>
      <c r="G105" s="1000">
        <f t="shared" si="83"/>
        <v>0</v>
      </c>
      <c r="H105" s="1000">
        <f t="shared" si="83"/>
        <v>0</v>
      </c>
      <c r="I105" s="1001">
        <f t="shared" si="83"/>
        <v>0</v>
      </c>
      <c r="J105" s="4775"/>
    </row>
    <row r="106" spans="1:17" s="4020" customFormat="1" ht="13.5" thickBot="1">
      <c r="A106" s="5182"/>
      <c r="B106" s="600" t="s">
        <v>1162</v>
      </c>
      <c r="C106" s="769" t="s">
        <v>1159</v>
      </c>
      <c r="D106" s="1002">
        <f>D73+D80+D87+D94+D101</f>
        <v>0</v>
      </c>
      <c r="E106" s="1003">
        <f t="shared" ref="E106:I106" si="85">E73+E80+E87+E94+E101</f>
        <v>0</v>
      </c>
      <c r="F106" s="1003">
        <f t="shared" si="85"/>
        <v>0</v>
      </c>
      <c r="G106" s="1004">
        <f t="shared" si="85"/>
        <v>0</v>
      </c>
      <c r="H106" s="1005">
        <f t="shared" si="85"/>
        <v>0</v>
      </c>
      <c r="I106" s="1006">
        <f t="shared" si="85"/>
        <v>0</v>
      </c>
      <c r="J106" s="4775"/>
      <c r="K106" s="4782" t="s">
        <v>1876</v>
      </c>
      <c r="L106" s="4784">
        <f>IFERROR(D106/$C$1,0)</f>
        <v>0</v>
      </c>
      <c r="M106" s="4784">
        <f t="shared" ref="M106" si="86">IFERROR(E106/$C$1,0)</f>
        <v>0</v>
      </c>
      <c r="N106" s="4784">
        <f t="shared" ref="N106" si="87">IFERROR(F106/$C$1,0)</f>
        <v>0</v>
      </c>
      <c r="O106" s="4784">
        <f t="shared" ref="O106" si="88">IFERROR(G106/$C$1,0)</f>
        <v>0</v>
      </c>
      <c r="P106" s="4784">
        <f t="shared" ref="P106" si="89">IFERROR(H106/$C$1,0)</f>
        <v>0</v>
      </c>
      <c r="Q106" s="4784">
        <f t="shared" ref="Q106" si="90">IFERROR(I106/$C$1,0)</f>
        <v>0</v>
      </c>
    </row>
    <row r="107" spans="1:17" s="4020" customFormat="1" ht="12.75">
      <c r="A107" s="4312" t="s">
        <v>1287</v>
      </c>
      <c r="B107" s="5166" t="s">
        <v>1782</v>
      </c>
      <c r="C107" s="5167"/>
      <c r="D107" s="5167"/>
      <c r="E107" s="5167"/>
      <c r="F107" s="5167"/>
      <c r="G107" s="5167"/>
      <c r="H107" s="5167"/>
      <c r="I107" s="5168"/>
      <c r="J107" s="4775"/>
    </row>
    <row r="108" spans="1:17" s="4020" customFormat="1" ht="12.75">
      <c r="A108" s="4313" t="s">
        <v>205</v>
      </c>
      <c r="B108" s="5169" t="s">
        <v>1155</v>
      </c>
      <c r="C108" s="5169"/>
      <c r="D108" s="5169"/>
      <c r="E108" s="5169"/>
      <c r="F108" s="5169"/>
      <c r="G108" s="5169"/>
      <c r="H108" s="5169"/>
      <c r="I108" s="5169"/>
      <c r="J108" s="4775"/>
    </row>
    <row r="109" spans="1:17" s="4020" customFormat="1" ht="15.75">
      <c r="A109" s="5170" t="s">
        <v>463</v>
      </c>
      <c r="B109" s="5171" t="s">
        <v>1156</v>
      </c>
      <c r="C109" s="4495" t="s">
        <v>781</v>
      </c>
      <c r="D109" s="589"/>
      <c r="E109" s="589"/>
      <c r="F109" s="589"/>
      <c r="G109" s="589"/>
      <c r="H109" s="589"/>
      <c r="I109" s="589"/>
      <c r="J109" s="4775"/>
    </row>
    <row r="110" spans="1:17" s="4020" customFormat="1" ht="15.75">
      <c r="A110" s="5170"/>
      <c r="B110" s="5171"/>
      <c r="C110" s="4495" t="s">
        <v>1853</v>
      </c>
      <c r="D110" s="589"/>
      <c r="E110" s="589"/>
      <c r="F110" s="589"/>
      <c r="G110" s="589"/>
      <c r="H110" s="589"/>
      <c r="I110" s="589"/>
      <c r="J110" s="4775"/>
      <c r="K110" s="4782" t="s">
        <v>1898</v>
      </c>
      <c r="L110" s="4783">
        <f>IFERROR(D110/$C$1,0)</f>
        <v>0</v>
      </c>
      <c r="M110" s="4783">
        <f t="shared" ref="M110:M111" si="91">IFERROR(E110/$C$1,0)</f>
        <v>0</v>
      </c>
      <c r="N110" s="4783">
        <f t="shared" ref="N110:N111" si="92">IFERROR(F110/$C$1,0)</f>
        <v>0</v>
      </c>
      <c r="O110" s="4783">
        <f t="shared" ref="O110:O111" si="93">IFERROR(G110/$C$1,0)</f>
        <v>0</v>
      </c>
      <c r="P110" s="4783">
        <f t="shared" ref="P110:P111" si="94">IFERROR(H110/$C$1,0)</f>
        <v>0</v>
      </c>
      <c r="Q110" s="4783">
        <f t="shared" ref="Q110:Q111" si="95">IFERROR(I110/$C$1,0)</f>
        <v>0</v>
      </c>
    </row>
    <row r="111" spans="1:17" s="4020" customFormat="1" ht="12.75">
      <c r="A111" s="5170"/>
      <c r="B111" s="4496" t="s">
        <v>1158</v>
      </c>
      <c r="C111" s="4495" t="s">
        <v>1159</v>
      </c>
      <c r="D111" s="4314">
        <f>D109*D110/1000</f>
        <v>0</v>
      </c>
      <c r="E111" s="4314">
        <f t="shared" ref="E111:I111" si="96">E109*E110/1000</f>
        <v>0</v>
      </c>
      <c r="F111" s="4314">
        <f t="shared" si="96"/>
        <v>0</v>
      </c>
      <c r="G111" s="4314">
        <f t="shared" si="96"/>
        <v>0</v>
      </c>
      <c r="H111" s="4314">
        <f t="shared" si="96"/>
        <v>0</v>
      </c>
      <c r="I111" s="4314">
        <f t="shared" si="96"/>
        <v>0</v>
      </c>
      <c r="J111" s="4775"/>
      <c r="K111" s="4782" t="s">
        <v>1876</v>
      </c>
      <c r="L111" s="4784">
        <f>IFERROR(D111/$C$1,0)</f>
        <v>0</v>
      </c>
      <c r="M111" s="4784">
        <f t="shared" si="91"/>
        <v>0</v>
      </c>
      <c r="N111" s="4784">
        <f t="shared" si="92"/>
        <v>0</v>
      </c>
      <c r="O111" s="4784">
        <f t="shared" si="93"/>
        <v>0</v>
      </c>
      <c r="P111" s="4784">
        <f t="shared" si="94"/>
        <v>0</v>
      </c>
      <c r="Q111" s="4784">
        <f t="shared" si="95"/>
        <v>0</v>
      </c>
    </row>
    <row r="112" spans="1:17" s="2001" customFormat="1">
      <c r="A112" s="768"/>
      <c r="B112" s="5114" t="s">
        <v>1465</v>
      </c>
      <c r="C112" s="5115"/>
      <c r="D112" s="1890">
        <f>(D104+D106+D111)-('12. Разходи'!C31+'12. Разходи'!AA31+'12. Разходи'!AI31)</f>
        <v>-0.48328191999999603</v>
      </c>
      <c r="E112" s="1890">
        <f>(E104+E106+E111)-('12. Разходи'!D31+'12. Разходи'!AB31+'12. Разходи'!AJ31)</f>
        <v>0.41556800000000038</v>
      </c>
      <c r="F112" s="1890">
        <f>(F104+F106+F111)-('12. Разходи'!E31+'12. Разходи'!AC31+'12. Разходи'!AK31)</f>
        <v>0.41556800000000038</v>
      </c>
      <c r="G112" s="1890">
        <f>(G104+G106+G111)-('12. Разходи'!F31+'12. Разходи'!AD31+'12. Разходи'!AL31)</f>
        <v>0.41556800000000038</v>
      </c>
      <c r="H112" s="1890">
        <f>(H104+H106+H111)-('12. Разходи'!G31+'12. Разходи'!AE31+'12. Разходи'!AM31)</f>
        <v>0.41556800000000038</v>
      </c>
      <c r="I112" s="1894">
        <f>(I104+I106+I111)-('12. Разходи'!H31+'12. Разходи'!AF31+'12. Разходи'!AN31)</f>
        <v>0.41556800000000038</v>
      </c>
      <c r="J112" s="4775"/>
    </row>
    <row r="113" spans="1:9" s="2001" customFormat="1" ht="34.5" customHeight="1">
      <c r="A113" s="2000"/>
    </row>
    <row r="114" spans="1:9" s="2001" customFormat="1" ht="14.25">
      <c r="A114" s="2002" t="str">
        <f>'Приложение '!B82</f>
        <v>Дата: 15.04.2026 г.</v>
      </c>
      <c r="B114" s="2003"/>
      <c r="C114" s="2004"/>
      <c r="D114" s="2005"/>
      <c r="F114" s="2006"/>
    </row>
    <row r="115" spans="1:9" s="2001" customFormat="1">
      <c r="A115" s="2000"/>
      <c r="B115" s="2007"/>
      <c r="C115" s="2008"/>
      <c r="D115" s="2009"/>
      <c r="F115" s="2006"/>
      <c r="G115" s="2010"/>
    </row>
    <row r="116" spans="1:9" s="2001" customFormat="1">
      <c r="A116" s="2000"/>
      <c r="F116" s="2006"/>
    </row>
    <row r="117" spans="1:9" ht="12.75">
      <c r="A117" s="5183" t="s">
        <v>187</v>
      </c>
      <c r="B117" s="5183"/>
      <c r="C117" s="5183"/>
      <c r="D117" s="5183"/>
      <c r="E117" s="1863"/>
      <c r="F117" s="1863"/>
      <c r="G117" s="2012"/>
      <c r="H117" s="2012"/>
      <c r="I117" s="2012"/>
    </row>
    <row r="118" spans="1:9" ht="12.75">
      <c r="A118" s="5184" t="s">
        <v>188</v>
      </c>
      <c r="B118" s="5184"/>
      <c r="C118" s="5184"/>
      <c r="D118" s="5184"/>
      <c r="E118" s="1863"/>
      <c r="F118" s="1863"/>
      <c r="G118" s="2013"/>
      <c r="H118" s="2013"/>
      <c r="I118" s="2014"/>
    </row>
    <row r="119" spans="1:9" ht="30" customHeight="1">
      <c r="A119" s="5172" t="s">
        <v>726</v>
      </c>
      <c r="B119" s="5172"/>
      <c r="C119" s="5172"/>
      <c r="D119" s="5172"/>
      <c r="E119" s="5172"/>
      <c r="F119" s="5172"/>
      <c r="G119" s="5172"/>
      <c r="H119" s="5172"/>
      <c r="I119" s="2015"/>
    </row>
    <row r="120" spans="1:9" ht="31.5" customHeight="1">
      <c r="A120" s="5173" t="s">
        <v>1445</v>
      </c>
      <c r="B120" s="5173"/>
      <c r="C120" s="5173"/>
      <c r="D120" s="5173"/>
      <c r="E120" s="5173"/>
      <c r="F120" s="5173"/>
      <c r="G120" s="5173"/>
      <c r="H120" s="5173"/>
      <c r="I120" s="2016"/>
    </row>
  </sheetData>
  <sheetProtection algorithmName="SHA-512" hashValue="8mXo8tJ0pPzDLXUE6DI3PEuU1IWPHEVQLSxNdk7n1hVIw6K+BpIeuc7r1nDO4LiG79CS4T5vrODGZ9p7tP+38w==" saltValue="l/AbrICStpaKfpW4/cLo9Q==" spinCount="100000" sheet="1" formatCells="0" formatColumns="0" formatRows="0"/>
  <mergeCells count="7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2:A84"/>
    <mergeCell ref="B82:B83"/>
    <mergeCell ref="A85:A87"/>
    <mergeCell ref="B85:B86"/>
    <mergeCell ref="B88:I88"/>
    <mergeCell ref="A71:A73"/>
    <mergeCell ref="B71:B72"/>
    <mergeCell ref="A75:A77"/>
    <mergeCell ref="B75:B76"/>
    <mergeCell ref="A78:A80"/>
    <mergeCell ref="B78:B79"/>
    <mergeCell ref="A96:A98"/>
    <mergeCell ref="B96:B97"/>
    <mergeCell ref="A99:A101"/>
    <mergeCell ref="B99:B100"/>
    <mergeCell ref="A89:A91"/>
    <mergeCell ref="B89:B90"/>
    <mergeCell ref="A2:I2"/>
    <mergeCell ref="A3:I3"/>
    <mergeCell ref="A4:I4"/>
    <mergeCell ref="A5:I5"/>
    <mergeCell ref="A1:B1"/>
    <mergeCell ref="C1:D1"/>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20:H120"/>
    <mergeCell ref="B112:C112"/>
    <mergeCell ref="A57:A58"/>
    <mergeCell ref="B57:B58"/>
    <mergeCell ref="A59:A60"/>
    <mergeCell ref="B59:B60"/>
    <mergeCell ref="A61:A62"/>
    <mergeCell ref="B61:B62"/>
    <mergeCell ref="B102:I102"/>
    <mergeCell ref="A103:A104"/>
    <mergeCell ref="A105:A106"/>
    <mergeCell ref="A117:D117"/>
    <mergeCell ref="A118:D118"/>
    <mergeCell ref="A92:A94"/>
    <mergeCell ref="B92:B93"/>
    <mergeCell ref="B95:I95"/>
    <mergeCell ref="B107:I107"/>
    <mergeCell ref="B108:I108"/>
    <mergeCell ref="A109:A111"/>
    <mergeCell ref="B109:B110"/>
    <mergeCell ref="A119:H119"/>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R79"/>
  <sheetViews>
    <sheetView showGridLines="0" zoomScale="110" zoomScaleNormal="110" zoomScaleSheetLayoutView="70" workbookViewId="0">
      <pane xSplit="2" ySplit="9" topLeftCell="C66" activePane="bottomRight" state="frozen"/>
      <selection pane="topRight" activeCell="C1" sqref="C1"/>
      <selection pane="bottomLeft" activeCell="A10" sqref="A10"/>
      <selection pane="bottomRight" activeCell="N72" sqref="N72"/>
    </sheetView>
  </sheetViews>
  <sheetFormatPr defaultColWidth="9.140625" defaultRowHeight="12.75"/>
  <cols>
    <col min="1" max="1" width="6.5703125" style="153" customWidth="1"/>
    <col min="2" max="2" width="33.28515625" style="152" customWidth="1"/>
    <col min="3" max="8" width="7.7109375" style="153" customWidth="1"/>
    <col min="9" max="46" width="7.7109375" style="152" customWidth="1"/>
    <col min="47" max="47" width="10.7109375" style="790" customWidth="1"/>
    <col min="48" max="48" width="10.28515625" style="790" customWidth="1"/>
    <col min="49" max="49" width="12.28515625" style="173" customWidth="1"/>
    <col min="50" max="50" width="2.140625" style="173" customWidth="1"/>
    <col min="51" max="51" width="9.140625" style="173" customWidth="1"/>
    <col min="52" max="54" width="7.7109375" style="173" customWidth="1"/>
    <col min="55" max="95" width="7.7109375" style="152" customWidth="1"/>
    <col min="96" max="16384" width="9.140625" style="152"/>
  </cols>
  <sheetData>
    <row r="1" spans="1:121" ht="16.5" thickBot="1">
      <c r="A1" s="5004" t="str">
        <f>+'1. Обща информация'!B40</f>
        <v>Фиксиран курс на лева към 1 евро</v>
      </c>
      <c r="B1" s="5004"/>
      <c r="C1" s="5005">
        <f>+'1. Обща информация'!$C$40</f>
        <v>1.95583</v>
      </c>
      <c r="D1" s="5005"/>
      <c r="E1" s="2026"/>
      <c r="F1" s="2026"/>
      <c r="G1" s="2026"/>
      <c r="H1" s="2026"/>
      <c r="I1" s="2026"/>
      <c r="J1" s="2026"/>
      <c r="K1" s="2026"/>
      <c r="L1" s="2026"/>
      <c r="M1" s="2026"/>
      <c r="N1" s="2026"/>
      <c r="O1" s="2026"/>
      <c r="P1" s="2026"/>
      <c r="Q1" s="2026"/>
      <c r="R1" s="2026"/>
      <c r="S1" s="2026"/>
      <c r="T1" s="2026"/>
      <c r="U1" s="2027"/>
      <c r="V1" s="2027"/>
      <c r="W1" s="2027"/>
      <c r="X1" s="2027"/>
      <c r="Y1" s="2027"/>
      <c r="Z1" s="2028" t="s">
        <v>0</v>
      </c>
      <c r="AA1" s="2027"/>
      <c r="AB1" s="2027"/>
      <c r="AC1" s="2027"/>
      <c r="AD1" s="2027"/>
      <c r="AE1" s="2027"/>
      <c r="AF1" s="2029"/>
      <c r="AG1" s="2027"/>
      <c r="AH1" s="2027"/>
      <c r="AI1" s="2027"/>
      <c r="AJ1" s="2027"/>
      <c r="AK1" s="2027"/>
      <c r="AL1" s="2027"/>
      <c r="AM1" s="2026"/>
      <c r="AN1" s="2027"/>
      <c r="AO1" s="2027"/>
      <c r="AP1" s="2026"/>
      <c r="AQ1" s="2026"/>
      <c r="AR1" s="2026"/>
      <c r="AS1" s="2029"/>
      <c r="AT1" s="2026"/>
      <c r="AU1" s="2030"/>
      <c r="AV1" s="2030"/>
      <c r="AW1" s="2031"/>
      <c r="AX1" s="157"/>
      <c r="AY1" s="157"/>
      <c r="AZ1" s="157"/>
      <c r="BA1" s="157"/>
      <c r="BB1" s="63"/>
      <c r="BC1" s="156"/>
      <c r="BD1" s="156"/>
      <c r="BE1" s="156"/>
      <c r="BF1" s="156"/>
    </row>
    <row r="2" spans="1:121" ht="18.75">
      <c r="A2" s="5043" t="s">
        <v>551</v>
      </c>
      <c r="B2" s="5043"/>
      <c r="C2" s="5043"/>
      <c r="D2" s="5043"/>
      <c r="E2" s="5043"/>
      <c r="F2" s="5043"/>
      <c r="G2" s="5043"/>
      <c r="H2" s="5043"/>
      <c r="I2" s="5043"/>
      <c r="J2" s="5043"/>
      <c r="K2" s="5043"/>
      <c r="L2" s="5043"/>
      <c r="M2" s="5043"/>
      <c r="N2" s="5043"/>
      <c r="O2" s="5043"/>
      <c r="P2" s="5043"/>
      <c r="Q2" s="5043"/>
      <c r="R2" s="5043"/>
      <c r="S2" s="5043"/>
      <c r="T2" s="5043"/>
      <c r="U2" s="5043"/>
      <c r="V2" s="5043"/>
      <c r="W2" s="5043"/>
      <c r="X2" s="5043"/>
      <c r="Y2" s="5043"/>
      <c r="Z2" s="5043"/>
      <c r="AA2" s="188"/>
      <c r="AB2" s="188"/>
      <c r="AC2" s="188"/>
      <c r="AD2" s="188"/>
      <c r="AE2" s="188"/>
      <c r="AF2" s="188"/>
      <c r="AG2" s="188"/>
      <c r="AH2" s="188"/>
      <c r="AI2" s="188"/>
      <c r="AJ2" s="188"/>
      <c r="AK2" s="188"/>
      <c r="AL2" s="188"/>
      <c r="AM2" s="3936"/>
      <c r="AN2" s="188"/>
      <c r="AO2" s="188"/>
      <c r="AP2" s="3936"/>
      <c r="AQ2" s="3936"/>
      <c r="AR2" s="3936"/>
      <c r="AS2" s="3936"/>
      <c r="AT2" s="3936"/>
      <c r="AU2" s="787"/>
      <c r="AV2" s="787"/>
      <c r="AW2" s="188"/>
      <c r="AX2" s="188"/>
      <c r="AY2" s="188"/>
      <c r="AZ2" s="188"/>
      <c r="BA2" s="188"/>
      <c r="BB2" s="188"/>
      <c r="BC2" s="156"/>
      <c r="BD2" s="156"/>
      <c r="BE2" s="156"/>
      <c r="BF2" s="156"/>
    </row>
    <row r="3" spans="1:121" ht="18.75">
      <c r="A3" s="5043" t="s">
        <v>877</v>
      </c>
      <c r="B3" s="5043"/>
      <c r="C3" s="5043"/>
      <c r="D3" s="5043"/>
      <c r="E3" s="5043"/>
      <c r="F3" s="5043"/>
      <c r="G3" s="5043"/>
      <c r="H3" s="5043"/>
      <c r="I3" s="5043"/>
      <c r="J3" s="5043"/>
      <c r="K3" s="5043"/>
      <c r="L3" s="5043"/>
      <c r="M3" s="5043"/>
      <c r="N3" s="5043"/>
      <c r="O3" s="5043"/>
      <c r="P3" s="5043"/>
      <c r="Q3" s="5043"/>
      <c r="R3" s="5043"/>
      <c r="S3" s="5043"/>
      <c r="T3" s="5043"/>
      <c r="U3" s="5043"/>
      <c r="V3" s="5043"/>
      <c r="W3" s="5043"/>
      <c r="X3" s="5043"/>
      <c r="Y3" s="5043"/>
      <c r="Z3" s="5043"/>
      <c r="AA3" s="188"/>
      <c r="AB3" s="188"/>
      <c r="AC3" s="188"/>
      <c r="AD3" s="188"/>
      <c r="AE3" s="188"/>
      <c r="AF3" s="188"/>
      <c r="AG3" s="188"/>
      <c r="AH3" s="188"/>
      <c r="AI3" s="188"/>
      <c r="AJ3" s="188"/>
      <c r="AK3" s="188"/>
      <c r="AL3" s="188"/>
      <c r="AM3" s="3936"/>
      <c r="AN3" s="188"/>
      <c r="AO3" s="188"/>
      <c r="AP3" s="3936"/>
      <c r="AQ3" s="3936"/>
      <c r="AR3" s="3936"/>
      <c r="AS3" s="3936"/>
      <c r="AT3" s="3936"/>
      <c r="AU3" s="787"/>
      <c r="AV3" s="787"/>
      <c r="AW3" s="188"/>
      <c r="AX3" s="188"/>
      <c r="AY3" s="188"/>
      <c r="AZ3" s="188"/>
      <c r="BA3" s="188"/>
      <c r="BB3" s="188"/>
      <c r="BC3" s="158"/>
      <c r="BD3" s="158"/>
      <c r="BE3" s="158"/>
      <c r="BF3" s="158"/>
    </row>
    <row r="4" spans="1:121" ht="15.75">
      <c r="A4" s="5192" t="str">
        <f>'1. Обща информация'!A4</f>
        <v>на "ВОДОСНАБДЯВАНЕ И КАНАЛИЗАЦИЯ" ЕООД, гр. БЛАГОЕВГРАД</v>
      </c>
      <c r="B4" s="5192"/>
      <c r="C4" s="5192"/>
      <c r="D4" s="5192"/>
      <c r="E4" s="5192"/>
      <c r="F4" s="5192"/>
      <c r="G4" s="5192"/>
      <c r="H4" s="5192"/>
      <c r="I4" s="5192"/>
      <c r="J4" s="5192"/>
      <c r="K4" s="5192"/>
      <c r="L4" s="5192"/>
      <c r="M4" s="5192"/>
      <c r="N4" s="5192"/>
      <c r="O4" s="5192"/>
      <c r="P4" s="5192"/>
      <c r="Q4" s="5192"/>
      <c r="R4" s="5192"/>
      <c r="S4" s="5192"/>
      <c r="T4" s="5192"/>
      <c r="U4" s="5192"/>
      <c r="V4" s="5192"/>
      <c r="W4" s="5192"/>
      <c r="X4" s="5192"/>
      <c r="Y4" s="5192"/>
      <c r="Z4" s="5192"/>
      <c r="AA4" s="189"/>
      <c r="AB4" s="189"/>
      <c r="AC4" s="189"/>
      <c r="AD4" s="189"/>
      <c r="AE4" s="189"/>
      <c r="AF4" s="189"/>
      <c r="AG4" s="189"/>
      <c r="AH4" s="189"/>
      <c r="AI4" s="189"/>
      <c r="AJ4" s="189"/>
      <c r="AK4" s="189"/>
      <c r="AL4" s="189"/>
      <c r="AM4" s="3937"/>
      <c r="AN4" s="189"/>
      <c r="AO4" s="189"/>
      <c r="AP4" s="3937"/>
      <c r="AQ4" s="3937"/>
      <c r="AR4" s="3937"/>
      <c r="AS4" s="3937"/>
      <c r="AT4" s="3937"/>
      <c r="AU4" s="788"/>
      <c r="AV4" s="788"/>
      <c r="AW4" s="189"/>
      <c r="AX4" s="189"/>
      <c r="AY4" s="189"/>
      <c r="AZ4" s="189"/>
      <c r="BA4" s="189"/>
      <c r="BB4" s="189"/>
      <c r="BC4" s="156"/>
      <c r="BD4" s="156"/>
      <c r="BE4" s="156"/>
      <c r="BF4" s="156"/>
    </row>
    <row r="5" spans="1:121" ht="15.75">
      <c r="A5" s="5192" t="str">
        <f>'1. Обща информация'!A5</f>
        <v>ЕИК по БУЛСТАТ: 811047831</v>
      </c>
      <c r="B5" s="5192"/>
      <c r="C5" s="5192"/>
      <c r="D5" s="5192"/>
      <c r="E5" s="5192"/>
      <c r="F5" s="5192"/>
      <c r="G5" s="5192"/>
      <c r="H5" s="5192"/>
      <c r="I5" s="5192"/>
      <c r="J5" s="5192"/>
      <c r="K5" s="5192"/>
      <c r="L5" s="5192"/>
      <c r="M5" s="5192"/>
      <c r="N5" s="5192"/>
      <c r="O5" s="5192"/>
      <c r="P5" s="5192"/>
      <c r="Q5" s="5192"/>
      <c r="R5" s="5192"/>
      <c r="S5" s="5192"/>
      <c r="T5" s="5192"/>
      <c r="U5" s="5192"/>
      <c r="V5" s="5192"/>
      <c r="W5" s="5192"/>
      <c r="X5" s="5192"/>
      <c r="Y5" s="5192"/>
      <c r="Z5" s="5192"/>
      <c r="AA5" s="189"/>
      <c r="AB5" s="189"/>
      <c r="AC5" s="189"/>
      <c r="AD5" s="189"/>
      <c r="AE5" s="189"/>
      <c r="AF5" s="189"/>
      <c r="AG5" s="189"/>
      <c r="AH5" s="189"/>
      <c r="AI5" s="189"/>
      <c r="AJ5" s="189"/>
      <c r="AK5" s="189"/>
      <c r="AL5" s="189"/>
      <c r="AM5" s="3937"/>
      <c r="AN5" s="189"/>
      <c r="AO5" s="189"/>
      <c r="AP5" s="3937"/>
      <c r="AQ5" s="3937"/>
      <c r="AR5" s="3937"/>
      <c r="AS5" s="3937"/>
      <c r="AT5" s="3937"/>
      <c r="AU5" s="788"/>
      <c r="AV5" s="788"/>
      <c r="AW5" s="189"/>
      <c r="AX5" s="189"/>
      <c r="AY5" s="189"/>
      <c r="AZ5" s="4158"/>
      <c r="BA5" s="4158"/>
      <c r="BB5" s="4158"/>
      <c r="BC5" s="4158"/>
      <c r="BD5" s="4158"/>
      <c r="BE5" s="4158"/>
      <c r="BF5" s="4158"/>
      <c r="BG5" s="4158"/>
      <c r="BH5" s="4158"/>
      <c r="BI5" s="4158"/>
      <c r="BJ5" s="4158"/>
      <c r="BK5" s="4158"/>
      <c r="BL5" s="4158"/>
      <c r="BM5" s="4158"/>
      <c r="BN5" s="4158"/>
      <c r="BO5" s="4158"/>
      <c r="BP5" s="4158"/>
      <c r="BQ5" s="4158"/>
      <c r="BR5" s="4158"/>
      <c r="BS5" s="4158"/>
      <c r="BT5" s="4158"/>
      <c r="BU5" s="4158"/>
      <c r="BV5" s="4158"/>
      <c r="BW5" s="4158"/>
      <c r="BX5" s="4158"/>
      <c r="BY5" s="4158"/>
      <c r="BZ5" s="4158"/>
      <c r="CA5" s="4158"/>
      <c r="CB5" s="4158"/>
      <c r="CC5" s="4158"/>
      <c r="CD5" s="4158"/>
      <c r="CE5" s="4158"/>
      <c r="CF5" s="4158"/>
      <c r="CG5" s="4158"/>
      <c r="CH5" s="4158"/>
      <c r="CI5" s="4158"/>
      <c r="CJ5" s="4158"/>
      <c r="CK5" s="4158"/>
      <c r="CL5" s="4158"/>
      <c r="CM5" s="4158"/>
      <c r="CN5" s="4158"/>
      <c r="CO5" s="4158"/>
      <c r="CP5" s="4158"/>
      <c r="CQ5" s="4158"/>
      <c r="CR5" s="4158"/>
      <c r="CS5" s="4158"/>
      <c r="CT5" s="4158"/>
      <c r="CU5" s="4158"/>
      <c r="CV5" s="4158"/>
      <c r="CW5" s="4158"/>
      <c r="CX5" s="4158"/>
      <c r="CY5" s="4158"/>
      <c r="CZ5" s="4158"/>
      <c r="DA5" s="4158"/>
      <c r="DB5" s="4158"/>
      <c r="DC5" s="4158"/>
      <c r="DD5" s="4158"/>
      <c r="DE5" s="4158"/>
      <c r="DF5" s="4158"/>
      <c r="DG5" s="4158"/>
      <c r="DH5" s="4158"/>
      <c r="DI5" s="4158"/>
      <c r="DJ5" s="4158"/>
      <c r="DK5" s="4158"/>
      <c r="DL5" s="4158"/>
      <c r="DM5" s="4158"/>
      <c r="DN5" s="4158"/>
      <c r="DO5" s="4158"/>
      <c r="DP5" s="4158"/>
      <c r="DQ5" s="4158"/>
    </row>
    <row r="6" spans="1:121" ht="15" thickBot="1">
      <c r="A6" s="612"/>
      <c r="B6" s="612"/>
      <c r="C6" s="612"/>
      <c r="D6" s="612"/>
      <c r="E6" s="612"/>
      <c r="F6" s="612"/>
      <c r="G6" s="612"/>
      <c r="H6" s="612"/>
      <c r="I6" s="612"/>
      <c r="J6" s="612"/>
      <c r="K6" s="612"/>
      <c r="L6" s="612"/>
      <c r="M6" s="612"/>
      <c r="N6" s="612"/>
      <c r="O6" s="612"/>
      <c r="P6" s="612"/>
      <c r="Q6" s="612"/>
      <c r="R6" s="612"/>
      <c r="S6" s="612"/>
      <c r="T6" s="612"/>
      <c r="U6" s="2027"/>
      <c r="V6" s="2027"/>
      <c r="W6" s="2027"/>
      <c r="X6" s="2027"/>
      <c r="Y6" s="2027"/>
      <c r="Z6" s="2027"/>
      <c r="AA6" s="2027"/>
      <c r="AB6" s="2027"/>
      <c r="AC6" s="2027"/>
      <c r="AD6" s="2027"/>
      <c r="AE6" s="2027"/>
      <c r="AF6" s="2027"/>
      <c r="AG6" s="2027"/>
      <c r="AH6" s="2027"/>
      <c r="AI6" s="2027"/>
      <c r="AJ6" s="2027"/>
      <c r="AK6" s="2027"/>
      <c r="AL6" s="2027"/>
      <c r="AM6" s="612"/>
      <c r="AN6" s="2027"/>
      <c r="AO6" s="2027"/>
      <c r="AP6" s="612"/>
      <c r="AQ6" s="612"/>
      <c r="AR6" s="612"/>
      <c r="AS6" s="612"/>
      <c r="AT6" s="612"/>
      <c r="AU6" s="2030"/>
      <c r="AV6" s="2030"/>
      <c r="AW6" s="2031"/>
      <c r="AX6" s="656"/>
      <c r="AY6" s="656"/>
      <c r="AZ6" s="4158"/>
      <c r="BA6" s="4158"/>
      <c r="BB6" s="4158"/>
      <c r="BC6" s="4158"/>
      <c r="BD6" s="4158"/>
      <c r="BE6" s="4158"/>
      <c r="BF6" s="4158"/>
      <c r="BG6" s="4158"/>
      <c r="BH6" s="4158"/>
      <c r="BI6" s="4158"/>
      <c r="BJ6" s="4158"/>
      <c r="BK6" s="4158"/>
      <c r="BL6" s="4158"/>
      <c r="BM6" s="4158"/>
      <c r="BN6" s="4158"/>
      <c r="BO6" s="4158"/>
      <c r="BP6" s="4158"/>
      <c r="BQ6" s="4158"/>
      <c r="BR6" s="4158"/>
      <c r="BS6" s="4158"/>
      <c r="BT6" s="4158"/>
      <c r="BU6" s="4158"/>
      <c r="BV6" s="4158"/>
      <c r="BW6" s="4158"/>
      <c r="BX6" s="4158"/>
      <c r="BY6" s="4158"/>
      <c r="BZ6" s="4158"/>
      <c r="CA6" s="4158"/>
      <c r="CB6" s="4158"/>
      <c r="CC6" s="4158"/>
      <c r="CD6" s="4158"/>
      <c r="CE6" s="4158"/>
      <c r="CF6" s="4158"/>
      <c r="CG6" s="4158"/>
      <c r="CH6" s="4158"/>
      <c r="CI6" s="4158"/>
      <c r="CJ6" s="4158"/>
      <c r="CK6" s="4158"/>
      <c r="CL6" s="4158"/>
      <c r="CM6" s="4158"/>
      <c r="CN6" s="4158"/>
      <c r="CO6" s="4158"/>
      <c r="CP6" s="4158"/>
      <c r="CQ6" s="4158"/>
      <c r="CR6" s="4158"/>
      <c r="CS6" s="4158"/>
      <c r="CT6" s="4158"/>
      <c r="CU6" s="4158"/>
      <c r="CV6" s="4158"/>
      <c r="CW6" s="4158"/>
      <c r="CX6" s="4158"/>
      <c r="CY6" s="4158"/>
      <c r="CZ6" s="4158"/>
      <c r="DA6" s="4158"/>
      <c r="DB6" s="4158"/>
      <c r="DC6" s="4158"/>
      <c r="DD6" s="4158"/>
      <c r="DE6" s="4158"/>
      <c r="DF6" s="4158"/>
      <c r="DG6" s="4158"/>
      <c r="DH6" s="4158"/>
      <c r="DI6" s="4158"/>
      <c r="DJ6" s="4158"/>
      <c r="DK6" s="4158"/>
      <c r="DL6" s="4158"/>
      <c r="DM6" s="4158"/>
      <c r="DN6" s="4158"/>
      <c r="DO6" s="4158"/>
      <c r="DP6" s="4158"/>
      <c r="DQ6" s="4158"/>
    </row>
    <row r="7" spans="1:121" s="172" customFormat="1" ht="22.5" customHeight="1" thickBot="1">
      <c r="A7" s="5208" t="s">
        <v>1</v>
      </c>
      <c r="B7" s="5224" t="s">
        <v>204</v>
      </c>
      <c r="C7" s="5214" t="s">
        <v>224</v>
      </c>
      <c r="D7" s="5215"/>
      <c r="E7" s="5215"/>
      <c r="F7" s="5215"/>
      <c r="G7" s="5215"/>
      <c r="H7" s="5215"/>
      <c r="I7" s="5215"/>
      <c r="J7" s="5215"/>
      <c r="K7" s="5215"/>
      <c r="L7" s="5215"/>
      <c r="M7" s="5215"/>
      <c r="N7" s="5215"/>
      <c r="O7" s="5215"/>
      <c r="P7" s="5215"/>
      <c r="Q7" s="5215"/>
      <c r="R7" s="5215"/>
      <c r="S7" s="5215"/>
      <c r="T7" s="5215"/>
      <c r="U7" s="5215"/>
      <c r="V7" s="5215"/>
      <c r="W7" s="5215"/>
      <c r="X7" s="5215"/>
      <c r="Y7" s="5215"/>
      <c r="Z7" s="5215"/>
      <c r="AA7" s="5215"/>
      <c r="AB7" s="5215"/>
      <c r="AC7" s="5215"/>
      <c r="AD7" s="5215"/>
      <c r="AE7" s="5215"/>
      <c r="AF7" s="5216"/>
      <c r="AG7" s="5208" t="s">
        <v>225</v>
      </c>
      <c r="AH7" s="5223"/>
      <c r="AI7" s="5223"/>
      <c r="AJ7" s="5223"/>
      <c r="AK7" s="5223"/>
      <c r="AL7" s="5224"/>
      <c r="AM7" s="5220" t="s">
        <v>1273</v>
      </c>
      <c r="AN7" s="5221"/>
      <c r="AO7" s="5221"/>
      <c r="AP7" s="5221"/>
      <c r="AQ7" s="5221"/>
      <c r="AR7" s="5221"/>
      <c r="AS7" s="5221"/>
      <c r="AT7" s="5221"/>
      <c r="AU7" s="5222"/>
      <c r="AV7" s="5212" t="s">
        <v>1177</v>
      </c>
      <c r="AW7" s="5212" t="s">
        <v>1274</v>
      </c>
      <c r="AX7" s="4775"/>
      <c r="AY7" s="5204" t="s">
        <v>166</v>
      </c>
      <c r="AZ7" s="5203" t="s">
        <v>224</v>
      </c>
      <c r="BA7" s="5203"/>
      <c r="BB7" s="5203"/>
      <c r="BC7" s="5203"/>
      <c r="BD7" s="5203"/>
      <c r="BE7" s="5203"/>
      <c r="BF7" s="5203"/>
      <c r="BG7" s="5203"/>
      <c r="BH7" s="5203"/>
      <c r="BI7" s="5203"/>
      <c r="BJ7" s="5203"/>
      <c r="BK7" s="5203"/>
      <c r="BL7" s="5203"/>
      <c r="BM7" s="5203"/>
      <c r="BN7" s="5203"/>
      <c r="BO7" s="5203"/>
      <c r="BP7" s="5203"/>
      <c r="BQ7" s="5203"/>
      <c r="BR7" s="5203"/>
      <c r="BS7" s="5203"/>
      <c r="BT7" s="5203"/>
      <c r="BU7" s="5203"/>
      <c r="BV7" s="5203"/>
      <c r="BW7" s="5203"/>
      <c r="BX7" s="5203"/>
      <c r="BY7" s="5203"/>
      <c r="BZ7" s="5203"/>
      <c r="CA7" s="5203"/>
      <c r="CB7" s="5203"/>
      <c r="CC7" s="5203"/>
      <c r="CD7" s="5203" t="s">
        <v>225</v>
      </c>
      <c r="CE7" s="5203"/>
      <c r="CF7" s="5203"/>
      <c r="CG7" s="5203"/>
      <c r="CH7" s="5203"/>
      <c r="CI7" s="5203"/>
      <c r="CJ7" s="5203" t="s">
        <v>1273</v>
      </c>
      <c r="CK7" s="5203"/>
      <c r="CL7" s="5203"/>
      <c r="CM7" s="5203"/>
      <c r="CN7" s="5203"/>
      <c r="CO7" s="5203"/>
      <c r="CP7" s="5203"/>
      <c r="CQ7" s="5203"/>
      <c r="CR7" s="4158"/>
      <c r="CS7" s="4158"/>
      <c r="CT7" s="4158"/>
      <c r="CU7" s="4158"/>
      <c r="CV7" s="4158"/>
      <c r="CW7" s="4158"/>
      <c r="CX7" s="4158"/>
      <c r="CY7" s="4158"/>
      <c r="CZ7" s="4158"/>
      <c r="DA7" s="4158"/>
      <c r="DB7" s="4158"/>
      <c r="DC7" s="4158"/>
      <c r="DD7" s="4158"/>
      <c r="DE7" s="4158"/>
      <c r="DF7" s="4158"/>
      <c r="DG7" s="4158"/>
      <c r="DH7" s="4158"/>
      <c r="DI7" s="4158"/>
      <c r="DJ7" s="4158"/>
      <c r="DK7" s="4158"/>
      <c r="DL7" s="4158"/>
      <c r="DM7" s="4158"/>
      <c r="DN7" s="4158"/>
      <c r="DO7" s="4158"/>
      <c r="DP7" s="4158"/>
      <c r="DQ7" s="4158"/>
    </row>
    <row r="8" spans="1:121" s="172" customFormat="1" ht="38.25" customHeight="1" thickBot="1">
      <c r="A8" s="5209"/>
      <c r="B8" s="5228"/>
      <c r="C8" s="5230" t="s">
        <v>207</v>
      </c>
      <c r="D8" s="5231"/>
      <c r="E8" s="5231"/>
      <c r="F8" s="5231"/>
      <c r="G8" s="5231"/>
      <c r="H8" s="5232"/>
      <c r="I8" s="5230" t="s">
        <v>208</v>
      </c>
      <c r="J8" s="5231"/>
      <c r="K8" s="5231"/>
      <c r="L8" s="5231"/>
      <c r="M8" s="5231"/>
      <c r="N8" s="5232"/>
      <c r="O8" s="5230" t="s">
        <v>209</v>
      </c>
      <c r="P8" s="5231"/>
      <c r="Q8" s="5231"/>
      <c r="R8" s="5231"/>
      <c r="S8" s="5231"/>
      <c r="T8" s="5232"/>
      <c r="U8" s="5217" t="s">
        <v>1029</v>
      </c>
      <c r="V8" s="5218"/>
      <c r="W8" s="5218"/>
      <c r="X8" s="5218"/>
      <c r="Y8" s="5218"/>
      <c r="Z8" s="5219"/>
      <c r="AA8" s="5217" t="s">
        <v>1194</v>
      </c>
      <c r="AB8" s="5218"/>
      <c r="AC8" s="5218"/>
      <c r="AD8" s="5218"/>
      <c r="AE8" s="5218"/>
      <c r="AF8" s="5219"/>
      <c r="AG8" s="5225"/>
      <c r="AH8" s="5226"/>
      <c r="AI8" s="5226"/>
      <c r="AJ8" s="5226"/>
      <c r="AK8" s="5226"/>
      <c r="AL8" s="5227"/>
      <c r="AM8" s="5217"/>
      <c r="AN8" s="5218"/>
      <c r="AO8" s="5218"/>
      <c r="AP8" s="5218"/>
      <c r="AQ8" s="5218"/>
      <c r="AR8" s="5218"/>
      <c r="AS8" s="5218"/>
      <c r="AT8" s="5218"/>
      <c r="AU8" s="5219"/>
      <c r="AV8" s="5213"/>
      <c r="AW8" s="5213"/>
      <c r="AX8" s="4775"/>
      <c r="AY8" s="5205"/>
      <c r="AZ8" s="5207" t="s">
        <v>207</v>
      </c>
      <c r="BA8" s="5207"/>
      <c r="BB8" s="5207"/>
      <c r="BC8" s="5207"/>
      <c r="BD8" s="5207"/>
      <c r="BE8" s="5207"/>
      <c r="BF8" s="5207" t="s">
        <v>208</v>
      </c>
      <c r="BG8" s="5207"/>
      <c r="BH8" s="5207"/>
      <c r="BI8" s="5207"/>
      <c r="BJ8" s="5207"/>
      <c r="BK8" s="5207"/>
      <c r="BL8" s="5207" t="s">
        <v>209</v>
      </c>
      <c r="BM8" s="5207"/>
      <c r="BN8" s="5207"/>
      <c r="BO8" s="5207"/>
      <c r="BP8" s="5207"/>
      <c r="BQ8" s="5207"/>
      <c r="BR8" s="5203" t="s">
        <v>1029</v>
      </c>
      <c r="BS8" s="5203"/>
      <c r="BT8" s="5203"/>
      <c r="BU8" s="5203"/>
      <c r="BV8" s="5203"/>
      <c r="BW8" s="5203"/>
      <c r="BX8" s="5203" t="s">
        <v>1194</v>
      </c>
      <c r="BY8" s="5203"/>
      <c r="BZ8" s="5203"/>
      <c r="CA8" s="5203"/>
      <c r="CB8" s="5203"/>
      <c r="CC8" s="5203"/>
      <c r="CD8" s="5203"/>
      <c r="CE8" s="5203"/>
      <c r="CF8" s="5203"/>
      <c r="CG8" s="5203"/>
      <c r="CH8" s="5203"/>
      <c r="CI8" s="5203"/>
      <c r="CJ8" s="5203"/>
      <c r="CK8" s="5203"/>
      <c r="CL8" s="5203"/>
      <c r="CM8" s="5203"/>
      <c r="CN8" s="5203"/>
      <c r="CO8" s="5203"/>
      <c r="CP8" s="5203"/>
      <c r="CQ8" s="5203"/>
      <c r="CR8" s="4158"/>
      <c r="CS8" s="4158"/>
      <c r="CT8" s="4158"/>
      <c r="CU8" s="4158"/>
      <c r="CV8" s="4158"/>
      <c r="CW8" s="4158"/>
      <c r="CX8" s="4158"/>
      <c r="CY8" s="4158"/>
      <c r="CZ8" s="4158"/>
      <c r="DA8" s="4158"/>
      <c r="DB8" s="4158"/>
      <c r="DC8" s="4158"/>
      <c r="DD8" s="4158"/>
      <c r="DE8" s="4158"/>
      <c r="DF8" s="4158"/>
      <c r="DG8" s="4158"/>
      <c r="DH8" s="4158"/>
      <c r="DI8" s="4158"/>
      <c r="DJ8" s="4158"/>
      <c r="DK8" s="4158"/>
      <c r="DL8" s="4158"/>
      <c r="DM8" s="4158"/>
      <c r="DN8" s="4158"/>
      <c r="DO8" s="4158"/>
      <c r="DP8" s="4158"/>
      <c r="DQ8" s="4158"/>
    </row>
    <row r="9" spans="1:121" s="172" customFormat="1" ht="24.75" thickBot="1">
      <c r="A9" s="5210"/>
      <c r="B9" s="5229"/>
      <c r="C9" s="159" t="str">
        <f>'Приложение '!C12</f>
        <v>2024 г.</v>
      </c>
      <c r="D9" s="160" t="str">
        <f>'Приложение '!C14</f>
        <v>2027 г.</v>
      </c>
      <c r="E9" s="160" t="str">
        <f>'Приложение '!C15</f>
        <v>2028 г.</v>
      </c>
      <c r="F9" s="160" t="str">
        <f>'Приложение '!C16</f>
        <v>2029 г.</v>
      </c>
      <c r="G9" s="160" t="str">
        <f>'Приложение '!C17</f>
        <v>2030 г.</v>
      </c>
      <c r="H9" s="161" t="str">
        <f>'Приложение '!C18</f>
        <v>2031 г.</v>
      </c>
      <c r="I9" s="162" t="str">
        <f t="shared" ref="I9:T9" si="0">C9</f>
        <v>2024 г.</v>
      </c>
      <c r="J9" s="163" t="str">
        <f t="shared" si="0"/>
        <v>2027 г.</v>
      </c>
      <c r="K9" s="163" t="str">
        <f t="shared" si="0"/>
        <v>2028 г.</v>
      </c>
      <c r="L9" s="163" t="str">
        <f t="shared" si="0"/>
        <v>2029 г.</v>
      </c>
      <c r="M9" s="163" t="str">
        <f t="shared" si="0"/>
        <v>2030 г.</v>
      </c>
      <c r="N9" s="164" t="str">
        <f t="shared" si="0"/>
        <v>2031 г.</v>
      </c>
      <c r="O9" s="162" t="str">
        <f t="shared" si="0"/>
        <v>2024 г.</v>
      </c>
      <c r="P9" s="163" t="str">
        <f t="shared" si="0"/>
        <v>2027 г.</v>
      </c>
      <c r="Q9" s="163" t="str">
        <f t="shared" si="0"/>
        <v>2028 г.</v>
      </c>
      <c r="R9" s="163" t="str">
        <f t="shared" si="0"/>
        <v>2029 г.</v>
      </c>
      <c r="S9" s="163" t="str">
        <f t="shared" si="0"/>
        <v>2030 г.</v>
      </c>
      <c r="T9" s="164" t="str">
        <f t="shared" si="0"/>
        <v>2031 г.</v>
      </c>
      <c r="U9" s="162" t="str">
        <f t="shared" ref="U9:Z9" si="1">AG9</f>
        <v>2024 г.</v>
      </c>
      <c r="V9" s="163" t="str">
        <f t="shared" si="1"/>
        <v>2027 г.</v>
      </c>
      <c r="W9" s="163" t="str">
        <f t="shared" si="1"/>
        <v>2028 г.</v>
      </c>
      <c r="X9" s="163" t="str">
        <f t="shared" si="1"/>
        <v>2029 г.</v>
      </c>
      <c r="Y9" s="163" t="str">
        <f t="shared" si="1"/>
        <v>2030 г.</v>
      </c>
      <c r="Z9" s="164" t="str">
        <f t="shared" si="1"/>
        <v>2031 г.</v>
      </c>
      <c r="AA9" s="162" t="str">
        <f t="shared" ref="AA9:AF9" si="2">U9</f>
        <v>2024 г.</v>
      </c>
      <c r="AB9" s="163" t="str">
        <f t="shared" si="2"/>
        <v>2027 г.</v>
      </c>
      <c r="AC9" s="163" t="str">
        <f t="shared" si="2"/>
        <v>2028 г.</v>
      </c>
      <c r="AD9" s="163" t="str">
        <f t="shared" si="2"/>
        <v>2029 г.</v>
      </c>
      <c r="AE9" s="163" t="str">
        <f t="shared" si="2"/>
        <v>2030 г.</v>
      </c>
      <c r="AF9" s="164" t="str">
        <f t="shared" si="2"/>
        <v>2031 г.</v>
      </c>
      <c r="AG9" s="162" t="str">
        <f t="shared" ref="AG9:AL9" si="3">O9</f>
        <v>2024 г.</v>
      </c>
      <c r="AH9" s="163" t="str">
        <f t="shared" si="3"/>
        <v>2027 г.</v>
      </c>
      <c r="AI9" s="163" t="str">
        <f t="shared" si="3"/>
        <v>2028 г.</v>
      </c>
      <c r="AJ9" s="163" t="str">
        <f t="shared" si="3"/>
        <v>2029 г.</v>
      </c>
      <c r="AK9" s="163" t="str">
        <f t="shared" si="3"/>
        <v>2030 г.</v>
      </c>
      <c r="AL9" s="164" t="str">
        <f t="shared" si="3"/>
        <v>2031 г.</v>
      </c>
      <c r="AM9" s="614" t="str">
        <f t="shared" ref="AM9" si="4">AG9</f>
        <v>2024 г.</v>
      </c>
      <c r="AN9" s="163" t="str">
        <f>+'9.Инвестиционна програма'!G9</f>
        <v>2025 г.</v>
      </c>
      <c r="AO9" s="163" t="str">
        <f>+'9.Инвестиционна програма'!H9</f>
        <v>2026 г.</v>
      </c>
      <c r="AP9" s="615" t="str">
        <f>AH9</f>
        <v>2027 г.</v>
      </c>
      <c r="AQ9" s="615" t="str">
        <f>AI9</f>
        <v>2028 г.</v>
      </c>
      <c r="AR9" s="615" t="str">
        <f>AJ9</f>
        <v>2029 г.</v>
      </c>
      <c r="AS9" s="615" t="str">
        <f>AK9</f>
        <v>2030 г.</v>
      </c>
      <c r="AT9" s="616" t="str">
        <f>AL9</f>
        <v>2031 г.</v>
      </c>
      <c r="AU9" s="4497" t="str">
        <f>CONCATENATE(AP9," спр. ", AM9 )</f>
        <v>2027 г. спр. 2024 г.</v>
      </c>
      <c r="AV9" s="4497" t="str">
        <f>AU9</f>
        <v>2027 г. спр. 2024 г.</v>
      </c>
      <c r="AW9" s="4497" t="str">
        <f>AU9</f>
        <v>2027 г. спр. 2024 г.</v>
      </c>
      <c r="AX9" s="4775"/>
      <c r="AY9" s="5206"/>
      <c r="AZ9" s="4786" t="str">
        <f t="shared" ref="AZ9:BE9" si="5">+C9</f>
        <v>2024 г.</v>
      </c>
      <c r="BA9" s="4786" t="str">
        <f t="shared" si="5"/>
        <v>2027 г.</v>
      </c>
      <c r="BB9" s="4786" t="str">
        <f t="shared" si="5"/>
        <v>2028 г.</v>
      </c>
      <c r="BC9" s="4786" t="str">
        <f t="shared" si="5"/>
        <v>2029 г.</v>
      </c>
      <c r="BD9" s="4786" t="str">
        <f t="shared" si="5"/>
        <v>2030 г.</v>
      </c>
      <c r="BE9" s="4786" t="str">
        <f t="shared" si="5"/>
        <v>2031 г.</v>
      </c>
      <c r="BF9" s="4787" t="str">
        <f t="shared" ref="BF9" si="6">AZ9</f>
        <v>2024 г.</v>
      </c>
      <c r="BG9" s="4787" t="str">
        <f t="shared" ref="BG9" si="7">BA9</f>
        <v>2027 г.</v>
      </c>
      <c r="BH9" s="4787" t="str">
        <f t="shared" ref="BH9" si="8">BB9</f>
        <v>2028 г.</v>
      </c>
      <c r="BI9" s="4787" t="str">
        <f t="shared" ref="BI9" si="9">BC9</f>
        <v>2029 г.</v>
      </c>
      <c r="BJ9" s="4787" t="str">
        <f t="shared" ref="BJ9" si="10">BD9</f>
        <v>2030 г.</v>
      </c>
      <c r="BK9" s="4787" t="str">
        <f t="shared" ref="BK9" si="11">BE9</f>
        <v>2031 г.</v>
      </c>
      <c r="BL9" s="4787" t="str">
        <f t="shared" ref="BL9" si="12">BF9</f>
        <v>2024 г.</v>
      </c>
      <c r="BM9" s="4787" t="str">
        <f t="shared" ref="BM9" si="13">BG9</f>
        <v>2027 г.</v>
      </c>
      <c r="BN9" s="4787" t="str">
        <f t="shared" ref="BN9" si="14">BH9</f>
        <v>2028 г.</v>
      </c>
      <c r="BO9" s="4787" t="str">
        <f t="shared" ref="BO9" si="15">BI9</f>
        <v>2029 г.</v>
      </c>
      <c r="BP9" s="4787" t="str">
        <f t="shared" ref="BP9" si="16">BJ9</f>
        <v>2030 г.</v>
      </c>
      <c r="BQ9" s="4787" t="str">
        <f t="shared" ref="BQ9" si="17">BK9</f>
        <v>2031 г.</v>
      </c>
      <c r="BR9" s="4787" t="str">
        <f t="shared" ref="BR9" si="18">CD9</f>
        <v>2024 г.</v>
      </c>
      <c r="BS9" s="4787" t="str">
        <f t="shared" ref="BS9" si="19">CE9</f>
        <v>2027 г.</v>
      </c>
      <c r="BT9" s="4787" t="str">
        <f t="shared" ref="BT9" si="20">CF9</f>
        <v>2028 г.</v>
      </c>
      <c r="BU9" s="4787" t="str">
        <f t="shared" ref="BU9" si="21">CG9</f>
        <v>2029 г.</v>
      </c>
      <c r="BV9" s="4787" t="str">
        <f t="shared" ref="BV9" si="22">CH9</f>
        <v>2030 г.</v>
      </c>
      <c r="BW9" s="4787" t="str">
        <f t="shared" ref="BW9" si="23">CI9</f>
        <v>2031 г.</v>
      </c>
      <c r="BX9" s="4787" t="str">
        <f t="shared" ref="BX9" si="24">BR9</f>
        <v>2024 г.</v>
      </c>
      <c r="BY9" s="4787" t="str">
        <f t="shared" ref="BY9" si="25">BS9</f>
        <v>2027 г.</v>
      </c>
      <c r="BZ9" s="4787" t="str">
        <f t="shared" ref="BZ9" si="26">BT9</f>
        <v>2028 г.</v>
      </c>
      <c r="CA9" s="4787" t="str">
        <f t="shared" ref="CA9" si="27">BU9</f>
        <v>2029 г.</v>
      </c>
      <c r="CB9" s="4787" t="str">
        <f t="shared" ref="CB9" si="28">BV9</f>
        <v>2030 г.</v>
      </c>
      <c r="CC9" s="4787" t="str">
        <f t="shared" ref="CC9" si="29">BW9</f>
        <v>2031 г.</v>
      </c>
      <c r="CD9" s="4787" t="str">
        <f t="shared" ref="CD9" si="30">BL9</f>
        <v>2024 г.</v>
      </c>
      <c r="CE9" s="4787" t="str">
        <f t="shared" ref="CE9" si="31">BM9</f>
        <v>2027 г.</v>
      </c>
      <c r="CF9" s="4787" t="str">
        <f t="shared" ref="CF9" si="32">BN9</f>
        <v>2028 г.</v>
      </c>
      <c r="CG9" s="4787" t="str">
        <f t="shared" ref="CG9" si="33">BO9</f>
        <v>2029 г.</v>
      </c>
      <c r="CH9" s="4787" t="str">
        <f t="shared" ref="CH9" si="34">BP9</f>
        <v>2030 г.</v>
      </c>
      <c r="CI9" s="4787" t="str">
        <f t="shared" ref="CI9" si="35">BQ9</f>
        <v>2031 г.</v>
      </c>
      <c r="CJ9" s="4787" t="str">
        <f t="shared" ref="CJ9:CQ9" si="36">+AM9</f>
        <v>2024 г.</v>
      </c>
      <c r="CK9" s="4787" t="str">
        <f t="shared" si="36"/>
        <v>2025 г.</v>
      </c>
      <c r="CL9" s="4787" t="str">
        <f t="shared" si="36"/>
        <v>2026 г.</v>
      </c>
      <c r="CM9" s="4787" t="str">
        <f t="shared" si="36"/>
        <v>2027 г.</v>
      </c>
      <c r="CN9" s="4787" t="str">
        <f t="shared" si="36"/>
        <v>2028 г.</v>
      </c>
      <c r="CO9" s="4787" t="str">
        <f t="shared" si="36"/>
        <v>2029 г.</v>
      </c>
      <c r="CP9" s="4787" t="str">
        <f t="shared" si="36"/>
        <v>2030 г.</v>
      </c>
      <c r="CQ9" s="4787" t="str">
        <f t="shared" si="36"/>
        <v>2031 г.</v>
      </c>
      <c r="CR9" s="4158"/>
      <c r="CS9" s="4158"/>
      <c r="CT9" s="4158"/>
      <c r="CU9" s="4158"/>
      <c r="CV9" s="4158"/>
      <c r="CW9" s="4158"/>
      <c r="CX9" s="4158"/>
      <c r="CY9" s="4158"/>
      <c r="CZ9" s="4158"/>
      <c r="DA9" s="4158"/>
      <c r="DB9" s="4158"/>
      <c r="DC9" s="4158"/>
      <c r="DD9" s="4158"/>
      <c r="DE9" s="4158"/>
      <c r="DF9" s="4158"/>
      <c r="DG9" s="4158"/>
      <c r="DH9" s="4158"/>
      <c r="DI9" s="4158"/>
      <c r="DJ9" s="4158"/>
      <c r="DK9" s="4158"/>
      <c r="DL9" s="4158"/>
      <c r="DM9" s="4158"/>
      <c r="DN9" s="4158"/>
      <c r="DO9" s="4158"/>
      <c r="DP9" s="4158"/>
      <c r="DQ9" s="4158"/>
    </row>
    <row r="10" spans="1:121" s="151" customFormat="1">
      <c r="A10" s="332">
        <v>1</v>
      </c>
      <c r="B10" s="333" t="s">
        <v>1469</v>
      </c>
      <c r="C10" s="165"/>
      <c r="D10" s="166"/>
      <c r="E10" s="166"/>
      <c r="F10" s="166"/>
      <c r="G10" s="166"/>
      <c r="H10" s="167"/>
      <c r="I10" s="168"/>
      <c r="J10" s="169"/>
      <c r="K10" s="169"/>
      <c r="L10" s="169"/>
      <c r="M10" s="169"/>
      <c r="N10" s="170"/>
      <c r="O10" s="168"/>
      <c r="P10" s="169"/>
      <c r="Q10" s="169"/>
      <c r="R10" s="169"/>
      <c r="S10" s="169"/>
      <c r="T10" s="170"/>
      <c r="U10" s="168"/>
      <c r="V10" s="169"/>
      <c r="W10" s="169"/>
      <c r="X10" s="169"/>
      <c r="Y10" s="169"/>
      <c r="Z10" s="170"/>
      <c r="AA10" s="168"/>
      <c r="AB10" s="169"/>
      <c r="AC10" s="169"/>
      <c r="AD10" s="169"/>
      <c r="AE10" s="169"/>
      <c r="AF10" s="170"/>
      <c r="AG10" s="168"/>
      <c r="AH10" s="169"/>
      <c r="AI10" s="169"/>
      <c r="AJ10" s="169"/>
      <c r="AK10" s="169"/>
      <c r="AL10" s="170"/>
      <c r="AM10" s="168"/>
      <c r="AN10" s="169"/>
      <c r="AO10" s="169"/>
      <c r="AP10" s="169"/>
      <c r="AQ10" s="169"/>
      <c r="AR10" s="169"/>
      <c r="AS10" s="169"/>
      <c r="AT10" s="170"/>
      <c r="AU10" s="789"/>
      <c r="AV10" s="789"/>
      <c r="AW10" s="617"/>
      <c r="AX10" s="4775"/>
      <c r="AY10" s="1702"/>
      <c r="AZ10" s="4158"/>
      <c r="BA10" s="4158"/>
      <c r="BB10" s="4158"/>
      <c r="BC10" s="4158"/>
      <c r="BD10" s="4158"/>
      <c r="BE10" s="4158"/>
      <c r="BF10" s="4158"/>
      <c r="BG10" s="4158"/>
      <c r="BH10" s="4158"/>
      <c r="BI10" s="4158"/>
      <c r="BJ10" s="4158"/>
      <c r="BK10" s="4158"/>
      <c r="BL10" s="4158"/>
      <c r="BM10" s="4158"/>
      <c r="BN10" s="4158"/>
      <c r="BO10" s="4158"/>
      <c r="BP10" s="4158"/>
      <c r="BQ10" s="4158"/>
      <c r="BR10" s="4158"/>
      <c r="BS10" s="4158"/>
      <c r="BT10" s="4158"/>
      <c r="BU10" s="4158"/>
      <c r="BV10" s="4158"/>
      <c r="BW10" s="4158"/>
      <c r="BX10" s="4158"/>
      <c r="BY10" s="4158"/>
      <c r="BZ10" s="4158"/>
      <c r="CA10" s="4158"/>
      <c r="CB10" s="4158"/>
      <c r="CC10" s="4158"/>
      <c r="CD10" s="4158"/>
      <c r="CE10" s="4158"/>
      <c r="CF10" s="4158"/>
      <c r="CG10" s="4158"/>
      <c r="CH10" s="4158"/>
      <c r="CI10" s="4158"/>
      <c r="CJ10" s="4158"/>
      <c r="CK10" s="4158"/>
      <c r="CL10" s="4158"/>
      <c r="CM10" s="4158"/>
      <c r="CN10" s="4158"/>
      <c r="CO10" s="4158"/>
      <c r="CP10" s="4158"/>
      <c r="CQ10" s="4158"/>
      <c r="CR10" s="4158"/>
      <c r="CS10" s="4158"/>
      <c r="CT10" s="4158"/>
      <c r="CU10" s="4158"/>
      <c r="CV10" s="4158"/>
      <c r="CW10" s="4158"/>
      <c r="CX10" s="4158"/>
      <c r="CY10" s="4158"/>
      <c r="CZ10" s="4158"/>
      <c r="DA10" s="4158"/>
      <c r="DB10" s="4158"/>
      <c r="DC10" s="4158"/>
      <c r="DD10" s="4158"/>
      <c r="DE10" s="4158"/>
      <c r="DF10" s="4158"/>
      <c r="DG10" s="4158"/>
      <c r="DH10" s="4158"/>
      <c r="DI10" s="4158"/>
      <c r="DJ10" s="4158"/>
      <c r="DK10" s="4158"/>
      <c r="DL10" s="4158"/>
      <c r="DM10" s="4158"/>
      <c r="DN10" s="4158"/>
      <c r="DO10" s="4158"/>
      <c r="DP10" s="4158"/>
      <c r="DQ10" s="4158"/>
    </row>
    <row r="11" spans="1:121" s="657" customFormat="1" ht="36">
      <c r="A11" s="834" t="s">
        <v>463</v>
      </c>
      <c r="B11" s="835" t="s">
        <v>1315</v>
      </c>
      <c r="C11" s="984">
        <f>SUM(C12:C13)</f>
        <v>331</v>
      </c>
      <c r="D11" s="985">
        <f t="shared" ref="D11:H11" si="37">SUM(D12:D13)</f>
        <v>329</v>
      </c>
      <c r="E11" s="985">
        <f t="shared" si="37"/>
        <v>321</v>
      </c>
      <c r="F11" s="985">
        <f t="shared" si="37"/>
        <v>316</v>
      </c>
      <c r="G11" s="985">
        <f t="shared" si="37"/>
        <v>309</v>
      </c>
      <c r="H11" s="986">
        <f t="shared" si="37"/>
        <v>302</v>
      </c>
      <c r="I11" s="984">
        <f t="shared" ref="I11" si="38">SUM(I12:I13)</f>
        <v>45</v>
      </c>
      <c r="J11" s="985">
        <f t="shared" ref="J11" si="39">SUM(J12:J13)</f>
        <v>39</v>
      </c>
      <c r="K11" s="985">
        <f t="shared" ref="K11" si="40">SUM(K12:K13)</f>
        <v>39</v>
      </c>
      <c r="L11" s="985">
        <f t="shared" ref="L11" si="41">SUM(L12:L13)</f>
        <v>39</v>
      </c>
      <c r="M11" s="985">
        <f t="shared" ref="M11" si="42">SUM(M12:M13)</f>
        <v>38</v>
      </c>
      <c r="N11" s="986">
        <f t="shared" ref="N11" si="43">SUM(N12:N13)</f>
        <v>38</v>
      </c>
      <c r="O11" s="984">
        <f t="shared" ref="O11" si="44">SUM(O12:O13)</f>
        <v>120</v>
      </c>
      <c r="P11" s="985">
        <f t="shared" ref="P11" si="45">SUM(P12:P13)</f>
        <v>114</v>
      </c>
      <c r="Q11" s="985">
        <f t="shared" ref="Q11" si="46">SUM(Q12:Q13)</f>
        <v>113</v>
      </c>
      <c r="R11" s="985">
        <f t="shared" ref="R11" si="47">SUM(R12:R13)</f>
        <v>112</v>
      </c>
      <c r="S11" s="985">
        <f t="shared" ref="S11" si="48">SUM(S12:S13)</f>
        <v>111</v>
      </c>
      <c r="T11" s="986">
        <f t="shared" ref="T11" si="49">SUM(T12:T13)</f>
        <v>110</v>
      </c>
      <c r="U11" s="984">
        <f t="shared" ref="U11" si="50">SUM(U12:U13)</f>
        <v>0</v>
      </c>
      <c r="V11" s="985">
        <f t="shared" ref="V11" si="51">SUM(V12:V13)</f>
        <v>0</v>
      </c>
      <c r="W11" s="985">
        <f t="shared" ref="W11" si="52">SUM(W12:W13)</f>
        <v>0</v>
      </c>
      <c r="X11" s="985">
        <f t="shared" ref="X11" si="53">SUM(X12:X13)</f>
        <v>0</v>
      </c>
      <c r="Y11" s="985">
        <f t="shared" ref="Y11" si="54">SUM(Y12:Y13)</f>
        <v>0</v>
      </c>
      <c r="Z11" s="986">
        <f t="shared" ref="Z11" si="55">SUM(Z12:Z13)</f>
        <v>0</v>
      </c>
      <c r="AA11" s="984">
        <f t="shared" ref="AA11" si="56">SUM(AA12:AA13)</f>
        <v>0</v>
      </c>
      <c r="AB11" s="985">
        <f t="shared" ref="AB11" si="57">SUM(AB12:AB13)</f>
        <v>0</v>
      </c>
      <c r="AC11" s="985">
        <f t="shared" ref="AC11" si="58">SUM(AC12:AC13)</f>
        <v>0</v>
      </c>
      <c r="AD11" s="985">
        <f t="shared" ref="AD11" si="59">SUM(AD12:AD13)</f>
        <v>0</v>
      </c>
      <c r="AE11" s="985">
        <f t="shared" ref="AE11" si="60">SUM(AE12:AE13)</f>
        <v>0</v>
      </c>
      <c r="AF11" s="986">
        <f t="shared" ref="AF11" si="61">SUM(AF12:AF13)</f>
        <v>0</v>
      </c>
      <c r="AG11" s="984">
        <f t="shared" ref="AG11" si="62">SUM(AG12:AG13)</f>
        <v>19</v>
      </c>
      <c r="AH11" s="985">
        <f t="shared" ref="AH11" si="63">SUM(AH12:AH13)</f>
        <v>19</v>
      </c>
      <c r="AI11" s="985">
        <f t="shared" ref="AI11" si="64">SUM(AI12:AI13)</f>
        <v>19</v>
      </c>
      <c r="AJ11" s="985">
        <f>SUM(AJ12:AJ13)</f>
        <v>19</v>
      </c>
      <c r="AK11" s="985">
        <f t="shared" ref="AK11" si="65">SUM(AK12:AK13)</f>
        <v>19</v>
      </c>
      <c r="AL11" s="986">
        <f t="shared" ref="AL11" si="66">SUM(AL12:AL13)</f>
        <v>19</v>
      </c>
      <c r="AM11" s="987">
        <f t="shared" ref="AM11" si="67">C11+I11+O11+U11+AA11</f>
        <v>496</v>
      </c>
      <c r="AN11" s="985">
        <f t="shared" ref="AN11:AO11" si="68">SUM(AN12:AN13)</f>
        <v>493</v>
      </c>
      <c r="AO11" s="985">
        <f t="shared" si="68"/>
        <v>490</v>
      </c>
      <c r="AP11" s="988">
        <f>D11+J11+P11+V11+AB11</f>
        <v>482</v>
      </c>
      <c r="AQ11" s="988">
        <f>E11+K11+Q11+W11+AC11</f>
        <v>473</v>
      </c>
      <c r="AR11" s="988">
        <f>F11+L11+R11+X11+AD11</f>
        <v>467</v>
      </c>
      <c r="AS11" s="988">
        <f>G11+M11+S11+Y11+AE11</f>
        <v>458</v>
      </c>
      <c r="AT11" s="989">
        <f>H11+N11+T11+Z11+AF11</f>
        <v>450</v>
      </c>
      <c r="AU11" s="990">
        <f>IFERROR((AP11-AM11)/AM11,0)</f>
        <v>-2.8225806451612902E-2</v>
      </c>
      <c r="AV11" s="990">
        <f>IFERROR(((D11+V11+AB11)-(+C11+U11+AA11))/(C11+U11+AA11),0)</f>
        <v>-6.0422960725075529E-3</v>
      </c>
      <c r="AW11" s="990">
        <f>IFERROR(((J11+P11)-(I11+O11))/(I11+O11),0)</f>
        <v>-7.2727272727272724E-2</v>
      </c>
      <c r="AX11" s="4775"/>
      <c r="AY11" s="4788"/>
      <c r="AZ11" s="4158"/>
      <c r="BA11" s="4158"/>
      <c r="BB11" s="4158"/>
      <c r="BC11" s="4158"/>
      <c r="BD11" s="4158"/>
      <c r="BE11" s="4158"/>
      <c r="BF11" s="4158"/>
      <c r="BG11" s="4158"/>
      <c r="BH11" s="4158"/>
      <c r="BI11" s="4158"/>
      <c r="BJ11" s="4158"/>
      <c r="BK11" s="4158"/>
      <c r="BL11" s="4158"/>
      <c r="BM11" s="4158"/>
      <c r="BN11" s="4158"/>
      <c r="BO11" s="4158"/>
      <c r="BP11" s="4158"/>
      <c r="BQ11" s="4158"/>
      <c r="BR11" s="4158"/>
      <c r="BS11" s="4158"/>
      <c r="BT11" s="4158"/>
      <c r="BU11" s="4158"/>
      <c r="BV11" s="4158"/>
      <c r="BW11" s="4158"/>
      <c r="BX11" s="4158"/>
      <c r="BY11" s="4158"/>
      <c r="BZ11" s="4158"/>
      <c r="CA11" s="4158"/>
      <c r="CB11" s="4158"/>
      <c r="CC11" s="4158"/>
      <c r="CD11" s="4158"/>
      <c r="CE11" s="4158"/>
      <c r="CF11" s="4158"/>
      <c r="CG11" s="4158"/>
      <c r="CH11" s="4158"/>
      <c r="CI11" s="4158"/>
      <c r="CJ11" s="4158"/>
      <c r="CK11" s="4158"/>
      <c r="CL11" s="4158"/>
      <c r="CM11" s="4158"/>
      <c r="CN11" s="4158"/>
      <c r="CO11" s="4158"/>
      <c r="CP11" s="4158"/>
      <c r="CQ11" s="4158"/>
      <c r="CR11" s="4158"/>
      <c r="CS11" s="4158"/>
      <c r="CT11" s="4158"/>
      <c r="CU11" s="4158"/>
      <c r="CV11" s="4158"/>
      <c r="CW11" s="4158"/>
      <c r="CX11" s="4158"/>
      <c r="CY11" s="4158"/>
      <c r="CZ11" s="4158"/>
      <c r="DA11" s="4158"/>
      <c r="DB11" s="4158"/>
      <c r="DC11" s="4158"/>
      <c r="DD11" s="4158"/>
      <c r="DE11" s="4158"/>
      <c r="DF11" s="4158"/>
      <c r="DG11" s="4158"/>
      <c r="DH11" s="4158"/>
      <c r="DI11" s="4158"/>
      <c r="DJ11" s="4158"/>
      <c r="DK11" s="4158"/>
      <c r="DL11" s="4158"/>
      <c r="DM11" s="4158"/>
      <c r="DN11" s="4158"/>
      <c r="DO11" s="4158"/>
      <c r="DP11" s="4158"/>
      <c r="DQ11" s="4158"/>
    </row>
    <row r="12" spans="1:121" s="171" customFormat="1" ht="36">
      <c r="A12" s="736" t="s">
        <v>1285</v>
      </c>
      <c r="B12" s="625" t="s">
        <v>1316</v>
      </c>
      <c r="C12" s="302">
        <v>330</v>
      </c>
      <c r="D12" s="303">
        <v>328</v>
      </c>
      <c r="E12" s="303">
        <v>320</v>
      </c>
      <c r="F12" s="303">
        <v>315</v>
      </c>
      <c r="G12" s="303">
        <v>308</v>
      </c>
      <c r="H12" s="618">
        <v>301</v>
      </c>
      <c r="I12" s="302">
        <v>45</v>
      </c>
      <c r="J12" s="303">
        <v>39</v>
      </c>
      <c r="K12" s="303">
        <v>39</v>
      </c>
      <c r="L12" s="303">
        <v>39</v>
      </c>
      <c r="M12" s="303">
        <v>38</v>
      </c>
      <c r="N12" s="618">
        <v>38</v>
      </c>
      <c r="O12" s="302">
        <v>120</v>
      </c>
      <c r="P12" s="303">
        <v>114</v>
      </c>
      <c r="Q12" s="303">
        <v>113</v>
      </c>
      <c r="R12" s="303">
        <v>112</v>
      </c>
      <c r="S12" s="303">
        <v>111</v>
      </c>
      <c r="T12" s="618">
        <v>110</v>
      </c>
      <c r="U12" s="302"/>
      <c r="V12" s="303"/>
      <c r="W12" s="303"/>
      <c r="X12" s="303"/>
      <c r="Y12" s="303"/>
      <c r="Z12" s="618"/>
      <c r="AA12" s="302"/>
      <c r="AB12" s="303"/>
      <c r="AC12" s="303"/>
      <c r="AD12" s="303"/>
      <c r="AE12" s="303"/>
      <c r="AF12" s="618"/>
      <c r="AG12" s="302">
        <v>19</v>
      </c>
      <c r="AH12" s="303">
        <v>19</v>
      </c>
      <c r="AI12" s="303">
        <v>19</v>
      </c>
      <c r="AJ12" s="303">
        <v>19</v>
      </c>
      <c r="AK12" s="303">
        <v>19</v>
      </c>
      <c r="AL12" s="618">
        <v>19</v>
      </c>
      <c r="AM12" s="991">
        <f>C12+I12+O12+U12+AA12</f>
        <v>495</v>
      </c>
      <c r="AN12" s="303">
        <v>492</v>
      </c>
      <c r="AO12" s="303">
        <v>489</v>
      </c>
      <c r="AP12" s="992">
        <f t="shared" ref="AP12" si="69">D12+J12+P12+V12+AB12</f>
        <v>481</v>
      </c>
      <c r="AQ12" s="992">
        <f t="shared" ref="AQ12" si="70">E12+K12+Q12+W12+AC12</f>
        <v>472</v>
      </c>
      <c r="AR12" s="992">
        <f t="shared" ref="AR12" si="71">F12+L12+R12+X12+AD12</f>
        <v>466</v>
      </c>
      <c r="AS12" s="992">
        <f t="shared" ref="AS12" si="72">G12+M12+S12+Y12+AE12</f>
        <v>457</v>
      </c>
      <c r="AT12" s="993">
        <f t="shared" ref="AT12" si="73">H12+N12+T12+Z12+AF12</f>
        <v>449</v>
      </c>
      <c r="AU12" s="994">
        <f t="shared" ref="AU12:AU27" si="74">IFERROR((AP12-AM12)/AM12,0)</f>
        <v>-2.8282828282828285E-2</v>
      </c>
      <c r="AV12" s="994">
        <f t="shared" ref="AV12:AV27" si="75">IFERROR(((D12+V12+AB12)-(+C12+U12+AA12))/(C12+U12+AA12),0)</f>
        <v>-6.0606060606060606E-3</v>
      </c>
      <c r="AW12" s="990">
        <f t="shared" ref="AW12:AW27" si="76">IFERROR(((J12+P12)-(I12+O12))/(I12+O12),0)</f>
        <v>-7.2727272727272724E-2</v>
      </c>
      <c r="AX12" s="4775"/>
      <c r="AY12" s="4788"/>
      <c r="AZ12" s="4158"/>
      <c r="BA12" s="4158"/>
      <c r="BB12" s="4158"/>
      <c r="BC12" s="4158"/>
      <c r="BD12" s="4158"/>
      <c r="BE12" s="4158"/>
      <c r="BF12" s="4158"/>
      <c r="BG12" s="4158"/>
      <c r="BH12" s="4158"/>
      <c r="BI12" s="4158"/>
      <c r="BJ12" s="4158"/>
      <c r="BK12" s="4158"/>
      <c r="BL12" s="4158"/>
      <c r="BM12" s="4158"/>
      <c r="BN12" s="4158"/>
      <c r="BO12" s="4158"/>
      <c r="BP12" s="4158"/>
      <c r="BQ12" s="4158"/>
      <c r="BR12" s="4158"/>
      <c r="BS12" s="4158"/>
      <c r="BT12" s="4158"/>
      <c r="BU12" s="4158"/>
      <c r="BV12" s="4158"/>
      <c r="BW12" s="4158"/>
      <c r="BX12" s="4158"/>
      <c r="BY12" s="4158"/>
      <c r="BZ12" s="4158"/>
      <c r="CA12" s="4158"/>
      <c r="CB12" s="4158"/>
      <c r="CC12" s="4158"/>
      <c r="CD12" s="4158"/>
      <c r="CE12" s="4158"/>
      <c r="CF12" s="4158"/>
      <c r="CG12" s="4158"/>
      <c r="CH12" s="4158"/>
      <c r="CI12" s="4158"/>
      <c r="CJ12" s="4158"/>
      <c r="CK12" s="4158"/>
      <c r="CL12" s="4158"/>
      <c r="CM12" s="4158"/>
      <c r="CN12" s="4158"/>
      <c r="CO12" s="4158"/>
      <c r="CP12" s="4158"/>
      <c r="CQ12" s="4158"/>
      <c r="CR12" s="4158"/>
      <c r="CS12" s="4158"/>
      <c r="CT12" s="4158"/>
      <c r="CU12" s="4158"/>
      <c r="CV12" s="4158"/>
      <c r="CW12" s="4158"/>
      <c r="CX12" s="4158"/>
      <c r="CY12" s="4158"/>
      <c r="CZ12" s="4158"/>
      <c r="DA12" s="4158"/>
      <c r="DB12" s="4158"/>
      <c r="DC12" s="4158"/>
      <c r="DD12" s="4158"/>
      <c r="DE12" s="4158"/>
      <c r="DF12" s="4158"/>
      <c r="DG12" s="4158"/>
      <c r="DH12" s="4158"/>
      <c r="DI12" s="4158"/>
      <c r="DJ12" s="4158"/>
      <c r="DK12" s="4158"/>
      <c r="DL12" s="4158"/>
      <c r="DM12" s="4158"/>
      <c r="DN12" s="4158"/>
      <c r="DO12" s="4158"/>
      <c r="DP12" s="4158"/>
      <c r="DQ12" s="4158"/>
    </row>
    <row r="13" spans="1:121" s="171" customFormat="1" ht="24">
      <c r="A13" s="736" t="s">
        <v>1314</v>
      </c>
      <c r="B13" s="625" t="s">
        <v>1263</v>
      </c>
      <c r="C13" s="302">
        <v>1</v>
      </c>
      <c r="D13" s="303">
        <v>1</v>
      </c>
      <c r="E13" s="303">
        <v>1</v>
      </c>
      <c r="F13" s="303">
        <v>1</v>
      </c>
      <c r="G13" s="303">
        <v>1</v>
      </c>
      <c r="H13" s="618">
        <v>1</v>
      </c>
      <c r="I13" s="302"/>
      <c r="J13" s="303"/>
      <c r="K13" s="303"/>
      <c r="L13" s="303"/>
      <c r="M13" s="303"/>
      <c r="N13" s="618"/>
      <c r="O13" s="302"/>
      <c r="P13" s="303"/>
      <c r="Q13" s="303"/>
      <c r="R13" s="303"/>
      <c r="S13" s="303"/>
      <c r="T13" s="618"/>
      <c r="U13" s="302"/>
      <c r="V13" s="303"/>
      <c r="W13" s="303"/>
      <c r="X13" s="303"/>
      <c r="Y13" s="303"/>
      <c r="Z13" s="618"/>
      <c r="AA13" s="302"/>
      <c r="AB13" s="303"/>
      <c r="AC13" s="303"/>
      <c r="AD13" s="303"/>
      <c r="AE13" s="303"/>
      <c r="AF13" s="618"/>
      <c r="AG13" s="302"/>
      <c r="AH13" s="303"/>
      <c r="AI13" s="303"/>
      <c r="AJ13" s="303"/>
      <c r="AK13" s="303"/>
      <c r="AL13" s="618"/>
      <c r="AM13" s="991">
        <f>C13+I13+O13+U13+AA13</f>
        <v>1</v>
      </c>
      <c r="AN13" s="303">
        <v>1</v>
      </c>
      <c r="AO13" s="303">
        <v>1</v>
      </c>
      <c r="AP13" s="992">
        <f>D13+J13+P13+V13+AB13</f>
        <v>1</v>
      </c>
      <c r="AQ13" s="992">
        <f>E13+K13+Q13+W13+AC13</f>
        <v>1</v>
      </c>
      <c r="AR13" s="992">
        <f>F13+L13+R13+X13+AD13</f>
        <v>1</v>
      </c>
      <c r="AS13" s="992">
        <f>G13+M13+S13+Y13+AE13</f>
        <v>1</v>
      </c>
      <c r="AT13" s="993">
        <f>H13+N13+T13+Z13+AF13</f>
        <v>1</v>
      </c>
      <c r="AU13" s="994">
        <f t="shared" si="74"/>
        <v>0</v>
      </c>
      <c r="AV13" s="994">
        <f t="shared" si="75"/>
        <v>0</v>
      </c>
      <c r="AW13" s="990">
        <f t="shared" si="76"/>
        <v>0</v>
      </c>
      <c r="AX13" s="4775"/>
      <c r="AY13" s="4788"/>
      <c r="AZ13" s="4158"/>
      <c r="BA13" s="4158"/>
      <c r="BB13" s="4158"/>
      <c r="BC13" s="4158"/>
      <c r="BD13" s="4158"/>
      <c r="BE13" s="4158"/>
      <c r="BF13" s="4158"/>
      <c r="BG13" s="4158"/>
      <c r="BH13" s="4158"/>
      <c r="BI13" s="4158"/>
      <c r="BJ13" s="4158"/>
      <c r="BK13" s="4158"/>
      <c r="BL13" s="4158"/>
      <c r="BM13" s="4158"/>
      <c r="BN13" s="4158"/>
      <c r="BO13" s="4158"/>
      <c r="BP13" s="4158"/>
      <c r="BQ13" s="4158"/>
      <c r="BR13" s="4158"/>
      <c r="BS13" s="4158"/>
      <c r="BT13" s="4158"/>
      <c r="BU13" s="4158"/>
      <c r="BV13" s="4158"/>
      <c r="BW13" s="4158"/>
      <c r="BX13" s="4158"/>
      <c r="BY13" s="4158"/>
      <c r="BZ13" s="4158"/>
      <c r="CA13" s="4158"/>
      <c r="CB13" s="4158"/>
      <c r="CC13" s="4158"/>
      <c r="CD13" s="4158"/>
      <c r="CE13" s="4158"/>
      <c r="CF13" s="4158"/>
      <c r="CG13" s="4158"/>
      <c r="CH13" s="4158"/>
      <c r="CI13" s="4158"/>
      <c r="CJ13" s="4158"/>
      <c r="CK13" s="4158"/>
      <c r="CL13" s="4158"/>
      <c r="CM13" s="4158"/>
      <c r="CN13" s="4158"/>
      <c r="CO13" s="4158"/>
      <c r="CP13" s="4158"/>
      <c r="CQ13" s="4158"/>
      <c r="CR13" s="4158"/>
      <c r="CS13" s="4158"/>
      <c r="CT13" s="4158"/>
      <c r="CU13" s="4158"/>
      <c r="CV13" s="4158"/>
      <c r="CW13" s="4158"/>
      <c r="CX13" s="4158"/>
      <c r="CY13" s="4158"/>
      <c r="CZ13" s="4158"/>
      <c r="DA13" s="4158"/>
      <c r="DB13" s="4158"/>
      <c r="DC13" s="4158"/>
      <c r="DD13" s="4158"/>
      <c r="DE13" s="4158"/>
      <c r="DF13" s="4158"/>
      <c r="DG13" s="4158"/>
      <c r="DH13" s="4158"/>
      <c r="DI13" s="4158"/>
      <c r="DJ13" s="4158"/>
      <c r="DK13" s="4158"/>
      <c r="DL13" s="4158"/>
      <c r="DM13" s="4158"/>
      <c r="DN13" s="4158"/>
      <c r="DO13" s="4158"/>
      <c r="DP13" s="4158"/>
      <c r="DQ13" s="4158"/>
    </row>
    <row r="14" spans="1:121" s="172" customFormat="1" ht="24">
      <c r="A14" s="2032" t="s">
        <v>465</v>
      </c>
      <c r="B14" s="791" t="s">
        <v>1467</v>
      </c>
      <c r="C14" s="2033">
        <f>SUM(C15:C23)</f>
        <v>331</v>
      </c>
      <c r="D14" s="2034">
        <f t="shared" ref="D14:AT14" si="77">SUM(D15:D23)</f>
        <v>329</v>
      </c>
      <c r="E14" s="2034">
        <f t="shared" si="77"/>
        <v>321</v>
      </c>
      <c r="F14" s="2034">
        <f t="shared" si="77"/>
        <v>316</v>
      </c>
      <c r="G14" s="2034">
        <f t="shared" si="77"/>
        <v>309</v>
      </c>
      <c r="H14" s="2035">
        <f t="shared" si="77"/>
        <v>302</v>
      </c>
      <c r="I14" s="2033">
        <f t="shared" si="77"/>
        <v>45</v>
      </c>
      <c r="J14" s="2034">
        <f t="shared" si="77"/>
        <v>39</v>
      </c>
      <c r="K14" s="2034">
        <f t="shared" si="77"/>
        <v>39</v>
      </c>
      <c r="L14" s="2034">
        <f t="shared" si="77"/>
        <v>39</v>
      </c>
      <c r="M14" s="2034">
        <f t="shared" si="77"/>
        <v>38</v>
      </c>
      <c r="N14" s="2035">
        <f t="shared" si="77"/>
        <v>38</v>
      </c>
      <c r="O14" s="2033">
        <f t="shared" si="77"/>
        <v>120</v>
      </c>
      <c r="P14" s="2034">
        <f t="shared" si="77"/>
        <v>114</v>
      </c>
      <c r="Q14" s="2034">
        <f t="shared" si="77"/>
        <v>113</v>
      </c>
      <c r="R14" s="2034">
        <f t="shared" si="77"/>
        <v>112</v>
      </c>
      <c r="S14" s="2034">
        <f t="shared" si="77"/>
        <v>111</v>
      </c>
      <c r="T14" s="2035">
        <f t="shared" si="77"/>
        <v>110</v>
      </c>
      <c r="U14" s="2033">
        <f t="shared" si="77"/>
        <v>0</v>
      </c>
      <c r="V14" s="2034">
        <f t="shared" si="77"/>
        <v>0</v>
      </c>
      <c r="W14" s="2034">
        <f t="shared" si="77"/>
        <v>0</v>
      </c>
      <c r="X14" s="2034">
        <f t="shared" si="77"/>
        <v>0</v>
      </c>
      <c r="Y14" s="2034">
        <f t="shared" si="77"/>
        <v>0</v>
      </c>
      <c r="Z14" s="2035">
        <f t="shared" si="77"/>
        <v>0</v>
      </c>
      <c r="AA14" s="2033">
        <f t="shared" si="77"/>
        <v>0</v>
      </c>
      <c r="AB14" s="2034">
        <f t="shared" si="77"/>
        <v>0</v>
      </c>
      <c r="AC14" s="2034">
        <f t="shared" si="77"/>
        <v>0</v>
      </c>
      <c r="AD14" s="2034">
        <f t="shared" si="77"/>
        <v>0</v>
      </c>
      <c r="AE14" s="2034">
        <f t="shared" si="77"/>
        <v>0</v>
      </c>
      <c r="AF14" s="2035">
        <f t="shared" si="77"/>
        <v>0</v>
      </c>
      <c r="AG14" s="2033">
        <f t="shared" si="77"/>
        <v>19</v>
      </c>
      <c r="AH14" s="2034">
        <f t="shared" si="77"/>
        <v>19</v>
      </c>
      <c r="AI14" s="2034">
        <f t="shared" si="77"/>
        <v>19</v>
      </c>
      <c r="AJ14" s="2034">
        <f t="shared" si="77"/>
        <v>19</v>
      </c>
      <c r="AK14" s="2034">
        <f t="shared" si="77"/>
        <v>19</v>
      </c>
      <c r="AL14" s="2035">
        <f t="shared" si="77"/>
        <v>19</v>
      </c>
      <c r="AM14" s="987">
        <f>SUM(AM15:AM23)</f>
        <v>496</v>
      </c>
      <c r="AN14" s="2034">
        <f t="shared" ref="AN14:AO14" si="78">SUM(AN15:AN23)</f>
        <v>493</v>
      </c>
      <c r="AO14" s="2034">
        <f t="shared" si="78"/>
        <v>490</v>
      </c>
      <c r="AP14" s="988">
        <f t="shared" si="77"/>
        <v>482</v>
      </c>
      <c r="AQ14" s="988">
        <f t="shared" si="77"/>
        <v>473</v>
      </c>
      <c r="AR14" s="988">
        <f t="shared" si="77"/>
        <v>467</v>
      </c>
      <c r="AS14" s="988">
        <f t="shared" si="77"/>
        <v>458</v>
      </c>
      <c r="AT14" s="989">
        <f t="shared" si="77"/>
        <v>450</v>
      </c>
      <c r="AU14" s="990">
        <f t="shared" si="74"/>
        <v>-2.8225806451612902E-2</v>
      </c>
      <c r="AV14" s="990">
        <f t="shared" si="75"/>
        <v>-6.0422960725075529E-3</v>
      </c>
      <c r="AW14" s="990">
        <f t="shared" si="76"/>
        <v>-7.2727272727272724E-2</v>
      </c>
      <c r="AX14" s="4775"/>
      <c r="AY14" s="4788"/>
      <c r="AZ14" s="4158"/>
      <c r="BA14" s="4158"/>
      <c r="BB14" s="4158"/>
      <c r="BC14" s="4158"/>
      <c r="BD14" s="4158"/>
      <c r="BE14" s="4158"/>
      <c r="BF14" s="4158"/>
      <c r="BG14" s="4158"/>
      <c r="BH14" s="4158"/>
      <c r="BI14" s="4158"/>
      <c r="BJ14" s="4158"/>
      <c r="BK14" s="4158"/>
      <c r="BL14" s="4158"/>
      <c r="BM14" s="4158"/>
      <c r="BN14" s="4158"/>
      <c r="BO14" s="4158"/>
      <c r="BP14" s="4158"/>
      <c r="BQ14" s="4158"/>
      <c r="BR14" s="4158"/>
      <c r="BS14" s="4158"/>
      <c r="BT14" s="4158"/>
      <c r="BU14" s="4158"/>
      <c r="BV14" s="4158"/>
      <c r="BW14" s="4158"/>
      <c r="BX14" s="4158"/>
      <c r="BY14" s="4158"/>
      <c r="BZ14" s="4158"/>
      <c r="CA14" s="4158"/>
      <c r="CB14" s="4158"/>
      <c r="CC14" s="4158"/>
      <c r="CD14" s="4158"/>
      <c r="CE14" s="4158"/>
      <c r="CF14" s="4158"/>
      <c r="CG14" s="4158"/>
      <c r="CH14" s="4158"/>
      <c r="CI14" s="4158"/>
      <c r="CJ14" s="4158"/>
      <c r="CK14" s="4158"/>
      <c r="CL14" s="4158"/>
      <c r="CM14" s="4158"/>
      <c r="CN14" s="4158"/>
      <c r="CO14" s="4158"/>
      <c r="CP14" s="4158"/>
      <c r="CQ14" s="4158"/>
      <c r="CR14" s="4158"/>
      <c r="CS14" s="4158"/>
      <c r="CT14" s="4158"/>
      <c r="CU14" s="4158"/>
      <c r="CV14" s="4158"/>
      <c r="CW14" s="4158"/>
      <c r="CX14" s="4158"/>
      <c r="CY14" s="4158"/>
      <c r="CZ14" s="4158"/>
      <c r="DA14" s="4158"/>
      <c r="DB14" s="4158"/>
      <c r="DC14" s="4158"/>
      <c r="DD14" s="4158"/>
      <c r="DE14" s="4158"/>
      <c r="DF14" s="4158"/>
      <c r="DG14" s="4158"/>
      <c r="DH14" s="4158"/>
      <c r="DI14" s="4158"/>
      <c r="DJ14" s="4158"/>
      <c r="DK14" s="4158"/>
      <c r="DL14" s="4158"/>
      <c r="DM14" s="4158"/>
      <c r="DN14" s="4158"/>
      <c r="DO14" s="4158"/>
      <c r="DP14" s="4158"/>
      <c r="DQ14" s="4158"/>
    </row>
    <row r="15" spans="1:121" s="171" customFormat="1">
      <c r="A15" s="1395" t="s">
        <v>1286</v>
      </c>
      <c r="B15" s="627" t="s">
        <v>1195</v>
      </c>
      <c r="C15" s="619">
        <v>12</v>
      </c>
      <c r="D15" s="620">
        <v>12</v>
      </c>
      <c r="E15" s="620">
        <v>12</v>
      </c>
      <c r="F15" s="620">
        <v>12</v>
      </c>
      <c r="G15" s="620">
        <v>12</v>
      </c>
      <c r="H15" s="621">
        <v>12</v>
      </c>
      <c r="I15" s="619">
        <v>1</v>
      </c>
      <c r="J15" s="620">
        <v>1</v>
      </c>
      <c r="K15" s="620">
        <v>1</v>
      </c>
      <c r="L15" s="620">
        <v>1</v>
      </c>
      <c r="M15" s="620">
        <v>1</v>
      </c>
      <c r="N15" s="621">
        <v>1</v>
      </c>
      <c r="O15" s="619">
        <v>5</v>
      </c>
      <c r="P15" s="620">
        <v>5</v>
      </c>
      <c r="Q15" s="620">
        <v>5</v>
      </c>
      <c r="R15" s="620">
        <v>5</v>
      </c>
      <c r="S15" s="620">
        <v>5</v>
      </c>
      <c r="T15" s="621">
        <v>5</v>
      </c>
      <c r="U15" s="619"/>
      <c r="V15" s="620"/>
      <c r="W15" s="620"/>
      <c r="X15" s="620"/>
      <c r="Y15" s="620"/>
      <c r="Z15" s="621"/>
      <c r="AA15" s="619"/>
      <c r="AB15" s="620"/>
      <c r="AC15" s="620"/>
      <c r="AD15" s="620"/>
      <c r="AE15" s="620"/>
      <c r="AF15" s="621"/>
      <c r="AG15" s="619"/>
      <c r="AH15" s="620"/>
      <c r="AI15" s="620"/>
      <c r="AJ15" s="620"/>
      <c r="AK15" s="620"/>
      <c r="AL15" s="621"/>
      <c r="AM15" s="995">
        <f t="shared" ref="AM15:AM23" si="79">C15+I15+O15+U15+AA15</f>
        <v>18</v>
      </c>
      <c r="AN15" s="620">
        <v>18</v>
      </c>
      <c r="AO15" s="620">
        <v>18</v>
      </c>
      <c r="AP15" s="996">
        <f t="shared" ref="AP15:AP23" si="80">D15+J15+P15+V15+AB15</f>
        <v>18</v>
      </c>
      <c r="AQ15" s="996">
        <f t="shared" ref="AQ15:AQ23" si="81">E15+K15+Q15+W15+AC15</f>
        <v>18</v>
      </c>
      <c r="AR15" s="996">
        <f t="shared" ref="AR15:AR23" si="82">F15+L15+R15+X15+AD15</f>
        <v>18</v>
      </c>
      <c r="AS15" s="996">
        <f t="shared" ref="AS15:AS23" si="83">G15+M15+S15+Y15+AE15</f>
        <v>18</v>
      </c>
      <c r="AT15" s="997">
        <f t="shared" ref="AT15:AT23" si="84">H15+N15+T15+Z15+AF15</f>
        <v>18</v>
      </c>
      <c r="AU15" s="998">
        <f t="shared" si="74"/>
        <v>0</v>
      </c>
      <c r="AV15" s="994">
        <f t="shared" si="75"/>
        <v>0</v>
      </c>
      <c r="AW15" s="999">
        <f t="shared" si="76"/>
        <v>0</v>
      </c>
      <c r="AX15" s="4775"/>
      <c r="AY15" s="4788"/>
      <c r="AZ15" s="4158"/>
      <c r="BA15" s="4158"/>
      <c r="BB15" s="4158"/>
      <c r="BC15" s="4158"/>
      <c r="BD15" s="4158"/>
      <c r="BE15" s="4158"/>
      <c r="BF15" s="4158"/>
      <c r="BG15" s="4158"/>
      <c r="BH15" s="4158"/>
      <c r="BI15" s="4158"/>
      <c r="BJ15" s="4158"/>
      <c r="BK15" s="4158"/>
      <c r="BL15" s="4158"/>
      <c r="BM15" s="4158"/>
      <c r="BN15" s="4158"/>
      <c r="BO15" s="4158"/>
      <c r="BP15" s="4158"/>
      <c r="BQ15" s="4158"/>
      <c r="BR15" s="4158"/>
      <c r="BS15" s="4158"/>
      <c r="BT15" s="4158"/>
      <c r="BU15" s="4158"/>
      <c r="BV15" s="4158"/>
      <c r="BW15" s="4158"/>
      <c r="BX15" s="4158"/>
      <c r="BY15" s="4158"/>
      <c r="BZ15" s="4158"/>
      <c r="CA15" s="4158"/>
      <c r="CB15" s="4158"/>
      <c r="CC15" s="4158"/>
      <c r="CD15" s="4158"/>
      <c r="CE15" s="4158"/>
      <c r="CF15" s="4158"/>
      <c r="CG15" s="4158"/>
      <c r="CH15" s="4158"/>
      <c r="CI15" s="4158"/>
      <c r="CJ15" s="4158"/>
      <c r="CK15" s="4158"/>
      <c r="CL15" s="4158"/>
      <c r="CM15" s="4158"/>
      <c r="CN15" s="4158"/>
      <c r="CO15" s="4158"/>
      <c r="CP15" s="4158"/>
      <c r="CQ15" s="4158"/>
      <c r="CR15" s="4158"/>
      <c r="CS15" s="4158"/>
      <c r="CT15" s="4158"/>
      <c r="CU15" s="4158"/>
      <c r="CV15" s="4158"/>
      <c r="CW15" s="4158"/>
      <c r="CX15" s="4158"/>
      <c r="CY15" s="4158"/>
      <c r="CZ15" s="4158"/>
      <c r="DA15" s="4158"/>
      <c r="DB15" s="4158"/>
      <c r="DC15" s="4158"/>
      <c r="DD15" s="4158"/>
      <c r="DE15" s="4158"/>
      <c r="DF15" s="4158"/>
      <c r="DG15" s="4158"/>
      <c r="DH15" s="4158"/>
      <c r="DI15" s="4158"/>
      <c r="DJ15" s="4158"/>
      <c r="DK15" s="4158"/>
      <c r="DL15" s="4158"/>
      <c r="DM15" s="4158"/>
      <c r="DN15" s="4158"/>
      <c r="DO15" s="4158"/>
      <c r="DP15" s="4158"/>
      <c r="DQ15" s="4158"/>
    </row>
    <row r="16" spans="1:121" s="171" customFormat="1">
      <c r="A16" s="1395" t="s">
        <v>1319</v>
      </c>
      <c r="B16" s="628" t="s">
        <v>1196</v>
      </c>
      <c r="C16" s="302">
        <v>22</v>
      </c>
      <c r="D16" s="303">
        <v>22</v>
      </c>
      <c r="E16" s="303">
        <v>22</v>
      </c>
      <c r="F16" s="303">
        <v>22</v>
      </c>
      <c r="G16" s="303">
        <v>22</v>
      </c>
      <c r="H16" s="618">
        <v>22</v>
      </c>
      <c r="I16" s="302">
        <v>2</v>
      </c>
      <c r="J16" s="303">
        <v>2</v>
      </c>
      <c r="K16" s="303">
        <v>2</v>
      </c>
      <c r="L16" s="303">
        <v>2</v>
      </c>
      <c r="M16" s="303">
        <v>2</v>
      </c>
      <c r="N16" s="618">
        <v>2</v>
      </c>
      <c r="O16" s="302">
        <v>10</v>
      </c>
      <c r="P16" s="303">
        <v>10</v>
      </c>
      <c r="Q16" s="303">
        <v>10</v>
      </c>
      <c r="R16" s="303">
        <v>10</v>
      </c>
      <c r="S16" s="303">
        <v>10</v>
      </c>
      <c r="T16" s="618">
        <v>10</v>
      </c>
      <c r="U16" s="302"/>
      <c r="V16" s="303"/>
      <c r="W16" s="303"/>
      <c r="X16" s="303"/>
      <c r="Y16" s="303"/>
      <c r="Z16" s="618"/>
      <c r="AA16" s="302"/>
      <c r="AB16" s="303"/>
      <c r="AC16" s="303"/>
      <c r="AD16" s="303"/>
      <c r="AE16" s="303"/>
      <c r="AF16" s="618"/>
      <c r="AG16" s="302"/>
      <c r="AH16" s="303"/>
      <c r="AI16" s="303"/>
      <c r="AJ16" s="303"/>
      <c r="AK16" s="303"/>
      <c r="AL16" s="618"/>
      <c r="AM16" s="991">
        <f t="shared" si="79"/>
        <v>34</v>
      </c>
      <c r="AN16" s="303">
        <v>36</v>
      </c>
      <c r="AO16" s="303">
        <v>36</v>
      </c>
      <c r="AP16" s="992">
        <f t="shared" si="80"/>
        <v>34</v>
      </c>
      <c r="AQ16" s="992">
        <f t="shared" si="81"/>
        <v>34</v>
      </c>
      <c r="AR16" s="992">
        <f t="shared" si="82"/>
        <v>34</v>
      </c>
      <c r="AS16" s="992">
        <f t="shared" si="83"/>
        <v>34</v>
      </c>
      <c r="AT16" s="993">
        <f t="shared" si="84"/>
        <v>34</v>
      </c>
      <c r="AU16" s="994">
        <f t="shared" si="74"/>
        <v>0</v>
      </c>
      <c r="AV16" s="994">
        <f t="shared" si="75"/>
        <v>0</v>
      </c>
      <c r="AW16" s="990">
        <f t="shared" si="76"/>
        <v>0</v>
      </c>
      <c r="AX16" s="4775"/>
      <c r="AY16" s="4788"/>
      <c r="AZ16" s="4158"/>
      <c r="BA16" s="4158"/>
      <c r="BB16" s="4158"/>
      <c r="BC16" s="4158"/>
      <c r="BD16" s="4158"/>
      <c r="BE16" s="4158"/>
      <c r="BF16" s="4158"/>
      <c r="BG16" s="4158"/>
      <c r="BH16" s="4158"/>
      <c r="BI16" s="4158"/>
      <c r="BJ16" s="4158"/>
      <c r="BK16" s="4158"/>
      <c r="BL16" s="4158"/>
      <c r="BM16" s="4158"/>
      <c r="BN16" s="4158"/>
      <c r="BO16" s="4158"/>
      <c r="BP16" s="4158"/>
      <c r="BQ16" s="4158"/>
      <c r="BR16" s="4158"/>
      <c r="BS16" s="4158"/>
      <c r="BT16" s="4158"/>
      <c r="BU16" s="4158"/>
      <c r="BV16" s="4158"/>
      <c r="BW16" s="4158"/>
      <c r="BX16" s="4158"/>
      <c r="BY16" s="4158"/>
      <c r="BZ16" s="4158"/>
      <c r="CA16" s="4158"/>
      <c r="CB16" s="4158"/>
      <c r="CC16" s="4158"/>
      <c r="CD16" s="4158"/>
      <c r="CE16" s="4158"/>
      <c r="CF16" s="4158"/>
      <c r="CG16" s="4158"/>
      <c r="CH16" s="4158"/>
      <c r="CI16" s="4158"/>
      <c r="CJ16" s="4158"/>
      <c r="CK16" s="4158"/>
      <c r="CL16" s="4158"/>
      <c r="CM16" s="4158"/>
      <c r="CN16" s="4158"/>
      <c r="CO16" s="4158"/>
      <c r="CP16" s="4158"/>
      <c r="CQ16" s="4158"/>
      <c r="CR16" s="4158"/>
      <c r="CS16" s="4158"/>
      <c r="CT16" s="4158"/>
      <c r="CU16" s="4158"/>
      <c r="CV16" s="4158"/>
      <c r="CW16" s="4158"/>
      <c r="CX16" s="4158"/>
      <c r="CY16" s="4158"/>
      <c r="CZ16" s="4158"/>
      <c r="DA16" s="4158"/>
      <c r="DB16" s="4158"/>
      <c r="DC16" s="4158"/>
      <c r="DD16" s="4158"/>
      <c r="DE16" s="4158"/>
      <c r="DF16" s="4158"/>
      <c r="DG16" s="4158"/>
      <c r="DH16" s="4158"/>
      <c r="DI16" s="4158"/>
      <c r="DJ16" s="4158"/>
      <c r="DK16" s="4158"/>
      <c r="DL16" s="4158"/>
      <c r="DM16" s="4158"/>
      <c r="DN16" s="4158"/>
      <c r="DO16" s="4158"/>
      <c r="DP16" s="4158"/>
      <c r="DQ16" s="4158"/>
    </row>
    <row r="17" spans="1:121" s="171" customFormat="1">
      <c r="A17" s="1395" t="s">
        <v>1320</v>
      </c>
      <c r="B17" s="628" t="s">
        <v>1197</v>
      </c>
      <c r="C17" s="302">
        <v>26</v>
      </c>
      <c r="D17" s="303">
        <v>26</v>
      </c>
      <c r="E17" s="303">
        <v>26</v>
      </c>
      <c r="F17" s="303">
        <v>26</v>
      </c>
      <c r="G17" s="303">
        <v>26</v>
      </c>
      <c r="H17" s="618">
        <v>26</v>
      </c>
      <c r="I17" s="302">
        <v>3</v>
      </c>
      <c r="J17" s="303">
        <v>3</v>
      </c>
      <c r="K17" s="303">
        <v>3</v>
      </c>
      <c r="L17" s="303">
        <v>3</v>
      </c>
      <c r="M17" s="303">
        <v>3</v>
      </c>
      <c r="N17" s="618">
        <v>3</v>
      </c>
      <c r="O17" s="302">
        <v>7</v>
      </c>
      <c r="P17" s="303">
        <v>7</v>
      </c>
      <c r="Q17" s="303">
        <v>7</v>
      </c>
      <c r="R17" s="303">
        <v>7</v>
      </c>
      <c r="S17" s="303">
        <v>7</v>
      </c>
      <c r="T17" s="618">
        <v>7</v>
      </c>
      <c r="U17" s="302"/>
      <c r="V17" s="303"/>
      <c r="W17" s="303"/>
      <c r="X17" s="303"/>
      <c r="Y17" s="303"/>
      <c r="Z17" s="618"/>
      <c r="AA17" s="302"/>
      <c r="AB17" s="303"/>
      <c r="AC17" s="303"/>
      <c r="AD17" s="303"/>
      <c r="AE17" s="303"/>
      <c r="AF17" s="618"/>
      <c r="AG17" s="302"/>
      <c r="AH17" s="303"/>
      <c r="AI17" s="303"/>
      <c r="AJ17" s="303"/>
      <c r="AK17" s="303"/>
      <c r="AL17" s="618"/>
      <c r="AM17" s="991">
        <f t="shared" si="79"/>
        <v>36</v>
      </c>
      <c r="AN17" s="303">
        <v>37</v>
      </c>
      <c r="AO17" s="303">
        <v>37</v>
      </c>
      <c r="AP17" s="992">
        <f t="shared" si="80"/>
        <v>36</v>
      </c>
      <c r="AQ17" s="992">
        <f t="shared" si="81"/>
        <v>36</v>
      </c>
      <c r="AR17" s="992">
        <f t="shared" si="82"/>
        <v>36</v>
      </c>
      <c r="AS17" s="992">
        <f t="shared" si="83"/>
        <v>36</v>
      </c>
      <c r="AT17" s="993">
        <f t="shared" si="84"/>
        <v>36</v>
      </c>
      <c r="AU17" s="994">
        <f t="shared" si="74"/>
        <v>0</v>
      </c>
      <c r="AV17" s="994">
        <f t="shared" si="75"/>
        <v>0</v>
      </c>
      <c r="AW17" s="990">
        <f t="shared" si="76"/>
        <v>0</v>
      </c>
      <c r="AX17" s="4775"/>
      <c r="AY17" s="4788"/>
      <c r="AZ17" s="4158"/>
      <c r="BA17" s="4158"/>
      <c r="BB17" s="4158"/>
      <c r="BC17" s="4158"/>
      <c r="BD17" s="4158"/>
      <c r="BE17" s="4158"/>
      <c r="BF17" s="4158"/>
      <c r="BG17" s="4158"/>
      <c r="BH17" s="4158"/>
      <c r="BI17" s="4158"/>
      <c r="BJ17" s="4158"/>
      <c r="BK17" s="4158"/>
      <c r="BL17" s="4158"/>
      <c r="BM17" s="4158"/>
      <c r="BN17" s="4158"/>
      <c r="BO17" s="4158"/>
      <c r="BP17" s="4158"/>
      <c r="BQ17" s="4158"/>
      <c r="BR17" s="4158"/>
      <c r="BS17" s="4158"/>
      <c r="BT17" s="4158"/>
      <c r="BU17" s="4158"/>
      <c r="BV17" s="4158"/>
      <c r="BW17" s="4158"/>
      <c r="BX17" s="4158"/>
      <c r="BY17" s="4158"/>
      <c r="BZ17" s="4158"/>
      <c r="CA17" s="4158"/>
      <c r="CB17" s="4158"/>
      <c r="CC17" s="4158"/>
      <c r="CD17" s="4158"/>
      <c r="CE17" s="4158"/>
      <c r="CF17" s="4158"/>
      <c r="CG17" s="4158"/>
      <c r="CH17" s="4158"/>
      <c r="CI17" s="4158"/>
      <c r="CJ17" s="4158"/>
      <c r="CK17" s="4158"/>
      <c r="CL17" s="4158"/>
      <c r="CM17" s="4158"/>
      <c r="CN17" s="4158"/>
      <c r="CO17" s="4158"/>
      <c r="CP17" s="4158"/>
      <c r="CQ17" s="4158"/>
      <c r="CR17" s="4158"/>
      <c r="CS17" s="4158"/>
      <c r="CT17" s="4158"/>
      <c r="CU17" s="4158"/>
      <c r="CV17" s="4158"/>
      <c r="CW17" s="4158"/>
      <c r="CX17" s="4158"/>
      <c r="CY17" s="4158"/>
      <c r="CZ17" s="4158"/>
      <c r="DA17" s="4158"/>
      <c r="DB17" s="4158"/>
      <c r="DC17" s="4158"/>
      <c r="DD17" s="4158"/>
      <c r="DE17" s="4158"/>
      <c r="DF17" s="4158"/>
      <c r="DG17" s="4158"/>
      <c r="DH17" s="4158"/>
      <c r="DI17" s="4158"/>
      <c r="DJ17" s="4158"/>
      <c r="DK17" s="4158"/>
      <c r="DL17" s="4158"/>
      <c r="DM17" s="4158"/>
      <c r="DN17" s="4158"/>
      <c r="DO17" s="4158"/>
      <c r="DP17" s="4158"/>
      <c r="DQ17" s="4158"/>
    </row>
    <row r="18" spans="1:121" s="171" customFormat="1">
      <c r="A18" s="1395" t="s">
        <v>1321</v>
      </c>
      <c r="B18" s="628" t="s">
        <v>1198</v>
      </c>
      <c r="C18" s="302">
        <v>66</v>
      </c>
      <c r="D18" s="303">
        <v>66</v>
      </c>
      <c r="E18" s="303">
        <v>63</v>
      </c>
      <c r="F18" s="303">
        <v>62</v>
      </c>
      <c r="G18" s="303">
        <v>58</v>
      </c>
      <c r="H18" s="618">
        <v>56</v>
      </c>
      <c r="I18" s="302">
        <v>10</v>
      </c>
      <c r="J18" s="303">
        <v>7</v>
      </c>
      <c r="K18" s="303">
        <v>7</v>
      </c>
      <c r="L18" s="303">
        <v>7</v>
      </c>
      <c r="M18" s="303">
        <v>7</v>
      </c>
      <c r="N18" s="618">
        <v>7</v>
      </c>
      <c r="O18" s="302">
        <v>24</v>
      </c>
      <c r="P18" s="303">
        <v>22</v>
      </c>
      <c r="Q18" s="303">
        <v>22</v>
      </c>
      <c r="R18" s="303">
        <v>21</v>
      </c>
      <c r="S18" s="303">
        <v>21</v>
      </c>
      <c r="T18" s="618">
        <v>21</v>
      </c>
      <c r="U18" s="302"/>
      <c r="V18" s="303"/>
      <c r="W18" s="303"/>
      <c r="X18" s="303"/>
      <c r="Y18" s="303"/>
      <c r="Z18" s="618"/>
      <c r="AA18" s="302"/>
      <c r="AB18" s="303"/>
      <c r="AC18" s="303"/>
      <c r="AD18" s="303"/>
      <c r="AE18" s="303"/>
      <c r="AF18" s="618"/>
      <c r="AG18" s="302">
        <v>1</v>
      </c>
      <c r="AH18" s="303">
        <v>1</v>
      </c>
      <c r="AI18" s="303">
        <v>1</v>
      </c>
      <c r="AJ18" s="303">
        <v>1</v>
      </c>
      <c r="AK18" s="303">
        <v>1</v>
      </c>
      <c r="AL18" s="618">
        <v>1</v>
      </c>
      <c r="AM18" s="991">
        <f t="shared" si="79"/>
        <v>100</v>
      </c>
      <c r="AN18" s="303">
        <v>98</v>
      </c>
      <c r="AO18" s="303">
        <v>96</v>
      </c>
      <c r="AP18" s="992">
        <f t="shared" si="80"/>
        <v>95</v>
      </c>
      <c r="AQ18" s="992">
        <f t="shared" si="81"/>
        <v>92</v>
      </c>
      <c r="AR18" s="992">
        <f t="shared" si="82"/>
        <v>90</v>
      </c>
      <c r="AS18" s="992">
        <f t="shared" si="83"/>
        <v>86</v>
      </c>
      <c r="AT18" s="993">
        <f t="shared" si="84"/>
        <v>84</v>
      </c>
      <c r="AU18" s="994">
        <f t="shared" si="74"/>
        <v>-0.05</v>
      </c>
      <c r="AV18" s="994">
        <f t="shared" si="75"/>
        <v>0</v>
      </c>
      <c r="AW18" s="990">
        <f t="shared" si="76"/>
        <v>-0.14705882352941177</v>
      </c>
      <c r="AX18" s="4775"/>
      <c r="AY18" s="4788"/>
      <c r="AZ18" s="4158"/>
      <c r="BA18" s="4158"/>
      <c r="BB18" s="4158"/>
      <c r="BC18" s="4158"/>
      <c r="BD18" s="4158"/>
      <c r="BE18" s="4158"/>
      <c r="BF18" s="4158"/>
      <c r="BG18" s="4158"/>
      <c r="BH18" s="4158"/>
      <c r="BI18" s="4158"/>
      <c r="BJ18" s="4158"/>
      <c r="BK18" s="4158"/>
      <c r="BL18" s="4158"/>
      <c r="BM18" s="4158"/>
      <c r="BN18" s="4158"/>
      <c r="BO18" s="4158"/>
      <c r="BP18" s="4158"/>
      <c r="BQ18" s="4158"/>
      <c r="BR18" s="4158"/>
      <c r="BS18" s="4158"/>
      <c r="BT18" s="4158"/>
      <c r="BU18" s="4158"/>
      <c r="BV18" s="4158"/>
      <c r="BW18" s="4158"/>
      <c r="BX18" s="4158"/>
      <c r="BY18" s="4158"/>
      <c r="BZ18" s="4158"/>
      <c r="CA18" s="4158"/>
      <c r="CB18" s="4158"/>
      <c r="CC18" s="4158"/>
      <c r="CD18" s="4158"/>
      <c r="CE18" s="4158"/>
      <c r="CF18" s="4158"/>
      <c r="CG18" s="4158"/>
      <c r="CH18" s="4158"/>
      <c r="CI18" s="4158"/>
      <c r="CJ18" s="4158"/>
      <c r="CK18" s="4158"/>
      <c r="CL18" s="4158"/>
      <c r="CM18" s="4158"/>
      <c r="CN18" s="4158"/>
      <c r="CO18" s="4158"/>
      <c r="CP18" s="4158"/>
      <c r="CQ18" s="4158"/>
      <c r="CR18" s="4158"/>
      <c r="CS18" s="4158"/>
      <c r="CT18" s="4158"/>
      <c r="CU18" s="4158"/>
      <c r="CV18" s="4158"/>
      <c r="CW18" s="4158"/>
      <c r="CX18" s="4158"/>
      <c r="CY18" s="4158"/>
      <c r="CZ18" s="4158"/>
      <c r="DA18" s="4158"/>
      <c r="DB18" s="4158"/>
      <c r="DC18" s="4158"/>
      <c r="DD18" s="4158"/>
      <c r="DE18" s="4158"/>
      <c r="DF18" s="4158"/>
      <c r="DG18" s="4158"/>
      <c r="DH18" s="4158"/>
      <c r="DI18" s="4158"/>
      <c r="DJ18" s="4158"/>
      <c r="DK18" s="4158"/>
      <c r="DL18" s="4158"/>
      <c r="DM18" s="4158"/>
      <c r="DN18" s="4158"/>
      <c r="DO18" s="4158"/>
      <c r="DP18" s="4158"/>
      <c r="DQ18" s="4158"/>
    </row>
    <row r="19" spans="1:121" s="171" customFormat="1" ht="24">
      <c r="A19" s="1395" t="s">
        <v>1322</v>
      </c>
      <c r="B19" s="628" t="s">
        <v>1199</v>
      </c>
      <c r="C19" s="302">
        <v>9</v>
      </c>
      <c r="D19" s="303">
        <v>9</v>
      </c>
      <c r="E19" s="303">
        <v>9</v>
      </c>
      <c r="F19" s="303">
        <v>9</v>
      </c>
      <c r="G19" s="303">
        <v>9</v>
      </c>
      <c r="H19" s="618">
        <v>9</v>
      </c>
      <c r="I19" s="302">
        <v>1</v>
      </c>
      <c r="J19" s="303">
        <v>1</v>
      </c>
      <c r="K19" s="303">
        <v>1</v>
      </c>
      <c r="L19" s="303">
        <v>1</v>
      </c>
      <c r="M19" s="303">
        <v>1</v>
      </c>
      <c r="N19" s="618">
        <v>1</v>
      </c>
      <c r="O19" s="302">
        <v>2</v>
      </c>
      <c r="P19" s="303">
        <v>2</v>
      </c>
      <c r="Q19" s="303">
        <v>2</v>
      </c>
      <c r="R19" s="303">
        <v>2</v>
      </c>
      <c r="S19" s="303">
        <v>2</v>
      </c>
      <c r="T19" s="618">
        <v>2</v>
      </c>
      <c r="U19" s="619"/>
      <c r="V19" s="620"/>
      <c r="W19" s="620"/>
      <c r="X19" s="620"/>
      <c r="Y19" s="620"/>
      <c r="Z19" s="621"/>
      <c r="AA19" s="619"/>
      <c r="AB19" s="620"/>
      <c r="AC19" s="620"/>
      <c r="AD19" s="620"/>
      <c r="AE19" s="620"/>
      <c r="AF19" s="621"/>
      <c r="AG19" s="302">
        <v>11</v>
      </c>
      <c r="AH19" s="303">
        <v>11</v>
      </c>
      <c r="AI19" s="303">
        <v>11</v>
      </c>
      <c r="AJ19" s="303">
        <v>11</v>
      </c>
      <c r="AK19" s="303">
        <v>11</v>
      </c>
      <c r="AL19" s="618">
        <v>11</v>
      </c>
      <c r="AM19" s="991">
        <f t="shared" si="79"/>
        <v>12</v>
      </c>
      <c r="AN19" s="620">
        <v>12</v>
      </c>
      <c r="AO19" s="620">
        <v>12</v>
      </c>
      <c r="AP19" s="992">
        <f t="shared" si="80"/>
        <v>12</v>
      </c>
      <c r="AQ19" s="992">
        <f t="shared" si="81"/>
        <v>12</v>
      </c>
      <c r="AR19" s="992">
        <f t="shared" si="82"/>
        <v>12</v>
      </c>
      <c r="AS19" s="992">
        <f t="shared" si="83"/>
        <v>12</v>
      </c>
      <c r="AT19" s="993">
        <f t="shared" si="84"/>
        <v>12</v>
      </c>
      <c r="AU19" s="994">
        <f t="shared" si="74"/>
        <v>0</v>
      </c>
      <c r="AV19" s="994">
        <f t="shared" si="75"/>
        <v>0</v>
      </c>
      <c r="AW19" s="990">
        <f t="shared" si="76"/>
        <v>0</v>
      </c>
      <c r="AX19" s="4775"/>
      <c r="AY19" s="4788"/>
      <c r="AZ19" s="4158"/>
      <c r="BA19" s="4158"/>
      <c r="BB19" s="4158"/>
      <c r="BC19" s="4158"/>
      <c r="BD19" s="4158"/>
      <c r="BE19" s="4158"/>
      <c r="BF19" s="4158"/>
      <c r="BG19" s="4158"/>
      <c r="BH19" s="4158"/>
      <c r="BI19" s="4158"/>
      <c r="BJ19" s="4158"/>
      <c r="BK19" s="4158"/>
      <c r="BL19" s="4158"/>
      <c r="BM19" s="4158"/>
      <c r="BN19" s="4158"/>
      <c r="BO19" s="4158"/>
      <c r="BP19" s="4158"/>
      <c r="BQ19" s="4158"/>
      <c r="BR19" s="4158"/>
      <c r="BS19" s="4158"/>
      <c r="BT19" s="4158"/>
      <c r="BU19" s="4158"/>
      <c r="BV19" s="4158"/>
      <c r="BW19" s="4158"/>
      <c r="BX19" s="4158"/>
      <c r="BY19" s="4158"/>
      <c r="BZ19" s="4158"/>
      <c r="CA19" s="4158"/>
      <c r="CB19" s="4158"/>
      <c r="CC19" s="4158"/>
      <c r="CD19" s="4158"/>
      <c r="CE19" s="4158"/>
      <c r="CF19" s="4158"/>
      <c r="CG19" s="4158"/>
      <c r="CH19" s="4158"/>
      <c r="CI19" s="4158"/>
      <c r="CJ19" s="4158"/>
      <c r="CK19" s="4158"/>
      <c r="CL19" s="4158"/>
      <c r="CM19" s="4158"/>
      <c r="CN19" s="4158"/>
      <c r="CO19" s="4158"/>
      <c r="CP19" s="4158"/>
      <c r="CQ19" s="4158"/>
      <c r="CR19" s="4158"/>
      <c r="CS19" s="4158"/>
      <c r="CT19" s="4158"/>
      <c r="CU19" s="4158"/>
      <c r="CV19" s="4158"/>
      <c r="CW19" s="4158"/>
      <c r="CX19" s="4158"/>
      <c r="CY19" s="4158"/>
      <c r="CZ19" s="4158"/>
      <c r="DA19" s="4158"/>
      <c r="DB19" s="4158"/>
      <c r="DC19" s="4158"/>
      <c r="DD19" s="4158"/>
      <c r="DE19" s="4158"/>
      <c r="DF19" s="4158"/>
      <c r="DG19" s="4158"/>
      <c r="DH19" s="4158"/>
      <c r="DI19" s="4158"/>
      <c r="DJ19" s="4158"/>
      <c r="DK19" s="4158"/>
      <c r="DL19" s="4158"/>
      <c r="DM19" s="4158"/>
      <c r="DN19" s="4158"/>
      <c r="DO19" s="4158"/>
      <c r="DP19" s="4158"/>
      <c r="DQ19" s="4158"/>
    </row>
    <row r="20" spans="1:121" s="171" customFormat="1" ht="36">
      <c r="A20" s="1395" t="s">
        <v>1323</v>
      </c>
      <c r="B20" s="628" t="s">
        <v>1200</v>
      </c>
      <c r="C20" s="302"/>
      <c r="D20" s="303"/>
      <c r="E20" s="303"/>
      <c r="F20" s="303"/>
      <c r="G20" s="303"/>
      <c r="H20" s="618"/>
      <c r="I20" s="302"/>
      <c r="J20" s="303"/>
      <c r="K20" s="303"/>
      <c r="L20" s="303"/>
      <c r="M20" s="303"/>
      <c r="N20" s="618"/>
      <c r="O20" s="302"/>
      <c r="P20" s="303"/>
      <c r="Q20" s="303"/>
      <c r="R20" s="303"/>
      <c r="S20" s="303"/>
      <c r="T20" s="618"/>
      <c r="U20" s="302"/>
      <c r="V20" s="303"/>
      <c r="W20" s="303"/>
      <c r="X20" s="303"/>
      <c r="Y20" s="303"/>
      <c r="Z20" s="618"/>
      <c r="AA20" s="302"/>
      <c r="AB20" s="303"/>
      <c r="AC20" s="303"/>
      <c r="AD20" s="303"/>
      <c r="AE20" s="303"/>
      <c r="AF20" s="618"/>
      <c r="AG20" s="302"/>
      <c r="AH20" s="303"/>
      <c r="AI20" s="303"/>
      <c r="AJ20" s="303"/>
      <c r="AK20" s="303"/>
      <c r="AL20" s="618"/>
      <c r="AM20" s="991">
        <f t="shared" si="79"/>
        <v>0</v>
      </c>
      <c r="AN20" s="303"/>
      <c r="AO20" s="303"/>
      <c r="AP20" s="992">
        <f t="shared" si="80"/>
        <v>0</v>
      </c>
      <c r="AQ20" s="992">
        <f t="shared" si="81"/>
        <v>0</v>
      </c>
      <c r="AR20" s="992">
        <f t="shared" si="82"/>
        <v>0</v>
      </c>
      <c r="AS20" s="992">
        <f t="shared" si="83"/>
        <v>0</v>
      </c>
      <c r="AT20" s="993">
        <f t="shared" si="84"/>
        <v>0</v>
      </c>
      <c r="AU20" s="994">
        <f t="shared" si="74"/>
        <v>0</v>
      </c>
      <c r="AV20" s="994">
        <f>IFERROR(((D20+V20+AB20)-(+C20+U20+AA20))/(C20+U20+AA20),0)</f>
        <v>0</v>
      </c>
      <c r="AW20" s="990">
        <f t="shared" si="76"/>
        <v>0</v>
      </c>
      <c r="AX20" s="4775"/>
      <c r="AY20" s="4788"/>
      <c r="AZ20" s="4158"/>
      <c r="BA20" s="4158"/>
      <c r="BB20" s="4158"/>
      <c r="BC20" s="4158"/>
      <c r="BD20" s="4158"/>
      <c r="BE20" s="4158"/>
      <c r="BF20" s="4158"/>
      <c r="BG20" s="4158"/>
      <c r="BH20" s="4158"/>
      <c r="BI20" s="4158"/>
      <c r="BJ20" s="4158"/>
      <c r="BK20" s="4158"/>
      <c r="BL20" s="4158"/>
      <c r="BM20" s="4158"/>
      <c r="BN20" s="4158"/>
      <c r="BO20" s="4158"/>
      <c r="BP20" s="4158"/>
      <c r="BQ20" s="4158"/>
      <c r="BR20" s="4158"/>
      <c r="BS20" s="4158"/>
      <c r="BT20" s="4158"/>
      <c r="BU20" s="4158"/>
      <c r="BV20" s="4158"/>
      <c r="BW20" s="4158"/>
      <c r="BX20" s="4158"/>
      <c r="BY20" s="4158"/>
      <c r="BZ20" s="4158"/>
      <c r="CA20" s="4158"/>
      <c r="CB20" s="4158"/>
      <c r="CC20" s="4158"/>
      <c r="CD20" s="4158"/>
      <c r="CE20" s="4158"/>
      <c r="CF20" s="4158"/>
      <c r="CG20" s="4158"/>
      <c r="CH20" s="4158"/>
      <c r="CI20" s="4158"/>
      <c r="CJ20" s="4158"/>
      <c r="CK20" s="4158"/>
      <c r="CL20" s="4158"/>
      <c r="CM20" s="4158"/>
      <c r="CN20" s="4158"/>
      <c r="CO20" s="4158"/>
      <c r="CP20" s="4158"/>
      <c r="CQ20" s="4158"/>
      <c r="CR20" s="4158"/>
      <c r="CS20" s="4158"/>
      <c r="CT20" s="4158"/>
      <c r="CU20" s="4158"/>
      <c r="CV20" s="4158"/>
      <c r="CW20" s="4158"/>
      <c r="CX20" s="4158"/>
      <c r="CY20" s="4158"/>
      <c r="CZ20" s="4158"/>
      <c r="DA20" s="4158"/>
      <c r="DB20" s="4158"/>
      <c r="DC20" s="4158"/>
      <c r="DD20" s="4158"/>
      <c r="DE20" s="4158"/>
      <c r="DF20" s="4158"/>
      <c r="DG20" s="4158"/>
      <c r="DH20" s="4158"/>
      <c r="DI20" s="4158"/>
      <c r="DJ20" s="4158"/>
      <c r="DK20" s="4158"/>
      <c r="DL20" s="4158"/>
      <c r="DM20" s="4158"/>
      <c r="DN20" s="4158"/>
      <c r="DO20" s="4158"/>
      <c r="DP20" s="4158"/>
      <c r="DQ20" s="4158"/>
    </row>
    <row r="21" spans="1:121" s="171" customFormat="1" ht="24">
      <c r="A21" s="1395" t="s">
        <v>1324</v>
      </c>
      <c r="B21" s="628" t="s">
        <v>1201</v>
      </c>
      <c r="C21" s="302">
        <v>71</v>
      </c>
      <c r="D21" s="303">
        <v>69</v>
      </c>
      <c r="E21" s="303">
        <v>68</v>
      </c>
      <c r="F21" s="303">
        <v>67</v>
      </c>
      <c r="G21" s="303">
        <v>66</v>
      </c>
      <c r="H21" s="618">
        <v>66</v>
      </c>
      <c r="I21" s="302">
        <v>19</v>
      </c>
      <c r="J21" s="303">
        <v>16</v>
      </c>
      <c r="K21" s="303">
        <v>16</v>
      </c>
      <c r="L21" s="303">
        <v>16</v>
      </c>
      <c r="M21" s="303">
        <v>15</v>
      </c>
      <c r="N21" s="618">
        <v>15</v>
      </c>
      <c r="O21" s="302">
        <v>11</v>
      </c>
      <c r="P21" s="303">
        <v>11</v>
      </c>
      <c r="Q21" s="303">
        <v>11</v>
      </c>
      <c r="R21" s="303">
        <v>11</v>
      </c>
      <c r="S21" s="303">
        <v>11</v>
      </c>
      <c r="T21" s="618">
        <v>11</v>
      </c>
      <c r="U21" s="302"/>
      <c r="V21" s="303"/>
      <c r="W21" s="303"/>
      <c r="X21" s="303"/>
      <c r="Y21" s="303"/>
      <c r="Z21" s="618"/>
      <c r="AA21" s="302"/>
      <c r="AB21" s="303"/>
      <c r="AC21" s="303"/>
      <c r="AD21" s="303"/>
      <c r="AE21" s="303"/>
      <c r="AF21" s="618"/>
      <c r="AG21" s="302"/>
      <c r="AH21" s="303"/>
      <c r="AI21" s="303"/>
      <c r="AJ21" s="303"/>
      <c r="AK21" s="303"/>
      <c r="AL21" s="618"/>
      <c r="AM21" s="991">
        <f t="shared" si="79"/>
        <v>101</v>
      </c>
      <c r="AN21" s="303">
        <v>99</v>
      </c>
      <c r="AO21" s="303">
        <v>99</v>
      </c>
      <c r="AP21" s="992">
        <f t="shared" si="80"/>
        <v>96</v>
      </c>
      <c r="AQ21" s="992">
        <f t="shared" si="81"/>
        <v>95</v>
      </c>
      <c r="AR21" s="992">
        <f t="shared" si="82"/>
        <v>94</v>
      </c>
      <c r="AS21" s="992">
        <f t="shared" si="83"/>
        <v>92</v>
      </c>
      <c r="AT21" s="993">
        <f t="shared" si="84"/>
        <v>92</v>
      </c>
      <c r="AU21" s="994">
        <f t="shared" si="74"/>
        <v>-4.9504950495049507E-2</v>
      </c>
      <c r="AV21" s="994">
        <f t="shared" si="75"/>
        <v>-2.8169014084507043E-2</v>
      </c>
      <c r="AW21" s="990">
        <f t="shared" si="76"/>
        <v>-0.1</v>
      </c>
      <c r="AX21" s="4775"/>
      <c r="AY21" s="4788"/>
      <c r="AZ21" s="4158"/>
      <c r="BA21" s="4158"/>
      <c r="BB21" s="4158"/>
      <c r="BC21" s="4158"/>
      <c r="BD21" s="4158"/>
      <c r="BE21" s="4158"/>
      <c r="BF21" s="4158"/>
      <c r="BG21" s="4158"/>
      <c r="BH21" s="4158"/>
      <c r="BI21" s="4158"/>
      <c r="BJ21" s="4158"/>
      <c r="BK21" s="4158"/>
      <c r="BL21" s="4158"/>
      <c r="BM21" s="4158"/>
      <c r="BN21" s="4158"/>
      <c r="BO21" s="4158"/>
      <c r="BP21" s="4158"/>
      <c r="BQ21" s="4158"/>
      <c r="BR21" s="4158"/>
      <c r="BS21" s="4158"/>
      <c r="BT21" s="4158"/>
      <c r="BU21" s="4158"/>
      <c r="BV21" s="4158"/>
      <c r="BW21" s="4158"/>
      <c r="BX21" s="4158"/>
      <c r="BY21" s="4158"/>
      <c r="BZ21" s="4158"/>
      <c r="CA21" s="4158"/>
      <c r="CB21" s="4158"/>
      <c r="CC21" s="4158"/>
      <c r="CD21" s="4158"/>
      <c r="CE21" s="4158"/>
      <c r="CF21" s="4158"/>
      <c r="CG21" s="4158"/>
      <c r="CH21" s="4158"/>
      <c r="CI21" s="4158"/>
      <c r="CJ21" s="4158"/>
      <c r="CK21" s="4158"/>
      <c r="CL21" s="4158"/>
      <c r="CM21" s="4158"/>
      <c r="CN21" s="4158"/>
      <c r="CO21" s="4158"/>
      <c r="CP21" s="4158"/>
      <c r="CQ21" s="4158"/>
      <c r="CR21" s="4158"/>
      <c r="CS21" s="4158"/>
      <c r="CT21" s="4158"/>
      <c r="CU21" s="4158"/>
      <c r="CV21" s="4158"/>
      <c r="CW21" s="4158"/>
      <c r="CX21" s="4158"/>
      <c r="CY21" s="4158"/>
      <c r="CZ21" s="4158"/>
      <c r="DA21" s="4158"/>
      <c r="DB21" s="4158"/>
      <c r="DC21" s="4158"/>
      <c r="DD21" s="4158"/>
      <c r="DE21" s="4158"/>
      <c r="DF21" s="4158"/>
      <c r="DG21" s="4158"/>
      <c r="DH21" s="4158"/>
      <c r="DI21" s="4158"/>
      <c r="DJ21" s="4158"/>
      <c r="DK21" s="4158"/>
      <c r="DL21" s="4158"/>
      <c r="DM21" s="4158"/>
      <c r="DN21" s="4158"/>
      <c r="DO21" s="4158"/>
      <c r="DP21" s="4158"/>
      <c r="DQ21" s="4158"/>
    </row>
    <row r="22" spans="1:121" s="171" customFormat="1">
      <c r="A22" s="1395" t="s">
        <v>1325</v>
      </c>
      <c r="B22" s="628" t="s">
        <v>1202</v>
      </c>
      <c r="C22" s="302">
        <v>52</v>
      </c>
      <c r="D22" s="303">
        <v>52</v>
      </c>
      <c r="E22" s="303">
        <v>51</v>
      </c>
      <c r="F22" s="303">
        <v>49</v>
      </c>
      <c r="G22" s="303">
        <v>49</v>
      </c>
      <c r="H22" s="618">
        <v>48</v>
      </c>
      <c r="I22" s="302">
        <v>7</v>
      </c>
      <c r="J22" s="303">
        <v>7</v>
      </c>
      <c r="K22" s="303">
        <v>7</v>
      </c>
      <c r="L22" s="303">
        <v>7</v>
      </c>
      <c r="M22" s="303">
        <v>7</v>
      </c>
      <c r="N22" s="618">
        <v>7</v>
      </c>
      <c r="O22" s="302">
        <v>33</v>
      </c>
      <c r="P22" s="303">
        <v>30</v>
      </c>
      <c r="Q22" s="303">
        <v>29</v>
      </c>
      <c r="R22" s="303">
        <v>29</v>
      </c>
      <c r="S22" s="303">
        <v>28</v>
      </c>
      <c r="T22" s="618">
        <v>28</v>
      </c>
      <c r="U22" s="302"/>
      <c r="V22" s="303"/>
      <c r="W22" s="303"/>
      <c r="X22" s="303"/>
      <c r="Y22" s="303"/>
      <c r="Z22" s="618"/>
      <c r="AA22" s="302"/>
      <c r="AB22" s="303"/>
      <c r="AC22" s="303"/>
      <c r="AD22" s="303"/>
      <c r="AE22" s="303"/>
      <c r="AF22" s="618"/>
      <c r="AG22" s="302">
        <v>3</v>
      </c>
      <c r="AH22" s="303">
        <v>3</v>
      </c>
      <c r="AI22" s="303">
        <v>3</v>
      </c>
      <c r="AJ22" s="303">
        <v>3</v>
      </c>
      <c r="AK22" s="303">
        <v>3</v>
      </c>
      <c r="AL22" s="618">
        <v>3</v>
      </c>
      <c r="AM22" s="991">
        <f t="shared" si="79"/>
        <v>92</v>
      </c>
      <c r="AN22" s="303">
        <v>90</v>
      </c>
      <c r="AO22" s="303">
        <v>89</v>
      </c>
      <c r="AP22" s="992">
        <f t="shared" si="80"/>
        <v>89</v>
      </c>
      <c r="AQ22" s="992">
        <f t="shared" si="81"/>
        <v>87</v>
      </c>
      <c r="AR22" s="992">
        <f t="shared" si="82"/>
        <v>85</v>
      </c>
      <c r="AS22" s="992">
        <f t="shared" si="83"/>
        <v>84</v>
      </c>
      <c r="AT22" s="993">
        <f t="shared" si="84"/>
        <v>83</v>
      </c>
      <c r="AU22" s="994">
        <f t="shared" si="74"/>
        <v>-3.2608695652173912E-2</v>
      </c>
      <c r="AV22" s="994">
        <f t="shared" si="75"/>
        <v>0</v>
      </c>
      <c r="AW22" s="990">
        <f t="shared" si="76"/>
        <v>-7.4999999999999997E-2</v>
      </c>
      <c r="AX22" s="4775"/>
      <c r="AY22" s="4788"/>
      <c r="AZ22" s="4158"/>
      <c r="BA22" s="4158"/>
      <c r="BB22" s="4158"/>
      <c r="BC22" s="4158"/>
      <c r="BD22" s="4158"/>
      <c r="BE22" s="4158"/>
      <c r="BF22" s="4158"/>
      <c r="BG22" s="4158"/>
      <c r="BH22" s="4158"/>
      <c r="BI22" s="4158"/>
      <c r="BJ22" s="4158"/>
      <c r="BK22" s="4158"/>
      <c r="BL22" s="4158"/>
      <c r="BM22" s="4158"/>
      <c r="BN22" s="4158"/>
      <c r="BO22" s="4158"/>
      <c r="BP22" s="4158"/>
      <c r="BQ22" s="4158"/>
      <c r="BR22" s="4158"/>
      <c r="BS22" s="4158"/>
      <c r="BT22" s="4158"/>
      <c r="BU22" s="4158"/>
      <c r="BV22" s="4158"/>
      <c r="BW22" s="4158"/>
      <c r="BX22" s="4158"/>
      <c r="BY22" s="4158"/>
      <c r="BZ22" s="4158"/>
      <c r="CA22" s="4158"/>
      <c r="CB22" s="4158"/>
      <c r="CC22" s="4158"/>
      <c r="CD22" s="4158"/>
      <c r="CE22" s="4158"/>
      <c r="CF22" s="4158"/>
      <c r="CG22" s="4158"/>
      <c r="CH22" s="4158"/>
      <c r="CI22" s="4158"/>
      <c r="CJ22" s="4158"/>
      <c r="CK22" s="4158"/>
      <c r="CL22" s="4158"/>
      <c r="CM22" s="4158"/>
      <c r="CN22" s="4158"/>
      <c r="CO22" s="4158"/>
      <c r="CP22" s="4158"/>
      <c r="CQ22" s="4158"/>
      <c r="CR22" s="4158"/>
      <c r="CS22" s="4158"/>
      <c r="CT22" s="4158"/>
      <c r="CU22" s="4158"/>
      <c r="CV22" s="4158"/>
      <c r="CW22" s="4158"/>
      <c r="CX22" s="4158"/>
      <c r="CY22" s="4158"/>
      <c r="CZ22" s="4158"/>
      <c r="DA22" s="4158"/>
      <c r="DB22" s="4158"/>
      <c r="DC22" s="4158"/>
      <c r="DD22" s="4158"/>
      <c r="DE22" s="4158"/>
      <c r="DF22" s="4158"/>
      <c r="DG22" s="4158"/>
      <c r="DH22" s="4158"/>
      <c r="DI22" s="4158"/>
      <c r="DJ22" s="4158"/>
      <c r="DK22" s="4158"/>
      <c r="DL22" s="4158"/>
      <c r="DM22" s="4158"/>
      <c r="DN22" s="4158"/>
      <c r="DO22" s="4158"/>
      <c r="DP22" s="4158"/>
      <c r="DQ22" s="4158"/>
    </row>
    <row r="23" spans="1:121" s="171" customFormat="1" ht="13.5" thickBot="1">
      <c r="A23" s="1479" t="s">
        <v>1326</v>
      </c>
      <c r="B23" s="629" t="s">
        <v>1203</v>
      </c>
      <c r="C23" s="622">
        <v>73</v>
      </c>
      <c r="D23" s="623">
        <v>73</v>
      </c>
      <c r="E23" s="623">
        <v>70</v>
      </c>
      <c r="F23" s="623">
        <v>69</v>
      </c>
      <c r="G23" s="623">
        <v>67</v>
      </c>
      <c r="H23" s="624">
        <v>63</v>
      </c>
      <c r="I23" s="622">
        <v>2</v>
      </c>
      <c r="J23" s="623">
        <v>2</v>
      </c>
      <c r="K23" s="623">
        <v>2</v>
      </c>
      <c r="L23" s="623">
        <v>2</v>
      </c>
      <c r="M23" s="623">
        <v>2</v>
      </c>
      <c r="N23" s="624">
        <v>2</v>
      </c>
      <c r="O23" s="622">
        <v>28</v>
      </c>
      <c r="P23" s="623">
        <v>27</v>
      </c>
      <c r="Q23" s="623">
        <v>27</v>
      </c>
      <c r="R23" s="623">
        <v>27</v>
      </c>
      <c r="S23" s="623">
        <v>27</v>
      </c>
      <c r="T23" s="624">
        <v>26</v>
      </c>
      <c r="U23" s="622"/>
      <c r="V23" s="623"/>
      <c r="W23" s="623"/>
      <c r="X23" s="623"/>
      <c r="Y23" s="623"/>
      <c r="Z23" s="624"/>
      <c r="AA23" s="622"/>
      <c r="AB23" s="623"/>
      <c r="AC23" s="623"/>
      <c r="AD23" s="623"/>
      <c r="AE23" s="623"/>
      <c r="AF23" s="624"/>
      <c r="AG23" s="622">
        <v>4</v>
      </c>
      <c r="AH23" s="623">
        <v>4</v>
      </c>
      <c r="AI23" s="623">
        <v>4</v>
      </c>
      <c r="AJ23" s="623">
        <v>4</v>
      </c>
      <c r="AK23" s="623">
        <v>4</v>
      </c>
      <c r="AL23" s="624">
        <v>4</v>
      </c>
      <c r="AM23" s="1568">
        <f t="shared" si="79"/>
        <v>103</v>
      </c>
      <c r="AN23" s="623">
        <v>103</v>
      </c>
      <c r="AO23" s="623">
        <v>103</v>
      </c>
      <c r="AP23" s="1569">
        <f t="shared" si="80"/>
        <v>102</v>
      </c>
      <c r="AQ23" s="1569">
        <f t="shared" si="81"/>
        <v>99</v>
      </c>
      <c r="AR23" s="1569">
        <f t="shared" si="82"/>
        <v>98</v>
      </c>
      <c r="AS23" s="1569">
        <f t="shared" si="83"/>
        <v>96</v>
      </c>
      <c r="AT23" s="1570">
        <f t="shared" si="84"/>
        <v>91</v>
      </c>
      <c r="AU23" s="1571">
        <f t="shared" si="74"/>
        <v>-9.7087378640776691E-3</v>
      </c>
      <c r="AV23" s="1571">
        <f t="shared" si="75"/>
        <v>0</v>
      </c>
      <c r="AW23" s="1572">
        <f t="shared" si="76"/>
        <v>-3.3333333333333333E-2</v>
      </c>
      <c r="AX23" s="4775"/>
      <c r="AY23" s="4788"/>
      <c r="AZ23" s="4158"/>
      <c r="BA23" s="4158"/>
      <c r="BB23" s="4158"/>
      <c r="BC23" s="4158"/>
      <c r="BD23" s="4158"/>
      <c r="BE23" s="4158"/>
      <c r="BF23" s="4158"/>
      <c r="BG23" s="4158"/>
      <c r="BH23" s="4158"/>
      <c r="BI23" s="4158"/>
      <c r="BJ23" s="4158"/>
      <c r="BK23" s="4158"/>
      <c r="BL23" s="4158"/>
      <c r="BM23" s="4158"/>
      <c r="BN23" s="4158"/>
      <c r="BO23" s="4158"/>
      <c r="BP23" s="4158"/>
      <c r="BQ23" s="4158"/>
      <c r="BR23" s="4158"/>
      <c r="BS23" s="4158"/>
      <c r="BT23" s="4158"/>
      <c r="BU23" s="4158"/>
      <c r="BV23" s="4158"/>
      <c r="BW23" s="4158"/>
      <c r="BX23" s="4158"/>
      <c r="BY23" s="4158"/>
      <c r="BZ23" s="4158"/>
      <c r="CA23" s="4158"/>
      <c r="CB23" s="4158"/>
      <c r="CC23" s="4158"/>
      <c r="CD23" s="4158"/>
      <c r="CE23" s="4158"/>
      <c r="CF23" s="4158"/>
      <c r="CG23" s="4158"/>
      <c r="CH23" s="4158"/>
      <c r="CI23" s="4158"/>
      <c r="CJ23" s="4158"/>
      <c r="CK23" s="4158"/>
      <c r="CL23" s="4158"/>
      <c r="CM23" s="4158"/>
      <c r="CN23" s="4158"/>
      <c r="CO23" s="4158"/>
      <c r="CP23" s="4158"/>
      <c r="CQ23" s="4158"/>
      <c r="CR23" s="4158"/>
      <c r="CS23" s="4158"/>
      <c r="CT23" s="4158"/>
      <c r="CU23" s="4158"/>
      <c r="CV23" s="4158"/>
      <c r="CW23" s="4158"/>
      <c r="CX23" s="4158"/>
      <c r="CY23" s="4158"/>
      <c r="CZ23" s="4158"/>
      <c r="DA23" s="4158"/>
      <c r="DB23" s="4158"/>
      <c r="DC23" s="4158"/>
      <c r="DD23" s="4158"/>
      <c r="DE23" s="4158"/>
      <c r="DF23" s="4158"/>
      <c r="DG23" s="4158"/>
      <c r="DH23" s="4158"/>
      <c r="DI23" s="4158"/>
      <c r="DJ23" s="4158"/>
      <c r="DK23" s="4158"/>
      <c r="DL23" s="4158"/>
      <c r="DM23" s="4158"/>
      <c r="DN23" s="4158"/>
      <c r="DO23" s="4158"/>
      <c r="DP23" s="4158"/>
      <c r="DQ23" s="4158"/>
    </row>
    <row r="24" spans="1:121" s="1396" customFormat="1">
      <c r="A24" s="1395" t="s">
        <v>466</v>
      </c>
      <c r="B24" s="1477" t="s">
        <v>1511</v>
      </c>
      <c r="C24" s="620"/>
      <c r="D24" s="620"/>
      <c r="E24" s="620"/>
      <c r="F24" s="620"/>
      <c r="G24" s="620"/>
      <c r="H24" s="621"/>
      <c r="I24" s="619"/>
      <c r="J24" s="620"/>
      <c r="K24" s="620"/>
      <c r="L24" s="620"/>
      <c r="M24" s="620"/>
      <c r="N24" s="621"/>
      <c r="O24" s="619"/>
      <c r="P24" s="620"/>
      <c r="Q24" s="620"/>
      <c r="R24" s="620"/>
      <c r="S24" s="620"/>
      <c r="T24" s="621"/>
      <c r="U24" s="4163">
        <f>U14</f>
        <v>0</v>
      </c>
      <c r="V24" s="4034">
        <f t="shared" ref="V24:AF24" si="85">V14</f>
        <v>0</v>
      </c>
      <c r="W24" s="4034">
        <f t="shared" si="85"/>
        <v>0</v>
      </c>
      <c r="X24" s="4034">
        <f t="shared" si="85"/>
        <v>0</v>
      </c>
      <c r="Y24" s="4034">
        <f t="shared" si="85"/>
        <v>0</v>
      </c>
      <c r="Z24" s="4164">
        <f t="shared" si="85"/>
        <v>0</v>
      </c>
      <c r="AA24" s="4163">
        <f t="shared" si="85"/>
        <v>0</v>
      </c>
      <c r="AB24" s="4034">
        <f t="shared" si="85"/>
        <v>0</v>
      </c>
      <c r="AC24" s="4034">
        <f t="shared" si="85"/>
        <v>0</v>
      </c>
      <c r="AD24" s="4034">
        <f t="shared" si="85"/>
        <v>0</v>
      </c>
      <c r="AE24" s="4034">
        <f t="shared" si="85"/>
        <v>0</v>
      </c>
      <c r="AF24" s="4164">
        <f t="shared" si="85"/>
        <v>0</v>
      </c>
      <c r="AG24" s="619"/>
      <c r="AH24" s="620"/>
      <c r="AI24" s="620"/>
      <c r="AJ24" s="620"/>
      <c r="AK24" s="620"/>
      <c r="AL24" s="621"/>
      <c r="AM24" s="995">
        <f>C24+I24+O24+U24+AA24</f>
        <v>0</v>
      </c>
      <c r="AN24" s="620"/>
      <c r="AO24" s="620"/>
      <c r="AP24" s="996">
        <f t="shared" ref="AP24" si="86">D24+J24+P24+V24+AB24</f>
        <v>0</v>
      </c>
      <c r="AQ24" s="996">
        <f t="shared" ref="AQ24" si="87">E24+K24+Q24+W24+AC24</f>
        <v>0</v>
      </c>
      <c r="AR24" s="996">
        <f t="shared" ref="AR24" si="88">F24+L24+R24+X24+AD24</f>
        <v>0</v>
      </c>
      <c r="AS24" s="996">
        <f t="shared" ref="AS24" si="89">G24+M24+S24+Y24+AE24</f>
        <v>0</v>
      </c>
      <c r="AT24" s="997">
        <f>H24+N24+T24+Z24+AF24</f>
        <v>0</v>
      </c>
      <c r="AU24" s="1573">
        <f t="shared" si="74"/>
        <v>0</v>
      </c>
      <c r="AV24" s="1573">
        <f t="shared" si="75"/>
        <v>0</v>
      </c>
      <c r="AW24" s="1574">
        <f t="shared" si="76"/>
        <v>0</v>
      </c>
      <c r="AX24" s="4775"/>
      <c r="AY24" s="4788"/>
      <c r="AZ24" s="4158"/>
      <c r="BA24" s="4158"/>
      <c r="BB24" s="4158"/>
      <c r="BC24" s="4158"/>
      <c r="BD24" s="4158"/>
      <c r="BE24" s="4158"/>
      <c r="BF24" s="4158"/>
      <c r="BG24" s="4158"/>
      <c r="BH24" s="4158"/>
      <c r="BI24" s="4158"/>
      <c r="BJ24" s="4158"/>
      <c r="BK24" s="4158"/>
      <c r="BL24" s="4158"/>
      <c r="BM24" s="4158"/>
      <c r="BN24" s="4158"/>
      <c r="BO24" s="4158"/>
      <c r="BP24" s="4158"/>
      <c r="BQ24" s="4158"/>
      <c r="BR24" s="4158"/>
      <c r="BS24" s="4158"/>
      <c r="BT24" s="4158"/>
      <c r="BU24" s="4158"/>
      <c r="BV24" s="4158"/>
      <c r="BW24" s="4158"/>
      <c r="BX24" s="4158"/>
      <c r="BY24" s="4158"/>
      <c r="BZ24" s="4158"/>
      <c r="CA24" s="4158"/>
      <c r="CB24" s="4158"/>
      <c r="CC24" s="4158"/>
      <c r="CD24" s="4158"/>
      <c r="CE24" s="4158"/>
      <c r="CF24" s="4158"/>
      <c r="CG24" s="4158"/>
      <c r="CH24" s="4158"/>
      <c r="CI24" s="4158"/>
      <c r="CJ24" s="4158"/>
      <c r="CK24" s="4158"/>
      <c r="CL24" s="4158"/>
      <c r="CM24" s="4158"/>
      <c r="CN24" s="4158"/>
      <c r="CO24" s="4158"/>
      <c r="CP24" s="4158"/>
      <c r="CQ24" s="4158"/>
      <c r="CR24" s="4158"/>
      <c r="CS24" s="4158"/>
      <c r="CT24" s="4158"/>
      <c r="CU24" s="4158"/>
      <c r="CV24" s="4158"/>
      <c r="CW24" s="4158"/>
      <c r="CX24" s="4158"/>
      <c r="CY24" s="4158"/>
      <c r="CZ24" s="4158"/>
      <c r="DA24" s="4158"/>
      <c r="DB24" s="4158"/>
      <c r="DC24" s="4158"/>
      <c r="DD24" s="4158"/>
      <c r="DE24" s="4158"/>
      <c r="DF24" s="4158"/>
      <c r="DG24" s="4158"/>
      <c r="DH24" s="4158"/>
      <c r="DI24" s="4158"/>
      <c r="DJ24" s="4158"/>
      <c r="DK24" s="4158"/>
      <c r="DL24" s="4158"/>
      <c r="DM24" s="4158"/>
      <c r="DN24" s="4158"/>
      <c r="DO24" s="4158"/>
      <c r="DP24" s="4158"/>
      <c r="DQ24" s="4158"/>
    </row>
    <row r="25" spans="1:121" s="1396" customFormat="1">
      <c r="A25" s="1395" t="s">
        <v>468</v>
      </c>
      <c r="B25" s="1477" t="s">
        <v>1512</v>
      </c>
      <c r="C25" s="4157">
        <f>C14-C24</f>
        <v>331</v>
      </c>
      <c r="D25" s="2091">
        <f t="shared" ref="D25:T25" si="90">D14-D24</f>
        <v>329</v>
      </c>
      <c r="E25" s="2091">
        <f t="shared" si="90"/>
        <v>321</v>
      </c>
      <c r="F25" s="2091">
        <f t="shared" si="90"/>
        <v>316</v>
      </c>
      <c r="G25" s="2091">
        <f t="shared" si="90"/>
        <v>309</v>
      </c>
      <c r="H25" s="3505">
        <f t="shared" si="90"/>
        <v>302</v>
      </c>
      <c r="I25" s="4157">
        <f t="shared" si="90"/>
        <v>45</v>
      </c>
      <c r="J25" s="2091">
        <f t="shared" si="90"/>
        <v>39</v>
      </c>
      <c r="K25" s="2091">
        <f t="shared" si="90"/>
        <v>39</v>
      </c>
      <c r="L25" s="2091">
        <f t="shared" si="90"/>
        <v>39</v>
      </c>
      <c r="M25" s="2091">
        <f t="shared" si="90"/>
        <v>38</v>
      </c>
      <c r="N25" s="3505">
        <f t="shared" si="90"/>
        <v>38</v>
      </c>
      <c r="O25" s="4157">
        <f t="shared" si="90"/>
        <v>120</v>
      </c>
      <c r="P25" s="2091">
        <f t="shared" si="90"/>
        <v>114</v>
      </c>
      <c r="Q25" s="2091">
        <f>Q14-Q24</f>
        <v>113</v>
      </c>
      <c r="R25" s="2091">
        <f t="shared" si="90"/>
        <v>112</v>
      </c>
      <c r="S25" s="2091">
        <f t="shared" si="90"/>
        <v>111</v>
      </c>
      <c r="T25" s="3505">
        <f t="shared" si="90"/>
        <v>110</v>
      </c>
      <c r="U25" s="2036"/>
      <c r="V25" s="2037"/>
      <c r="W25" s="2037"/>
      <c r="X25" s="2037"/>
      <c r="Y25" s="2037"/>
      <c r="Z25" s="2038"/>
      <c r="AA25" s="2036"/>
      <c r="AB25" s="2037"/>
      <c r="AC25" s="2037"/>
      <c r="AD25" s="2037"/>
      <c r="AE25" s="2037"/>
      <c r="AF25" s="2038"/>
      <c r="AG25" s="4157">
        <f t="shared" ref="AG25" si="91">AG14-AG24</f>
        <v>19</v>
      </c>
      <c r="AH25" s="2091">
        <f t="shared" ref="AH25" si="92">AH14-AH24</f>
        <v>19</v>
      </c>
      <c r="AI25" s="2091">
        <f t="shared" ref="AI25" si="93">AI14-AI24</f>
        <v>19</v>
      </c>
      <c r="AJ25" s="2091">
        <f t="shared" ref="AJ25" si="94">AJ14-AJ24</f>
        <v>19</v>
      </c>
      <c r="AK25" s="2091">
        <f t="shared" ref="AK25" si="95">AK14-AK24</f>
        <v>19</v>
      </c>
      <c r="AL25" s="3505">
        <f t="shared" ref="AL25" si="96">AL14-AL24</f>
        <v>19</v>
      </c>
      <c r="AM25" s="995">
        <f>C25+I25+O25+U25+AA25</f>
        <v>496</v>
      </c>
      <c r="AN25" s="2091">
        <f t="shared" ref="AN25:AO25" si="97">AN14-AN24</f>
        <v>493</v>
      </c>
      <c r="AO25" s="2091">
        <f t="shared" si="97"/>
        <v>490</v>
      </c>
      <c r="AP25" s="996">
        <f t="shared" ref="AP25" si="98">D25+J25+P25+V25+AB25</f>
        <v>482</v>
      </c>
      <c r="AQ25" s="996">
        <f t="shared" ref="AQ25" si="99">E25+K25+Q25+W25+AC25</f>
        <v>473</v>
      </c>
      <c r="AR25" s="996">
        <f t="shared" ref="AR25" si="100">F25+L25+R25+X25+AD25</f>
        <v>467</v>
      </c>
      <c r="AS25" s="996">
        <f t="shared" ref="AS25" si="101">G25+M25+S25+Y25+AE25</f>
        <v>458</v>
      </c>
      <c r="AT25" s="997">
        <f>H25+N25+T25+Z25+AF25</f>
        <v>450</v>
      </c>
      <c r="AU25" s="998">
        <f t="shared" si="74"/>
        <v>-2.8225806451612902E-2</v>
      </c>
      <c r="AV25" s="998">
        <f t="shared" si="75"/>
        <v>-6.0422960725075529E-3</v>
      </c>
      <c r="AW25" s="999">
        <f t="shared" si="76"/>
        <v>-7.2727272727272724E-2</v>
      </c>
      <c r="AX25" s="4775"/>
      <c r="AY25" s="4788"/>
      <c r="AZ25" s="4158"/>
      <c r="BA25" s="4158"/>
      <c r="BB25" s="4158"/>
      <c r="BC25" s="4158"/>
      <c r="BD25" s="4158"/>
      <c r="BE25" s="4158"/>
      <c r="BF25" s="4158"/>
      <c r="BG25" s="4158"/>
      <c r="BH25" s="4158"/>
      <c r="BI25" s="4158"/>
      <c r="BJ25" s="4158"/>
      <c r="BK25" s="4158"/>
      <c r="BL25" s="4158"/>
      <c r="BM25" s="4158"/>
      <c r="BN25" s="4158"/>
      <c r="BO25" s="4158"/>
      <c r="BP25" s="4158"/>
      <c r="BQ25" s="4158"/>
      <c r="BR25" s="4158"/>
      <c r="BS25" s="4158"/>
      <c r="BT25" s="4158"/>
      <c r="BU25" s="4158"/>
      <c r="BV25" s="4158"/>
      <c r="BW25" s="4158"/>
      <c r="BX25" s="4158"/>
      <c r="BY25" s="4158"/>
      <c r="BZ25" s="4158"/>
      <c r="CA25" s="4158"/>
      <c r="CB25" s="4158"/>
      <c r="CC25" s="4158"/>
      <c r="CD25" s="4158"/>
      <c r="CE25" s="4158"/>
      <c r="CF25" s="4158"/>
      <c r="CG25" s="4158"/>
      <c r="CH25" s="4158"/>
      <c r="CI25" s="4158"/>
      <c r="CJ25" s="4158"/>
      <c r="CK25" s="4158"/>
      <c r="CL25" s="4158"/>
      <c r="CM25" s="4158"/>
      <c r="CN25" s="4158"/>
      <c r="CO25" s="4158"/>
      <c r="CP25" s="4158"/>
      <c r="CQ25" s="4158"/>
      <c r="CR25" s="4158"/>
      <c r="CS25" s="4158"/>
      <c r="CT25" s="4158"/>
      <c r="CU25" s="4158"/>
      <c r="CV25" s="4158"/>
      <c r="CW25" s="4158"/>
      <c r="CX25" s="4158"/>
      <c r="CY25" s="4158"/>
      <c r="CZ25" s="4158"/>
      <c r="DA25" s="4158"/>
      <c r="DB25" s="4158"/>
      <c r="DC25" s="4158"/>
      <c r="DD25" s="4158"/>
      <c r="DE25" s="4158"/>
      <c r="DF25" s="4158"/>
      <c r="DG25" s="4158"/>
      <c r="DH25" s="4158"/>
      <c r="DI25" s="4158"/>
      <c r="DJ25" s="4158"/>
      <c r="DK25" s="4158"/>
      <c r="DL25" s="4158"/>
      <c r="DM25" s="4158"/>
      <c r="DN25" s="4158"/>
      <c r="DO25" s="4158"/>
      <c r="DP25" s="4158"/>
      <c r="DQ25" s="4158"/>
    </row>
    <row r="26" spans="1:121" s="1396" customFormat="1" ht="24">
      <c r="A26" s="736" t="s">
        <v>470</v>
      </c>
      <c r="B26" s="1478" t="s">
        <v>1502</v>
      </c>
      <c r="C26" s="302"/>
      <c r="D26" s="303"/>
      <c r="E26" s="303"/>
      <c r="F26" s="303"/>
      <c r="G26" s="303"/>
      <c r="H26" s="618"/>
      <c r="I26" s="304"/>
      <c r="J26" s="305"/>
      <c r="K26" s="305"/>
      <c r="L26" s="305"/>
      <c r="M26" s="305"/>
      <c r="N26" s="306"/>
      <c r="O26" s="304"/>
      <c r="P26" s="305"/>
      <c r="Q26" s="305"/>
      <c r="R26" s="305"/>
      <c r="S26" s="305"/>
      <c r="T26" s="306"/>
      <c r="U26" s="2036"/>
      <c r="V26" s="2037"/>
      <c r="W26" s="2037"/>
      <c r="X26" s="2037"/>
      <c r="Y26" s="2037"/>
      <c r="Z26" s="2038"/>
      <c r="AA26" s="2036"/>
      <c r="AB26" s="2037"/>
      <c r="AC26" s="2037"/>
      <c r="AD26" s="2037"/>
      <c r="AE26" s="2037"/>
      <c r="AF26" s="2038"/>
      <c r="AG26" s="304"/>
      <c r="AH26" s="305"/>
      <c r="AI26" s="305"/>
      <c r="AJ26" s="305"/>
      <c r="AK26" s="305"/>
      <c r="AL26" s="306"/>
      <c r="AM26" s="991">
        <f>C26+I26+O26+U26+AA26</f>
        <v>0</v>
      </c>
      <c r="AN26" s="305"/>
      <c r="AO26" s="305"/>
      <c r="AP26" s="992">
        <f t="shared" ref="AP26" si="102">D26+J26+P26+V26+AB26</f>
        <v>0</v>
      </c>
      <c r="AQ26" s="992">
        <f t="shared" ref="AQ26" si="103">E26+K26+Q26+W26+AC26</f>
        <v>0</v>
      </c>
      <c r="AR26" s="992">
        <f t="shared" ref="AR26" si="104">F26+L26+R26+X26+AD26</f>
        <v>0</v>
      </c>
      <c r="AS26" s="992">
        <f t="shared" ref="AS26" si="105">G26+M26+S26+Y26+AE26</f>
        <v>0</v>
      </c>
      <c r="AT26" s="993">
        <f t="shared" ref="AT26" si="106">H26+N26+T26+Z26+AF26</f>
        <v>0</v>
      </c>
      <c r="AU26" s="994">
        <f t="shared" si="74"/>
        <v>0</v>
      </c>
      <c r="AV26" s="994">
        <f t="shared" si="75"/>
        <v>0</v>
      </c>
      <c r="AW26" s="990">
        <f t="shared" si="76"/>
        <v>0</v>
      </c>
      <c r="AX26" s="4775"/>
      <c r="CR26" s="4158"/>
      <c r="CS26" s="4158"/>
      <c r="CT26" s="4158"/>
      <c r="CU26" s="4158"/>
      <c r="CV26" s="4158"/>
      <c r="CW26" s="4158"/>
      <c r="CX26" s="4158"/>
      <c r="CY26" s="4158"/>
      <c r="CZ26" s="4158"/>
      <c r="DA26" s="4158"/>
      <c r="DB26" s="4158"/>
      <c r="DC26" s="4158"/>
      <c r="DD26" s="4158"/>
      <c r="DE26" s="4158"/>
      <c r="DF26" s="4158"/>
      <c r="DG26" s="4158"/>
      <c r="DH26" s="4158"/>
      <c r="DI26" s="4158"/>
      <c r="DJ26" s="4158"/>
      <c r="DK26" s="4158"/>
      <c r="DL26" s="4158"/>
      <c r="DM26" s="4158"/>
      <c r="DN26" s="4158"/>
      <c r="DO26" s="4158"/>
      <c r="DP26" s="4158"/>
      <c r="DQ26" s="4158"/>
    </row>
    <row r="27" spans="1:121" s="171" customFormat="1" ht="13.5" thickBot="1">
      <c r="A27" s="1394" t="s">
        <v>472</v>
      </c>
      <c r="B27" s="1393" t="s">
        <v>1507</v>
      </c>
      <c r="C27" s="2039">
        <f>IFERROR(((C26+I26+O26+AG26)*C24)/(C24+I24+O24+AG24),0)</f>
        <v>0</v>
      </c>
      <c r="D27" s="2040">
        <f t="shared" ref="D27:H27" si="107">IFERROR(((D26+J26+P26+AH26)*D24)/(D24+J24+P24+AH24),0)</f>
        <v>0</v>
      </c>
      <c r="E27" s="2040">
        <f t="shared" si="107"/>
        <v>0</v>
      </c>
      <c r="F27" s="2040">
        <f t="shared" si="107"/>
        <v>0</v>
      </c>
      <c r="G27" s="2040">
        <f t="shared" si="107"/>
        <v>0</v>
      </c>
      <c r="H27" s="2041">
        <f t="shared" si="107"/>
        <v>0</v>
      </c>
      <c r="I27" s="2039">
        <f>IFERROR(((C26+I26+O26+AG26)*I24)/(C24+I24+O24+AG24),0)</f>
        <v>0</v>
      </c>
      <c r="J27" s="2040">
        <f t="shared" ref="J27:N27" si="108">IFERROR(((D26+J26+P26+AH26)*J24)/(D24+J24+P24+AH24),0)</f>
        <v>0</v>
      </c>
      <c r="K27" s="2042">
        <f t="shared" si="108"/>
        <v>0</v>
      </c>
      <c r="L27" s="2042">
        <f t="shared" si="108"/>
        <v>0</v>
      </c>
      <c r="M27" s="2042">
        <f t="shared" si="108"/>
        <v>0</v>
      </c>
      <c r="N27" s="2043">
        <f t="shared" si="108"/>
        <v>0</v>
      </c>
      <c r="O27" s="2044">
        <f>IFERROR(((C26+I26+O26+AG26)*O24)/(C24+I24+O24+AG24),0)</f>
        <v>0</v>
      </c>
      <c r="P27" s="2042">
        <f t="shared" ref="P27:T27" si="109">IFERROR(((D26+J26+P26+AH26)*P24)/(D24+J24+P24+AH24),0)</f>
        <v>0</v>
      </c>
      <c r="Q27" s="2042">
        <f t="shared" si="109"/>
        <v>0</v>
      </c>
      <c r="R27" s="2042">
        <f t="shared" si="109"/>
        <v>0</v>
      </c>
      <c r="S27" s="2042">
        <f t="shared" si="109"/>
        <v>0</v>
      </c>
      <c r="T27" s="2043">
        <f t="shared" si="109"/>
        <v>0</v>
      </c>
      <c r="U27" s="2045"/>
      <c r="V27" s="2046"/>
      <c r="W27" s="2046"/>
      <c r="X27" s="2046"/>
      <c r="Y27" s="2046"/>
      <c r="Z27" s="2047"/>
      <c r="AA27" s="2045"/>
      <c r="AB27" s="2046"/>
      <c r="AC27" s="2046"/>
      <c r="AD27" s="2046"/>
      <c r="AE27" s="2046"/>
      <c r="AF27" s="2047"/>
      <c r="AG27" s="1559">
        <f>IFERROR(((C26+I26+O26+AG26)*AG24)/(C24+I24+O24+AG24),0)</f>
        <v>0</v>
      </c>
      <c r="AH27" s="1560">
        <f t="shared" ref="AH27:AL27" si="110">IFERROR(((D26+J26+P26+AH26)*AH24)/(D24+J24+P24+AH24),0)</f>
        <v>0</v>
      </c>
      <c r="AI27" s="1560">
        <f t="shared" si="110"/>
        <v>0</v>
      </c>
      <c r="AJ27" s="1560">
        <f t="shared" si="110"/>
        <v>0</v>
      </c>
      <c r="AK27" s="1560">
        <f t="shared" si="110"/>
        <v>0</v>
      </c>
      <c r="AL27" s="1561">
        <f t="shared" si="110"/>
        <v>0</v>
      </c>
      <c r="AM27" s="1575">
        <f>AM14-AM24</f>
        <v>496</v>
      </c>
      <c r="AN27" s="2046"/>
      <c r="AO27" s="2046"/>
      <c r="AP27" s="1576">
        <f t="shared" ref="AP27:AT27" si="111">AP14-AP24</f>
        <v>482</v>
      </c>
      <c r="AQ27" s="1576">
        <f t="shared" si="111"/>
        <v>473</v>
      </c>
      <c r="AR27" s="1576">
        <f t="shared" si="111"/>
        <v>467</v>
      </c>
      <c r="AS27" s="1577">
        <f t="shared" si="111"/>
        <v>458</v>
      </c>
      <c r="AT27" s="1578">
        <f t="shared" si="111"/>
        <v>450</v>
      </c>
      <c r="AU27" s="1579">
        <f t="shared" si="74"/>
        <v>-2.8225806451612902E-2</v>
      </c>
      <c r="AV27" s="1579">
        <f t="shared" si="75"/>
        <v>0</v>
      </c>
      <c r="AW27" s="1580">
        <f t="shared" si="76"/>
        <v>0</v>
      </c>
      <c r="AX27" s="4775"/>
      <c r="CR27" s="4158"/>
      <c r="CS27" s="4158"/>
      <c r="CT27" s="4158"/>
      <c r="CU27" s="4158"/>
      <c r="CV27" s="4158"/>
      <c r="CW27" s="4158"/>
      <c r="CX27" s="4158"/>
      <c r="CY27" s="4158"/>
      <c r="CZ27" s="4158"/>
      <c r="DA27" s="4158"/>
      <c r="DB27" s="4158"/>
      <c r="DC27" s="4158"/>
      <c r="DD27" s="4158"/>
      <c r="DE27" s="4158"/>
      <c r="DF27" s="4158"/>
      <c r="DG27" s="4158"/>
      <c r="DH27" s="4158"/>
      <c r="DI27" s="4158"/>
      <c r="DJ27" s="4158"/>
      <c r="DK27" s="4158"/>
      <c r="DL27" s="4158"/>
      <c r="DM27" s="4158"/>
      <c r="DN27" s="4158"/>
      <c r="DO27" s="4158"/>
      <c r="DP27" s="4158"/>
      <c r="DQ27" s="4158"/>
    </row>
    <row r="28" spans="1:121" s="171" customFormat="1" ht="13.5" thickBot="1">
      <c r="A28" s="332"/>
      <c r="B28" s="333"/>
      <c r="C28" s="1581"/>
      <c r="D28" s="1582"/>
      <c r="E28" s="1582"/>
      <c r="F28" s="1582"/>
      <c r="G28" s="1582"/>
      <c r="H28" s="1583"/>
      <c r="I28" s="1581"/>
      <c r="J28" s="1582"/>
      <c r="K28" s="1582"/>
      <c r="L28" s="1582"/>
      <c r="M28" s="1582"/>
      <c r="N28" s="1583"/>
      <c r="O28" s="1581"/>
      <c r="P28" s="1582"/>
      <c r="Q28" s="1582"/>
      <c r="R28" s="1582"/>
      <c r="S28" s="1582"/>
      <c r="T28" s="1583"/>
      <c r="U28" s="1581"/>
      <c r="V28" s="1582"/>
      <c r="W28" s="1582"/>
      <c r="X28" s="1582"/>
      <c r="Y28" s="1582"/>
      <c r="Z28" s="1583"/>
      <c r="AA28" s="1581"/>
      <c r="AB28" s="1582"/>
      <c r="AC28" s="1582"/>
      <c r="AD28" s="1582"/>
      <c r="AE28" s="1582"/>
      <c r="AF28" s="1583"/>
      <c r="AG28" s="1581"/>
      <c r="AH28" s="1582"/>
      <c r="AI28" s="1582"/>
      <c r="AJ28" s="1582"/>
      <c r="AK28" s="1582"/>
      <c r="AL28" s="1583"/>
      <c r="AM28" s="1581"/>
      <c r="AN28" s="1582"/>
      <c r="AO28" s="1582"/>
      <c r="AP28" s="1582"/>
      <c r="AQ28" s="1582"/>
      <c r="AR28" s="1582"/>
      <c r="AS28" s="1582"/>
      <c r="AT28" s="1583"/>
      <c r="AU28" s="1584"/>
      <c r="AV28" s="1584"/>
      <c r="AW28" s="1585"/>
      <c r="AX28" s="4775"/>
      <c r="CR28" s="4158"/>
      <c r="CS28" s="4158"/>
      <c r="CT28" s="4158"/>
      <c r="CU28" s="4158"/>
      <c r="CV28" s="4158"/>
      <c r="CW28" s="4158"/>
      <c r="CX28" s="4158"/>
      <c r="CY28" s="4158"/>
      <c r="CZ28" s="4158"/>
      <c r="DA28" s="4158"/>
      <c r="DB28" s="4158"/>
      <c r="DC28" s="4158"/>
      <c r="DD28" s="4158"/>
      <c r="DE28" s="4158"/>
      <c r="DF28" s="4158"/>
      <c r="DG28" s="4158"/>
      <c r="DH28" s="4158"/>
      <c r="DI28" s="4158"/>
      <c r="DJ28" s="4158"/>
      <c r="DK28" s="4158"/>
      <c r="DL28" s="4158"/>
      <c r="DM28" s="4158"/>
      <c r="DN28" s="4158"/>
      <c r="DO28" s="4158"/>
      <c r="DP28" s="4158"/>
      <c r="DQ28" s="4158"/>
    </row>
    <row r="29" spans="1:121" s="172" customFormat="1" ht="24.75" thickBot="1">
      <c r="A29" s="975" t="s">
        <v>95</v>
      </c>
      <c r="B29" s="4785" t="s">
        <v>1421</v>
      </c>
      <c r="C29" s="1567">
        <f>SUM(C30:C38)</f>
        <v>6910</v>
      </c>
      <c r="D29" s="1565">
        <f t="shared" ref="D29:AL29" si="112">SUM(D30:D38)</f>
        <v>10162</v>
      </c>
      <c r="E29" s="1565">
        <f t="shared" si="112"/>
        <v>11472</v>
      </c>
      <c r="F29" s="1565">
        <f t="shared" si="112"/>
        <v>13072</v>
      </c>
      <c r="G29" s="1565">
        <f t="shared" si="112"/>
        <v>14661</v>
      </c>
      <c r="H29" s="1566">
        <f t="shared" si="112"/>
        <v>16471</v>
      </c>
      <c r="I29" s="1567">
        <f t="shared" si="112"/>
        <v>1709</v>
      </c>
      <c r="J29" s="1565">
        <f t="shared" si="112"/>
        <v>2428</v>
      </c>
      <c r="K29" s="1565">
        <f t="shared" si="112"/>
        <v>2800</v>
      </c>
      <c r="L29" s="1565">
        <f t="shared" si="112"/>
        <v>3119</v>
      </c>
      <c r="M29" s="1565">
        <f t="shared" si="112"/>
        <v>3562</v>
      </c>
      <c r="N29" s="1566">
        <f t="shared" si="112"/>
        <v>4076</v>
      </c>
      <c r="O29" s="1567">
        <f t="shared" si="112"/>
        <v>1514</v>
      </c>
      <c r="P29" s="1565">
        <f t="shared" si="112"/>
        <v>2184</v>
      </c>
      <c r="Q29" s="1565">
        <f t="shared" si="112"/>
        <v>2406</v>
      </c>
      <c r="R29" s="1565">
        <f t="shared" si="112"/>
        <v>2746</v>
      </c>
      <c r="S29" s="1565">
        <f t="shared" si="112"/>
        <v>3135</v>
      </c>
      <c r="T29" s="1566">
        <f t="shared" si="112"/>
        <v>3586</v>
      </c>
      <c r="U29" s="1567">
        <f t="shared" si="112"/>
        <v>0</v>
      </c>
      <c r="V29" s="1565">
        <f t="shared" si="112"/>
        <v>0</v>
      </c>
      <c r="W29" s="1565">
        <f t="shared" si="112"/>
        <v>0</v>
      </c>
      <c r="X29" s="1565">
        <f t="shared" si="112"/>
        <v>0</v>
      </c>
      <c r="Y29" s="1565">
        <f t="shared" si="112"/>
        <v>0</v>
      </c>
      <c r="Z29" s="1566">
        <f t="shared" si="112"/>
        <v>0</v>
      </c>
      <c r="AA29" s="1567">
        <f t="shared" si="112"/>
        <v>0</v>
      </c>
      <c r="AB29" s="1565">
        <f t="shared" si="112"/>
        <v>0</v>
      </c>
      <c r="AC29" s="1565">
        <f t="shared" si="112"/>
        <v>0</v>
      </c>
      <c r="AD29" s="1565">
        <f t="shared" si="112"/>
        <v>0</v>
      </c>
      <c r="AE29" s="1565">
        <f t="shared" si="112"/>
        <v>0</v>
      </c>
      <c r="AF29" s="1566">
        <f t="shared" si="112"/>
        <v>0</v>
      </c>
      <c r="AG29" s="1567">
        <f t="shared" si="112"/>
        <v>430</v>
      </c>
      <c r="AH29" s="1565">
        <f t="shared" si="112"/>
        <v>476</v>
      </c>
      <c r="AI29" s="1565">
        <f t="shared" si="112"/>
        <v>548</v>
      </c>
      <c r="AJ29" s="1565">
        <f t="shared" si="112"/>
        <v>630</v>
      </c>
      <c r="AK29" s="1565">
        <f t="shared" si="112"/>
        <v>724</v>
      </c>
      <c r="AL29" s="1566">
        <f t="shared" si="112"/>
        <v>833</v>
      </c>
      <c r="AM29" s="1567">
        <f t="shared" ref="AM29" si="113">C29+I29+O29+U29+AA29</f>
        <v>10133</v>
      </c>
      <c r="AN29" s="1565">
        <f t="shared" ref="AN29:AO29" si="114">SUM(AN30:AN38)</f>
        <v>11418</v>
      </c>
      <c r="AO29" s="1565">
        <f t="shared" si="114"/>
        <v>13053</v>
      </c>
      <c r="AP29" s="1565">
        <f t="shared" ref="AP29" si="115">D29+J29+P29+V29+AB29</f>
        <v>14774</v>
      </c>
      <c r="AQ29" s="1565">
        <f t="shared" ref="AQ29" si="116">E29+K29+Q29+W29+AC29</f>
        <v>16678</v>
      </c>
      <c r="AR29" s="1565">
        <f t="shared" ref="AR29" si="117">F29+L29+R29+X29+AD29</f>
        <v>18937</v>
      </c>
      <c r="AS29" s="1565">
        <f t="shared" ref="AS29" si="118">G29+M29+S29+Y29+AE29</f>
        <v>21358</v>
      </c>
      <c r="AT29" s="1566">
        <f t="shared" ref="AT29" si="119">H29+N29+T29+Z29+AF29</f>
        <v>24133</v>
      </c>
      <c r="AU29" s="1586">
        <f t="shared" ref="AU29:AU40" si="120">IFERROR((AP29-AM29)/AM29,0)</f>
        <v>0.45800848712128689</v>
      </c>
      <c r="AV29" s="1586">
        <f t="shared" ref="AV29:AV40" si="121">IFERROR(((D29+V29+AB29)-(+C29+U29+AA29))/(C29+U29+AA29),0)</f>
        <v>0.47062228654124455</v>
      </c>
      <c r="AW29" s="1586">
        <f t="shared" ref="AW29:AW40" si="122">IFERROR(((J29+P29)-(I29+O29))/(I29+O29),0)</f>
        <v>0.4309649394973627</v>
      </c>
      <c r="AX29" s="4775"/>
      <c r="AY29" s="4778" t="s">
        <v>1877</v>
      </c>
      <c r="AZ29" s="4784">
        <f>IFERROR(C29/$C$1,0)</f>
        <v>3533.0268990658697</v>
      </c>
      <c r="BA29" s="4784">
        <f t="shared" ref="BA29:CQ29" si="123">IFERROR(D29/$C$1,0)</f>
        <v>5195.7480967159727</v>
      </c>
      <c r="BB29" s="4784">
        <f t="shared" si="123"/>
        <v>5865.5404610830183</v>
      </c>
      <c r="BC29" s="4784">
        <f t="shared" si="123"/>
        <v>6683.607470996968</v>
      </c>
      <c r="BD29" s="4784">
        <f t="shared" si="123"/>
        <v>7496.0502702177591</v>
      </c>
      <c r="BE29" s="4784">
        <f t="shared" si="123"/>
        <v>8421.4885751829152</v>
      </c>
      <c r="BF29" s="4784">
        <f t="shared" si="123"/>
        <v>873.79782496433745</v>
      </c>
      <c r="BG29" s="4784">
        <f t="shared" si="123"/>
        <v>1241.4166875444184</v>
      </c>
      <c r="BH29" s="4784">
        <f t="shared" si="123"/>
        <v>1431.6172673494118</v>
      </c>
      <c r="BI29" s="4784">
        <f t="shared" si="123"/>
        <v>1594.7193774510056</v>
      </c>
      <c r="BJ29" s="4784">
        <f t="shared" si="123"/>
        <v>1821.2216808209303</v>
      </c>
      <c r="BK29" s="4784">
        <f t="shared" si="123"/>
        <v>2084.0257077557867</v>
      </c>
      <c r="BL29" s="4784">
        <f t="shared" si="123"/>
        <v>774.09590813107479</v>
      </c>
      <c r="BM29" s="4784">
        <f t="shared" si="123"/>
        <v>1116.6614685325412</v>
      </c>
      <c r="BN29" s="4784">
        <f t="shared" si="123"/>
        <v>1230.1682661581017</v>
      </c>
      <c r="BO29" s="4784">
        <f t="shared" si="123"/>
        <v>1404.007505764816</v>
      </c>
      <c r="BP29" s="4784">
        <f t="shared" si="123"/>
        <v>1602.900047550145</v>
      </c>
      <c r="BQ29" s="4784">
        <f t="shared" si="123"/>
        <v>1833.4926859696395</v>
      </c>
      <c r="BR29" s="4784">
        <f t="shared" si="123"/>
        <v>0</v>
      </c>
      <c r="BS29" s="4784">
        <f t="shared" si="123"/>
        <v>0</v>
      </c>
      <c r="BT29" s="4784">
        <f t="shared" si="123"/>
        <v>0</v>
      </c>
      <c r="BU29" s="4784">
        <f t="shared" si="123"/>
        <v>0</v>
      </c>
      <c r="BV29" s="4784">
        <f t="shared" si="123"/>
        <v>0</v>
      </c>
      <c r="BW29" s="4784">
        <f t="shared" si="123"/>
        <v>0</v>
      </c>
      <c r="BX29" s="4784">
        <f t="shared" si="123"/>
        <v>0</v>
      </c>
      <c r="BY29" s="4784">
        <f t="shared" si="123"/>
        <v>0</v>
      </c>
      <c r="BZ29" s="4784">
        <f t="shared" si="123"/>
        <v>0</v>
      </c>
      <c r="CA29" s="4784">
        <f t="shared" si="123"/>
        <v>0</v>
      </c>
      <c r="CB29" s="4784">
        <f t="shared" si="123"/>
        <v>0</v>
      </c>
      <c r="CC29" s="4784">
        <f t="shared" si="123"/>
        <v>0</v>
      </c>
      <c r="CD29" s="4784">
        <f t="shared" si="123"/>
        <v>219.85550891437396</v>
      </c>
      <c r="CE29" s="4784">
        <f t="shared" si="123"/>
        <v>243.3749354494</v>
      </c>
      <c r="CF29" s="4784">
        <f t="shared" si="123"/>
        <v>280.18795089552776</v>
      </c>
      <c r="CG29" s="4784">
        <f t="shared" si="123"/>
        <v>322.11388515361767</v>
      </c>
      <c r="CH29" s="4784">
        <f t="shared" si="123"/>
        <v>370.17532198606222</v>
      </c>
      <c r="CI29" s="4784">
        <f t="shared" si="123"/>
        <v>425.90613703644999</v>
      </c>
      <c r="CJ29" s="4784">
        <f t="shared" si="123"/>
        <v>5180.9206321612819</v>
      </c>
      <c r="CK29" s="4784">
        <f t="shared" si="123"/>
        <v>5837.9306994984227</v>
      </c>
      <c r="CL29" s="4784">
        <f t="shared" si="123"/>
        <v>6673.8929252542403</v>
      </c>
      <c r="CM29" s="4784">
        <f t="shared" si="123"/>
        <v>7553.8262527929319</v>
      </c>
      <c r="CN29" s="4784">
        <f t="shared" si="123"/>
        <v>8527.325994590532</v>
      </c>
      <c r="CO29" s="4784">
        <f t="shared" si="123"/>
        <v>9682.3343542127895</v>
      </c>
      <c r="CP29" s="4784">
        <f t="shared" si="123"/>
        <v>10920.171998588834</v>
      </c>
      <c r="CQ29" s="4784">
        <f t="shared" si="123"/>
        <v>12339.006968908341</v>
      </c>
      <c r="CR29" s="4158"/>
      <c r="CS29" s="4158"/>
      <c r="CT29" s="4158"/>
      <c r="CU29" s="4158"/>
      <c r="CV29" s="4158"/>
      <c r="CW29" s="4158"/>
      <c r="CX29" s="4158"/>
      <c r="CY29" s="4158"/>
      <c r="CZ29" s="4158"/>
      <c r="DA29" s="4158"/>
      <c r="DB29" s="4158"/>
      <c r="DC29" s="4158"/>
      <c r="DD29" s="4158"/>
      <c r="DE29" s="4158"/>
      <c r="DF29" s="4158"/>
      <c r="DG29" s="4158"/>
      <c r="DH29" s="4158"/>
      <c r="DI29" s="4158"/>
      <c r="DJ29" s="4158"/>
      <c r="DK29" s="4158"/>
      <c r="DL29" s="4158"/>
      <c r="DM29" s="4158"/>
      <c r="DN29" s="4158"/>
      <c r="DO29" s="4158"/>
      <c r="DP29" s="4158"/>
      <c r="DQ29" s="4158"/>
    </row>
    <row r="30" spans="1:121" s="171" customFormat="1" ht="13.5" thickBot="1">
      <c r="A30" s="798" t="s">
        <v>953</v>
      </c>
      <c r="B30" s="627" t="s">
        <v>1195</v>
      </c>
      <c r="C30" s="302">
        <v>484</v>
      </c>
      <c r="D30" s="303">
        <v>687</v>
      </c>
      <c r="E30" s="303">
        <v>796</v>
      </c>
      <c r="F30" s="303">
        <v>922</v>
      </c>
      <c r="G30" s="303">
        <v>1060</v>
      </c>
      <c r="H30" s="618">
        <v>1219</v>
      </c>
      <c r="I30" s="302">
        <v>92</v>
      </c>
      <c r="J30" s="303">
        <v>140</v>
      </c>
      <c r="K30" s="303">
        <v>161</v>
      </c>
      <c r="L30" s="303">
        <v>185</v>
      </c>
      <c r="M30" s="303">
        <v>213</v>
      </c>
      <c r="N30" s="618">
        <v>245</v>
      </c>
      <c r="O30" s="302">
        <v>152</v>
      </c>
      <c r="P30" s="303">
        <v>225</v>
      </c>
      <c r="Q30" s="303">
        <v>239</v>
      </c>
      <c r="R30" s="303">
        <v>267</v>
      </c>
      <c r="S30" s="303">
        <v>307</v>
      </c>
      <c r="T30" s="618">
        <v>353</v>
      </c>
      <c r="U30" s="302"/>
      <c r="V30" s="303"/>
      <c r="W30" s="303"/>
      <c r="X30" s="303"/>
      <c r="Y30" s="303"/>
      <c r="Z30" s="618"/>
      <c r="AA30" s="302"/>
      <c r="AB30" s="303"/>
      <c r="AC30" s="303"/>
      <c r="AD30" s="303"/>
      <c r="AE30" s="303"/>
      <c r="AF30" s="618"/>
      <c r="AG30" s="619"/>
      <c r="AH30" s="620"/>
      <c r="AI30" s="620"/>
      <c r="AJ30" s="620"/>
      <c r="AK30" s="620"/>
      <c r="AL30" s="621"/>
      <c r="AM30" s="991">
        <f t="shared" ref="AM30:AM48" si="124">C30+I30+O30+U30+AA30</f>
        <v>728</v>
      </c>
      <c r="AN30" s="303">
        <v>826</v>
      </c>
      <c r="AO30" s="303">
        <v>950</v>
      </c>
      <c r="AP30" s="992">
        <f t="shared" ref="AP30:AP48" si="125">D30+J30+P30+V30+AB30</f>
        <v>1052</v>
      </c>
      <c r="AQ30" s="992">
        <f t="shared" ref="AQ30:AQ48" si="126">E30+K30+Q30+W30+AC30</f>
        <v>1196</v>
      </c>
      <c r="AR30" s="992">
        <f t="shared" ref="AR30:AR48" si="127">F30+L30+R30+X30+AD30</f>
        <v>1374</v>
      </c>
      <c r="AS30" s="992">
        <f t="shared" ref="AS30:AS48" si="128">G30+M30+S30+Y30+AE30</f>
        <v>1580</v>
      </c>
      <c r="AT30" s="993">
        <f t="shared" ref="AT30:AT48" si="129">H30+N30+T30+Z30+AF30</f>
        <v>1817</v>
      </c>
      <c r="AU30" s="1587">
        <f t="shared" si="120"/>
        <v>0.44505494505494503</v>
      </c>
      <c r="AV30" s="1587">
        <f t="shared" si="121"/>
        <v>0.41942148760330578</v>
      </c>
      <c r="AW30" s="1588">
        <f t="shared" si="122"/>
        <v>0.49590163934426229</v>
      </c>
      <c r="AX30" s="4775"/>
      <c r="AY30" s="4778" t="s">
        <v>1877</v>
      </c>
      <c r="AZ30" s="4784">
        <f t="shared" ref="AZ30:AZ40" si="130">IFERROR(C30/$C$1,0)</f>
        <v>247.46527049896974</v>
      </c>
      <c r="BA30" s="4784">
        <f t="shared" ref="BA30:BA40" si="131">IFERROR(D30/$C$1,0)</f>
        <v>351.25752238180212</v>
      </c>
      <c r="BB30" s="4784">
        <f t="shared" ref="BB30:BB40" si="132">IFERROR(E30/$C$1,0)</f>
        <v>406.98833743218995</v>
      </c>
      <c r="BC30" s="4784">
        <f t="shared" ref="BC30:BC40" si="133">IFERROR(F30/$C$1,0)</f>
        <v>471.41111446291347</v>
      </c>
      <c r="BD30" s="4784">
        <f t="shared" ref="BD30:BD40" si="134">IFERROR(G30/$C$1,0)</f>
        <v>541.96939406799163</v>
      </c>
      <c r="BE30" s="4784">
        <f t="shared" ref="BE30:BE40" si="135">IFERROR(H30/$C$1,0)</f>
        <v>623.26480317819039</v>
      </c>
      <c r="BF30" s="4784">
        <f t="shared" ref="BF30:BF40" si="136">IFERROR(I30/$C$1,0)</f>
        <v>47.038853070052099</v>
      </c>
      <c r="BG30" s="4784">
        <f t="shared" ref="BG30:BG40" si="137">IFERROR(J30/$C$1,0)</f>
        <v>71.580863367470585</v>
      </c>
      <c r="BH30" s="4784">
        <f t="shared" ref="BH30:BH40" si="138">IFERROR(K30/$C$1,0)</f>
        <v>82.317992872591176</v>
      </c>
      <c r="BI30" s="4784">
        <f t="shared" ref="BI30:BI40" si="139">IFERROR(L30/$C$1,0)</f>
        <v>94.588998021300426</v>
      </c>
      <c r="BJ30" s="4784">
        <f t="shared" ref="BJ30:BJ40" si="140">IFERROR(M30/$C$1,0)</f>
        <v>108.90517069479453</v>
      </c>
      <c r="BK30" s="4784">
        <f t="shared" ref="BK30:BK40" si="141">IFERROR(N30/$C$1,0)</f>
        <v>125.26651089307353</v>
      </c>
      <c r="BL30" s="4784">
        <f t="shared" ref="BL30:BL40" si="142">IFERROR(O30/$C$1,0)</f>
        <v>77.716365941825217</v>
      </c>
      <c r="BM30" s="4784">
        <f t="shared" ref="BM30:BM40" si="143">IFERROR(P30/$C$1,0)</f>
        <v>115.04067326914917</v>
      </c>
      <c r="BN30" s="4784">
        <f t="shared" ref="BN30:BN40" si="144">IFERROR(Q30/$C$1,0)</f>
        <v>122.19875960589621</v>
      </c>
      <c r="BO30" s="4784">
        <f t="shared" ref="BO30:BO40" si="145">IFERROR(R30/$C$1,0)</f>
        <v>136.51493227939034</v>
      </c>
      <c r="BP30" s="4784">
        <f t="shared" ref="BP30:BP40" si="146">IFERROR(S30/$C$1,0)</f>
        <v>156.96660752723909</v>
      </c>
      <c r="BQ30" s="4784">
        <f t="shared" ref="BQ30:BQ40" si="147">IFERROR(T30/$C$1,0)</f>
        <v>180.48603406226513</v>
      </c>
      <c r="BR30" s="4784">
        <f t="shared" ref="BR30:BR40" si="148">IFERROR(U30/$C$1,0)</f>
        <v>0</v>
      </c>
      <c r="BS30" s="4784">
        <f t="shared" ref="BS30:BS40" si="149">IFERROR(V30/$C$1,0)</f>
        <v>0</v>
      </c>
      <c r="BT30" s="4784">
        <f t="shared" ref="BT30:BT40" si="150">IFERROR(W30/$C$1,0)</f>
        <v>0</v>
      </c>
      <c r="BU30" s="4784">
        <f t="shared" ref="BU30:BU40" si="151">IFERROR(X30/$C$1,0)</f>
        <v>0</v>
      </c>
      <c r="BV30" s="4784">
        <f t="shared" ref="BV30:BV40" si="152">IFERROR(Y30/$C$1,0)</f>
        <v>0</v>
      </c>
      <c r="BW30" s="4784">
        <f t="shared" ref="BW30:BW40" si="153">IFERROR(Z30/$C$1,0)</f>
        <v>0</v>
      </c>
      <c r="BX30" s="4784">
        <f t="shared" ref="BX30:BX40" si="154">IFERROR(AA30/$C$1,0)</f>
        <v>0</v>
      </c>
      <c r="BY30" s="4784">
        <f t="shared" ref="BY30:BY40" si="155">IFERROR(AB30/$C$1,0)</f>
        <v>0</v>
      </c>
      <c r="BZ30" s="4784">
        <f t="shared" ref="BZ30:BZ40" si="156">IFERROR(AC30/$C$1,0)</f>
        <v>0</v>
      </c>
      <c r="CA30" s="4784">
        <f t="shared" ref="CA30:CA40" si="157">IFERROR(AD30/$C$1,0)</f>
        <v>0</v>
      </c>
      <c r="CB30" s="4784">
        <f t="shared" ref="CB30:CB40" si="158">IFERROR(AE30/$C$1,0)</f>
        <v>0</v>
      </c>
      <c r="CC30" s="4784">
        <f t="shared" ref="CC30:CC40" si="159">IFERROR(AF30/$C$1,0)</f>
        <v>0</v>
      </c>
      <c r="CD30" s="4784">
        <f t="shared" ref="CD30:CD40" si="160">IFERROR(AG30/$C$1,0)</f>
        <v>0</v>
      </c>
      <c r="CE30" s="4784">
        <f t="shared" ref="CE30:CE40" si="161">IFERROR(AH30/$C$1,0)</f>
        <v>0</v>
      </c>
      <c r="CF30" s="4784">
        <f t="shared" ref="CF30:CF40" si="162">IFERROR(AI30/$C$1,0)</f>
        <v>0</v>
      </c>
      <c r="CG30" s="4784">
        <f t="shared" ref="CG30:CG40" si="163">IFERROR(AJ30/$C$1,0)</f>
        <v>0</v>
      </c>
      <c r="CH30" s="4784">
        <f t="shared" ref="CH30:CH40" si="164">IFERROR(AK30/$C$1,0)</f>
        <v>0</v>
      </c>
      <c r="CI30" s="4784">
        <f t="shared" ref="CI30:CI40" si="165">IFERROR(AL30/$C$1,0)</f>
        <v>0</v>
      </c>
      <c r="CJ30" s="4784">
        <f t="shared" ref="CJ30:CJ40" si="166">IFERROR(AM30/$C$1,0)</f>
        <v>372.22048951084707</v>
      </c>
      <c r="CK30" s="4784">
        <f t="shared" ref="CK30:CK40" si="167">IFERROR(AN30/$C$1,0)</f>
        <v>422.32709386807647</v>
      </c>
      <c r="CL30" s="4784">
        <f t="shared" ref="CL30:CL40" si="168">IFERROR(AO30/$C$1,0)</f>
        <v>485.7272871364076</v>
      </c>
      <c r="CM30" s="4784">
        <f t="shared" ref="CM30:CM40" si="169">IFERROR(AP30/$C$1,0)</f>
        <v>537.87905901842191</v>
      </c>
      <c r="CN30" s="4784">
        <f t="shared" ref="CN30:CN40" si="170">IFERROR(AQ30/$C$1,0)</f>
        <v>611.50508991067727</v>
      </c>
      <c r="CO30" s="4784">
        <f t="shared" ref="CO30:CO40" si="171">IFERROR(AR30/$C$1,0)</f>
        <v>702.51504476360424</v>
      </c>
      <c r="CP30" s="4784">
        <f t="shared" ref="CP30:CP40" si="172">IFERROR(AS30/$C$1,0)</f>
        <v>807.84117229002527</v>
      </c>
      <c r="CQ30" s="4784">
        <f t="shared" ref="CQ30:CQ40" si="173">IFERROR(AT30/$C$1,0)</f>
        <v>929.01734813352903</v>
      </c>
      <c r="CR30" s="4158"/>
      <c r="CS30" s="4158"/>
      <c r="CT30" s="4158"/>
      <c r="CU30" s="4158"/>
      <c r="CV30" s="4158"/>
      <c r="CW30" s="4158"/>
      <c r="CX30" s="4158"/>
      <c r="CY30" s="4158"/>
      <c r="CZ30" s="4158"/>
      <c r="DA30" s="4158"/>
      <c r="DB30" s="4158"/>
      <c r="DC30" s="4158"/>
      <c r="DD30" s="4158"/>
      <c r="DE30" s="4158"/>
      <c r="DF30" s="4158"/>
      <c r="DG30" s="4158"/>
      <c r="DH30" s="4158"/>
      <c r="DI30" s="4158"/>
      <c r="DJ30" s="4158"/>
      <c r="DK30" s="4158"/>
      <c r="DL30" s="4158"/>
      <c r="DM30" s="4158"/>
      <c r="DN30" s="4158"/>
      <c r="DO30" s="4158"/>
      <c r="DP30" s="4158"/>
      <c r="DQ30" s="4158"/>
    </row>
    <row r="31" spans="1:121" s="171" customFormat="1" ht="13.5" thickBot="1">
      <c r="A31" s="798" t="s">
        <v>1204</v>
      </c>
      <c r="B31" s="628" t="s">
        <v>1196</v>
      </c>
      <c r="C31" s="302">
        <v>552</v>
      </c>
      <c r="D31" s="303">
        <v>780</v>
      </c>
      <c r="E31" s="303">
        <v>968</v>
      </c>
      <c r="F31" s="303">
        <v>1025</v>
      </c>
      <c r="G31" s="303">
        <v>1179</v>
      </c>
      <c r="H31" s="618">
        <v>1306</v>
      </c>
      <c r="I31" s="302">
        <v>113</v>
      </c>
      <c r="J31" s="303">
        <v>169</v>
      </c>
      <c r="K31" s="303">
        <v>195</v>
      </c>
      <c r="L31" s="303">
        <v>224</v>
      </c>
      <c r="M31" s="303">
        <v>257</v>
      </c>
      <c r="N31" s="618">
        <v>296</v>
      </c>
      <c r="O31" s="302">
        <v>139</v>
      </c>
      <c r="P31" s="303">
        <v>202</v>
      </c>
      <c r="Q31" s="303">
        <v>233</v>
      </c>
      <c r="R31" s="303">
        <v>258</v>
      </c>
      <c r="S31" s="303">
        <v>298</v>
      </c>
      <c r="T31" s="618">
        <v>333</v>
      </c>
      <c r="U31" s="302"/>
      <c r="V31" s="303"/>
      <c r="W31" s="303"/>
      <c r="X31" s="303"/>
      <c r="Y31" s="303"/>
      <c r="Z31" s="618"/>
      <c r="AA31" s="302"/>
      <c r="AB31" s="303"/>
      <c r="AC31" s="303"/>
      <c r="AD31" s="303"/>
      <c r="AE31" s="303"/>
      <c r="AF31" s="618"/>
      <c r="AG31" s="302"/>
      <c r="AH31" s="303"/>
      <c r="AI31" s="303"/>
      <c r="AJ31" s="303"/>
      <c r="AK31" s="303"/>
      <c r="AL31" s="618"/>
      <c r="AM31" s="991">
        <f t="shared" si="124"/>
        <v>804</v>
      </c>
      <c r="AN31" s="303">
        <v>924</v>
      </c>
      <c r="AO31" s="303">
        <v>1063</v>
      </c>
      <c r="AP31" s="992">
        <f t="shared" si="125"/>
        <v>1151</v>
      </c>
      <c r="AQ31" s="992">
        <f t="shared" si="126"/>
        <v>1396</v>
      </c>
      <c r="AR31" s="992">
        <f t="shared" si="127"/>
        <v>1507</v>
      </c>
      <c r="AS31" s="992">
        <f t="shared" si="128"/>
        <v>1734</v>
      </c>
      <c r="AT31" s="993">
        <f t="shared" si="129"/>
        <v>1935</v>
      </c>
      <c r="AU31" s="1589">
        <f t="shared" si="120"/>
        <v>0.43159203980099503</v>
      </c>
      <c r="AV31" s="1589">
        <f t="shared" si="121"/>
        <v>0.41304347826086957</v>
      </c>
      <c r="AW31" s="1590">
        <f t="shared" si="122"/>
        <v>0.47222222222222221</v>
      </c>
      <c r="AX31" s="4775"/>
      <c r="AY31" s="4778" t="s">
        <v>1877</v>
      </c>
      <c r="AZ31" s="4784">
        <f t="shared" si="130"/>
        <v>282.23311842031262</v>
      </c>
      <c r="BA31" s="4784">
        <f t="shared" si="131"/>
        <v>398.8076673330504</v>
      </c>
      <c r="BB31" s="4784">
        <f t="shared" si="132"/>
        <v>494.93054099793949</v>
      </c>
      <c r="BC31" s="4784">
        <f t="shared" si="133"/>
        <v>524.07417822612399</v>
      </c>
      <c r="BD31" s="4784">
        <f t="shared" si="134"/>
        <v>602.81312793034158</v>
      </c>
      <c r="BE31" s="4784">
        <f t="shared" si="135"/>
        <v>667.74719684226136</v>
      </c>
      <c r="BF31" s="4784">
        <f t="shared" si="136"/>
        <v>57.775982575172691</v>
      </c>
      <c r="BG31" s="4784">
        <f t="shared" si="137"/>
        <v>86.408327922160922</v>
      </c>
      <c r="BH31" s="4784">
        <f t="shared" si="138"/>
        <v>99.701916833262601</v>
      </c>
      <c r="BI31" s="4784">
        <f t="shared" si="139"/>
        <v>114.52938138795294</v>
      </c>
      <c r="BJ31" s="4784">
        <f t="shared" si="140"/>
        <v>131.40201346742816</v>
      </c>
      <c r="BK31" s="4784">
        <f t="shared" si="141"/>
        <v>151.34239683408069</v>
      </c>
      <c r="BL31" s="4784">
        <f t="shared" si="142"/>
        <v>71.06957148627437</v>
      </c>
      <c r="BM31" s="4784">
        <f t="shared" si="143"/>
        <v>103.28096000163613</v>
      </c>
      <c r="BN31" s="4784">
        <f t="shared" si="144"/>
        <v>119.13100831871891</v>
      </c>
      <c r="BO31" s="4784">
        <f t="shared" si="145"/>
        <v>131.91330534862436</v>
      </c>
      <c r="BP31" s="4784">
        <f t="shared" si="146"/>
        <v>152.36498059647312</v>
      </c>
      <c r="BQ31" s="4784">
        <f t="shared" si="147"/>
        <v>170.26019643834076</v>
      </c>
      <c r="BR31" s="4784">
        <f t="shared" si="148"/>
        <v>0</v>
      </c>
      <c r="BS31" s="4784">
        <f t="shared" si="149"/>
        <v>0</v>
      </c>
      <c r="BT31" s="4784">
        <f t="shared" si="150"/>
        <v>0</v>
      </c>
      <c r="BU31" s="4784">
        <f t="shared" si="151"/>
        <v>0</v>
      </c>
      <c r="BV31" s="4784">
        <f t="shared" si="152"/>
        <v>0</v>
      </c>
      <c r="BW31" s="4784">
        <f t="shared" si="153"/>
        <v>0</v>
      </c>
      <c r="BX31" s="4784">
        <f t="shared" si="154"/>
        <v>0</v>
      </c>
      <c r="BY31" s="4784">
        <f t="shared" si="155"/>
        <v>0</v>
      </c>
      <c r="BZ31" s="4784">
        <f t="shared" si="156"/>
        <v>0</v>
      </c>
      <c r="CA31" s="4784">
        <f t="shared" si="157"/>
        <v>0</v>
      </c>
      <c r="CB31" s="4784">
        <f t="shared" si="158"/>
        <v>0</v>
      </c>
      <c r="CC31" s="4784">
        <f t="shared" si="159"/>
        <v>0</v>
      </c>
      <c r="CD31" s="4784">
        <f t="shared" si="160"/>
        <v>0</v>
      </c>
      <c r="CE31" s="4784">
        <f t="shared" si="161"/>
        <v>0</v>
      </c>
      <c r="CF31" s="4784">
        <f t="shared" si="162"/>
        <v>0</v>
      </c>
      <c r="CG31" s="4784">
        <f t="shared" si="163"/>
        <v>0</v>
      </c>
      <c r="CH31" s="4784">
        <f t="shared" si="164"/>
        <v>0</v>
      </c>
      <c r="CI31" s="4784">
        <f t="shared" si="165"/>
        <v>0</v>
      </c>
      <c r="CJ31" s="4784">
        <f t="shared" si="166"/>
        <v>411.07867248175967</v>
      </c>
      <c r="CK31" s="4784">
        <f t="shared" si="167"/>
        <v>472.43369822530587</v>
      </c>
      <c r="CL31" s="4784">
        <f t="shared" si="168"/>
        <v>543.50326971158029</v>
      </c>
      <c r="CM31" s="4784">
        <f t="shared" si="169"/>
        <v>588.49695525684751</v>
      </c>
      <c r="CN31" s="4784">
        <f t="shared" si="170"/>
        <v>713.76346614992099</v>
      </c>
      <c r="CO31" s="4784">
        <f t="shared" si="171"/>
        <v>770.51686496270122</v>
      </c>
      <c r="CP31" s="4784">
        <f t="shared" si="172"/>
        <v>886.58012199424286</v>
      </c>
      <c r="CQ31" s="4784">
        <f t="shared" si="173"/>
        <v>989.34979011468283</v>
      </c>
      <c r="CR31" s="4158"/>
      <c r="CS31" s="4158"/>
      <c r="CT31" s="4158"/>
      <c r="CU31" s="4158"/>
      <c r="CV31" s="4158"/>
      <c r="CW31" s="4158"/>
      <c r="CX31" s="4158"/>
      <c r="CY31" s="4158"/>
      <c r="CZ31" s="4158"/>
      <c r="DA31" s="4158"/>
      <c r="DB31" s="4158"/>
      <c r="DC31" s="4158"/>
      <c r="DD31" s="4158"/>
      <c r="DE31" s="4158"/>
      <c r="DF31" s="4158"/>
      <c r="DG31" s="4158"/>
      <c r="DH31" s="4158"/>
      <c r="DI31" s="4158"/>
      <c r="DJ31" s="4158"/>
      <c r="DK31" s="4158"/>
      <c r="DL31" s="4158"/>
      <c r="DM31" s="4158"/>
      <c r="DN31" s="4158"/>
      <c r="DO31" s="4158"/>
      <c r="DP31" s="4158"/>
      <c r="DQ31" s="4158"/>
    </row>
    <row r="32" spans="1:121" s="171" customFormat="1" ht="13.5" thickBot="1">
      <c r="A32" s="798" t="s">
        <v>1205</v>
      </c>
      <c r="B32" s="628" t="s">
        <v>1197</v>
      </c>
      <c r="C32" s="302">
        <v>720</v>
      </c>
      <c r="D32" s="303">
        <v>1097</v>
      </c>
      <c r="E32" s="303">
        <v>1233</v>
      </c>
      <c r="F32" s="303">
        <v>1354</v>
      </c>
      <c r="G32" s="303">
        <v>1527</v>
      </c>
      <c r="H32" s="618">
        <v>1736</v>
      </c>
      <c r="I32" s="302">
        <v>127</v>
      </c>
      <c r="J32" s="303">
        <v>192</v>
      </c>
      <c r="K32" s="303">
        <v>221</v>
      </c>
      <c r="L32" s="303">
        <v>234</v>
      </c>
      <c r="M32" s="303">
        <v>269</v>
      </c>
      <c r="N32" s="618">
        <v>309</v>
      </c>
      <c r="O32" s="302">
        <v>135</v>
      </c>
      <c r="P32" s="303">
        <v>200</v>
      </c>
      <c r="Q32" s="303">
        <v>230</v>
      </c>
      <c r="R32" s="303">
        <v>254</v>
      </c>
      <c r="S32" s="303">
        <v>285</v>
      </c>
      <c r="T32" s="618">
        <v>328</v>
      </c>
      <c r="U32" s="302"/>
      <c r="V32" s="303"/>
      <c r="W32" s="303"/>
      <c r="X32" s="303"/>
      <c r="Y32" s="303"/>
      <c r="Z32" s="618"/>
      <c r="AA32" s="302"/>
      <c r="AB32" s="303"/>
      <c r="AC32" s="303"/>
      <c r="AD32" s="303"/>
      <c r="AE32" s="303"/>
      <c r="AF32" s="618"/>
      <c r="AG32" s="302"/>
      <c r="AH32" s="303"/>
      <c r="AI32" s="303"/>
      <c r="AJ32" s="303"/>
      <c r="AK32" s="303"/>
      <c r="AL32" s="618"/>
      <c r="AM32" s="991">
        <f t="shared" si="124"/>
        <v>982</v>
      </c>
      <c r="AN32" s="303">
        <v>1133</v>
      </c>
      <c r="AO32" s="303">
        <v>1303</v>
      </c>
      <c r="AP32" s="992">
        <f t="shared" si="125"/>
        <v>1489</v>
      </c>
      <c r="AQ32" s="992">
        <f t="shared" si="126"/>
        <v>1684</v>
      </c>
      <c r="AR32" s="992">
        <f t="shared" si="127"/>
        <v>1842</v>
      </c>
      <c r="AS32" s="992">
        <f t="shared" si="128"/>
        <v>2081</v>
      </c>
      <c r="AT32" s="993">
        <f t="shared" si="129"/>
        <v>2373</v>
      </c>
      <c r="AU32" s="1589">
        <f t="shared" si="120"/>
        <v>0.5162932790224033</v>
      </c>
      <c r="AV32" s="1589">
        <f t="shared" si="121"/>
        <v>0.52361111111111114</v>
      </c>
      <c r="AW32" s="1590">
        <f t="shared" si="122"/>
        <v>0.49618320610687022</v>
      </c>
      <c r="AX32" s="4775"/>
      <c r="AY32" s="4778" t="s">
        <v>1877</v>
      </c>
      <c r="AZ32" s="4784">
        <f t="shared" si="130"/>
        <v>368.1301544612773</v>
      </c>
      <c r="BA32" s="4784">
        <f t="shared" si="131"/>
        <v>560.88719367225167</v>
      </c>
      <c r="BB32" s="4784">
        <f t="shared" si="132"/>
        <v>630.42288951493742</v>
      </c>
      <c r="BC32" s="4784">
        <f t="shared" si="133"/>
        <v>692.28920713967989</v>
      </c>
      <c r="BD32" s="4784">
        <f t="shared" si="134"/>
        <v>780.74270258662568</v>
      </c>
      <c r="BE32" s="4784">
        <f t="shared" si="135"/>
        <v>887.60270575663526</v>
      </c>
      <c r="BF32" s="4784">
        <f t="shared" si="136"/>
        <v>64.934068911919752</v>
      </c>
      <c r="BG32" s="4784">
        <f t="shared" si="137"/>
        <v>98.168041189673957</v>
      </c>
      <c r="BH32" s="4784">
        <f t="shared" si="138"/>
        <v>112.99550574436429</v>
      </c>
      <c r="BI32" s="4784">
        <f t="shared" si="139"/>
        <v>119.64230019991513</v>
      </c>
      <c r="BJ32" s="4784">
        <f t="shared" si="140"/>
        <v>137.53751604178277</v>
      </c>
      <c r="BK32" s="4784">
        <f t="shared" si="141"/>
        <v>157.98919128963152</v>
      </c>
      <c r="BL32" s="4784">
        <f t="shared" si="142"/>
        <v>69.024403961489497</v>
      </c>
      <c r="BM32" s="4784">
        <f t="shared" si="143"/>
        <v>102.2583762392437</v>
      </c>
      <c r="BN32" s="4784">
        <f t="shared" si="144"/>
        <v>117.59713267513025</v>
      </c>
      <c r="BO32" s="4784">
        <f t="shared" si="145"/>
        <v>129.8681378238395</v>
      </c>
      <c r="BP32" s="4784">
        <f t="shared" si="146"/>
        <v>145.71818614092228</v>
      </c>
      <c r="BQ32" s="4784">
        <f t="shared" si="147"/>
        <v>167.70373703235967</v>
      </c>
      <c r="BR32" s="4784">
        <f t="shared" si="148"/>
        <v>0</v>
      </c>
      <c r="BS32" s="4784">
        <f t="shared" si="149"/>
        <v>0</v>
      </c>
      <c r="BT32" s="4784">
        <f t="shared" si="150"/>
        <v>0</v>
      </c>
      <c r="BU32" s="4784">
        <f t="shared" si="151"/>
        <v>0</v>
      </c>
      <c r="BV32" s="4784">
        <f t="shared" si="152"/>
        <v>0</v>
      </c>
      <c r="BW32" s="4784">
        <f t="shared" si="153"/>
        <v>0</v>
      </c>
      <c r="BX32" s="4784">
        <f t="shared" si="154"/>
        <v>0</v>
      </c>
      <c r="BY32" s="4784">
        <f t="shared" si="155"/>
        <v>0</v>
      </c>
      <c r="BZ32" s="4784">
        <f t="shared" si="156"/>
        <v>0</v>
      </c>
      <c r="CA32" s="4784">
        <f t="shared" si="157"/>
        <v>0</v>
      </c>
      <c r="CB32" s="4784">
        <f t="shared" si="158"/>
        <v>0</v>
      </c>
      <c r="CC32" s="4784">
        <f t="shared" si="159"/>
        <v>0</v>
      </c>
      <c r="CD32" s="4784">
        <f t="shared" si="160"/>
        <v>0</v>
      </c>
      <c r="CE32" s="4784">
        <f t="shared" si="161"/>
        <v>0</v>
      </c>
      <c r="CF32" s="4784">
        <f t="shared" si="162"/>
        <v>0</v>
      </c>
      <c r="CG32" s="4784">
        <f t="shared" si="163"/>
        <v>0</v>
      </c>
      <c r="CH32" s="4784">
        <f t="shared" si="164"/>
        <v>0</v>
      </c>
      <c r="CI32" s="4784">
        <f t="shared" si="165"/>
        <v>0</v>
      </c>
      <c r="CJ32" s="4784">
        <f t="shared" si="166"/>
        <v>502.08862733468658</v>
      </c>
      <c r="CK32" s="4784">
        <f t="shared" si="167"/>
        <v>579.29370139531557</v>
      </c>
      <c r="CL32" s="4784">
        <f t="shared" si="168"/>
        <v>666.2133211986727</v>
      </c>
      <c r="CM32" s="4784">
        <f t="shared" si="169"/>
        <v>761.31361110116939</v>
      </c>
      <c r="CN32" s="4784">
        <f t="shared" si="170"/>
        <v>861.01552793443193</v>
      </c>
      <c r="CO32" s="4784">
        <f t="shared" si="171"/>
        <v>941.79964516343443</v>
      </c>
      <c r="CP32" s="4784">
        <f t="shared" si="172"/>
        <v>1063.9984047693306</v>
      </c>
      <c r="CQ32" s="4784">
        <f t="shared" si="173"/>
        <v>1213.2956340786266</v>
      </c>
      <c r="CR32" s="4158"/>
      <c r="CS32" s="4158"/>
      <c r="CT32" s="4158"/>
      <c r="CU32" s="4158"/>
      <c r="CV32" s="4158"/>
      <c r="CW32" s="4158"/>
      <c r="CX32" s="4158"/>
      <c r="CY32" s="4158"/>
      <c r="CZ32" s="4158"/>
      <c r="DA32" s="4158"/>
      <c r="DB32" s="4158"/>
      <c r="DC32" s="4158"/>
      <c r="DD32" s="4158"/>
      <c r="DE32" s="4158"/>
      <c r="DF32" s="4158"/>
      <c r="DG32" s="4158"/>
      <c r="DH32" s="4158"/>
      <c r="DI32" s="4158"/>
      <c r="DJ32" s="4158"/>
      <c r="DK32" s="4158"/>
      <c r="DL32" s="4158"/>
      <c r="DM32" s="4158"/>
      <c r="DN32" s="4158"/>
      <c r="DO32" s="4158"/>
      <c r="DP32" s="4158"/>
      <c r="DQ32" s="4158"/>
    </row>
    <row r="33" spans="1:122" s="171" customFormat="1" ht="13.5" thickBot="1">
      <c r="A33" s="798" t="s">
        <v>1206</v>
      </c>
      <c r="B33" s="628" t="s">
        <v>1198</v>
      </c>
      <c r="C33" s="302">
        <v>1211</v>
      </c>
      <c r="D33" s="303">
        <v>1781</v>
      </c>
      <c r="E33" s="303">
        <v>2024</v>
      </c>
      <c r="F33" s="303">
        <v>2289</v>
      </c>
      <c r="G33" s="303">
        <v>2532</v>
      </c>
      <c r="H33" s="618">
        <v>2812</v>
      </c>
      <c r="I33" s="302">
        <v>396</v>
      </c>
      <c r="J33" s="303">
        <v>489</v>
      </c>
      <c r="K33" s="303">
        <v>613</v>
      </c>
      <c r="L33" s="303">
        <v>695</v>
      </c>
      <c r="M33" s="303">
        <v>775</v>
      </c>
      <c r="N33" s="618">
        <v>871</v>
      </c>
      <c r="O33" s="302">
        <v>286</v>
      </c>
      <c r="P33" s="303">
        <v>413</v>
      </c>
      <c r="Q33" s="303">
        <v>445</v>
      </c>
      <c r="R33" s="303">
        <v>536</v>
      </c>
      <c r="S33" s="303">
        <v>618</v>
      </c>
      <c r="T33" s="618">
        <v>711</v>
      </c>
      <c r="U33" s="302"/>
      <c r="V33" s="303"/>
      <c r="W33" s="303"/>
      <c r="X33" s="303"/>
      <c r="Y33" s="303"/>
      <c r="Z33" s="618"/>
      <c r="AA33" s="302"/>
      <c r="AB33" s="303"/>
      <c r="AC33" s="303"/>
      <c r="AD33" s="303"/>
      <c r="AE33" s="303"/>
      <c r="AF33" s="618"/>
      <c r="AG33" s="302">
        <v>430</v>
      </c>
      <c r="AH33" s="303">
        <v>476</v>
      </c>
      <c r="AI33" s="303">
        <v>548</v>
      </c>
      <c r="AJ33" s="303">
        <v>630</v>
      </c>
      <c r="AK33" s="303">
        <v>724</v>
      </c>
      <c r="AL33" s="618">
        <v>833</v>
      </c>
      <c r="AM33" s="991">
        <f t="shared" si="124"/>
        <v>1893</v>
      </c>
      <c r="AN33" s="303">
        <v>2104</v>
      </c>
      <c r="AO33" s="303">
        <v>2425</v>
      </c>
      <c r="AP33" s="992">
        <f t="shared" si="125"/>
        <v>2683</v>
      </c>
      <c r="AQ33" s="992">
        <f t="shared" si="126"/>
        <v>3082</v>
      </c>
      <c r="AR33" s="992">
        <f t="shared" si="127"/>
        <v>3520</v>
      </c>
      <c r="AS33" s="992">
        <f t="shared" si="128"/>
        <v>3925</v>
      </c>
      <c r="AT33" s="993">
        <f t="shared" si="129"/>
        <v>4394</v>
      </c>
      <c r="AU33" s="1589">
        <f t="shared" si="120"/>
        <v>0.41732699418911778</v>
      </c>
      <c r="AV33" s="1589">
        <f t="shared" si="121"/>
        <v>0.47068538398018167</v>
      </c>
      <c r="AW33" s="1590">
        <f t="shared" si="122"/>
        <v>0.32258064516129031</v>
      </c>
      <c r="AX33" s="4775"/>
      <c r="AY33" s="4778" t="s">
        <v>1877</v>
      </c>
      <c r="AZ33" s="4784">
        <f t="shared" si="130"/>
        <v>619.17446812862056</v>
      </c>
      <c r="BA33" s="4784">
        <f t="shared" si="131"/>
        <v>910.61084041046513</v>
      </c>
      <c r="BB33" s="4784">
        <f t="shared" si="132"/>
        <v>1034.8547675411462</v>
      </c>
      <c r="BC33" s="4784">
        <f t="shared" si="133"/>
        <v>1170.3471160581441</v>
      </c>
      <c r="BD33" s="4784">
        <f t="shared" si="134"/>
        <v>1294.5910431888253</v>
      </c>
      <c r="BE33" s="4784">
        <f t="shared" si="135"/>
        <v>1437.7527699237664</v>
      </c>
      <c r="BF33" s="4784">
        <f t="shared" si="136"/>
        <v>202.47158495370252</v>
      </c>
      <c r="BG33" s="4784">
        <f t="shared" si="137"/>
        <v>250.02172990495083</v>
      </c>
      <c r="BH33" s="4784">
        <f t="shared" si="138"/>
        <v>313.42192317328193</v>
      </c>
      <c r="BI33" s="4784">
        <f t="shared" si="139"/>
        <v>355.34785743137184</v>
      </c>
      <c r="BJ33" s="4784">
        <f t="shared" si="140"/>
        <v>396.25120792706934</v>
      </c>
      <c r="BK33" s="4784">
        <f t="shared" si="141"/>
        <v>445.33522852190629</v>
      </c>
      <c r="BL33" s="4784">
        <f t="shared" si="142"/>
        <v>146.22947802211849</v>
      </c>
      <c r="BM33" s="4784">
        <f t="shared" si="143"/>
        <v>211.16354693403824</v>
      </c>
      <c r="BN33" s="4784">
        <f t="shared" si="144"/>
        <v>227.52488713231722</v>
      </c>
      <c r="BO33" s="4784">
        <f t="shared" si="145"/>
        <v>274.05244832117313</v>
      </c>
      <c r="BP33" s="4784">
        <f t="shared" si="146"/>
        <v>315.97838257926304</v>
      </c>
      <c r="BQ33" s="4784">
        <f t="shared" si="147"/>
        <v>363.52852753051133</v>
      </c>
      <c r="BR33" s="4784">
        <f t="shared" si="148"/>
        <v>0</v>
      </c>
      <c r="BS33" s="4784">
        <f t="shared" si="149"/>
        <v>0</v>
      </c>
      <c r="BT33" s="4784">
        <f t="shared" si="150"/>
        <v>0</v>
      </c>
      <c r="BU33" s="4784">
        <f t="shared" si="151"/>
        <v>0</v>
      </c>
      <c r="BV33" s="4784">
        <f t="shared" si="152"/>
        <v>0</v>
      </c>
      <c r="BW33" s="4784">
        <f t="shared" si="153"/>
        <v>0</v>
      </c>
      <c r="BX33" s="4784">
        <f t="shared" si="154"/>
        <v>0</v>
      </c>
      <c r="BY33" s="4784">
        <f t="shared" si="155"/>
        <v>0</v>
      </c>
      <c r="BZ33" s="4784">
        <f t="shared" si="156"/>
        <v>0</v>
      </c>
      <c r="CA33" s="4784">
        <f t="shared" si="157"/>
        <v>0</v>
      </c>
      <c r="CB33" s="4784">
        <f t="shared" si="158"/>
        <v>0</v>
      </c>
      <c r="CC33" s="4784">
        <f t="shared" si="159"/>
        <v>0</v>
      </c>
      <c r="CD33" s="4784">
        <f t="shared" si="160"/>
        <v>219.85550891437396</v>
      </c>
      <c r="CE33" s="4784">
        <f t="shared" si="161"/>
        <v>243.3749354494</v>
      </c>
      <c r="CF33" s="4784">
        <f t="shared" si="162"/>
        <v>280.18795089552776</v>
      </c>
      <c r="CG33" s="4784">
        <f t="shared" si="163"/>
        <v>322.11388515361767</v>
      </c>
      <c r="CH33" s="4784">
        <f t="shared" si="164"/>
        <v>370.17532198606222</v>
      </c>
      <c r="CI33" s="4784">
        <f t="shared" si="165"/>
        <v>425.90613703644999</v>
      </c>
      <c r="CJ33" s="4784">
        <f t="shared" si="166"/>
        <v>967.87553110444162</v>
      </c>
      <c r="CK33" s="4784">
        <f t="shared" si="167"/>
        <v>1075.7581180368438</v>
      </c>
      <c r="CL33" s="4784">
        <f t="shared" si="168"/>
        <v>1239.8828119008299</v>
      </c>
      <c r="CM33" s="4784">
        <f t="shared" si="169"/>
        <v>1371.7961172494543</v>
      </c>
      <c r="CN33" s="4784">
        <f t="shared" si="170"/>
        <v>1575.8015778467454</v>
      </c>
      <c r="CO33" s="4784">
        <f t="shared" si="171"/>
        <v>1799.747421810689</v>
      </c>
      <c r="CP33" s="4784">
        <f t="shared" si="172"/>
        <v>2006.8206336951575</v>
      </c>
      <c r="CQ33" s="4784">
        <f t="shared" si="173"/>
        <v>2246.6165259761842</v>
      </c>
      <c r="CR33" s="4158"/>
      <c r="CS33" s="4158"/>
      <c r="CT33" s="4158"/>
      <c r="CU33" s="4158"/>
      <c r="CV33" s="4158"/>
      <c r="CW33" s="4158"/>
      <c r="CX33" s="4158"/>
      <c r="CY33" s="4158"/>
      <c r="CZ33" s="4158"/>
      <c r="DA33" s="4158"/>
      <c r="DB33" s="4158"/>
      <c r="DC33" s="4158"/>
      <c r="DD33" s="4158"/>
      <c r="DE33" s="4158"/>
      <c r="DF33" s="4158"/>
      <c r="DG33" s="4158"/>
      <c r="DH33" s="4158"/>
      <c r="DI33" s="4158"/>
      <c r="DJ33" s="4158"/>
      <c r="DK33" s="4158"/>
      <c r="DL33" s="4158"/>
      <c r="DM33" s="4158"/>
      <c r="DN33" s="4158"/>
      <c r="DO33" s="4158"/>
      <c r="DP33" s="4158"/>
      <c r="DQ33" s="4158"/>
    </row>
    <row r="34" spans="1:122" s="171" customFormat="1" ht="24.75" thickBot="1">
      <c r="A34" s="798" t="s">
        <v>1207</v>
      </c>
      <c r="B34" s="628" t="s">
        <v>1199</v>
      </c>
      <c r="C34" s="302">
        <v>130</v>
      </c>
      <c r="D34" s="303">
        <v>187</v>
      </c>
      <c r="E34" s="303">
        <v>227</v>
      </c>
      <c r="F34" s="303">
        <v>251</v>
      </c>
      <c r="G34" s="303">
        <v>287</v>
      </c>
      <c r="H34" s="618">
        <v>330</v>
      </c>
      <c r="I34" s="302">
        <v>47</v>
      </c>
      <c r="J34" s="303">
        <v>68</v>
      </c>
      <c r="K34" s="303">
        <v>81</v>
      </c>
      <c r="L34" s="303">
        <v>93</v>
      </c>
      <c r="M34" s="303">
        <v>107</v>
      </c>
      <c r="N34" s="618">
        <v>123</v>
      </c>
      <c r="O34" s="302">
        <v>41</v>
      </c>
      <c r="P34" s="303">
        <v>61</v>
      </c>
      <c r="Q34" s="303">
        <v>68</v>
      </c>
      <c r="R34" s="303">
        <v>80</v>
      </c>
      <c r="S34" s="303">
        <v>92</v>
      </c>
      <c r="T34" s="618">
        <v>106</v>
      </c>
      <c r="U34" s="302"/>
      <c r="V34" s="303"/>
      <c r="W34" s="303"/>
      <c r="X34" s="303"/>
      <c r="Y34" s="303"/>
      <c r="Z34" s="618"/>
      <c r="AA34" s="302"/>
      <c r="AB34" s="303"/>
      <c r="AC34" s="303"/>
      <c r="AD34" s="303"/>
      <c r="AE34" s="303"/>
      <c r="AF34" s="618"/>
      <c r="AG34" s="302"/>
      <c r="AH34" s="303"/>
      <c r="AI34" s="303"/>
      <c r="AJ34" s="303"/>
      <c r="AK34" s="303"/>
      <c r="AL34" s="618"/>
      <c r="AM34" s="991">
        <f t="shared" si="124"/>
        <v>218</v>
      </c>
      <c r="AN34" s="303">
        <v>248</v>
      </c>
      <c r="AO34" s="303">
        <v>285</v>
      </c>
      <c r="AP34" s="992">
        <f t="shared" si="125"/>
        <v>316</v>
      </c>
      <c r="AQ34" s="992">
        <f t="shared" si="126"/>
        <v>376</v>
      </c>
      <c r="AR34" s="992">
        <f t="shared" si="127"/>
        <v>424</v>
      </c>
      <c r="AS34" s="992">
        <f t="shared" si="128"/>
        <v>486</v>
      </c>
      <c r="AT34" s="993">
        <f t="shared" si="129"/>
        <v>559</v>
      </c>
      <c r="AU34" s="1589">
        <f t="shared" si="120"/>
        <v>0.44954128440366975</v>
      </c>
      <c r="AV34" s="1589">
        <f t="shared" si="121"/>
        <v>0.43846153846153846</v>
      </c>
      <c r="AW34" s="1590">
        <f t="shared" si="122"/>
        <v>0.46590909090909088</v>
      </c>
      <c r="AX34" s="4775"/>
      <c r="AY34" s="4778" t="s">
        <v>1877</v>
      </c>
      <c r="AZ34" s="4784">
        <f t="shared" si="130"/>
        <v>66.46794455550841</v>
      </c>
      <c r="BA34" s="4784">
        <f t="shared" si="131"/>
        <v>95.611581783692856</v>
      </c>
      <c r="BB34" s="4784">
        <f t="shared" si="132"/>
        <v>116.0632570315416</v>
      </c>
      <c r="BC34" s="4784">
        <f t="shared" si="133"/>
        <v>128.33426218025085</v>
      </c>
      <c r="BD34" s="4784">
        <f t="shared" si="134"/>
        <v>146.74076990331471</v>
      </c>
      <c r="BE34" s="4784">
        <f t="shared" si="135"/>
        <v>168.7263207947521</v>
      </c>
      <c r="BF34" s="4784">
        <f t="shared" si="136"/>
        <v>24.030718416222268</v>
      </c>
      <c r="BG34" s="4784">
        <f t="shared" si="137"/>
        <v>34.767847921342856</v>
      </c>
      <c r="BH34" s="4784">
        <f t="shared" si="138"/>
        <v>41.414642376893696</v>
      </c>
      <c r="BI34" s="4784">
        <f t="shared" si="139"/>
        <v>47.550144951248321</v>
      </c>
      <c r="BJ34" s="4784">
        <f t="shared" si="140"/>
        <v>54.708231287995382</v>
      </c>
      <c r="BK34" s="4784">
        <f t="shared" si="141"/>
        <v>62.888901387134872</v>
      </c>
      <c r="BL34" s="4784">
        <f t="shared" si="142"/>
        <v>20.962967129044959</v>
      </c>
      <c r="BM34" s="4784">
        <f t="shared" si="143"/>
        <v>31.188804752969329</v>
      </c>
      <c r="BN34" s="4784">
        <f t="shared" si="144"/>
        <v>34.767847921342856</v>
      </c>
      <c r="BO34" s="4784">
        <f t="shared" si="145"/>
        <v>40.903350495697481</v>
      </c>
      <c r="BP34" s="4784">
        <f t="shared" si="146"/>
        <v>47.038853070052099</v>
      </c>
      <c r="BQ34" s="4784">
        <f t="shared" si="147"/>
        <v>54.19693940679916</v>
      </c>
      <c r="BR34" s="4784">
        <f t="shared" si="148"/>
        <v>0</v>
      </c>
      <c r="BS34" s="4784">
        <f t="shared" si="149"/>
        <v>0</v>
      </c>
      <c r="BT34" s="4784">
        <f t="shared" si="150"/>
        <v>0</v>
      </c>
      <c r="BU34" s="4784">
        <f t="shared" si="151"/>
        <v>0</v>
      </c>
      <c r="BV34" s="4784">
        <f t="shared" si="152"/>
        <v>0</v>
      </c>
      <c r="BW34" s="4784">
        <f t="shared" si="153"/>
        <v>0</v>
      </c>
      <c r="BX34" s="4784">
        <f t="shared" si="154"/>
        <v>0</v>
      </c>
      <c r="BY34" s="4784">
        <f t="shared" si="155"/>
        <v>0</v>
      </c>
      <c r="BZ34" s="4784">
        <f t="shared" si="156"/>
        <v>0</v>
      </c>
      <c r="CA34" s="4784">
        <f t="shared" si="157"/>
        <v>0</v>
      </c>
      <c r="CB34" s="4784">
        <f t="shared" si="158"/>
        <v>0</v>
      </c>
      <c r="CC34" s="4784">
        <f t="shared" si="159"/>
        <v>0</v>
      </c>
      <c r="CD34" s="4784">
        <f t="shared" si="160"/>
        <v>0</v>
      </c>
      <c r="CE34" s="4784">
        <f t="shared" si="161"/>
        <v>0</v>
      </c>
      <c r="CF34" s="4784">
        <f t="shared" si="162"/>
        <v>0</v>
      </c>
      <c r="CG34" s="4784">
        <f t="shared" si="163"/>
        <v>0</v>
      </c>
      <c r="CH34" s="4784">
        <f t="shared" si="164"/>
        <v>0</v>
      </c>
      <c r="CI34" s="4784">
        <f t="shared" si="165"/>
        <v>0</v>
      </c>
      <c r="CJ34" s="4784">
        <f t="shared" si="166"/>
        <v>111.46163010077564</v>
      </c>
      <c r="CK34" s="4784">
        <f t="shared" si="167"/>
        <v>126.80038653666219</v>
      </c>
      <c r="CL34" s="4784">
        <f t="shared" si="168"/>
        <v>145.71818614092228</v>
      </c>
      <c r="CM34" s="4784">
        <f t="shared" si="169"/>
        <v>161.56823445800504</v>
      </c>
      <c r="CN34" s="4784">
        <f t="shared" si="170"/>
        <v>192.24574732977814</v>
      </c>
      <c r="CO34" s="4784">
        <f t="shared" si="171"/>
        <v>216.78775762719664</v>
      </c>
      <c r="CP34" s="4784">
        <f t="shared" si="172"/>
        <v>248.4878542613622</v>
      </c>
      <c r="CQ34" s="4784">
        <f t="shared" si="173"/>
        <v>285.81216158868614</v>
      </c>
      <c r="CR34" s="4158"/>
      <c r="CS34" s="4158"/>
      <c r="CT34" s="4158"/>
      <c r="CU34" s="4158"/>
      <c r="CV34" s="4158"/>
      <c r="CW34" s="4158"/>
      <c r="CX34" s="4158"/>
      <c r="CY34" s="4158"/>
      <c r="CZ34" s="4158"/>
      <c r="DA34" s="4158"/>
      <c r="DB34" s="4158"/>
      <c r="DC34" s="4158"/>
      <c r="DD34" s="4158"/>
      <c r="DE34" s="4158"/>
      <c r="DF34" s="4158"/>
      <c r="DG34" s="4158"/>
      <c r="DH34" s="4158"/>
      <c r="DI34" s="4158"/>
      <c r="DJ34" s="4158"/>
      <c r="DK34" s="4158"/>
      <c r="DL34" s="4158"/>
      <c r="DM34" s="4158"/>
      <c r="DN34" s="4158"/>
      <c r="DO34" s="4158"/>
      <c r="DP34" s="4158"/>
      <c r="DQ34" s="4158"/>
    </row>
    <row r="35" spans="1:122" s="171" customFormat="1" ht="36.75" thickBot="1">
      <c r="A35" s="798" t="s">
        <v>1208</v>
      </c>
      <c r="B35" s="628" t="s">
        <v>1200</v>
      </c>
      <c r="C35" s="302"/>
      <c r="D35" s="303"/>
      <c r="E35" s="303"/>
      <c r="F35" s="303"/>
      <c r="G35" s="303"/>
      <c r="H35" s="618"/>
      <c r="I35" s="302"/>
      <c r="J35" s="303"/>
      <c r="K35" s="303"/>
      <c r="L35" s="303"/>
      <c r="M35" s="303"/>
      <c r="N35" s="618"/>
      <c r="O35" s="302"/>
      <c r="P35" s="303"/>
      <c r="Q35" s="303"/>
      <c r="R35" s="303"/>
      <c r="S35" s="303"/>
      <c r="T35" s="618"/>
      <c r="U35" s="302"/>
      <c r="V35" s="303"/>
      <c r="W35" s="303"/>
      <c r="X35" s="303"/>
      <c r="Y35" s="303"/>
      <c r="Z35" s="618"/>
      <c r="AA35" s="302"/>
      <c r="AB35" s="303"/>
      <c r="AC35" s="303"/>
      <c r="AD35" s="303"/>
      <c r="AE35" s="303"/>
      <c r="AF35" s="618"/>
      <c r="AG35" s="302"/>
      <c r="AH35" s="303"/>
      <c r="AI35" s="303"/>
      <c r="AJ35" s="303"/>
      <c r="AK35" s="303"/>
      <c r="AL35" s="618"/>
      <c r="AM35" s="991">
        <f t="shared" si="124"/>
        <v>0</v>
      </c>
      <c r="AN35" s="303"/>
      <c r="AO35" s="303"/>
      <c r="AP35" s="992">
        <f t="shared" si="125"/>
        <v>0</v>
      </c>
      <c r="AQ35" s="992">
        <f t="shared" si="126"/>
        <v>0</v>
      </c>
      <c r="AR35" s="992">
        <f t="shared" si="127"/>
        <v>0</v>
      </c>
      <c r="AS35" s="992">
        <f t="shared" si="128"/>
        <v>0</v>
      </c>
      <c r="AT35" s="993">
        <f t="shared" si="129"/>
        <v>0</v>
      </c>
      <c r="AU35" s="1589">
        <f t="shared" si="120"/>
        <v>0</v>
      </c>
      <c r="AV35" s="1589">
        <f t="shared" si="121"/>
        <v>0</v>
      </c>
      <c r="AW35" s="1590">
        <f t="shared" si="122"/>
        <v>0</v>
      </c>
      <c r="AX35" s="4775"/>
      <c r="AY35" s="4778" t="s">
        <v>1877</v>
      </c>
      <c r="AZ35" s="4784">
        <f t="shared" si="130"/>
        <v>0</v>
      </c>
      <c r="BA35" s="4784">
        <f t="shared" si="131"/>
        <v>0</v>
      </c>
      <c r="BB35" s="4784">
        <f t="shared" si="132"/>
        <v>0</v>
      </c>
      <c r="BC35" s="4784">
        <f t="shared" si="133"/>
        <v>0</v>
      </c>
      <c r="BD35" s="4784">
        <f t="shared" si="134"/>
        <v>0</v>
      </c>
      <c r="BE35" s="4784">
        <f t="shared" si="135"/>
        <v>0</v>
      </c>
      <c r="BF35" s="4784">
        <f t="shared" si="136"/>
        <v>0</v>
      </c>
      <c r="BG35" s="4784">
        <f t="shared" si="137"/>
        <v>0</v>
      </c>
      <c r="BH35" s="4784">
        <f t="shared" si="138"/>
        <v>0</v>
      </c>
      <c r="BI35" s="4784">
        <f t="shared" si="139"/>
        <v>0</v>
      </c>
      <c r="BJ35" s="4784">
        <f t="shared" si="140"/>
        <v>0</v>
      </c>
      <c r="BK35" s="4784">
        <f t="shared" si="141"/>
        <v>0</v>
      </c>
      <c r="BL35" s="4784">
        <f t="shared" si="142"/>
        <v>0</v>
      </c>
      <c r="BM35" s="4784">
        <f t="shared" si="143"/>
        <v>0</v>
      </c>
      <c r="BN35" s="4784">
        <f t="shared" si="144"/>
        <v>0</v>
      </c>
      <c r="BO35" s="4784">
        <f t="shared" si="145"/>
        <v>0</v>
      </c>
      <c r="BP35" s="4784">
        <f t="shared" si="146"/>
        <v>0</v>
      </c>
      <c r="BQ35" s="4784">
        <f t="shared" si="147"/>
        <v>0</v>
      </c>
      <c r="BR35" s="4784">
        <f t="shared" si="148"/>
        <v>0</v>
      </c>
      <c r="BS35" s="4784">
        <f t="shared" si="149"/>
        <v>0</v>
      </c>
      <c r="BT35" s="4784">
        <f t="shared" si="150"/>
        <v>0</v>
      </c>
      <c r="BU35" s="4784">
        <f t="shared" si="151"/>
        <v>0</v>
      </c>
      <c r="BV35" s="4784">
        <f t="shared" si="152"/>
        <v>0</v>
      </c>
      <c r="BW35" s="4784">
        <f t="shared" si="153"/>
        <v>0</v>
      </c>
      <c r="BX35" s="4784">
        <f t="shared" si="154"/>
        <v>0</v>
      </c>
      <c r="BY35" s="4784">
        <f t="shared" si="155"/>
        <v>0</v>
      </c>
      <c r="BZ35" s="4784">
        <f t="shared" si="156"/>
        <v>0</v>
      </c>
      <c r="CA35" s="4784">
        <f t="shared" si="157"/>
        <v>0</v>
      </c>
      <c r="CB35" s="4784">
        <f t="shared" si="158"/>
        <v>0</v>
      </c>
      <c r="CC35" s="4784">
        <f t="shared" si="159"/>
        <v>0</v>
      </c>
      <c r="CD35" s="4784">
        <f t="shared" si="160"/>
        <v>0</v>
      </c>
      <c r="CE35" s="4784">
        <f t="shared" si="161"/>
        <v>0</v>
      </c>
      <c r="CF35" s="4784">
        <f t="shared" si="162"/>
        <v>0</v>
      </c>
      <c r="CG35" s="4784">
        <f t="shared" si="163"/>
        <v>0</v>
      </c>
      <c r="CH35" s="4784">
        <f t="shared" si="164"/>
        <v>0</v>
      </c>
      <c r="CI35" s="4784">
        <f t="shared" si="165"/>
        <v>0</v>
      </c>
      <c r="CJ35" s="4784">
        <f t="shared" si="166"/>
        <v>0</v>
      </c>
      <c r="CK35" s="4784">
        <f t="shared" si="167"/>
        <v>0</v>
      </c>
      <c r="CL35" s="4784">
        <f t="shared" si="168"/>
        <v>0</v>
      </c>
      <c r="CM35" s="4784">
        <f t="shared" si="169"/>
        <v>0</v>
      </c>
      <c r="CN35" s="4784">
        <f t="shared" si="170"/>
        <v>0</v>
      </c>
      <c r="CO35" s="4784">
        <f t="shared" si="171"/>
        <v>0</v>
      </c>
      <c r="CP35" s="4784">
        <f t="shared" si="172"/>
        <v>0</v>
      </c>
      <c r="CQ35" s="4784">
        <f t="shared" si="173"/>
        <v>0</v>
      </c>
      <c r="CR35" s="4158"/>
      <c r="CS35" s="4158"/>
      <c r="CT35" s="4158"/>
      <c r="CU35" s="4158"/>
      <c r="CV35" s="4158"/>
      <c r="CW35" s="4158"/>
      <c r="CX35" s="4158"/>
      <c r="CY35" s="4158"/>
      <c r="CZ35" s="4158"/>
      <c r="DA35" s="4158"/>
      <c r="DB35" s="4158"/>
      <c r="DC35" s="4158"/>
      <c r="DD35" s="4158"/>
      <c r="DE35" s="4158"/>
      <c r="DF35" s="4158"/>
      <c r="DG35" s="4158"/>
      <c r="DH35" s="4158"/>
      <c r="DI35" s="4158"/>
      <c r="DJ35" s="4158"/>
      <c r="DK35" s="4158"/>
      <c r="DL35" s="4158"/>
      <c r="DM35" s="4158"/>
      <c r="DN35" s="4158"/>
      <c r="DO35" s="4158"/>
      <c r="DP35" s="4158"/>
      <c r="DQ35" s="4158"/>
    </row>
    <row r="36" spans="1:122" s="171" customFormat="1" ht="24.75" thickBot="1">
      <c r="A36" s="798" t="s">
        <v>1209</v>
      </c>
      <c r="B36" s="628" t="s">
        <v>1201</v>
      </c>
      <c r="C36" s="302">
        <v>1490</v>
      </c>
      <c r="D36" s="303">
        <v>2194</v>
      </c>
      <c r="E36" s="303">
        <v>2433</v>
      </c>
      <c r="F36" s="303">
        <v>2842</v>
      </c>
      <c r="G36" s="303">
        <v>3118</v>
      </c>
      <c r="H36" s="618">
        <v>3466</v>
      </c>
      <c r="I36" s="302">
        <v>551</v>
      </c>
      <c r="J36" s="303">
        <v>792</v>
      </c>
      <c r="K36" s="303">
        <v>894</v>
      </c>
      <c r="L36" s="303">
        <v>974</v>
      </c>
      <c r="M36" s="303">
        <v>1120</v>
      </c>
      <c r="N36" s="618">
        <v>1288</v>
      </c>
      <c r="O36" s="302">
        <v>132</v>
      </c>
      <c r="P36" s="303">
        <v>194</v>
      </c>
      <c r="Q36" s="303">
        <v>214</v>
      </c>
      <c r="R36" s="303">
        <v>247</v>
      </c>
      <c r="S36" s="303">
        <v>286</v>
      </c>
      <c r="T36" s="618">
        <v>329</v>
      </c>
      <c r="U36" s="302"/>
      <c r="V36" s="303"/>
      <c r="W36" s="303"/>
      <c r="X36" s="303"/>
      <c r="Y36" s="303"/>
      <c r="Z36" s="618"/>
      <c r="AA36" s="302"/>
      <c r="AB36" s="303"/>
      <c r="AC36" s="303"/>
      <c r="AD36" s="303"/>
      <c r="AE36" s="303"/>
      <c r="AF36" s="618"/>
      <c r="AG36" s="302"/>
      <c r="AH36" s="303"/>
      <c r="AI36" s="303"/>
      <c r="AJ36" s="303"/>
      <c r="AK36" s="303"/>
      <c r="AL36" s="618"/>
      <c r="AM36" s="991">
        <f t="shared" si="124"/>
        <v>2173</v>
      </c>
      <c r="AN36" s="303">
        <v>2443</v>
      </c>
      <c r="AO36" s="303">
        <v>2759</v>
      </c>
      <c r="AP36" s="992">
        <f t="shared" si="125"/>
        <v>3180</v>
      </c>
      <c r="AQ36" s="992">
        <f t="shared" si="126"/>
        <v>3541</v>
      </c>
      <c r="AR36" s="992">
        <f t="shared" si="127"/>
        <v>4063</v>
      </c>
      <c r="AS36" s="992">
        <f t="shared" si="128"/>
        <v>4524</v>
      </c>
      <c r="AT36" s="993">
        <f t="shared" si="129"/>
        <v>5083</v>
      </c>
      <c r="AU36" s="1589">
        <f t="shared" si="120"/>
        <v>0.46341463414634149</v>
      </c>
      <c r="AV36" s="1589">
        <f t="shared" si="121"/>
        <v>0.47248322147651006</v>
      </c>
      <c r="AW36" s="1590">
        <f t="shared" si="122"/>
        <v>0.44363103953147875</v>
      </c>
      <c r="AX36" s="4775"/>
      <c r="AY36" s="4778" t="s">
        <v>1877</v>
      </c>
      <c r="AZ36" s="4784">
        <f t="shared" si="130"/>
        <v>761.82490298236553</v>
      </c>
      <c r="BA36" s="4784">
        <f t="shared" si="131"/>
        <v>1121.7743873445033</v>
      </c>
      <c r="BB36" s="4784">
        <f t="shared" si="132"/>
        <v>1243.9731469503995</v>
      </c>
      <c r="BC36" s="4784">
        <f t="shared" si="133"/>
        <v>1453.091526359653</v>
      </c>
      <c r="BD36" s="4784">
        <f t="shared" si="134"/>
        <v>1594.2080855698093</v>
      </c>
      <c r="BE36" s="4784">
        <f t="shared" si="135"/>
        <v>1772.1376602260932</v>
      </c>
      <c r="BF36" s="4784">
        <f t="shared" si="136"/>
        <v>281.72182653911636</v>
      </c>
      <c r="BG36" s="4784">
        <f t="shared" si="137"/>
        <v>404.94316990740504</v>
      </c>
      <c r="BH36" s="4784">
        <f t="shared" si="138"/>
        <v>457.09494178941935</v>
      </c>
      <c r="BI36" s="4784">
        <f t="shared" si="139"/>
        <v>497.9982922851168</v>
      </c>
      <c r="BJ36" s="4784">
        <f t="shared" si="140"/>
        <v>572.64690693976468</v>
      </c>
      <c r="BK36" s="4784">
        <f t="shared" si="141"/>
        <v>658.54394298072941</v>
      </c>
      <c r="BL36" s="4784">
        <f t="shared" si="142"/>
        <v>67.490528317900839</v>
      </c>
      <c r="BM36" s="4784">
        <f t="shared" si="143"/>
        <v>99.190624952066386</v>
      </c>
      <c r="BN36" s="4784">
        <f t="shared" si="144"/>
        <v>109.41646257599076</v>
      </c>
      <c r="BO36" s="4784">
        <f t="shared" si="145"/>
        <v>126.28909465546597</v>
      </c>
      <c r="BP36" s="4784">
        <f t="shared" si="146"/>
        <v>146.22947802211849</v>
      </c>
      <c r="BQ36" s="4784">
        <f t="shared" si="147"/>
        <v>168.2150289135559</v>
      </c>
      <c r="BR36" s="4784">
        <f t="shared" si="148"/>
        <v>0</v>
      </c>
      <c r="BS36" s="4784">
        <f t="shared" si="149"/>
        <v>0</v>
      </c>
      <c r="BT36" s="4784">
        <f t="shared" si="150"/>
        <v>0</v>
      </c>
      <c r="BU36" s="4784">
        <f t="shared" si="151"/>
        <v>0</v>
      </c>
      <c r="BV36" s="4784">
        <f t="shared" si="152"/>
        <v>0</v>
      </c>
      <c r="BW36" s="4784">
        <f t="shared" si="153"/>
        <v>0</v>
      </c>
      <c r="BX36" s="4784">
        <f t="shared" si="154"/>
        <v>0</v>
      </c>
      <c r="BY36" s="4784">
        <f t="shared" si="155"/>
        <v>0</v>
      </c>
      <c r="BZ36" s="4784">
        <f t="shared" si="156"/>
        <v>0</v>
      </c>
      <c r="CA36" s="4784">
        <f t="shared" si="157"/>
        <v>0</v>
      </c>
      <c r="CB36" s="4784">
        <f t="shared" si="158"/>
        <v>0</v>
      </c>
      <c r="CC36" s="4784">
        <f t="shared" si="159"/>
        <v>0</v>
      </c>
      <c r="CD36" s="4784">
        <f t="shared" si="160"/>
        <v>0</v>
      </c>
      <c r="CE36" s="4784">
        <f t="shared" si="161"/>
        <v>0</v>
      </c>
      <c r="CF36" s="4784">
        <f t="shared" si="162"/>
        <v>0</v>
      </c>
      <c r="CG36" s="4784">
        <f t="shared" si="163"/>
        <v>0</v>
      </c>
      <c r="CH36" s="4784">
        <f t="shared" si="164"/>
        <v>0</v>
      </c>
      <c r="CI36" s="4784">
        <f t="shared" si="165"/>
        <v>0</v>
      </c>
      <c r="CJ36" s="4784">
        <f t="shared" si="166"/>
        <v>1111.0372578393828</v>
      </c>
      <c r="CK36" s="4784">
        <f t="shared" si="167"/>
        <v>1249.0860657623618</v>
      </c>
      <c r="CL36" s="4784">
        <f t="shared" si="168"/>
        <v>1410.6543002203668</v>
      </c>
      <c r="CM36" s="4784">
        <f t="shared" si="169"/>
        <v>1625.9081822039748</v>
      </c>
      <c r="CN36" s="4784">
        <f t="shared" si="170"/>
        <v>1810.4845513158098</v>
      </c>
      <c r="CO36" s="4784">
        <f t="shared" si="171"/>
        <v>2077.3789133002356</v>
      </c>
      <c r="CP36" s="4784">
        <f t="shared" si="172"/>
        <v>2313.0844705316927</v>
      </c>
      <c r="CQ36" s="4784">
        <f t="shared" si="173"/>
        <v>2598.8966321203784</v>
      </c>
      <c r="CR36" s="4158"/>
      <c r="CS36" s="4158"/>
      <c r="CT36" s="4158"/>
      <c r="CU36" s="4158"/>
      <c r="CV36" s="4158"/>
      <c r="CW36" s="4158"/>
      <c r="CX36" s="4158"/>
      <c r="CY36" s="4158"/>
      <c r="CZ36" s="4158"/>
      <c r="DA36" s="4158"/>
      <c r="DB36" s="4158"/>
      <c r="DC36" s="4158"/>
      <c r="DD36" s="4158"/>
      <c r="DE36" s="4158"/>
      <c r="DF36" s="4158"/>
      <c r="DG36" s="4158"/>
      <c r="DH36" s="4158"/>
      <c r="DI36" s="4158"/>
      <c r="DJ36" s="4158"/>
      <c r="DK36" s="4158"/>
      <c r="DL36" s="4158"/>
      <c r="DM36" s="4158"/>
      <c r="DN36" s="4158"/>
      <c r="DO36" s="4158"/>
      <c r="DP36" s="4158"/>
      <c r="DQ36" s="4158"/>
    </row>
    <row r="37" spans="1:122" s="171" customFormat="1" ht="13.5" thickBot="1">
      <c r="A37" s="798" t="s">
        <v>1210</v>
      </c>
      <c r="B37" s="628" t="s">
        <v>1202</v>
      </c>
      <c r="C37" s="302">
        <v>1125</v>
      </c>
      <c r="D37" s="303">
        <v>1682</v>
      </c>
      <c r="E37" s="303">
        <v>1867</v>
      </c>
      <c r="F37" s="303">
        <v>2151</v>
      </c>
      <c r="G37" s="303">
        <v>2414</v>
      </c>
      <c r="H37" s="618">
        <v>2776</v>
      </c>
      <c r="I37" s="302">
        <v>221</v>
      </c>
      <c r="J37" s="303">
        <v>335</v>
      </c>
      <c r="K37" s="303">
        <v>365</v>
      </c>
      <c r="L37" s="303">
        <v>402</v>
      </c>
      <c r="M37" s="303">
        <v>462</v>
      </c>
      <c r="N37" s="618">
        <v>531</v>
      </c>
      <c r="O37" s="302">
        <v>304</v>
      </c>
      <c r="P37" s="303">
        <v>435</v>
      </c>
      <c r="Q37" s="303">
        <v>485</v>
      </c>
      <c r="R37" s="303">
        <v>535</v>
      </c>
      <c r="S37" s="303">
        <v>615</v>
      </c>
      <c r="T37" s="618">
        <v>707</v>
      </c>
      <c r="U37" s="302"/>
      <c r="V37" s="303"/>
      <c r="W37" s="303"/>
      <c r="X37" s="303"/>
      <c r="Y37" s="303"/>
      <c r="Z37" s="618"/>
      <c r="AA37" s="302"/>
      <c r="AB37" s="303"/>
      <c r="AC37" s="303"/>
      <c r="AD37" s="303"/>
      <c r="AE37" s="303"/>
      <c r="AF37" s="618"/>
      <c r="AG37" s="302"/>
      <c r="AH37" s="303"/>
      <c r="AI37" s="303"/>
      <c r="AJ37" s="303"/>
      <c r="AK37" s="303"/>
      <c r="AL37" s="618"/>
      <c r="AM37" s="991">
        <f t="shared" si="124"/>
        <v>1650</v>
      </c>
      <c r="AN37" s="303">
        <v>1869</v>
      </c>
      <c r="AO37" s="303">
        <v>2129</v>
      </c>
      <c r="AP37" s="992">
        <f t="shared" si="125"/>
        <v>2452</v>
      </c>
      <c r="AQ37" s="992">
        <f t="shared" si="126"/>
        <v>2717</v>
      </c>
      <c r="AR37" s="992">
        <f t="shared" si="127"/>
        <v>3088</v>
      </c>
      <c r="AS37" s="992">
        <f t="shared" si="128"/>
        <v>3491</v>
      </c>
      <c r="AT37" s="993">
        <f t="shared" si="129"/>
        <v>4014</v>
      </c>
      <c r="AU37" s="1589">
        <f t="shared" si="120"/>
        <v>0.48606060606060608</v>
      </c>
      <c r="AV37" s="1589">
        <f t="shared" si="121"/>
        <v>0.49511111111111111</v>
      </c>
      <c r="AW37" s="1590">
        <f t="shared" si="122"/>
        <v>0.46666666666666667</v>
      </c>
      <c r="AX37" s="4775"/>
      <c r="AY37" s="4778" t="s">
        <v>1877</v>
      </c>
      <c r="AZ37" s="4784">
        <f t="shared" si="130"/>
        <v>575.20336634574585</v>
      </c>
      <c r="BA37" s="4784">
        <f t="shared" si="131"/>
        <v>859.99294417203953</v>
      </c>
      <c r="BB37" s="4784">
        <f t="shared" si="132"/>
        <v>954.58194219333996</v>
      </c>
      <c r="BC37" s="4784">
        <f t="shared" si="133"/>
        <v>1099.7888364530661</v>
      </c>
      <c r="BD37" s="4784">
        <f t="shared" si="134"/>
        <v>1234.2586012076715</v>
      </c>
      <c r="BE37" s="4784">
        <f t="shared" si="135"/>
        <v>1419.3462622007025</v>
      </c>
      <c r="BF37" s="4784">
        <f t="shared" si="136"/>
        <v>112.99550574436429</v>
      </c>
      <c r="BG37" s="4784">
        <f t="shared" si="137"/>
        <v>171.28278020073319</v>
      </c>
      <c r="BH37" s="4784">
        <f t="shared" si="138"/>
        <v>186.62153663661974</v>
      </c>
      <c r="BI37" s="4784">
        <f t="shared" si="139"/>
        <v>205.53933624087983</v>
      </c>
      <c r="BJ37" s="4784">
        <f t="shared" si="140"/>
        <v>236.21684911265294</v>
      </c>
      <c r="BK37" s="4784">
        <f t="shared" si="141"/>
        <v>271.49598891519202</v>
      </c>
      <c r="BL37" s="4784">
        <f t="shared" si="142"/>
        <v>155.43273188365043</v>
      </c>
      <c r="BM37" s="4784">
        <f t="shared" si="143"/>
        <v>222.41196832035504</v>
      </c>
      <c r="BN37" s="4784">
        <f t="shared" si="144"/>
        <v>247.97656238016597</v>
      </c>
      <c r="BO37" s="4784">
        <f t="shared" si="145"/>
        <v>273.54115643997687</v>
      </c>
      <c r="BP37" s="4784">
        <f t="shared" si="146"/>
        <v>314.44450693567438</v>
      </c>
      <c r="BQ37" s="4784">
        <f t="shared" si="147"/>
        <v>361.48336000572647</v>
      </c>
      <c r="BR37" s="4784">
        <f t="shared" si="148"/>
        <v>0</v>
      </c>
      <c r="BS37" s="4784">
        <f t="shared" si="149"/>
        <v>0</v>
      </c>
      <c r="BT37" s="4784">
        <f t="shared" si="150"/>
        <v>0</v>
      </c>
      <c r="BU37" s="4784">
        <f t="shared" si="151"/>
        <v>0</v>
      </c>
      <c r="BV37" s="4784">
        <f t="shared" si="152"/>
        <v>0</v>
      </c>
      <c r="BW37" s="4784">
        <f t="shared" si="153"/>
        <v>0</v>
      </c>
      <c r="BX37" s="4784">
        <f t="shared" si="154"/>
        <v>0</v>
      </c>
      <c r="BY37" s="4784">
        <f t="shared" si="155"/>
        <v>0</v>
      </c>
      <c r="BZ37" s="4784">
        <f t="shared" si="156"/>
        <v>0</v>
      </c>
      <c r="CA37" s="4784">
        <f t="shared" si="157"/>
        <v>0</v>
      </c>
      <c r="CB37" s="4784">
        <f t="shared" si="158"/>
        <v>0</v>
      </c>
      <c r="CC37" s="4784">
        <f t="shared" si="159"/>
        <v>0</v>
      </c>
      <c r="CD37" s="4784">
        <f t="shared" si="160"/>
        <v>0</v>
      </c>
      <c r="CE37" s="4784">
        <f t="shared" si="161"/>
        <v>0</v>
      </c>
      <c r="CF37" s="4784">
        <f t="shared" si="162"/>
        <v>0</v>
      </c>
      <c r="CG37" s="4784">
        <f t="shared" si="163"/>
        <v>0</v>
      </c>
      <c r="CH37" s="4784">
        <f t="shared" si="164"/>
        <v>0</v>
      </c>
      <c r="CI37" s="4784">
        <f t="shared" si="165"/>
        <v>0</v>
      </c>
      <c r="CJ37" s="4784">
        <f t="shared" si="166"/>
        <v>843.63160397376055</v>
      </c>
      <c r="CK37" s="4784">
        <f t="shared" si="167"/>
        <v>955.60452595573236</v>
      </c>
      <c r="CL37" s="4784">
        <f t="shared" si="168"/>
        <v>1088.5404150667491</v>
      </c>
      <c r="CM37" s="4784">
        <f t="shared" si="169"/>
        <v>1253.6876926931277</v>
      </c>
      <c r="CN37" s="4784">
        <f t="shared" si="170"/>
        <v>1389.1800412101256</v>
      </c>
      <c r="CO37" s="4784">
        <f t="shared" si="171"/>
        <v>1578.8693291339227</v>
      </c>
      <c r="CP37" s="4784">
        <f t="shared" si="172"/>
        <v>1784.9199572559987</v>
      </c>
      <c r="CQ37" s="4784">
        <f t="shared" si="173"/>
        <v>2052.325611121621</v>
      </c>
      <c r="CR37" s="4158"/>
      <c r="CS37" s="4158"/>
      <c r="CT37" s="4158"/>
      <c r="CU37" s="4158"/>
      <c r="CV37" s="4158"/>
      <c r="CW37" s="4158"/>
      <c r="CX37" s="4158"/>
      <c r="CY37" s="4158"/>
      <c r="CZ37" s="4158"/>
      <c r="DA37" s="4158"/>
      <c r="DB37" s="4158"/>
      <c r="DC37" s="4158"/>
      <c r="DD37" s="4158"/>
      <c r="DE37" s="4158"/>
      <c r="DF37" s="4158"/>
      <c r="DG37" s="4158"/>
      <c r="DH37" s="4158"/>
      <c r="DI37" s="4158"/>
      <c r="DJ37" s="4158"/>
      <c r="DK37" s="4158"/>
      <c r="DL37" s="4158"/>
      <c r="DM37" s="4158"/>
      <c r="DN37" s="4158"/>
      <c r="DO37" s="4158"/>
      <c r="DP37" s="4158"/>
      <c r="DQ37" s="4158"/>
    </row>
    <row r="38" spans="1:122" s="171" customFormat="1" ht="13.5" thickBot="1">
      <c r="A38" s="799" t="s">
        <v>1211</v>
      </c>
      <c r="B38" s="650" t="s">
        <v>1203</v>
      </c>
      <c r="C38" s="302">
        <v>1198</v>
      </c>
      <c r="D38" s="303">
        <v>1754</v>
      </c>
      <c r="E38" s="303">
        <v>1924</v>
      </c>
      <c r="F38" s="303">
        <v>2238</v>
      </c>
      <c r="G38" s="303">
        <v>2544</v>
      </c>
      <c r="H38" s="618">
        <v>2826</v>
      </c>
      <c r="I38" s="302">
        <v>162</v>
      </c>
      <c r="J38" s="303">
        <v>243</v>
      </c>
      <c r="K38" s="303">
        <v>270</v>
      </c>
      <c r="L38" s="303">
        <v>312</v>
      </c>
      <c r="M38" s="303">
        <v>359</v>
      </c>
      <c r="N38" s="618">
        <v>413</v>
      </c>
      <c r="O38" s="302">
        <v>325</v>
      </c>
      <c r="P38" s="303">
        <v>454</v>
      </c>
      <c r="Q38" s="303">
        <v>492</v>
      </c>
      <c r="R38" s="303">
        <v>569</v>
      </c>
      <c r="S38" s="303">
        <v>634</v>
      </c>
      <c r="T38" s="618">
        <v>719</v>
      </c>
      <c r="U38" s="302"/>
      <c r="V38" s="303"/>
      <c r="W38" s="303"/>
      <c r="X38" s="303"/>
      <c r="Y38" s="303"/>
      <c r="Z38" s="618"/>
      <c r="AA38" s="302"/>
      <c r="AB38" s="303"/>
      <c r="AC38" s="303"/>
      <c r="AD38" s="303"/>
      <c r="AE38" s="303"/>
      <c r="AF38" s="618"/>
      <c r="AG38" s="302"/>
      <c r="AH38" s="303"/>
      <c r="AI38" s="303"/>
      <c r="AJ38" s="303"/>
      <c r="AK38" s="303"/>
      <c r="AL38" s="618"/>
      <c r="AM38" s="991">
        <f t="shared" si="124"/>
        <v>1685</v>
      </c>
      <c r="AN38" s="303">
        <v>1871</v>
      </c>
      <c r="AO38" s="303">
        <v>2139</v>
      </c>
      <c r="AP38" s="992">
        <f t="shared" si="125"/>
        <v>2451</v>
      </c>
      <c r="AQ38" s="992">
        <f t="shared" si="126"/>
        <v>2686</v>
      </c>
      <c r="AR38" s="992">
        <f t="shared" si="127"/>
        <v>3119</v>
      </c>
      <c r="AS38" s="992">
        <f t="shared" si="128"/>
        <v>3537</v>
      </c>
      <c r="AT38" s="993">
        <f t="shared" si="129"/>
        <v>3958</v>
      </c>
      <c r="AU38" s="1589">
        <f t="shared" si="120"/>
        <v>0.45459940652818992</v>
      </c>
      <c r="AV38" s="1589">
        <f t="shared" si="121"/>
        <v>0.46410684474123537</v>
      </c>
      <c r="AW38" s="1590">
        <f t="shared" si="122"/>
        <v>0.43121149897330596</v>
      </c>
      <c r="AX38" s="4775"/>
      <c r="AY38" s="4778" t="s">
        <v>1877</v>
      </c>
      <c r="AZ38" s="4784">
        <f t="shared" si="130"/>
        <v>612.52767367306978</v>
      </c>
      <c r="BA38" s="4784">
        <f t="shared" si="131"/>
        <v>896.80595961816721</v>
      </c>
      <c r="BB38" s="4784">
        <f t="shared" si="132"/>
        <v>983.72557942152434</v>
      </c>
      <c r="BC38" s="4784">
        <f t="shared" si="133"/>
        <v>1144.2712301171371</v>
      </c>
      <c r="BD38" s="4784">
        <f t="shared" si="134"/>
        <v>1300.72654576318</v>
      </c>
      <c r="BE38" s="4784">
        <f t="shared" si="135"/>
        <v>1444.9108562605136</v>
      </c>
      <c r="BF38" s="4784">
        <f t="shared" si="136"/>
        <v>82.829284753787391</v>
      </c>
      <c r="BG38" s="4784">
        <f t="shared" si="137"/>
        <v>124.2439271306811</v>
      </c>
      <c r="BH38" s="4784">
        <f t="shared" si="138"/>
        <v>138.04880792297899</v>
      </c>
      <c r="BI38" s="4784">
        <f t="shared" si="139"/>
        <v>159.52306693322018</v>
      </c>
      <c r="BJ38" s="4784">
        <f t="shared" si="140"/>
        <v>183.55378534944245</v>
      </c>
      <c r="BK38" s="4784">
        <f t="shared" si="141"/>
        <v>211.16354693403824</v>
      </c>
      <c r="BL38" s="4784">
        <f t="shared" si="142"/>
        <v>166.16986138877101</v>
      </c>
      <c r="BM38" s="4784">
        <f t="shared" si="143"/>
        <v>232.12651406308319</v>
      </c>
      <c r="BN38" s="4784">
        <f t="shared" si="144"/>
        <v>251.55560554853949</v>
      </c>
      <c r="BO38" s="4784">
        <f t="shared" si="145"/>
        <v>290.92508040064831</v>
      </c>
      <c r="BP38" s="4784">
        <f t="shared" si="146"/>
        <v>324.15905267840253</v>
      </c>
      <c r="BQ38" s="4784">
        <f t="shared" si="147"/>
        <v>367.6188625800811</v>
      </c>
      <c r="BR38" s="4784">
        <f t="shared" si="148"/>
        <v>0</v>
      </c>
      <c r="BS38" s="4784">
        <f t="shared" si="149"/>
        <v>0</v>
      </c>
      <c r="BT38" s="4784">
        <f t="shared" si="150"/>
        <v>0</v>
      </c>
      <c r="BU38" s="4784">
        <f t="shared" si="151"/>
        <v>0</v>
      </c>
      <c r="BV38" s="4784">
        <f t="shared" si="152"/>
        <v>0</v>
      </c>
      <c r="BW38" s="4784">
        <f t="shared" si="153"/>
        <v>0</v>
      </c>
      <c r="BX38" s="4784">
        <f t="shared" si="154"/>
        <v>0</v>
      </c>
      <c r="BY38" s="4784">
        <f t="shared" si="155"/>
        <v>0</v>
      </c>
      <c r="BZ38" s="4784">
        <f t="shared" si="156"/>
        <v>0</v>
      </c>
      <c r="CA38" s="4784">
        <f t="shared" si="157"/>
        <v>0</v>
      </c>
      <c r="CB38" s="4784">
        <f t="shared" si="158"/>
        <v>0</v>
      </c>
      <c r="CC38" s="4784">
        <f t="shared" si="159"/>
        <v>0</v>
      </c>
      <c r="CD38" s="4784">
        <f t="shared" si="160"/>
        <v>0</v>
      </c>
      <c r="CE38" s="4784">
        <f t="shared" si="161"/>
        <v>0</v>
      </c>
      <c r="CF38" s="4784">
        <f t="shared" si="162"/>
        <v>0</v>
      </c>
      <c r="CG38" s="4784">
        <f t="shared" si="163"/>
        <v>0</v>
      </c>
      <c r="CH38" s="4784">
        <f t="shared" si="164"/>
        <v>0</v>
      </c>
      <c r="CI38" s="4784">
        <f t="shared" si="165"/>
        <v>0</v>
      </c>
      <c r="CJ38" s="4784">
        <f t="shared" si="166"/>
        <v>861.52681981562819</v>
      </c>
      <c r="CK38" s="4784">
        <f t="shared" si="167"/>
        <v>956.62710971812476</v>
      </c>
      <c r="CL38" s="4784">
        <f t="shared" si="168"/>
        <v>1093.6533338787115</v>
      </c>
      <c r="CM38" s="4784">
        <f t="shared" si="169"/>
        <v>1253.1764008119314</v>
      </c>
      <c r="CN38" s="4784">
        <f t="shared" si="170"/>
        <v>1373.3299928930428</v>
      </c>
      <c r="CO38" s="4784">
        <f t="shared" si="171"/>
        <v>1594.7193774510056</v>
      </c>
      <c r="CP38" s="4784">
        <f t="shared" si="172"/>
        <v>1808.4393837910247</v>
      </c>
      <c r="CQ38" s="4784">
        <f t="shared" si="173"/>
        <v>2023.6932657746329</v>
      </c>
      <c r="CR38" s="4158"/>
      <c r="CS38" s="4158"/>
      <c r="CT38" s="4158"/>
      <c r="CU38" s="4158"/>
      <c r="CV38" s="4158"/>
      <c r="CW38" s="4158"/>
      <c r="CX38" s="4158"/>
      <c r="CY38" s="4158"/>
      <c r="CZ38" s="4158"/>
      <c r="DA38" s="4158"/>
      <c r="DB38" s="4158"/>
      <c r="DC38" s="4158"/>
      <c r="DD38" s="4158"/>
      <c r="DE38" s="4158"/>
      <c r="DF38" s="4158"/>
      <c r="DG38" s="4158"/>
      <c r="DH38" s="4158"/>
      <c r="DI38" s="4158"/>
      <c r="DJ38" s="4158"/>
      <c r="DK38" s="4158"/>
      <c r="DL38" s="4158"/>
      <c r="DM38" s="4158"/>
      <c r="DN38" s="4158"/>
      <c r="DO38" s="4158"/>
      <c r="DP38" s="4158"/>
      <c r="DQ38" s="4158"/>
    </row>
    <row r="39" spans="1:122" s="733" customFormat="1" ht="24.75" thickBot="1">
      <c r="A39" s="731" t="s">
        <v>97</v>
      </c>
      <c r="B39" s="732" t="s">
        <v>1253</v>
      </c>
      <c r="C39" s="1564">
        <f>'8. Ремонтна програма'!J33</f>
        <v>352</v>
      </c>
      <c r="D39" s="1564">
        <f>'8. Ремонтна програма'!K33</f>
        <v>722</v>
      </c>
      <c r="E39" s="1564">
        <f>'8. Ремонтна програма'!L33</f>
        <v>830</v>
      </c>
      <c r="F39" s="1564">
        <f>'8. Ремонтна програма'!M33</f>
        <v>955</v>
      </c>
      <c r="G39" s="1564">
        <f>'8. Ремонтна програма'!N33</f>
        <v>1098</v>
      </c>
      <c r="H39" s="1562">
        <f>'8. Ремонтна програма'!O33</f>
        <v>1263</v>
      </c>
      <c r="I39" s="1563">
        <f>'8. Ремонтна програма'!J62</f>
        <v>45</v>
      </c>
      <c r="J39" s="1564">
        <f>'8. Ремонтна програма'!K62</f>
        <v>93</v>
      </c>
      <c r="K39" s="1564">
        <f>'8. Ремонтна програма'!L62</f>
        <v>106</v>
      </c>
      <c r="L39" s="1564">
        <f>'8. Ремонтна програма'!M62</f>
        <v>122</v>
      </c>
      <c r="M39" s="1564">
        <f>'8. Ремонтна програма'!N62</f>
        <v>141</v>
      </c>
      <c r="N39" s="1562">
        <f>'8. Ремонтна програма'!O62</f>
        <v>162</v>
      </c>
      <c r="O39" s="1563">
        <f>'8. Ремонтна програма'!J88</f>
        <v>2</v>
      </c>
      <c r="P39" s="1564">
        <f>'8. Ремонтна програма'!K88</f>
        <v>2</v>
      </c>
      <c r="Q39" s="1564">
        <f>'8. Ремонтна програма'!L88</f>
        <v>2</v>
      </c>
      <c r="R39" s="1564">
        <f>'8. Ремонтна програма'!M88</f>
        <v>2.2999999999999998</v>
      </c>
      <c r="S39" s="1564">
        <f>'8. Ремонтна програма'!N88</f>
        <v>2.65</v>
      </c>
      <c r="T39" s="1562">
        <f>'8. Ремонтна програма'!O88</f>
        <v>3.05</v>
      </c>
      <c r="U39" s="1563">
        <f>'8. Ремонтна програма'!J119</f>
        <v>0</v>
      </c>
      <c r="V39" s="1564">
        <f>'8. Ремонтна програма'!K119</f>
        <v>0</v>
      </c>
      <c r="W39" s="1564">
        <f>'8. Ремонтна програма'!L119</f>
        <v>0</v>
      </c>
      <c r="X39" s="1564">
        <f>'8. Ремонтна програма'!M119</f>
        <v>0</v>
      </c>
      <c r="Y39" s="1564">
        <f>'8. Ремонтна програма'!N119</f>
        <v>0</v>
      </c>
      <c r="Z39" s="1562">
        <f>'8. Ремонтна програма'!O119</f>
        <v>0</v>
      </c>
      <c r="AA39" s="1563">
        <f>'8. Ремонтна програма'!J150</f>
        <v>0</v>
      </c>
      <c r="AB39" s="1564">
        <f>'8. Ремонтна програма'!K150</f>
        <v>0</v>
      </c>
      <c r="AC39" s="1564">
        <f>'8. Ремонтна програма'!L150</f>
        <v>0</v>
      </c>
      <c r="AD39" s="1564">
        <f>'8. Ремонтна програма'!M150</f>
        <v>0</v>
      </c>
      <c r="AE39" s="1564">
        <f>'8. Ремонтна програма'!N150</f>
        <v>0</v>
      </c>
      <c r="AF39" s="1562">
        <f>'8. Ремонтна програма'!O150</f>
        <v>0</v>
      </c>
      <c r="AG39" s="619"/>
      <c r="AH39" s="620"/>
      <c r="AI39" s="620"/>
      <c r="AJ39" s="620"/>
      <c r="AK39" s="620"/>
      <c r="AL39" s="621"/>
      <c r="AM39" s="991">
        <f t="shared" si="124"/>
        <v>399</v>
      </c>
      <c r="AN39" s="303">
        <v>624</v>
      </c>
      <c r="AO39" s="303">
        <v>708</v>
      </c>
      <c r="AP39" s="992">
        <f t="shared" si="125"/>
        <v>817</v>
      </c>
      <c r="AQ39" s="992">
        <f t="shared" si="126"/>
        <v>938</v>
      </c>
      <c r="AR39" s="992">
        <f t="shared" si="127"/>
        <v>1079.3</v>
      </c>
      <c r="AS39" s="992">
        <f t="shared" si="128"/>
        <v>1241.6500000000001</v>
      </c>
      <c r="AT39" s="993">
        <f t="shared" si="129"/>
        <v>1428.05</v>
      </c>
      <c r="AU39" s="1591">
        <f t="shared" si="120"/>
        <v>1.0476190476190477</v>
      </c>
      <c r="AV39" s="1591">
        <f t="shared" si="121"/>
        <v>1.0511363636363635</v>
      </c>
      <c r="AW39" s="1592">
        <f t="shared" si="122"/>
        <v>1.0212765957446808</v>
      </c>
      <c r="AX39" s="4775"/>
      <c r="AY39" s="4778" t="s">
        <v>1877</v>
      </c>
      <c r="AZ39" s="4784">
        <f t="shared" si="130"/>
        <v>179.9747421810689</v>
      </c>
      <c r="BA39" s="4784">
        <f t="shared" si="131"/>
        <v>369.15273822366976</v>
      </c>
      <c r="BB39" s="4784">
        <f t="shared" si="132"/>
        <v>424.37226139286133</v>
      </c>
      <c r="BC39" s="4784">
        <f t="shared" si="133"/>
        <v>488.28374654238866</v>
      </c>
      <c r="BD39" s="4784">
        <f t="shared" si="134"/>
        <v>561.39848555344793</v>
      </c>
      <c r="BE39" s="4784">
        <f t="shared" si="135"/>
        <v>645.761645950824</v>
      </c>
      <c r="BF39" s="4784">
        <f t="shared" si="136"/>
        <v>23.008134653829831</v>
      </c>
      <c r="BG39" s="4784">
        <f t="shared" si="137"/>
        <v>47.550144951248321</v>
      </c>
      <c r="BH39" s="4784">
        <f t="shared" si="138"/>
        <v>54.19693940679916</v>
      </c>
      <c r="BI39" s="4784">
        <f t="shared" si="139"/>
        <v>62.377609505938658</v>
      </c>
      <c r="BJ39" s="4784">
        <f t="shared" si="140"/>
        <v>72.092155248666813</v>
      </c>
      <c r="BK39" s="4784">
        <f t="shared" si="141"/>
        <v>82.829284753787391</v>
      </c>
      <c r="BL39" s="4784">
        <f t="shared" si="142"/>
        <v>1.022583762392437</v>
      </c>
      <c r="BM39" s="4784">
        <f t="shared" si="143"/>
        <v>1.022583762392437</v>
      </c>
      <c r="BN39" s="4784">
        <f t="shared" si="144"/>
        <v>1.022583762392437</v>
      </c>
      <c r="BO39" s="4784">
        <f t="shared" si="145"/>
        <v>1.1759713267513026</v>
      </c>
      <c r="BP39" s="4784">
        <f t="shared" si="146"/>
        <v>1.354923485169979</v>
      </c>
      <c r="BQ39" s="4784">
        <f t="shared" si="147"/>
        <v>1.5594402376484664</v>
      </c>
      <c r="BR39" s="4784">
        <f t="shared" si="148"/>
        <v>0</v>
      </c>
      <c r="BS39" s="4784">
        <f t="shared" si="149"/>
        <v>0</v>
      </c>
      <c r="BT39" s="4784">
        <f t="shared" si="150"/>
        <v>0</v>
      </c>
      <c r="BU39" s="4784">
        <f t="shared" si="151"/>
        <v>0</v>
      </c>
      <c r="BV39" s="4784">
        <f t="shared" si="152"/>
        <v>0</v>
      </c>
      <c r="BW39" s="4784">
        <f t="shared" si="153"/>
        <v>0</v>
      </c>
      <c r="BX39" s="4784">
        <f t="shared" si="154"/>
        <v>0</v>
      </c>
      <c r="BY39" s="4784">
        <f t="shared" si="155"/>
        <v>0</v>
      </c>
      <c r="BZ39" s="4784">
        <f t="shared" si="156"/>
        <v>0</v>
      </c>
      <c r="CA39" s="4784">
        <f t="shared" si="157"/>
        <v>0</v>
      </c>
      <c r="CB39" s="4784">
        <f t="shared" si="158"/>
        <v>0</v>
      </c>
      <c r="CC39" s="4784">
        <f t="shared" si="159"/>
        <v>0</v>
      </c>
      <c r="CD39" s="4784">
        <f t="shared" si="160"/>
        <v>0</v>
      </c>
      <c r="CE39" s="4784">
        <f t="shared" si="161"/>
        <v>0</v>
      </c>
      <c r="CF39" s="4784">
        <f t="shared" si="162"/>
        <v>0</v>
      </c>
      <c r="CG39" s="4784">
        <f t="shared" si="163"/>
        <v>0</v>
      </c>
      <c r="CH39" s="4784">
        <f t="shared" si="164"/>
        <v>0</v>
      </c>
      <c r="CI39" s="4784">
        <f t="shared" si="165"/>
        <v>0</v>
      </c>
      <c r="CJ39" s="4784">
        <f t="shared" si="166"/>
        <v>204.00546059729118</v>
      </c>
      <c r="CK39" s="4784">
        <f t="shared" si="167"/>
        <v>319.04613386644036</v>
      </c>
      <c r="CL39" s="4784">
        <f t="shared" si="168"/>
        <v>361.99465188692267</v>
      </c>
      <c r="CM39" s="4784">
        <f t="shared" si="169"/>
        <v>417.7254669373105</v>
      </c>
      <c r="CN39" s="4784">
        <f t="shared" si="170"/>
        <v>479.59178456205296</v>
      </c>
      <c r="CO39" s="4784">
        <f t="shared" si="171"/>
        <v>551.83732737507864</v>
      </c>
      <c r="CP39" s="4784">
        <f t="shared" si="172"/>
        <v>634.84556428728479</v>
      </c>
      <c r="CQ39" s="4784">
        <f t="shared" si="173"/>
        <v>730.15037094225977</v>
      </c>
      <c r="CR39" s="4158"/>
      <c r="CS39" s="4158"/>
      <c r="CT39" s="4158"/>
      <c r="CU39" s="4158"/>
      <c r="CV39" s="4158"/>
      <c r="CW39" s="4158"/>
      <c r="CX39" s="4158"/>
      <c r="CY39" s="4158"/>
      <c r="CZ39" s="4158"/>
      <c r="DA39" s="4158"/>
      <c r="DB39" s="4158"/>
      <c r="DC39" s="4158"/>
      <c r="DD39" s="4158"/>
      <c r="DE39" s="4158"/>
      <c r="DF39" s="4158"/>
      <c r="DG39" s="4158"/>
      <c r="DH39" s="4158"/>
      <c r="DI39" s="4158"/>
      <c r="DJ39" s="4158"/>
      <c r="DK39" s="4158"/>
      <c r="DL39" s="4158"/>
      <c r="DM39" s="4158"/>
      <c r="DN39" s="4158"/>
      <c r="DO39" s="4158"/>
      <c r="DP39" s="4158"/>
      <c r="DQ39" s="4158"/>
    </row>
    <row r="40" spans="1:122" s="649" customFormat="1" ht="24.75" thickBot="1">
      <c r="A40" s="334" t="s">
        <v>169</v>
      </c>
      <c r="B40" s="653" t="s">
        <v>1254</v>
      </c>
      <c r="C40" s="622"/>
      <c r="D40" s="623"/>
      <c r="E40" s="623"/>
      <c r="F40" s="623"/>
      <c r="G40" s="623"/>
      <c r="H40" s="624"/>
      <c r="I40" s="622"/>
      <c r="J40" s="623"/>
      <c r="K40" s="623"/>
      <c r="L40" s="623"/>
      <c r="M40" s="623"/>
      <c r="N40" s="624"/>
      <c r="O40" s="622"/>
      <c r="P40" s="623"/>
      <c r="Q40" s="623"/>
      <c r="R40" s="623"/>
      <c r="S40" s="623"/>
      <c r="T40" s="624"/>
      <c r="U40" s="622"/>
      <c r="V40" s="623"/>
      <c r="W40" s="623"/>
      <c r="X40" s="623"/>
      <c r="Y40" s="623"/>
      <c r="Z40" s="624"/>
      <c r="AA40" s="622"/>
      <c r="AB40" s="623"/>
      <c r="AC40" s="623"/>
      <c r="AD40" s="623"/>
      <c r="AE40" s="623"/>
      <c r="AF40" s="624"/>
      <c r="AG40" s="622"/>
      <c r="AH40" s="623"/>
      <c r="AI40" s="623"/>
      <c r="AJ40" s="623"/>
      <c r="AK40" s="623"/>
      <c r="AL40" s="624"/>
      <c r="AM40" s="1568">
        <f t="shared" si="124"/>
        <v>0</v>
      </c>
      <c r="AN40" s="623"/>
      <c r="AO40" s="623"/>
      <c r="AP40" s="1569">
        <f t="shared" si="125"/>
        <v>0</v>
      </c>
      <c r="AQ40" s="1569">
        <f t="shared" si="126"/>
        <v>0</v>
      </c>
      <c r="AR40" s="1569">
        <f t="shared" si="127"/>
        <v>0</v>
      </c>
      <c r="AS40" s="1569">
        <f t="shared" si="128"/>
        <v>0</v>
      </c>
      <c r="AT40" s="1570">
        <f t="shared" si="129"/>
        <v>0</v>
      </c>
      <c r="AU40" s="1593">
        <f t="shared" si="120"/>
        <v>0</v>
      </c>
      <c r="AV40" s="1593">
        <f t="shared" si="121"/>
        <v>0</v>
      </c>
      <c r="AW40" s="1594">
        <f t="shared" si="122"/>
        <v>0</v>
      </c>
      <c r="AX40" s="4775"/>
      <c r="AY40" s="4778" t="s">
        <v>1877</v>
      </c>
      <c r="AZ40" s="4784">
        <f t="shared" si="130"/>
        <v>0</v>
      </c>
      <c r="BA40" s="4784">
        <f t="shared" si="131"/>
        <v>0</v>
      </c>
      <c r="BB40" s="4784">
        <f t="shared" si="132"/>
        <v>0</v>
      </c>
      <c r="BC40" s="4784">
        <f t="shared" si="133"/>
        <v>0</v>
      </c>
      <c r="BD40" s="4784">
        <f t="shared" si="134"/>
        <v>0</v>
      </c>
      <c r="BE40" s="4784">
        <f t="shared" si="135"/>
        <v>0</v>
      </c>
      <c r="BF40" s="4784">
        <f t="shared" si="136"/>
        <v>0</v>
      </c>
      <c r="BG40" s="4784">
        <f t="shared" si="137"/>
        <v>0</v>
      </c>
      <c r="BH40" s="4784">
        <f t="shared" si="138"/>
        <v>0</v>
      </c>
      <c r="BI40" s="4784">
        <f t="shared" si="139"/>
        <v>0</v>
      </c>
      <c r="BJ40" s="4784">
        <f t="shared" si="140"/>
        <v>0</v>
      </c>
      <c r="BK40" s="4784">
        <f t="shared" si="141"/>
        <v>0</v>
      </c>
      <c r="BL40" s="4784">
        <f t="shared" si="142"/>
        <v>0</v>
      </c>
      <c r="BM40" s="4784">
        <f t="shared" si="143"/>
        <v>0</v>
      </c>
      <c r="BN40" s="4784">
        <f t="shared" si="144"/>
        <v>0</v>
      </c>
      <c r="BO40" s="4784">
        <f t="shared" si="145"/>
        <v>0</v>
      </c>
      <c r="BP40" s="4784">
        <f t="shared" si="146"/>
        <v>0</v>
      </c>
      <c r="BQ40" s="4784">
        <f t="shared" si="147"/>
        <v>0</v>
      </c>
      <c r="BR40" s="4784">
        <f t="shared" si="148"/>
        <v>0</v>
      </c>
      <c r="BS40" s="4784">
        <f t="shared" si="149"/>
        <v>0</v>
      </c>
      <c r="BT40" s="4784">
        <f t="shared" si="150"/>
        <v>0</v>
      </c>
      <c r="BU40" s="4784">
        <f t="shared" si="151"/>
        <v>0</v>
      </c>
      <c r="BV40" s="4784">
        <f t="shared" si="152"/>
        <v>0</v>
      </c>
      <c r="BW40" s="4784">
        <f t="shared" si="153"/>
        <v>0</v>
      </c>
      <c r="BX40" s="4784">
        <f t="shared" si="154"/>
        <v>0</v>
      </c>
      <c r="BY40" s="4784">
        <f t="shared" si="155"/>
        <v>0</v>
      </c>
      <c r="BZ40" s="4784">
        <f t="shared" si="156"/>
        <v>0</v>
      </c>
      <c r="CA40" s="4784">
        <f t="shared" si="157"/>
        <v>0</v>
      </c>
      <c r="CB40" s="4784">
        <f t="shared" si="158"/>
        <v>0</v>
      </c>
      <c r="CC40" s="4784">
        <f t="shared" si="159"/>
        <v>0</v>
      </c>
      <c r="CD40" s="4784">
        <f t="shared" si="160"/>
        <v>0</v>
      </c>
      <c r="CE40" s="4784">
        <f t="shared" si="161"/>
        <v>0</v>
      </c>
      <c r="CF40" s="4784">
        <f t="shared" si="162"/>
        <v>0</v>
      </c>
      <c r="CG40" s="4784">
        <f t="shared" si="163"/>
        <v>0</v>
      </c>
      <c r="CH40" s="4784">
        <f t="shared" si="164"/>
        <v>0</v>
      </c>
      <c r="CI40" s="4784">
        <f t="shared" si="165"/>
        <v>0</v>
      </c>
      <c r="CJ40" s="4784">
        <f t="shared" si="166"/>
        <v>0</v>
      </c>
      <c r="CK40" s="4784">
        <f t="shared" si="167"/>
        <v>0</v>
      </c>
      <c r="CL40" s="4784">
        <f t="shared" si="168"/>
        <v>0</v>
      </c>
      <c r="CM40" s="4784">
        <f t="shared" si="169"/>
        <v>0</v>
      </c>
      <c r="CN40" s="4784">
        <f t="shared" si="170"/>
        <v>0</v>
      </c>
      <c r="CO40" s="4784">
        <f t="shared" si="171"/>
        <v>0</v>
      </c>
      <c r="CP40" s="4784">
        <f t="shared" si="172"/>
        <v>0</v>
      </c>
      <c r="CQ40" s="4784">
        <f t="shared" si="173"/>
        <v>0</v>
      </c>
      <c r="CR40" s="4158"/>
      <c r="CS40" s="4158"/>
      <c r="CT40" s="4158"/>
      <c r="CU40" s="4158"/>
      <c r="CV40" s="4158"/>
      <c r="CW40" s="4158"/>
      <c r="CX40" s="4158"/>
      <c r="CY40" s="4158"/>
      <c r="CZ40" s="4158"/>
      <c r="DA40" s="4158"/>
      <c r="DB40" s="4158"/>
      <c r="DC40" s="4158"/>
      <c r="DD40" s="4158"/>
      <c r="DE40" s="4158"/>
      <c r="DF40" s="4158"/>
      <c r="DG40" s="4158"/>
      <c r="DH40" s="4158"/>
      <c r="DI40" s="4158"/>
      <c r="DJ40" s="4158"/>
      <c r="DK40" s="4158"/>
      <c r="DL40" s="4158"/>
      <c r="DM40" s="4158"/>
      <c r="DN40" s="4158"/>
      <c r="DO40" s="4158"/>
      <c r="DP40" s="4158"/>
      <c r="DQ40" s="4158"/>
    </row>
    <row r="41" spans="1:122" s="171" customFormat="1" ht="13.5" thickBot="1">
      <c r="A41" s="332"/>
      <c r="B41" s="333"/>
      <c r="C41" s="1581"/>
      <c r="D41" s="1582"/>
      <c r="E41" s="1582"/>
      <c r="F41" s="1582"/>
      <c r="G41" s="1582"/>
      <c r="H41" s="1583"/>
      <c r="I41" s="1581"/>
      <c r="J41" s="1582"/>
      <c r="K41" s="1582"/>
      <c r="L41" s="1582"/>
      <c r="M41" s="1582"/>
      <c r="N41" s="1583"/>
      <c r="O41" s="1581"/>
      <c r="P41" s="1582"/>
      <c r="Q41" s="1582"/>
      <c r="R41" s="1582"/>
      <c r="S41" s="1582"/>
      <c r="T41" s="1583"/>
      <c r="U41" s="1581"/>
      <c r="V41" s="1582"/>
      <c r="W41" s="1582"/>
      <c r="X41" s="1582"/>
      <c r="Y41" s="1582"/>
      <c r="Z41" s="1583"/>
      <c r="AA41" s="1581"/>
      <c r="AB41" s="1582"/>
      <c r="AC41" s="1582"/>
      <c r="AD41" s="1582"/>
      <c r="AE41" s="1582"/>
      <c r="AF41" s="1583"/>
      <c r="AG41" s="1581"/>
      <c r="AH41" s="1582"/>
      <c r="AI41" s="1582"/>
      <c r="AJ41" s="1582"/>
      <c r="AK41" s="1582"/>
      <c r="AL41" s="1583"/>
      <c r="AM41" s="1581"/>
      <c r="AN41" s="1582"/>
      <c r="AO41" s="1582"/>
      <c r="AP41" s="1582"/>
      <c r="AQ41" s="1582"/>
      <c r="AR41" s="1582"/>
      <c r="AS41" s="1582"/>
      <c r="AT41" s="1583"/>
      <c r="AU41" s="1584"/>
      <c r="AV41" s="1584"/>
      <c r="AW41" s="1585"/>
      <c r="AX41" s="4775"/>
      <c r="AY41" s="4788"/>
      <c r="AZ41" s="4158"/>
      <c r="BA41" s="4158"/>
      <c r="BB41" s="4158"/>
      <c r="BC41" s="4158"/>
      <c r="BD41" s="4158"/>
      <c r="BE41" s="4158"/>
      <c r="BF41" s="4158"/>
      <c r="BG41" s="4158"/>
      <c r="BH41" s="4158"/>
      <c r="BI41" s="4158"/>
      <c r="BJ41" s="4158"/>
      <c r="BK41" s="4158"/>
      <c r="BL41" s="4158"/>
      <c r="BM41" s="4158"/>
      <c r="BN41" s="4158"/>
      <c r="BO41" s="4158"/>
      <c r="BP41" s="4158"/>
      <c r="BQ41" s="4158"/>
      <c r="BR41" s="4158"/>
      <c r="BS41" s="4158"/>
      <c r="BT41" s="4158"/>
      <c r="BU41" s="4158"/>
      <c r="BV41" s="4158"/>
      <c r="BW41" s="4158"/>
      <c r="BX41" s="4158"/>
      <c r="BY41" s="4158"/>
      <c r="BZ41" s="4158"/>
      <c r="CA41" s="4158"/>
      <c r="CB41" s="4158"/>
      <c r="CC41" s="4158"/>
      <c r="CD41" s="4158"/>
      <c r="CE41" s="4158"/>
      <c r="CF41" s="4158"/>
      <c r="CG41" s="4158"/>
      <c r="CH41" s="4158"/>
      <c r="CI41" s="4158"/>
      <c r="CJ41" s="4158"/>
      <c r="CK41" s="4158"/>
      <c r="CL41" s="4158"/>
      <c r="CM41" s="4158"/>
      <c r="CN41" s="4158"/>
      <c r="CO41" s="4158"/>
      <c r="CP41" s="4158"/>
      <c r="CQ41" s="4158"/>
      <c r="CR41" s="4158"/>
      <c r="CS41" s="4158"/>
      <c r="CT41" s="4158"/>
      <c r="CU41" s="4158"/>
      <c r="CV41" s="4158"/>
      <c r="CW41" s="4158"/>
      <c r="CX41" s="4158"/>
      <c r="CY41" s="4158"/>
      <c r="CZ41" s="4158"/>
      <c r="DA41" s="4158"/>
      <c r="DB41" s="4158"/>
      <c r="DC41" s="4158"/>
      <c r="DD41" s="4158"/>
      <c r="DE41" s="4158"/>
      <c r="DF41" s="4158"/>
      <c r="DG41" s="4158"/>
      <c r="DH41" s="4158"/>
      <c r="DI41" s="4158"/>
      <c r="DJ41" s="4158"/>
      <c r="DK41" s="4158"/>
      <c r="DL41" s="4158"/>
      <c r="DM41" s="4158"/>
      <c r="DN41" s="4158"/>
      <c r="DO41" s="4158"/>
      <c r="DP41" s="4158"/>
      <c r="DQ41" s="4158"/>
    </row>
    <row r="42" spans="1:122" s="172" customFormat="1" ht="13.5" thickBot="1">
      <c r="A42" s="975" t="s">
        <v>99</v>
      </c>
      <c r="B42" s="976" t="s">
        <v>721</v>
      </c>
      <c r="C42" s="2081">
        <v>1462</v>
      </c>
      <c r="D42" s="2082">
        <v>2156</v>
      </c>
      <c r="E42" s="2082">
        <v>2479</v>
      </c>
      <c r="F42" s="2082">
        <v>2851</v>
      </c>
      <c r="G42" s="2082">
        <v>3279</v>
      </c>
      <c r="H42" s="2083">
        <v>3770</v>
      </c>
      <c r="I42" s="2081">
        <v>394</v>
      </c>
      <c r="J42" s="2082">
        <v>590</v>
      </c>
      <c r="K42" s="2082">
        <v>678</v>
      </c>
      <c r="L42" s="2082">
        <v>780</v>
      </c>
      <c r="M42" s="2082">
        <v>897</v>
      </c>
      <c r="N42" s="2083">
        <v>1032</v>
      </c>
      <c r="O42" s="2081">
        <v>322</v>
      </c>
      <c r="P42" s="2082">
        <v>487</v>
      </c>
      <c r="Q42" s="2082">
        <v>560</v>
      </c>
      <c r="R42" s="2082">
        <v>644</v>
      </c>
      <c r="S42" s="2082">
        <v>740</v>
      </c>
      <c r="T42" s="2083">
        <v>851</v>
      </c>
      <c r="U42" s="2081"/>
      <c r="V42" s="2082"/>
      <c r="W42" s="2082"/>
      <c r="X42" s="2082"/>
      <c r="Y42" s="2082"/>
      <c r="Z42" s="2083"/>
      <c r="AA42" s="619"/>
      <c r="AB42" s="620"/>
      <c r="AC42" s="620"/>
      <c r="AD42" s="620"/>
      <c r="AE42" s="620"/>
      <c r="AF42" s="621"/>
      <c r="AG42" s="2081">
        <v>30</v>
      </c>
      <c r="AH42" s="2082">
        <v>41</v>
      </c>
      <c r="AI42" s="2082">
        <v>47</v>
      </c>
      <c r="AJ42" s="2082">
        <v>54</v>
      </c>
      <c r="AK42" s="2082">
        <v>62</v>
      </c>
      <c r="AL42" s="2083">
        <v>72</v>
      </c>
      <c r="AM42" s="995">
        <f t="shared" si="124"/>
        <v>2178</v>
      </c>
      <c r="AN42" s="620">
        <v>2444</v>
      </c>
      <c r="AO42" s="620">
        <v>2811</v>
      </c>
      <c r="AP42" s="996">
        <f t="shared" si="125"/>
        <v>3233</v>
      </c>
      <c r="AQ42" s="996">
        <f t="shared" si="126"/>
        <v>3717</v>
      </c>
      <c r="AR42" s="996">
        <f t="shared" si="127"/>
        <v>4275</v>
      </c>
      <c r="AS42" s="996">
        <f t="shared" si="128"/>
        <v>4916</v>
      </c>
      <c r="AT42" s="997">
        <f t="shared" si="129"/>
        <v>5653</v>
      </c>
      <c r="AU42" s="1591">
        <f t="shared" ref="AU42:AU44" si="174">IFERROR((AP42-AM42)/AM42,0)</f>
        <v>0.48438934802571165</v>
      </c>
      <c r="AV42" s="1591">
        <f t="shared" ref="AV42:AV44" si="175">IFERROR(((D42+V42+AB42)-(+C42+U42+AA42))/(C42+U42+AA42),0)</f>
        <v>0.47469220246238031</v>
      </c>
      <c r="AW42" s="1592">
        <f t="shared" ref="AW42:AW44" si="176">IFERROR(((J42+P42)-(I42+O42))/(I42+O42),0)</f>
        <v>0.50418994413407825</v>
      </c>
      <c r="AX42" s="4775"/>
      <c r="AY42" s="4778" t="s">
        <v>1877</v>
      </c>
      <c r="AZ42" s="4784">
        <f t="shared" ref="AZ42:AZ44" si="177">IFERROR(C42/$C$1,0)</f>
        <v>747.50873030887146</v>
      </c>
      <c r="BA42" s="4784">
        <f t="shared" ref="BA42:BA44" si="178">IFERROR(D42/$C$1,0)</f>
        <v>1102.3452958590472</v>
      </c>
      <c r="BB42" s="4784">
        <f t="shared" ref="BB42:BB44" si="179">IFERROR(E42/$C$1,0)</f>
        <v>1267.4925734854257</v>
      </c>
      <c r="BC42" s="4784">
        <f t="shared" ref="BC42:BC44" si="180">IFERROR(F42/$C$1,0)</f>
        <v>1457.6931532904189</v>
      </c>
      <c r="BD42" s="4784">
        <f t="shared" ref="BD42:BD44" si="181">IFERROR(G42/$C$1,0)</f>
        <v>1676.5260784424004</v>
      </c>
      <c r="BE42" s="4784">
        <f t="shared" ref="BE42:BE44" si="182">IFERROR(H42/$C$1,0)</f>
        <v>1927.5703921097438</v>
      </c>
      <c r="BF42" s="4784">
        <f t="shared" ref="BF42:BF44" si="183">IFERROR(I42/$C$1,0)</f>
        <v>201.44900119131009</v>
      </c>
      <c r="BG42" s="4784">
        <f t="shared" ref="BG42:BG44" si="184">IFERROR(J42/$C$1,0)</f>
        <v>301.66220990576892</v>
      </c>
      <c r="BH42" s="4784">
        <f t="shared" ref="BH42:BH44" si="185">IFERROR(K42/$C$1,0)</f>
        <v>346.65589545103614</v>
      </c>
      <c r="BI42" s="4784">
        <f t="shared" ref="BI42:BI44" si="186">IFERROR(L42/$C$1,0)</f>
        <v>398.8076673330504</v>
      </c>
      <c r="BJ42" s="4784">
        <f t="shared" ref="BJ42:BJ44" si="187">IFERROR(M42/$C$1,0)</f>
        <v>458.62881743300801</v>
      </c>
      <c r="BK42" s="4784">
        <f t="shared" ref="BK42:BK44" si="188">IFERROR(N42/$C$1,0)</f>
        <v>527.65322139449745</v>
      </c>
      <c r="BL42" s="4784">
        <f t="shared" ref="BL42:BL44" si="189">IFERROR(O42/$C$1,0)</f>
        <v>164.63598574518235</v>
      </c>
      <c r="BM42" s="4784">
        <f t="shared" ref="BM42:BM44" si="190">IFERROR(P42/$C$1,0)</f>
        <v>248.9991461425584</v>
      </c>
      <c r="BN42" s="4784">
        <f t="shared" ref="BN42:BN44" si="191">IFERROR(Q42/$C$1,0)</f>
        <v>286.32345346988234</v>
      </c>
      <c r="BO42" s="4784">
        <f t="shared" ref="BO42:BO44" si="192">IFERROR(R42/$C$1,0)</f>
        <v>329.27197149036471</v>
      </c>
      <c r="BP42" s="4784">
        <f t="shared" ref="BP42:BP44" si="193">IFERROR(S42/$C$1,0)</f>
        <v>378.35599208520171</v>
      </c>
      <c r="BQ42" s="4784">
        <f t="shared" ref="BQ42:BQ44" si="194">IFERROR(T42/$C$1,0)</f>
        <v>435.10939089798194</v>
      </c>
      <c r="BR42" s="4784">
        <f t="shared" ref="BR42:BR44" si="195">IFERROR(U42/$C$1,0)</f>
        <v>0</v>
      </c>
      <c r="BS42" s="4784">
        <f t="shared" ref="BS42:BS44" si="196">IFERROR(V42/$C$1,0)</f>
        <v>0</v>
      </c>
      <c r="BT42" s="4784">
        <f t="shared" ref="BT42:BT44" si="197">IFERROR(W42/$C$1,0)</f>
        <v>0</v>
      </c>
      <c r="BU42" s="4784">
        <f t="shared" ref="BU42:BU44" si="198">IFERROR(X42/$C$1,0)</f>
        <v>0</v>
      </c>
      <c r="BV42" s="4784">
        <f t="shared" ref="BV42:BV44" si="199">IFERROR(Y42/$C$1,0)</f>
        <v>0</v>
      </c>
      <c r="BW42" s="4784">
        <f t="shared" ref="BW42:BW44" si="200">IFERROR(Z42/$C$1,0)</f>
        <v>0</v>
      </c>
      <c r="BX42" s="4784">
        <f t="shared" ref="BX42:BX44" si="201">IFERROR(AA42/$C$1,0)</f>
        <v>0</v>
      </c>
      <c r="BY42" s="4784">
        <f t="shared" ref="BY42:BY44" si="202">IFERROR(AB42/$C$1,0)</f>
        <v>0</v>
      </c>
      <c r="BZ42" s="4784">
        <f t="shared" ref="BZ42:BZ44" si="203">IFERROR(AC42/$C$1,0)</f>
        <v>0</v>
      </c>
      <c r="CA42" s="4784">
        <f t="shared" ref="CA42:CA44" si="204">IFERROR(AD42/$C$1,0)</f>
        <v>0</v>
      </c>
      <c r="CB42" s="4784">
        <f t="shared" ref="CB42:CB44" si="205">IFERROR(AE42/$C$1,0)</f>
        <v>0</v>
      </c>
      <c r="CC42" s="4784">
        <f t="shared" ref="CC42:CC44" si="206">IFERROR(AF42/$C$1,0)</f>
        <v>0</v>
      </c>
      <c r="CD42" s="4784">
        <f t="shared" ref="CD42:CD44" si="207">IFERROR(AG42/$C$1,0)</f>
        <v>15.338756435886555</v>
      </c>
      <c r="CE42" s="4784">
        <f t="shared" ref="CE42:CE44" si="208">IFERROR(AH42/$C$1,0)</f>
        <v>20.962967129044959</v>
      </c>
      <c r="CF42" s="4784">
        <f t="shared" ref="CF42:CF44" si="209">IFERROR(AI42/$C$1,0)</f>
        <v>24.030718416222268</v>
      </c>
      <c r="CG42" s="4784">
        <f t="shared" ref="CG42:CG44" si="210">IFERROR(AJ42/$C$1,0)</f>
        <v>27.609761584595798</v>
      </c>
      <c r="CH42" s="4784">
        <f t="shared" ref="CH42:CH44" si="211">IFERROR(AK42/$C$1,0)</f>
        <v>31.700096634165547</v>
      </c>
      <c r="CI42" s="4784">
        <f t="shared" ref="CI42:CI44" si="212">IFERROR(AL42/$C$1,0)</f>
        <v>36.813015446127729</v>
      </c>
      <c r="CJ42" s="4784">
        <f t="shared" ref="CJ42:CJ44" si="213">IFERROR(AM42/$C$1,0)</f>
        <v>1113.5937172453639</v>
      </c>
      <c r="CK42" s="4784">
        <f t="shared" ref="CK42:CK44" si="214">IFERROR(AN42/$C$1,0)</f>
        <v>1249.5973576435581</v>
      </c>
      <c r="CL42" s="4784">
        <f t="shared" ref="CL42:CL44" si="215">IFERROR(AO42/$C$1,0)</f>
        <v>1437.2414780425702</v>
      </c>
      <c r="CM42" s="4784">
        <f t="shared" ref="CM42:CM44" si="216">IFERROR(AP42/$C$1,0)</f>
        <v>1653.0066519073744</v>
      </c>
      <c r="CN42" s="4784">
        <f t="shared" ref="CN42:CN44" si="217">IFERROR(AQ42/$C$1,0)</f>
        <v>1900.4719224063442</v>
      </c>
      <c r="CO42" s="4784">
        <f t="shared" ref="CO42:CO44" si="218">IFERROR(AR42/$C$1,0)</f>
        <v>2185.7727921138339</v>
      </c>
      <c r="CP42" s="4784">
        <f t="shared" ref="CP42:CP44" si="219">IFERROR(AS42/$C$1,0)</f>
        <v>2513.51088796061</v>
      </c>
      <c r="CQ42" s="4784">
        <f t="shared" ref="CQ42:CQ44" si="220">IFERROR(AT42/$C$1,0)</f>
        <v>2890.3330044022232</v>
      </c>
      <c r="CR42" s="4789"/>
      <c r="CS42" s="4789"/>
      <c r="CT42" s="4789"/>
      <c r="CU42" s="4789"/>
      <c r="CV42" s="4789"/>
      <c r="CW42" s="4789"/>
      <c r="CX42" s="4789"/>
      <c r="CY42" s="4789"/>
      <c r="CZ42" s="4789"/>
      <c r="DA42" s="4789"/>
      <c r="DB42" s="4789"/>
      <c r="DC42" s="4789"/>
      <c r="DD42" s="4789"/>
      <c r="DE42" s="4789"/>
      <c r="DF42" s="4789"/>
      <c r="DG42" s="4789"/>
      <c r="DH42" s="4789"/>
      <c r="DI42" s="4789"/>
      <c r="DJ42" s="4789"/>
      <c r="DK42" s="4789"/>
      <c r="DL42" s="4789"/>
      <c r="DM42" s="4789"/>
      <c r="DN42" s="4789"/>
      <c r="DO42" s="4789"/>
      <c r="DP42" s="4789"/>
      <c r="DQ42" s="4789"/>
      <c r="DR42" s="4789"/>
    </row>
    <row r="43" spans="1:122" s="733" customFormat="1" ht="24.75" thickBot="1">
      <c r="A43" s="734" t="s">
        <v>263</v>
      </c>
      <c r="B43" s="652" t="s">
        <v>1255</v>
      </c>
      <c r="C43" s="1563">
        <f>'8. Ремонтна програма'!J35</f>
        <v>77</v>
      </c>
      <c r="D43" s="1564">
        <f>'8. Ремонтна програма'!K35</f>
        <v>0</v>
      </c>
      <c r="E43" s="1564">
        <f>'8. Ремонтна програма'!L35</f>
        <v>0</v>
      </c>
      <c r="F43" s="1564">
        <f>'8. Ремонтна програма'!M35</f>
        <v>0</v>
      </c>
      <c r="G43" s="1564">
        <f>'8. Ремонтна програма'!N35</f>
        <v>0</v>
      </c>
      <c r="H43" s="1562">
        <f>'8. Ремонтна програма'!O35</f>
        <v>0</v>
      </c>
      <c r="I43" s="1563">
        <f>'8. Ремонтна програма'!J64</f>
        <v>10</v>
      </c>
      <c r="J43" s="1564">
        <f>'8. Ремонтна програма'!K64</f>
        <v>11.5</v>
      </c>
      <c r="K43" s="1564">
        <f>'8. Ремонтна програма'!L64</f>
        <v>13.2</v>
      </c>
      <c r="L43" s="1564">
        <f>'8. Ремонтна програма'!M64</f>
        <v>15.2</v>
      </c>
      <c r="M43" s="1564">
        <f>'8. Ремонтна програма'!N64</f>
        <v>17.5</v>
      </c>
      <c r="N43" s="1562">
        <f>'8. Ремонтна програма'!O64</f>
        <v>20.100000000000001</v>
      </c>
      <c r="O43" s="1563">
        <f>'8. Ремонтна програма'!J90</f>
        <v>1</v>
      </c>
      <c r="P43" s="1564">
        <f>'8. Ремонтна програма'!K90</f>
        <v>1</v>
      </c>
      <c r="Q43" s="1564">
        <f>'8. Ремонтна програма'!L90</f>
        <v>1</v>
      </c>
      <c r="R43" s="1564">
        <f>'8. Ремонтна програма'!M90</f>
        <v>1</v>
      </c>
      <c r="S43" s="1564">
        <f>'8. Ремонтна програма'!N90</f>
        <v>1</v>
      </c>
      <c r="T43" s="1562">
        <f>'8. Ремонтна програма'!O90</f>
        <v>1</v>
      </c>
      <c r="U43" s="1563">
        <f>'8. Ремонтна програма'!J121</f>
        <v>0</v>
      </c>
      <c r="V43" s="1564">
        <f>'8. Ремонтна програма'!K121</f>
        <v>0</v>
      </c>
      <c r="W43" s="1564">
        <f>'8. Ремонтна програма'!L121</f>
        <v>0</v>
      </c>
      <c r="X43" s="1564">
        <f>'8. Ремонтна програма'!M121</f>
        <v>0</v>
      </c>
      <c r="Y43" s="1564">
        <f>'8. Ремонтна програма'!N121</f>
        <v>0</v>
      </c>
      <c r="Z43" s="1562">
        <f>'8. Ремонтна програма'!O121</f>
        <v>0</v>
      </c>
      <c r="AA43" s="1563">
        <f>'8. Ремонтна програма'!J152</f>
        <v>0</v>
      </c>
      <c r="AB43" s="1564">
        <f>'8. Ремонтна програма'!K152</f>
        <v>0</v>
      </c>
      <c r="AC43" s="1564">
        <f>'8. Ремонтна програма'!L152</f>
        <v>0</v>
      </c>
      <c r="AD43" s="1564">
        <f>'8. Ремонтна програма'!M152</f>
        <v>0</v>
      </c>
      <c r="AE43" s="1564">
        <f>'8. Ремонтна програма'!N152</f>
        <v>0</v>
      </c>
      <c r="AF43" s="1562">
        <f>'8. Ремонтна програма'!O152</f>
        <v>0</v>
      </c>
      <c r="AG43" s="619"/>
      <c r="AH43" s="620"/>
      <c r="AI43" s="620"/>
      <c r="AJ43" s="620"/>
      <c r="AK43" s="620"/>
      <c r="AL43" s="621"/>
      <c r="AM43" s="991">
        <f t="shared" si="124"/>
        <v>88</v>
      </c>
      <c r="AN43" s="620"/>
      <c r="AO43" s="620"/>
      <c r="AP43" s="992">
        <f t="shared" si="125"/>
        <v>12.5</v>
      </c>
      <c r="AQ43" s="992">
        <f t="shared" si="126"/>
        <v>14.2</v>
      </c>
      <c r="AR43" s="992">
        <f t="shared" si="127"/>
        <v>16.2</v>
      </c>
      <c r="AS43" s="992">
        <f t="shared" si="128"/>
        <v>18.5</v>
      </c>
      <c r="AT43" s="993">
        <f t="shared" si="129"/>
        <v>21.1</v>
      </c>
      <c r="AU43" s="1591">
        <f t="shared" si="174"/>
        <v>-0.85795454545454541</v>
      </c>
      <c r="AV43" s="1595">
        <f t="shared" si="175"/>
        <v>-1</v>
      </c>
      <c r="AW43" s="1596">
        <f t="shared" si="176"/>
        <v>0.13636363636363635</v>
      </c>
      <c r="AX43" s="4775"/>
      <c r="AY43" s="4778" t="s">
        <v>1877</v>
      </c>
      <c r="AZ43" s="4784">
        <f t="shared" si="177"/>
        <v>39.369474852108823</v>
      </c>
      <c r="BA43" s="4784">
        <f t="shared" si="178"/>
        <v>0</v>
      </c>
      <c r="BB43" s="4784">
        <f t="shared" si="179"/>
        <v>0</v>
      </c>
      <c r="BC43" s="4784">
        <f t="shared" si="180"/>
        <v>0</v>
      </c>
      <c r="BD43" s="4784">
        <f t="shared" si="181"/>
        <v>0</v>
      </c>
      <c r="BE43" s="4784">
        <f t="shared" si="182"/>
        <v>0</v>
      </c>
      <c r="BF43" s="4784">
        <f t="shared" si="183"/>
        <v>5.1129188119621851</v>
      </c>
      <c r="BG43" s="4784">
        <f t="shared" si="184"/>
        <v>5.8798566337565124</v>
      </c>
      <c r="BH43" s="4784">
        <f t="shared" si="185"/>
        <v>6.7490528317900838</v>
      </c>
      <c r="BI43" s="4784">
        <f t="shared" si="186"/>
        <v>7.771636594182521</v>
      </c>
      <c r="BJ43" s="4784">
        <f t="shared" si="187"/>
        <v>8.9476079209338231</v>
      </c>
      <c r="BK43" s="4784">
        <f t="shared" si="188"/>
        <v>10.276966812043993</v>
      </c>
      <c r="BL43" s="4784">
        <f t="shared" si="189"/>
        <v>0.51129188119621849</v>
      </c>
      <c r="BM43" s="4784">
        <f t="shared" si="190"/>
        <v>0.51129188119621849</v>
      </c>
      <c r="BN43" s="4784">
        <f t="shared" si="191"/>
        <v>0.51129188119621849</v>
      </c>
      <c r="BO43" s="4784">
        <f t="shared" si="192"/>
        <v>0.51129188119621849</v>
      </c>
      <c r="BP43" s="4784">
        <f t="shared" si="193"/>
        <v>0.51129188119621849</v>
      </c>
      <c r="BQ43" s="4784">
        <f t="shared" si="194"/>
        <v>0.51129188119621849</v>
      </c>
      <c r="BR43" s="4784">
        <f t="shared" si="195"/>
        <v>0</v>
      </c>
      <c r="BS43" s="4784">
        <f t="shared" si="196"/>
        <v>0</v>
      </c>
      <c r="BT43" s="4784">
        <f t="shared" si="197"/>
        <v>0</v>
      </c>
      <c r="BU43" s="4784">
        <f t="shared" si="198"/>
        <v>0</v>
      </c>
      <c r="BV43" s="4784">
        <f t="shared" si="199"/>
        <v>0</v>
      </c>
      <c r="BW43" s="4784">
        <f t="shared" si="200"/>
        <v>0</v>
      </c>
      <c r="BX43" s="4784">
        <f t="shared" si="201"/>
        <v>0</v>
      </c>
      <c r="BY43" s="4784">
        <f t="shared" si="202"/>
        <v>0</v>
      </c>
      <c r="BZ43" s="4784">
        <f t="shared" si="203"/>
        <v>0</v>
      </c>
      <c r="CA43" s="4784">
        <f t="shared" si="204"/>
        <v>0</v>
      </c>
      <c r="CB43" s="4784">
        <f t="shared" si="205"/>
        <v>0</v>
      </c>
      <c r="CC43" s="4784">
        <f t="shared" si="206"/>
        <v>0</v>
      </c>
      <c r="CD43" s="4784">
        <f t="shared" si="207"/>
        <v>0</v>
      </c>
      <c r="CE43" s="4784">
        <f t="shared" si="208"/>
        <v>0</v>
      </c>
      <c r="CF43" s="4784">
        <f t="shared" si="209"/>
        <v>0</v>
      </c>
      <c r="CG43" s="4784">
        <f t="shared" si="210"/>
        <v>0</v>
      </c>
      <c r="CH43" s="4784">
        <f t="shared" si="211"/>
        <v>0</v>
      </c>
      <c r="CI43" s="4784">
        <f t="shared" si="212"/>
        <v>0</v>
      </c>
      <c r="CJ43" s="4784">
        <f t="shared" si="213"/>
        <v>44.993685545267226</v>
      </c>
      <c r="CK43" s="4784">
        <f t="shared" si="214"/>
        <v>0</v>
      </c>
      <c r="CL43" s="4784">
        <f t="shared" si="215"/>
        <v>0</v>
      </c>
      <c r="CM43" s="4784">
        <f t="shared" si="216"/>
        <v>6.3911485149527314</v>
      </c>
      <c r="CN43" s="4784">
        <f t="shared" si="217"/>
        <v>7.2603447129863019</v>
      </c>
      <c r="CO43" s="4784">
        <f t="shared" si="218"/>
        <v>8.2829284753787391</v>
      </c>
      <c r="CP43" s="4784">
        <f t="shared" si="219"/>
        <v>9.458899802130043</v>
      </c>
      <c r="CQ43" s="4784">
        <f t="shared" si="220"/>
        <v>10.788258693240211</v>
      </c>
      <c r="CR43" s="4789"/>
      <c r="CS43" s="4789"/>
      <c r="CT43" s="4789"/>
      <c r="CU43" s="4789"/>
      <c r="CV43" s="4789"/>
      <c r="CW43" s="4789"/>
      <c r="CX43" s="4789"/>
      <c r="CY43" s="4789"/>
      <c r="CZ43" s="4789"/>
      <c r="DA43" s="4789"/>
      <c r="DB43" s="4789"/>
      <c r="DC43" s="4789"/>
      <c r="DD43" s="4789"/>
      <c r="DE43" s="4789"/>
      <c r="DF43" s="4789"/>
      <c r="DG43" s="4789"/>
      <c r="DH43" s="4789"/>
      <c r="DI43" s="4789"/>
      <c r="DJ43" s="4789"/>
      <c r="DK43" s="4789"/>
      <c r="DL43" s="4789"/>
      <c r="DM43" s="4789"/>
      <c r="DN43" s="4789"/>
      <c r="DO43" s="4789"/>
      <c r="DP43" s="4789"/>
      <c r="DQ43" s="4789"/>
      <c r="DR43" s="4789"/>
    </row>
    <row r="44" spans="1:122" s="649" customFormat="1" ht="24.75" thickBot="1">
      <c r="A44" s="334" t="s">
        <v>264</v>
      </c>
      <c r="B44" s="653" t="s">
        <v>1256</v>
      </c>
      <c r="C44" s="622"/>
      <c r="D44" s="623"/>
      <c r="E44" s="623"/>
      <c r="F44" s="623"/>
      <c r="G44" s="623"/>
      <c r="H44" s="624"/>
      <c r="I44" s="622"/>
      <c r="J44" s="623"/>
      <c r="K44" s="623"/>
      <c r="L44" s="623"/>
      <c r="M44" s="623"/>
      <c r="N44" s="624"/>
      <c r="O44" s="622"/>
      <c r="P44" s="623"/>
      <c r="Q44" s="623"/>
      <c r="R44" s="623"/>
      <c r="S44" s="623"/>
      <c r="T44" s="624"/>
      <c r="U44" s="622"/>
      <c r="V44" s="623"/>
      <c r="W44" s="623"/>
      <c r="X44" s="623"/>
      <c r="Y44" s="623"/>
      <c r="Z44" s="624"/>
      <c r="AA44" s="622"/>
      <c r="AB44" s="623"/>
      <c r="AC44" s="623"/>
      <c r="AD44" s="623"/>
      <c r="AE44" s="623"/>
      <c r="AF44" s="624"/>
      <c r="AG44" s="622"/>
      <c r="AH44" s="623"/>
      <c r="AI44" s="623"/>
      <c r="AJ44" s="623"/>
      <c r="AK44" s="623"/>
      <c r="AL44" s="624"/>
      <c r="AM44" s="1568">
        <f t="shared" si="124"/>
        <v>0</v>
      </c>
      <c r="AN44" s="620"/>
      <c r="AO44" s="620"/>
      <c r="AP44" s="1569">
        <f t="shared" si="125"/>
        <v>0</v>
      </c>
      <c r="AQ44" s="1569">
        <f t="shared" si="126"/>
        <v>0</v>
      </c>
      <c r="AR44" s="1569">
        <f t="shared" si="127"/>
        <v>0</v>
      </c>
      <c r="AS44" s="1569">
        <f t="shared" si="128"/>
        <v>0</v>
      </c>
      <c r="AT44" s="1570">
        <f t="shared" si="129"/>
        <v>0</v>
      </c>
      <c r="AU44" s="1593">
        <f t="shared" si="174"/>
        <v>0</v>
      </c>
      <c r="AV44" s="1593">
        <f t="shared" si="175"/>
        <v>0</v>
      </c>
      <c r="AW44" s="1594">
        <f t="shared" si="176"/>
        <v>0</v>
      </c>
      <c r="AX44" s="4775"/>
      <c r="AY44" s="4778" t="s">
        <v>1877</v>
      </c>
      <c r="AZ44" s="4784">
        <f t="shared" si="177"/>
        <v>0</v>
      </c>
      <c r="BA44" s="4784">
        <f t="shared" si="178"/>
        <v>0</v>
      </c>
      <c r="BB44" s="4784">
        <f t="shared" si="179"/>
        <v>0</v>
      </c>
      <c r="BC44" s="4784">
        <f t="shared" si="180"/>
        <v>0</v>
      </c>
      <c r="BD44" s="4784">
        <f t="shared" si="181"/>
        <v>0</v>
      </c>
      <c r="BE44" s="4784">
        <f t="shared" si="182"/>
        <v>0</v>
      </c>
      <c r="BF44" s="4784">
        <f t="shared" si="183"/>
        <v>0</v>
      </c>
      <c r="BG44" s="4784">
        <f t="shared" si="184"/>
        <v>0</v>
      </c>
      <c r="BH44" s="4784">
        <f t="shared" si="185"/>
        <v>0</v>
      </c>
      <c r="BI44" s="4784">
        <f t="shared" si="186"/>
        <v>0</v>
      </c>
      <c r="BJ44" s="4784">
        <f t="shared" si="187"/>
        <v>0</v>
      </c>
      <c r="BK44" s="4784">
        <f t="shared" si="188"/>
        <v>0</v>
      </c>
      <c r="BL44" s="4784">
        <f t="shared" si="189"/>
        <v>0</v>
      </c>
      <c r="BM44" s="4784">
        <f t="shared" si="190"/>
        <v>0</v>
      </c>
      <c r="BN44" s="4784">
        <f t="shared" si="191"/>
        <v>0</v>
      </c>
      <c r="BO44" s="4784">
        <f t="shared" si="192"/>
        <v>0</v>
      </c>
      <c r="BP44" s="4784">
        <f t="shared" si="193"/>
        <v>0</v>
      </c>
      <c r="BQ44" s="4784">
        <f t="shared" si="194"/>
        <v>0</v>
      </c>
      <c r="BR44" s="4784">
        <f t="shared" si="195"/>
        <v>0</v>
      </c>
      <c r="BS44" s="4784">
        <f t="shared" si="196"/>
        <v>0</v>
      </c>
      <c r="BT44" s="4784">
        <f t="shared" si="197"/>
        <v>0</v>
      </c>
      <c r="BU44" s="4784">
        <f t="shared" si="198"/>
        <v>0</v>
      </c>
      <c r="BV44" s="4784">
        <f t="shared" si="199"/>
        <v>0</v>
      </c>
      <c r="BW44" s="4784">
        <f t="shared" si="200"/>
        <v>0</v>
      </c>
      <c r="BX44" s="4784">
        <f t="shared" si="201"/>
        <v>0</v>
      </c>
      <c r="BY44" s="4784">
        <f t="shared" si="202"/>
        <v>0</v>
      </c>
      <c r="BZ44" s="4784">
        <f t="shared" si="203"/>
        <v>0</v>
      </c>
      <c r="CA44" s="4784">
        <f t="shared" si="204"/>
        <v>0</v>
      </c>
      <c r="CB44" s="4784">
        <f t="shared" si="205"/>
        <v>0</v>
      </c>
      <c r="CC44" s="4784">
        <f t="shared" si="206"/>
        <v>0</v>
      </c>
      <c r="CD44" s="4784">
        <f t="shared" si="207"/>
        <v>0</v>
      </c>
      <c r="CE44" s="4784">
        <f t="shared" si="208"/>
        <v>0</v>
      </c>
      <c r="CF44" s="4784">
        <f t="shared" si="209"/>
        <v>0</v>
      </c>
      <c r="CG44" s="4784">
        <f t="shared" si="210"/>
        <v>0</v>
      </c>
      <c r="CH44" s="4784">
        <f t="shared" si="211"/>
        <v>0</v>
      </c>
      <c r="CI44" s="4784">
        <f t="shared" si="212"/>
        <v>0</v>
      </c>
      <c r="CJ44" s="4784">
        <f t="shared" si="213"/>
        <v>0</v>
      </c>
      <c r="CK44" s="4784">
        <f t="shared" si="214"/>
        <v>0</v>
      </c>
      <c r="CL44" s="4784">
        <f t="shared" si="215"/>
        <v>0</v>
      </c>
      <c r="CM44" s="4784">
        <f t="shared" si="216"/>
        <v>0</v>
      </c>
      <c r="CN44" s="4784">
        <f t="shared" si="217"/>
        <v>0</v>
      </c>
      <c r="CO44" s="4784">
        <f t="shared" si="218"/>
        <v>0</v>
      </c>
      <c r="CP44" s="4784">
        <f t="shared" si="219"/>
        <v>0</v>
      </c>
      <c r="CQ44" s="4784">
        <f t="shared" si="220"/>
        <v>0</v>
      </c>
      <c r="CR44" s="4789"/>
      <c r="CS44" s="4789"/>
      <c r="CT44" s="4789"/>
      <c r="CU44" s="4789"/>
      <c r="CV44" s="4789"/>
      <c r="CW44" s="4789"/>
      <c r="CX44" s="4789"/>
      <c r="CY44" s="4789"/>
      <c r="CZ44" s="4789"/>
      <c r="DA44" s="4789"/>
      <c r="DB44" s="4789"/>
      <c r="DC44" s="4789"/>
      <c r="DD44" s="4789"/>
      <c r="DE44" s="4789"/>
      <c r="DF44" s="4789"/>
      <c r="DG44" s="4789"/>
      <c r="DH44" s="4789"/>
      <c r="DI44" s="4789"/>
      <c r="DJ44" s="4789"/>
      <c r="DK44" s="4789"/>
      <c r="DL44" s="4789"/>
      <c r="DM44" s="4789"/>
      <c r="DN44" s="4789"/>
      <c r="DO44" s="4789"/>
      <c r="DP44" s="4789"/>
      <c r="DQ44" s="4789"/>
      <c r="DR44" s="4789"/>
    </row>
    <row r="45" spans="1:122" s="171" customFormat="1" ht="13.5" thickBot="1">
      <c r="A45" s="332"/>
      <c r="B45" s="333"/>
      <c r="C45" s="1581"/>
      <c r="D45" s="1582"/>
      <c r="E45" s="1582"/>
      <c r="F45" s="1582"/>
      <c r="G45" s="1582"/>
      <c r="H45" s="1583"/>
      <c r="I45" s="1581"/>
      <c r="J45" s="1582"/>
      <c r="K45" s="1582"/>
      <c r="L45" s="1582"/>
      <c r="M45" s="1582"/>
      <c r="N45" s="1583"/>
      <c r="O45" s="1581"/>
      <c r="P45" s="1582"/>
      <c r="Q45" s="1582"/>
      <c r="R45" s="1582"/>
      <c r="S45" s="1582"/>
      <c r="T45" s="1583"/>
      <c r="U45" s="1581"/>
      <c r="V45" s="1582"/>
      <c r="W45" s="1582"/>
      <c r="X45" s="1582"/>
      <c r="Y45" s="1582"/>
      <c r="Z45" s="1583"/>
      <c r="AA45" s="1581"/>
      <c r="AB45" s="1582"/>
      <c r="AC45" s="1582"/>
      <c r="AD45" s="1582"/>
      <c r="AE45" s="1582"/>
      <c r="AF45" s="1583"/>
      <c r="AG45" s="1581"/>
      <c r="AH45" s="1582"/>
      <c r="AI45" s="1582"/>
      <c r="AJ45" s="1582"/>
      <c r="AK45" s="1582"/>
      <c r="AL45" s="1583"/>
      <c r="AM45" s="1581"/>
      <c r="AN45" s="1582"/>
      <c r="AO45" s="1582"/>
      <c r="AP45" s="1582"/>
      <c r="AQ45" s="1582"/>
      <c r="AR45" s="1582"/>
      <c r="AS45" s="1582"/>
      <c r="AT45" s="1583"/>
      <c r="AU45" s="1584"/>
      <c r="AV45" s="1584"/>
      <c r="AW45" s="1585"/>
      <c r="AX45" s="4775"/>
      <c r="AY45" s="4788"/>
      <c r="AZ45" s="4158"/>
      <c r="BA45" s="4158"/>
      <c r="BB45" s="4158"/>
      <c r="BC45" s="4158"/>
      <c r="BD45" s="4158"/>
      <c r="BE45" s="4158"/>
      <c r="BF45" s="4158"/>
      <c r="BG45" s="4158"/>
      <c r="BH45" s="4158"/>
      <c r="BI45" s="4158"/>
      <c r="BJ45" s="4158"/>
      <c r="BK45" s="4158"/>
      <c r="BL45" s="4158"/>
      <c r="BM45" s="4158"/>
      <c r="BN45" s="4158"/>
      <c r="BO45" s="4158"/>
      <c r="BP45" s="4158"/>
      <c r="BQ45" s="4158"/>
      <c r="BR45" s="4158"/>
      <c r="BS45" s="4158"/>
      <c r="BT45" s="4158"/>
      <c r="BU45" s="4158"/>
      <c r="BV45" s="4158"/>
      <c r="BW45" s="4158"/>
      <c r="BX45" s="4158"/>
      <c r="BY45" s="4158"/>
      <c r="BZ45" s="4790"/>
      <c r="CA45" s="4790"/>
      <c r="CB45" s="4790"/>
      <c r="CC45" s="4790"/>
      <c r="CD45" s="4790"/>
      <c r="CE45" s="4790"/>
      <c r="CF45" s="4790"/>
      <c r="CG45" s="4790"/>
      <c r="CH45" s="4790"/>
      <c r="CI45" s="4790"/>
      <c r="CJ45" s="4790"/>
      <c r="CK45" s="4790"/>
      <c r="CL45" s="4790"/>
      <c r="CM45" s="4790"/>
      <c r="CN45" s="4790"/>
      <c r="CO45" s="4790"/>
      <c r="CP45" s="4790"/>
      <c r="CQ45" s="4790"/>
      <c r="CR45" s="4790"/>
      <c r="CS45" s="4790"/>
      <c r="CT45" s="4790"/>
      <c r="CU45" s="4790"/>
      <c r="CV45" s="4790"/>
      <c r="CW45" s="4790"/>
      <c r="CX45" s="4790"/>
      <c r="CY45" s="4790"/>
      <c r="CZ45" s="4790"/>
      <c r="DA45" s="4790"/>
      <c r="DB45" s="4790"/>
      <c r="DC45" s="4790"/>
      <c r="DD45" s="4790"/>
      <c r="DE45" s="4790"/>
      <c r="DF45" s="4790"/>
      <c r="DG45" s="4790"/>
      <c r="DH45" s="4790"/>
      <c r="DI45" s="4790"/>
      <c r="DJ45" s="4790"/>
      <c r="DK45" s="4790"/>
      <c r="DL45" s="4790"/>
      <c r="DM45" s="4790"/>
      <c r="DN45" s="4790"/>
      <c r="DO45" s="4790"/>
      <c r="DP45" s="4790"/>
      <c r="DQ45" s="4790"/>
      <c r="DR45" s="4791"/>
    </row>
    <row r="46" spans="1:122" s="649" customFormat="1" ht="13.5" thickBot="1">
      <c r="A46" s="975">
        <v>4</v>
      </c>
      <c r="B46" s="976" t="s">
        <v>1258</v>
      </c>
      <c r="C46" s="619">
        <v>1015</v>
      </c>
      <c r="D46" s="620">
        <v>1402</v>
      </c>
      <c r="E46" s="620">
        <v>1612</v>
      </c>
      <c r="F46" s="620">
        <v>1854</v>
      </c>
      <c r="G46" s="620">
        <v>2132</v>
      </c>
      <c r="H46" s="621">
        <v>2452</v>
      </c>
      <c r="I46" s="619">
        <v>250</v>
      </c>
      <c r="J46" s="620">
        <v>339</v>
      </c>
      <c r="K46" s="620">
        <v>389</v>
      </c>
      <c r="L46" s="620">
        <v>448</v>
      </c>
      <c r="M46" s="620">
        <v>515</v>
      </c>
      <c r="N46" s="621">
        <v>592</v>
      </c>
      <c r="O46" s="619">
        <v>226</v>
      </c>
      <c r="P46" s="620">
        <v>309</v>
      </c>
      <c r="Q46" s="620">
        <v>356</v>
      </c>
      <c r="R46" s="620">
        <v>409</v>
      </c>
      <c r="S46" s="620">
        <v>471</v>
      </c>
      <c r="T46" s="621">
        <v>541</v>
      </c>
      <c r="U46" s="619"/>
      <c r="V46" s="620"/>
      <c r="W46" s="620"/>
      <c r="X46" s="620"/>
      <c r="Y46" s="620"/>
      <c r="Z46" s="621"/>
      <c r="AA46" s="619"/>
      <c r="AB46" s="620"/>
      <c r="AC46" s="620"/>
      <c r="AD46" s="620"/>
      <c r="AE46" s="620"/>
      <c r="AF46" s="621"/>
      <c r="AG46" s="619">
        <v>22</v>
      </c>
      <c r="AH46" s="620">
        <v>40</v>
      </c>
      <c r="AI46" s="620">
        <v>46</v>
      </c>
      <c r="AJ46" s="620">
        <v>52</v>
      </c>
      <c r="AK46" s="620">
        <v>60</v>
      </c>
      <c r="AL46" s="621">
        <v>69</v>
      </c>
      <c r="AM46" s="995">
        <f t="shared" si="124"/>
        <v>1491</v>
      </c>
      <c r="AN46" s="620">
        <v>1550</v>
      </c>
      <c r="AO46" s="620">
        <v>1783</v>
      </c>
      <c r="AP46" s="996">
        <f t="shared" si="125"/>
        <v>2050</v>
      </c>
      <c r="AQ46" s="996">
        <f t="shared" si="126"/>
        <v>2357</v>
      </c>
      <c r="AR46" s="996">
        <f t="shared" si="127"/>
        <v>2711</v>
      </c>
      <c r="AS46" s="996">
        <f t="shared" si="128"/>
        <v>3118</v>
      </c>
      <c r="AT46" s="997">
        <f t="shared" si="129"/>
        <v>3585</v>
      </c>
      <c r="AU46" s="998">
        <f t="shared" ref="AU46:AU48" si="221">IFERROR((AP46-AM46)/AM46,0)</f>
        <v>0.37491616364855801</v>
      </c>
      <c r="AV46" s="998">
        <f t="shared" ref="AV46:AV48" si="222">IFERROR(((D46+V46+AB46)-(+C46+U46+AA46))/(C46+U46+AA46),0)</f>
        <v>0.3812807881773399</v>
      </c>
      <c r="AW46" s="999">
        <f t="shared" ref="AW46:AW48" si="223">IFERROR(((J46+P46)-(I46+O46))/(I46+O46),0)</f>
        <v>0.36134453781512604</v>
      </c>
      <c r="AX46" s="4775"/>
      <c r="AY46" s="4778" t="s">
        <v>1877</v>
      </c>
      <c r="AZ46" s="4784">
        <f t="shared" ref="AZ46:AZ48" si="224">IFERROR(C46/$C$1,0)</f>
        <v>518.96125941416176</v>
      </c>
      <c r="BA46" s="4784">
        <f t="shared" ref="BA46:BA48" si="225">IFERROR(D46/$C$1,0)</f>
        <v>716.8312174370983</v>
      </c>
      <c r="BB46" s="4784">
        <f t="shared" ref="BB46:BB48" si="226">IFERROR(E46/$C$1,0)</f>
        <v>824.20251248830425</v>
      </c>
      <c r="BC46" s="4784">
        <f t="shared" ref="BC46:BC48" si="227">IFERROR(F46/$C$1,0)</f>
        <v>947.93514773778907</v>
      </c>
      <c r="BD46" s="4784">
        <f t="shared" ref="BD46:BD48" si="228">IFERROR(G46/$C$1,0)</f>
        <v>1090.0742907103379</v>
      </c>
      <c r="BE46" s="4784">
        <f t="shared" ref="BE46:BE48" si="229">IFERROR(H46/$C$1,0)</f>
        <v>1253.6876926931277</v>
      </c>
      <c r="BF46" s="4784">
        <f t="shared" ref="BF46:BF48" si="230">IFERROR(I46/$C$1,0)</f>
        <v>127.82297029905462</v>
      </c>
      <c r="BG46" s="4784">
        <f t="shared" ref="BG46:BG48" si="231">IFERROR(J46/$C$1,0)</f>
        <v>173.32794772551807</v>
      </c>
      <c r="BH46" s="4784">
        <f t="shared" ref="BH46:BH48" si="232">IFERROR(K46/$C$1,0)</f>
        <v>198.892541785329</v>
      </c>
      <c r="BI46" s="4784">
        <f t="shared" ref="BI46:BI48" si="233">IFERROR(L46/$C$1,0)</f>
        <v>229.05876277590588</v>
      </c>
      <c r="BJ46" s="4784">
        <f t="shared" ref="BJ46:BJ48" si="234">IFERROR(M46/$C$1,0)</f>
        <v>263.31531881605252</v>
      </c>
      <c r="BK46" s="4784">
        <f t="shared" ref="BK46:BK48" si="235">IFERROR(N46/$C$1,0)</f>
        <v>302.68479366816138</v>
      </c>
      <c r="BL46" s="4784">
        <f t="shared" ref="BL46:BL48" si="236">IFERROR(O46/$C$1,0)</f>
        <v>115.55196515034538</v>
      </c>
      <c r="BM46" s="4784">
        <f t="shared" ref="BM46:BM48" si="237">IFERROR(P46/$C$1,0)</f>
        <v>157.98919128963152</v>
      </c>
      <c r="BN46" s="4784">
        <f t="shared" ref="BN46:BN48" si="238">IFERROR(Q46/$C$1,0)</f>
        <v>182.01990970585379</v>
      </c>
      <c r="BO46" s="4784">
        <f t="shared" ref="BO46:BO48" si="239">IFERROR(R46/$C$1,0)</f>
        <v>209.11837940925338</v>
      </c>
      <c r="BP46" s="4784">
        <f t="shared" ref="BP46:BP48" si="240">IFERROR(S46/$C$1,0)</f>
        <v>240.81847604341891</v>
      </c>
      <c r="BQ46" s="4784">
        <f t="shared" ref="BQ46:BQ48" si="241">IFERROR(T46/$C$1,0)</f>
        <v>276.60890772715419</v>
      </c>
      <c r="BR46" s="4784">
        <f t="shared" ref="BR46:BR48" si="242">IFERROR(U46/$C$1,0)</f>
        <v>0</v>
      </c>
      <c r="BS46" s="4784">
        <f t="shared" ref="BS46:BS48" si="243">IFERROR(V46/$C$1,0)</f>
        <v>0</v>
      </c>
      <c r="BT46" s="4784">
        <f t="shared" ref="BT46:BT48" si="244">IFERROR(W46/$C$1,0)</f>
        <v>0</v>
      </c>
      <c r="BU46" s="4784">
        <f t="shared" ref="BU46:BU48" si="245">IFERROR(X46/$C$1,0)</f>
        <v>0</v>
      </c>
      <c r="BV46" s="4784">
        <f t="shared" ref="BV46:BV48" si="246">IFERROR(Y46/$C$1,0)</f>
        <v>0</v>
      </c>
      <c r="BW46" s="4784">
        <f t="shared" ref="BW46:BW48" si="247">IFERROR(Z46/$C$1,0)</f>
        <v>0</v>
      </c>
      <c r="BX46" s="4784">
        <f t="shared" ref="BX46:BX48" si="248">IFERROR(AA46/$C$1,0)</f>
        <v>0</v>
      </c>
      <c r="BY46" s="4784">
        <f t="shared" ref="BY46:BY48" si="249">IFERROR(AB46/$C$1,0)</f>
        <v>0</v>
      </c>
      <c r="BZ46" s="4784">
        <f t="shared" ref="BZ46:BZ48" si="250">IFERROR(AC46/$C$1,0)</f>
        <v>0</v>
      </c>
      <c r="CA46" s="4784">
        <f t="shared" ref="CA46:CA48" si="251">IFERROR(AD46/$C$1,0)</f>
        <v>0</v>
      </c>
      <c r="CB46" s="4784">
        <f t="shared" ref="CB46:CB48" si="252">IFERROR(AE46/$C$1,0)</f>
        <v>0</v>
      </c>
      <c r="CC46" s="4784">
        <f t="shared" ref="CC46:CC48" si="253">IFERROR(AF46/$C$1,0)</f>
        <v>0</v>
      </c>
      <c r="CD46" s="4784">
        <f t="shared" ref="CD46:CD48" si="254">IFERROR(AG46/$C$1,0)</f>
        <v>11.248421386316807</v>
      </c>
      <c r="CE46" s="4784">
        <f t="shared" ref="CE46:CE48" si="255">IFERROR(AH46/$C$1,0)</f>
        <v>20.45167524784874</v>
      </c>
      <c r="CF46" s="4784">
        <f t="shared" ref="CF46:CF48" si="256">IFERROR(AI46/$C$1,0)</f>
        <v>23.519426535026049</v>
      </c>
      <c r="CG46" s="4784">
        <f t="shared" ref="CG46:CG48" si="257">IFERROR(AJ46/$C$1,0)</f>
        <v>26.587177822203362</v>
      </c>
      <c r="CH46" s="4784">
        <f t="shared" ref="CH46:CH48" si="258">IFERROR(AK46/$C$1,0)</f>
        <v>30.677512871773111</v>
      </c>
      <c r="CI46" s="4784">
        <f t="shared" ref="CI46:CI48" si="259">IFERROR(AL46/$C$1,0)</f>
        <v>35.279139802539078</v>
      </c>
      <c r="CJ46" s="4784">
        <f t="shared" ref="CJ46:CJ48" si="260">IFERROR(AM46/$C$1,0)</f>
        <v>762.33619486356179</v>
      </c>
      <c r="CK46" s="4784">
        <f t="shared" ref="CK46:CK48" si="261">IFERROR(AN46/$C$1,0)</f>
        <v>792.50241585413869</v>
      </c>
      <c r="CL46" s="4784">
        <f t="shared" ref="CL46:CL48" si="262">IFERROR(AO46/$C$1,0)</f>
        <v>911.63342417285753</v>
      </c>
      <c r="CM46" s="4784">
        <f t="shared" ref="CM46:CM48" si="263">IFERROR(AP46/$C$1,0)</f>
        <v>1048.148356452248</v>
      </c>
      <c r="CN46" s="4784">
        <f t="shared" ref="CN46:CN48" si="264">IFERROR(AQ46/$C$1,0)</f>
        <v>1205.1149639794869</v>
      </c>
      <c r="CO46" s="4784">
        <f t="shared" ref="CO46:CO48" si="265">IFERROR(AR46/$C$1,0)</f>
        <v>1386.1122899229483</v>
      </c>
      <c r="CP46" s="4784">
        <f t="shared" ref="CP46:CP48" si="266">IFERROR(AS46/$C$1,0)</f>
        <v>1594.2080855698093</v>
      </c>
      <c r="CQ46" s="4784">
        <f t="shared" ref="CQ46:CQ48" si="267">IFERROR(AT46/$C$1,0)</f>
        <v>1832.9813940884433</v>
      </c>
      <c r="CR46" s="4789"/>
      <c r="CS46" s="4789"/>
      <c r="CT46" s="4789"/>
      <c r="CU46" s="4789"/>
      <c r="CV46" s="4789"/>
      <c r="CW46" s="4789"/>
      <c r="CX46" s="4789"/>
      <c r="CY46" s="4789"/>
      <c r="CZ46" s="4789"/>
      <c r="DA46" s="4789"/>
      <c r="DB46" s="4789"/>
      <c r="DC46" s="4789"/>
      <c r="DD46" s="4789"/>
      <c r="DE46" s="4789"/>
      <c r="DF46" s="4789"/>
      <c r="DG46" s="4789"/>
      <c r="DH46" s="4789"/>
      <c r="DI46" s="4789"/>
      <c r="DJ46" s="4789"/>
      <c r="DK46" s="4789"/>
      <c r="DL46" s="4789"/>
      <c r="DM46" s="4789"/>
      <c r="DN46" s="4789"/>
      <c r="DO46" s="4789"/>
      <c r="DP46" s="4789"/>
      <c r="DQ46" s="4789"/>
      <c r="DR46" s="4789"/>
    </row>
    <row r="47" spans="1:122" s="733" customFormat="1" ht="24.75" thickBot="1">
      <c r="A47" s="734" t="s">
        <v>566</v>
      </c>
      <c r="B47" s="652" t="s">
        <v>1257</v>
      </c>
      <c r="C47" s="1563">
        <f>'8. Ремонтна програма'!J37</f>
        <v>56</v>
      </c>
      <c r="D47" s="1564">
        <f>'8. Ремонтна програма'!K37</f>
        <v>0</v>
      </c>
      <c r="E47" s="1564">
        <f>'8. Ремонтна програма'!L37</f>
        <v>0</v>
      </c>
      <c r="F47" s="1564">
        <f>'8. Ремонтна програма'!M37</f>
        <v>0</v>
      </c>
      <c r="G47" s="1564">
        <f>'8. Ремонтна програма'!N37</f>
        <v>0</v>
      </c>
      <c r="H47" s="1562">
        <f>'8. Ремонтна програма'!O37</f>
        <v>0</v>
      </c>
      <c r="I47" s="1563">
        <f>'8. Ремонтна програма'!J66</f>
        <v>9</v>
      </c>
      <c r="J47" s="1564">
        <f>'8. Ремонтна програма'!K66</f>
        <v>8.5</v>
      </c>
      <c r="K47" s="1564">
        <f>'8. Ремонтна програма'!L66</f>
        <v>8.8000000000000007</v>
      </c>
      <c r="L47" s="1564">
        <f>'8. Ремонтна програма'!M66</f>
        <v>8.8000000000000007</v>
      </c>
      <c r="M47" s="1564">
        <f>'8. Ремонтна програма'!N66</f>
        <v>8.5</v>
      </c>
      <c r="N47" s="1562">
        <f>'8. Ремонтна програма'!O66</f>
        <v>8.8999999999999986</v>
      </c>
      <c r="O47" s="1563">
        <f>'8. Ремонтна програма'!J92</f>
        <v>0.39999999999997726</v>
      </c>
      <c r="P47" s="1564">
        <f>'8. Ремонтна програма'!K92</f>
        <v>0</v>
      </c>
      <c r="Q47" s="1564">
        <f>'8. Ремонтна програма'!L92</f>
        <v>0</v>
      </c>
      <c r="R47" s="1564">
        <f>'8. Ремонтна програма'!M92</f>
        <v>-0.29999999999999982</v>
      </c>
      <c r="S47" s="1564">
        <f>'8. Ремонтна програма'!N92</f>
        <v>0.35000000000000009</v>
      </c>
      <c r="T47" s="1562">
        <f>'8. Ремонтна програма'!O92</f>
        <v>-4.9999999999999822E-2</v>
      </c>
      <c r="U47" s="1563">
        <f>'8. Ремонтна програма'!J123</f>
        <v>0</v>
      </c>
      <c r="V47" s="1564">
        <f>'8. Ремонтна програма'!K123</f>
        <v>0</v>
      </c>
      <c r="W47" s="1564">
        <f>'8. Ремонтна програма'!L123</f>
        <v>0</v>
      </c>
      <c r="X47" s="1564">
        <f>'8. Ремонтна програма'!M123</f>
        <v>0</v>
      </c>
      <c r="Y47" s="1564">
        <f>'8. Ремонтна програма'!N123</f>
        <v>0</v>
      </c>
      <c r="Z47" s="1562">
        <f>'8. Ремонтна програма'!O123</f>
        <v>0</v>
      </c>
      <c r="AA47" s="1563">
        <f>'8. Ремонтна програма'!J154</f>
        <v>0</v>
      </c>
      <c r="AB47" s="1564">
        <f>'8. Ремонтна програма'!K154</f>
        <v>0</v>
      </c>
      <c r="AC47" s="1564">
        <f>'8. Ремонтна програма'!L154</f>
        <v>0</v>
      </c>
      <c r="AD47" s="1564">
        <f>'8. Ремонтна програма'!M154</f>
        <v>0</v>
      </c>
      <c r="AE47" s="1564">
        <f>'8. Ремонтна програма'!N154</f>
        <v>0</v>
      </c>
      <c r="AF47" s="1562">
        <f>'8. Ремонтна програма'!O154</f>
        <v>0</v>
      </c>
      <c r="AG47" s="619"/>
      <c r="AH47" s="620"/>
      <c r="AI47" s="620"/>
      <c r="AJ47" s="620"/>
      <c r="AK47" s="620"/>
      <c r="AL47" s="621"/>
      <c r="AM47" s="991">
        <f t="shared" si="124"/>
        <v>65.399999999999977</v>
      </c>
      <c r="AN47" s="620"/>
      <c r="AO47" s="620"/>
      <c r="AP47" s="992">
        <f t="shared" si="125"/>
        <v>8.5</v>
      </c>
      <c r="AQ47" s="992">
        <f t="shared" si="126"/>
        <v>8.8000000000000007</v>
      </c>
      <c r="AR47" s="992">
        <f t="shared" si="127"/>
        <v>8.5</v>
      </c>
      <c r="AS47" s="992">
        <f t="shared" si="128"/>
        <v>8.85</v>
      </c>
      <c r="AT47" s="993">
        <f t="shared" si="129"/>
        <v>8.8499999999999979</v>
      </c>
      <c r="AU47" s="1595">
        <f t="shared" si="221"/>
        <v>-0.87003058103975528</v>
      </c>
      <c r="AV47" s="1595">
        <f t="shared" si="222"/>
        <v>-1</v>
      </c>
      <c r="AW47" s="1596">
        <f t="shared" si="223"/>
        <v>-9.5744680851061637E-2</v>
      </c>
      <c r="AX47" s="4775"/>
      <c r="AY47" s="4778" t="s">
        <v>1877</v>
      </c>
      <c r="AZ47" s="4784">
        <f t="shared" si="224"/>
        <v>28.632345346988235</v>
      </c>
      <c r="BA47" s="4784">
        <f t="shared" si="225"/>
        <v>0</v>
      </c>
      <c r="BB47" s="4784">
        <f t="shared" si="226"/>
        <v>0</v>
      </c>
      <c r="BC47" s="4784">
        <f t="shared" si="227"/>
        <v>0</v>
      </c>
      <c r="BD47" s="4784">
        <f t="shared" si="228"/>
        <v>0</v>
      </c>
      <c r="BE47" s="4784">
        <f t="shared" si="229"/>
        <v>0</v>
      </c>
      <c r="BF47" s="4784">
        <f t="shared" si="230"/>
        <v>4.6016269307659661</v>
      </c>
      <c r="BG47" s="4784">
        <f t="shared" si="231"/>
        <v>4.345980990167857</v>
      </c>
      <c r="BH47" s="4784">
        <f t="shared" si="232"/>
        <v>4.4993685545267228</v>
      </c>
      <c r="BI47" s="4784">
        <f t="shared" si="233"/>
        <v>4.4993685545267228</v>
      </c>
      <c r="BJ47" s="4784">
        <f t="shared" si="234"/>
        <v>4.345980990167857</v>
      </c>
      <c r="BK47" s="4784">
        <f t="shared" si="235"/>
        <v>4.5504977426463435</v>
      </c>
      <c r="BL47" s="4784">
        <f t="shared" si="236"/>
        <v>0.20451675247847578</v>
      </c>
      <c r="BM47" s="4784">
        <f t="shared" si="237"/>
        <v>0</v>
      </c>
      <c r="BN47" s="4784">
        <f t="shared" si="238"/>
        <v>0</v>
      </c>
      <c r="BO47" s="4784">
        <f t="shared" si="239"/>
        <v>-0.15338756435886547</v>
      </c>
      <c r="BP47" s="4784">
        <f t="shared" si="240"/>
        <v>0.17895215841867651</v>
      </c>
      <c r="BQ47" s="4784">
        <f t="shared" si="241"/>
        <v>-2.5564594059810833E-2</v>
      </c>
      <c r="BR47" s="4784">
        <f t="shared" si="242"/>
        <v>0</v>
      </c>
      <c r="BS47" s="4784">
        <f t="shared" si="243"/>
        <v>0</v>
      </c>
      <c r="BT47" s="4784">
        <f t="shared" si="244"/>
        <v>0</v>
      </c>
      <c r="BU47" s="4784">
        <f t="shared" si="245"/>
        <v>0</v>
      </c>
      <c r="BV47" s="4784">
        <f t="shared" si="246"/>
        <v>0</v>
      </c>
      <c r="BW47" s="4784">
        <f t="shared" si="247"/>
        <v>0</v>
      </c>
      <c r="BX47" s="4784">
        <f t="shared" si="248"/>
        <v>0</v>
      </c>
      <c r="BY47" s="4784">
        <f t="shared" si="249"/>
        <v>0</v>
      </c>
      <c r="BZ47" s="4784">
        <f t="shared" si="250"/>
        <v>0</v>
      </c>
      <c r="CA47" s="4784">
        <f t="shared" si="251"/>
        <v>0</v>
      </c>
      <c r="CB47" s="4784">
        <f t="shared" si="252"/>
        <v>0</v>
      </c>
      <c r="CC47" s="4784">
        <f t="shared" si="253"/>
        <v>0</v>
      </c>
      <c r="CD47" s="4784">
        <f t="shared" si="254"/>
        <v>0</v>
      </c>
      <c r="CE47" s="4784">
        <f t="shared" si="255"/>
        <v>0</v>
      </c>
      <c r="CF47" s="4784">
        <f t="shared" si="256"/>
        <v>0</v>
      </c>
      <c r="CG47" s="4784">
        <f t="shared" si="257"/>
        <v>0</v>
      </c>
      <c r="CH47" s="4784">
        <f t="shared" si="258"/>
        <v>0</v>
      </c>
      <c r="CI47" s="4784">
        <f t="shared" si="259"/>
        <v>0</v>
      </c>
      <c r="CJ47" s="4784">
        <f t="shared" si="260"/>
        <v>33.438489030232681</v>
      </c>
      <c r="CK47" s="4784">
        <f t="shared" si="261"/>
        <v>0</v>
      </c>
      <c r="CL47" s="4784">
        <f t="shared" si="262"/>
        <v>0</v>
      </c>
      <c r="CM47" s="4784">
        <f t="shared" si="263"/>
        <v>4.345980990167857</v>
      </c>
      <c r="CN47" s="4784">
        <f t="shared" si="264"/>
        <v>4.4993685545267228</v>
      </c>
      <c r="CO47" s="4784">
        <f t="shared" si="265"/>
        <v>4.345980990167857</v>
      </c>
      <c r="CP47" s="4784">
        <f t="shared" si="266"/>
        <v>4.5249331485865332</v>
      </c>
      <c r="CQ47" s="4784">
        <f t="shared" si="267"/>
        <v>4.5249331485865323</v>
      </c>
      <c r="CR47" s="4789"/>
      <c r="CS47" s="4789"/>
      <c r="CT47" s="4789"/>
      <c r="CU47" s="4789"/>
      <c r="CV47" s="4789"/>
      <c r="CW47" s="4789"/>
      <c r="CX47" s="4789"/>
      <c r="CY47" s="4789"/>
      <c r="CZ47" s="4789"/>
      <c r="DA47" s="4789"/>
      <c r="DB47" s="4789"/>
      <c r="DC47" s="4789"/>
      <c r="DD47" s="4789"/>
      <c r="DE47" s="4789"/>
      <c r="DF47" s="4789"/>
      <c r="DG47" s="4789"/>
      <c r="DH47" s="4789"/>
      <c r="DI47" s="4789"/>
      <c r="DJ47" s="4789"/>
      <c r="DK47" s="4789"/>
      <c r="DL47" s="4789"/>
      <c r="DM47" s="4789"/>
      <c r="DN47" s="4789"/>
      <c r="DO47" s="4789"/>
      <c r="DP47" s="4789"/>
      <c r="DQ47" s="4789"/>
      <c r="DR47" s="4789"/>
    </row>
    <row r="48" spans="1:122" s="649" customFormat="1" ht="24.75" thickBot="1">
      <c r="A48" s="334" t="s">
        <v>567</v>
      </c>
      <c r="B48" s="653" t="s">
        <v>1259</v>
      </c>
      <c r="C48" s="307"/>
      <c r="D48" s="308"/>
      <c r="E48" s="308"/>
      <c r="F48" s="308"/>
      <c r="G48" s="308"/>
      <c r="H48" s="309"/>
      <c r="I48" s="307"/>
      <c r="J48" s="308"/>
      <c r="K48" s="308"/>
      <c r="L48" s="308"/>
      <c r="M48" s="308"/>
      <c r="N48" s="309"/>
      <c r="O48" s="307"/>
      <c r="P48" s="308"/>
      <c r="Q48" s="308"/>
      <c r="R48" s="308"/>
      <c r="S48" s="308"/>
      <c r="T48" s="309"/>
      <c r="U48" s="307"/>
      <c r="V48" s="308"/>
      <c r="W48" s="308"/>
      <c r="X48" s="308"/>
      <c r="Y48" s="308"/>
      <c r="Z48" s="309"/>
      <c r="AA48" s="307"/>
      <c r="AB48" s="308"/>
      <c r="AC48" s="308"/>
      <c r="AD48" s="308"/>
      <c r="AE48" s="308"/>
      <c r="AF48" s="309"/>
      <c r="AG48" s="307"/>
      <c r="AH48" s="308"/>
      <c r="AI48" s="308"/>
      <c r="AJ48" s="308"/>
      <c r="AK48" s="308"/>
      <c r="AL48" s="309"/>
      <c r="AM48" s="1568">
        <f t="shared" si="124"/>
        <v>0</v>
      </c>
      <c r="AN48" s="620"/>
      <c r="AO48" s="620"/>
      <c r="AP48" s="1569">
        <f t="shared" si="125"/>
        <v>0</v>
      </c>
      <c r="AQ48" s="1569">
        <f t="shared" si="126"/>
        <v>0</v>
      </c>
      <c r="AR48" s="1569">
        <f t="shared" si="127"/>
        <v>0</v>
      </c>
      <c r="AS48" s="1569">
        <f t="shared" si="128"/>
        <v>0</v>
      </c>
      <c r="AT48" s="1570">
        <f t="shared" si="129"/>
        <v>0</v>
      </c>
      <c r="AU48" s="1593">
        <f t="shared" si="221"/>
        <v>0</v>
      </c>
      <c r="AV48" s="1593">
        <f t="shared" si="222"/>
        <v>0</v>
      </c>
      <c r="AW48" s="1594">
        <f t="shared" si="223"/>
        <v>0</v>
      </c>
      <c r="AX48" s="4775"/>
      <c r="AY48" s="4778" t="s">
        <v>1877</v>
      </c>
      <c r="AZ48" s="4784">
        <f t="shared" si="224"/>
        <v>0</v>
      </c>
      <c r="BA48" s="4784">
        <f t="shared" si="225"/>
        <v>0</v>
      </c>
      <c r="BB48" s="4784">
        <f t="shared" si="226"/>
        <v>0</v>
      </c>
      <c r="BC48" s="4784">
        <f t="shared" si="227"/>
        <v>0</v>
      </c>
      <c r="BD48" s="4784">
        <f t="shared" si="228"/>
        <v>0</v>
      </c>
      <c r="BE48" s="4784">
        <f t="shared" si="229"/>
        <v>0</v>
      </c>
      <c r="BF48" s="4784">
        <f t="shared" si="230"/>
        <v>0</v>
      </c>
      <c r="BG48" s="4784">
        <f t="shared" si="231"/>
        <v>0</v>
      </c>
      <c r="BH48" s="4784">
        <f t="shared" si="232"/>
        <v>0</v>
      </c>
      <c r="BI48" s="4784">
        <f t="shared" si="233"/>
        <v>0</v>
      </c>
      <c r="BJ48" s="4784">
        <f t="shared" si="234"/>
        <v>0</v>
      </c>
      <c r="BK48" s="4784">
        <f t="shared" si="235"/>
        <v>0</v>
      </c>
      <c r="BL48" s="4784">
        <f t="shared" si="236"/>
        <v>0</v>
      </c>
      <c r="BM48" s="4784">
        <f t="shared" si="237"/>
        <v>0</v>
      </c>
      <c r="BN48" s="4784">
        <f t="shared" si="238"/>
        <v>0</v>
      </c>
      <c r="BO48" s="4784">
        <f t="shared" si="239"/>
        <v>0</v>
      </c>
      <c r="BP48" s="4784">
        <f t="shared" si="240"/>
        <v>0</v>
      </c>
      <c r="BQ48" s="4784">
        <f t="shared" si="241"/>
        <v>0</v>
      </c>
      <c r="BR48" s="4784">
        <f t="shared" si="242"/>
        <v>0</v>
      </c>
      <c r="BS48" s="4784">
        <f t="shared" si="243"/>
        <v>0</v>
      </c>
      <c r="BT48" s="4784">
        <f t="shared" si="244"/>
        <v>0</v>
      </c>
      <c r="BU48" s="4784">
        <f t="shared" si="245"/>
        <v>0</v>
      </c>
      <c r="BV48" s="4784">
        <f t="shared" si="246"/>
        <v>0</v>
      </c>
      <c r="BW48" s="4784">
        <f t="shared" si="247"/>
        <v>0</v>
      </c>
      <c r="BX48" s="4784">
        <f t="shared" si="248"/>
        <v>0</v>
      </c>
      <c r="BY48" s="4784">
        <f t="shared" si="249"/>
        <v>0</v>
      </c>
      <c r="BZ48" s="4784">
        <f t="shared" si="250"/>
        <v>0</v>
      </c>
      <c r="CA48" s="4784">
        <f t="shared" si="251"/>
        <v>0</v>
      </c>
      <c r="CB48" s="4784">
        <f t="shared" si="252"/>
        <v>0</v>
      </c>
      <c r="CC48" s="4784">
        <f t="shared" si="253"/>
        <v>0</v>
      </c>
      <c r="CD48" s="4784">
        <f t="shared" si="254"/>
        <v>0</v>
      </c>
      <c r="CE48" s="4784">
        <f t="shared" si="255"/>
        <v>0</v>
      </c>
      <c r="CF48" s="4784">
        <f t="shared" si="256"/>
        <v>0</v>
      </c>
      <c r="CG48" s="4784">
        <f t="shared" si="257"/>
        <v>0</v>
      </c>
      <c r="CH48" s="4784">
        <f t="shared" si="258"/>
        <v>0</v>
      </c>
      <c r="CI48" s="4784">
        <f t="shared" si="259"/>
        <v>0</v>
      </c>
      <c r="CJ48" s="4784">
        <f t="shared" si="260"/>
        <v>0</v>
      </c>
      <c r="CK48" s="4784">
        <f t="shared" si="261"/>
        <v>0</v>
      </c>
      <c r="CL48" s="4784">
        <f t="shared" si="262"/>
        <v>0</v>
      </c>
      <c r="CM48" s="4784">
        <f t="shared" si="263"/>
        <v>0</v>
      </c>
      <c r="CN48" s="4784">
        <f t="shared" si="264"/>
        <v>0</v>
      </c>
      <c r="CO48" s="4784">
        <f t="shared" si="265"/>
        <v>0</v>
      </c>
      <c r="CP48" s="4784">
        <f t="shared" si="266"/>
        <v>0</v>
      </c>
      <c r="CQ48" s="4784">
        <f t="shared" si="267"/>
        <v>0</v>
      </c>
      <c r="CR48" s="4789"/>
      <c r="CS48" s="4789"/>
      <c r="CT48" s="4789"/>
      <c r="CU48" s="4789"/>
      <c r="CV48" s="4789"/>
      <c r="CW48" s="4789"/>
      <c r="CX48" s="4789"/>
      <c r="CY48" s="4789"/>
      <c r="CZ48" s="4789"/>
      <c r="DA48" s="4789"/>
      <c r="DB48" s="4789"/>
      <c r="DC48" s="4789"/>
      <c r="DD48" s="4789"/>
      <c r="DE48" s="4789"/>
      <c r="DF48" s="4789"/>
      <c r="DG48" s="4789"/>
      <c r="DH48" s="4789"/>
      <c r="DI48" s="4789"/>
      <c r="DJ48" s="4789"/>
      <c r="DK48" s="4789"/>
      <c r="DL48" s="4789"/>
      <c r="DM48" s="4789"/>
      <c r="DN48" s="4789"/>
      <c r="DO48" s="4789"/>
      <c r="DP48" s="4789"/>
      <c r="DQ48" s="4789"/>
      <c r="DR48" s="4789"/>
    </row>
    <row r="49" spans="1:121" s="171" customFormat="1" ht="13.5" thickBot="1">
      <c r="A49" s="332"/>
      <c r="B49" s="333"/>
      <c r="C49" s="1581"/>
      <c r="D49" s="1582"/>
      <c r="E49" s="1582"/>
      <c r="F49" s="1582"/>
      <c r="G49" s="1582"/>
      <c r="H49" s="1583"/>
      <c r="I49" s="2048"/>
      <c r="J49" s="2049"/>
      <c r="K49" s="2049"/>
      <c r="L49" s="2049"/>
      <c r="M49" s="2049"/>
      <c r="N49" s="2050"/>
      <c r="O49" s="2048"/>
      <c r="P49" s="2049"/>
      <c r="Q49" s="2049"/>
      <c r="R49" s="2049"/>
      <c r="S49" s="2049"/>
      <c r="T49" s="2050"/>
      <c r="U49" s="2048"/>
      <c r="V49" s="2049"/>
      <c r="W49" s="2049"/>
      <c r="X49" s="2049"/>
      <c r="Y49" s="2049"/>
      <c r="Z49" s="2050"/>
      <c r="AA49" s="2048"/>
      <c r="AB49" s="2049"/>
      <c r="AC49" s="2049"/>
      <c r="AD49" s="2049"/>
      <c r="AE49" s="2049"/>
      <c r="AF49" s="2050"/>
      <c r="AG49" s="2048"/>
      <c r="AH49" s="2049"/>
      <c r="AI49" s="2049"/>
      <c r="AJ49" s="2049"/>
      <c r="AK49" s="2049"/>
      <c r="AL49" s="2050"/>
      <c r="AM49" s="1581"/>
      <c r="AN49" s="2049"/>
      <c r="AO49" s="2049"/>
      <c r="AP49" s="1582"/>
      <c r="AQ49" s="1582"/>
      <c r="AR49" s="1582"/>
      <c r="AS49" s="1582"/>
      <c r="AT49" s="1583"/>
      <c r="AU49" s="1584"/>
      <c r="AV49" s="1584"/>
      <c r="AW49" s="1585"/>
      <c r="AX49" s="4775"/>
      <c r="AY49" s="4788"/>
      <c r="AZ49" s="4158"/>
      <c r="BA49" s="4158"/>
      <c r="BB49" s="4158"/>
      <c r="BC49" s="4158"/>
      <c r="BD49" s="4158"/>
      <c r="BE49" s="4158"/>
      <c r="BF49" s="4158"/>
      <c r="BG49" s="4158"/>
      <c r="BH49" s="4158"/>
      <c r="BI49" s="4158"/>
      <c r="BJ49" s="4158"/>
      <c r="BK49" s="4158"/>
      <c r="BL49" s="4158"/>
      <c r="BM49" s="4158"/>
      <c r="BN49" s="4158"/>
      <c r="BO49" s="4158"/>
      <c r="BP49" s="4158"/>
      <c r="BQ49" s="4158"/>
      <c r="BR49" s="4158"/>
      <c r="BS49" s="4158"/>
      <c r="BT49" s="4158"/>
      <c r="BU49" s="4158"/>
      <c r="BV49" s="4158"/>
      <c r="BW49" s="4158"/>
      <c r="BX49" s="4158"/>
      <c r="BY49" s="4158"/>
      <c r="BZ49" s="4158"/>
      <c r="CA49" s="4158"/>
      <c r="CB49" s="4158"/>
      <c r="CC49" s="4158"/>
      <c r="CD49" s="4158"/>
      <c r="CE49" s="4158"/>
      <c r="CF49" s="4158"/>
      <c r="CG49" s="4158"/>
      <c r="CH49" s="4158"/>
      <c r="CI49" s="4158"/>
      <c r="CJ49" s="4158"/>
      <c r="CK49" s="4158"/>
      <c r="CL49" s="4158"/>
      <c r="CM49" s="4158"/>
      <c r="CN49" s="4158"/>
      <c r="CO49" s="4158"/>
      <c r="CP49" s="4158"/>
      <c r="CQ49" s="4158"/>
      <c r="CR49" s="4158"/>
      <c r="CS49" s="4158"/>
      <c r="CT49" s="4158"/>
      <c r="CU49" s="4158"/>
      <c r="CV49" s="4158"/>
      <c r="CW49" s="4158"/>
      <c r="CX49" s="4158"/>
      <c r="CY49" s="4158"/>
      <c r="CZ49" s="4158"/>
      <c r="DA49" s="4158"/>
      <c r="DB49" s="4158"/>
      <c r="DC49" s="4158"/>
      <c r="DD49" s="4158"/>
      <c r="DE49" s="4158"/>
      <c r="DF49" s="4158"/>
      <c r="DG49" s="4158"/>
      <c r="DH49" s="4158"/>
      <c r="DI49" s="4158"/>
      <c r="DJ49" s="4158"/>
      <c r="DK49" s="4158"/>
      <c r="DL49" s="4158"/>
      <c r="DM49" s="4158"/>
      <c r="DN49" s="4158"/>
      <c r="DO49" s="4158"/>
      <c r="DP49" s="4158"/>
      <c r="DQ49" s="4158"/>
    </row>
    <row r="50" spans="1:121" s="172" customFormat="1" ht="36.75" thickBot="1">
      <c r="A50" s="977" t="s">
        <v>105</v>
      </c>
      <c r="B50" s="978" t="s">
        <v>1468</v>
      </c>
      <c r="C50" s="1597">
        <f>IFERROR(C29/C14,0)</f>
        <v>20.876132930513595</v>
      </c>
      <c r="D50" s="1598">
        <f t="shared" ref="D50:AL50" si="268">IFERROR(D29/D14,0)</f>
        <v>30.887537993920972</v>
      </c>
      <c r="E50" s="1598">
        <f t="shared" si="268"/>
        <v>35.738317757009348</v>
      </c>
      <c r="F50" s="1598">
        <f t="shared" si="268"/>
        <v>41.367088607594937</v>
      </c>
      <c r="G50" s="1598">
        <f t="shared" si="268"/>
        <v>47.446601941747574</v>
      </c>
      <c r="H50" s="1599">
        <f t="shared" si="268"/>
        <v>54.539735099337747</v>
      </c>
      <c r="I50" s="1597">
        <f t="shared" si="268"/>
        <v>37.977777777777774</v>
      </c>
      <c r="J50" s="1598">
        <f t="shared" si="268"/>
        <v>62.256410256410255</v>
      </c>
      <c r="K50" s="1598">
        <f t="shared" si="268"/>
        <v>71.794871794871796</v>
      </c>
      <c r="L50" s="1598">
        <f t="shared" si="268"/>
        <v>79.974358974358978</v>
      </c>
      <c r="M50" s="1598">
        <f t="shared" si="268"/>
        <v>93.736842105263165</v>
      </c>
      <c r="N50" s="1599">
        <f t="shared" si="268"/>
        <v>107.26315789473684</v>
      </c>
      <c r="O50" s="1597">
        <f t="shared" si="268"/>
        <v>12.616666666666667</v>
      </c>
      <c r="P50" s="1598">
        <f t="shared" si="268"/>
        <v>19.157894736842106</v>
      </c>
      <c r="Q50" s="1598">
        <f t="shared" si="268"/>
        <v>21.292035398230087</v>
      </c>
      <c r="R50" s="1598">
        <f t="shared" si="268"/>
        <v>24.517857142857142</v>
      </c>
      <c r="S50" s="1598">
        <f t="shared" si="268"/>
        <v>28.243243243243242</v>
      </c>
      <c r="T50" s="1599">
        <f t="shared" si="268"/>
        <v>32.6</v>
      </c>
      <c r="U50" s="1597">
        <f t="shared" si="268"/>
        <v>0</v>
      </c>
      <c r="V50" s="1598">
        <f t="shared" si="268"/>
        <v>0</v>
      </c>
      <c r="W50" s="1598">
        <f t="shared" si="268"/>
        <v>0</v>
      </c>
      <c r="X50" s="1598">
        <f t="shared" si="268"/>
        <v>0</v>
      </c>
      <c r="Y50" s="1598">
        <f t="shared" si="268"/>
        <v>0</v>
      </c>
      <c r="Z50" s="1599">
        <f t="shared" si="268"/>
        <v>0</v>
      </c>
      <c r="AA50" s="1597">
        <f t="shared" si="268"/>
        <v>0</v>
      </c>
      <c r="AB50" s="1598">
        <f t="shared" si="268"/>
        <v>0</v>
      </c>
      <c r="AC50" s="1598">
        <f t="shared" si="268"/>
        <v>0</v>
      </c>
      <c r="AD50" s="1598">
        <f t="shared" si="268"/>
        <v>0</v>
      </c>
      <c r="AE50" s="1598">
        <f t="shared" si="268"/>
        <v>0</v>
      </c>
      <c r="AF50" s="1599">
        <f t="shared" si="268"/>
        <v>0</v>
      </c>
      <c r="AG50" s="1597">
        <f t="shared" si="268"/>
        <v>22.631578947368421</v>
      </c>
      <c r="AH50" s="1598">
        <f t="shared" si="268"/>
        <v>25.05263157894737</v>
      </c>
      <c r="AI50" s="1598">
        <f t="shared" si="268"/>
        <v>28.842105263157894</v>
      </c>
      <c r="AJ50" s="1598">
        <f t="shared" si="268"/>
        <v>33.157894736842103</v>
      </c>
      <c r="AK50" s="1598">
        <f t="shared" si="268"/>
        <v>38.10526315789474</v>
      </c>
      <c r="AL50" s="1599">
        <f t="shared" si="268"/>
        <v>43.842105263157897</v>
      </c>
      <c r="AM50" s="1597">
        <f t="shared" ref="AM50:AT50" si="269">IFERROR(AM29/AM14,0)</f>
        <v>20.429435483870968</v>
      </c>
      <c r="AN50" s="1598">
        <f>IFERROR(AN29/AN14,0)</f>
        <v>23.16024340770791</v>
      </c>
      <c r="AO50" s="1598">
        <f t="shared" si="269"/>
        <v>26.638775510204081</v>
      </c>
      <c r="AP50" s="1598">
        <f>IFERROR(AP29/AP14,0)</f>
        <v>30.651452282157678</v>
      </c>
      <c r="AQ50" s="1598">
        <f t="shared" si="269"/>
        <v>35.260042283298098</v>
      </c>
      <c r="AR50" s="1598">
        <f t="shared" si="269"/>
        <v>40.550321199143468</v>
      </c>
      <c r="AS50" s="1598">
        <f t="shared" si="269"/>
        <v>46.633187772925766</v>
      </c>
      <c r="AT50" s="1599">
        <f t="shared" si="269"/>
        <v>53.628888888888888</v>
      </c>
      <c r="AU50" s="1600"/>
      <c r="AV50" s="1600"/>
      <c r="AW50" s="1601"/>
      <c r="AX50" s="4775"/>
      <c r="AY50" s="4779" t="s">
        <v>1878</v>
      </c>
      <c r="AZ50" s="4783">
        <f>IFERROR(C50/$C$1,0)</f>
        <v>10.673797278144622</v>
      </c>
      <c r="BA50" s="4783">
        <f t="shared" ref="BA50" si="270">IFERROR(D50/$C$1,0)</f>
        <v>15.792547406431527</v>
      </c>
      <c r="BB50" s="4783">
        <f t="shared" ref="BB50" si="271">IFERROR(E50/$C$1,0)</f>
        <v>18.272711716769528</v>
      </c>
      <c r="BC50" s="4783">
        <f t="shared" ref="BC50" si="272">IFERROR(F50/$C$1,0)</f>
        <v>21.150656553787876</v>
      </c>
      <c r="BD50" s="4783">
        <f t="shared" ref="BD50" si="273">IFERROR(G50/$C$1,0)</f>
        <v>24.259062363164269</v>
      </c>
      <c r="BE50" s="4783">
        <f t="shared" ref="BE50" si="274">IFERROR(H50/$C$1,0)</f>
        <v>27.885723758883824</v>
      </c>
      <c r="BF50" s="4783">
        <f t="shared" ref="BF50" si="275">IFERROR(I50/$C$1,0)</f>
        <v>19.41772944365194</v>
      </c>
      <c r="BG50" s="4783">
        <f t="shared" ref="BG50" si="276">IFERROR(J50/$C$1,0)</f>
        <v>31.831197116523551</v>
      </c>
      <c r="BH50" s="4783">
        <f t="shared" ref="BH50" si="277">IFERROR(K50/$C$1,0)</f>
        <v>36.708135060241325</v>
      </c>
      <c r="BI50" s="4783">
        <f t="shared" ref="BI50" si="278">IFERROR(L50/$C$1,0)</f>
        <v>40.890240447461679</v>
      </c>
      <c r="BJ50" s="4783">
        <f t="shared" ref="BJ50" si="279">IFERROR(M50/$C$1,0)</f>
        <v>47.926886337392908</v>
      </c>
      <c r="BK50" s="4783">
        <f t="shared" ref="BK50" si="280">IFERROR(N50/$C$1,0)</f>
        <v>54.842781783047009</v>
      </c>
      <c r="BL50" s="4783">
        <f t="shared" ref="BL50" si="281">IFERROR(O50/$C$1,0)</f>
        <v>6.4507992344256238</v>
      </c>
      <c r="BM50" s="4783">
        <f t="shared" ref="BM50" si="282">IFERROR(P50/$C$1,0)</f>
        <v>9.7952760397591341</v>
      </c>
      <c r="BN50" s="4783">
        <f t="shared" ref="BN50" si="283">IFERROR(Q50/$C$1,0)</f>
        <v>10.886444833257537</v>
      </c>
      <c r="BO50" s="4783">
        <f t="shared" ref="BO50" si="284">IFERROR(R50/$C$1,0)</f>
        <v>12.535781301471571</v>
      </c>
      <c r="BP50" s="4783">
        <f t="shared" ref="BP50" si="285">IFERROR(S50/$C$1,0)</f>
        <v>14.440540968920224</v>
      </c>
      <c r="BQ50" s="4783">
        <f t="shared" ref="BQ50" si="286">IFERROR(T50/$C$1,0)</f>
        <v>16.668115326996723</v>
      </c>
      <c r="BR50" s="4783">
        <f t="shared" ref="BR50" si="287">IFERROR(U50/$C$1,0)</f>
        <v>0</v>
      </c>
      <c r="BS50" s="4783">
        <f t="shared" ref="BS50" si="288">IFERROR(V50/$C$1,0)</f>
        <v>0</v>
      </c>
      <c r="BT50" s="4783">
        <f t="shared" ref="BT50" si="289">IFERROR(W50/$C$1,0)</f>
        <v>0</v>
      </c>
      <c r="BU50" s="4783">
        <f t="shared" ref="BU50" si="290">IFERROR(X50/$C$1,0)</f>
        <v>0</v>
      </c>
      <c r="BV50" s="4783">
        <f t="shared" ref="BV50" si="291">IFERROR(Y50/$C$1,0)</f>
        <v>0</v>
      </c>
      <c r="BW50" s="4783">
        <f t="shared" ref="BW50" si="292">IFERROR(Z50/$C$1,0)</f>
        <v>0</v>
      </c>
      <c r="BX50" s="4783">
        <f t="shared" ref="BX50" si="293">IFERROR(AA50/$C$1,0)</f>
        <v>0</v>
      </c>
      <c r="BY50" s="4783">
        <f t="shared" ref="BY50" si="294">IFERROR(AB50/$C$1,0)</f>
        <v>0</v>
      </c>
      <c r="BZ50" s="4783">
        <f t="shared" ref="BZ50" si="295">IFERROR(AC50/$C$1,0)</f>
        <v>0</v>
      </c>
      <c r="CA50" s="4783">
        <f t="shared" ref="CA50" si="296">IFERROR(AD50/$C$1,0)</f>
        <v>0</v>
      </c>
      <c r="CB50" s="4783">
        <f t="shared" ref="CB50" si="297">IFERROR(AE50/$C$1,0)</f>
        <v>0</v>
      </c>
      <c r="CC50" s="4783">
        <f t="shared" ref="CC50" si="298">IFERROR(AF50/$C$1,0)</f>
        <v>0</v>
      </c>
      <c r="CD50" s="4783">
        <f t="shared" ref="CD50" si="299">IFERROR(AG50/$C$1,0)</f>
        <v>11.571342574440735</v>
      </c>
      <c r="CE50" s="4783">
        <f t="shared" ref="CE50" si="300">IFERROR(AH50/$C$1,0)</f>
        <v>12.809207128915791</v>
      </c>
      <c r="CF50" s="4783">
        <f t="shared" ref="CF50" si="301">IFERROR(AI50/$C$1,0)</f>
        <v>14.746734257659353</v>
      </c>
      <c r="CG50" s="4783">
        <f t="shared" ref="CG50" si="302">IFERROR(AJ50/$C$1,0)</f>
        <v>16.953362376506192</v>
      </c>
      <c r="CH50" s="4783">
        <f t="shared" ref="CH50" si="303">IFERROR(AK50/$C$1,0)</f>
        <v>19.48291168347696</v>
      </c>
      <c r="CI50" s="4783">
        <f t="shared" ref="CI50" si="304">IFERROR(AL50/$C$1,0)</f>
        <v>22.416112475602635</v>
      </c>
      <c r="CJ50" s="4783">
        <f t="shared" ref="CJ50" si="305">IFERROR(AM50/$C$1,0)</f>
        <v>10.445404500325166</v>
      </c>
      <c r="CK50" s="4783">
        <f t="shared" ref="CK50" si="306">IFERROR(AN50/$C$1,0)</f>
        <v>11.841644420889295</v>
      </c>
      <c r="CL50" s="4783">
        <f t="shared" ref="CL50" si="307">IFERROR(AO50/$C$1,0)</f>
        <v>13.620189643375999</v>
      </c>
      <c r="CM50" s="4783">
        <f t="shared" ref="CM50" si="308">IFERROR(AP50/$C$1,0)</f>
        <v>15.671838698740524</v>
      </c>
      <c r="CN50" s="4783">
        <f t="shared" ref="CN50" si="309">IFERROR(AQ50/$C$1,0)</f>
        <v>18.028173350085691</v>
      </c>
      <c r="CO50" s="4783">
        <f t="shared" ref="CO50" si="310">IFERROR(AR50/$C$1,0)</f>
        <v>20.733050009020964</v>
      </c>
      <c r="CP50" s="4783">
        <f t="shared" ref="CP50" si="311">IFERROR(AS50/$C$1,0)</f>
        <v>23.843170302595709</v>
      </c>
      <c r="CQ50" s="4783">
        <f t="shared" ref="CQ50" si="312">IFERROR(AT50/$C$1,0)</f>
        <v>27.420015486462979</v>
      </c>
      <c r="CR50" s="4158"/>
      <c r="CS50" s="4158"/>
      <c r="CT50" s="4158"/>
      <c r="CU50" s="4158"/>
      <c r="CV50" s="4158"/>
      <c r="CW50" s="4158"/>
      <c r="CX50" s="4158"/>
      <c r="CY50" s="4158"/>
      <c r="CZ50" s="4158"/>
      <c r="DA50" s="4158"/>
      <c r="DB50" s="4158"/>
      <c r="DC50" s="4158"/>
      <c r="DD50" s="4158"/>
      <c r="DE50" s="4158"/>
      <c r="DF50" s="4158"/>
      <c r="DG50" s="4158"/>
      <c r="DH50" s="4158"/>
      <c r="DI50" s="4158"/>
      <c r="DJ50" s="4158"/>
      <c r="DK50" s="4158"/>
      <c r="DL50" s="4158"/>
      <c r="DM50" s="4158"/>
      <c r="DN50" s="4158"/>
      <c r="DO50" s="4158"/>
      <c r="DP50" s="4158"/>
      <c r="DQ50" s="4158"/>
    </row>
    <row r="51" spans="1:121" s="733" customFormat="1" ht="24">
      <c r="A51" s="731"/>
      <c r="B51" s="828" t="s">
        <v>1317</v>
      </c>
      <c r="C51" s="1602"/>
      <c r="D51" s="1603">
        <f>IFERROR((D50-C50)/C50,0)</f>
        <v>0.47956223965091777</v>
      </c>
      <c r="E51" s="1603">
        <f t="shared" ref="E51:G51" si="313">IFERROR((E50-D50)/D50,0)</f>
        <v>0.15704650089117062</v>
      </c>
      <c r="F51" s="1603">
        <f t="shared" si="313"/>
        <v>0.15749960277527666</v>
      </c>
      <c r="G51" s="1603">
        <f t="shared" si="313"/>
        <v>0.14696497961996888</v>
      </c>
      <c r="H51" s="1603">
        <f>IFERROR((H50-G50)/G50,0)</f>
        <v>0.14949717929850376</v>
      </c>
      <c r="I51" s="1602"/>
      <c r="J51" s="1603">
        <f>IFERROR((J50-I50)/I50,0)</f>
        <v>0.63928523202952703</v>
      </c>
      <c r="K51" s="1603">
        <f t="shared" ref="K51:N51" si="314">IFERROR((K50-J50)/J50,0)</f>
        <v>0.15321252059308074</v>
      </c>
      <c r="L51" s="1603">
        <f t="shared" si="314"/>
        <v>0.11392857142857146</v>
      </c>
      <c r="M51" s="1603">
        <f t="shared" si="314"/>
        <v>0.17208619496802285</v>
      </c>
      <c r="N51" s="1603">
        <f t="shared" si="314"/>
        <v>0.14430095451993247</v>
      </c>
      <c r="O51" s="1602"/>
      <c r="P51" s="1603">
        <f>IFERROR((P50-O50)/O50,0)</f>
        <v>0.51845929221998199</v>
      </c>
      <c r="Q51" s="1603">
        <f t="shared" ref="Q51:T51" si="315">IFERROR((Q50-P50)/P50,0)</f>
        <v>0.1113974521054166</v>
      </c>
      <c r="R51" s="1603">
        <f t="shared" si="315"/>
        <v>0.15150368127300798</v>
      </c>
      <c r="S51" s="1603">
        <f t="shared" si="315"/>
        <v>0.15194582783803467</v>
      </c>
      <c r="T51" s="1603">
        <f t="shared" si="315"/>
        <v>0.15425837320574173</v>
      </c>
      <c r="U51" s="1602"/>
      <c r="V51" s="1603">
        <f>IFERROR((V50-U50)/U50,0)</f>
        <v>0</v>
      </c>
      <c r="W51" s="1603">
        <f t="shared" ref="W51:Z51" si="316">IFERROR((W50-V50)/V50,0)</f>
        <v>0</v>
      </c>
      <c r="X51" s="1603">
        <f t="shared" si="316"/>
        <v>0</v>
      </c>
      <c r="Y51" s="1603">
        <f t="shared" si="316"/>
        <v>0</v>
      </c>
      <c r="Z51" s="1603">
        <f t="shared" si="316"/>
        <v>0</v>
      </c>
      <c r="AA51" s="1602"/>
      <c r="AB51" s="1603">
        <f>IFERROR((AB50-AA50)/AA50,0)</f>
        <v>0</v>
      </c>
      <c r="AC51" s="1603">
        <f t="shared" ref="AC51:AF51" si="317">IFERROR((AC50-AB50)/AB50,0)</f>
        <v>0</v>
      </c>
      <c r="AD51" s="1603">
        <f t="shared" si="317"/>
        <v>0</v>
      </c>
      <c r="AE51" s="1603">
        <f t="shared" si="317"/>
        <v>0</v>
      </c>
      <c r="AF51" s="1603">
        <f t="shared" si="317"/>
        <v>0</v>
      </c>
      <c r="AG51" s="1602"/>
      <c r="AH51" s="1603">
        <f>IFERROR((AH50-AG50)/AG50,0)</f>
        <v>0.10697674418604657</v>
      </c>
      <c r="AI51" s="1603">
        <f t="shared" ref="AI51:AL51" si="318">IFERROR((AI50-AH50)/AH50,0)</f>
        <v>0.15126050420168058</v>
      </c>
      <c r="AJ51" s="1603">
        <f t="shared" si="318"/>
        <v>0.14963503649635032</v>
      </c>
      <c r="AK51" s="1603">
        <f t="shared" si="318"/>
        <v>0.1492063492063494</v>
      </c>
      <c r="AL51" s="1603">
        <f t="shared" si="318"/>
        <v>0.15055248618784528</v>
      </c>
      <c r="AM51" s="1602"/>
      <c r="AN51" s="1603">
        <f>IFERROR((AN50-AM50)/AM50,0)</f>
        <v>0.13367025858315632</v>
      </c>
      <c r="AO51" s="4913">
        <f>IFERROR((AO50-AN50)/AN50,0)</f>
        <v>0.15019410812144093</v>
      </c>
      <c r="AP51" s="4913">
        <f t="shared" ref="AP51:AT51" si="319">IFERROR((AP50-AO50)/AO50,0)</f>
        <v>0.15063292869510936</v>
      </c>
      <c r="AQ51" s="4913">
        <f t="shared" si="319"/>
        <v>0.15035470289357539</v>
      </c>
      <c r="AR51" s="4913">
        <f t="shared" si="319"/>
        <v>0.15003609108975058</v>
      </c>
      <c r="AS51" s="4913">
        <f t="shared" si="319"/>
        <v>0.1500078518221647</v>
      </c>
      <c r="AT51" s="4913">
        <f t="shared" si="319"/>
        <v>0.15001550290809579</v>
      </c>
      <c r="AU51" s="1596">
        <f>IFERROR((AP50-AM50)/AM50,0)</f>
        <v>0.5003572813530256</v>
      </c>
      <c r="AV51" s="1600"/>
      <c r="AW51" s="1601"/>
      <c r="AX51" s="4775"/>
      <c r="AY51" s="4788"/>
      <c r="AZ51" s="4158"/>
      <c r="BA51" s="4158"/>
      <c r="BB51" s="4158"/>
      <c r="BC51" s="4158"/>
      <c r="BD51" s="4158"/>
      <c r="BE51" s="4158"/>
      <c r="BF51" s="4158"/>
      <c r="BG51" s="4158"/>
      <c r="BH51" s="4158"/>
      <c r="BI51" s="4158"/>
      <c r="BJ51" s="4158"/>
      <c r="BK51" s="4158"/>
      <c r="BL51" s="4158"/>
      <c r="BM51" s="4158"/>
      <c r="BN51" s="4158"/>
      <c r="BO51" s="4158"/>
      <c r="BP51" s="4158"/>
      <c r="BQ51" s="4158"/>
      <c r="BR51" s="4158"/>
      <c r="BS51" s="4158"/>
      <c r="BT51" s="4158"/>
      <c r="BU51" s="4158"/>
      <c r="BV51" s="4158"/>
      <c r="BW51" s="4158"/>
      <c r="BX51" s="4158"/>
      <c r="BY51" s="4158"/>
      <c r="BZ51" s="4158"/>
      <c r="CA51" s="4158"/>
      <c r="CB51" s="4158"/>
      <c r="CC51" s="4158"/>
      <c r="CD51" s="4158"/>
      <c r="CE51" s="4158"/>
      <c r="CF51" s="4158"/>
      <c r="CG51" s="4158"/>
      <c r="CH51" s="4158"/>
      <c r="CI51" s="4158"/>
      <c r="CJ51" s="4158"/>
      <c r="CK51" s="4158"/>
      <c r="CL51" s="4158"/>
      <c r="CM51" s="4158"/>
      <c r="CN51" s="4158"/>
      <c r="CO51" s="4158"/>
      <c r="CP51" s="4158"/>
      <c r="CQ51" s="4158"/>
      <c r="CR51" s="4158"/>
      <c r="CS51" s="4158"/>
      <c r="CT51" s="4158"/>
      <c r="CU51" s="4158"/>
      <c r="CV51" s="4158"/>
      <c r="CW51" s="4158"/>
      <c r="CX51" s="4158"/>
      <c r="CY51" s="4158"/>
      <c r="CZ51" s="4158"/>
      <c r="DA51" s="4158"/>
      <c r="DB51" s="4158"/>
      <c r="DC51" s="4158"/>
      <c r="DD51" s="4158"/>
      <c r="DE51" s="4158"/>
      <c r="DF51" s="4158"/>
      <c r="DG51" s="4158"/>
      <c r="DH51" s="4158"/>
      <c r="DI51" s="4158"/>
      <c r="DJ51" s="4158"/>
      <c r="DK51" s="4158"/>
      <c r="DL51" s="4158"/>
      <c r="DM51" s="4158"/>
      <c r="DN51" s="4158"/>
      <c r="DO51" s="4158"/>
      <c r="DP51" s="4158"/>
      <c r="DQ51" s="4158"/>
    </row>
    <row r="52" spans="1:121" s="733" customFormat="1" ht="13.5" thickBot="1">
      <c r="A52" s="829"/>
      <c r="B52" s="4498" t="str">
        <f>+"изменениe спрямо "&amp;C9&amp;", %"</f>
        <v>изменениe спрямо 2024 г., %</v>
      </c>
      <c r="C52" s="1604"/>
      <c r="D52" s="1605">
        <f>IFERROR((D50-$C$50)/$C$50,0)</f>
        <v>0.47956223965091777</v>
      </c>
      <c r="E52" s="1605">
        <f t="shared" ref="E52:G52" si="320">IFERROR((E50-$C$50)/$C$50,0)</f>
        <v>0.71192231223879798</v>
      </c>
      <c r="F52" s="1605">
        <f t="shared" si="320"/>
        <v>0.98154939639854188</v>
      </c>
      <c r="G52" s="1605">
        <f t="shared" si="320"/>
        <v>1.2727677630562151</v>
      </c>
      <c r="H52" s="1605">
        <f>IFERROR((H50-$C$50)/$C$50,0)</f>
        <v>1.6125401328336897</v>
      </c>
      <c r="I52" s="1604"/>
      <c r="J52" s="1605">
        <f>IFERROR((J50-$I$50)/$I$50,0)</f>
        <v>0.63928523202952703</v>
      </c>
      <c r="K52" s="1605">
        <f t="shared" ref="K52:M52" si="321">IFERROR((K50-$I$50)/$I$50,0)</f>
        <v>0.89044425439978414</v>
      </c>
      <c r="L52" s="1605">
        <f t="shared" si="321"/>
        <v>1.1058198676689024</v>
      </c>
      <c r="M52" s="1605">
        <f t="shared" si="321"/>
        <v>1.4682023959841093</v>
      </c>
      <c r="N52" s="1605">
        <f>IFERROR((N50-$I$50)/$I$50,0)</f>
        <v>1.8243663576730007</v>
      </c>
      <c r="O52" s="1604"/>
      <c r="P52" s="1605">
        <f>IFERROR((P50-$O$50)/$O$50,0)</f>
        <v>0.51845929221998199</v>
      </c>
      <c r="Q52" s="1605">
        <f t="shared" ref="Q52:S52" si="322">IFERROR((Q50-$O$50)/$O$50,0)</f>
        <v>0.68761178849908211</v>
      </c>
      <c r="R52" s="1605">
        <f t="shared" si="322"/>
        <v>0.94329118701641812</v>
      </c>
      <c r="S52" s="1605">
        <f t="shared" si="322"/>
        <v>1.2385661751579848</v>
      </c>
      <c r="T52" s="1605">
        <f>IFERROR((T50-$O$50)/$O$50,0)</f>
        <v>1.5838837516512549</v>
      </c>
      <c r="U52" s="1604"/>
      <c r="V52" s="1605">
        <f>IFERROR((V50-$U$50)/$U$50,0)</f>
        <v>0</v>
      </c>
      <c r="W52" s="1605">
        <f t="shared" ref="W52:Y52" si="323">IFERROR((W50-$U$50)/$U$50,0)</f>
        <v>0</v>
      </c>
      <c r="X52" s="1605">
        <f t="shared" si="323"/>
        <v>0</v>
      </c>
      <c r="Y52" s="1605">
        <f t="shared" si="323"/>
        <v>0</v>
      </c>
      <c r="Z52" s="1605">
        <f>IFERROR((Z50-$U$50)/$U$50,0)</f>
        <v>0</v>
      </c>
      <c r="AA52" s="1604"/>
      <c r="AB52" s="1605">
        <f>IFERROR((AB50-$AA$50)/$AA$50,0)</f>
        <v>0</v>
      </c>
      <c r="AC52" s="1605">
        <f t="shared" ref="AC52:AF52" si="324">IFERROR((AC50-$AA$50)/$AA$50,0)</f>
        <v>0</v>
      </c>
      <c r="AD52" s="1605">
        <f t="shared" si="324"/>
        <v>0</v>
      </c>
      <c r="AE52" s="1605">
        <f t="shared" si="324"/>
        <v>0</v>
      </c>
      <c r="AF52" s="1605">
        <f t="shared" si="324"/>
        <v>0</v>
      </c>
      <c r="AG52" s="1604"/>
      <c r="AH52" s="1605">
        <f>IFERROR((AH50-$AG$50)/$AG$50,0)</f>
        <v>0.10697674418604657</v>
      </c>
      <c r="AI52" s="1605">
        <f>IFERROR((AI50-$AG$50)/$AG$50,0)</f>
        <v>0.27441860465116275</v>
      </c>
      <c r="AJ52" s="1605">
        <f t="shared" ref="AJ52:AK52" si="325">IFERROR((AJ50-$AG$50)/$AG$50,0)</f>
        <v>0.46511627906976732</v>
      </c>
      <c r="AK52" s="1605">
        <f t="shared" si="325"/>
        <v>0.68372093023255831</v>
      </c>
      <c r="AL52" s="1605">
        <f>IFERROR((AL50-$AG$50)/$AG$50,0)</f>
        <v>0.93720930232558153</v>
      </c>
      <c r="AM52" s="1604"/>
      <c r="AN52" s="1605">
        <f>IFERROR((AN50-$AM$50)/$AM$50,0)</f>
        <v>0.13367025858315632</v>
      </c>
      <c r="AO52" s="1605">
        <f t="shared" ref="AO52:AP52" si="326">IFERROR((AO50-$AM$50)/$AM$50,0)</f>
        <v>0.30394085197485676</v>
      </c>
      <c r="AP52" s="1605">
        <f t="shared" si="326"/>
        <v>0.5003572813530256</v>
      </c>
      <c r="AQ52" s="1605">
        <f>IFERROR((AQ50-$AM$50)/$AM$50,0)</f>
        <v>0.72594305462507214</v>
      </c>
      <c r="AR52" s="1605">
        <f t="shared" ref="AR52:AS52" si="327">IFERROR((AR50-$AM$50)/$AM$50,0)</f>
        <v>0.98489680398452184</v>
      </c>
      <c r="AS52" s="1605">
        <f t="shared" si="327"/>
        <v>1.2826469096389204</v>
      </c>
      <c r="AT52" s="1605">
        <f>IFERROR((AT50-$AM$50)/$AM$50,0)</f>
        <v>1.6250793337500136</v>
      </c>
      <c r="AU52" s="1606"/>
      <c r="AV52" s="1606"/>
      <c r="AW52" s="1607"/>
      <c r="AX52" s="4775"/>
      <c r="AY52" s="4788"/>
      <c r="AZ52" s="4158"/>
      <c r="BA52" s="4158"/>
      <c r="BB52" s="4158"/>
      <c r="BC52" s="4158"/>
      <c r="BD52" s="4158"/>
      <c r="BE52" s="4158"/>
      <c r="BF52" s="4158"/>
      <c r="BG52" s="4158"/>
      <c r="BH52" s="4158"/>
      <c r="BI52" s="4158"/>
      <c r="BJ52" s="4158"/>
      <c r="BK52" s="4158"/>
      <c r="BL52" s="4158"/>
      <c r="BM52" s="4158"/>
      <c r="BN52" s="4158"/>
      <c r="BO52" s="4158"/>
      <c r="BP52" s="4158"/>
      <c r="BQ52" s="4158"/>
      <c r="BR52" s="4158"/>
      <c r="BS52" s="4158"/>
      <c r="BT52" s="4158"/>
      <c r="BU52" s="4158"/>
      <c r="BV52" s="4158"/>
      <c r="BW52" s="4158"/>
      <c r="BX52" s="4158"/>
      <c r="BY52" s="4158"/>
      <c r="BZ52" s="4158"/>
      <c r="CA52" s="4158"/>
      <c r="CB52" s="4158"/>
      <c r="CC52" s="4158"/>
      <c r="CD52" s="4158"/>
      <c r="CE52" s="4158"/>
      <c r="CF52" s="4158"/>
      <c r="CG52" s="4158"/>
      <c r="CH52" s="4158"/>
      <c r="CI52" s="4158"/>
      <c r="CJ52" s="4158"/>
      <c r="CK52" s="4158"/>
      <c r="CL52" s="4158"/>
      <c r="CM52" s="4158"/>
      <c r="CN52" s="4158"/>
      <c r="CO52" s="4158"/>
      <c r="CP52" s="4158"/>
      <c r="CQ52" s="4158"/>
      <c r="CR52" s="4158"/>
      <c r="CS52" s="4158"/>
      <c r="CT52" s="4158"/>
      <c r="CU52" s="4158"/>
      <c r="CV52" s="4158"/>
      <c r="CW52" s="4158"/>
      <c r="CX52" s="4158"/>
      <c r="CY52" s="4158"/>
      <c r="CZ52" s="4158"/>
      <c r="DA52" s="4158"/>
      <c r="DB52" s="4158"/>
      <c r="DC52" s="4158"/>
      <c r="DD52" s="4158"/>
      <c r="DE52" s="4158"/>
      <c r="DF52" s="4158"/>
      <c r="DG52" s="4158"/>
      <c r="DH52" s="4158"/>
      <c r="DI52" s="4158"/>
      <c r="DJ52" s="4158"/>
      <c r="DK52" s="4158"/>
      <c r="DL52" s="4158"/>
      <c r="DM52" s="4158"/>
      <c r="DN52" s="4158"/>
      <c r="DO52" s="4158"/>
      <c r="DP52" s="4158"/>
      <c r="DQ52" s="4158"/>
    </row>
    <row r="53" spans="1:121" s="171" customFormat="1" ht="26.25" thickBot="1">
      <c r="A53" s="737" t="s">
        <v>1264</v>
      </c>
      <c r="B53" s="738" t="s">
        <v>1195</v>
      </c>
      <c r="C53" s="1608">
        <f>IFERROR(C30/C15,0)</f>
        <v>40.333333333333336</v>
      </c>
      <c r="D53" s="1608">
        <f>IFERROR(D30/D15,0)</f>
        <v>57.25</v>
      </c>
      <c r="E53" s="1608">
        <f t="shared" ref="E53:H53" si="328">IFERROR(E30/E15,0)</f>
        <v>66.333333333333329</v>
      </c>
      <c r="F53" s="1608">
        <f t="shared" si="328"/>
        <v>76.833333333333329</v>
      </c>
      <c r="G53" s="1608">
        <f t="shared" si="328"/>
        <v>88.333333333333329</v>
      </c>
      <c r="H53" s="1609">
        <f t="shared" si="328"/>
        <v>101.58333333333333</v>
      </c>
      <c r="I53" s="1608">
        <f>IFERROR(I30/I15,0)</f>
        <v>92</v>
      </c>
      <c r="J53" s="1608">
        <f>IFERROR(J30/J15,0)</f>
        <v>140</v>
      </c>
      <c r="K53" s="1608">
        <f t="shared" ref="K53:N53" si="329">IFERROR(K30/K15,0)</f>
        <v>161</v>
      </c>
      <c r="L53" s="1608">
        <f t="shared" si="329"/>
        <v>185</v>
      </c>
      <c r="M53" s="1608">
        <f t="shared" si="329"/>
        <v>213</v>
      </c>
      <c r="N53" s="1609">
        <f t="shared" si="329"/>
        <v>245</v>
      </c>
      <c r="O53" s="1608">
        <f t="shared" ref="O53:Q54" si="330">IFERROR(O30/O15,0)</f>
        <v>30.4</v>
      </c>
      <c r="P53" s="1608">
        <f t="shared" si="330"/>
        <v>45</v>
      </c>
      <c r="Q53" s="1608">
        <f t="shared" si="330"/>
        <v>47.8</v>
      </c>
      <c r="R53" s="1608">
        <f t="shared" ref="R53:T53" si="331">IFERROR(R30/R15,0)</f>
        <v>53.4</v>
      </c>
      <c r="S53" s="1608">
        <f t="shared" si="331"/>
        <v>61.4</v>
      </c>
      <c r="T53" s="1609">
        <f t="shared" si="331"/>
        <v>70.599999999999994</v>
      </c>
      <c r="U53" s="1608">
        <f>IFERROR(U30/U15,0)</f>
        <v>0</v>
      </c>
      <c r="V53" s="1608">
        <f>IFERROR(V30/V15,0)</f>
        <v>0</v>
      </c>
      <c r="W53" s="1608">
        <f t="shared" ref="W53:Z53" si="332">IFERROR(W30/W15,0)</f>
        <v>0</v>
      </c>
      <c r="X53" s="1608">
        <f t="shared" si="332"/>
        <v>0</v>
      </c>
      <c r="Y53" s="1608">
        <f t="shared" si="332"/>
        <v>0</v>
      </c>
      <c r="Z53" s="1609">
        <f t="shared" si="332"/>
        <v>0</v>
      </c>
      <c r="AA53" s="1608">
        <f>IFERROR(AA30/AA15,0)</f>
        <v>0</v>
      </c>
      <c r="AB53" s="1608">
        <f>IFERROR(AB30/AB15,0)</f>
        <v>0</v>
      </c>
      <c r="AC53" s="1608">
        <f t="shared" ref="AC53:AF53" si="333">IFERROR(AC30/AC15,0)</f>
        <v>0</v>
      </c>
      <c r="AD53" s="1608">
        <f t="shared" si="333"/>
        <v>0</v>
      </c>
      <c r="AE53" s="1608">
        <f t="shared" si="333"/>
        <v>0</v>
      </c>
      <c r="AF53" s="1609">
        <f t="shared" si="333"/>
        <v>0</v>
      </c>
      <c r="AG53" s="1608">
        <f>IFERROR(AG30/AG15,0)</f>
        <v>0</v>
      </c>
      <c r="AH53" s="1608">
        <f>IFERROR(AH30/AH15,0)</f>
        <v>0</v>
      </c>
      <c r="AI53" s="1608">
        <f t="shared" ref="AI53:AL53" si="334">IFERROR(AI30/AI15,0)</f>
        <v>0</v>
      </c>
      <c r="AJ53" s="1608">
        <f t="shared" si="334"/>
        <v>0</v>
      </c>
      <c r="AK53" s="1608">
        <f t="shared" si="334"/>
        <v>0</v>
      </c>
      <c r="AL53" s="1609">
        <f t="shared" si="334"/>
        <v>0</v>
      </c>
      <c r="AM53" s="1608">
        <f>IFERROR(AM30/AM15,0)</f>
        <v>40.444444444444443</v>
      </c>
      <c r="AN53" s="1608">
        <f t="shared" ref="AN53:AO53" si="335">IFERROR(AN30/AN15,0)</f>
        <v>45.888888888888886</v>
      </c>
      <c r="AO53" s="1608">
        <f t="shared" si="335"/>
        <v>52.777777777777779</v>
      </c>
      <c r="AP53" s="1608">
        <f>IFERROR(AP30/AP15,0)</f>
        <v>58.444444444444443</v>
      </c>
      <c r="AQ53" s="1608">
        <f t="shared" ref="AQ53:AT53" si="336">IFERROR(AQ30/AQ15,0)</f>
        <v>66.444444444444443</v>
      </c>
      <c r="AR53" s="1608">
        <f t="shared" si="336"/>
        <v>76.333333333333329</v>
      </c>
      <c r="AS53" s="1608">
        <f t="shared" si="336"/>
        <v>87.777777777777771</v>
      </c>
      <c r="AT53" s="1609">
        <f t="shared" si="336"/>
        <v>100.94444444444444</v>
      </c>
      <c r="AU53" s="1573">
        <f t="shared" ref="AU53:AU60" si="337">IFERROR((AP53-AM53)/AM53,0)</f>
        <v>0.44505494505494508</v>
      </c>
      <c r="AV53" s="1573">
        <f t="shared" ref="AV53:AV61" si="338">IFERROR(((D53+V53+AB53)-(+C53+U53+AA53))/(C53+U53+AA53),0)</f>
        <v>0.41942148760330572</v>
      </c>
      <c r="AW53" s="1574">
        <f t="shared" ref="AW53:AW61" si="339">IFERROR(((J53+P53)-(I53+O53))/(I53+O53),0)</f>
        <v>0.51143790849673199</v>
      </c>
      <c r="AX53" s="4775"/>
      <c r="AY53" s="4779" t="s">
        <v>1878</v>
      </c>
      <c r="AZ53" s="4783">
        <f t="shared" ref="AZ53:AZ61" si="340">IFERROR(C53/$C$1,0)</f>
        <v>20.622105874914148</v>
      </c>
      <c r="BA53" s="4783">
        <f t="shared" ref="BA53:BA61" si="341">IFERROR(D53/$C$1,0)</f>
        <v>29.27146019848351</v>
      </c>
      <c r="BB53" s="4783">
        <f t="shared" ref="BB53:BB61" si="342">IFERROR(E53/$C$1,0)</f>
        <v>33.915694786015827</v>
      </c>
      <c r="BC53" s="4783">
        <f t="shared" ref="BC53:BC61" si="343">IFERROR(F53/$C$1,0)</f>
        <v>39.284259538576116</v>
      </c>
      <c r="BD53" s="4783">
        <f t="shared" ref="BD53:BD61" si="344">IFERROR(G53/$C$1,0)</f>
        <v>45.164116172332633</v>
      </c>
      <c r="BE53" s="4783">
        <f t="shared" ref="BE53:BE61" si="345">IFERROR(H53/$C$1,0)</f>
        <v>51.938733598182523</v>
      </c>
      <c r="BF53" s="4783">
        <f t="shared" ref="BF53:BF61" si="346">IFERROR(I53/$C$1,0)</f>
        <v>47.038853070052099</v>
      </c>
      <c r="BG53" s="4783">
        <f t="shared" ref="BG53:BG61" si="347">IFERROR(J53/$C$1,0)</f>
        <v>71.580863367470585</v>
      </c>
      <c r="BH53" s="4783">
        <f t="shared" ref="BH53:BH61" si="348">IFERROR(K53/$C$1,0)</f>
        <v>82.317992872591176</v>
      </c>
      <c r="BI53" s="4783">
        <f t="shared" ref="BI53:BI61" si="349">IFERROR(L53/$C$1,0)</f>
        <v>94.588998021300426</v>
      </c>
      <c r="BJ53" s="4783">
        <f t="shared" ref="BJ53:BJ61" si="350">IFERROR(M53/$C$1,0)</f>
        <v>108.90517069479453</v>
      </c>
      <c r="BK53" s="4783">
        <f t="shared" ref="BK53:BK61" si="351">IFERROR(N53/$C$1,0)</f>
        <v>125.26651089307353</v>
      </c>
      <c r="BL53" s="4783">
        <f t="shared" ref="BL53:BL61" si="352">IFERROR(O53/$C$1,0)</f>
        <v>15.543273188365042</v>
      </c>
      <c r="BM53" s="4783">
        <f t="shared" ref="BM53:BM61" si="353">IFERROR(P53/$C$1,0)</f>
        <v>23.008134653829831</v>
      </c>
      <c r="BN53" s="4783">
        <f t="shared" ref="BN53:BN61" si="354">IFERROR(Q53/$C$1,0)</f>
        <v>24.439751921179244</v>
      </c>
      <c r="BO53" s="4783">
        <f t="shared" ref="BO53:BO61" si="355">IFERROR(R53/$C$1,0)</f>
        <v>27.302986455878067</v>
      </c>
      <c r="BP53" s="4783">
        <f t="shared" ref="BP53:BP61" si="356">IFERROR(S53/$C$1,0)</f>
        <v>31.393321505447815</v>
      </c>
      <c r="BQ53" s="4783">
        <f t="shared" ref="BQ53:BQ61" si="357">IFERROR(T53/$C$1,0)</f>
        <v>36.097206812453024</v>
      </c>
      <c r="BR53" s="4783">
        <f t="shared" ref="BR53:BR61" si="358">IFERROR(U53/$C$1,0)</f>
        <v>0</v>
      </c>
      <c r="BS53" s="4783">
        <f t="shared" ref="BS53:BS61" si="359">IFERROR(V53/$C$1,0)</f>
        <v>0</v>
      </c>
      <c r="BT53" s="4783">
        <f t="shared" ref="BT53:BT61" si="360">IFERROR(W53/$C$1,0)</f>
        <v>0</v>
      </c>
      <c r="BU53" s="4783">
        <f t="shared" ref="BU53:BU61" si="361">IFERROR(X53/$C$1,0)</f>
        <v>0</v>
      </c>
      <c r="BV53" s="4783">
        <f t="shared" ref="BV53:BV61" si="362">IFERROR(Y53/$C$1,0)</f>
        <v>0</v>
      </c>
      <c r="BW53" s="4783">
        <f t="shared" ref="BW53:BW61" si="363">IFERROR(Z53/$C$1,0)</f>
        <v>0</v>
      </c>
      <c r="BX53" s="4783">
        <f t="shared" ref="BX53:BX61" si="364">IFERROR(AA53/$C$1,0)</f>
        <v>0</v>
      </c>
      <c r="BY53" s="4783">
        <f t="shared" ref="BY53:BY61" si="365">IFERROR(AB53/$C$1,0)</f>
        <v>0</v>
      </c>
      <c r="BZ53" s="4783">
        <f t="shared" ref="BZ53:BZ61" si="366">IFERROR(AC53/$C$1,0)</f>
        <v>0</v>
      </c>
      <c r="CA53" s="4783">
        <f t="shared" ref="CA53:CA61" si="367">IFERROR(AD53/$C$1,0)</f>
        <v>0</v>
      </c>
      <c r="CB53" s="4783">
        <f t="shared" ref="CB53:CB61" si="368">IFERROR(AE53/$C$1,0)</f>
        <v>0</v>
      </c>
      <c r="CC53" s="4783">
        <f t="shared" ref="CC53:CC61" si="369">IFERROR(AF53/$C$1,0)</f>
        <v>0</v>
      </c>
      <c r="CD53" s="4783">
        <f t="shared" ref="CD53:CD61" si="370">IFERROR(AG53/$C$1,0)</f>
        <v>0</v>
      </c>
      <c r="CE53" s="4783">
        <f t="shared" ref="CE53:CE61" si="371">IFERROR(AH53/$C$1,0)</f>
        <v>0</v>
      </c>
      <c r="CF53" s="4783">
        <f t="shared" ref="CF53:CF61" si="372">IFERROR(AI53/$C$1,0)</f>
        <v>0</v>
      </c>
      <c r="CG53" s="4783">
        <f t="shared" ref="CG53:CG61" si="373">IFERROR(AJ53/$C$1,0)</f>
        <v>0</v>
      </c>
      <c r="CH53" s="4783">
        <f t="shared" ref="CH53:CH61" si="374">IFERROR(AK53/$C$1,0)</f>
        <v>0</v>
      </c>
      <c r="CI53" s="4783">
        <f t="shared" ref="CI53:CI61" si="375">IFERROR(AL53/$C$1,0)</f>
        <v>0</v>
      </c>
      <c r="CJ53" s="4783">
        <f t="shared" ref="CJ53:CJ61" si="376">IFERROR(AM53/$C$1,0)</f>
        <v>20.678916083935949</v>
      </c>
      <c r="CK53" s="4783">
        <f t="shared" ref="CK53:CK61" si="377">IFERROR(AN53/$C$1,0)</f>
        <v>23.462616326004248</v>
      </c>
      <c r="CL53" s="4783">
        <f t="shared" ref="CL53:CL61" si="378">IFERROR(AO53/$C$1,0)</f>
        <v>26.984849285355978</v>
      </c>
      <c r="CM53" s="4783">
        <f t="shared" ref="CM53:CM61" si="379">IFERROR(AP53/$C$1,0)</f>
        <v>29.882169945467879</v>
      </c>
      <c r="CN53" s="4783">
        <f t="shared" ref="CN53:CN61" si="380">IFERROR(AQ53/$C$1,0)</f>
        <v>33.972504995037632</v>
      </c>
      <c r="CO53" s="4783">
        <f t="shared" ref="CO53:CO61" si="381">IFERROR(AR53/$C$1,0)</f>
        <v>39.028613597978008</v>
      </c>
      <c r="CP53" s="4783">
        <f t="shared" ref="CP53:CP61" si="382">IFERROR(AS53/$C$1,0)</f>
        <v>44.880065127223624</v>
      </c>
      <c r="CQ53" s="4783">
        <f t="shared" ref="CQ53:CQ61" si="383">IFERROR(AT53/$C$1,0)</f>
        <v>51.612074896307163</v>
      </c>
      <c r="CR53" s="4158"/>
      <c r="CS53" s="4158"/>
      <c r="CT53" s="4158"/>
      <c r="CU53" s="4158"/>
      <c r="CV53" s="4158"/>
      <c r="CW53" s="4158"/>
      <c r="CX53" s="4158"/>
      <c r="CY53" s="4158"/>
      <c r="CZ53" s="4158"/>
      <c r="DA53" s="4158"/>
      <c r="DB53" s="4158"/>
      <c r="DC53" s="4158"/>
      <c r="DD53" s="4158"/>
      <c r="DE53" s="4158"/>
      <c r="DF53" s="4158"/>
      <c r="DG53" s="4158"/>
      <c r="DH53" s="4158"/>
      <c r="DI53" s="4158"/>
      <c r="DJ53" s="4158"/>
      <c r="DK53" s="4158"/>
      <c r="DL53" s="4158"/>
      <c r="DM53" s="4158"/>
      <c r="DN53" s="4158"/>
      <c r="DO53" s="4158"/>
      <c r="DP53" s="4158"/>
      <c r="DQ53" s="4158"/>
    </row>
    <row r="54" spans="1:121" s="171" customFormat="1" ht="26.25" thickBot="1">
      <c r="A54" s="626" t="s">
        <v>1265</v>
      </c>
      <c r="B54" s="628" t="s">
        <v>1196</v>
      </c>
      <c r="C54" s="1610">
        <f t="shared" ref="C54" si="384">IFERROR(C31/C16,0)</f>
        <v>25.09090909090909</v>
      </c>
      <c r="D54" s="1610">
        <f>IFERROR(D31/D16,0)</f>
        <v>35.454545454545453</v>
      </c>
      <c r="E54" s="1610">
        <f>IFERROR(E31/E16,0)</f>
        <v>44</v>
      </c>
      <c r="F54" s="1610">
        <f>IFERROR(F31/F16,0)</f>
        <v>46.590909090909093</v>
      </c>
      <c r="G54" s="1610">
        <f>IFERROR(G31/G16,0)</f>
        <v>53.590909090909093</v>
      </c>
      <c r="H54" s="1611">
        <f>IFERROR(H31/H16,0)</f>
        <v>59.363636363636367</v>
      </c>
      <c r="I54" s="1610">
        <f>IFERROR(I31/I16,0)</f>
        <v>56.5</v>
      </c>
      <c r="J54" s="1610">
        <f>IFERROR(J31/J16,0)</f>
        <v>84.5</v>
      </c>
      <c r="K54" s="1610">
        <f>IFERROR(K31/K16,0)</f>
        <v>97.5</v>
      </c>
      <c r="L54" s="1610">
        <f>IFERROR(L31/L16,0)</f>
        <v>112</v>
      </c>
      <c r="M54" s="1610">
        <f>IFERROR(M31/M16,0)</f>
        <v>128.5</v>
      </c>
      <c r="N54" s="1611">
        <f>IFERROR(N31/N16,0)</f>
        <v>148</v>
      </c>
      <c r="O54" s="1610">
        <f t="shared" si="330"/>
        <v>13.9</v>
      </c>
      <c r="P54" s="1610">
        <f t="shared" si="330"/>
        <v>20.2</v>
      </c>
      <c r="Q54" s="1610">
        <f t="shared" si="330"/>
        <v>23.3</v>
      </c>
      <c r="R54" s="1610">
        <f>IFERROR(R31/R16,0)</f>
        <v>25.8</v>
      </c>
      <c r="S54" s="1610">
        <f>IFERROR(S31/S16,0)</f>
        <v>29.8</v>
      </c>
      <c r="T54" s="1611">
        <f>IFERROR(T31/T16,0)</f>
        <v>33.299999999999997</v>
      </c>
      <c r="U54" s="1610">
        <f>IFERROR(U31/U16,0)</f>
        <v>0</v>
      </c>
      <c r="V54" s="1610">
        <f>IFERROR(V31/V16,0)</f>
        <v>0</v>
      </c>
      <c r="W54" s="1610">
        <f>IFERROR(W31/W16,0)</f>
        <v>0</v>
      </c>
      <c r="X54" s="1610">
        <f>IFERROR(X31/X16,0)</f>
        <v>0</v>
      </c>
      <c r="Y54" s="1610">
        <f>IFERROR(Y31/Y16,0)</f>
        <v>0</v>
      </c>
      <c r="Z54" s="1611">
        <f>IFERROR(Z31/Z16,0)</f>
        <v>0</v>
      </c>
      <c r="AA54" s="1610">
        <f>IFERROR(AA31/AA16,0)</f>
        <v>0</v>
      </c>
      <c r="AB54" s="1610">
        <f>IFERROR(AB31/AB16,0)</f>
        <v>0</v>
      </c>
      <c r="AC54" s="1610">
        <f>IFERROR(AC31/AC16,0)</f>
        <v>0</v>
      </c>
      <c r="AD54" s="1610">
        <f>IFERROR(AD31/AD16,0)</f>
        <v>0</v>
      </c>
      <c r="AE54" s="1610">
        <f>IFERROR(AE31/AE16,0)</f>
        <v>0</v>
      </c>
      <c r="AF54" s="1611">
        <f>IFERROR(AF31/AF16,0)</f>
        <v>0</v>
      </c>
      <c r="AG54" s="1610">
        <f>IFERROR(AG31/AG16,0)</f>
        <v>0</v>
      </c>
      <c r="AH54" s="1610">
        <f>IFERROR(AH31/AH16,0)</f>
        <v>0</v>
      </c>
      <c r="AI54" s="1610">
        <f>IFERROR(AI31/AI16,0)</f>
        <v>0</v>
      </c>
      <c r="AJ54" s="1610">
        <f>IFERROR(AJ31/AJ16,0)</f>
        <v>0</v>
      </c>
      <c r="AK54" s="1610">
        <f>IFERROR(AK31/AK16,0)</f>
        <v>0</v>
      </c>
      <c r="AL54" s="1611">
        <f>IFERROR(AL31/AL16,0)</f>
        <v>0</v>
      </c>
      <c r="AM54" s="1610">
        <f>IFERROR(AM31/AM16,0)</f>
        <v>23.647058823529413</v>
      </c>
      <c r="AN54" s="1610">
        <f t="shared" ref="AN54:AO54" si="385">IFERROR(AN31/AN16,0)</f>
        <v>25.666666666666668</v>
      </c>
      <c r="AO54" s="1610">
        <f t="shared" si="385"/>
        <v>29.527777777777779</v>
      </c>
      <c r="AP54" s="1610">
        <f t="shared" ref="AP54:AT54" si="386">IFERROR(AP31/AP16,0)</f>
        <v>33.852941176470587</v>
      </c>
      <c r="AQ54" s="1610">
        <f t="shared" si="386"/>
        <v>41.058823529411768</v>
      </c>
      <c r="AR54" s="1610">
        <f t="shared" si="386"/>
        <v>44.323529411764703</v>
      </c>
      <c r="AS54" s="1610">
        <f t="shared" si="386"/>
        <v>51</v>
      </c>
      <c r="AT54" s="1611">
        <f t="shared" si="386"/>
        <v>56.911764705882355</v>
      </c>
      <c r="AU54" s="994">
        <f t="shared" si="337"/>
        <v>0.43159203980099492</v>
      </c>
      <c r="AV54" s="994">
        <f t="shared" si="338"/>
        <v>0.41304347826086957</v>
      </c>
      <c r="AW54" s="990">
        <f t="shared" si="339"/>
        <v>0.48721590909090901</v>
      </c>
      <c r="AX54" s="4775"/>
      <c r="AY54" s="4779" t="s">
        <v>1878</v>
      </c>
      <c r="AZ54" s="4783">
        <f t="shared" si="340"/>
        <v>12.828778110014209</v>
      </c>
      <c r="BA54" s="4783">
        <f t="shared" si="341"/>
        <v>18.127621242411383</v>
      </c>
      <c r="BB54" s="4783">
        <f t="shared" si="342"/>
        <v>22.496842772633613</v>
      </c>
      <c r="BC54" s="4783">
        <f t="shared" si="343"/>
        <v>23.821553555732908</v>
      </c>
      <c r="BD54" s="4783">
        <f t="shared" si="344"/>
        <v>27.400596724106439</v>
      </c>
      <c r="BE54" s="4783">
        <f t="shared" si="345"/>
        <v>30.352145311011881</v>
      </c>
      <c r="BF54" s="4783">
        <f t="shared" si="346"/>
        <v>28.887991287586345</v>
      </c>
      <c r="BG54" s="4783">
        <f t="shared" si="347"/>
        <v>43.204163961080461</v>
      </c>
      <c r="BH54" s="4783">
        <f t="shared" si="348"/>
        <v>49.8509584166313</v>
      </c>
      <c r="BI54" s="4783">
        <f t="shared" si="349"/>
        <v>57.264690693976469</v>
      </c>
      <c r="BJ54" s="4783">
        <f t="shared" si="350"/>
        <v>65.701006733714081</v>
      </c>
      <c r="BK54" s="4783">
        <f t="shared" si="351"/>
        <v>75.671198417040344</v>
      </c>
      <c r="BL54" s="4783">
        <f t="shared" si="352"/>
        <v>7.106957148627437</v>
      </c>
      <c r="BM54" s="4783">
        <f t="shared" si="353"/>
        <v>10.328096000163614</v>
      </c>
      <c r="BN54" s="4783">
        <f t="shared" si="354"/>
        <v>11.913100831871891</v>
      </c>
      <c r="BO54" s="4783">
        <f t="shared" si="355"/>
        <v>13.191330534862438</v>
      </c>
      <c r="BP54" s="4783">
        <f t="shared" si="356"/>
        <v>15.236498059647312</v>
      </c>
      <c r="BQ54" s="4783">
        <f t="shared" si="357"/>
        <v>17.026019643834076</v>
      </c>
      <c r="BR54" s="4783">
        <f t="shared" si="358"/>
        <v>0</v>
      </c>
      <c r="BS54" s="4783">
        <f t="shared" si="359"/>
        <v>0</v>
      </c>
      <c r="BT54" s="4783">
        <f t="shared" si="360"/>
        <v>0</v>
      </c>
      <c r="BU54" s="4783">
        <f t="shared" si="361"/>
        <v>0</v>
      </c>
      <c r="BV54" s="4783">
        <f t="shared" si="362"/>
        <v>0</v>
      </c>
      <c r="BW54" s="4783">
        <f t="shared" si="363"/>
        <v>0</v>
      </c>
      <c r="BX54" s="4783">
        <f t="shared" si="364"/>
        <v>0</v>
      </c>
      <c r="BY54" s="4783">
        <f t="shared" si="365"/>
        <v>0</v>
      </c>
      <c r="BZ54" s="4783">
        <f t="shared" si="366"/>
        <v>0</v>
      </c>
      <c r="CA54" s="4783">
        <f t="shared" si="367"/>
        <v>0</v>
      </c>
      <c r="CB54" s="4783">
        <f t="shared" si="368"/>
        <v>0</v>
      </c>
      <c r="CC54" s="4783">
        <f t="shared" si="369"/>
        <v>0</v>
      </c>
      <c r="CD54" s="4783">
        <f t="shared" si="370"/>
        <v>0</v>
      </c>
      <c r="CE54" s="4783">
        <f t="shared" si="371"/>
        <v>0</v>
      </c>
      <c r="CF54" s="4783">
        <f t="shared" si="372"/>
        <v>0</v>
      </c>
      <c r="CG54" s="4783">
        <f t="shared" si="373"/>
        <v>0</v>
      </c>
      <c r="CH54" s="4783">
        <f t="shared" si="374"/>
        <v>0</v>
      </c>
      <c r="CI54" s="4783">
        <f t="shared" si="375"/>
        <v>0</v>
      </c>
      <c r="CJ54" s="4783">
        <f t="shared" si="376"/>
        <v>12.09054919063999</v>
      </c>
      <c r="CK54" s="4783">
        <f t="shared" si="377"/>
        <v>13.123158284036275</v>
      </c>
      <c r="CL54" s="4783">
        <f t="shared" si="378"/>
        <v>15.097313047543896</v>
      </c>
      <c r="CM54" s="4783">
        <f t="shared" si="379"/>
        <v>17.308733978142573</v>
      </c>
      <c r="CN54" s="4783">
        <f t="shared" si="380"/>
        <v>20.993043122056502</v>
      </c>
      <c r="CO54" s="4783">
        <f t="shared" si="381"/>
        <v>22.662260734197094</v>
      </c>
      <c r="CP54" s="4783">
        <f t="shared" si="382"/>
        <v>26.075885941007144</v>
      </c>
      <c r="CQ54" s="4783">
        <f t="shared" si="383"/>
        <v>29.098523238667141</v>
      </c>
      <c r="CR54" s="4158"/>
      <c r="CS54" s="4158"/>
      <c r="CT54" s="4158"/>
      <c r="CU54" s="4158"/>
      <c r="CV54" s="4158"/>
      <c r="CW54" s="4158"/>
      <c r="CX54" s="4158"/>
      <c r="CY54" s="4158"/>
      <c r="CZ54" s="4158"/>
      <c r="DA54" s="4158"/>
      <c r="DB54" s="4158"/>
      <c r="DC54" s="4158"/>
      <c r="DD54" s="4158"/>
      <c r="DE54" s="4158"/>
      <c r="DF54" s="4158"/>
      <c r="DG54" s="4158"/>
      <c r="DH54" s="4158"/>
      <c r="DI54" s="4158"/>
      <c r="DJ54" s="4158"/>
      <c r="DK54" s="4158"/>
      <c r="DL54" s="4158"/>
      <c r="DM54" s="4158"/>
      <c r="DN54" s="4158"/>
      <c r="DO54" s="4158"/>
      <c r="DP54" s="4158"/>
      <c r="DQ54" s="4158"/>
    </row>
    <row r="55" spans="1:121" s="171" customFormat="1" ht="26.25" thickBot="1">
      <c r="A55" s="626" t="s">
        <v>1266</v>
      </c>
      <c r="B55" s="628" t="s">
        <v>1197</v>
      </c>
      <c r="C55" s="1610">
        <f t="shared" ref="C55" si="387">IFERROR(C32/C17,0)</f>
        <v>27.692307692307693</v>
      </c>
      <c r="D55" s="1610">
        <f t="shared" ref="D55:H55" si="388">IFERROR(D32/D17,0)</f>
        <v>42.192307692307693</v>
      </c>
      <c r="E55" s="1610">
        <f t="shared" si="388"/>
        <v>47.42307692307692</v>
      </c>
      <c r="F55" s="1610">
        <f t="shared" si="388"/>
        <v>52.07692307692308</v>
      </c>
      <c r="G55" s="1610">
        <f t="shared" si="388"/>
        <v>58.730769230769234</v>
      </c>
      <c r="H55" s="1611">
        <f t="shared" si="388"/>
        <v>66.769230769230774</v>
      </c>
      <c r="I55" s="1610">
        <f t="shared" ref="I55:I61" si="389">IFERROR(I32/I17,0)</f>
        <v>42.333333333333336</v>
      </c>
      <c r="J55" s="1610">
        <f t="shared" ref="J55:N55" si="390">IFERROR(J32/J17,0)</f>
        <v>64</v>
      </c>
      <c r="K55" s="1610">
        <f t="shared" si="390"/>
        <v>73.666666666666671</v>
      </c>
      <c r="L55" s="1610">
        <f t="shared" si="390"/>
        <v>78</v>
      </c>
      <c r="M55" s="1610">
        <f t="shared" si="390"/>
        <v>89.666666666666671</v>
      </c>
      <c r="N55" s="1611">
        <f t="shared" si="390"/>
        <v>103</v>
      </c>
      <c r="O55" s="1610">
        <f t="shared" ref="O55:O61" si="391">IFERROR(O32/O17,0)</f>
        <v>19.285714285714285</v>
      </c>
      <c r="P55" s="1610">
        <f t="shared" ref="P55:T55" si="392">IFERROR(P32/P17,0)</f>
        <v>28.571428571428573</v>
      </c>
      <c r="Q55" s="1610">
        <f t="shared" si="392"/>
        <v>32.857142857142854</v>
      </c>
      <c r="R55" s="1610">
        <f t="shared" si="392"/>
        <v>36.285714285714285</v>
      </c>
      <c r="S55" s="1610">
        <f t="shared" si="392"/>
        <v>40.714285714285715</v>
      </c>
      <c r="T55" s="1611">
        <f t="shared" si="392"/>
        <v>46.857142857142854</v>
      </c>
      <c r="U55" s="1610">
        <f t="shared" ref="U55:U61" si="393">IFERROR(U32/U17,0)</f>
        <v>0</v>
      </c>
      <c r="V55" s="1610">
        <f t="shared" ref="V55:Z55" si="394">IFERROR(V32/V17,0)</f>
        <v>0</v>
      </c>
      <c r="W55" s="1610">
        <f t="shared" si="394"/>
        <v>0</v>
      </c>
      <c r="X55" s="1610">
        <f t="shared" si="394"/>
        <v>0</v>
      </c>
      <c r="Y55" s="1610">
        <f t="shared" si="394"/>
        <v>0</v>
      </c>
      <c r="Z55" s="1611">
        <f t="shared" si="394"/>
        <v>0</v>
      </c>
      <c r="AA55" s="1610">
        <f t="shared" ref="AA55:AA61" si="395">IFERROR(AA32/AA17,0)</f>
        <v>0</v>
      </c>
      <c r="AB55" s="1610">
        <f t="shared" ref="AB55:AF55" si="396">IFERROR(AB32/AB17,0)</f>
        <v>0</v>
      </c>
      <c r="AC55" s="1610">
        <f t="shared" si="396"/>
        <v>0</v>
      </c>
      <c r="AD55" s="1610">
        <f t="shared" si="396"/>
        <v>0</v>
      </c>
      <c r="AE55" s="1610">
        <f t="shared" si="396"/>
        <v>0</v>
      </c>
      <c r="AF55" s="1611">
        <f t="shared" si="396"/>
        <v>0</v>
      </c>
      <c r="AG55" s="1610">
        <f t="shared" ref="AG55:AG61" si="397">IFERROR(AG32/AG17,0)</f>
        <v>0</v>
      </c>
      <c r="AH55" s="1610">
        <f t="shared" ref="AH55:AL55" si="398">IFERROR(AH32/AH17,0)</f>
        <v>0</v>
      </c>
      <c r="AI55" s="1610">
        <f t="shared" si="398"/>
        <v>0</v>
      </c>
      <c r="AJ55" s="1610">
        <f t="shared" si="398"/>
        <v>0</v>
      </c>
      <c r="AK55" s="1610">
        <f t="shared" si="398"/>
        <v>0</v>
      </c>
      <c r="AL55" s="1611">
        <f t="shared" si="398"/>
        <v>0</v>
      </c>
      <c r="AM55" s="1610">
        <f t="shared" ref="AM55:AO61" si="399">IFERROR(AM32/AM17,0)</f>
        <v>27.277777777777779</v>
      </c>
      <c r="AN55" s="1610">
        <f t="shared" si="399"/>
        <v>30.621621621621621</v>
      </c>
      <c r="AO55" s="1610">
        <f t="shared" si="399"/>
        <v>35.216216216216218</v>
      </c>
      <c r="AP55" s="1610">
        <f t="shared" ref="AP55:AT55" si="400">IFERROR(AP32/AP17,0)</f>
        <v>41.361111111111114</v>
      </c>
      <c r="AQ55" s="1610">
        <f t="shared" si="400"/>
        <v>46.777777777777779</v>
      </c>
      <c r="AR55" s="1610">
        <f t="shared" si="400"/>
        <v>51.166666666666664</v>
      </c>
      <c r="AS55" s="1610">
        <f t="shared" si="400"/>
        <v>57.805555555555557</v>
      </c>
      <c r="AT55" s="1611">
        <f t="shared" si="400"/>
        <v>65.916666666666671</v>
      </c>
      <c r="AU55" s="994">
        <f t="shared" si="337"/>
        <v>0.5162932790224033</v>
      </c>
      <c r="AV55" s="994">
        <f t="shared" si="338"/>
        <v>0.52361111111111114</v>
      </c>
      <c r="AW55" s="990">
        <f t="shared" si="339"/>
        <v>0.50231839258114364</v>
      </c>
      <c r="AX55" s="4775"/>
      <c r="AY55" s="4779" t="s">
        <v>1878</v>
      </c>
      <c r="AZ55" s="4783">
        <f t="shared" si="340"/>
        <v>14.158852094664512</v>
      </c>
      <c r="BA55" s="4783">
        <f t="shared" si="341"/>
        <v>21.572584372009683</v>
      </c>
      <c r="BB55" s="4783">
        <f t="shared" si="342"/>
        <v>24.247034212112975</v>
      </c>
      <c r="BC55" s="4783">
        <f t="shared" si="343"/>
        <v>26.626507966910765</v>
      </c>
      <c r="BD55" s="4783">
        <f t="shared" si="344"/>
        <v>30.028565484100987</v>
      </c>
      <c r="BE55" s="4783">
        <f t="shared" si="345"/>
        <v>34.138565606024436</v>
      </c>
      <c r="BF55" s="4783">
        <f t="shared" si="346"/>
        <v>21.644689637306584</v>
      </c>
      <c r="BG55" s="4783">
        <f t="shared" si="347"/>
        <v>32.722680396557983</v>
      </c>
      <c r="BH55" s="4783">
        <f t="shared" si="348"/>
        <v>37.665168581454765</v>
      </c>
      <c r="BI55" s="4783">
        <f t="shared" si="349"/>
        <v>39.880766733305045</v>
      </c>
      <c r="BJ55" s="4783">
        <f t="shared" si="350"/>
        <v>45.845838680594262</v>
      </c>
      <c r="BK55" s="4783">
        <f t="shared" si="351"/>
        <v>52.663063763210502</v>
      </c>
      <c r="BL55" s="4783">
        <f t="shared" si="352"/>
        <v>9.8606291373556427</v>
      </c>
      <c r="BM55" s="4783">
        <f t="shared" si="353"/>
        <v>14.6083394627491</v>
      </c>
      <c r="BN55" s="4783">
        <f t="shared" si="354"/>
        <v>16.799590382161462</v>
      </c>
      <c r="BO55" s="4783">
        <f t="shared" si="355"/>
        <v>18.552591117691357</v>
      </c>
      <c r="BP55" s="4783">
        <f t="shared" si="356"/>
        <v>20.816883734417466</v>
      </c>
      <c r="BQ55" s="4783">
        <f t="shared" si="357"/>
        <v>23.957676718908523</v>
      </c>
      <c r="BR55" s="4783">
        <f t="shared" si="358"/>
        <v>0</v>
      </c>
      <c r="BS55" s="4783">
        <f t="shared" si="359"/>
        <v>0</v>
      </c>
      <c r="BT55" s="4783">
        <f t="shared" si="360"/>
        <v>0</v>
      </c>
      <c r="BU55" s="4783">
        <f t="shared" si="361"/>
        <v>0</v>
      </c>
      <c r="BV55" s="4783">
        <f t="shared" si="362"/>
        <v>0</v>
      </c>
      <c r="BW55" s="4783">
        <f t="shared" si="363"/>
        <v>0</v>
      </c>
      <c r="BX55" s="4783">
        <f t="shared" si="364"/>
        <v>0</v>
      </c>
      <c r="BY55" s="4783">
        <f t="shared" si="365"/>
        <v>0</v>
      </c>
      <c r="BZ55" s="4783">
        <f t="shared" si="366"/>
        <v>0</v>
      </c>
      <c r="CA55" s="4783">
        <f t="shared" si="367"/>
        <v>0</v>
      </c>
      <c r="CB55" s="4783">
        <f t="shared" si="368"/>
        <v>0</v>
      </c>
      <c r="CC55" s="4783">
        <f t="shared" si="369"/>
        <v>0</v>
      </c>
      <c r="CD55" s="4783">
        <f t="shared" si="370"/>
        <v>0</v>
      </c>
      <c r="CE55" s="4783">
        <f t="shared" si="371"/>
        <v>0</v>
      </c>
      <c r="CF55" s="4783">
        <f t="shared" si="372"/>
        <v>0</v>
      </c>
      <c r="CG55" s="4783">
        <f t="shared" si="373"/>
        <v>0</v>
      </c>
      <c r="CH55" s="4783">
        <f t="shared" si="374"/>
        <v>0</v>
      </c>
      <c r="CI55" s="4783">
        <f t="shared" si="375"/>
        <v>0</v>
      </c>
      <c r="CJ55" s="4783">
        <f t="shared" si="376"/>
        <v>13.946906314852406</v>
      </c>
      <c r="CK55" s="4783">
        <f t="shared" si="377"/>
        <v>15.656586524197717</v>
      </c>
      <c r="CL55" s="4783">
        <f t="shared" si="378"/>
        <v>18.005765437801966</v>
      </c>
      <c r="CM55" s="4783">
        <f t="shared" si="379"/>
        <v>21.147600308365817</v>
      </c>
      <c r="CN55" s="4783">
        <f t="shared" si="380"/>
        <v>23.917097998178665</v>
      </c>
      <c r="CO55" s="4783">
        <f t="shared" si="381"/>
        <v>26.161101254539844</v>
      </c>
      <c r="CP55" s="4783">
        <f t="shared" si="382"/>
        <v>29.55551124359252</v>
      </c>
      <c r="CQ55" s="4783">
        <f t="shared" si="383"/>
        <v>33.70265650218407</v>
      </c>
      <c r="CR55" s="4158"/>
      <c r="CS55" s="4158"/>
      <c r="CT55" s="4158"/>
      <c r="CU55" s="4158"/>
      <c r="CV55" s="4158"/>
      <c r="CW55" s="4158"/>
      <c r="CX55" s="4158"/>
      <c r="CY55" s="4158"/>
      <c r="CZ55" s="4158"/>
      <c r="DA55" s="4158"/>
      <c r="DB55" s="4158"/>
      <c r="DC55" s="4158"/>
      <c r="DD55" s="4158"/>
      <c r="DE55" s="4158"/>
      <c r="DF55" s="4158"/>
      <c r="DG55" s="4158"/>
      <c r="DH55" s="4158"/>
      <c r="DI55" s="4158"/>
      <c r="DJ55" s="4158"/>
      <c r="DK55" s="4158"/>
      <c r="DL55" s="4158"/>
      <c r="DM55" s="4158"/>
      <c r="DN55" s="4158"/>
      <c r="DO55" s="4158"/>
      <c r="DP55" s="4158"/>
      <c r="DQ55" s="4158"/>
    </row>
    <row r="56" spans="1:121" s="171" customFormat="1" ht="26.25" thickBot="1">
      <c r="A56" s="626" t="s">
        <v>1267</v>
      </c>
      <c r="B56" s="628" t="s">
        <v>1198</v>
      </c>
      <c r="C56" s="1610">
        <f t="shared" ref="C56" si="401">IFERROR(C33/C18,0)</f>
        <v>18.348484848484848</v>
      </c>
      <c r="D56" s="1610">
        <f t="shared" ref="D56:H56" si="402">IFERROR(D33/D18,0)</f>
        <v>26.984848484848484</v>
      </c>
      <c r="E56" s="1610">
        <f t="shared" si="402"/>
        <v>32.126984126984127</v>
      </c>
      <c r="F56" s="1610">
        <f t="shared" si="402"/>
        <v>36.91935483870968</v>
      </c>
      <c r="G56" s="1610">
        <f t="shared" si="402"/>
        <v>43.655172413793103</v>
      </c>
      <c r="H56" s="1611">
        <f t="shared" si="402"/>
        <v>50.214285714285715</v>
      </c>
      <c r="I56" s="1610">
        <f t="shared" si="389"/>
        <v>39.6</v>
      </c>
      <c r="J56" s="1610">
        <f t="shared" ref="J56:N56" si="403">IFERROR(J33/J18,0)</f>
        <v>69.857142857142861</v>
      </c>
      <c r="K56" s="1610">
        <f t="shared" si="403"/>
        <v>87.571428571428569</v>
      </c>
      <c r="L56" s="1610">
        <f t="shared" si="403"/>
        <v>99.285714285714292</v>
      </c>
      <c r="M56" s="1610">
        <f t="shared" si="403"/>
        <v>110.71428571428571</v>
      </c>
      <c r="N56" s="1611">
        <f t="shared" si="403"/>
        <v>124.42857142857143</v>
      </c>
      <c r="O56" s="1610">
        <f t="shared" si="391"/>
        <v>11.916666666666666</v>
      </c>
      <c r="P56" s="1610">
        <f t="shared" ref="P56:T56" si="404">IFERROR(P33/P18,0)</f>
        <v>18.772727272727273</v>
      </c>
      <c r="Q56" s="1610">
        <f t="shared" si="404"/>
        <v>20.227272727272727</v>
      </c>
      <c r="R56" s="1610">
        <f t="shared" si="404"/>
        <v>25.523809523809526</v>
      </c>
      <c r="S56" s="1610">
        <f t="shared" si="404"/>
        <v>29.428571428571427</v>
      </c>
      <c r="T56" s="1611">
        <f t="shared" si="404"/>
        <v>33.857142857142854</v>
      </c>
      <c r="U56" s="1610">
        <f t="shared" si="393"/>
        <v>0</v>
      </c>
      <c r="V56" s="1610">
        <f t="shared" ref="V56:Z56" si="405">IFERROR(V33/V18,0)</f>
        <v>0</v>
      </c>
      <c r="W56" s="1610">
        <f t="shared" si="405"/>
        <v>0</v>
      </c>
      <c r="X56" s="1610">
        <f t="shared" si="405"/>
        <v>0</v>
      </c>
      <c r="Y56" s="1610">
        <f t="shared" si="405"/>
        <v>0</v>
      </c>
      <c r="Z56" s="1611">
        <f t="shared" si="405"/>
        <v>0</v>
      </c>
      <c r="AA56" s="1610">
        <f t="shared" si="395"/>
        <v>0</v>
      </c>
      <c r="AB56" s="1610">
        <f t="shared" ref="AB56:AF56" si="406">IFERROR(AB33/AB18,0)</f>
        <v>0</v>
      </c>
      <c r="AC56" s="1610">
        <f t="shared" si="406"/>
        <v>0</v>
      </c>
      <c r="AD56" s="1610">
        <f t="shared" si="406"/>
        <v>0</v>
      </c>
      <c r="AE56" s="1610">
        <f t="shared" si="406"/>
        <v>0</v>
      </c>
      <c r="AF56" s="1611">
        <f t="shared" si="406"/>
        <v>0</v>
      </c>
      <c r="AG56" s="1610">
        <f t="shared" si="397"/>
        <v>430</v>
      </c>
      <c r="AH56" s="1610">
        <f t="shared" ref="AH56:AL56" si="407">IFERROR(AH33/AH18,0)</f>
        <v>476</v>
      </c>
      <c r="AI56" s="1610">
        <f t="shared" si="407"/>
        <v>548</v>
      </c>
      <c r="AJ56" s="1610">
        <f t="shared" si="407"/>
        <v>630</v>
      </c>
      <c r="AK56" s="1610">
        <f t="shared" si="407"/>
        <v>724</v>
      </c>
      <c r="AL56" s="1611">
        <f t="shared" si="407"/>
        <v>833</v>
      </c>
      <c r="AM56" s="1610">
        <f t="shared" si="399"/>
        <v>18.93</v>
      </c>
      <c r="AN56" s="1610">
        <f t="shared" si="399"/>
        <v>21.469387755102041</v>
      </c>
      <c r="AO56" s="1610">
        <f t="shared" si="399"/>
        <v>25.260416666666668</v>
      </c>
      <c r="AP56" s="1610">
        <f t="shared" ref="AP56:AT56" si="408">IFERROR(AP33/AP18,0)</f>
        <v>28.242105263157896</v>
      </c>
      <c r="AQ56" s="1610">
        <f t="shared" si="408"/>
        <v>33.5</v>
      </c>
      <c r="AR56" s="1610">
        <f t="shared" si="408"/>
        <v>39.111111111111114</v>
      </c>
      <c r="AS56" s="1610">
        <f t="shared" si="408"/>
        <v>45.639534883720927</v>
      </c>
      <c r="AT56" s="1611">
        <f t="shared" si="408"/>
        <v>52.30952380952381</v>
      </c>
      <c r="AU56" s="994">
        <f t="shared" si="337"/>
        <v>0.49192315177801882</v>
      </c>
      <c r="AV56" s="994">
        <f t="shared" si="338"/>
        <v>0.47068538398018173</v>
      </c>
      <c r="AW56" s="990">
        <f t="shared" si="339"/>
        <v>0.72041158453322829</v>
      </c>
      <c r="AX56" s="4775"/>
      <c r="AY56" s="4779" t="s">
        <v>1878</v>
      </c>
      <c r="AZ56" s="4783">
        <f t="shared" si="340"/>
        <v>9.3814313352821301</v>
      </c>
      <c r="BA56" s="4783">
        <f t="shared" si="341"/>
        <v>13.797133945613108</v>
      </c>
      <c r="BB56" s="4783">
        <f t="shared" si="342"/>
        <v>16.426266151446764</v>
      </c>
      <c r="BC56" s="4783">
        <f t="shared" si="343"/>
        <v>18.876566388034583</v>
      </c>
      <c r="BD56" s="4783">
        <f t="shared" si="344"/>
        <v>22.320535227393538</v>
      </c>
      <c r="BE56" s="4783">
        <f t="shared" si="345"/>
        <v>25.674156605781544</v>
      </c>
      <c r="BF56" s="4783">
        <f t="shared" si="346"/>
        <v>20.247158495370254</v>
      </c>
      <c r="BG56" s="4783">
        <f t="shared" si="347"/>
        <v>35.717389986421551</v>
      </c>
      <c r="BH56" s="4783">
        <f t="shared" si="348"/>
        <v>44.774560453325989</v>
      </c>
      <c r="BI56" s="4783">
        <f t="shared" si="349"/>
        <v>50.763979633053125</v>
      </c>
      <c r="BJ56" s="4783">
        <f t="shared" si="350"/>
        <v>56.607315418152758</v>
      </c>
      <c r="BK56" s="4783">
        <f t="shared" si="351"/>
        <v>63.619318360272331</v>
      </c>
      <c r="BL56" s="4783">
        <f t="shared" si="352"/>
        <v>6.0928949175882705</v>
      </c>
      <c r="BM56" s="4783">
        <f t="shared" si="353"/>
        <v>9.5983430424562837</v>
      </c>
      <c r="BN56" s="4783">
        <f t="shared" si="354"/>
        <v>10.342040324196237</v>
      </c>
      <c r="BO56" s="4783">
        <f t="shared" si="355"/>
        <v>13.050116586722529</v>
      </c>
      <c r="BP56" s="4783">
        <f t="shared" si="356"/>
        <v>15.046589646631572</v>
      </c>
      <c r="BQ56" s="4783">
        <f t="shared" si="357"/>
        <v>17.310882263357684</v>
      </c>
      <c r="BR56" s="4783">
        <f t="shared" si="358"/>
        <v>0</v>
      </c>
      <c r="BS56" s="4783">
        <f t="shared" si="359"/>
        <v>0</v>
      </c>
      <c r="BT56" s="4783">
        <f t="shared" si="360"/>
        <v>0</v>
      </c>
      <c r="BU56" s="4783">
        <f t="shared" si="361"/>
        <v>0</v>
      </c>
      <c r="BV56" s="4783">
        <f t="shared" si="362"/>
        <v>0</v>
      </c>
      <c r="BW56" s="4783">
        <f t="shared" si="363"/>
        <v>0</v>
      </c>
      <c r="BX56" s="4783">
        <f t="shared" si="364"/>
        <v>0</v>
      </c>
      <c r="BY56" s="4783">
        <f t="shared" si="365"/>
        <v>0</v>
      </c>
      <c r="BZ56" s="4783">
        <f t="shared" si="366"/>
        <v>0</v>
      </c>
      <c r="CA56" s="4783">
        <f t="shared" si="367"/>
        <v>0</v>
      </c>
      <c r="CB56" s="4783">
        <f t="shared" si="368"/>
        <v>0</v>
      </c>
      <c r="CC56" s="4783">
        <f t="shared" si="369"/>
        <v>0</v>
      </c>
      <c r="CD56" s="4783">
        <f t="shared" si="370"/>
        <v>219.85550891437396</v>
      </c>
      <c r="CE56" s="4783">
        <f t="shared" si="371"/>
        <v>243.3749354494</v>
      </c>
      <c r="CF56" s="4783">
        <f t="shared" si="372"/>
        <v>280.18795089552776</v>
      </c>
      <c r="CG56" s="4783">
        <f t="shared" si="373"/>
        <v>322.11388515361767</v>
      </c>
      <c r="CH56" s="4783">
        <f t="shared" si="374"/>
        <v>370.17532198606222</v>
      </c>
      <c r="CI56" s="4783">
        <f t="shared" si="375"/>
        <v>425.90613703644999</v>
      </c>
      <c r="CJ56" s="4783">
        <f t="shared" si="376"/>
        <v>9.6787553110444158</v>
      </c>
      <c r="CK56" s="4783">
        <f t="shared" si="377"/>
        <v>10.977123653437181</v>
      </c>
      <c r="CL56" s="4783">
        <f t="shared" si="378"/>
        <v>12.915445957300312</v>
      </c>
      <c r="CM56" s="4783">
        <f t="shared" si="379"/>
        <v>14.439959128941624</v>
      </c>
      <c r="CN56" s="4783">
        <f t="shared" si="380"/>
        <v>17.128278020073321</v>
      </c>
      <c r="CO56" s="4783">
        <f t="shared" si="381"/>
        <v>19.997193575674324</v>
      </c>
      <c r="CP56" s="4783">
        <f t="shared" si="382"/>
        <v>23.335123647618111</v>
      </c>
      <c r="CQ56" s="4783">
        <f t="shared" si="383"/>
        <v>26.74543483304981</v>
      </c>
      <c r="CR56" s="4158"/>
      <c r="CS56" s="4158"/>
      <c r="CT56" s="4158"/>
      <c r="CU56" s="4158"/>
      <c r="CV56" s="4158"/>
      <c r="CW56" s="4158"/>
      <c r="CX56" s="4158"/>
      <c r="CY56" s="4158"/>
      <c r="CZ56" s="4158"/>
      <c r="DA56" s="4158"/>
      <c r="DB56" s="4158"/>
      <c r="DC56" s="4158"/>
      <c r="DD56" s="4158"/>
      <c r="DE56" s="4158"/>
      <c r="DF56" s="4158"/>
      <c r="DG56" s="4158"/>
      <c r="DH56" s="4158"/>
      <c r="DI56" s="4158"/>
      <c r="DJ56" s="4158"/>
      <c r="DK56" s="4158"/>
      <c r="DL56" s="4158"/>
      <c r="DM56" s="4158"/>
      <c r="DN56" s="4158"/>
      <c r="DO56" s="4158"/>
      <c r="DP56" s="4158"/>
      <c r="DQ56" s="4158"/>
    </row>
    <row r="57" spans="1:121" s="171" customFormat="1" ht="26.25" thickBot="1">
      <c r="A57" s="626" t="s">
        <v>1268</v>
      </c>
      <c r="B57" s="628" t="s">
        <v>1199</v>
      </c>
      <c r="C57" s="1610">
        <f>IFERROR(C34/C19,0)</f>
        <v>14.444444444444445</v>
      </c>
      <c r="D57" s="1610">
        <f t="shared" ref="D57:H57" si="409">IFERROR(D34/D19,0)</f>
        <v>20.777777777777779</v>
      </c>
      <c r="E57" s="1610">
        <f t="shared" si="409"/>
        <v>25.222222222222221</v>
      </c>
      <c r="F57" s="1610">
        <f t="shared" si="409"/>
        <v>27.888888888888889</v>
      </c>
      <c r="G57" s="1610">
        <f t="shared" si="409"/>
        <v>31.888888888888889</v>
      </c>
      <c r="H57" s="1611">
        <f t="shared" si="409"/>
        <v>36.666666666666664</v>
      </c>
      <c r="I57" s="1610">
        <f t="shared" si="389"/>
        <v>47</v>
      </c>
      <c r="J57" s="1610">
        <f t="shared" ref="J57:N57" si="410">IFERROR(J34/J19,0)</f>
        <v>68</v>
      </c>
      <c r="K57" s="1610">
        <f t="shared" si="410"/>
        <v>81</v>
      </c>
      <c r="L57" s="1610">
        <f t="shared" si="410"/>
        <v>93</v>
      </c>
      <c r="M57" s="1610">
        <f t="shared" si="410"/>
        <v>107</v>
      </c>
      <c r="N57" s="1611">
        <f t="shared" si="410"/>
        <v>123</v>
      </c>
      <c r="O57" s="1610">
        <f t="shared" si="391"/>
        <v>20.5</v>
      </c>
      <c r="P57" s="1610">
        <f t="shared" ref="P57:T57" si="411">IFERROR(P34/P19,0)</f>
        <v>30.5</v>
      </c>
      <c r="Q57" s="1610">
        <f t="shared" si="411"/>
        <v>34</v>
      </c>
      <c r="R57" s="1610">
        <f t="shared" si="411"/>
        <v>40</v>
      </c>
      <c r="S57" s="1610">
        <f t="shared" si="411"/>
        <v>46</v>
      </c>
      <c r="T57" s="1611">
        <f t="shared" si="411"/>
        <v>53</v>
      </c>
      <c r="U57" s="1610">
        <f t="shared" si="393"/>
        <v>0</v>
      </c>
      <c r="V57" s="1610">
        <f t="shared" ref="V57:Z57" si="412">IFERROR(V34/V19,0)</f>
        <v>0</v>
      </c>
      <c r="W57" s="1610">
        <f t="shared" si="412"/>
        <v>0</v>
      </c>
      <c r="X57" s="1610">
        <f t="shared" si="412"/>
        <v>0</v>
      </c>
      <c r="Y57" s="1610">
        <f t="shared" si="412"/>
        <v>0</v>
      </c>
      <c r="Z57" s="1611">
        <f t="shared" si="412"/>
        <v>0</v>
      </c>
      <c r="AA57" s="1610">
        <f t="shared" si="395"/>
        <v>0</v>
      </c>
      <c r="AB57" s="1610">
        <f t="shared" ref="AB57:AF57" si="413">IFERROR(AB34/AB19,0)</f>
        <v>0</v>
      </c>
      <c r="AC57" s="1610">
        <f t="shared" si="413"/>
        <v>0</v>
      </c>
      <c r="AD57" s="1610">
        <f t="shared" si="413"/>
        <v>0</v>
      </c>
      <c r="AE57" s="1610">
        <f t="shared" si="413"/>
        <v>0</v>
      </c>
      <c r="AF57" s="1611">
        <f t="shared" si="413"/>
        <v>0</v>
      </c>
      <c r="AG57" s="1610">
        <f t="shared" si="397"/>
        <v>0</v>
      </c>
      <c r="AH57" s="1610">
        <f t="shared" ref="AH57:AL57" si="414">IFERROR(AH34/AH19,0)</f>
        <v>0</v>
      </c>
      <c r="AI57" s="1610">
        <f t="shared" si="414"/>
        <v>0</v>
      </c>
      <c r="AJ57" s="1610">
        <f t="shared" si="414"/>
        <v>0</v>
      </c>
      <c r="AK57" s="1610">
        <f t="shared" si="414"/>
        <v>0</v>
      </c>
      <c r="AL57" s="1611">
        <f t="shared" si="414"/>
        <v>0</v>
      </c>
      <c r="AM57" s="1610">
        <f t="shared" si="399"/>
        <v>18.166666666666668</v>
      </c>
      <c r="AN57" s="1610">
        <f t="shared" si="399"/>
        <v>20.666666666666668</v>
      </c>
      <c r="AO57" s="1610">
        <f t="shared" si="399"/>
        <v>23.75</v>
      </c>
      <c r="AP57" s="1610">
        <f t="shared" ref="AP57:AT57" si="415">IFERROR(AP34/AP19,0)</f>
        <v>26.333333333333332</v>
      </c>
      <c r="AQ57" s="1610">
        <f t="shared" si="415"/>
        <v>31.333333333333332</v>
      </c>
      <c r="AR57" s="1610">
        <f t="shared" si="415"/>
        <v>35.333333333333336</v>
      </c>
      <c r="AS57" s="1610">
        <f t="shared" si="415"/>
        <v>40.5</v>
      </c>
      <c r="AT57" s="1611">
        <f t="shared" si="415"/>
        <v>46.583333333333336</v>
      </c>
      <c r="AU57" s="994">
        <f t="shared" si="337"/>
        <v>0.44954128440366958</v>
      </c>
      <c r="AV57" s="994">
        <f t="shared" si="338"/>
        <v>0.43846153846153851</v>
      </c>
      <c r="AW57" s="990">
        <f t="shared" si="339"/>
        <v>0.45925925925925926</v>
      </c>
      <c r="AX57" s="4775"/>
      <c r="AY57" s="4779" t="s">
        <v>1878</v>
      </c>
      <c r="AZ57" s="4783">
        <f t="shared" si="340"/>
        <v>7.3853271728342671</v>
      </c>
      <c r="BA57" s="4783">
        <f t="shared" si="341"/>
        <v>10.623509087076984</v>
      </c>
      <c r="BB57" s="4783">
        <f t="shared" si="342"/>
        <v>12.895917447949065</v>
      </c>
      <c r="BC57" s="4783">
        <f t="shared" si="343"/>
        <v>14.259362464472316</v>
      </c>
      <c r="BD57" s="4783">
        <f t="shared" si="344"/>
        <v>16.30452998925719</v>
      </c>
      <c r="BE57" s="4783">
        <f t="shared" si="345"/>
        <v>18.747368977194679</v>
      </c>
      <c r="BF57" s="4783">
        <f t="shared" si="346"/>
        <v>24.030718416222268</v>
      </c>
      <c r="BG57" s="4783">
        <f t="shared" si="347"/>
        <v>34.767847921342856</v>
      </c>
      <c r="BH57" s="4783">
        <f t="shared" si="348"/>
        <v>41.414642376893696</v>
      </c>
      <c r="BI57" s="4783">
        <f t="shared" si="349"/>
        <v>47.550144951248321</v>
      </c>
      <c r="BJ57" s="4783">
        <f t="shared" si="350"/>
        <v>54.708231287995382</v>
      </c>
      <c r="BK57" s="4783">
        <f t="shared" si="351"/>
        <v>62.888901387134872</v>
      </c>
      <c r="BL57" s="4783">
        <f t="shared" si="352"/>
        <v>10.481483564522479</v>
      </c>
      <c r="BM57" s="4783">
        <f t="shared" si="353"/>
        <v>15.594402376484664</v>
      </c>
      <c r="BN57" s="4783">
        <f t="shared" si="354"/>
        <v>17.383923960671428</v>
      </c>
      <c r="BO57" s="4783">
        <f t="shared" si="355"/>
        <v>20.45167524784874</v>
      </c>
      <c r="BP57" s="4783">
        <f t="shared" si="356"/>
        <v>23.519426535026049</v>
      </c>
      <c r="BQ57" s="4783">
        <f t="shared" si="357"/>
        <v>27.09846970339958</v>
      </c>
      <c r="BR57" s="4783">
        <f t="shared" si="358"/>
        <v>0</v>
      </c>
      <c r="BS57" s="4783">
        <f t="shared" si="359"/>
        <v>0</v>
      </c>
      <c r="BT57" s="4783">
        <f t="shared" si="360"/>
        <v>0</v>
      </c>
      <c r="BU57" s="4783">
        <f t="shared" si="361"/>
        <v>0</v>
      </c>
      <c r="BV57" s="4783">
        <f t="shared" si="362"/>
        <v>0</v>
      </c>
      <c r="BW57" s="4783">
        <f t="shared" si="363"/>
        <v>0</v>
      </c>
      <c r="BX57" s="4783">
        <f t="shared" si="364"/>
        <v>0</v>
      </c>
      <c r="BY57" s="4783">
        <f t="shared" si="365"/>
        <v>0</v>
      </c>
      <c r="BZ57" s="4783">
        <f t="shared" si="366"/>
        <v>0</v>
      </c>
      <c r="CA57" s="4783">
        <f t="shared" si="367"/>
        <v>0</v>
      </c>
      <c r="CB57" s="4783">
        <f t="shared" si="368"/>
        <v>0</v>
      </c>
      <c r="CC57" s="4783">
        <f t="shared" si="369"/>
        <v>0</v>
      </c>
      <c r="CD57" s="4783">
        <f t="shared" si="370"/>
        <v>0</v>
      </c>
      <c r="CE57" s="4783">
        <f t="shared" si="371"/>
        <v>0</v>
      </c>
      <c r="CF57" s="4783">
        <f t="shared" si="372"/>
        <v>0</v>
      </c>
      <c r="CG57" s="4783">
        <f t="shared" si="373"/>
        <v>0</v>
      </c>
      <c r="CH57" s="4783">
        <f t="shared" si="374"/>
        <v>0</v>
      </c>
      <c r="CI57" s="4783">
        <f t="shared" si="375"/>
        <v>0</v>
      </c>
      <c r="CJ57" s="4783">
        <f t="shared" si="376"/>
        <v>9.2884691750646358</v>
      </c>
      <c r="CK57" s="4783">
        <f t="shared" si="377"/>
        <v>10.566698878055183</v>
      </c>
      <c r="CL57" s="4783">
        <f t="shared" si="378"/>
        <v>12.143182178410189</v>
      </c>
      <c r="CM57" s="4783">
        <f t="shared" si="379"/>
        <v>13.464019538167086</v>
      </c>
      <c r="CN57" s="4783">
        <f t="shared" si="380"/>
        <v>16.020478944148177</v>
      </c>
      <c r="CO57" s="4783">
        <f t="shared" si="381"/>
        <v>18.065646468933053</v>
      </c>
      <c r="CP57" s="4783">
        <f t="shared" si="382"/>
        <v>20.707321188446848</v>
      </c>
      <c r="CQ57" s="4783">
        <f t="shared" si="383"/>
        <v>23.817680132390514</v>
      </c>
      <c r="CR57" s="4158"/>
      <c r="CS57" s="4158"/>
      <c r="CT57" s="4158"/>
      <c r="CU57" s="4158"/>
      <c r="CV57" s="4158"/>
      <c r="CW57" s="4158"/>
      <c r="CX57" s="4158"/>
      <c r="CY57" s="4158"/>
      <c r="CZ57" s="4158"/>
      <c r="DA57" s="4158"/>
      <c r="DB57" s="4158"/>
      <c r="DC57" s="4158"/>
      <c r="DD57" s="4158"/>
      <c r="DE57" s="4158"/>
      <c r="DF57" s="4158"/>
      <c r="DG57" s="4158"/>
      <c r="DH57" s="4158"/>
      <c r="DI57" s="4158"/>
      <c r="DJ57" s="4158"/>
      <c r="DK57" s="4158"/>
      <c r="DL57" s="4158"/>
      <c r="DM57" s="4158"/>
      <c r="DN57" s="4158"/>
      <c r="DO57" s="4158"/>
      <c r="DP57" s="4158"/>
      <c r="DQ57" s="4158"/>
    </row>
    <row r="58" spans="1:121" s="171" customFormat="1" ht="36.75" thickBot="1">
      <c r="A58" s="626" t="s">
        <v>1269</v>
      </c>
      <c r="B58" s="628" t="s">
        <v>1200</v>
      </c>
      <c r="C58" s="1610">
        <f t="shared" ref="C58" si="416">IFERROR(C35/C20,0)</f>
        <v>0</v>
      </c>
      <c r="D58" s="1610">
        <f>IFERROR(D35/D20,0)</f>
        <v>0</v>
      </c>
      <c r="E58" s="1610">
        <f>IFERROR(E35/E20,0)</f>
        <v>0</v>
      </c>
      <c r="F58" s="1610">
        <f>IFERROR(F35/F20,0)</f>
        <v>0</v>
      </c>
      <c r="G58" s="1610">
        <f>IFERROR(G35/G20,0)</f>
        <v>0</v>
      </c>
      <c r="H58" s="1611">
        <f>IFERROR(H35/H20,0)</f>
        <v>0</v>
      </c>
      <c r="I58" s="1610">
        <f t="shared" si="389"/>
        <v>0</v>
      </c>
      <c r="J58" s="1610">
        <f>IFERROR(J35/J20,0)</f>
        <v>0</v>
      </c>
      <c r="K58" s="1610">
        <f>IFERROR(K35/K20,0)</f>
        <v>0</v>
      </c>
      <c r="L58" s="1610">
        <f>IFERROR(L35/L20,0)</f>
        <v>0</v>
      </c>
      <c r="M58" s="1610">
        <f>IFERROR(M35/M20,0)</f>
        <v>0</v>
      </c>
      <c r="N58" s="1611">
        <f>IFERROR(N35/N20,0)</f>
        <v>0</v>
      </c>
      <c r="O58" s="1610">
        <f t="shared" si="391"/>
        <v>0</v>
      </c>
      <c r="P58" s="1610">
        <f>IFERROR(P35/P20,0)</f>
        <v>0</v>
      </c>
      <c r="Q58" s="1610">
        <f>IFERROR(Q35/Q20,0)</f>
        <v>0</v>
      </c>
      <c r="R58" s="1610">
        <f>IFERROR(R35/R20,0)</f>
        <v>0</v>
      </c>
      <c r="S58" s="1610">
        <f>IFERROR(S35/S20,0)</f>
        <v>0</v>
      </c>
      <c r="T58" s="1611">
        <f>IFERROR(T35/T20,0)</f>
        <v>0</v>
      </c>
      <c r="U58" s="1610">
        <f t="shared" si="393"/>
        <v>0</v>
      </c>
      <c r="V58" s="1610">
        <f>IFERROR(V35/V20,0)</f>
        <v>0</v>
      </c>
      <c r="W58" s="1610">
        <f>IFERROR(W35/W20,0)</f>
        <v>0</v>
      </c>
      <c r="X58" s="1610">
        <f>IFERROR(X35/X20,0)</f>
        <v>0</v>
      </c>
      <c r="Y58" s="1610">
        <f>IFERROR(Y35/Y20,0)</f>
        <v>0</v>
      </c>
      <c r="Z58" s="1611">
        <f>IFERROR(Z35/Z20,0)</f>
        <v>0</v>
      </c>
      <c r="AA58" s="1610">
        <f t="shared" si="395"/>
        <v>0</v>
      </c>
      <c r="AB58" s="1610">
        <f>IFERROR(AB35/AB20,0)</f>
        <v>0</v>
      </c>
      <c r="AC58" s="1610">
        <f>IFERROR(AC35/AC20,0)</f>
        <v>0</v>
      </c>
      <c r="AD58" s="1610">
        <f>IFERROR(AD35/AD20,0)</f>
        <v>0</v>
      </c>
      <c r="AE58" s="1610">
        <f>IFERROR(AE35/AE20,0)</f>
        <v>0</v>
      </c>
      <c r="AF58" s="1611">
        <f>IFERROR(AF35/AF20,0)</f>
        <v>0</v>
      </c>
      <c r="AG58" s="1610">
        <f t="shared" si="397"/>
        <v>0</v>
      </c>
      <c r="AH58" s="1610">
        <f>IFERROR(AH35/AH20,0)</f>
        <v>0</v>
      </c>
      <c r="AI58" s="1610">
        <f>IFERROR(AI35/AI20,0)</f>
        <v>0</v>
      </c>
      <c r="AJ58" s="1610">
        <f>IFERROR(AJ35/AJ20,0)</f>
        <v>0</v>
      </c>
      <c r="AK58" s="1610">
        <f>IFERROR(AK35/AK20,0)</f>
        <v>0</v>
      </c>
      <c r="AL58" s="1611">
        <f>IFERROR(AL35/AL20,0)</f>
        <v>0</v>
      </c>
      <c r="AM58" s="1610">
        <f t="shared" si="399"/>
        <v>0</v>
      </c>
      <c r="AN58" s="1610">
        <f t="shared" si="399"/>
        <v>0</v>
      </c>
      <c r="AO58" s="1610">
        <f t="shared" si="399"/>
        <v>0</v>
      </c>
      <c r="AP58" s="1610">
        <f>IFERROR(AP35/AP20,0)</f>
        <v>0</v>
      </c>
      <c r="AQ58" s="1610">
        <f t="shared" ref="AQ58:AT58" si="417">IFERROR(AQ35/AQ20,0)</f>
        <v>0</v>
      </c>
      <c r="AR58" s="1610">
        <f t="shared" si="417"/>
        <v>0</v>
      </c>
      <c r="AS58" s="1610">
        <f t="shared" si="417"/>
        <v>0</v>
      </c>
      <c r="AT58" s="1611">
        <f t="shared" si="417"/>
        <v>0</v>
      </c>
      <c r="AU58" s="994">
        <f t="shared" si="337"/>
        <v>0</v>
      </c>
      <c r="AV58" s="994">
        <f t="shared" si="338"/>
        <v>0</v>
      </c>
      <c r="AW58" s="990">
        <f t="shared" si="339"/>
        <v>0</v>
      </c>
      <c r="AX58" s="4775"/>
      <c r="AY58" s="4779" t="s">
        <v>1878</v>
      </c>
      <c r="AZ58" s="4783">
        <f t="shared" si="340"/>
        <v>0</v>
      </c>
      <c r="BA58" s="4783">
        <f t="shared" si="341"/>
        <v>0</v>
      </c>
      <c r="BB58" s="4783">
        <f t="shared" si="342"/>
        <v>0</v>
      </c>
      <c r="BC58" s="4783">
        <f t="shared" si="343"/>
        <v>0</v>
      </c>
      <c r="BD58" s="4783">
        <f t="shared" si="344"/>
        <v>0</v>
      </c>
      <c r="BE58" s="4783">
        <f t="shared" si="345"/>
        <v>0</v>
      </c>
      <c r="BF58" s="4783">
        <f t="shared" si="346"/>
        <v>0</v>
      </c>
      <c r="BG58" s="4783">
        <f t="shared" si="347"/>
        <v>0</v>
      </c>
      <c r="BH58" s="4783">
        <f t="shared" si="348"/>
        <v>0</v>
      </c>
      <c r="BI58" s="4783">
        <f t="shared" si="349"/>
        <v>0</v>
      </c>
      <c r="BJ58" s="4783">
        <f t="shared" si="350"/>
        <v>0</v>
      </c>
      <c r="BK58" s="4783">
        <f t="shared" si="351"/>
        <v>0</v>
      </c>
      <c r="BL58" s="4783">
        <f t="shared" si="352"/>
        <v>0</v>
      </c>
      <c r="BM58" s="4783">
        <f t="shared" si="353"/>
        <v>0</v>
      </c>
      <c r="BN58" s="4783">
        <f t="shared" si="354"/>
        <v>0</v>
      </c>
      <c r="BO58" s="4783">
        <f t="shared" si="355"/>
        <v>0</v>
      </c>
      <c r="BP58" s="4783">
        <f t="shared" si="356"/>
        <v>0</v>
      </c>
      <c r="BQ58" s="4783">
        <f t="shared" si="357"/>
        <v>0</v>
      </c>
      <c r="BR58" s="4783">
        <f t="shared" si="358"/>
        <v>0</v>
      </c>
      <c r="BS58" s="4783">
        <f t="shared" si="359"/>
        <v>0</v>
      </c>
      <c r="BT58" s="4783">
        <f t="shared" si="360"/>
        <v>0</v>
      </c>
      <c r="BU58" s="4783">
        <f t="shared" si="361"/>
        <v>0</v>
      </c>
      <c r="BV58" s="4783">
        <f t="shared" si="362"/>
        <v>0</v>
      </c>
      <c r="BW58" s="4783">
        <f t="shared" si="363"/>
        <v>0</v>
      </c>
      <c r="BX58" s="4783">
        <f t="shared" si="364"/>
        <v>0</v>
      </c>
      <c r="BY58" s="4783">
        <f t="shared" si="365"/>
        <v>0</v>
      </c>
      <c r="BZ58" s="4783">
        <f t="shared" si="366"/>
        <v>0</v>
      </c>
      <c r="CA58" s="4783">
        <f t="shared" si="367"/>
        <v>0</v>
      </c>
      <c r="CB58" s="4783">
        <f t="shared" si="368"/>
        <v>0</v>
      </c>
      <c r="CC58" s="4783">
        <f t="shared" si="369"/>
        <v>0</v>
      </c>
      <c r="CD58" s="4783">
        <f t="shared" si="370"/>
        <v>0</v>
      </c>
      <c r="CE58" s="4783">
        <f t="shared" si="371"/>
        <v>0</v>
      </c>
      <c r="CF58" s="4783">
        <f t="shared" si="372"/>
        <v>0</v>
      </c>
      <c r="CG58" s="4783">
        <f t="shared" si="373"/>
        <v>0</v>
      </c>
      <c r="CH58" s="4783">
        <f t="shared" si="374"/>
        <v>0</v>
      </c>
      <c r="CI58" s="4783">
        <f t="shared" si="375"/>
        <v>0</v>
      </c>
      <c r="CJ58" s="4783">
        <f t="shared" si="376"/>
        <v>0</v>
      </c>
      <c r="CK58" s="4783">
        <f t="shared" si="377"/>
        <v>0</v>
      </c>
      <c r="CL58" s="4783">
        <f t="shared" si="378"/>
        <v>0</v>
      </c>
      <c r="CM58" s="4783">
        <f t="shared" si="379"/>
        <v>0</v>
      </c>
      <c r="CN58" s="4783">
        <f t="shared" si="380"/>
        <v>0</v>
      </c>
      <c r="CO58" s="4783">
        <f t="shared" si="381"/>
        <v>0</v>
      </c>
      <c r="CP58" s="4783">
        <f t="shared" si="382"/>
        <v>0</v>
      </c>
      <c r="CQ58" s="4783">
        <f t="shared" si="383"/>
        <v>0</v>
      </c>
    </row>
    <row r="59" spans="1:121" s="171" customFormat="1" ht="26.25" thickBot="1">
      <c r="A59" s="626" t="s">
        <v>1270</v>
      </c>
      <c r="B59" s="628" t="s">
        <v>1201</v>
      </c>
      <c r="C59" s="1610">
        <f t="shared" ref="C59" si="418">IFERROR(C36/C21,0)</f>
        <v>20.985915492957748</v>
      </c>
      <c r="D59" s="1610">
        <f t="shared" ref="D59:H59" si="419">IFERROR(D36/D21,0)</f>
        <v>31.797101449275363</v>
      </c>
      <c r="E59" s="1610">
        <f t="shared" si="419"/>
        <v>35.779411764705884</v>
      </c>
      <c r="F59" s="1610">
        <f t="shared" si="419"/>
        <v>42.417910447761194</v>
      </c>
      <c r="G59" s="1610">
        <f t="shared" si="419"/>
        <v>47.242424242424242</v>
      </c>
      <c r="H59" s="1611">
        <f t="shared" si="419"/>
        <v>52.515151515151516</v>
      </c>
      <c r="I59" s="1610">
        <f t="shared" si="389"/>
        <v>29</v>
      </c>
      <c r="J59" s="1610">
        <f t="shared" ref="J59:N59" si="420">IFERROR(J36/J21,0)</f>
        <v>49.5</v>
      </c>
      <c r="K59" s="1610">
        <f t="shared" si="420"/>
        <v>55.875</v>
      </c>
      <c r="L59" s="1610">
        <f t="shared" si="420"/>
        <v>60.875</v>
      </c>
      <c r="M59" s="1610">
        <f t="shared" si="420"/>
        <v>74.666666666666671</v>
      </c>
      <c r="N59" s="1611">
        <f t="shared" si="420"/>
        <v>85.86666666666666</v>
      </c>
      <c r="O59" s="1610">
        <f t="shared" si="391"/>
        <v>12</v>
      </c>
      <c r="P59" s="1610">
        <f t="shared" ref="P59:T59" si="421">IFERROR(P36/P21,0)</f>
        <v>17.636363636363637</v>
      </c>
      <c r="Q59" s="1610">
        <f t="shared" si="421"/>
        <v>19.454545454545453</v>
      </c>
      <c r="R59" s="1610">
        <f t="shared" si="421"/>
        <v>22.454545454545453</v>
      </c>
      <c r="S59" s="1610">
        <f t="shared" si="421"/>
        <v>26</v>
      </c>
      <c r="T59" s="1611">
        <f t="shared" si="421"/>
        <v>29.90909090909091</v>
      </c>
      <c r="U59" s="1610">
        <f t="shared" si="393"/>
        <v>0</v>
      </c>
      <c r="V59" s="1610">
        <f t="shared" ref="V59:Z59" si="422">IFERROR(V36/V21,0)</f>
        <v>0</v>
      </c>
      <c r="W59" s="1610">
        <f t="shared" si="422"/>
        <v>0</v>
      </c>
      <c r="X59" s="1610">
        <f t="shared" si="422"/>
        <v>0</v>
      </c>
      <c r="Y59" s="1610">
        <f t="shared" si="422"/>
        <v>0</v>
      </c>
      <c r="Z59" s="1611">
        <f t="shared" si="422"/>
        <v>0</v>
      </c>
      <c r="AA59" s="1610">
        <f t="shared" si="395"/>
        <v>0</v>
      </c>
      <c r="AB59" s="1610">
        <f t="shared" ref="AB59:AF59" si="423">IFERROR(AB36/AB21,0)</f>
        <v>0</v>
      </c>
      <c r="AC59" s="1610">
        <f t="shared" si="423"/>
        <v>0</v>
      </c>
      <c r="AD59" s="1610">
        <f t="shared" si="423"/>
        <v>0</v>
      </c>
      <c r="AE59" s="1610">
        <f t="shared" si="423"/>
        <v>0</v>
      </c>
      <c r="AF59" s="1611">
        <f t="shared" si="423"/>
        <v>0</v>
      </c>
      <c r="AG59" s="1610">
        <f t="shared" si="397"/>
        <v>0</v>
      </c>
      <c r="AH59" s="1610">
        <f t="shared" ref="AH59:AL59" si="424">IFERROR(AH36/AH21,0)</f>
        <v>0</v>
      </c>
      <c r="AI59" s="1610">
        <f t="shared" si="424"/>
        <v>0</v>
      </c>
      <c r="AJ59" s="1610">
        <f t="shared" si="424"/>
        <v>0</v>
      </c>
      <c r="AK59" s="1610">
        <f t="shared" si="424"/>
        <v>0</v>
      </c>
      <c r="AL59" s="1611">
        <f t="shared" si="424"/>
        <v>0</v>
      </c>
      <c r="AM59" s="1610">
        <f t="shared" si="399"/>
        <v>21.514851485148515</v>
      </c>
      <c r="AN59" s="1610">
        <f t="shared" si="399"/>
        <v>24.676767676767678</v>
      </c>
      <c r="AO59" s="1610">
        <f t="shared" si="399"/>
        <v>27.868686868686869</v>
      </c>
      <c r="AP59" s="1610">
        <f t="shared" ref="AP59:AT59" si="425">IFERROR(AP36/AP21,0)</f>
        <v>33.125</v>
      </c>
      <c r="AQ59" s="1610">
        <f t="shared" si="425"/>
        <v>37.273684210526319</v>
      </c>
      <c r="AR59" s="1610">
        <f t="shared" si="425"/>
        <v>43.223404255319146</v>
      </c>
      <c r="AS59" s="1610">
        <f t="shared" si="425"/>
        <v>49.173913043478258</v>
      </c>
      <c r="AT59" s="1611">
        <f t="shared" si="425"/>
        <v>55.25</v>
      </c>
      <c r="AU59" s="994">
        <f t="shared" si="337"/>
        <v>0.53963414634146334</v>
      </c>
      <c r="AV59" s="994">
        <f t="shared" si="338"/>
        <v>0.51516389456278566</v>
      </c>
      <c r="AW59" s="990">
        <f t="shared" si="339"/>
        <v>0.63747228381374732</v>
      </c>
      <c r="AX59" s="4775"/>
      <c r="AY59" s="4779" t="s">
        <v>1878</v>
      </c>
      <c r="AZ59" s="4783">
        <f t="shared" si="340"/>
        <v>10.729928211019233</v>
      </c>
      <c r="BA59" s="4783">
        <f t="shared" si="341"/>
        <v>16.257599816587007</v>
      </c>
      <c r="BB59" s="4783">
        <f t="shared" si="342"/>
        <v>18.293722749270582</v>
      </c>
      <c r="BC59" s="4783">
        <f t="shared" si="343"/>
        <v>21.687933229248554</v>
      </c>
      <c r="BD59" s="4783">
        <f t="shared" si="344"/>
        <v>24.154667963178927</v>
      </c>
      <c r="BE59" s="4783">
        <f t="shared" si="345"/>
        <v>26.850570609486262</v>
      </c>
      <c r="BF59" s="4783">
        <f t="shared" si="346"/>
        <v>14.827464554690337</v>
      </c>
      <c r="BG59" s="4783">
        <f t="shared" si="347"/>
        <v>25.308948119212815</v>
      </c>
      <c r="BH59" s="4783">
        <f t="shared" si="348"/>
        <v>28.568433861838709</v>
      </c>
      <c r="BI59" s="4783">
        <f t="shared" si="349"/>
        <v>31.1248932678198</v>
      </c>
      <c r="BJ59" s="4783">
        <f t="shared" si="350"/>
        <v>38.176460462650986</v>
      </c>
      <c r="BK59" s="4783">
        <f t="shared" si="351"/>
        <v>43.902929532048624</v>
      </c>
      <c r="BL59" s="4783">
        <f t="shared" si="352"/>
        <v>6.1355025743546223</v>
      </c>
      <c r="BM59" s="4783">
        <f t="shared" si="353"/>
        <v>9.0173295410969452</v>
      </c>
      <c r="BN59" s="4783">
        <f t="shared" si="354"/>
        <v>9.9469511432718871</v>
      </c>
      <c r="BO59" s="4783">
        <f t="shared" si="355"/>
        <v>11.480826786860542</v>
      </c>
      <c r="BP59" s="4783">
        <f t="shared" si="356"/>
        <v>13.293588911101681</v>
      </c>
      <c r="BQ59" s="4783">
        <f t="shared" si="357"/>
        <v>15.292275355777809</v>
      </c>
      <c r="BR59" s="4783">
        <f t="shared" si="358"/>
        <v>0</v>
      </c>
      <c r="BS59" s="4783">
        <f t="shared" si="359"/>
        <v>0</v>
      </c>
      <c r="BT59" s="4783">
        <f t="shared" si="360"/>
        <v>0</v>
      </c>
      <c r="BU59" s="4783">
        <f t="shared" si="361"/>
        <v>0</v>
      </c>
      <c r="BV59" s="4783">
        <f t="shared" si="362"/>
        <v>0</v>
      </c>
      <c r="BW59" s="4783">
        <f t="shared" si="363"/>
        <v>0</v>
      </c>
      <c r="BX59" s="4783">
        <f t="shared" si="364"/>
        <v>0</v>
      </c>
      <c r="BY59" s="4783">
        <f t="shared" si="365"/>
        <v>0</v>
      </c>
      <c r="BZ59" s="4783">
        <f t="shared" si="366"/>
        <v>0</v>
      </c>
      <c r="CA59" s="4783">
        <f t="shared" si="367"/>
        <v>0</v>
      </c>
      <c r="CB59" s="4783">
        <f t="shared" si="368"/>
        <v>0</v>
      </c>
      <c r="CC59" s="4783">
        <f t="shared" si="369"/>
        <v>0</v>
      </c>
      <c r="CD59" s="4783">
        <f t="shared" si="370"/>
        <v>0</v>
      </c>
      <c r="CE59" s="4783">
        <f t="shared" si="371"/>
        <v>0</v>
      </c>
      <c r="CF59" s="4783">
        <f t="shared" si="372"/>
        <v>0</v>
      </c>
      <c r="CG59" s="4783">
        <f t="shared" si="373"/>
        <v>0</v>
      </c>
      <c r="CH59" s="4783">
        <f t="shared" si="374"/>
        <v>0</v>
      </c>
      <c r="CI59" s="4783">
        <f t="shared" si="375"/>
        <v>0</v>
      </c>
      <c r="CJ59" s="4783">
        <f t="shared" si="376"/>
        <v>11.000368889498839</v>
      </c>
      <c r="CK59" s="4783">
        <f t="shared" si="377"/>
        <v>12.617030967296584</v>
      </c>
      <c r="CL59" s="4783">
        <f t="shared" si="378"/>
        <v>14.249033335559261</v>
      </c>
      <c r="CM59" s="4783">
        <f t="shared" si="379"/>
        <v>16.936543564624738</v>
      </c>
      <c r="CN59" s="4783">
        <f t="shared" si="380"/>
        <v>19.057732119113787</v>
      </c>
      <c r="CO59" s="4783">
        <f t="shared" si="381"/>
        <v>22.099775673406761</v>
      </c>
      <c r="CP59" s="4783">
        <f t="shared" si="382"/>
        <v>25.142222505779266</v>
      </c>
      <c r="CQ59" s="4783">
        <f t="shared" si="383"/>
        <v>28.248876436091074</v>
      </c>
    </row>
    <row r="60" spans="1:121" s="171" customFormat="1" ht="26.25" thickBot="1">
      <c r="A60" s="626" t="s">
        <v>1271</v>
      </c>
      <c r="B60" s="628" t="s">
        <v>1202</v>
      </c>
      <c r="C60" s="1610">
        <f t="shared" ref="C60" si="426">IFERROR(C37/C22,0)</f>
        <v>21.634615384615383</v>
      </c>
      <c r="D60" s="1610">
        <f t="shared" ref="D60:H60" si="427">IFERROR(D37/D22,0)</f>
        <v>32.346153846153847</v>
      </c>
      <c r="E60" s="1610">
        <f t="shared" si="427"/>
        <v>36.607843137254903</v>
      </c>
      <c r="F60" s="1610">
        <f t="shared" si="427"/>
        <v>43.897959183673471</v>
      </c>
      <c r="G60" s="1610">
        <f t="shared" si="427"/>
        <v>49.265306122448976</v>
      </c>
      <c r="H60" s="1611">
        <f t="shared" si="427"/>
        <v>57.833333333333336</v>
      </c>
      <c r="I60" s="1610">
        <f t="shared" si="389"/>
        <v>31.571428571428573</v>
      </c>
      <c r="J60" s="1610">
        <f t="shared" ref="J60:N60" si="428">IFERROR(J37/J22,0)</f>
        <v>47.857142857142854</v>
      </c>
      <c r="K60" s="1610">
        <f t="shared" si="428"/>
        <v>52.142857142857146</v>
      </c>
      <c r="L60" s="1610">
        <f t="shared" si="428"/>
        <v>57.428571428571431</v>
      </c>
      <c r="M60" s="1610">
        <f t="shared" si="428"/>
        <v>66</v>
      </c>
      <c r="N60" s="1611">
        <f t="shared" si="428"/>
        <v>75.857142857142861</v>
      </c>
      <c r="O60" s="1610">
        <f t="shared" si="391"/>
        <v>9.2121212121212128</v>
      </c>
      <c r="P60" s="1610">
        <f t="shared" ref="P60:T60" si="429">IFERROR(P37/P22,0)</f>
        <v>14.5</v>
      </c>
      <c r="Q60" s="1610">
        <f t="shared" si="429"/>
        <v>16.724137931034484</v>
      </c>
      <c r="R60" s="1610">
        <f t="shared" si="429"/>
        <v>18.448275862068964</v>
      </c>
      <c r="S60" s="1610">
        <f t="shared" si="429"/>
        <v>21.964285714285715</v>
      </c>
      <c r="T60" s="1611">
        <f t="shared" si="429"/>
        <v>25.25</v>
      </c>
      <c r="U60" s="1610">
        <f t="shared" si="393"/>
        <v>0</v>
      </c>
      <c r="V60" s="1610">
        <f t="shared" ref="V60:Z60" si="430">IFERROR(V37/V22,0)</f>
        <v>0</v>
      </c>
      <c r="W60" s="1610">
        <f t="shared" si="430"/>
        <v>0</v>
      </c>
      <c r="X60" s="1610">
        <f t="shared" si="430"/>
        <v>0</v>
      </c>
      <c r="Y60" s="1610">
        <f t="shared" si="430"/>
        <v>0</v>
      </c>
      <c r="Z60" s="1611">
        <f t="shared" si="430"/>
        <v>0</v>
      </c>
      <c r="AA60" s="1610">
        <f t="shared" si="395"/>
        <v>0</v>
      </c>
      <c r="AB60" s="1610">
        <f t="shared" ref="AB60:AF60" si="431">IFERROR(AB37/AB22,0)</f>
        <v>0</v>
      </c>
      <c r="AC60" s="1610">
        <f t="shared" si="431"/>
        <v>0</v>
      </c>
      <c r="AD60" s="1610">
        <f t="shared" si="431"/>
        <v>0</v>
      </c>
      <c r="AE60" s="1610">
        <f t="shared" si="431"/>
        <v>0</v>
      </c>
      <c r="AF60" s="1611">
        <f t="shared" si="431"/>
        <v>0</v>
      </c>
      <c r="AG60" s="1610">
        <f t="shared" si="397"/>
        <v>0</v>
      </c>
      <c r="AH60" s="1610">
        <f t="shared" ref="AH60:AL60" si="432">IFERROR(AH37/AH22,0)</f>
        <v>0</v>
      </c>
      <c r="AI60" s="1610">
        <f t="shared" si="432"/>
        <v>0</v>
      </c>
      <c r="AJ60" s="1610">
        <f t="shared" si="432"/>
        <v>0</v>
      </c>
      <c r="AK60" s="1610">
        <f t="shared" si="432"/>
        <v>0</v>
      </c>
      <c r="AL60" s="1611">
        <f t="shared" si="432"/>
        <v>0</v>
      </c>
      <c r="AM60" s="1610">
        <f t="shared" si="399"/>
        <v>17.934782608695652</v>
      </c>
      <c r="AN60" s="1610">
        <f t="shared" si="399"/>
        <v>20.766666666666666</v>
      </c>
      <c r="AO60" s="1610">
        <f t="shared" si="399"/>
        <v>23.921348314606742</v>
      </c>
      <c r="AP60" s="1610">
        <f t="shared" ref="AP60:AT60" si="433">IFERROR(AP37/AP22,0)</f>
        <v>27.55056179775281</v>
      </c>
      <c r="AQ60" s="1610">
        <f t="shared" si="433"/>
        <v>31.229885057471265</v>
      </c>
      <c r="AR60" s="1610">
        <f t="shared" si="433"/>
        <v>36.329411764705881</v>
      </c>
      <c r="AS60" s="1610">
        <f t="shared" si="433"/>
        <v>41.55952380952381</v>
      </c>
      <c r="AT60" s="1611">
        <f t="shared" si="433"/>
        <v>48.361445783132531</v>
      </c>
      <c r="AU60" s="994">
        <f t="shared" si="337"/>
        <v>0.53615253660197482</v>
      </c>
      <c r="AV60" s="994">
        <f t="shared" si="338"/>
        <v>0.49511111111111122</v>
      </c>
      <c r="AW60" s="990">
        <f t="shared" si="339"/>
        <v>0.52897781551852219</v>
      </c>
      <c r="AX60" s="4775"/>
      <c r="AY60" s="4779" t="s">
        <v>1878</v>
      </c>
      <c r="AZ60" s="4783">
        <f t="shared" si="340"/>
        <v>11.06160319895665</v>
      </c>
      <c r="BA60" s="4783">
        <f t="shared" si="341"/>
        <v>16.5383258494623</v>
      </c>
      <c r="BB60" s="4783">
        <f t="shared" si="342"/>
        <v>18.717292984183135</v>
      </c>
      <c r="BC60" s="4783">
        <f t="shared" si="343"/>
        <v>22.444670131695226</v>
      </c>
      <c r="BD60" s="4783">
        <f t="shared" si="344"/>
        <v>25.188951045054516</v>
      </c>
      <c r="BE60" s="4783">
        <f t="shared" si="345"/>
        <v>29.569713795847971</v>
      </c>
      <c r="BF60" s="4783">
        <f t="shared" si="346"/>
        <v>16.142215106337755</v>
      </c>
      <c r="BG60" s="4783">
        <f t="shared" si="347"/>
        <v>24.468968600104741</v>
      </c>
      <c r="BH60" s="4783">
        <f t="shared" si="348"/>
        <v>26.66021951951711</v>
      </c>
      <c r="BI60" s="4783">
        <f t="shared" si="349"/>
        <v>29.362762320125693</v>
      </c>
      <c r="BJ60" s="4783">
        <f t="shared" si="350"/>
        <v>33.74526415895042</v>
      </c>
      <c r="BK60" s="4783">
        <f t="shared" si="351"/>
        <v>38.78514127359886</v>
      </c>
      <c r="BL60" s="4783">
        <f t="shared" si="352"/>
        <v>4.7100827843530437</v>
      </c>
      <c r="BM60" s="4783">
        <f t="shared" si="353"/>
        <v>7.4137322773451686</v>
      </c>
      <c r="BN60" s="4783">
        <f t="shared" si="354"/>
        <v>8.5509159441436555</v>
      </c>
      <c r="BO60" s="4783">
        <f t="shared" si="355"/>
        <v>9.4324536703440298</v>
      </c>
      <c r="BP60" s="4783">
        <f t="shared" si="356"/>
        <v>11.230160961988371</v>
      </c>
      <c r="BQ60" s="4783">
        <f t="shared" si="357"/>
        <v>12.910120000204516</v>
      </c>
      <c r="BR60" s="4783">
        <f t="shared" si="358"/>
        <v>0</v>
      </c>
      <c r="BS60" s="4783">
        <f t="shared" si="359"/>
        <v>0</v>
      </c>
      <c r="BT60" s="4783">
        <f t="shared" si="360"/>
        <v>0</v>
      </c>
      <c r="BU60" s="4783">
        <f t="shared" si="361"/>
        <v>0</v>
      </c>
      <c r="BV60" s="4783">
        <f t="shared" si="362"/>
        <v>0</v>
      </c>
      <c r="BW60" s="4783">
        <f t="shared" si="363"/>
        <v>0</v>
      </c>
      <c r="BX60" s="4783">
        <f t="shared" si="364"/>
        <v>0</v>
      </c>
      <c r="BY60" s="4783">
        <f t="shared" si="365"/>
        <v>0</v>
      </c>
      <c r="BZ60" s="4783">
        <f t="shared" si="366"/>
        <v>0</v>
      </c>
      <c r="CA60" s="4783">
        <f t="shared" si="367"/>
        <v>0</v>
      </c>
      <c r="CB60" s="4783">
        <f t="shared" si="368"/>
        <v>0</v>
      </c>
      <c r="CC60" s="4783">
        <f t="shared" si="369"/>
        <v>0</v>
      </c>
      <c r="CD60" s="4783">
        <f t="shared" si="370"/>
        <v>0</v>
      </c>
      <c r="CE60" s="4783">
        <f t="shared" si="371"/>
        <v>0</v>
      </c>
      <c r="CF60" s="4783">
        <f t="shared" si="372"/>
        <v>0</v>
      </c>
      <c r="CG60" s="4783">
        <f t="shared" si="373"/>
        <v>0</v>
      </c>
      <c r="CH60" s="4783">
        <f t="shared" si="374"/>
        <v>0</v>
      </c>
      <c r="CI60" s="4783">
        <f t="shared" si="375"/>
        <v>0</v>
      </c>
      <c r="CJ60" s="4783">
        <f t="shared" si="376"/>
        <v>9.1699087388452227</v>
      </c>
      <c r="CK60" s="4783">
        <f t="shared" si="377"/>
        <v>10.617828066174804</v>
      </c>
      <c r="CL60" s="4783">
        <f t="shared" si="378"/>
        <v>12.230791180525273</v>
      </c>
      <c r="CM60" s="4783">
        <f t="shared" si="379"/>
        <v>14.086378569585705</v>
      </c>
      <c r="CN60" s="4783">
        <f t="shared" si="380"/>
        <v>15.967586680576156</v>
      </c>
      <c r="CO60" s="4783">
        <f t="shared" si="381"/>
        <v>18.574933283928502</v>
      </c>
      <c r="CP60" s="4783">
        <f t="shared" si="382"/>
        <v>21.24904711019046</v>
      </c>
      <c r="CQ60" s="4783">
        <f t="shared" si="383"/>
        <v>24.726814591826759</v>
      </c>
    </row>
    <row r="61" spans="1:121" s="171" customFormat="1" ht="26.25" thickBot="1">
      <c r="A61" s="797" t="s">
        <v>1272</v>
      </c>
      <c r="B61" s="629" t="s">
        <v>1203</v>
      </c>
      <c r="C61" s="1612">
        <f t="shared" ref="C61" si="434">IFERROR(C38/C23,0)</f>
        <v>16.410958904109588</v>
      </c>
      <c r="D61" s="1612">
        <f t="shared" ref="D61:H61" si="435">IFERROR(D38/D23,0)</f>
        <v>24.027397260273972</v>
      </c>
      <c r="E61" s="1612">
        <f t="shared" si="435"/>
        <v>27.485714285714284</v>
      </c>
      <c r="F61" s="1612">
        <f t="shared" si="435"/>
        <v>32.434782608695649</v>
      </c>
      <c r="G61" s="1612">
        <f t="shared" si="435"/>
        <v>37.970149253731343</v>
      </c>
      <c r="H61" s="1613">
        <f t="shared" si="435"/>
        <v>44.857142857142854</v>
      </c>
      <c r="I61" s="1612">
        <f t="shared" si="389"/>
        <v>81</v>
      </c>
      <c r="J61" s="1612">
        <f t="shared" ref="J61:N61" si="436">IFERROR(J38/J23,0)</f>
        <v>121.5</v>
      </c>
      <c r="K61" s="1612">
        <f t="shared" si="436"/>
        <v>135</v>
      </c>
      <c r="L61" s="1612">
        <f t="shared" si="436"/>
        <v>156</v>
      </c>
      <c r="M61" s="1612">
        <f t="shared" si="436"/>
        <v>179.5</v>
      </c>
      <c r="N61" s="1613">
        <f t="shared" si="436"/>
        <v>206.5</v>
      </c>
      <c r="O61" s="1612">
        <f t="shared" si="391"/>
        <v>11.607142857142858</v>
      </c>
      <c r="P61" s="1612">
        <f t="shared" ref="P61:T61" si="437">IFERROR(P38/P23,0)</f>
        <v>16.814814814814813</v>
      </c>
      <c r="Q61" s="1612">
        <f t="shared" si="437"/>
        <v>18.222222222222221</v>
      </c>
      <c r="R61" s="1612">
        <f t="shared" si="437"/>
        <v>21.074074074074073</v>
      </c>
      <c r="S61" s="1612">
        <f t="shared" si="437"/>
        <v>23.481481481481481</v>
      </c>
      <c r="T61" s="1613">
        <f t="shared" si="437"/>
        <v>27.653846153846153</v>
      </c>
      <c r="U61" s="1612">
        <f t="shared" si="393"/>
        <v>0</v>
      </c>
      <c r="V61" s="1612">
        <f t="shared" ref="V61:Z61" si="438">IFERROR(V38/V23,0)</f>
        <v>0</v>
      </c>
      <c r="W61" s="1612">
        <f t="shared" si="438"/>
        <v>0</v>
      </c>
      <c r="X61" s="1612">
        <f t="shared" si="438"/>
        <v>0</v>
      </c>
      <c r="Y61" s="1612">
        <f t="shared" si="438"/>
        <v>0</v>
      </c>
      <c r="Z61" s="1613">
        <f t="shared" si="438"/>
        <v>0</v>
      </c>
      <c r="AA61" s="1612">
        <f t="shared" si="395"/>
        <v>0</v>
      </c>
      <c r="AB61" s="1612">
        <f t="shared" ref="AB61:AF61" si="439">IFERROR(AB38/AB23,0)</f>
        <v>0</v>
      </c>
      <c r="AC61" s="1612">
        <f t="shared" si="439"/>
        <v>0</v>
      </c>
      <c r="AD61" s="1612">
        <f t="shared" si="439"/>
        <v>0</v>
      </c>
      <c r="AE61" s="1612">
        <f t="shared" si="439"/>
        <v>0</v>
      </c>
      <c r="AF61" s="1613">
        <f t="shared" si="439"/>
        <v>0</v>
      </c>
      <c r="AG61" s="1612">
        <f t="shared" si="397"/>
        <v>0</v>
      </c>
      <c r="AH61" s="1612">
        <f t="shared" ref="AH61:AL61" si="440">IFERROR(AH38/AH23,0)</f>
        <v>0</v>
      </c>
      <c r="AI61" s="1612">
        <f t="shared" si="440"/>
        <v>0</v>
      </c>
      <c r="AJ61" s="1612">
        <f t="shared" si="440"/>
        <v>0</v>
      </c>
      <c r="AK61" s="1612">
        <f t="shared" si="440"/>
        <v>0</v>
      </c>
      <c r="AL61" s="1613">
        <f t="shared" si="440"/>
        <v>0</v>
      </c>
      <c r="AM61" s="1612">
        <f t="shared" si="399"/>
        <v>16.359223300970875</v>
      </c>
      <c r="AN61" s="1612">
        <f t="shared" si="399"/>
        <v>18.16504854368932</v>
      </c>
      <c r="AO61" s="1612">
        <f t="shared" si="399"/>
        <v>20.766990291262136</v>
      </c>
      <c r="AP61" s="1612">
        <f t="shared" ref="AP61:AT61" si="441">IFERROR(AP38/AP23,0)</f>
        <v>24.029411764705884</v>
      </c>
      <c r="AQ61" s="1612">
        <f t="shared" si="441"/>
        <v>27.131313131313131</v>
      </c>
      <c r="AR61" s="1612">
        <f t="shared" si="441"/>
        <v>31.826530612244898</v>
      </c>
      <c r="AS61" s="1612">
        <f t="shared" si="441"/>
        <v>36.84375</v>
      </c>
      <c r="AT61" s="1613">
        <f t="shared" si="441"/>
        <v>43.494505494505496</v>
      </c>
      <c r="AU61" s="1593">
        <f>IFERROR((AP61-AM61)/AM61,0)</f>
        <v>0.4688601850235643</v>
      </c>
      <c r="AV61" s="1593">
        <f t="shared" si="338"/>
        <v>0.46410684474123542</v>
      </c>
      <c r="AW61" s="1594">
        <f t="shared" si="339"/>
        <v>0.49356529688191841</v>
      </c>
      <c r="AX61" s="4775"/>
      <c r="AY61" s="4779" t="s">
        <v>1878</v>
      </c>
      <c r="AZ61" s="4783">
        <f t="shared" si="340"/>
        <v>8.3907900503160242</v>
      </c>
      <c r="BA61" s="4783">
        <f t="shared" si="341"/>
        <v>12.285013145454345</v>
      </c>
      <c r="BB61" s="4783">
        <f t="shared" si="342"/>
        <v>14.053222563164633</v>
      </c>
      <c r="BC61" s="4783">
        <f t="shared" si="343"/>
        <v>16.583641016190388</v>
      </c>
      <c r="BD61" s="4783">
        <f t="shared" si="344"/>
        <v>19.413829041241492</v>
      </c>
      <c r="BE61" s="4783">
        <f t="shared" si="345"/>
        <v>22.935092956516087</v>
      </c>
      <c r="BF61" s="4783">
        <f t="shared" si="346"/>
        <v>41.414642376893696</v>
      </c>
      <c r="BG61" s="4783">
        <f t="shared" si="347"/>
        <v>62.12196356534055</v>
      </c>
      <c r="BH61" s="4783">
        <f t="shared" si="348"/>
        <v>69.024403961489497</v>
      </c>
      <c r="BI61" s="4783">
        <f t="shared" si="349"/>
        <v>79.761533466610089</v>
      </c>
      <c r="BJ61" s="4783">
        <f t="shared" si="350"/>
        <v>91.776892674721225</v>
      </c>
      <c r="BK61" s="4783">
        <f t="shared" si="351"/>
        <v>105.58177346701912</v>
      </c>
      <c r="BL61" s="4783">
        <f t="shared" si="352"/>
        <v>5.9346379067418225</v>
      </c>
      <c r="BM61" s="4783">
        <f t="shared" si="353"/>
        <v>8.5972782986327108</v>
      </c>
      <c r="BN61" s="4783">
        <f t="shared" si="354"/>
        <v>9.3168742795755364</v>
      </c>
      <c r="BO61" s="4783">
        <f t="shared" si="355"/>
        <v>10.775002977801789</v>
      </c>
      <c r="BP61" s="4783">
        <f t="shared" si="356"/>
        <v>12.005890839940834</v>
      </c>
      <c r="BQ61" s="4783">
        <f t="shared" si="357"/>
        <v>14.139187022310811</v>
      </c>
      <c r="BR61" s="4783">
        <f t="shared" si="358"/>
        <v>0</v>
      </c>
      <c r="BS61" s="4783">
        <f t="shared" si="359"/>
        <v>0</v>
      </c>
      <c r="BT61" s="4783">
        <f t="shared" si="360"/>
        <v>0</v>
      </c>
      <c r="BU61" s="4783">
        <f t="shared" si="361"/>
        <v>0</v>
      </c>
      <c r="BV61" s="4783">
        <f t="shared" si="362"/>
        <v>0</v>
      </c>
      <c r="BW61" s="4783">
        <f t="shared" si="363"/>
        <v>0</v>
      </c>
      <c r="BX61" s="4783">
        <f t="shared" si="364"/>
        <v>0</v>
      </c>
      <c r="BY61" s="4783">
        <f t="shared" si="365"/>
        <v>0</v>
      </c>
      <c r="BZ61" s="4783">
        <f t="shared" si="366"/>
        <v>0</v>
      </c>
      <c r="CA61" s="4783">
        <f t="shared" si="367"/>
        <v>0</v>
      </c>
      <c r="CB61" s="4783">
        <f t="shared" si="368"/>
        <v>0</v>
      </c>
      <c r="CC61" s="4783">
        <f t="shared" si="369"/>
        <v>0</v>
      </c>
      <c r="CD61" s="4783">
        <f t="shared" si="370"/>
        <v>0</v>
      </c>
      <c r="CE61" s="4783">
        <f t="shared" si="371"/>
        <v>0</v>
      </c>
      <c r="CF61" s="4783">
        <f t="shared" si="372"/>
        <v>0</v>
      </c>
      <c r="CG61" s="4783">
        <f t="shared" si="373"/>
        <v>0</v>
      </c>
      <c r="CH61" s="4783">
        <f t="shared" si="374"/>
        <v>0</v>
      </c>
      <c r="CI61" s="4783">
        <f t="shared" si="375"/>
        <v>0</v>
      </c>
      <c r="CJ61" s="4783">
        <f t="shared" si="376"/>
        <v>8.3643380564624099</v>
      </c>
      <c r="CK61" s="4783">
        <f t="shared" si="377"/>
        <v>9.2876418419235414</v>
      </c>
      <c r="CL61" s="4783">
        <f t="shared" si="378"/>
        <v>10.617993532803023</v>
      </c>
      <c r="CM61" s="4783">
        <f t="shared" si="379"/>
        <v>12.286043145215016</v>
      </c>
      <c r="CN61" s="4783">
        <f t="shared" si="380"/>
        <v>13.872020130232757</v>
      </c>
      <c r="CO61" s="4783">
        <f t="shared" si="381"/>
        <v>16.27264670868373</v>
      </c>
      <c r="CP61" s="4783">
        <f t="shared" si="382"/>
        <v>18.837910247823174</v>
      </c>
      <c r="CQ61" s="4783">
        <f t="shared" si="383"/>
        <v>22.238387535984977</v>
      </c>
    </row>
    <row r="62" spans="1:121" ht="24">
      <c r="A62" s="794" t="s">
        <v>109</v>
      </c>
      <c r="B62" s="795" t="s">
        <v>1007</v>
      </c>
      <c r="C62" s="1614">
        <f t="shared" ref="C62:AL62" si="442">IFERROR(C42/C29,0)</f>
        <v>0.21157742402315485</v>
      </c>
      <c r="D62" s="1615">
        <f t="shared" si="442"/>
        <v>0.21216296004723478</v>
      </c>
      <c r="E62" s="1615">
        <f t="shared" si="442"/>
        <v>0.21609135285913528</v>
      </c>
      <c r="F62" s="1615">
        <f t="shared" si="442"/>
        <v>0.21809975520195837</v>
      </c>
      <c r="G62" s="1615">
        <f t="shared" si="442"/>
        <v>0.22365459382033967</v>
      </c>
      <c r="H62" s="1616">
        <f t="shared" si="442"/>
        <v>0.22888713496448304</v>
      </c>
      <c r="I62" s="1614">
        <f t="shared" si="442"/>
        <v>0.23054417788180223</v>
      </c>
      <c r="J62" s="1615">
        <f t="shared" si="442"/>
        <v>0.24299835255354202</v>
      </c>
      <c r="K62" s="1615">
        <f t="shared" si="442"/>
        <v>0.24214285714285713</v>
      </c>
      <c r="L62" s="1615">
        <f t="shared" si="442"/>
        <v>0.25008015389547933</v>
      </c>
      <c r="M62" s="1615">
        <f t="shared" si="442"/>
        <v>0.2518248175182482</v>
      </c>
      <c r="N62" s="1616">
        <f t="shared" si="442"/>
        <v>0.25318940137389595</v>
      </c>
      <c r="O62" s="1614">
        <f t="shared" si="442"/>
        <v>0.21268163804491413</v>
      </c>
      <c r="P62" s="1615">
        <f t="shared" si="442"/>
        <v>0.222985347985348</v>
      </c>
      <c r="Q62" s="1615">
        <f t="shared" si="442"/>
        <v>0.23275145469659186</v>
      </c>
      <c r="R62" s="1615">
        <f t="shared" si="442"/>
        <v>0.23452294246176256</v>
      </c>
      <c r="S62" s="1615">
        <f t="shared" si="442"/>
        <v>0.23604465709728867</v>
      </c>
      <c r="T62" s="1616">
        <f t="shared" si="442"/>
        <v>0.2373117679866146</v>
      </c>
      <c r="U62" s="1614">
        <f t="shared" si="442"/>
        <v>0</v>
      </c>
      <c r="V62" s="1615">
        <f t="shared" si="442"/>
        <v>0</v>
      </c>
      <c r="W62" s="1615">
        <f t="shared" si="442"/>
        <v>0</v>
      </c>
      <c r="X62" s="1615">
        <f t="shared" si="442"/>
        <v>0</v>
      </c>
      <c r="Y62" s="1615">
        <f t="shared" si="442"/>
        <v>0</v>
      </c>
      <c r="Z62" s="1616">
        <f t="shared" si="442"/>
        <v>0</v>
      </c>
      <c r="AA62" s="1614">
        <f t="shared" si="442"/>
        <v>0</v>
      </c>
      <c r="AB62" s="1615">
        <f t="shared" si="442"/>
        <v>0</v>
      </c>
      <c r="AC62" s="1615">
        <f t="shared" si="442"/>
        <v>0</v>
      </c>
      <c r="AD62" s="1615">
        <f t="shared" si="442"/>
        <v>0</v>
      </c>
      <c r="AE62" s="1615">
        <f t="shared" si="442"/>
        <v>0</v>
      </c>
      <c r="AF62" s="1616">
        <f t="shared" si="442"/>
        <v>0</v>
      </c>
      <c r="AG62" s="1614">
        <f t="shared" si="442"/>
        <v>6.9767441860465115E-2</v>
      </c>
      <c r="AH62" s="1615">
        <f t="shared" si="442"/>
        <v>8.6134453781512604E-2</v>
      </c>
      <c r="AI62" s="1615">
        <f t="shared" si="442"/>
        <v>8.576642335766424E-2</v>
      </c>
      <c r="AJ62" s="1615">
        <f t="shared" si="442"/>
        <v>8.5714285714285715E-2</v>
      </c>
      <c r="AK62" s="1615">
        <f t="shared" si="442"/>
        <v>8.5635359116022103E-2</v>
      </c>
      <c r="AL62" s="1616">
        <f t="shared" si="442"/>
        <v>8.6434573829531819E-2</v>
      </c>
      <c r="AM62" s="1614">
        <f>IFERROR(AM42/AM29,0)</f>
        <v>0.21494128096318957</v>
      </c>
      <c r="AN62" s="1615">
        <f>IFERROR(AN42/AN29,0)</f>
        <v>0.2140479943948152</v>
      </c>
      <c r="AO62" s="1615">
        <f t="shared" ref="AO62:AS62" si="443">IFERROR(AO42/AO29,0)</f>
        <v>0.2153527924615031</v>
      </c>
      <c r="AP62" s="1615">
        <f t="shared" si="443"/>
        <v>0.21883037769053743</v>
      </c>
      <c r="AQ62" s="1615">
        <f t="shared" si="443"/>
        <v>0.22286844945437104</v>
      </c>
      <c r="AR62" s="1615">
        <f t="shared" si="443"/>
        <v>0.22574853461477531</v>
      </c>
      <c r="AS62" s="1615">
        <f t="shared" si="443"/>
        <v>0.2301713643599588</v>
      </c>
      <c r="AT62" s="1616">
        <f>IFERROR(AT42/AT29,0)</f>
        <v>0.23424356690009532</v>
      </c>
      <c r="AU62" s="1600"/>
      <c r="AV62" s="1600"/>
      <c r="AW62" s="1601"/>
      <c r="AX62" s="4775"/>
      <c r="AY62" s="4788"/>
      <c r="AZ62" s="152"/>
      <c r="BA62" s="152"/>
      <c r="BB62" s="152"/>
    </row>
    <row r="63" spans="1:121" ht="24.75" thickBot="1">
      <c r="A63" s="334" t="s">
        <v>83</v>
      </c>
      <c r="B63" s="796" t="s">
        <v>1008</v>
      </c>
      <c r="C63" s="2051">
        <f t="shared" ref="C63:AT63" si="444">IFERROR(C46/C29,0)</f>
        <v>0.14688856729377714</v>
      </c>
      <c r="D63" s="2052">
        <f t="shared" si="444"/>
        <v>0.13796496752607754</v>
      </c>
      <c r="E63" s="2052">
        <f t="shared" si="444"/>
        <v>0.1405160390516039</v>
      </c>
      <c r="F63" s="2052">
        <f t="shared" si="444"/>
        <v>0.14182986536107711</v>
      </c>
      <c r="G63" s="2052">
        <f t="shared" si="444"/>
        <v>0.14541982129459108</v>
      </c>
      <c r="H63" s="2053">
        <f t="shared" si="444"/>
        <v>0.14886770687875661</v>
      </c>
      <c r="I63" s="2051">
        <f t="shared" si="444"/>
        <v>0.14628437682855472</v>
      </c>
      <c r="J63" s="2052">
        <f t="shared" si="444"/>
        <v>0.13962108731466227</v>
      </c>
      <c r="K63" s="2052">
        <f t="shared" si="444"/>
        <v>0.13892857142857143</v>
      </c>
      <c r="L63" s="2052">
        <f t="shared" si="444"/>
        <v>0.14363578069894198</v>
      </c>
      <c r="M63" s="2052">
        <f t="shared" si="444"/>
        <v>0.14458169567658619</v>
      </c>
      <c r="N63" s="2053">
        <f t="shared" si="444"/>
        <v>0.14524043179587831</v>
      </c>
      <c r="O63" s="2051">
        <f t="shared" si="444"/>
        <v>0.14927344782034346</v>
      </c>
      <c r="P63" s="2052">
        <f t="shared" si="444"/>
        <v>0.14148351648351648</v>
      </c>
      <c r="Q63" s="2052">
        <f t="shared" si="444"/>
        <v>0.14796342477140481</v>
      </c>
      <c r="R63" s="2052">
        <f t="shared" si="444"/>
        <v>0.14894391842680263</v>
      </c>
      <c r="S63" s="2052">
        <f t="shared" si="444"/>
        <v>0.15023923444976076</v>
      </c>
      <c r="T63" s="2053">
        <f t="shared" si="444"/>
        <v>0.15086447295036251</v>
      </c>
      <c r="U63" s="2051">
        <f t="shared" si="444"/>
        <v>0</v>
      </c>
      <c r="V63" s="2052">
        <f t="shared" si="444"/>
        <v>0</v>
      </c>
      <c r="W63" s="2052">
        <f t="shared" si="444"/>
        <v>0</v>
      </c>
      <c r="X63" s="2052">
        <f t="shared" si="444"/>
        <v>0</v>
      </c>
      <c r="Y63" s="2052">
        <f t="shared" si="444"/>
        <v>0</v>
      </c>
      <c r="Z63" s="2053">
        <f t="shared" si="444"/>
        <v>0</v>
      </c>
      <c r="AA63" s="2051">
        <f t="shared" si="444"/>
        <v>0</v>
      </c>
      <c r="AB63" s="2052">
        <f t="shared" si="444"/>
        <v>0</v>
      </c>
      <c r="AC63" s="2052">
        <f t="shared" si="444"/>
        <v>0</v>
      </c>
      <c r="AD63" s="2052">
        <f t="shared" si="444"/>
        <v>0</v>
      </c>
      <c r="AE63" s="2052">
        <f t="shared" si="444"/>
        <v>0</v>
      </c>
      <c r="AF63" s="2053">
        <f t="shared" si="444"/>
        <v>0</v>
      </c>
      <c r="AG63" s="2051">
        <f t="shared" si="444"/>
        <v>5.1162790697674418E-2</v>
      </c>
      <c r="AH63" s="2052">
        <f t="shared" si="444"/>
        <v>8.4033613445378158E-2</v>
      </c>
      <c r="AI63" s="2052">
        <f t="shared" si="444"/>
        <v>8.3941605839416053E-2</v>
      </c>
      <c r="AJ63" s="2052">
        <f t="shared" si="444"/>
        <v>8.2539682539682538E-2</v>
      </c>
      <c r="AK63" s="2052">
        <f t="shared" si="444"/>
        <v>8.2872928176795577E-2</v>
      </c>
      <c r="AL63" s="2053">
        <f t="shared" si="444"/>
        <v>8.2833133253301314E-2</v>
      </c>
      <c r="AM63" s="1617">
        <f t="shared" si="444"/>
        <v>0.14714299812493831</v>
      </c>
      <c r="AN63" s="2052">
        <f t="shared" ref="AN63:AO63" si="445">IFERROR(AN46/AN29,0)</f>
        <v>0.13575056927658083</v>
      </c>
      <c r="AO63" s="2052">
        <f t="shared" si="445"/>
        <v>0.13659695089251514</v>
      </c>
      <c r="AP63" s="1618">
        <f t="shared" si="444"/>
        <v>0.13875727629619602</v>
      </c>
      <c r="AQ63" s="1618">
        <f t="shared" si="444"/>
        <v>0.14132389974817125</v>
      </c>
      <c r="AR63" s="1618">
        <f t="shared" si="444"/>
        <v>0.14315889528436396</v>
      </c>
      <c r="AS63" s="1618">
        <f t="shared" si="444"/>
        <v>0.14598745200861504</v>
      </c>
      <c r="AT63" s="1619">
        <f t="shared" si="444"/>
        <v>0.14855177557701074</v>
      </c>
      <c r="AU63" s="1606"/>
      <c r="AV63" s="1606"/>
      <c r="AW63" s="1607"/>
      <c r="AX63" s="4775"/>
      <c r="AY63" s="4788"/>
      <c r="AZ63" s="152"/>
      <c r="BA63" s="152"/>
      <c r="BB63" s="152"/>
    </row>
    <row r="64" spans="1:121" s="151" customFormat="1" ht="48">
      <c r="A64" s="332" t="s">
        <v>311</v>
      </c>
      <c r="B64" s="735" t="s">
        <v>1423</v>
      </c>
      <c r="C64" s="165"/>
      <c r="D64" s="166"/>
      <c r="E64" s="166"/>
      <c r="F64" s="166"/>
      <c r="G64" s="166"/>
      <c r="H64" s="167"/>
      <c r="I64" s="168"/>
      <c r="J64" s="169"/>
      <c r="K64" s="169"/>
      <c r="L64" s="169"/>
      <c r="M64" s="169"/>
      <c r="N64" s="170"/>
      <c r="O64" s="168"/>
      <c r="P64" s="169"/>
      <c r="Q64" s="169"/>
      <c r="R64" s="169"/>
      <c r="S64" s="169"/>
      <c r="T64" s="170"/>
      <c r="U64" s="168"/>
      <c r="V64" s="169"/>
      <c r="W64" s="169"/>
      <c r="X64" s="169"/>
      <c r="Y64" s="169"/>
      <c r="Z64" s="170"/>
      <c r="AA64" s="168"/>
      <c r="AB64" s="169"/>
      <c r="AC64" s="169"/>
      <c r="AD64" s="169"/>
      <c r="AE64" s="169"/>
      <c r="AF64" s="170"/>
      <c r="AG64" s="168"/>
      <c r="AH64" s="169"/>
      <c r="AI64" s="169"/>
      <c r="AJ64" s="169"/>
      <c r="AK64" s="169"/>
      <c r="AL64" s="170"/>
      <c r="AM64" s="168"/>
      <c r="AN64" s="169"/>
      <c r="AO64" s="169"/>
      <c r="AP64" s="169"/>
      <c r="AQ64" s="169"/>
      <c r="AR64" s="169"/>
      <c r="AS64" s="169"/>
      <c r="AT64" s="170"/>
      <c r="AU64" s="789"/>
      <c r="AV64" s="789"/>
      <c r="AW64" s="617"/>
      <c r="AX64" s="4775"/>
      <c r="AY64" s="4788"/>
    </row>
    <row r="65" spans="1:95" s="171" customFormat="1" ht="13.5" thickBot="1">
      <c r="A65" s="830" t="s">
        <v>956</v>
      </c>
      <c r="B65" s="831" t="s">
        <v>1260</v>
      </c>
      <c r="C65" s="302">
        <v>2</v>
      </c>
      <c r="D65" s="303">
        <v>2</v>
      </c>
      <c r="E65" s="303">
        <v>2</v>
      </c>
      <c r="F65" s="303">
        <v>2</v>
      </c>
      <c r="G65" s="303">
        <v>2</v>
      </c>
      <c r="H65" s="618">
        <v>2</v>
      </c>
      <c r="I65" s="304"/>
      <c r="J65" s="305"/>
      <c r="K65" s="305"/>
      <c r="L65" s="305"/>
      <c r="M65" s="305"/>
      <c r="N65" s="306"/>
      <c r="O65" s="304"/>
      <c r="P65" s="305"/>
      <c r="Q65" s="305"/>
      <c r="R65" s="305"/>
      <c r="S65" s="305"/>
      <c r="T65" s="306"/>
      <c r="U65" s="304"/>
      <c r="V65" s="305"/>
      <c r="W65" s="305"/>
      <c r="X65" s="305"/>
      <c r="Y65" s="305"/>
      <c r="Z65" s="306"/>
      <c r="AA65" s="304"/>
      <c r="AB65" s="305"/>
      <c r="AC65" s="305"/>
      <c r="AD65" s="305"/>
      <c r="AE65" s="305"/>
      <c r="AF65" s="306"/>
      <c r="AG65" s="304"/>
      <c r="AH65" s="305"/>
      <c r="AI65" s="305"/>
      <c r="AJ65" s="305"/>
      <c r="AK65" s="305"/>
      <c r="AL65" s="306"/>
      <c r="AM65" s="991">
        <f t="shared" ref="AM65:AM68" si="446">C65+I65+O65+AG65+U65+AA65</f>
        <v>2</v>
      </c>
      <c r="AN65" s="305"/>
      <c r="AO65" s="305"/>
      <c r="AP65" s="992">
        <f t="shared" ref="AP65:AT68" si="447">D65+J65+P65+AH65+V65+AB65</f>
        <v>2</v>
      </c>
      <c r="AQ65" s="992">
        <f t="shared" si="447"/>
        <v>2</v>
      </c>
      <c r="AR65" s="992">
        <f t="shared" si="447"/>
        <v>2</v>
      </c>
      <c r="AS65" s="992">
        <f t="shared" si="447"/>
        <v>2</v>
      </c>
      <c r="AT65" s="993">
        <f t="shared" si="447"/>
        <v>2</v>
      </c>
      <c r="AU65" s="1595">
        <f t="shared" ref="AU65:AU68" si="448">IFERROR((AP65-AM65)/AM65,0)</f>
        <v>0</v>
      </c>
      <c r="AV65" s="1595">
        <f t="shared" ref="AV65:AV68" si="449">IFERROR(((D65+V65+AB65)-(+C65+U65+AA65))/(C65+U65+AA65),0)</f>
        <v>0</v>
      </c>
      <c r="AW65" s="1595">
        <f t="shared" ref="AW65:AW68" si="450">IFERROR(((J65+P65)-(I65+O65))/(I65+O65),0)</f>
        <v>0</v>
      </c>
      <c r="AX65" s="4775"/>
      <c r="AY65" s="4788"/>
    </row>
    <row r="66" spans="1:95" s="171" customFormat="1" ht="24.75" thickBot="1">
      <c r="A66" s="830" t="s">
        <v>957</v>
      </c>
      <c r="B66" s="831" t="s">
        <v>1422</v>
      </c>
      <c r="C66" s="302">
        <v>74</v>
      </c>
      <c r="D66" s="303">
        <v>85</v>
      </c>
      <c r="E66" s="303">
        <v>98</v>
      </c>
      <c r="F66" s="303">
        <v>113</v>
      </c>
      <c r="G66" s="303">
        <v>129</v>
      </c>
      <c r="H66" s="618">
        <v>149</v>
      </c>
      <c r="I66" s="304">
        <v>18</v>
      </c>
      <c r="J66" s="305">
        <v>21</v>
      </c>
      <c r="K66" s="305">
        <v>24</v>
      </c>
      <c r="L66" s="305">
        <v>27</v>
      </c>
      <c r="M66" s="305">
        <v>31</v>
      </c>
      <c r="N66" s="306">
        <v>36</v>
      </c>
      <c r="O66" s="304">
        <v>20</v>
      </c>
      <c r="P66" s="305">
        <v>23</v>
      </c>
      <c r="Q66" s="305">
        <v>26</v>
      </c>
      <c r="R66" s="305">
        <v>30</v>
      </c>
      <c r="S66" s="305">
        <v>35</v>
      </c>
      <c r="T66" s="306">
        <v>40</v>
      </c>
      <c r="U66" s="304"/>
      <c r="V66" s="305"/>
      <c r="W66" s="305"/>
      <c r="X66" s="305"/>
      <c r="Y66" s="305"/>
      <c r="Z66" s="306"/>
      <c r="AA66" s="304"/>
      <c r="AB66" s="305"/>
      <c r="AC66" s="305"/>
      <c r="AD66" s="305"/>
      <c r="AE66" s="305"/>
      <c r="AF66" s="306"/>
      <c r="AG66" s="304"/>
      <c r="AH66" s="305"/>
      <c r="AI66" s="305"/>
      <c r="AJ66" s="305"/>
      <c r="AK66" s="305"/>
      <c r="AL66" s="306"/>
      <c r="AM66" s="991">
        <f t="shared" si="446"/>
        <v>112</v>
      </c>
      <c r="AN66" s="305"/>
      <c r="AO66" s="305"/>
      <c r="AP66" s="992">
        <f t="shared" si="447"/>
        <v>129</v>
      </c>
      <c r="AQ66" s="992">
        <f t="shared" si="447"/>
        <v>148</v>
      </c>
      <c r="AR66" s="992">
        <f t="shared" si="447"/>
        <v>170</v>
      </c>
      <c r="AS66" s="992">
        <f t="shared" si="447"/>
        <v>195</v>
      </c>
      <c r="AT66" s="993">
        <f t="shared" si="447"/>
        <v>225</v>
      </c>
      <c r="AU66" s="1595">
        <f t="shared" si="448"/>
        <v>0.15178571428571427</v>
      </c>
      <c r="AV66" s="1595">
        <f t="shared" si="449"/>
        <v>0.14864864864864866</v>
      </c>
      <c r="AW66" s="1595">
        <f>IFERROR(((J66+P66)-(I66+O66))/(I66+O66),0)</f>
        <v>0.15789473684210525</v>
      </c>
      <c r="AX66" s="4775"/>
      <c r="AY66" s="4778" t="s">
        <v>1877</v>
      </c>
      <c r="AZ66" s="4784">
        <f t="shared" ref="AZ66:AZ68" si="451">IFERROR(C66/$C$1,0)</f>
        <v>37.835599208520172</v>
      </c>
      <c r="BA66" s="4784">
        <f t="shared" ref="BA66:BA68" si="452">IFERROR(D66/$C$1,0)</f>
        <v>43.459809901678575</v>
      </c>
      <c r="BB66" s="4784">
        <f t="shared" ref="BB66:BB68" si="453">IFERROR(E66/$C$1,0)</f>
        <v>50.106604357229415</v>
      </c>
      <c r="BC66" s="4784">
        <f t="shared" ref="BC66:BC68" si="454">IFERROR(F66/$C$1,0)</f>
        <v>57.775982575172691</v>
      </c>
      <c r="BD66" s="4784">
        <f t="shared" ref="BD66:BD68" si="455">IFERROR(G66/$C$1,0)</f>
        <v>65.956652674312181</v>
      </c>
      <c r="BE66" s="4784">
        <f t="shared" ref="BE66:BE68" si="456">IFERROR(H66/$C$1,0)</f>
        <v>76.182490298236559</v>
      </c>
      <c r="BF66" s="4784">
        <f t="shared" ref="BF66:BF68" si="457">IFERROR(I66/$C$1,0)</f>
        <v>9.2032538615319321</v>
      </c>
      <c r="BG66" s="4784">
        <f t="shared" ref="BG66:BG68" si="458">IFERROR(J66/$C$1,0)</f>
        <v>10.737129505120588</v>
      </c>
      <c r="BH66" s="4784">
        <f t="shared" ref="BH66:BH68" si="459">IFERROR(K66/$C$1,0)</f>
        <v>12.271005148709245</v>
      </c>
      <c r="BI66" s="4784">
        <f t="shared" ref="BI66:BI68" si="460">IFERROR(L66/$C$1,0)</f>
        <v>13.804880792297899</v>
      </c>
      <c r="BJ66" s="4784">
        <f t="shared" ref="BJ66:BJ68" si="461">IFERROR(M66/$C$1,0)</f>
        <v>15.850048317082774</v>
      </c>
      <c r="BK66" s="4784">
        <f t="shared" ref="BK66:BK68" si="462">IFERROR(N66/$C$1,0)</f>
        <v>18.406507723063864</v>
      </c>
      <c r="BL66" s="4784">
        <f t="shared" ref="BL66:BL68" si="463">IFERROR(O66/$C$1,0)</f>
        <v>10.22583762392437</v>
      </c>
      <c r="BM66" s="4784">
        <f t="shared" ref="BM66:BM68" si="464">IFERROR(P66/$C$1,0)</f>
        <v>11.759713267513025</v>
      </c>
      <c r="BN66" s="4784">
        <f t="shared" ref="BN66:BN68" si="465">IFERROR(Q66/$C$1,0)</f>
        <v>13.293588911101681</v>
      </c>
      <c r="BO66" s="4784">
        <f t="shared" ref="BO66:BO68" si="466">IFERROR(R66/$C$1,0)</f>
        <v>15.338756435886555</v>
      </c>
      <c r="BP66" s="4784">
        <f t="shared" ref="BP66:BP68" si="467">IFERROR(S66/$C$1,0)</f>
        <v>17.895215841867646</v>
      </c>
      <c r="BQ66" s="4784">
        <f t="shared" ref="BQ66:BQ68" si="468">IFERROR(T66/$C$1,0)</f>
        <v>20.45167524784874</v>
      </c>
      <c r="BR66" s="4784">
        <f t="shared" ref="BR66:BR68" si="469">IFERROR(U66/$C$1,0)</f>
        <v>0</v>
      </c>
      <c r="BS66" s="4784">
        <f t="shared" ref="BS66:BS68" si="470">IFERROR(V66/$C$1,0)</f>
        <v>0</v>
      </c>
      <c r="BT66" s="4784">
        <f t="shared" ref="BT66:BT68" si="471">IFERROR(W66/$C$1,0)</f>
        <v>0</v>
      </c>
      <c r="BU66" s="4784">
        <f t="shared" ref="BU66:BU68" si="472">IFERROR(X66/$C$1,0)</f>
        <v>0</v>
      </c>
      <c r="BV66" s="4784">
        <f t="shared" ref="BV66:BV68" si="473">IFERROR(Y66/$C$1,0)</f>
        <v>0</v>
      </c>
      <c r="BW66" s="4784">
        <f t="shared" ref="BW66:BW68" si="474">IFERROR(Z66/$C$1,0)</f>
        <v>0</v>
      </c>
      <c r="BX66" s="4784">
        <f t="shared" ref="BX66:BX68" si="475">IFERROR(AA66/$C$1,0)</f>
        <v>0</v>
      </c>
      <c r="BY66" s="4784">
        <f t="shared" ref="BY66:BY68" si="476">IFERROR(AB66/$C$1,0)</f>
        <v>0</v>
      </c>
      <c r="BZ66" s="4784">
        <f t="shared" ref="BZ66:BZ68" si="477">IFERROR(AC66/$C$1,0)</f>
        <v>0</v>
      </c>
      <c r="CA66" s="4784">
        <f t="shared" ref="CA66:CA68" si="478">IFERROR(AD66/$C$1,0)</f>
        <v>0</v>
      </c>
      <c r="CB66" s="4784">
        <f t="shared" ref="CB66:CB68" si="479">IFERROR(AE66/$C$1,0)</f>
        <v>0</v>
      </c>
      <c r="CC66" s="4784">
        <f t="shared" ref="CC66:CC68" si="480">IFERROR(AF66/$C$1,0)</f>
        <v>0</v>
      </c>
      <c r="CD66" s="4784">
        <f t="shared" ref="CD66:CD68" si="481">IFERROR(AG66/$C$1,0)</f>
        <v>0</v>
      </c>
      <c r="CE66" s="4784">
        <f t="shared" ref="CE66:CE68" si="482">IFERROR(AH66/$C$1,0)</f>
        <v>0</v>
      </c>
      <c r="CF66" s="4784">
        <f t="shared" ref="CF66:CF68" si="483">IFERROR(AI66/$C$1,0)</f>
        <v>0</v>
      </c>
      <c r="CG66" s="4784">
        <f t="shared" ref="CG66:CG68" si="484">IFERROR(AJ66/$C$1,0)</f>
        <v>0</v>
      </c>
      <c r="CH66" s="4784">
        <f t="shared" ref="CH66:CH68" si="485">IFERROR(AK66/$C$1,0)</f>
        <v>0</v>
      </c>
      <c r="CI66" s="4784">
        <f t="shared" ref="CI66:CI68" si="486">IFERROR(AL66/$C$1,0)</f>
        <v>0</v>
      </c>
      <c r="CJ66" s="4784">
        <f t="shared" ref="CJ66:CJ68" si="487">IFERROR(AM66/$C$1,0)</f>
        <v>57.264690693976469</v>
      </c>
      <c r="CK66" s="4784">
        <f t="shared" ref="CK66:CK68" si="488">IFERROR(AN66/$C$1,0)</f>
        <v>0</v>
      </c>
      <c r="CL66" s="4784">
        <f t="shared" ref="CL66:CL68" si="489">IFERROR(AO66/$C$1,0)</f>
        <v>0</v>
      </c>
      <c r="CM66" s="4784">
        <f t="shared" ref="CM66:CM68" si="490">IFERROR(AP66/$C$1,0)</f>
        <v>65.956652674312181</v>
      </c>
      <c r="CN66" s="4784">
        <f t="shared" ref="CN66:CN68" si="491">IFERROR(AQ66/$C$1,0)</f>
        <v>75.671198417040344</v>
      </c>
      <c r="CO66" s="4784">
        <f t="shared" ref="CO66:CO68" si="492">IFERROR(AR66/$C$1,0)</f>
        <v>86.919619803357151</v>
      </c>
      <c r="CP66" s="4784">
        <f t="shared" ref="CP66:CP68" si="493">IFERROR(AS66/$C$1,0)</f>
        <v>99.701916833262601</v>
      </c>
      <c r="CQ66" s="4784">
        <f t="shared" ref="CQ66:CQ68" si="494">IFERROR(AT66/$C$1,0)</f>
        <v>115.04067326914917</v>
      </c>
    </row>
    <row r="67" spans="1:95" s="171" customFormat="1" ht="13.5" thickBot="1">
      <c r="A67" s="731" t="s">
        <v>1106</v>
      </c>
      <c r="B67" s="832" t="s">
        <v>721</v>
      </c>
      <c r="C67" s="630"/>
      <c r="D67" s="631"/>
      <c r="E67" s="631"/>
      <c r="F67" s="631"/>
      <c r="G67" s="631"/>
      <c r="H67" s="632"/>
      <c r="I67" s="304"/>
      <c r="J67" s="305"/>
      <c r="K67" s="305"/>
      <c r="L67" s="305"/>
      <c r="M67" s="305"/>
      <c r="N67" s="306"/>
      <c r="O67" s="304"/>
      <c r="P67" s="305"/>
      <c r="Q67" s="305"/>
      <c r="R67" s="305"/>
      <c r="S67" s="305"/>
      <c r="T67" s="306"/>
      <c r="U67" s="304"/>
      <c r="V67" s="305"/>
      <c r="W67" s="305"/>
      <c r="X67" s="305"/>
      <c r="Y67" s="305"/>
      <c r="Z67" s="306"/>
      <c r="AA67" s="304"/>
      <c r="AB67" s="305"/>
      <c r="AC67" s="305"/>
      <c r="AD67" s="305"/>
      <c r="AE67" s="305"/>
      <c r="AF67" s="306"/>
      <c r="AG67" s="304"/>
      <c r="AH67" s="305"/>
      <c r="AI67" s="305"/>
      <c r="AJ67" s="305"/>
      <c r="AK67" s="305"/>
      <c r="AL67" s="306"/>
      <c r="AM67" s="991">
        <f t="shared" si="446"/>
        <v>0</v>
      </c>
      <c r="AN67" s="305"/>
      <c r="AO67" s="305"/>
      <c r="AP67" s="992">
        <f t="shared" si="447"/>
        <v>0</v>
      </c>
      <c r="AQ67" s="992">
        <f t="shared" si="447"/>
        <v>0</v>
      </c>
      <c r="AR67" s="992">
        <f t="shared" si="447"/>
        <v>0</v>
      </c>
      <c r="AS67" s="992">
        <f t="shared" si="447"/>
        <v>0</v>
      </c>
      <c r="AT67" s="993">
        <f t="shared" si="447"/>
        <v>0</v>
      </c>
      <c r="AU67" s="1595">
        <f t="shared" si="448"/>
        <v>0</v>
      </c>
      <c r="AV67" s="1595">
        <f t="shared" si="449"/>
        <v>0</v>
      </c>
      <c r="AW67" s="1595">
        <f t="shared" si="450"/>
        <v>0</v>
      </c>
      <c r="AX67" s="4775"/>
      <c r="AY67" s="4778" t="s">
        <v>1877</v>
      </c>
      <c r="AZ67" s="4784">
        <f t="shared" si="451"/>
        <v>0</v>
      </c>
      <c r="BA67" s="4784">
        <f t="shared" si="452"/>
        <v>0</v>
      </c>
      <c r="BB67" s="4784">
        <f t="shared" si="453"/>
        <v>0</v>
      </c>
      <c r="BC67" s="4784">
        <f t="shared" si="454"/>
        <v>0</v>
      </c>
      <c r="BD67" s="4784">
        <f t="shared" si="455"/>
        <v>0</v>
      </c>
      <c r="BE67" s="4784">
        <f t="shared" si="456"/>
        <v>0</v>
      </c>
      <c r="BF67" s="4784">
        <f t="shared" si="457"/>
        <v>0</v>
      </c>
      <c r="BG67" s="4784">
        <f t="shared" si="458"/>
        <v>0</v>
      </c>
      <c r="BH67" s="4784">
        <f t="shared" si="459"/>
        <v>0</v>
      </c>
      <c r="BI67" s="4784">
        <f t="shared" si="460"/>
        <v>0</v>
      </c>
      <c r="BJ67" s="4784">
        <f t="shared" si="461"/>
        <v>0</v>
      </c>
      <c r="BK67" s="4784">
        <f t="shared" si="462"/>
        <v>0</v>
      </c>
      <c r="BL67" s="4784">
        <f t="shared" si="463"/>
        <v>0</v>
      </c>
      <c r="BM67" s="4784">
        <f t="shared" si="464"/>
        <v>0</v>
      </c>
      <c r="BN67" s="4784">
        <f t="shared" si="465"/>
        <v>0</v>
      </c>
      <c r="BO67" s="4784">
        <f t="shared" si="466"/>
        <v>0</v>
      </c>
      <c r="BP67" s="4784">
        <f t="shared" si="467"/>
        <v>0</v>
      </c>
      <c r="BQ67" s="4784">
        <f t="shared" si="468"/>
        <v>0</v>
      </c>
      <c r="BR67" s="4784">
        <f t="shared" si="469"/>
        <v>0</v>
      </c>
      <c r="BS67" s="4784">
        <f t="shared" si="470"/>
        <v>0</v>
      </c>
      <c r="BT67" s="4784">
        <f t="shared" si="471"/>
        <v>0</v>
      </c>
      <c r="BU67" s="4784">
        <f t="shared" si="472"/>
        <v>0</v>
      </c>
      <c r="BV67" s="4784">
        <f t="shared" si="473"/>
        <v>0</v>
      </c>
      <c r="BW67" s="4784">
        <f t="shared" si="474"/>
        <v>0</v>
      </c>
      <c r="BX67" s="4784">
        <f t="shared" si="475"/>
        <v>0</v>
      </c>
      <c r="BY67" s="4784">
        <f t="shared" si="476"/>
        <v>0</v>
      </c>
      <c r="BZ67" s="4784">
        <f t="shared" si="477"/>
        <v>0</v>
      </c>
      <c r="CA67" s="4784">
        <f t="shared" si="478"/>
        <v>0</v>
      </c>
      <c r="CB67" s="4784">
        <f t="shared" si="479"/>
        <v>0</v>
      </c>
      <c r="CC67" s="4784">
        <f t="shared" si="480"/>
        <v>0</v>
      </c>
      <c r="CD67" s="4784">
        <f t="shared" si="481"/>
        <v>0</v>
      </c>
      <c r="CE67" s="4784">
        <f t="shared" si="482"/>
        <v>0</v>
      </c>
      <c r="CF67" s="4784">
        <f t="shared" si="483"/>
        <v>0</v>
      </c>
      <c r="CG67" s="4784">
        <f t="shared" si="484"/>
        <v>0</v>
      </c>
      <c r="CH67" s="4784">
        <f t="shared" si="485"/>
        <v>0</v>
      </c>
      <c r="CI67" s="4784">
        <f t="shared" si="486"/>
        <v>0</v>
      </c>
      <c r="CJ67" s="4784">
        <f t="shared" si="487"/>
        <v>0</v>
      </c>
      <c r="CK67" s="4784">
        <f t="shared" si="488"/>
        <v>0</v>
      </c>
      <c r="CL67" s="4784">
        <f t="shared" si="489"/>
        <v>0</v>
      </c>
      <c r="CM67" s="4784">
        <f t="shared" si="490"/>
        <v>0</v>
      </c>
      <c r="CN67" s="4784">
        <f t="shared" si="491"/>
        <v>0</v>
      </c>
      <c r="CO67" s="4784">
        <f t="shared" si="492"/>
        <v>0</v>
      </c>
      <c r="CP67" s="4784">
        <f t="shared" si="493"/>
        <v>0</v>
      </c>
      <c r="CQ67" s="4784">
        <f t="shared" si="494"/>
        <v>0</v>
      </c>
    </row>
    <row r="68" spans="1:95" s="171" customFormat="1" ht="24.75" thickBot="1">
      <c r="A68" s="734" t="s">
        <v>1261</v>
      </c>
      <c r="B68" s="833" t="s">
        <v>1258</v>
      </c>
      <c r="C68" s="630"/>
      <c r="D68" s="631"/>
      <c r="E68" s="631"/>
      <c r="F68" s="631"/>
      <c r="G68" s="631"/>
      <c r="H68" s="632"/>
      <c r="I68" s="304"/>
      <c r="J68" s="305"/>
      <c r="K68" s="305"/>
      <c r="L68" s="305"/>
      <c r="M68" s="305"/>
      <c r="N68" s="306"/>
      <c r="O68" s="304"/>
      <c r="P68" s="305"/>
      <c r="Q68" s="305"/>
      <c r="R68" s="305"/>
      <c r="S68" s="305"/>
      <c r="T68" s="306"/>
      <c r="U68" s="304"/>
      <c r="V68" s="305"/>
      <c r="W68" s="305"/>
      <c r="X68" s="305"/>
      <c r="Y68" s="305"/>
      <c r="Z68" s="306"/>
      <c r="AA68" s="304"/>
      <c r="AB68" s="305"/>
      <c r="AC68" s="305"/>
      <c r="AD68" s="305"/>
      <c r="AE68" s="305"/>
      <c r="AF68" s="306"/>
      <c r="AG68" s="304"/>
      <c r="AH68" s="305"/>
      <c r="AI68" s="305"/>
      <c r="AJ68" s="305"/>
      <c r="AK68" s="305"/>
      <c r="AL68" s="306"/>
      <c r="AM68" s="991">
        <f t="shared" si="446"/>
        <v>0</v>
      </c>
      <c r="AN68" s="305"/>
      <c r="AO68" s="305"/>
      <c r="AP68" s="992">
        <f t="shared" si="447"/>
        <v>0</v>
      </c>
      <c r="AQ68" s="992">
        <f t="shared" si="447"/>
        <v>0</v>
      </c>
      <c r="AR68" s="992">
        <f t="shared" si="447"/>
        <v>0</v>
      </c>
      <c r="AS68" s="992">
        <f t="shared" si="447"/>
        <v>0</v>
      </c>
      <c r="AT68" s="993">
        <f t="shared" si="447"/>
        <v>0</v>
      </c>
      <c r="AU68" s="1595">
        <f t="shared" si="448"/>
        <v>0</v>
      </c>
      <c r="AV68" s="1595">
        <f t="shared" si="449"/>
        <v>0</v>
      </c>
      <c r="AW68" s="1595">
        <f t="shared" si="450"/>
        <v>0</v>
      </c>
      <c r="AX68" s="4775"/>
      <c r="AY68" s="4778" t="s">
        <v>1877</v>
      </c>
      <c r="AZ68" s="4784">
        <f t="shared" si="451"/>
        <v>0</v>
      </c>
      <c r="BA68" s="4784">
        <f t="shared" si="452"/>
        <v>0</v>
      </c>
      <c r="BB68" s="4784">
        <f t="shared" si="453"/>
        <v>0</v>
      </c>
      <c r="BC68" s="4784">
        <f t="shared" si="454"/>
        <v>0</v>
      </c>
      <c r="BD68" s="4784">
        <f t="shared" si="455"/>
        <v>0</v>
      </c>
      <c r="BE68" s="4784">
        <f t="shared" si="456"/>
        <v>0</v>
      </c>
      <c r="BF68" s="4784">
        <f t="shared" si="457"/>
        <v>0</v>
      </c>
      <c r="BG68" s="4784">
        <f t="shared" si="458"/>
        <v>0</v>
      </c>
      <c r="BH68" s="4784">
        <f t="shared" si="459"/>
        <v>0</v>
      </c>
      <c r="BI68" s="4784">
        <f t="shared" si="460"/>
        <v>0</v>
      </c>
      <c r="BJ68" s="4784">
        <f t="shared" si="461"/>
        <v>0</v>
      </c>
      <c r="BK68" s="4784">
        <f t="shared" si="462"/>
        <v>0</v>
      </c>
      <c r="BL68" s="4784">
        <f t="shared" si="463"/>
        <v>0</v>
      </c>
      <c r="BM68" s="4784">
        <f t="shared" si="464"/>
        <v>0</v>
      </c>
      <c r="BN68" s="4784">
        <f t="shared" si="465"/>
        <v>0</v>
      </c>
      <c r="BO68" s="4784">
        <f t="shared" si="466"/>
        <v>0</v>
      </c>
      <c r="BP68" s="4784">
        <f t="shared" si="467"/>
        <v>0</v>
      </c>
      <c r="BQ68" s="4784">
        <f t="shared" si="468"/>
        <v>0</v>
      </c>
      <c r="BR68" s="4784">
        <f t="shared" si="469"/>
        <v>0</v>
      </c>
      <c r="BS68" s="4784">
        <f t="shared" si="470"/>
        <v>0</v>
      </c>
      <c r="BT68" s="4784">
        <f t="shared" si="471"/>
        <v>0</v>
      </c>
      <c r="BU68" s="4784">
        <f t="shared" si="472"/>
        <v>0</v>
      </c>
      <c r="BV68" s="4784">
        <f t="shared" si="473"/>
        <v>0</v>
      </c>
      <c r="BW68" s="4784">
        <f t="shared" si="474"/>
        <v>0</v>
      </c>
      <c r="BX68" s="4784">
        <f t="shared" si="475"/>
        <v>0</v>
      </c>
      <c r="BY68" s="4784">
        <f t="shared" si="476"/>
        <v>0</v>
      </c>
      <c r="BZ68" s="4784">
        <f t="shared" si="477"/>
        <v>0</v>
      </c>
      <c r="CA68" s="4784">
        <f t="shared" si="478"/>
        <v>0</v>
      </c>
      <c r="CB68" s="4784">
        <f t="shared" si="479"/>
        <v>0</v>
      </c>
      <c r="CC68" s="4784">
        <f t="shared" si="480"/>
        <v>0</v>
      </c>
      <c r="CD68" s="4784">
        <f t="shared" si="481"/>
        <v>0</v>
      </c>
      <c r="CE68" s="4784">
        <f t="shared" si="482"/>
        <v>0</v>
      </c>
      <c r="CF68" s="4784">
        <f t="shared" si="483"/>
        <v>0</v>
      </c>
      <c r="CG68" s="4784">
        <f t="shared" si="484"/>
        <v>0</v>
      </c>
      <c r="CH68" s="4784">
        <f t="shared" si="485"/>
        <v>0</v>
      </c>
      <c r="CI68" s="4784">
        <f t="shared" si="486"/>
        <v>0</v>
      </c>
      <c r="CJ68" s="4784">
        <f t="shared" si="487"/>
        <v>0</v>
      </c>
      <c r="CK68" s="4784">
        <f t="shared" si="488"/>
        <v>0</v>
      </c>
      <c r="CL68" s="4784">
        <f t="shared" si="489"/>
        <v>0</v>
      </c>
      <c r="CM68" s="4784">
        <f t="shared" si="490"/>
        <v>0</v>
      </c>
      <c r="CN68" s="4784">
        <f t="shared" si="491"/>
        <v>0</v>
      </c>
      <c r="CO68" s="4784">
        <f t="shared" si="492"/>
        <v>0</v>
      </c>
      <c r="CP68" s="4784">
        <f t="shared" si="493"/>
        <v>0</v>
      </c>
      <c r="CQ68" s="4784">
        <f t="shared" si="494"/>
        <v>0</v>
      </c>
    </row>
    <row r="69" spans="1:95" s="649" customFormat="1" ht="26.25" thickBot="1">
      <c r="A69" s="792" t="s">
        <v>1262</v>
      </c>
      <c r="B69" s="793" t="s">
        <v>1318</v>
      </c>
      <c r="C69" s="1620">
        <f>IFERROR(C66/C65,0)</f>
        <v>37</v>
      </c>
      <c r="D69" s="1621">
        <f t="shared" ref="D69:AT69" si="495">IFERROR(D66/D65,0)</f>
        <v>42.5</v>
      </c>
      <c r="E69" s="1621">
        <f t="shared" si="495"/>
        <v>49</v>
      </c>
      <c r="F69" s="1621">
        <f t="shared" si="495"/>
        <v>56.5</v>
      </c>
      <c r="G69" s="1621">
        <f t="shared" si="495"/>
        <v>64.5</v>
      </c>
      <c r="H69" s="1622">
        <f t="shared" si="495"/>
        <v>74.5</v>
      </c>
      <c r="I69" s="1620">
        <f t="shared" si="495"/>
        <v>0</v>
      </c>
      <c r="J69" s="1621">
        <f t="shared" si="495"/>
        <v>0</v>
      </c>
      <c r="K69" s="1621">
        <f t="shared" si="495"/>
        <v>0</v>
      </c>
      <c r="L69" s="1621">
        <f t="shared" si="495"/>
        <v>0</v>
      </c>
      <c r="M69" s="1621">
        <f t="shared" si="495"/>
        <v>0</v>
      </c>
      <c r="N69" s="1622">
        <f t="shared" si="495"/>
        <v>0</v>
      </c>
      <c r="O69" s="1620">
        <f t="shared" si="495"/>
        <v>0</v>
      </c>
      <c r="P69" s="1621">
        <f t="shared" si="495"/>
        <v>0</v>
      </c>
      <c r="Q69" s="1621">
        <f t="shared" si="495"/>
        <v>0</v>
      </c>
      <c r="R69" s="1621">
        <f t="shared" si="495"/>
        <v>0</v>
      </c>
      <c r="S69" s="1621">
        <f t="shared" si="495"/>
        <v>0</v>
      </c>
      <c r="T69" s="1622">
        <f t="shared" si="495"/>
        <v>0</v>
      </c>
      <c r="U69" s="1620">
        <f t="shared" si="495"/>
        <v>0</v>
      </c>
      <c r="V69" s="1621">
        <f t="shared" si="495"/>
        <v>0</v>
      </c>
      <c r="W69" s="1621">
        <f t="shared" si="495"/>
        <v>0</v>
      </c>
      <c r="X69" s="1621">
        <f t="shared" si="495"/>
        <v>0</v>
      </c>
      <c r="Y69" s="1621">
        <f t="shared" si="495"/>
        <v>0</v>
      </c>
      <c r="Z69" s="1622">
        <f t="shared" si="495"/>
        <v>0</v>
      </c>
      <c r="AA69" s="1620">
        <f t="shared" si="495"/>
        <v>0</v>
      </c>
      <c r="AB69" s="1621">
        <f t="shared" si="495"/>
        <v>0</v>
      </c>
      <c r="AC69" s="1621">
        <f t="shared" si="495"/>
        <v>0</v>
      </c>
      <c r="AD69" s="1621">
        <f t="shared" si="495"/>
        <v>0</v>
      </c>
      <c r="AE69" s="1621">
        <f t="shared" si="495"/>
        <v>0</v>
      </c>
      <c r="AF69" s="1622">
        <f t="shared" si="495"/>
        <v>0</v>
      </c>
      <c r="AG69" s="1620">
        <f t="shared" si="495"/>
        <v>0</v>
      </c>
      <c r="AH69" s="1621">
        <f t="shared" si="495"/>
        <v>0</v>
      </c>
      <c r="AI69" s="1621">
        <f t="shared" si="495"/>
        <v>0</v>
      </c>
      <c r="AJ69" s="1621">
        <f t="shared" si="495"/>
        <v>0</v>
      </c>
      <c r="AK69" s="1621">
        <f t="shared" si="495"/>
        <v>0</v>
      </c>
      <c r="AL69" s="1622">
        <f>IFERROR(AL66/AL65,0)</f>
        <v>0</v>
      </c>
      <c r="AM69" s="1620">
        <f>IFERROR(AM66/AM65,0)</f>
        <v>56</v>
      </c>
      <c r="AN69" s="1621">
        <f t="shared" si="495"/>
        <v>0</v>
      </c>
      <c r="AO69" s="1621">
        <f t="shared" si="495"/>
        <v>0</v>
      </c>
      <c r="AP69" s="1621">
        <f t="shared" si="495"/>
        <v>64.5</v>
      </c>
      <c r="AQ69" s="1621">
        <f t="shared" si="495"/>
        <v>74</v>
      </c>
      <c r="AR69" s="1621">
        <f t="shared" si="495"/>
        <v>85</v>
      </c>
      <c r="AS69" s="1621">
        <f t="shared" si="495"/>
        <v>97.5</v>
      </c>
      <c r="AT69" s="1622">
        <f t="shared" si="495"/>
        <v>112.5</v>
      </c>
      <c r="AU69" s="1606"/>
      <c r="AV69" s="1606"/>
      <c r="AW69" s="1607"/>
      <c r="AX69" s="4775"/>
      <c r="AY69" s="4779" t="s">
        <v>1900</v>
      </c>
      <c r="AZ69" s="4783">
        <f t="shared" ref="AZ69" si="496">IFERROR(C69/$C$1,0)</f>
        <v>18.917799604260086</v>
      </c>
      <c r="BA69" s="4783">
        <f t="shared" ref="BA69" si="497">IFERROR(D69/$C$1,0)</f>
        <v>21.729904950839288</v>
      </c>
      <c r="BB69" s="4783">
        <f t="shared" ref="BB69" si="498">IFERROR(E69/$C$1,0)</f>
        <v>25.053302178614707</v>
      </c>
      <c r="BC69" s="4783">
        <f t="shared" ref="BC69" si="499">IFERROR(F69/$C$1,0)</f>
        <v>28.887991287586345</v>
      </c>
      <c r="BD69" s="4783">
        <f t="shared" ref="BD69" si="500">IFERROR(G69/$C$1,0)</f>
        <v>32.978326337156091</v>
      </c>
      <c r="BE69" s="4783">
        <f t="shared" ref="BE69" si="501">IFERROR(H69/$C$1,0)</f>
        <v>38.091245149118279</v>
      </c>
      <c r="BF69" s="4783">
        <f t="shared" ref="BF69" si="502">IFERROR(I69/$C$1,0)</f>
        <v>0</v>
      </c>
      <c r="BG69" s="4783">
        <f t="shared" ref="BG69" si="503">IFERROR(J69/$C$1,0)</f>
        <v>0</v>
      </c>
      <c r="BH69" s="4783">
        <f t="shared" ref="BH69" si="504">IFERROR(K69/$C$1,0)</f>
        <v>0</v>
      </c>
      <c r="BI69" s="4783">
        <f t="shared" ref="BI69" si="505">IFERROR(L69/$C$1,0)</f>
        <v>0</v>
      </c>
      <c r="BJ69" s="4783">
        <f t="shared" ref="BJ69" si="506">IFERROR(M69/$C$1,0)</f>
        <v>0</v>
      </c>
      <c r="BK69" s="4783">
        <f t="shared" ref="BK69" si="507">IFERROR(N69/$C$1,0)</f>
        <v>0</v>
      </c>
      <c r="BL69" s="4783">
        <f t="shared" ref="BL69" si="508">IFERROR(O69/$C$1,0)</f>
        <v>0</v>
      </c>
      <c r="BM69" s="4783">
        <f t="shared" ref="BM69" si="509">IFERROR(P69/$C$1,0)</f>
        <v>0</v>
      </c>
      <c r="BN69" s="4783">
        <f t="shared" ref="BN69" si="510">IFERROR(Q69/$C$1,0)</f>
        <v>0</v>
      </c>
      <c r="BO69" s="4783">
        <f t="shared" ref="BO69" si="511">IFERROR(R69/$C$1,0)</f>
        <v>0</v>
      </c>
      <c r="BP69" s="4783">
        <f t="shared" ref="BP69" si="512">IFERROR(S69/$C$1,0)</f>
        <v>0</v>
      </c>
      <c r="BQ69" s="4783">
        <f t="shared" ref="BQ69" si="513">IFERROR(T69/$C$1,0)</f>
        <v>0</v>
      </c>
      <c r="BR69" s="4783">
        <f t="shared" ref="BR69" si="514">IFERROR(U69/$C$1,0)</f>
        <v>0</v>
      </c>
      <c r="BS69" s="4783">
        <f t="shared" ref="BS69" si="515">IFERROR(V69/$C$1,0)</f>
        <v>0</v>
      </c>
      <c r="BT69" s="4783">
        <f t="shared" ref="BT69" si="516">IFERROR(W69/$C$1,0)</f>
        <v>0</v>
      </c>
      <c r="BU69" s="4783">
        <f t="shared" ref="BU69" si="517">IFERROR(X69/$C$1,0)</f>
        <v>0</v>
      </c>
      <c r="BV69" s="4783">
        <f t="shared" ref="BV69" si="518">IFERROR(Y69/$C$1,0)</f>
        <v>0</v>
      </c>
      <c r="BW69" s="4783">
        <f t="shared" ref="BW69" si="519">IFERROR(Z69/$C$1,0)</f>
        <v>0</v>
      </c>
      <c r="BX69" s="4783">
        <f t="shared" ref="BX69" si="520">IFERROR(AA69/$C$1,0)</f>
        <v>0</v>
      </c>
      <c r="BY69" s="4783">
        <f t="shared" ref="BY69" si="521">IFERROR(AB69/$C$1,0)</f>
        <v>0</v>
      </c>
      <c r="BZ69" s="4783">
        <f t="shared" ref="BZ69" si="522">IFERROR(AC69/$C$1,0)</f>
        <v>0</v>
      </c>
      <c r="CA69" s="4783">
        <f t="shared" ref="CA69" si="523">IFERROR(AD69/$C$1,0)</f>
        <v>0</v>
      </c>
      <c r="CB69" s="4783">
        <f t="shared" ref="CB69" si="524">IFERROR(AE69/$C$1,0)</f>
        <v>0</v>
      </c>
      <c r="CC69" s="4783">
        <f t="shared" ref="CC69" si="525">IFERROR(AF69/$C$1,0)</f>
        <v>0</v>
      </c>
      <c r="CD69" s="4783">
        <f t="shared" ref="CD69" si="526">IFERROR(AG69/$C$1,0)</f>
        <v>0</v>
      </c>
      <c r="CE69" s="4783">
        <f t="shared" ref="CE69" si="527">IFERROR(AH69/$C$1,0)</f>
        <v>0</v>
      </c>
      <c r="CF69" s="4783">
        <f t="shared" ref="CF69" si="528">IFERROR(AI69/$C$1,0)</f>
        <v>0</v>
      </c>
      <c r="CG69" s="4783">
        <f t="shared" ref="CG69" si="529">IFERROR(AJ69/$C$1,0)</f>
        <v>0</v>
      </c>
      <c r="CH69" s="4783">
        <f t="shared" ref="CH69" si="530">IFERROR(AK69/$C$1,0)</f>
        <v>0</v>
      </c>
      <c r="CI69" s="4783">
        <f t="shared" ref="CI69" si="531">IFERROR(AL69/$C$1,0)</f>
        <v>0</v>
      </c>
      <c r="CJ69" s="4783">
        <f t="shared" ref="CJ69" si="532">IFERROR(AM69/$C$1,0)</f>
        <v>28.632345346988235</v>
      </c>
      <c r="CK69" s="4783">
        <f t="shared" ref="CK69" si="533">IFERROR(AN69/$C$1,0)</f>
        <v>0</v>
      </c>
      <c r="CL69" s="4783">
        <f t="shared" ref="CL69" si="534">IFERROR(AO69/$C$1,0)</f>
        <v>0</v>
      </c>
      <c r="CM69" s="4783">
        <f t="shared" ref="CM69" si="535">IFERROR(AP69/$C$1,0)</f>
        <v>32.978326337156091</v>
      </c>
      <c r="CN69" s="4783">
        <f t="shared" ref="CN69" si="536">IFERROR(AQ69/$C$1,0)</f>
        <v>37.835599208520172</v>
      </c>
      <c r="CO69" s="4783">
        <f t="shared" ref="CO69" si="537">IFERROR(AR69/$C$1,0)</f>
        <v>43.459809901678575</v>
      </c>
      <c r="CP69" s="4783">
        <f t="shared" ref="CP69" si="538">IFERROR(AS69/$C$1,0)</f>
        <v>49.8509584166313</v>
      </c>
      <c r="CQ69" s="4783">
        <f t="shared" ref="CQ69" si="539">IFERROR(AT69/$C$1,0)</f>
        <v>57.520336634574583</v>
      </c>
    </row>
    <row r="70" spans="1:95">
      <c r="A70" s="2054"/>
      <c r="B70" s="2027"/>
      <c r="C70" s="2054"/>
      <c r="D70" s="2055"/>
      <c r="E70" s="2055"/>
      <c r="F70" s="2055"/>
      <c r="G70" s="2055"/>
      <c r="H70" s="2055"/>
      <c r="I70" s="2029"/>
      <c r="J70" s="2027"/>
      <c r="K70" s="2027"/>
      <c r="L70" s="2027"/>
      <c r="M70" s="2027"/>
      <c r="N70" s="2027"/>
      <c r="O70" s="2027"/>
      <c r="P70" s="2027"/>
      <c r="Q70" s="2029"/>
      <c r="R70" s="2029"/>
      <c r="S70" s="2029"/>
      <c r="T70" s="2029"/>
      <c r="U70" s="2029"/>
      <c r="V70" s="2029"/>
      <c r="W70" s="2027"/>
      <c r="X70" s="2054"/>
      <c r="Y70" s="2029"/>
      <c r="Z70" s="2029"/>
      <c r="AA70" s="2029"/>
      <c r="AB70" s="2029"/>
      <c r="AC70" s="2029"/>
      <c r="AD70" s="2029"/>
      <c r="AE70" s="2027"/>
      <c r="AF70" s="2031"/>
      <c r="AG70" s="2031"/>
      <c r="AH70" s="2029"/>
      <c r="AI70" s="2029"/>
      <c r="AJ70" s="2029"/>
      <c r="AK70" s="2029"/>
      <c r="AL70" s="2029"/>
      <c r="AM70" s="2029"/>
      <c r="AN70" s="2029"/>
      <c r="AO70" s="2029"/>
      <c r="AP70" s="2029"/>
      <c r="AQ70" s="2029"/>
      <c r="AR70" s="2029"/>
      <c r="AS70" s="2029"/>
      <c r="AT70" s="2029"/>
      <c r="AU70" s="2056"/>
      <c r="AV70" s="2056"/>
      <c r="AW70" s="2057"/>
      <c r="AX70" s="152"/>
      <c r="AY70" s="152"/>
      <c r="AZ70" s="152"/>
      <c r="BA70" s="152"/>
      <c r="BB70" s="152"/>
    </row>
    <row r="71" spans="1:95">
      <c r="A71" s="2058"/>
      <c r="B71" s="2059"/>
      <c r="C71" s="2067" t="str">
        <f>'Приложение '!B82</f>
        <v>Дата: 15.04.2026 г.</v>
      </c>
      <c r="D71" s="2055"/>
      <c r="E71" s="2055"/>
      <c r="F71" s="2055"/>
      <c r="G71" s="2055"/>
      <c r="H71" s="2055"/>
      <c r="I71" s="2029"/>
      <c r="J71" s="2027"/>
      <c r="K71" s="2027"/>
      <c r="L71" s="2027"/>
      <c r="M71" s="2027"/>
      <c r="N71" s="2027"/>
      <c r="O71" s="2027"/>
      <c r="P71" s="2027"/>
      <c r="Q71" s="2060"/>
      <c r="R71" s="2061"/>
      <c r="S71" s="2062"/>
      <c r="T71" s="2029"/>
      <c r="U71" s="2029"/>
      <c r="V71" s="2054"/>
      <c r="W71" s="2027"/>
      <c r="X71" s="2054"/>
      <c r="Y71" s="2029"/>
      <c r="Z71" s="2029"/>
      <c r="AA71" s="2029"/>
      <c r="AB71" s="2029"/>
      <c r="AC71" s="2029"/>
      <c r="AD71" s="2029"/>
      <c r="AE71" s="2027"/>
      <c r="AF71" s="2031"/>
      <c r="AG71" s="2031"/>
      <c r="AH71" s="2029"/>
      <c r="AI71" s="2029"/>
      <c r="AJ71" s="2029"/>
      <c r="AK71" s="2029"/>
      <c r="AL71" s="2029"/>
      <c r="AM71" s="2029"/>
      <c r="AN71" s="2029"/>
      <c r="AO71" s="2029"/>
      <c r="AP71" s="2029"/>
      <c r="AQ71" s="2029"/>
      <c r="AR71" s="2029"/>
      <c r="AS71" s="2029"/>
      <c r="AT71" s="2029"/>
      <c r="AU71" s="2056"/>
      <c r="AV71" s="2056"/>
      <c r="AW71" s="2057"/>
      <c r="AX71" s="152"/>
      <c r="AY71" s="152"/>
      <c r="AZ71" s="152"/>
      <c r="BA71" s="152"/>
      <c r="BB71" s="152"/>
    </row>
    <row r="72" spans="1:95">
      <c r="A72" s="2063"/>
      <c r="B72" s="2064"/>
      <c r="C72" s="2054"/>
      <c r="D72" s="2055"/>
      <c r="E72" s="2055"/>
      <c r="F72" s="2055"/>
      <c r="G72" s="2055"/>
      <c r="H72" s="2055"/>
      <c r="I72" s="2029"/>
      <c r="J72" s="2029"/>
      <c r="K72" s="2029"/>
      <c r="L72" s="2029"/>
      <c r="M72" s="2029"/>
      <c r="N72" s="2029"/>
      <c r="O72" s="2029"/>
      <c r="P72" s="2029"/>
      <c r="Q72" s="2063"/>
      <c r="R72" s="2065"/>
      <c r="S72" s="2066"/>
      <c r="T72" s="2027"/>
      <c r="U72" s="2060"/>
      <c r="V72" s="2054"/>
      <c r="W72" s="2029"/>
      <c r="X72" s="2054"/>
      <c r="Y72" s="2029"/>
      <c r="Z72" s="2029"/>
      <c r="AA72" s="2029"/>
      <c r="AB72" s="2029"/>
      <c r="AD72" s="2068"/>
      <c r="AE72" s="2068"/>
      <c r="AF72" s="2069"/>
      <c r="AG72" s="2069"/>
      <c r="AH72" s="2068"/>
      <c r="AI72" s="2068"/>
      <c r="AJ72" s="2068"/>
      <c r="AK72" s="2068"/>
      <c r="AL72" s="2068"/>
      <c r="AM72" s="2068"/>
      <c r="AN72" s="2029"/>
      <c r="AO72" s="2029"/>
      <c r="AP72" s="2068"/>
      <c r="AQ72" s="2070"/>
      <c r="AR72" s="2071"/>
      <c r="AS72" s="2069"/>
      <c r="AT72" s="2068"/>
      <c r="AU72" s="2068"/>
      <c r="AV72" s="2068"/>
      <c r="AW72" s="2069"/>
      <c r="AX72" s="152"/>
      <c r="AY72" s="152"/>
      <c r="AZ72" s="152"/>
      <c r="BA72" s="152"/>
      <c r="BB72" s="152"/>
    </row>
    <row r="73" spans="1:95">
      <c r="A73" s="2063"/>
      <c r="B73" s="2064"/>
      <c r="C73" s="2054"/>
      <c r="D73" s="2055"/>
      <c r="E73" s="2055"/>
      <c r="F73" s="2055"/>
      <c r="G73" s="2055"/>
      <c r="H73" s="2055"/>
      <c r="I73" s="2029"/>
      <c r="J73" s="2029"/>
      <c r="K73" s="2029"/>
      <c r="L73" s="2029"/>
      <c r="M73" s="2029"/>
      <c r="N73" s="2029"/>
      <c r="O73" s="2029"/>
      <c r="P73" s="2029"/>
      <c r="Q73" s="2054"/>
      <c r="R73" s="2072"/>
      <c r="S73" s="2073"/>
      <c r="T73" s="2029"/>
      <c r="U73" s="2054"/>
      <c r="V73" s="2055"/>
      <c r="W73" s="2029"/>
      <c r="X73" s="2054"/>
      <c r="Y73" s="2029"/>
      <c r="Z73" s="2029"/>
      <c r="AA73" s="2029"/>
      <c r="AB73" s="2029"/>
      <c r="AC73" s="2068"/>
      <c r="AD73" s="2068"/>
      <c r="AE73" s="2068"/>
      <c r="AF73" s="2069"/>
      <c r="AG73" s="2069"/>
      <c r="AH73" s="2068"/>
      <c r="AI73" s="2068"/>
      <c r="AJ73" s="2068"/>
      <c r="AK73" s="2068"/>
      <c r="AL73" s="2068"/>
      <c r="AM73" s="2068"/>
      <c r="AN73" s="2029"/>
      <c r="AO73" s="2029"/>
      <c r="AP73" s="2068"/>
      <c r="AQ73" s="2070"/>
      <c r="AR73" s="2074"/>
      <c r="AS73" s="2069"/>
      <c r="AT73" s="2068"/>
      <c r="AU73" s="2068"/>
      <c r="AV73" s="2068"/>
      <c r="AW73" s="2069"/>
      <c r="AX73" s="152"/>
      <c r="AY73" s="152"/>
      <c r="AZ73" s="152"/>
      <c r="BA73" s="152"/>
      <c r="BB73" s="152"/>
    </row>
    <row r="74" spans="1:95">
      <c r="B74" s="4033"/>
      <c r="C74" s="4033" t="s">
        <v>187</v>
      </c>
      <c r="D74" s="2076"/>
      <c r="E74" s="2076"/>
      <c r="F74" s="2076"/>
      <c r="G74" s="2076"/>
      <c r="H74" s="2076"/>
      <c r="I74" s="2056"/>
      <c r="J74" s="2056"/>
      <c r="K74" s="2056"/>
      <c r="L74" s="2056"/>
      <c r="M74" s="2056"/>
      <c r="N74" s="2056"/>
      <c r="O74" s="2056"/>
      <c r="P74" s="2056"/>
      <c r="Q74" s="2075"/>
      <c r="R74" s="2077"/>
      <c r="S74" s="2073"/>
      <c r="T74" s="2056"/>
      <c r="U74" s="2054"/>
      <c r="V74" s="2055"/>
      <c r="W74" s="2029"/>
      <c r="X74" s="2054"/>
      <c r="Y74" s="2029"/>
      <c r="Z74" s="2029"/>
      <c r="AA74" s="2029"/>
      <c r="AB74" s="2029"/>
      <c r="AC74" s="2068"/>
      <c r="AD74" s="2068"/>
      <c r="AE74" s="2068"/>
      <c r="AF74" s="2069"/>
      <c r="AG74" s="2069"/>
      <c r="AH74" s="2068"/>
      <c r="AI74" s="2068"/>
      <c r="AJ74" s="2068"/>
      <c r="AK74" s="2068"/>
      <c r="AL74" s="2068"/>
      <c r="AM74" s="2068"/>
      <c r="AN74" s="2029"/>
      <c r="AO74" s="2029"/>
      <c r="AP74" s="2068"/>
      <c r="AQ74" s="2070"/>
      <c r="AR74" s="2071"/>
      <c r="AS74" s="2069"/>
      <c r="AT74" s="2068"/>
      <c r="AU74" s="2068"/>
      <c r="AV74" s="2068"/>
      <c r="AW74" s="2069"/>
      <c r="AX74" s="152"/>
      <c r="AY74" s="152"/>
      <c r="AZ74" s="152"/>
      <c r="BA74" s="152"/>
      <c r="BB74" s="152"/>
    </row>
    <row r="75" spans="1:95">
      <c r="B75" s="3939"/>
      <c r="C75" s="3939" t="s">
        <v>188</v>
      </c>
      <c r="D75" s="2056"/>
      <c r="E75" s="2056"/>
      <c r="F75" s="2056"/>
      <c r="G75" s="2056"/>
      <c r="H75" s="2056"/>
      <c r="I75" s="2056"/>
      <c r="J75" s="2056"/>
      <c r="K75" s="2056"/>
      <c r="L75" s="2056"/>
      <c r="M75" s="2056"/>
      <c r="N75" s="2056"/>
      <c r="O75" s="2056"/>
      <c r="P75" s="2056"/>
      <c r="Q75" s="2030"/>
      <c r="R75" s="3587"/>
      <c r="S75" s="3588"/>
      <c r="T75" s="2056"/>
      <c r="U75" s="2029"/>
      <c r="V75" s="2055"/>
      <c r="W75" s="2029"/>
      <c r="X75" s="2054"/>
      <c r="Y75" s="2029"/>
      <c r="Z75" s="2029"/>
      <c r="AA75" s="2029"/>
      <c r="AB75" s="2029"/>
      <c r="AC75" s="2068"/>
      <c r="AD75" s="2068"/>
      <c r="AE75" s="2068"/>
      <c r="AF75" s="2069"/>
      <c r="AG75" s="2069"/>
      <c r="AH75" s="2068"/>
      <c r="AI75" s="2068"/>
      <c r="AJ75" s="2068"/>
      <c r="AK75" s="2068"/>
      <c r="AL75" s="2068"/>
      <c r="AM75" s="2068"/>
      <c r="AN75" s="2029"/>
      <c r="AO75" s="2029"/>
      <c r="AP75" s="2068"/>
      <c r="AQ75" s="2070"/>
      <c r="AR75" s="2071"/>
      <c r="AS75" s="2069"/>
      <c r="AT75" s="2068"/>
      <c r="AU75" s="2068"/>
      <c r="AV75" s="2068"/>
      <c r="AW75" s="2069"/>
      <c r="AX75" s="152"/>
      <c r="AY75" s="152"/>
      <c r="AZ75" s="152"/>
      <c r="BA75" s="152"/>
      <c r="BB75" s="152"/>
    </row>
    <row r="76" spans="1:95" ht="46.5" customHeight="1">
      <c r="B76" s="3938"/>
      <c r="C76" s="5211" t="s">
        <v>1478</v>
      </c>
      <c r="D76" s="5211"/>
      <c r="E76" s="5211"/>
      <c r="F76" s="5211"/>
      <c r="G76" s="5211"/>
      <c r="H76" s="5211"/>
      <c r="I76" s="5211"/>
      <c r="J76" s="5211"/>
      <c r="K76" s="5211"/>
      <c r="L76" s="5211"/>
      <c r="M76" s="5211"/>
      <c r="N76" s="5211"/>
      <c r="O76" s="5211"/>
      <c r="P76" s="5211"/>
      <c r="Q76" s="5211"/>
      <c r="R76" s="5211"/>
      <c r="S76" s="5211"/>
      <c r="T76" s="5211"/>
      <c r="U76" s="5211"/>
      <c r="V76" s="5211"/>
      <c r="W76" s="5211"/>
      <c r="X76" s="5211"/>
      <c r="Y76" s="5211"/>
      <c r="Z76" s="5211"/>
      <c r="AA76" s="2029"/>
      <c r="AB76" s="2029"/>
      <c r="AC76" s="2068"/>
      <c r="AD76" s="2068"/>
      <c r="AE76" s="2068"/>
      <c r="AF76" s="2068"/>
      <c r="AG76" s="2068"/>
      <c r="AH76" s="2068"/>
      <c r="AI76" s="2068"/>
      <c r="AJ76" s="2078"/>
      <c r="AK76" s="2078"/>
      <c r="AL76" s="2078"/>
      <c r="AM76" s="2068"/>
      <c r="AN76" s="2029"/>
      <c r="AO76" s="2029"/>
      <c r="AP76" s="2068"/>
      <c r="AQ76" s="2070"/>
      <c r="AR76" s="2071"/>
      <c r="AS76" s="2070"/>
      <c r="AT76" s="2068"/>
      <c r="AU76" s="2078"/>
      <c r="AV76" s="2078"/>
      <c r="AW76" s="2079"/>
      <c r="AX76" s="152"/>
      <c r="AY76" s="152"/>
    </row>
    <row r="77" spans="1:95" ht="35.25" customHeight="1">
      <c r="B77" s="3938"/>
      <c r="C77" s="5211" t="s">
        <v>1477</v>
      </c>
      <c r="D77" s="5211"/>
      <c r="E77" s="5211"/>
      <c r="F77" s="5211"/>
      <c r="G77" s="5211"/>
      <c r="H77" s="5211"/>
      <c r="I77" s="5211"/>
      <c r="J77" s="5211"/>
      <c r="K77" s="5211"/>
      <c r="L77" s="5211"/>
      <c r="M77" s="5211"/>
      <c r="N77" s="5211"/>
      <c r="O77" s="5211"/>
      <c r="P77" s="5211"/>
      <c r="Q77" s="5211"/>
      <c r="R77" s="5211"/>
      <c r="S77" s="5211"/>
      <c r="T77" s="5211"/>
      <c r="U77" s="5211"/>
      <c r="V77" s="5211"/>
      <c r="W77" s="5211"/>
      <c r="X77" s="5211"/>
      <c r="Y77" s="5211"/>
      <c r="Z77" s="5211"/>
      <c r="AA77" s="2029"/>
      <c r="AB77" s="2029"/>
      <c r="AC77" s="2068"/>
      <c r="AD77" s="2068"/>
      <c r="AE77" s="2068"/>
      <c r="AF77" s="2068"/>
      <c r="AG77" s="2068"/>
      <c r="AH77" s="2068"/>
      <c r="AI77" s="2068"/>
      <c r="AJ77" s="2068"/>
      <c r="AK77" s="2068"/>
      <c r="AL77" s="2068"/>
      <c r="AM77" s="2068"/>
      <c r="AN77" s="2029"/>
      <c r="AO77" s="2029"/>
      <c r="AP77" s="2068"/>
      <c r="AQ77" s="2070"/>
      <c r="AR77" s="2074"/>
      <c r="AS77" s="2070"/>
      <c r="AT77" s="2068"/>
      <c r="AU77" s="2068"/>
      <c r="AV77" s="2068"/>
      <c r="AW77" s="2069"/>
    </row>
    <row r="78" spans="1:95" ht="21.75" customHeight="1">
      <c r="B78" s="3938"/>
      <c r="C78" s="3939" t="s">
        <v>1514</v>
      </c>
      <c r="D78" s="3939"/>
      <c r="E78" s="3939"/>
      <c r="F78" s="3939"/>
      <c r="G78" s="3939"/>
      <c r="H78" s="3939"/>
      <c r="I78" s="3939"/>
      <c r="J78" s="3939"/>
      <c r="K78" s="3939"/>
      <c r="L78" s="3939"/>
      <c r="M78" s="3939"/>
      <c r="N78" s="3939"/>
      <c r="O78" s="3939"/>
      <c r="P78" s="3939"/>
      <c r="Q78" s="3939"/>
      <c r="R78" s="3939"/>
      <c r="S78" s="3939"/>
      <c r="T78" s="3939"/>
      <c r="U78" s="3939"/>
      <c r="V78" s="2029"/>
      <c r="W78" s="2029"/>
      <c r="X78" s="2029"/>
      <c r="Y78" s="2029"/>
      <c r="Z78" s="2029"/>
      <c r="AA78" s="2029"/>
      <c r="AB78" s="2029"/>
      <c r="AC78" s="2068"/>
      <c r="AD78" s="2068"/>
      <c r="AE78" s="2068"/>
      <c r="AF78" s="2068"/>
      <c r="AG78" s="2068"/>
      <c r="AH78" s="2068"/>
      <c r="AI78" s="2068"/>
      <c r="AJ78" s="2068"/>
      <c r="AK78" s="2068"/>
      <c r="AL78" s="2068"/>
      <c r="AM78" s="2068"/>
      <c r="AN78" s="2029"/>
      <c r="AO78" s="2029"/>
      <c r="AP78" s="2068"/>
      <c r="AQ78" s="2068"/>
      <c r="AR78" s="2068"/>
      <c r="AS78" s="2068"/>
      <c r="AT78" s="2068"/>
      <c r="AU78" s="2068"/>
      <c r="AV78" s="2068"/>
      <c r="AW78" s="2069"/>
    </row>
    <row r="79" spans="1:95" ht="41.25" customHeight="1">
      <c r="B79" s="3938"/>
      <c r="C79" s="5211" t="s">
        <v>1513</v>
      </c>
      <c r="D79" s="5211"/>
      <c r="E79" s="5211"/>
      <c r="F79" s="5211"/>
      <c r="G79" s="5211"/>
      <c r="H79" s="5211"/>
      <c r="I79" s="5211"/>
      <c r="J79" s="5211"/>
      <c r="K79" s="5211"/>
      <c r="L79" s="5211"/>
      <c r="M79" s="5211"/>
      <c r="N79" s="5211"/>
      <c r="O79" s="5211"/>
      <c r="P79" s="5211"/>
      <c r="Q79" s="5211"/>
      <c r="R79" s="5211"/>
      <c r="S79" s="5211"/>
      <c r="T79" s="5211"/>
      <c r="U79" s="5211"/>
      <c r="V79" s="5211"/>
      <c r="W79" s="5211"/>
      <c r="X79" s="5211"/>
      <c r="Y79" s="5211"/>
      <c r="Z79" s="5211"/>
      <c r="AA79" s="2029"/>
      <c r="AB79" s="2029"/>
      <c r="AC79" s="2029"/>
      <c r="AD79" s="2029"/>
      <c r="AE79" s="2029"/>
      <c r="AF79" s="2029"/>
      <c r="AG79" s="2029"/>
      <c r="AH79" s="2029"/>
      <c r="AI79" s="2029"/>
      <c r="AJ79" s="2029"/>
      <c r="AK79" s="2029"/>
      <c r="AL79" s="2029"/>
      <c r="AM79" s="2029"/>
      <c r="AN79" s="2029"/>
      <c r="AO79" s="2029"/>
      <c r="AP79" s="2029"/>
      <c r="AQ79" s="2029"/>
      <c r="AR79" s="2029"/>
      <c r="AS79" s="2029"/>
      <c r="AT79" s="2029"/>
      <c r="AU79" s="2073"/>
      <c r="AV79" s="2073"/>
      <c r="AW79" s="2080"/>
    </row>
  </sheetData>
  <sheetProtection algorithmName="SHA-512" hashValue="gQ9S7Ft4sDLZk6RvGNxS3/8b+cUTyHwGNHzcccoL/vcoj/2XUSHMI7HskpavCqGh2Pat8S694zMVsNogFSQMrg==" saltValue="TrGnRMv8TiVc++yb/WM5QA==" spinCount="100000" sheet="1" formatCells="0" formatColumns="0" formatRows="0"/>
  <mergeCells count="30">
    <mergeCell ref="B7:B9"/>
    <mergeCell ref="C8:H8"/>
    <mergeCell ref="I8:N8"/>
    <mergeCell ref="O8:T8"/>
    <mergeCell ref="C76:Z76"/>
    <mergeCell ref="C77:Z77"/>
    <mergeCell ref="C79:Z79"/>
    <mergeCell ref="AV7:AV8"/>
    <mergeCell ref="AW7:AW8"/>
    <mergeCell ref="C7:AF7"/>
    <mergeCell ref="U8:Z8"/>
    <mergeCell ref="AA8:AF8"/>
    <mergeCell ref="AM7:AU8"/>
    <mergeCell ref="AG7:AL8"/>
    <mergeCell ref="CD7:CI8"/>
    <mergeCell ref="CJ7:CQ8"/>
    <mergeCell ref="AY7:AY9"/>
    <mergeCell ref="A1:B1"/>
    <mergeCell ref="C1:D1"/>
    <mergeCell ref="AZ7:CC7"/>
    <mergeCell ref="AZ8:BE8"/>
    <mergeCell ref="BF8:BK8"/>
    <mergeCell ref="BL8:BQ8"/>
    <mergeCell ref="BR8:BW8"/>
    <mergeCell ref="BX8:CC8"/>
    <mergeCell ref="A2:Z2"/>
    <mergeCell ref="A3:Z3"/>
    <mergeCell ref="A4:Z4"/>
    <mergeCell ref="A5:Z5"/>
    <mergeCell ref="A7:A9"/>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X119"/>
  <sheetViews>
    <sheetView zoomScale="110" zoomScaleNormal="110" zoomScaleSheetLayoutView="100" workbookViewId="0">
      <pane xSplit="2" ySplit="9" topLeftCell="C40" activePane="bottomRight" state="frozen"/>
      <selection pane="topRight" activeCell="C1" sqref="C1"/>
      <selection pane="bottomLeft" activeCell="A10" sqref="A10"/>
      <selection pane="bottomRight" activeCell="P46" sqref="P46"/>
    </sheetView>
  </sheetViews>
  <sheetFormatPr defaultColWidth="9.140625" defaultRowHeight="12.75"/>
  <cols>
    <col min="1" max="1" width="4.5703125" style="151" customWidth="1"/>
    <col min="2" max="2" width="33.85546875" style="151" customWidth="1"/>
    <col min="3" max="3" width="10.85546875" style="150" customWidth="1"/>
    <col min="4" max="4" width="10.140625" style="150" bestFit="1" customWidth="1"/>
    <col min="5" max="5" width="10.140625" style="150" customWidth="1"/>
    <col min="6" max="6" width="11.28515625" style="150" customWidth="1"/>
    <col min="7" max="7" width="11.5703125" style="150" customWidth="1"/>
    <col min="8" max="8" width="10.85546875" style="150" customWidth="1"/>
    <col min="9" max="14" width="8.7109375" style="150" customWidth="1"/>
    <col min="15" max="15" width="9.7109375" style="150" customWidth="1"/>
    <col min="16" max="20" width="8" style="150" customWidth="1"/>
    <col min="21" max="21" width="2.85546875" style="150" customWidth="1"/>
    <col min="22" max="25" width="8.7109375" style="150" customWidth="1"/>
    <col min="26" max="33" width="8.7109375" style="151" customWidth="1"/>
    <col min="34" max="16384" width="9.140625" style="151"/>
  </cols>
  <sheetData>
    <row r="1" spans="1:102" ht="13.5" customHeight="1" thickBot="1">
      <c r="A1" s="5004" t="str">
        <f>+'1. Обща информация'!B40</f>
        <v>Фиксиран курс на лева към 1 евро</v>
      </c>
      <c r="B1" s="5004"/>
      <c r="C1" s="5005">
        <f>+'1. Обща информация'!$C$40</f>
        <v>1.95583</v>
      </c>
      <c r="D1" s="5005"/>
      <c r="E1" s="2084"/>
      <c r="F1" s="2084"/>
      <c r="G1" s="2084"/>
      <c r="H1" s="2084"/>
      <c r="I1" s="2084"/>
      <c r="J1" s="2084"/>
      <c r="K1" s="2084"/>
      <c r="L1" s="2084"/>
      <c r="M1" s="2084"/>
      <c r="N1" s="2084"/>
      <c r="O1" s="2084"/>
      <c r="P1" s="2084"/>
      <c r="Q1" s="2084"/>
      <c r="R1" s="2084"/>
      <c r="S1" s="2085" t="s">
        <v>1048</v>
      </c>
      <c r="T1" s="2086"/>
    </row>
    <row r="2" spans="1:102" s="152" customFormat="1" ht="18.75" customHeight="1">
      <c r="A2" s="5246" t="s">
        <v>1379</v>
      </c>
      <c r="B2" s="5246"/>
      <c r="C2" s="5246"/>
      <c r="D2" s="5246"/>
      <c r="E2" s="5246"/>
      <c r="F2" s="5246"/>
      <c r="G2" s="5246"/>
      <c r="H2" s="5246"/>
      <c r="I2" s="5246"/>
      <c r="J2" s="5246"/>
      <c r="K2" s="5246"/>
      <c r="L2" s="5246"/>
      <c r="M2" s="5246"/>
      <c r="N2" s="5246"/>
      <c r="O2" s="5246"/>
      <c r="P2" s="5246"/>
      <c r="Q2" s="5246"/>
      <c r="R2" s="5246"/>
      <c r="S2" s="5246"/>
      <c r="T2" s="5246"/>
      <c r="U2" s="150"/>
      <c r="V2" s="150"/>
      <c r="W2" s="150"/>
      <c r="X2" s="150"/>
      <c r="Y2" s="150"/>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row>
    <row r="3" spans="1:102" s="152" customFormat="1" ht="18.75">
      <c r="A3" s="5246" t="s">
        <v>1378</v>
      </c>
      <c r="B3" s="5246"/>
      <c r="C3" s="5246"/>
      <c r="D3" s="5246"/>
      <c r="E3" s="5246"/>
      <c r="F3" s="5246"/>
      <c r="G3" s="5246"/>
      <c r="H3" s="5246"/>
      <c r="I3" s="5246"/>
      <c r="J3" s="5246"/>
      <c r="K3" s="5246"/>
      <c r="L3" s="5246"/>
      <c r="M3" s="5246"/>
      <c r="N3" s="5246"/>
      <c r="O3" s="5246"/>
      <c r="P3" s="5246"/>
      <c r="Q3" s="5246"/>
      <c r="R3" s="5246"/>
      <c r="S3" s="5246"/>
      <c r="T3" s="5246"/>
      <c r="U3" s="150"/>
      <c r="V3" s="150"/>
      <c r="W3" s="150"/>
      <c r="X3" s="150"/>
      <c r="Y3" s="150"/>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row>
    <row r="4" spans="1:102" s="152" customFormat="1" ht="17.25" customHeight="1">
      <c r="A4" s="5192" t="str">
        <f>'1. Обща информация'!A4</f>
        <v>на "ВОДОСНАБДЯВАНЕ И КАНАЛИЗАЦИЯ" ЕООД, гр. БЛАГОЕВГРАД</v>
      </c>
      <c r="B4" s="5192"/>
      <c r="C4" s="5192"/>
      <c r="D4" s="5192"/>
      <c r="E4" s="5192"/>
      <c r="F4" s="5192"/>
      <c r="G4" s="5192"/>
      <c r="H4" s="5192"/>
      <c r="I4" s="5192"/>
      <c r="J4" s="5192"/>
      <c r="K4" s="5192"/>
      <c r="L4" s="5192"/>
      <c r="M4" s="5192"/>
      <c r="N4" s="5192"/>
      <c r="O4" s="5192"/>
      <c r="P4" s="5192"/>
      <c r="Q4" s="5192"/>
      <c r="R4" s="5192"/>
      <c r="S4" s="5192"/>
      <c r="T4" s="5192"/>
      <c r="U4" s="153"/>
      <c r="V4" s="153"/>
      <c r="W4" s="153"/>
      <c r="X4" s="153"/>
      <c r="Y4" s="153"/>
    </row>
    <row r="5" spans="1:102" s="152" customFormat="1" ht="17.25" customHeight="1">
      <c r="A5" s="5247" t="str">
        <f>'Приложение '!A4</f>
        <v>ЕИК по БУЛСТАТ: 811047831</v>
      </c>
      <c r="B5" s="5247"/>
      <c r="C5" s="5247"/>
      <c r="D5" s="5247"/>
      <c r="E5" s="5247"/>
      <c r="F5" s="5247"/>
      <c r="G5" s="5247"/>
      <c r="H5" s="5247"/>
      <c r="I5" s="5247"/>
      <c r="J5" s="5247"/>
      <c r="K5" s="5247"/>
      <c r="L5" s="5247"/>
      <c r="M5" s="5247"/>
      <c r="N5" s="5247"/>
      <c r="O5" s="5247"/>
      <c r="P5" s="5247"/>
      <c r="Q5" s="5247"/>
      <c r="R5" s="5247"/>
      <c r="S5" s="5247"/>
      <c r="T5" s="5247"/>
      <c r="U5" s="153"/>
      <c r="V5" s="153"/>
      <c r="W5" s="153"/>
      <c r="X5" s="153"/>
      <c r="Y5" s="153"/>
    </row>
    <row r="6" spans="1:102" s="152" customFormat="1" ht="6" customHeight="1" thickBot="1">
      <c r="A6" s="154"/>
      <c r="B6" s="154"/>
      <c r="C6" s="155"/>
      <c r="D6" s="155"/>
      <c r="E6" s="155"/>
      <c r="F6" s="155"/>
      <c r="G6" s="155"/>
      <c r="H6" s="155"/>
      <c r="I6" s="155"/>
      <c r="J6" s="155"/>
      <c r="K6" s="155"/>
      <c r="L6" s="155"/>
      <c r="M6" s="155"/>
      <c r="N6" s="2084"/>
      <c r="O6" s="2084"/>
      <c r="P6" s="2084"/>
      <c r="Q6" s="2084"/>
      <c r="R6" s="2084"/>
      <c r="S6" s="5238"/>
      <c r="T6" s="5238"/>
      <c r="U6" s="150"/>
      <c r="V6" s="150"/>
      <c r="W6" s="150"/>
      <c r="X6" s="150"/>
      <c r="Y6" s="150"/>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row>
    <row r="7" spans="1:102" s="152" customFormat="1" ht="23.25" customHeight="1">
      <c r="A7" s="5239" t="s">
        <v>1</v>
      </c>
      <c r="B7" s="5242" t="s">
        <v>1753</v>
      </c>
      <c r="C7" s="5242" t="s">
        <v>207</v>
      </c>
      <c r="D7" s="5242"/>
      <c r="E7" s="5242"/>
      <c r="F7" s="5242"/>
      <c r="G7" s="5242"/>
      <c r="H7" s="5242"/>
      <c r="I7" s="5242"/>
      <c r="J7" s="5242"/>
      <c r="K7" s="5242"/>
      <c r="L7" s="5242"/>
      <c r="M7" s="5242"/>
      <c r="N7" s="5242"/>
      <c r="O7" s="5242"/>
      <c r="P7" s="5242"/>
      <c r="Q7" s="5242"/>
      <c r="R7" s="5242"/>
      <c r="S7" s="5242"/>
      <c r="T7" s="5242"/>
      <c r="U7" s="4775"/>
      <c r="V7" s="5233" t="str">
        <f>+C7</f>
        <v>Доставяне на вода на потребителите</v>
      </c>
      <c r="W7" s="5233"/>
      <c r="X7" s="5233"/>
      <c r="Y7" s="5233"/>
      <c r="Z7" s="5233"/>
      <c r="AA7" s="5233"/>
      <c r="AB7" s="5233"/>
      <c r="AC7" s="5233"/>
      <c r="AD7" s="5233"/>
      <c r="AE7" s="5233"/>
      <c r="AF7" s="5233"/>
      <c r="AG7" s="5233"/>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row>
    <row r="8" spans="1:102" s="152" customFormat="1" ht="23.25" customHeight="1">
      <c r="A8" s="5240"/>
      <c r="B8" s="5243"/>
      <c r="C8" s="5245" t="s">
        <v>348</v>
      </c>
      <c r="D8" s="5245"/>
      <c r="E8" s="5245"/>
      <c r="F8" s="5245"/>
      <c r="G8" s="5245"/>
      <c r="H8" s="5245"/>
      <c r="I8" s="5245" t="s">
        <v>911</v>
      </c>
      <c r="J8" s="5245"/>
      <c r="K8" s="5245"/>
      <c r="L8" s="5245"/>
      <c r="M8" s="5245"/>
      <c r="N8" s="5245"/>
      <c r="O8" s="5245" t="s">
        <v>1765</v>
      </c>
      <c r="P8" s="5245"/>
      <c r="Q8" s="5245"/>
      <c r="R8" s="5245"/>
      <c r="S8" s="5245"/>
      <c r="T8" s="5245"/>
      <c r="U8" s="4775"/>
      <c r="V8" s="5234" t="s">
        <v>1879</v>
      </c>
      <c r="W8" s="5234"/>
      <c r="X8" s="5234"/>
      <c r="Y8" s="5234"/>
      <c r="Z8" s="5234"/>
      <c r="AA8" s="5234"/>
      <c r="AB8" s="5234" t="s">
        <v>1880</v>
      </c>
      <c r="AC8" s="5234"/>
      <c r="AD8" s="5234"/>
      <c r="AE8" s="5234"/>
      <c r="AF8" s="5234"/>
      <c r="AG8" s="5234"/>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row>
    <row r="9" spans="1:102" s="152" customFormat="1" ht="23.25" customHeight="1" thickBot="1">
      <c r="A9" s="5241"/>
      <c r="B9" s="5244"/>
      <c r="C9" s="160" t="str">
        <f>'Приложение '!C12</f>
        <v>2024 г.</v>
      </c>
      <c r="D9" s="160" t="str">
        <f>'Приложение '!$C14</f>
        <v>2027 г.</v>
      </c>
      <c r="E9" s="160" t="str">
        <f>'Приложение '!$C15</f>
        <v>2028 г.</v>
      </c>
      <c r="F9" s="160" t="str">
        <f>'Приложение '!$C16</f>
        <v>2029 г.</v>
      </c>
      <c r="G9" s="160" t="str">
        <f>'Приложение '!$C17</f>
        <v>2030 г.</v>
      </c>
      <c r="H9" s="160" t="str">
        <f>'Приложение '!$C18</f>
        <v>2031 г.</v>
      </c>
      <c r="I9" s="160" t="str">
        <f t="shared" ref="I9:T9" si="0">C9</f>
        <v>2024 г.</v>
      </c>
      <c r="J9" s="160" t="str">
        <f t="shared" si="0"/>
        <v>2027 г.</v>
      </c>
      <c r="K9" s="160" t="str">
        <f t="shared" si="0"/>
        <v>2028 г.</v>
      </c>
      <c r="L9" s="160" t="str">
        <f t="shared" si="0"/>
        <v>2029 г.</v>
      </c>
      <c r="M9" s="160" t="str">
        <f t="shared" si="0"/>
        <v>2030 г.</v>
      </c>
      <c r="N9" s="160" t="str">
        <f t="shared" si="0"/>
        <v>2031 г.</v>
      </c>
      <c r="O9" s="160" t="str">
        <f t="shared" si="0"/>
        <v>2024 г.</v>
      </c>
      <c r="P9" s="160" t="str">
        <f t="shared" si="0"/>
        <v>2027 г.</v>
      </c>
      <c r="Q9" s="160" t="str">
        <f t="shared" si="0"/>
        <v>2028 г.</v>
      </c>
      <c r="R9" s="160" t="str">
        <f t="shared" si="0"/>
        <v>2029 г.</v>
      </c>
      <c r="S9" s="160" t="str">
        <f t="shared" si="0"/>
        <v>2030 г.</v>
      </c>
      <c r="T9" s="160" t="str">
        <f t="shared" si="0"/>
        <v>2031 г.</v>
      </c>
      <c r="U9" s="4775"/>
      <c r="V9" s="4792" t="str">
        <f>+I9</f>
        <v>2024 г.</v>
      </c>
      <c r="W9" s="4792" t="str">
        <f t="shared" ref="W9:AG9" si="1">+J9</f>
        <v>2027 г.</v>
      </c>
      <c r="X9" s="4792" t="str">
        <f t="shared" si="1"/>
        <v>2028 г.</v>
      </c>
      <c r="Y9" s="4792" t="str">
        <f t="shared" si="1"/>
        <v>2029 г.</v>
      </c>
      <c r="Z9" s="4792" t="str">
        <f t="shared" si="1"/>
        <v>2030 г.</v>
      </c>
      <c r="AA9" s="4792" t="str">
        <f t="shared" si="1"/>
        <v>2031 г.</v>
      </c>
      <c r="AB9" s="4792" t="str">
        <f t="shared" si="1"/>
        <v>2024 г.</v>
      </c>
      <c r="AC9" s="4792" t="str">
        <f t="shared" si="1"/>
        <v>2027 г.</v>
      </c>
      <c r="AD9" s="4792" t="str">
        <f t="shared" si="1"/>
        <v>2028 г.</v>
      </c>
      <c r="AE9" s="4792" t="str">
        <f t="shared" si="1"/>
        <v>2029 г.</v>
      </c>
      <c r="AF9" s="4792" t="str">
        <f t="shared" si="1"/>
        <v>2030 г.</v>
      </c>
      <c r="AG9" s="4792" t="str">
        <f t="shared" si="1"/>
        <v>2031 г.</v>
      </c>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row>
    <row r="10" spans="1:102" s="20" customFormat="1" ht="22.5" customHeight="1">
      <c r="A10" s="4049">
        <v>1</v>
      </c>
      <c r="B10" s="4050" t="s">
        <v>1752</v>
      </c>
      <c r="C10" s="4054">
        <v>1225733</v>
      </c>
      <c r="D10" s="4055">
        <v>1220000</v>
      </c>
      <c r="E10" s="4055">
        <v>1160000</v>
      </c>
      <c r="F10" s="4055">
        <v>1120000</v>
      </c>
      <c r="G10" s="4055">
        <v>1080000</v>
      </c>
      <c r="H10" s="4055">
        <v>1030000</v>
      </c>
      <c r="I10" s="4723">
        <f t="shared" ref="I10:N12" si="2">(C10/1000)*(O10/1000)</f>
        <v>312.69919709599998</v>
      </c>
      <c r="J10" s="4056">
        <f t="shared" si="2"/>
        <v>325.42768000000007</v>
      </c>
      <c r="K10" s="4056">
        <f t="shared" si="2"/>
        <v>309.42304000000001</v>
      </c>
      <c r="L10" s="4056">
        <f t="shared" si="2"/>
        <v>298.75328000000002</v>
      </c>
      <c r="M10" s="4056">
        <f t="shared" si="2"/>
        <v>288.08352000000002</v>
      </c>
      <c r="N10" s="4056">
        <f t="shared" si="2"/>
        <v>274.74632000000003</v>
      </c>
      <c r="O10" s="4742">
        <v>255.11199999999999</v>
      </c>
      <c r="P10" s="4742">
        <v>266.74400000000003</v>
      </c>
      <c r="Q10" s="4742">
        <v>266.74400000000003</v>
      </c>
      <c r="R10" s="4742">
        <v>266.74400000000003</v>
      </c>
      <c r="S10" s="4742">
        <v>266.74400000000003</v>
      </c>
      <c r="T10" s="4742">
        <v>266.74400000000003</v>
      </c>
      <c r="U10" s="4775"/>
      <c r="V10" s="4794">
        <f>IFERROR(I10/$C$1,0)</f>
        <v>159.88056073176094</v>
      </c>
      <c r="W10" s="4794">
        <f t="shared" ref="W10:AG10" si="3">IFERROR(J10/$C$1,0)</f>
        <v>166.38853070052104</v>
      </c>
      <c r="X10" s="4794">
        <f t="shared" si="3"/>
        <v>158.20548820705278</v>
      </c>
      <c r="Y10" s="4794">
        <f t="shared" si="3"/>
        <v>152.7501265447406</v>
      </c>
      <c r="Z10" s="4794">
        <f t="shared" si="3"/>
        <v>147.29476488242844</v>
      </c>
      <c r="AA10" s="4794">
        <f t="shared" si="3"/>
        <v>140.47556280453824</v>
      </c>
      <c r="AB10" s="4793">
        <f t="shared" si="3"/>
        <v>130.43669439572969</v>
      </c>
      <c r="AC10" s="4793">
        <f t="shared" si="3"/>
        <v>136.38404155780412</v>
      </c>
      <c r="AD10" s="4793">
        <f t="shared" si="3"/>
        <v>136.38404155780412</v>
      </c>
      <c r="AE10" s="4793">
        <f t="shared" si="3"/>
        <v>136.38404155780412</v>
      </c>
      <c r="AF10" s="4793">
        <f t="shared" si="3"/>
        <v>136.38404155780412</v>
      </c>
      <c r="AG10" s="4793">
        <f t="shared" si="3"/>
        <v>136.38404155780412</v>
      </c>
    </row>
    <row r="11" spans="1:102" s="20" customFormat="1" ht="24">
      <c r="A11" s="3526">
        <v>2</v>
      </c>
      <c r="B11" s="103" t="s">
        <v>1754</v>
      </c>
      <c r="C11" s="633">
        <v>197819</v>
      </c>
      <c r="D11" s="633">
        <v>195000</v>
      </c>
      <c r="E11" s="633">
        <v>190000</v>
      </c>
      <c r="F11" s="633">
        <v>175000</v>
      </c>
      <c r="G11" s="633">
        <v>160000</v>
      </c>
      <c r="H11" s="633">
        <v>145000</v>
      </c>
      <c r="I11" s="2089">
        <f t="shared" si="2"/>
        <v>46.570153341999998</v>
      </c>
      <c r="J11" s="2087">
        <f t="shared" si="2"/>
        <v>46.124130000000001</v>
      </c>
      <c r="K11" s="2087">
        <f t="shared" si="2"/>
        <v>44.941459999999999</v>
      </c>
      <c r="L11" s="2087">
        <f t="shared" si="2"/>
        <v>41.393450000000001</v>
      </c>
      <c r="M11" s="2087">
        <f t="shared" si="2"/>
        <v>37.845439999999996</v>
      </c>
      <c r="N11" s="2087">
        <f t="shared" si="2"/>
        <v>34.297429999999999</v>
      </c>
      <c r="O11" s="4743">
        <v>235.41800000000001</v>
      </c>
      <c r="P11" s="4743">
        <v>236.53399999999999</v>
      </c>
      <c r="Q11" s="4743">
        <v>236.53399999999999</v>
      </c>
      <c r="R11" s="4743">
        <v>236.53399999999999</v>
      </c>
      <c r="S11" s="4743">
        <v>236.53399999999999</v>
      </c>
      <c r="T11" s="4743">
        <v>236.53399999999999</v>
      </c>
      <c r="U11" s="4775"/>
      <c r="V11" s="4794">
        <f t="shared" ref="V11:V18" si="4">IFERROR(I11/$C$1,0)</f>
        <v>23.810941309827541</v>
      </c>
      <c r="W11" s="4794">
        <f t="shared" ref="W11:W18" si="5">IFERROR(J11/$C$1,0)</f>
        <v>23.582893196238938</v>
      </c>
      <c r="X11" s="4794">
        <f t="shared" ref="X11:X18" si="6">IFERROR(K11/$C$1,0)</f>
        <v>22.978203627104605</v>
      </c>
      <c r="Y11" s="4794">
        <f t="shared" ref="Y11:Y18" si="7">IFERROR(L11/$C$1,0)</f>
        <v>21.16413491970161</v>
      </c>
      <c r="Z11" s="4794">
        <f t="shared" ref="Z11:Z18" si="8">IFERROR(M11/$C$1,0)</f>
        <v>19.350066212298614</v>
      </c>
      <c r="AA11" s="4794">
        <f t="shared" ref="AA11:AA18" si="9">IFERROR(N11/$C$1,0)</f>
        <v>17.535997504895619</v>
      </c>
      <c r="AB11" s="4793">
        <f t="shared" ref="AB11:AB18" si="10">IFERROR(O11/$C$1,0)</f>
        <v>120.36731208745137</v>
      </c>
      <c r="AC11" s="4793">
        <f t="shared" ref="AC11:AC18" si="11">IFERROR(P11/$C$1,0)</f>
        <v>120.93791382686634</v>
      </c>
      <c r="AD11" s="4793">
        <f t="shared" ref="AD11:AD18" si="12">IFERROR(Q11/$C$1,0)</f>
        <v>120.93791382686634</v>
      </c>
      <c r="AE11" s="4793">
        <f t="shared" ref="AE11:AE18" si="13">IFERROR(R11/$C$1,0)</f>
        <v>120.93791382686634</v>
      </c>
      <c r="AF11" s="4793">
        <f t="shared" ref="AF11:AF18" si="14">IFERROR(S11/$C$1,0)</f>
        <v>120.93791382686634</v>
      </c>
      <c r="AG11" s="4793">
        <f t="shared" ref="AG11:AG18" si="15">IFERROR(T11/$C$1,0)</f>
        <v>120.93791382686634</v>
      </c>
    </row>
    <row r="12" spans="1:102" s="20" customFormat="1" ht="24">
      <c r="A12" s="3526">
        <v>3</v>
      </c>
      <c r="B12" s="103" t="s">
        <v>1755</v>
      </c>
      <c r="C12" s="633"/>
      <c r="D12" s="633"/>
      <c r="E12" s="633"/>
      <c r="F12" s="633"/>
      <c r="G12" s="633"/>
      <c r="H12" s="633"/>
      <c r="I12" s="2089">
        <f t="shared" si="2"/>
        <v>0</v>
      </c>
      <c r="J12" s="2087">
        <f t="shared" si="2"/>
        <v>0</v>
      </c>
      <c r="K12" s="2087">
        <f t="shared" si="2"/>
        <v>0</v>
      </c>
      <c r="L12" s="2087">
        <f t="shared" si="2"/>
        <v>0</v>
      </c>
      <c r="M12" s="2087">
        <f t="shared" si="2"/>
        <v>0</v>
      </c>
      <c r="N12" s="2087">
        <f t="shared" si="2"/>
        <v>0</v>
      </c>
      <c r="O12" s="4743"/>
      <c r="P12" s="4743"/>
      <c r="Q12" s="4743"/>
      <c r="R12" s="4743"/>
      <c r="S12" s="4743"/>
      <c r="T12" s="4743"/>
      <c r="U12" s="4775"/>
      <c r="V12" s="4794">
        <f t="shared" si="4"/>
        <v>0</v>
      </c>
      <c r="W12" s="4794">
        <f t="shared" si="5"/>
        <v>0</v>
      </c>
      <c r="X12" s="4794">
        <f t="shared" si="6"/>
        <v>0</v>
      </c>
      <c r="Y12" s="4794">
        <f t="shared" si="7"/>
        <v>0</v>
      </c>
      <c r="Z12" s="4794">
        <f t="shared" si="8"/>
        <v>0</v>
      </c>
      <c r="AA12" s="4794">
        <f t="shared" si="9"/>
        <v>0</v>
      </c>
      <c r="AB12" s="4793">
        <f t="shared" si="10"/>
        <v>0</v>
      </c>
      <c r="AC12" s="4793">
        <f t="shared" si="11"/>
        <v>0</v>
      </c>
      <c r="AD12" s="4793">
        <f t="shared" si="12"/>
        <v>0</v>
      </c>
      <c r="AE12" s="4793">
        <f t="shared" si="13"/>
        <v>0</v>
      </c>
      <c r="AF12" s="4793">
        <f t="shared" si="14"/>
        <v>0</v>
      </c>
      <c r="AG12" s="4793">
        <f t="shared" si="15"/>
        <v>0</v>
      </c>
    </row>
    <row r="13" spans="1:102" s="20" customFormat="1" ht="38.25" customHeight="1">
      <c r="A13" s="3526">
        <v>4</v>
      </c>
      <c r="B13" s="654" t="s">
        <v>1783</v>
      </c>
      <c r="C13" s="2089">
        <f t="shared" ref="C13:N13" si="16">SUM(C14:C16)</f>
        <v>0</v>
      </c>
      <c r="D13" s="2089">
        <f t="shared" si="16"/>
        <v>0</v>
      </c>
      <c r="E13" s="2089">
        <f t="shared" si="16"/>
        <v>0</v>
      </c>
      <c r="F13" s="2089">
        <f t="shared" si="16"/>
        <v>0</v>
      </c>
      <c r="G13" s="2089">
        <f t="shared" si="16"/>
        <v>0</v>
      </c>
      <c r="H13" s="2089">
        <f t="shared" si="16"/>
        <v>0</v>
      </c>
      <c r="I13" s="2087">
        <f t="shared" si="16"/>
        <v>0</v>
      </c>
      <c r="J13" s="2087">
        <f t="shared" si="16"/>
        <v>0</v>
      </c>
      <c r="K13" s="2087">
        <f t="shared" si="16"/>
        <v>0</v>
      </c>
      <c r="L13" s="2087">
        <f t="shared" si="16"/>
        <v>0</v>
      </c>
      <c r="M13" s="2087">
        <f t="shared" si="16"/>
        <v>0</v>
      </c>
      <c r="N13" s="2087">
        <f t="shared" si="16"/>
        <v>0</v>
      </c>
      <c r="O13" s="310">
        <f>ROUND((IFERROR((I13*1000)/(C13/1000),0)),3)</f>
        <v>0</v>
      </c>
      <c r="P13" s="310">
        <f t="shared" ref="P13:T13" si="17">ROUND((IFERROR((J13*1000)/(D13/1000),0)),3)</f>
        <v>0</v>
      </c>
      <c r="Q13" s="310">
        <f t="shared" si="17"/>
        <v>0</v>
      </c>
      <c r="R13" s="310">
        <f t="shared" si="17"/>
        <v>0</v>
      </c>
      <c r="S13" s="310">
        <f t="shared" si="17"/>
        <v>0</v>
      </c>
      <c r="T13" s="310">
        <f t="shared" si="17"/>
        <v>0</v>
      </c>
      <c r="U13" s="4775"/>
      <c r="V13" s="4794">
        <f t="shared" si="4"/>
        <v>0</v>
      </c>
      <c r="W13" s="4794">
        <f t="shared" si="5"/>
        <v>0</v>
      </c>
      <c r="X13" s="4794">
        <f t="shared" si="6"/>
        <v>0</v>
      </c>
      <c r="Y13" s="4794">
        <f t="shared" si="7"/>
        <v>0</v>
      </c>
      <c r="Z13" s="4794">
        <f t="shared" si="8"/>
        <v>0</v>
      </c>
      <c r="AA13" s="4794">
        <f t="shared" si="9"/>
        <v>0</v>
      </c>
      <c r="AB13" s="4793">
        <f t="shared" si="10"/>
        <v>0</v>
      </c>
      <c r="AC13" s="4793">
        <f t="shared" si="11"/>
        <v>0</v>
      </c>
      <c r="AD13" s="4793">
        <f t="shared" si="12"/>
        <v>0</v>
      </c>
      <c r="AE13" s="4793">
        <f t="shared" si="13"/>
        <v>0</v>
      </c>
      <c r="AF13" s="4793">
        <f t="shared" si="14"/>
        <v>0</v>
      </c>
      <c r="AG13" s="4793">
        <f t="shared" si="15"/>
        <v>0</v>
      </c>
    </row>
    <row r="14" spans="1:102" s="20" customFormat="1" ht="22.5" customHeight="1">
      <c r="A14" s="3526" t="s">
        <v>566</v>
      </c>
      <c r="B14" s="4744"/>
      <c r="C14" s="633"/>
      <c r="D14" s="633"/>
      <c r="E14" s="633"/>
      <c r="F14" s="633"/>
      <c r="G14" s="633"/>
      <c r="H14" s="633"/>
      <c r="I14" s="2087">
        <f t="shared" ref="I14:N16" si="18">(C14/1000)*(O14/1000)</f>
        <v>0</v>
      </c>
      <c r="J14" s="2087">
        <f t="shared" si="18"/>
        <v>0</v>
      </c>
      <c r="K14" s="2087">
        <f t="shared" si="18"/>
        <v>0</v>
      </c>
      <c r="L14" s="2087">
        <f t="shared" si="18"/>
        <v>0</v>
      </c>
      <c r="M14" s="2087">
        <f t="shared" si="18"/>
        <v>0</v>
      </c>
      <c r="N14" s="2087">
        <f t="shared" si="18"/>
        <v>0</v>
      </c>
      <c r="O14" s="4743"/>
      <c r="P14" s="4743"/>
      <c r="Q14" s="4743"/>
      <c r="R14" s="4743"/>
      <c r="S14" s="4743"/>
      <c r="T14" s="4743"/>
      <c r="U14" s="4775"/>
      <c r="V14" s="4794">
        <f t="shared" si="4"/>
        <v>0</v>
      </c>
      <c r="W14" s="4794">
        <f t="shared" si="5"/>
        <v>0</v>
      </c>
      <c r="X14" s="4794">
        <f t="shared" si="6"/>
        <v>0</v>
      </c>
      <c r="Y14" s="4794">
        <f t="shared" si="7"/>
        <v>0</v>
      </c>
      <c r="Z14" s="4794">
        <f t="shared" si="8"/>
        <v>0</v>
      </c>
      <c r="AA14" s="4794">
        <f t="shared" si="9"/>
        <v>0</v>
      </c>
      <c r="AB14" s="4793">
        <f t="shared" si="10"/>
        <v>0</v>
      </c>
      <c r="AC14" s="4793">
        <f t="shared" si="11"/>
        <v>0</v>
      </c>
      <c r="AD14" s="4793">
        <f t="shared" si="12"/>
        <v>0</v>
      </c>
      <c r="AE14" s="4793">
        <f t="shared" si="13"/>
        <v>0</v>
      </c>
      <c r="AF14" s="4793">
        <f t="shared" si="14"/>
        <v>0</v>
      </c>
      <c r="AG14" s="4793">
        <f t="shared" si="15"/>
        <v>0</v>
      </c>
    </row>
    <row r="15" spans="1:102" s="20" customFormat="1" ht="22.5" customHeight="1">
      <c r="A15" s="3526" t="s">
        <v>567</v>
      </c>
      <c r="B15" s="4744"/>
      <c r="C15" s="633"/>
      <c r="D15" s="633"/>
      <c r="E15" s="633"/>
      <c r="F15" s="633"/>
      <c r="G15" s="633"/>
      <c r="H15" s="633"/>
      <c r="I15" s="2087">
        <f t="shared" si="18"/>
        <v>0</v>
      </c>
      <c r="J15" s="2087">
        <f t="shared" si="18"/>
        <v>0</v>
      </c>
      <c r="K15" s="2087">
        <f t="shared" si="18"/>
        <v>0</v>
      </c>
      <c r="L15" s="2087">
        <f t="shared" si="18"/>
        <v>0</v>
      </c>
      <c r="M15" s="2087">
        <f t="shared" si="18"/>
        <v>0</v>
      </c>
      <c r="N15" s="2087">
        <f t="shared" si="18"/>
        <v>0</v>
      </c>
      <c r="O15" s="4743"/>
      <c r="P15" s="4743"/>
      <c r="Q15" s="4743"/>
      <c r="R15" s="4743"/>
      <c r="S15" s="4743"/>
      <c r="T15" s="4743"/>
      <c r="U15" s="4775"/>
      <c r="V15" s="4794">
        <f t="shared" si="4"/>
        <v>0</v>
      </c>
      <c r="W15" s="4794">
        <f t="shared" si="5"/>
        <v>0</v>
      </c>
      <c r="X15" s="4794">
        <f t="shared" si="6"/>
        <v>0</v>
      </c>
      <c r="Y15" s="4794">
        <f t="shared" si="7"/>
        <v>0</v>
      </c>
      <c r="Z15" s="4794">
        <f t="shared" si="8"/>
        <v>0</v>
      </c>
      <c r="AA15" s="4794">
        <f t="shared" si="9"/>
        <v>0</v>
      </c>
      <c r="AB15" s="4793">
        <f t="shared" si="10"/>
        <v>0</v>
      </c>
      <c r="AC15" s="4793">
        <f t="shared" si="11"/>
        <v>0</v>
      </c>
      <c r="AD15" s="4793">
        <f t="shared" si="12"/>
        <v>0</v>
      </c>
      <c r="AE15" s="4793">
        <f t="shared" si="13"/>
        <v>0</v>
      </c>
      <c r="AF15" s="4793">
        <f t="shared" si="14"/>
        <v>0</v>
      </c>
      <c r="AG15" s="4793">
        <f t="shared" si="15"/>
        <v>0</v>
      </c>
    </row>
    <row r="16" spans="1:102" s="20" customFormat="1" ht="22.5" customHeight="1">
      <c r="A16" s="3526" t="s">
        <v>1078</v>
      </c>
      <c r="B16" s="4744"/>
      <c r="C16" s="633"/>
      <c r="D16" s="633"/>
      <c r="E16" s="633"/>
      <c r="F16" s="633"/>
      <c r="G16" s="633"/>
      <c r="H16" s="633"/>
      <c r="I16" s="2087">
        <f t="shared" si="18"/>
        <v>0</v>
      </c>
      <c r="J16" s="2087">
        <f t="shared" si="18"/>
        <v>0</v>
      </c>
      <c r="K16" s="2087">
        <f t="shared" si="18"/>
        <v>0</v>
      </c>
      <c r="L16" s="2087">
        <f t="shared" si="18"/>
        <v>0</v>
      </c>
      <c r="M16" s="2087">
        <f t="shared" si="18"/>
        <v>0</v>
      </c>
      <c r="N16" s="2087">
        <f t="shared" si="18"/>
        <v>0</v>
      </c>
      <c r="O16" s="4743"/>
      <c r="P16" s="4743"/>
      <c r="Q16" s="4743"/>
      <c r="R16" s="4743"/>
      <c r="S16" s="4743"/>
      <c r="T16" s="4743"/>
      <c r="U16" s="4775"/>
      <c r="V16" s="4794">
        <f t="shared" si="4"/>
        <v>0</v>
      </c>
      <c r="W16" s="4794">
        <f t="shared" si="5"/>
        <v>0</v>
      </c>
      <c r="X16" s="4794">
        <f t="shared" si="6"/>
        <v>0</v>
      </c>
      <c r="Y16" s="4794">
        <f t="shared" si="7"/>
        <v>0</v>
      </c>
      <c r="Z16" s="4794">
        <f t="shared" si="8"/>
        <v>0</v>
      </c>
      <c r="AA16" s="4794">
        <f t="shared" si="9"/>
        <v>0</v>
      </c>
      <c r="AB16" s="4793">
        <f t="shared" si="10"/>
        <v>0</v>
      </c>
      <c r="AC16" s="4793">
        <f t="shared" si="11"/>
        <v>0</v>
      </c>
      <c r="AD16" s="4793">
        <f t="shared" si="12"/>
        <v>0</v>
      </c>
      <c r="AE16" s="4793">
        <f t="shared" si="13"/>
        <v>0</v>
      </c>
      <c r="AF16" s="4793">
        <f t="shared" si="14"/>
        <v>0</v>
      </c>
      <c r="AG16" s="4793">
        <f t="shared" si="15"/>
        <v>0</v>
      </c>
    </row>
    <row r="17" spans="1:33" s="20" customFormat="1" ht="22.5" hidden="1" customHeight="1">
      <c r="A17" s="5248"/>
      <c r="B17" s="5249"/>
      <c r="C17" s="5249"/>
      <c r="D17" s="5249"/>
      <c r="E17" s="5249"/>
      <c r="F17" s="5249"/>
      <c r="G17" s="5249"/>
      <c r="H17" s="5249"/>
      <c r="I17" s="5249"/>
      <c r="J17" s="5249"/>
      <c r="K17" s="5249"/>
      <c r="L17" s="5249"/>
      <c r="M17" s="5249"/>
      <c r="N17" s="5249"/>
      <c r="O17" s="5249"/>
      <c r="P17" s="5249"/>
      <c r="Q17" s="5249"/>
      <c r="R17" s="5249"/>
      <c r="S17" s="5249"/>
      <c r="T17" s="5250"/>
      <c r="U17" s="4775"/>
      <c r="V17" s="4794">
        <f t="shared" si="4"/>
        <v>0</v>
      </c>
      <c r="W17" s="4794">
        <f t="shared" si="5"/>
        <v>0</v>
      </c>
      <c r="X17" s="4794">
        <f t="shared" si="6"/>
        <v>0</v>
      </c>
      <c r="Y17" s="4794">
        <f t="shared" si="7"/>
        <v>0</v>
      </c>
      <c r="Z17" s="4794">
        <f t="shared" si="8"/>
        <v>0</v>
      </c>
      <c r="AA17" s="4794">
        <f t="shared" si="9"/>
        <v>0</v>
      </c>
      <c r="AB17" s="4793">
        <f t="shared" si="10"/>
        <v>0</v>
      </c>
      <c r="AC17" s="4793">
        <f t="shared" si="11"/>
        <v>0</v>
      </c>
      <c r="AD17" s="4793">
        <f t="shared" si="12"/>
        <v>0</v>
      </c>
      <c r="AE17" s="4793">
        <f t="shared" si="13"/>
        <v>0</v>
      </c>
      <c r="AF17" s="4793">
        <f t="shared" si="14"/>
        <v>0</v>
      </c>
      <c r="AG17" s="4793">
        <f t="shared" si="15"/>
        <v>0</v>
      </c>
    </row>
    <row r="18" spans="1:33" s="20" customFormat="1" ht="26.25" customHeight="1">
      <c r="A18" s="4035">
        <v>5</v>
      </c>
      <c r="B18" s="319" t="s">
        <v>1756</v>
      </c>
      <c r="C18" s="635">
        <f t="shared" ref="C18:N18" si="19">C10+C11+C12+C13</f>
        <v>1423552</v>
      </c>
      <c r="D18" s="635">
        <f t="shared" si="19"/>
        <v>1415000</v>
      </c>
      <c r="E18" s="635">
        <f t="shared" si="19"/>
        <v>1350000</v>
      </c>
      <c r="F18" s="635">
        <f t="shared" si="19"/>
        <v>1295000</v>
      </c>
      <c r="G18" s="635">
        <f t="shared" si="19"/>
        <v>1240000</v>
      </c>
      <c r="H18" s="635">
        <f t="shared" si="19"/>
        <v>1175000</v>
      </c>
      <c r="I18" s="635">
        <f t="shared" si="19"/>
        <v>359.26935043799995</v>
      </c>
      <c r="J18" s="635">
        <f t="shared" si="19"/>
        <v>371.55181000000005</v>
      </c>
      <c r="K18" s="635">
        <f t="shared" si="19"/>
        <v>354.36450000000002</v>
      </c>
      <c r="L18" s="635">
        <f t="shared" si="19"/>
        <v>340.14673000000005</v>
      </c>
      <c r="M18" s="635">
        <f t="shared" si="19"/>
        <v>325.92896000000002</v>
      </c>
      <c r="N18" s="635">
        <f t="shared" si="19"/>
        <v>309.04375000000005</v>
      </c>
      <c r="O18" s="311">
        <f t="shared" ref="O18:T18" si="20">IFERROR((I18*1000)/(C18/1000),0)</f>
        <v>252.37529112951262</v>
      </c>
      <c r="P18" s="311">
        <f t="shared" si="20"/>
        <v>262.58078445229688</v>
      </c>
      <c r="Q18" s="311">
        <f t="shared" si="20"/>
        <v>262.49222222222221</v>
      </c>
      <c r="R18" s="311">
        <f t="shared" si="20"/>
        <v>262.6615675675676</v>
      </c>
      <c r="S18" s="311">
        <f t="shared" si="20"/>
        <v>262.84593548387096</v>
      </c>
      <c r="T18" s="311">
        <f t="shared" si="20"/>
        <v>263.01595744680856</v>
      </c>
      <c r="U18" s="4775"/>
      <c r="V18" s="4794">
        <f t="shared" si="4"/>
        <v>183.69150204158845</v>
      </c>
      <c r="W18" s="4794">
        <f t="shared" si="5"/>
        <v>189.97142389675997</v>
      </c>
      <c r="X18" s="4794">
        <f t="shared" si="6"/>
        <v>181.18369183415737</v>
      </c>
      <c r="Y18" s="4794">
        <f t="shared" si="7"/>
        <v>173.91426146444223</v>
      </c>
      <c r="Z18" s="4794">
        <f t="shared" si="8"/>
        <v>166.64483109472707</v>
      </c>
      <c r="AA18" s="4794">
        <f t="shared" si="9"/>
        <v>158.01156030943386</v>
      </c>
      <c r="AB18" s="4793">
        <f t="shared" si="10"/>
        <v>129.03743736905182</v>
      </c>
      <c r="AC18" s="4793">
        <f t="shared" si="11"/>
        <v>134.25542324859364</v>
      </c>
      <c r="AD18" s="4793">
        <f t="shared" si="12"/>
        <v>134.21014209937582</v>
      </c>
      <c r="AE18" s="4793">
        <f t="shared" si="13"/>
        <v>134.2967269995693</v>
      </c>
      <c r="AF18" s="4793">
        <f t="shared" si="14"/>
        <v>134.39099281832827</v>
      </c>
      <c r="AG18" s="4793">
        <f t="shared" si="15"/>
        <v>134.47792366760331</v>
      </c>
    </row>
    <row r="19" spans="1:33" ht="22.5" customHeight="1">
      <c r="A19" s="4036">
        <v>6</v>
      </c>
      <c r="B19" s="103" t="s">
        <v>350</v>
      </c>
      <c r="C19" s="636"/>
      <c r="D19" s="637">
        <f>D18-C18</f>
        <v>-8552</v>
      </c>
      <c r="E19" s="637">
        <f>E18-D18</f>
        <v>-65000</v>
      </c>
      <c r="F19" s="637">
        <f t="shared" ref="F19:H19" si="21">F18-E18</f>
        <v>-55000</v>
      </c>
      <c r="G19" s="637">
        <f t="shared" si="21"/>
        <v>-55000</v>
      </c>
      <c r="H19" s="637">
        <f t="shared" si="21"/>
        <v>-65000</v>
      </c>
      <c r="I19" s="636"/>
      <c r="J19" s="637">
        <f>J18-I18</f>
        <v>12.282459562000099</v>
      </c>
      <c r="K19" s="637">
        <f t="shared" ref="K19:N19" si="22">K18-J18</f>
        <v>-17.187310000000025</v>
      </c>
      <c r="L19" s="637">
        <f t="shared" si="22"/>
        <v>-14.217769999999973</v>
      </c>
      <c r="M19" s="637">
        <f t="shared" si="22"/>
        <v>-14.21777000000003</v>
      </c>
      <c r="N19" s="637">
        <f t="shared" si="22"/>
        <v>-16.885209999999972</v>
      </c>
      <c r="O19" s="312"/>
      <c r="P19" s="313">
        <f>P18-O18</f>
        <v>10.205493322784264</v>
      </c>
      <c r="Q19" s="313">
        <f t="shared" ref="Q19:T19" si="23">Q18-P18</f>
        <v>-8.8562230074671788E-2</v>
      </c>
      <c r="R19" s="313">
        <f t="shared" si="23"/>
        <v>0.16934534534539125</v>
      </c>
      <c r="S19" s="313">
        <f t="shared" si="23"/>
        <v>0.18436791630335847</v>
      </c>
      <c r="T19" s="313">
        <f t="shared" si="23"/>
        <v>0.17002196293759653</v>
      </c>
      <c r="U19" s="4775"/>
      <c r="V19" s="4878"/>
      <c r="W19" s="4817">
        <f>W18-V18</f>
        <v>6.2799218551715228</v>
      </c>
      <c r="X19" s="4817">
        <f t="shared" ref="X19" si="24">X18-W18</f>
        <v>-8.7877320626026005</v>
      </c>
      <c r="Y19" s="4817">
        <f t="shared" ref="Y19" si="25">Y18-X18</f>
        <v>-7.2694303697151383</v>
      </c>
      <c r="Z19" s="4817">
        <f t="shared" ref="Z19" si="26">Z18-Y18</f>
        <v>-7.2694303697151668</v>
      </c>
      <c r="AA19" s="4817">
        <f t="shared" ref="AA19" si="27">AA18-Z18</f>
        <v>-8.633270785293206</v>
      </c>
      <c r="AB19" s="4878"/>
      <c r="AC19" s="4817">
        <f>AC18-AB18</f>
        <v>5.2179858795418284</v>
      </c>
      <c r="AD19" s="4817">
        <f t="shared" ref="AD19" si="28">AD18-AC18</f>
        <v>-4.5281149217828442E-2</v>
      </c>
      <c r="AE19" s="4817">
        <f t="shared" ref="AE19" si="29">AE18-AD18</f>
        <v>8.6584900193486192E-2</v>
      </c>
      <c r="AF19" s="4817">
        <f t="shared" ref="AF19" si="30">AF18-AE18</f>
        <v>9.4265818758969999E-2</v>
      </c>
      <c r="AG19" s="4817">
        <f t="shared" ref="AG19" si="31">AG18-AF18</f>
        <v>8.6930849275034916E-2</v>
      </c>
    </row>
    <row r="20" spans="1:33" ht="22.5" customHeight="1">
      <c r="A20" s="4038">
        <v>7</v>
      </c>
      <c r="B20" s="317" t="s">
        <v>1745</v>
      </c>
      <c r="C20" s="314">
        <f>IFERROR(C18/'4. Отчет и прогн. потребление'!D9,0)</f>
        <v>7.5988622033642803E-2</v>
      </c>
      <c r="D20" s="314">
        <f>IFERROR(D18/'4. Отчет и прогн. потребление'!E9,0)</f>
        <v>7.6299593724884152E-2</v>
      </c>
      <c r="E20" s="314">
        <f>IFERROR(E18/'4. Отчет и прогн. потребление'!F9,0)</f>
        <v>7.4834598906505748E-2</v>
      </c>
      <c r="F20" s="314">
        <f>IFERROR(F18/'4. Отчет и прогн. потребление'!G9,0)</f>
        <v>7.429184809606057E-2</v>
      </c>
      <c r="G20" s="314">
        <f>IFERROR(G18/'4. Отчет и прогн. потребление'!H9,0)</f>
        <v>7.3491402276408033E-2</v>
      </c>
      <c r="H20" s="314">
        <f>IFERROR(H18/'4. Отчет и прогн. потребление'!I9,0)</f>
        <v>7.2169163044081788E-2</v>
      </c>
      <c r="I20" s="312"/>
      <c r="J20" s="312"/>
      <c r="K20" s="312"/>
      <c r="L20" s="312"/>
      <c r="M20" s="312"/>
      <c r="N20" s="312"/>
      <c r="O20" s="312"/>
      <c r="P20" s="312"/>
      <c r="Q20" s="312"/>
      <c r="R20" s="312"/>
      <c r="S20" s="312"/>
      <c r="T20" s="312"/>
      <c r="U20" s="4775"/>
    </row>
    <row r="21" spans="1:33" ht="26.25" thickBot="1">
      <c r="A21" s="4039">
        <v>8</v>
      </c>
      <c r="B21" s="4040" t="s">
        <v>1746</v>
      </c>
      <c r="C21" s="4041">
        <f>IFERROR(C18/'4. Отчет и прогн. потребление'!D20,0)</f>
        <v>0.12409946180199435</v>
      </c>
      <c r="D21" s="4041">
        <f>IFERROR(D18/'4. Отчет и прогн. потребление'!E20,0)</f>
        <v>0.12461533272337871</v>
      </c>
      <c r="E21" s="4041">
        <f>IFERROR(E18/'4. Отчет и прогн. потребление'!F20,0)</f>
        <v>0.12217101675848387</v>
      </c>
      <c r="F21" s="4041">
        <f>IFERROR(F18/'4. Отчет и прогн. потребление'!G20,0)</f>
        <v>0.12117857715168441</v>
      </c>
      <c r="G21" s="4041">
        <f>IFERROR(G18/'4. Отчет и прогн. потребление'!H20,0)</f>
        <v>0.11964061556374288</v>
      </c>
      <c r="H21" s="4041">
        <f>IFERROR(H18/'4. Отчет и прогн. потребление'!I20,0)</f>
        <v>0.11720537474119475</v>
      </c>
      <c r="I21" s="427"/>
      <c r="J21" s="427"/>
      <c r="K21" s="427"/>
      <c r="L21" s="427"/>
      <c r="M21" s="427"/>
      <c r="N21" s="427"/>
      <c r="O21" s="427"/>
      <c r="P21" s="427"/>
      <c r="Q21" s="427"/>
      <c r="R21" s="427"/>
      <c r="S21" s="427"/>
      <c r="T21" s="427"/>
      <c r="U21" s="4775"/>
    </row>
    <row r="22" spans="1:33" s="152" customFormat="1" ht="18.75" customHeight="1" thickBot="1">
      <c r="A22" s="318"/>
      <c r="B22" s="70"/>
      <c r="C22" s="315"/>
      <c r="D22" s="316"/>
      <c r="E22" s="316"/>
      <c r="F22" s="316"/>
      <c r="G22" s="316"/>
      <c r="H22" s="316"/>
      <c r="I22" s="315"/>
      <c r="J22" s="316"/>
      <c r="K22" s="316"/>
      <c r="L22" s="316"/>
      <c r="M22" s="316"/>
      <c r="N22" s="316"/>
      <c r="O22" s="315"/>
      <c r="P22" s="316"/>
      <c r="Q22" s="316"/>
      <c r="R22" s="316"/>
      <c r="S22" s="316"/>
      <c r="T22" s="316"/>
      <c r="U22" s="153"/>
      <c r="V22" s="153"/>
      <c r="W22" s="153"/>
      <c r="X22" s="153"/>
      <c r="Y22" s="153"/>
    </row>
    <row r="23" spans="1:33" ht="24" customHeight="1">
      <c r="A23" s="5239" t="s">
        <v>1</v>
      </c>
      <c r="B23" s="5242" t="s">
        <v>1753</v>
      </c>
      <c r="C23" s="5242" t="s">
        <v>208</v>
      </c>
      <c r="D23" s="5242"/>
      <c r="E23" s="5242"/>
      <c r="F23" s="5242"/>
      <c r="G23" s="5242"/>
      <c r="H23" s="5242"/>
      <c r="I23" s="5242"/>
      <c r="J23" s="5242"/>
      <c r="K23" s="5242"/>
      <c r="L23" s="5242"/>
      <c r="M23" s="5242"/>
      <c r="N23" s="5242"/>
      <c r="O23" s="5242"/>
      <c r="P23" s="5242"/>
      <c r="Q23" s="5242"/>
      <c r="R23" s="5242"/>
      <c r="S23" s="5242"/>
      <c r="T23" s="5242"/>
      <c r="U23" s="4775"/>
      <c r="V23" s="5233" t="str">
        <f>+C23</f>
        <v>Отвеждане на отпадъчните води</v>
      </c>
      <c r="W23" s="5233"/>
      <c r="X23" s="5233"/>
      <c r="Y23" s="5233"/>
      <c r="Z23" s="5233"/>
      <c r="AA23" s="5233"/>
      <c r="AB23" s="5233"/>
      <c r="AC23" s="5233"/>
      <c r="AD23" s="5233"/>
      <c r="AE23" s="5233"/>
      <c r="AF23" s="5233"/>
      <c r="AG23" s="5233"/>
    </row>
    <row r="24" spans="1:33" ht="24" customHeight="1">
      <c r="A24" s="5240"/>
      <c r="B24" s="5243"/>
      <c r="C24" s="5245" t="s">
        <v>348</v>
      </c>
      <c r="D24" s="5245"/>
      <c r="E24" s="5245"/>
      <c r="F24" s="5245"/>
      <c r="G24" s="5245"/>
      <c r="H24" s="5245"/>
      <c r="I24" s="5245" t="s">
        <v>911</v>
      </c>
      <c r="J24" s="5245"/>
      <c r="K24" s="5245"/>
      <c r="L24" s="5245"/>
      <c r="M24" s="5245"/>
      <c r="N24" s="5245"/>
      <c r="O24" s="5245" t="s">
        <v>1765</v>
      </c>
      <c r="P24" s="5245"/>
      <c r="Q24" s="5245"/>
      <c r="R24" s="5245"/>
      <c r="S24" s="5245"/>
      <c r="T24" s="5245"/>
      <c r="U24" s="4775"/>
      <c r="V24" s="5234" t="s">
        <v>1879</v>
      </c>
      <c r="W24" s="5234"/>
      <c r="X24" s="5234"/>
      <c r="Y24" s="5234"/>
      <c r="Z24" s="5234"/>
      <c r="AA24" s="5234"/>
      <c r="AB24" s="5234" t="s">
        <v>1880</v>
      </c>
      <c r="AC24" s="5234"/>
      <c r="AD24" s="5234"/>
      <c r="AE24" s="5234"/>
      <c r="AF24" s="5234"/>
      <c r="AG24" s="5234"/>
    </row>
    <row r="25" spans="1:33" ht="24" customHeight="1" thickBot="1">
      <c r="A25" s="5241"/>
      <c r="B25" s="5244"/>
      <c r="C25" s="160" t="str">
        <f>'Приложение '!C12</f>
        <v>2024 г.</v>
      </c>
      <c r="D25" s="160" t="str">
        <f>'Приложение '!$C14</f>
        <v>2027 г.</v>
      </c>
      <c r="E25" s="160" t="str">
        <f>'Приложение '!$C15</f>
        <v>2028 г.</v>
      </c>
      <c r="F25" s="160" t="str">
        <f>'Приложение '!$C16</f>
        <v>2029 г.</v>
      </c>
      <c r="G25" s="160" t="str">
        <f>'Приложение '!$C17</f>
        <v>2030 г.</v>
      </c>
      <c r="H25" s="160" t="str">
        <f>'Приложение '!$C18</f>
        <v>2031 г.</v>
      </c>
      <c r="I25" s="160" t="str">
        <f t="shared" ref="I25:T25" si="32">C25</f>
        <v>2024 г.</v>
      </c>
      <c r="J25" s="160" t="str">
        <f t="shared" si="32"/>
        <v>2027 г.</v>
      </c>
      <c r="K25" s="160" t="str">
        <f t="shared" si="32"/>
        <v>2028 г.</v>
      </c>
      <c r="L25" s="160" t="str">
        <f t="shared" si="32"/>
        <v>2029 г.</v>
      </c>
      <c r="M25" s="160" t="str">
        <f t="shared" si="32"/>
        <v>2030 г.</v>
      </c>
      <c r="N25" s="160" t="str">
        <f t="shared" si="32"/>
        <v>2031 г.</v>
      </c>
      <c r="O25" s="160" t="str">
        <f t="shared" si="32"/>
        <v>2024 г.</v>
      </c>
      <c r="P25" s="160" t="str">
        <f t="shared" si="32"/>
        <v>2027 г.</v>
      </c>
      <c r="Q25" s="160" t="str">
        <f t="shared" si="32"/>
        <v>2028 г.</v>
      </c>
      <c r="R25" s="160" t="str">
        <f t="shared" si="32"/>
        <v>2029 г.</v>
      </c>
      <c r="S25" s="160" t="str">
        <f t="shared" si="32"/>
        <v>2030 г.</v>
      </c>
      <c r="T25" s="160" t="str">
        <f t="shared" si="32"/>
        <v>2031 г.</v>
      </c>
      <c r="U25" s="4775"/>
      <c r="V25" s="4792" t="str">
        <f>+I25</f>
        <v>2024 г.</v>
      </c>
      <c r="W25" s="4792" t="str">
        <f t="shared" ref="W25" si="33">+J25</f>
        <v>2027 г.</v>
      </c>
      <c r="X25" s="4792" t="str">
        <f t="shared" ref="X25" si="34">+K25</f>
        <v>2028 г.</v>
      </c>
      <c r="Y25" s="4792" t="str">
        <f t="shared" ref="Y25" si="35">+L25</f>
        <v>2029 г.</v>
      </c>
      <c r="Z25" s="4792" t="str">
        <f t="shared" ref="Z25" si="36">+M25</f>
        <v>2030 г.</v>
      </c>
      <c r="AA25" s="4792" t="str">
        <f t="shared" ref="AA25" si="37">+N25</f>
        <v>2031 г.</v>
      </c>
      <c r="AB25" s="4792" t="str">
        <f t="shared" ref="AB25" si="38">+O25</f>
        <v>2024 г.</v>
      </c>
      <c r="AC25" s="4792" t="str">
        <f t="shared" ref="AC25" si="39">+P25</f>
        <v>2027 г.</v>
      </c>
      <c r="AD25" s="4792" t="str">
        <f t="shared" ref="AD25" si="40">+Q25</f>
        <v>2028 г.</v>
      </c>
      <c r="AE25" s="4792" t="str">
        <f t="shared" ref="AE25" si="41">+R25</f>
        <v>2029 г.</v>
      </c>
      <c r="AF25" s="4792" t="str">
        <f t="shared" ref="AF25" si="42">+S25</f>
        <v>2030 г.</v>
      </c>
      <c r="AG25" s="4792" t="str">
        <f t="shared" ref="AG25" si="43">+T25</f>
        <v>2031 г.</v>
      </c>
    </row>
    <row r="26" spans="1:33" ht="23.25" customHeight="1">
      <c r="A26" s="4049">
        <v>1</v>
      </c>
      <c r="B26" s="4050" t="s">
        <v>1752</v>
      </c>
      <c r="C26" s="4054">
        <v>523</v>
      </c>
      <c r="D26" s="4055">
        <v>500</v>
      </c>
      <c r="E26" s="4055">
        <v>500</v>
      </c>
      <c r="F26" s="4055">
        <v>400</v>
      </c>
      <c r="G26" s="4055">
        <v>400</v>
      </c>
      <c r="H26" s="4055">
        <v>400</v>
      </c>
      <c r="I26" s="4723">
        <f t="shared" ref="I26:N28" si="44">(C26/1000)*(O26/1000)</f>
        <v>6.8839874999999995E-2</v>
      </c>
      <c r="J26" s="4056">
        <f t="shared" si="44"/>
        <v>0.13748199999999999</v>
      </c>
      <c r="K26" s="4056">
        <f t="shared" si="44"/>
        <v>0.13748199999999999</v>
      </c>
      <c r="L26" s="4056">
        <f t="shared" si="44"/>
        <v>0.1099856</v>
      </c>
      <c r="M26" s="4056">
        <f t="shared" si="44"/>
        <v>0.1099856</v>
      </c>
      <c r="N26" s="4056">
        <f t="shared" si="44"/>
        <v>0.1099856</v>
      </c>
      <c r="O26" s="4742">
        <v>131.625</v>
      </c>
      <c r="P26" s="4742">
        <v>274.964</v>
      </c>
      <c r="Q26" s="4742">
        <v>274.964</v>
      </c>
      <c r="R26" s="4742">
        <v>274.964</v>
      </c>
      <c r="S26" s="4742">
        <v>274.964</v>
      </c>
      <c r="T26" s="4742">
        <v>274.964</v>
      </c>
      <c r="U26" s="4775"/>
      <c r="V26" s="4794">
        <f>IFERROR(I26/$C$1,0)</f>
        <v>3.5197269190062531E-2</v>
      </c>
      <c r="W26" s="4794">
        <f t="shared" ref="W26:W34" si="45">IFERROR(J26/$C$1,0)</f>
        <v>7.0293430410618502E-2</v>
      </c>
      <c r="X26" s="4794">
        <f t="shared" ref="X26:X34" si="46">IFERROR(K26/$C$1,0)</f>
        <v>7.0293430410618502E-2</v>
      </c>
      <c r="Y26" s="4794">
        <f t="shared" ref="Y26:Y34" si="47">IFERROR(L26/$C$1,0)</f>
        <v>5.6234744328494811E-2</v>
      </c>
      <c r="Z26" s="4794">
        <f t="shared" ref="Z26:Z34" si="48">IFERROR(M26/$C$1,0)</f>
        <v>5.6234744328494811E-2</v>
      </c>
      <c r="AA26" s="4794">
        <f t="shared" ref="AA26:AA34" si="49">IFERROR(N26/$C$1,0)</f>
        <v>5.6234744328494811E-2</v>
      </c>
      <c r="AB26" s="4793">
        <f t="shared" ref="AB26:AB34" si="50">IFERROR(O26/$C$1,0)</f>
        <v>67.298793862452257</v>
      </c>
      <c r="AC26" s="4793">
        <f t="shared" ref="AC26:AC34" si="51">IFERROR(P26/$C$1,0)</f>
        <v>140.58686082123702</v>
      </c>
      <c r="AD26" s="4793">
        <f t="shared" ref="AD26:AD34" si="52">IFERROR(Q26/$C$1,0)</f>
        <v>140.58686082123702</v>
      </c>
      <c r="AE26" s="4793">
        <f t="shared" ref="AE26:AE34" si="53">IFERROR(R26/$C$1,0)</f>
        <v>140.58686082123702</v>
      </c>
      <c r="AF26" s="4793">
        <f t="shared" ref="AF26:AF34" si="54">IFERROR(S26/$C$1,0)</f>
        <v>140.58686082123702</v>
      </c>
      <c r="AG26" s="4793">
        <f t="shared" ref="AG26:AG34" si="55">IFERROR(T26/$C$1,0)</f>
        <v>140.58686082123702</v>
      </c>
    </row>
    <row r="27" spans="1:33" ht="24">
      <c r="A27" s="3526">
        <v>2</v>
      </c>
      <c r="B27" s="103" t="s">
        <v>1754</v>
      </c>
      <c r="C27" s="633"/>
      <c r="D27" s="634"/>
      <c r="E27" s="633"/>
      <c r="F27" s="634"/>
      <c r="G27" s="634"/>
      <c r="H27" s="633"/>
      <c r="I27" s="2089">
        <f t="shared" si="44"/>
        <v>0</v>
      </c>
      <c r="J27" s="2089">
        <f t="shared" si="44"/>
        <v>0</v>
      </c>
      <c r="K27" s="2089">
        <f t="shared" si="44"/>
        <v>0</v>
      </c>
      <c r="L27" s="2089">
        <f t="shared" si="44"/>
        <v>0</v>
      </c>
      <c r="M27" s="2089">
        <f t="shared" si="44"/>
        <v>0</v>
      </c>
      <c r="N27" s="2089">
        <f t="shared" si="44"/>
        <v>0</v>
      </c>
      <c r="O27" s="4743"/>
      <c r="P27" s="4743"/>
      <c r="Q27" s="4743"/>
      <c r="R27" s="4743"/>
      <c r="S27" s="4743"/>
      <c r="T27" s="4743"/>
      <c r="U27" s="4775"/>
      <c r="V27" s="4794">
        <f t="shared" ref="V27:V34" si="56">IFERROR(I27/$C$1,0)</f>
        <v>0</v>
      </c>
      <c r="W27" s="4794">
        <f t="shared" si="45"/>
        <v>0</v>
      </c>
      <c r="X27" s="4794">
        <f t="shared" si="46"/>
        <v>0</v>
      </c>
      <c r="Y27" s="4794">
        <f t="shared" si="47"/>
        <v>0</v>
      </c>
      <c r="Z27" s="4794">
        <f t="shared" si="48"/>
        <v>0</v>
      </c>
      <c r="AA27" s="4794">
        <f t="shared" si="49"/>
        <v>0</v>
      </c>
      <c r="AB27" s="4793">
        <f t="shared" si="50"/>
        <v>0</v>
      </c>
      <c r="AC27" s="4793">
        <f t="shared" si="51"/>
        <v>0</v>
      </c>
      <c r="AD27" s="4793">
        <f t="shared" si="52"/>
        <v>0</v>
      </c>
      <c r="AE27" s="4793">
        <f t="shared" si="53"/>
        <v>0</v>
      </c>
      <c r="AF27" s="4793">
        <f t="shared" si="54"/>
        <v>0</v>
      </c>
      <c r="AG27" s="4793">
        <f t="shared" si="55"/>
        <v>0</v>
      </c>
    </row>
    <row r="28" spans="1:33" ht="24">
      <c r="A28" s="3526">
        <v>3</v>
      </c>
      <c r="B28" s="103" t="s">
        <v>1755</v>
      </c>
      <c r="C28" s="633"/>
      <c r="D28" s="634"/>
      <c r="E28" s="633"/>
      <c r="F28" s="634"/>
      <c r="G28" s="634"/>
      <c r="H28" s="633"/>
      <c r="I28" s="2089">
        <f t="shared" si="44"/>
        <v>0</v>
      </c>
      <c r="J28" s="2087">
        <f t="shared" si="44"/>
        <v>0</v>
      </c>
      <c r="K28" s="2089">
        <f t="shared" si="44"/>
        <v>0</v>
      </c>
      <c r="L28" s="2087">
        <f t="shared" si="44"/>
        <v>0</v>
      </c>
      <c r="M28" s="2087">
        <f t="shared" si="44"/>
        <v>0</v>
      </c>
      <c r="N28" s="2089">
        <f t="shared" si="44"/>
        <v>0</v>
      </c>
      <c r="O28" s="4743"/>
      <c r="P28" s="4743"/>
      <c r="Q28" s="4743"/>
      <c r="R28" s="4743"/>
      <c r="S28" s="4743"/>
      <c r="T28" s="4743"/>
      <c r="U28" s="4775"/>
      <c r="V28" s="4794">
        <f t="shared" si="56"/>
        <v>0</v>
      </c>
      <c r="W28" s="4794">
        <f t="shared" si="45"/>
        <v>0</v>
      </c>
      <c r="X28" s="4794">
        <f t="shared" si="46"/>
        <v>0</v>
      </c>
      <c r="Y28" s="4794">
        <f t="shared" si="47"/>
        <v>0</v>
      </c>
      <c r="Z28" s="4794">
        <f t="shared" si="48"/>
        <v>0</v>
      </c>
      <c r="AA28" s="4794">
        <f t="shared" si="49"/>
        <v>0</v>
      </c>
      <c r="AB28" s="4793">
        <f t="shared" si="50"/>
        <v>0</v>
      </c>
      <c r="AC28" s="4793">
        <f t="shared" si="51"/>
        <v>0</v>
      </c>
      <c r="AD28" s="4793">
        <f t="shared" si="52"/>
        <v>0</v>
      </c>
      <c r="AE28" s="4793">
        <f t="shared" si="53"/>
        <v>0</v>
      </c>
      <c r="AF28" s="4793">
        <f t="shared" si="54"/>
        <v>0</v>
      </c>
      <c r="AG28" s="4793">
        <f t="shared" si="55"/>
        <v>0</v>
      </c>
    </row>
    <row r="29" spans="1:33" ht="39.75" customHeight="1">
      <c r="A29" s="3526">
        <v>4</v>
      </c>
      <c r="B29" s="654" t="s">
        <v>1783</v>
      </c>
      <c r="C29" s="2089">
        <f t="shared" ref="C29:N29" si="57">SUM(C30:C32)</f>
        <v>0</v>
      </c>
      <c r="D29" s="2089">
        <f t="shared" si="57"/>
        <v>0</v>
      </c>
      <c r="E29" s="2089">
        <f t="shared" si="57"/>
        <v>0</v>
      </c>
      <c r="F29" s="2089">
        <f t="shared" si="57"/>
        <v>0</v>
      </c>
      <c r="G29" s="2089">
        <f t="shared" si="57"/>
        <v>0</v>
      </c>
      <c r="H29" s="2089">
        <f t="shared" si="57"/>
        <v>0</v>
      </c>
      <c r="I29" s="2087">
        <f t="shared" si="57"/>
        <v>0</v>
      </c>
      <c r="J29" s="2087">
        <f t="shared" si="57"/>
        <v>0</v>
      </c>
      <c r="K29" s="2087">
        <f t="shared" si="57"/>
        <v>0</v>
      </c>
      <c r="L29" s="2087">
        <f t="shared" si="57"/>
        <v>0</v>
      </c>
      <c r="M29" s="2087">
        <f t="shared" si="57"/>
        <v>0</v>
      </c>
      <c r="N29" s="2087">
        <f t="shared" si="57"/>
        <v>0</v>
      </c>
      <c r="O29" s="310">
        <f>ROUND((IFERROR((I29*1000)/(C29/1000),0)),3)</f>
        <v>0</v>
      </c>
      <c r="P29" s="310">
        <f t="shared" ref="P29:T29" si="58">ROUND((IFERROR((J29*1000)/(D29/1000),0)),3)</f>
        <v>0</v>
      </c>
      <c r="Q29" s="310">
        <f t="shared" si="58"/>
        <v>0</v>
      </c>
      <c r="R29" s="310">
        <f t="shared" si="58"/>
        <v>0</v>
      </c>
      <c r="S29" s="310">
        <f t="shared" si="58"/>
        <v>0</v>
      </c>
      <c r="T29" s="310">
        <f t="shared" si="58"/>
        <v>0</v>
      </c>
      <c r="U29" s="4775"/>
      <c r="V29" s="4794">
        <f t="shared" si="56"/>
        <v>0</v>
      </c>
      <c r="W29" s="4794">
        <f t="shared" si="45"/>
        <v>0</v>
      </c>
      <c r="X29" s="4794">
        <f t="shared" si="46"/>
        <v>0</v>
      </c>
      <c r="Y29" s="4794">
        <f t="shared" si="47"/>
        <v>0</v>
      </c>
      <c r="Z29" s="4794">
        <f t="shared" si="48"/>
        <v>0</v>
      </c>
      <c r="AA29" s="4794">
        <f t="shared" si="49"/>
        <v>0</v>
      </c>
      <c r="AB29" s="4793">
        <f t="shared" si="50"/>
        <v>0</v>
      </c>
      <c r="AC29" s="4793">
        <f t="shared" si="51"/>
        <v>0</v>
      </c>
      <c r="AD29" s="4793">
        <f t="shared" si="52"/>
        <v>0</v>
      </c>
      <c r="AE29" s="4793">
        <f t="shared" si="53"/>
        <v>0</v>
      </c>
      <c r="AF29" s="4793">
        <f t="shared" si="54"/>
        <v>0</v>
      </c>
      <c r="AG29" s="4793">
        <f t="shared" si="55"/>
        <v>0</v>
      </c>
    </row>
    <row r="30" spans="1:33" ht="22.5" customHeight="1">
      <c r="A30" s="3526" t="s">
        <v>566</v>
      </c>
      <c r="B30" s="4744"/>
      <c r="C30" s="633"/>
      <c r="D30" s="634"/>
      <c r="E30" s="633"/>
      <c r="F30" s="634"/>
      <c r="G30" s="634"/>
      <c r="H30" s="633"/>
      <c r="I30" s="2087">
        <f t="shared" ref="I30:N32" si="59">(C30/1000)*(O30/1000)</f>
        <v>0</v>
      </c>
      <c r="J30" s="2087">
        <f t="shared" si="59"/>
        <v>0</v>
      </c>
      <c r="K30" s="2089">
        <f t="shared" si="59"/>
        <v>0</v>
      </c>
      <c r="L30" s="2087">
        <f t="shared" si="59"/>
        <v>0</v>
      </c>
      <c r="M30" s="2087">
        <f t="shared" si="59"/>
        <v>0</v>
      </c>
      <c r="N30" s="2089">
        <f t="shared" si="59"/>
        <v>0</v>
      </c>
      <c r="O30" s="4743"/>
      <c r="P30" s="4743"/>
      <c r="Q30" s="4743"/>
      <c r="R30" s="4743"/>
      <c r="S30" s="4743"/>
      <c r="T30" s="4743"/>
      <c r="U30" s="4775"/>
      <c r="V30" s="4794">
        <f t="shared" si="56"/>
        <v>0</v>
      </c>
      <c r="W30" s="4794">
        <f t="shared" si="45"/>
        <v>0</v>
      </c>
      <c r="X30" s="4794">
        <f t="shared" si="46"/>
        <v>0</v>
      </c>
      <c r="Y30" s="4794">
        <f t="shared" si="47"/>
        <v>0</v>
      </c>
      <c r="Z30" s="4794">
        <f t="shared" si="48"/>
        <v>0</v>
      </c>
      <c r="AA30" s="4794">
        <f t="shared" si="49"/>
        <v>0</v>
      </c>
      <c r="AB30" s="4793">
        <f t="shared" si="50"/>
        <v>0</v>
      </c>
      <c r="AC30" s="4793">
        <f t="shared" si="51"/>
        <v>0</v>
      </c>
      <c r="AD30" s="4793">
        <f t="shared" si="52"/>
        <v>0</v>
      </c>
      <c r="AE30" s="4793">
        <f t="shared" si="53"/>
        <v>0</v>
      </c>
      <c r="AF30" s="4793">
        <f t="shared" si="54"/>
        <v>0</v>
      </c>
      <c r="AG30" s="4793">
        <f t="shared" si="55"/>
        <v>0</v>
      </c>
    </row>
    <row r="31" spans="1:33" ht="22.5" customHeight="1">
      <c r="A31" s="3526" t="s">
        <v>567</v>
      </c>
      <c r="B31" s="4744"/>
      <c r="C31" s="633"/>
      <c r="D31" s="634"/>
      <c r="E31" s="633"/>
      <c r="F31" s="634"/>
      <c r="G31" s="634"/>
      <c r="H31" s="633"/>
      <c r="I31" s="2087">
        <f t="shared" si="59"/>
        <v>0</v>
      </c>
      <c r="J31" s="2087">
        <f t="shared" si="59"/>
        <v>0</v>
      </c>
      <c r="K31" s="2089">
        <f t="shared" si="59"/>
        <v>0</v>
      </c>
      <c r="L31" s="2087">
        <f t="shared" si="59"/>
        <v>0</v>
      </c>
      <c r="M31" s="2087">
        <f t="shared" si="59"/>
        <v>0</v>
      </c>
      <c r="N31" s="2089">
        <f t="shared" si="59"/>
        <v>0</v>
      </c>
      <c r="O31" s="4743"/>
      <c r="P31" s="4743"/>
      <c r="Q31" s="4743"/>
      <c r="R31" s="4743"/>
      <c r="S31" s="4743"/>
      <c r="T31" s="4743"/>
      <c r="U31" s="4775"/>
      <c r="V31" s="4794">
        <f t="shared" si="56"/>
        <v>0</v>
      </c>
      <c r="W31" s="4794">
        <f t="shared" si="45"/>
        <v>0</v>
      </c>
      <c r="X31" s="4794">
        <f t="shared" si="46"/>
        <v>0</v>
      </c>
      <c r="Y31" s="4794">
        <f t="shared" si="47"/>
        <v>0</v>
      </c>
      <c r="Z31" s="4794">
        <f t="shared" si="48"/>
        <v>0</v>
      </c>
      <c r="AA31" s="4794">
        <f t="shared" si="49"/>
        <v>0</v>
      </c>
      <c r="AB31" s="4793">
        <f t="shared" si="50"/>
        <v>0</v>
      </c>
      <c r="AC31" s="4793">
        <f t="shared" si="51"/>
        <v>0</v>
      </c>
      <c r="AD31" s="4793">
        <f t="shared" si="52"/>
        <v>0</v>
      </c>
      <c r="AE31" s="4793">
        <f t="shared" si="53"/>
        <v>0</v>
      </c>
      <c r="AF31" s="4793">
        <f t="shared" si="54"/>
        <v>0</v>
      </c>
      <c r="AG31" s="4793">
        <f t="shared" si="55"/>
        <v>0</v>
      </c>
    </row>
    <row r="32" spans="1:33" ht="22.5" customHeight="1">
      <c r="A32" s="3526" t="s">
        <v>1078</v>
      </c>
      <c r="B32" s="4744"/>
      <c r="C32" s="633"/>
      <c r="D32" s="634"/>
      <c r="E32" s="633"/>
      <c r="F32" s="634"/>
      <c r="G32" s="634"/>
      <c r="H32" s="633"/>
      <c r="I32" s="2087">
        <f t="shared" si="59"/>
        <v>0</v>
      </c>
      <c r="J32" s="2087">
        <f t="shared" si="59"/>
        <v>0</v>
      </c>
      <c r="K32" s="2089">
        <f t="shared" si="59"/>
        <v>0</v>
      </c>
      <c r="L32" s="2087">
        <f t="shared" si="59"/>
        <v>0</v>
      </c>
      <c r="M32" s="2087">
        <f t="shared" si="59"/>
        <v>0</v>
      </c>
      <c r="N32" s="2089">
        <f t="shared" si="59"/>
        <v>0</v>
      </c>
      <c r="O32" s="4743"/>
      <c r="P32" s="4743"/>
      <c r="Q32" s="4743"/>
      <c r="R32" s="4743"/>
      <c r="S32" s="4743"/>
      <c r="T32" s="4743"/>
      <c r="U32" s="4775"/>
      <c r="V32" s="4794">
        <f t="shared" si="56"/>
        <v>0</v>
      </c>
      <c r="W32" s="4794">
        <f t="shared" si="45"/>
        <v>0</v>
      </c>
      <c r="X32" s="4794">
        <f t="shared" si="46"/>
        <v>0</v>
      </c>
      <c r="Y32" s="4794">
        <f t="shared" si="47"/>
        <v>0</v>
      </c>
      <c r="Z32" s="4794">
        <f t="shared" si="48"/>
        <v>0</v>
      </c>
      <c r="AA32" s="4794">
        <f t="shared" si="49"/>
        <v>0</v>
      </c>
      <c r="AB32" s="4793">
        <f t="shared" si="50"/>
        <v>0</v>
      </c>
      <c r="AC32" s="4793">
        <f t="shared" si="51"/>
        <v>0</v>
      </c>
      <c r="AD32" s="4793">
        <f t="shared" si="52"/>
        <v>0</v>
      </c>
      <c r="AE32" s="4793">
        <f t="shared" si="53"/>
        <v>0</v>
      </c>
      <c r="AF32" s="4793">
        <f t="shared" si="54"/>
        <v>0</v>
      </c>
      <c r="AG32" s="4793">
        <f t="shared" si="55"/>
        <v>0</v>
      </c>
    </row>
    <row r="33" spans="1:33" ht="22.5" hidden="1" customHeight="1">
      <c r="A33" s="5248"/>
      <c r="B33" s="5249"/>
      <c r="C33" s="5249"/>
      <c r="D33" s="5249"/>
      <c r="E33" s="5249"/>
      <c r="F33" s="5249"/>
      <c r="G33" s="5249"/>
      <c r="H33" s="5249"/>
      <c r="I33" s="5249"/>
      <c r="J33" s="5249"/>
      <c r="K33" s="5249"/>
      <c r="L33" s="5249"/>
      <c r="M33" s="5249"/>
      <c r="N33" s="5249"/>
      <c r="O33" s="5249"/>
      <c r="P33" s="5249"/>
      <c r="Q33" s="5249"/>
      <c r="R33" s="5249"/>
      <c r="S33" s="5249"/>
      <c r="T33" s="5250"/>
      <c r="U33" s="4775"/>
      <c r="V33" s="4794">
        <f t="shared" si="56"/>
        <v>0</v>
      </c>
      <c r="W33" s="4794">
        <f t="shared" si="45"/>
        <v>0</v>
      </c>
      <c r="X33" s="4794">
        <f t="shared" si="46"/>
        <v>0</v>
      </c>
      <c r="Y33" s="4794">
        <f t="shared" si="47"/>
        <v>0</v>
      </c>
      <c r="Z33" s="4794">
        <f t="shared" si="48"/>
        <v>0</v>
      </c>
      <c r="AA33" s="4794">
        <f t="shared" si="49"/>
        <v>0</v>
      </c>
      <c r="AB33" s="4793">
        <f t="shared" si="50"/>
        <v>0</v>
      </c>
      <c r="AC33" s="4793">
        <f t="shared" si="51"/>
        <v>0</v>
      </c>
      <c r="AD33" s="4793">
        <f t="shared" si="52"/>
        <v>0</v>
      </c>
      <c r="AE33" s="4793">
        <f t="shared" si="53"/>
        <v>0</v>
      </c>
      <c r="AF33" s="4793">
        <f t="shared" si="54"/>
        <v>0</v>
      </c>
      <c r="AG33" s="4793">
        <f t="shared" si="55"/>
        <v>0</v>
      </c>
    </row>
    <row r="34" spans="1:33" ht="19.5" customHeight="1">
      <c r="A34" s="4035">
        <v>5</v>
      </c>
      <c r="B34" s="319" t="s">
        <v>1756</v>
      </c>
      <c r="C34" s="635">
        <f t="shared" ref="C34:N34" si="60">C26+C27+C28+C29</f>
        <v>523</v>
      </c>
      <c r="D34" s="635">
        <f t="shared" si="60"/>
        <v>500</v>
      </c>
      <c r="E34" s="635">
        <f t="shared" si="60"/>
        <v>500</v>
      </c>
      <c r="F34" s="635">
        <f t="shared" si="60"/>
        <v>400</v>
      </c>
      <c r="G34" s="635">
        <f t="shared" si="60"/>
        <v>400</v>
      </c>
      <c r="H34" s="635">
        <f t="shared" si="60"/>
        <v>400</v>
      </c>
      <c r="I34" s="635">
        <f t="shared" si="60"/>
        <v>6.8839874999999995E-2</v>
      </c>
      <c r="J34" s="635">
        <f t="shared" si="60"/>
        <v>0.13748199999999999</v>
      </c>
      <c r="K34" s="635">
        <f t="shared" si="60"/>
        <v>0.13748199999999999</v>
      </c>
      <c r="L34" s="635">
        <f t="shared" si="60"/>
        <v>0.1099856</v>
      </c>
      <c r="M34" s="635">
        <f t="shared" si="60"/>
        <v>0.1099856</v>
      </c>
      <c r="N34" s="635">
        <f t="shared" si="60"/>
        <v>0.1099856</v>
      </c>
      <c r="O34" s="311">
        <f t="shared" ref="O34:T34" si="61">IFERROR((I34*1000)/(C34/1000),0)</f>
        <v>131.62499999999997</v>
      </c>
      <c r="P34" s="311">
        <f t="shared" si="61"/>
        <v>274.964</v>
      </c>
      <c r="Q34" s="311">
        <f t="shared" si="61"/>
        <v>274.964</v>
      </c>
      <c r="R34" s="311">
        <f t="shared" si="61"/>
        <v>274.964</v>
      </c>
      <c r="S34" s="311">
        <f t="shared" si="61"/>
        <v>274.964</v>
      </c>
      <c r="T34" s="311">
        <f t="shared" si="61"/>
        <v>274.964</v>
      </c>
      <c r="U34" s="4775"/>
      <c r="V34" s="4794">
        <f t="shared" si="56"/>
        <v>3.5197269190062531E-2</v>
      </c>
      <c r="W34" s="4794">
        <f t="shared" si="45"/>
        <v>7.0293430410618502E-2</v>
      </c>
      <c r="X34" s="4794">
        <f t="shared" si="46"/>
        <v>7.0293430410618502E-2</v>
      </c>
      <c r="Y34" s="4794">
        <f t="shared" si="47"/>
        <v>5.6234744328494811E-2</v>
      </c>
      <c r="Z34" s="4794">
        <f t="shared" si="48"/>
        <v>5.6234744328494811E-2</v>
      </c>
      <c r="AA34" s="4794">
        <f t="shared" si="49"/>
        <v>5.6234744328494811E-2</v>
      </c>
      <c r="AB34" s="4793">
        <f t="shared" si="50"/>
        <v>67.298793862452243</v>
      </c>
      <c r="AC34" s="4793">
        <f t="shared" si="51"/>
        <v>140.58686082123702</v>
      </c>
      <c r="AD34" s="4793">
        <f t="shared" si="52"/>
        <v>140.58686082123702</v>
      </c>
      <c r="AE34" s="4793">
        <f t="shared" si="53"/>
        <v>140.58686082123702</v>
      </c>
      <c r="AF34" s="4793">
        <f t="shared" si="54"/>
        <v>140.58686082123702</v>
      </c>
      <c r="AG34" s="4793">
        <f t="shared" si="55"/>
        <v>140.58686082123702</v>
      </c>
    </row>
    <row r="35" spans="1:33" ht="19.5" customHeight="1">
      <c r="A35" s="4036">
        <v>6</v>
      </c>
      <c r="B35" s="103" t="s">
        <v>350</v>
      </c>
      <c r="C35" s="636"/>
      <c r="D35" s="637">
        <f>D34-C34</f>
        <v>-23</v>
      </c>
      <c r="E35" s="637">
        <f t="shared" ref="E35:H35" si="62">E34-D34</f>
        <v>0</v>
      </c>
      <c r="F35" s="637">
        <f t="shared" si="62"/>
        <v>-100</v>
      </c>
      <c r="G35" s="637">
        <f t="shared" si="62"/>
        <v>0</v>
      </c>
      <c r="H35" s="637">
        <f t="shared" si="62"/>
        <v>0</v>
      </c>
      <c r="I35" s="636"/>
      <c r="J35" s="637">
        <f>J34-I34</f>
        <v>6.8642124999999998E-2</v>
      </c>
      <c r="K35" s="637">
        <f t="shared" ref="K35:N35" si="63">K34-J34</f>
        <v>0</v>
      </c>
      <c r="L35" s="637">
        <f t="shared" si="63"/>
        <v>-2.749639999999999E-2</v>
      </c>
      <c r="M35" s="637">
        <f t="shared" si="63"/>
        <v>0</v>
      </c>
      <c r="N35" s="637">
        <f t="shared" si="63"/>
        <v>0</v>
      </c>
      <c r="O35" s="312"/>
      <c r="P35" s="313">
        <f>P34-O34</f>
        <v>143.33900000000003</v>
      </c>
      <c r="Q35" s="313">
        <f t="shared" ref="Q35:T35" si="64">Q34-P34</f>
        <v>0</v>
      </c>
      <c r="R35" s="313">
        <f t="shared" si="64"/>
        <v>0</v>
      </c>
      <c r="S35" s="313">
        <f t="shared" si="64"/>
        <v>0</v>
      </c>
      <c r="T35" s="313">
        <f t="shared" si="64"/>
        <v>0</v>
      </c>
      <c r="U35" s="4775"/>
      <c r="V35" s="4878"/>
      <c r="W35" s="4817">
        <f>W34-V34</f>
        <v>3.509616122055597E-2</v>
      </c>
      <c r="X35" s="4817">
        <f t="shared" ref="X35" si="65">X34-W34</f>
        <v>0</v>
      </c>
      <c r="Y35" s="4817">
        <f t="shared" ref="Y35" si="66">Y34-X34</f>
        <v>-1.4058686082123691E-2</v>
      </c>
      <c r="Z35" s="4817">
        <f t="shared" ref="Z35" si="67">Z34-Y34</f>
        <v>0</v>
      </c>
      <c r="AA35" s="4817">
        <f t="shared" ref="AA35" si="68">AA34-Z34</f>
        <v>0</v>
      </c>
      <c r="AB35" s="4878"/>
      <c r="AC35" s="4817">
        <f>AC34-AB34</f>
        <v>73.288066958784782</v>
      </c>
      <c r="AD35" s="4817">
        <f t="shared" ref="AD35" si="69">AD34-AC34</f>
        <v>0</v>
      </c>
      <c r="AE35" s="4817">
        <f t="shared" ref="AE35" si="70">AE34-AD34</f>
        <v>0</v>
      </c>
      <c r="AF35" s="4817">
        <f t="shared" ref="AF35" si="71">AF34-AE34</f>
        <v>0</v>
      </c>
      <c r="AG35" s="4817">
        <f t="shared" ref="AG35" si="72">AG34-AF34</f>
        <v>0</v>
      </c>
    </row>
    <row r="36" spans="1:33" ht="26.25" thickBot="1">
      <c r="A36" s="4042">
        <v>7</v>
      </c>
      <c r="B36" s="4040" t="s">
        <v>1746</v>
      </c>
      <c r="C36" s="4041">
        <f>IFERROR(C34/'4. Отчет и прогн. потребление'!D48,0)</f>
        <v>5.330118819864813E-5</v>
      </c>
      <c r="D36" s="4041">
        <f>IFERROR(D34/'4. Отчет и прогн. потребление'!E48,0)</f>
        <v>5.2370854781380499E-5</v>
      </c>
      <c r="E36" s="4041">
        <f>IFERROR(E34/'4. Отчет и прогн. потребление'!F48,0)</f>
        <v>5.4063535969647469E-5</v>
      </c>
      <c r="F36" s="4041">
        <f>IFERROR(F34/'4. Отчет и прогн. потребление'!G48,0)</f>
        <v>4.4648522315251099E-5</v>
      </c>
      <c r="G36" s="4041">
        <f>IFERROR(G34/'4. Отчет и прогн. потребление'!H48,0)</f>
        <v>4.6091151396719275E-5</v>
      </c>
      <c r="H36" s="4041">
        <f>IFERROR(H34/'4. Отчет и прогн. потребление'!I48,0)</f>
        <v>4.7684421962376769E-5</v>
      </c>
      <c r="I36" s="427"/>
      <c r="J36" s="427"/>
      <c r="K36" s="427"/>
      <c r="L36" s="427"/>
      <c r="M36" s="427"/>
      <c r="N36" s="427"/>
      <c r="O36" s="427"/>
      <c r="P36" s="427"/>
      <c r="Q36" s="427"/>
      <c r="R36" s="427"/>
      <c r="S36" s="427"/>
      <c r="T36" s="427"/>
      <c r="U36" s="4775"/>
    </row>
    <row r="37" spans="1:33" s="152" customFormat="1" ht="18.75" customHeight="1" thickBot="1">
      <c r="A37" s="318"/>
      <c r="B37" s="70"/>
      <c r="C37" s="315"/>
      <c r="D37" s="316"/>
      <c r="E37" s="316"/>
      <c r="F37" s="316"/>
      <c r="G37" s="316"/>
      <c r="H37" s="316"/>
      <c r="I37" s="315"/>
      <c r="J37" s="316"/>
      <c r="K37" s="316"/>
      <c r="L37" s="316"/>
      <c r="M37" s="316"/>
      <c r="N37" s="316"/>
      <c r="O37" s="315"/>
      <c r="P37" s="316"/>
      <c r="Q37" s="316"/>
      <c r="R37" s="316"/>
      <c r="S37" s="316"/>
      <c r="T37" s="316"/>
      <c r="U37" s="153"/>
      <c r="V37" s="153"/>
      <c r="W37" s="153"/>
      <c r="X37" s="153"/>
      <c r="Y37" s="153"/>
    </row>
    <row r="38" spans="1:33" ht="21.75" customHeight="1">
      <c r="A38" s="5239" t="s">
        <v>1</v>
      </c>
      <c r="B38" s="5242" t="s">
        <v>1753</v>
      </c>
      <c r="C38" s="5242" t="s">
        <v>209</v>
      </c>
      <c r="D38" s="5242"/>
      <c r="E38" s="5242"/>
      <c r="F38" s="5242"/>
      <c r="G38" s="5242"/>
      <c r="H38" s="5242"/>
      <c r="I38" s="5242"/>
      <c r="J38" s="5242"/>
      <c r="K38" s="5242"/>
      <c r="L38" s="5242"/>
      <c r="M38" s="5242"/>
      <c r="N38" s="5242"/>
      <c r="O38" s="5242"/>
      <c r="P38" s="5242"/>
      <c r="Q38" s="5242"/>
      <c r="R38" s="5242"/>
      <c r="S38" s="5242"/>
      <c r="T38" s="5242"/>
      <c r="U38" s="4775"/>
      <c r="V38" s="5233" t="str">
        <f>+C38</f>
        <v>Пречистване на отпадъчните води</v>
      </c>
      <c r="W38" s="5233"/>
      <c r="X38" s="5233"/>
      <c r="Y38" s="5233"/>
      <c r="Z38" s="5233"/>
      <c r="AA38" s="5233"/>
      <c r="AB38" s="5233"/>
      <c r="AC38" s="5233"/>
      <c r="AD38" s="5233"/>
      <c r="AE38" s="5233"/>
      <c r="AF38" s="5233"/>
      <c r="AG38" s="5233"/>
    </row>
    <row r="39" spans="1:33" ht="21.75" customHeight="1">
      <c r="A39" s="5240"/>
      <c r="B39" s="5243"/>
      <c r="C39" s="5245" t="s">
        <v>348</v>
      </c>
      <c r="D39" s="5245"/>
      <c r="E39" s="5245"/>
      <c r="F39" s="5245"/>
      <c r="G39" s="5245"/>
      <c r="H39" s="5245"/>
      <c r="I39" s="5245" t="s">
        <v>911</v>
      </c>
      <c r="J39" s="5245"/>
      <c r="K39" s="5245"/>
      <c r="L39" s="5245"/>
      <c r="M39" s="5245"/>
      <c r="N39" s="5245"/>
      <c r="O39" s="5245" t="s">
        <v>1765</v>
      </c>
      <c r="P39" s="5245"/>
      <c r="Q39" s="5245"/>
      <c r="R39" s="5245"/>
      <c r="S39" s="5245"/>
      <c r="T39" s="5245"/>
      <c r="U39" s="4775"/>
      <c r="V39" s="5234" t="s">
        <v>1879</v>
      </c>
      <c r="W39" s="5234"/>
      <c r="X39" s="5234"/>
      <c r="Y39" s="5234"/>
      <c r="Z39" s="5234"/>
      <c r="AA39" s="5234"/>
      <c r="AB39" s="5234" t="s">
        <v>1880</v>
      </c>
      <c r="AC39" s="5234"/>
      <c r="AD39" s="5234"/>
      <c r="AE39" s="5234"/>
      <c r="AF39" s="5234"/>
      <c r="AG39" s="5234"/>
    </row>
    <row r="40" spans="1:33" ht="21.75" customHeight="1" thickBot="1">
      <c r="A40" s="5241"/>
      <c r="B40" s="5244"/>
      <c r="C40" s="160" t="str">
        <f t="shared" ref="C40:H40" si="73">C25</f>
        <v>2024 г.</v>
      </c>
      <c r="D40" s="160" t="str">
        <f t="shared" si="73"/>
        <v>2027 г.</v>
      </c>
      <c r="E40" s="160" t="str">
        <f t="shared" si="73"/>
        <v>2028 г.</v>
      </c>
      <c r="F40" s="160" t="str">
        <f t="shared" si="73"/>
        <v>2029 г.</v>
      </c>
      <c r="G40" s="160" t="str">
        <f t="shared" si="73"/>
        <v>2030 г.</v>
      </c>
      <c r="H40" s="160" t="str">
        <f t="shared" si="73"/>
        <v>2031 г.</v>
      </c>
      <c r="I40" s="160" t="str">
        <f t="shared" ref="I40:T40" si="74">C40</f>
        <v>2024 г.</v>
      </c>
      <c r="J40" s="160" t="str">
        <f t="shared" si="74"/>
        <v>2027 г.</v>
      </c>
      <c r="K40" s="160" t="str">
        <f t="shared" si="74"/>
        <v>2028 г.</v>
      </c>
      <c r="L40" s="160" t="str">
        <f t="shared" si="74"/>
        <v>2029 г.</v>
      </c>
      <c r="M40" s="160" t="str">
        <f t="shared" si="74"/>
        <v>2030 г.</v>
      </c>
      <c r="N40" s="160" t="str">
        <f t="shared" si="74"/>
        <v>2031 г.</v>
      </c>
      <c r="O40" s="160" t="str">
        <f t="shared" si="74"/>
        <v>2024 г.</v>
      </c>
      <c r="P40" s="160" t="str">
        <f t="shared" si="74"/>
        <v>2027 г.</v>
      </c>
      <c r="Q40" s="160" t="str">
        <f t="shared" si="74"/>
        <v>2028 г.</v>
      </c>
      <c r="R40" s="160" t="str">
        <f t="shared" si="74"/>
        <v>2029 г.</v>
      </c>
      <c r="S40" s="160" t="str">
        <f t="shared" si="74"/>
        <v>2030 г.</v>
      </c>
      <c r="T40" s="160" t="str">
        <f t="shared" si="74"/>
        <v>2031 г.</v>
      </c>
      <c r="U40" s="4775"/>
      <c r="V40" s="4792" t="str">
        <f>+I40</f>
        <v>2024 г.</v>
      </c>
      <c r="W40" s="4792" t="str">
        <f t="shared" ref="W40" si="75">+J40</f>
        <v>2027 г.</v>
      </c>
      <c r="X40" s="4792" t="str">
        <f t="shared" ref="X40" si="76">+K40</f>
        <v>2028 г.</v>
      </c>
      <c r="Y40" s="4792" t="str">
        <f t="shared" ref="Y40" si="77">+L40</f>
        <v>2029 г.</v>
      </c>
      <c r="Z40" s="4792" t="str">
        <f t="shared" ref="Z40" si="78">+M40</f>
        <v>2030 г.</v>
      </c>
      <c r="AA40" s="4792" t="str">
        <f t="shared" ref="AA40" si="79">+N40</f>
        <v>2031 г.</v>
      </c>
      <c r="AB40" s="4792" t="str">
        <f t="shared" ref="AB40" si="80">+O40</f>
        <v>2024 г.</v>
      </c>
      <c r="AC40" s="4792" t="str">
        <f t="shared" ref="AC40" si="81">+P40</f>
        <v>2027 г.</v>
      </c>
      <c r="AD40" s="4792" t="str">
        <f t="shared" ref="AD40" si="82">+Q40</f>
        <v>2028 г.</v>
      </c>
      <c r="AE40" s="4792" t="str">
        <f t="shared" ref="AE40" si="83">+R40</f>
        <v>2029 г.</v>
      </c>
      <c r="AF40" s="4792" t="str">
        <f t="shared" ref="AF40" si="84">+S40</f>
        <v>2030 г.</v>
      </c>
      <c r="AG40" s="4792" t="str">
        <f t="shared" ref="AG40" si="85">+T40</f>
        <v>2031 г.</v>
      </c>
    </row>
    <row r="41" spans="1:33" ht="22.5" customHeight="1">
      <c r="A41" s="4049">
        <v>1</v>
      </c>
      <c r="B41" s="4050" t="s">
        <v>1752</v>
      </c>
      <c r="C41" s="4054"/>
      <c r="D41" s="4055"/>
      <c r="E41" s="4055"/>
      <c r="F41" s="4055"/>
      <c r="G41" s="4055"/>
      <c r="H41" s="4055"/>
      <c r="I41" s="4723">
        <f t="shared" ref="I41:N43" si="86">(C41/1000)*(O41/1000)</f>
        <v>0</v>
      </c>
      <c r="J41" s="4056">
        <f t="shared" si="86"/>
        <v>0</v>
      </c>
      <c r="K41" s="4056">
        <f t="shared" si="86"/>
        <v>0</v>
      </c>
      <c r="L41" s="4056">
        <f t="shared" si="86"/>
        <v>0</v>
      </c>
      <c r="M41" s="4056">
        <f t="shared" si="86"/>
        <v>0</v>
      </c>
      <c r="N41" s="4056">
        <f t="shared" si="86"/>
        <v>0</v>
      </c>
      <c r="O41" s="4742"/>
      <c r="P41" s="4742"/>
      <c r="Q41" s="4742"/>
      <c r="R41" s="4742"/>
      <c r="S41" s="4742"/>
      <c r="T41" s="4742"/>
      <c r="U41" s="4775"/>
      <c r="V41" s="4794">
        <f>IFERROR(I41/$C$1,0)</f>
        <v>0</v>
      </c>
      <c r="W41" s="4794">
        <f t="shared" ref="W41:W49" si="87">IFERROR(J41/$C$1,0)</f>
        <v>0</v>
      </c>
      <c r="X41" s="4794">
        <f t="shared" ref="X41:X49" si="88">IFERROR(K41/$C$1,0)</f>
        <v>0</v>
      </c>
      <c r="Y41" s="4794">
        <f t="shared" ref="Y41:Y49" si="89">IFERROR(L41/$C$1,0)</f>
        <v>0</v>
      </c>
      <c r="Z41" s="4794">
        <f t="shared" ref="Z41:Z49" si="90">IFERROR(M41/$C$1,0)</f>
        <v>0</v>
      </c>
      <c r="AA41" s="4794">
        <f t="shared" ref="AA41:AA49" si="91">IFERROR(N41/$C$1,0)</f>
        <v>0</v>
      </c>
      <c r="AB41" s="4793">
        <f t="shared" ref="AB41:AB49" si="92">IFERROR(O41/$C$1,0)</f>
        <v>0</v>
      </c>
      <c r="AC41" s="4793">
        <f t="shared" ref="AC41:AC49" si="93">IFERROR(P41/$C$1,0)</f>
        <v>0</v>
      </c>
      <c r="AD41" s="4793">
        <f t="shared" ref="AD41:AD49" si="94">IFERROR(Q41/$C$1,0)</f>
        <v>0</v>
      </c>
      <c r="AE41" s="4793">
        <f t="shared" ref="AE41:AE49" si="95">IFERROR(R41/$C$1,0)</f>
        <v>0</v>
      </c>
      <c r="AF41" s="4793">
        <f t="shared" ref="AF41:AF49" si="96">IFERROR(S41/$C$1,0)</f>
        <v>0</v>
      </c>
      <c r="AG41" s="4793">
        <f t="shared" ref="AG41:AG49" si="97">IFERROR(T41/$C$1,0)</f>
        <v>0</v>
      </c>
    </row>
    <row r="42" spans="1:33" ht="24">
      <c r="A42" s="3526">
        <v>2</v>
      </c>
      <c r="B42" s="103" t="s">
        <v>1754</v>
      </c>
      <c r="C42" s="633">
        <v>2747326</v>
      </c>
      <c r="D42" s="634">
        <v>2740000</v>
      </c>
      <c r="E42" s="633">
        <v>2700000</v>
      </c>
      <c r="F42" s="634">
        <v>2650000</v>
      </c>
      <c r="G42" s="634">
        <v>2630000</v>
      </c>
      <c r="H42" s="633">
        <v>2610000</v>
      </c>
      <c r="I42" s="2089">
        <f t="shared" si="86"/>
        <v>603.42268263999995</v>
      </c>
      <c r="J42" s="2089">
        <f t="shared" si="86"/>
        <v>646.64794600000005</v>
      </c>
      <c r="K42" s="2089">
        <f t="shared" si="86"/>
        <v>637.27829999999994</v>
      </c>
      <c r="L42" s="2089">
        <f t="shared" si="86"/>
        <v>625.47685000000001</v>
      </c>
      <c r="M42" s="2089">
        <f t="shared" si="86"/>
        <v>620.75626999999997</v>
      </c>
      <c r="N42" s="2089">
        <f t="shared" si="86"/>
        <v>616.03568999999993</v>
      </c>
      <c r="O42" s="4743">
        <v>219.64</v>
      </c>
      <c r="P42" s="4743">
        <v>236.00290000000001</v>
      </c>
      <c r="Q42" s="4743">
        <v>236.029</v>
      </c>
      <c r="R42" s="4743">
        <v>236.029</v>
      </c>
      <c r="S42" s="4743">
        <v>236.029</v>
      </c>
      <c r="T42" s="4743">
        <v>236.029</v>
      </c>
      <c r="U42" s="4775"/>
      <c r="V42" s="4794">
        <f t="shared" ref="V42:V49" si="98">IFERROR(I42/$C$1,0)</f>
        <v>308.52511856347434</v>
      </c>
      <c r="W42" s="4794">
        <f t="shared" si="87"/>
        <v>330.62584478201074</v>
      </c>
      <c r="X42" s="4794">
        <f t="shared" si="88"/>
        <v>325.83522085252804</v>
      </c>
      <c r="Y42" s="4794">
        <f t="shared" si="89"/>
        <v>319.80123528118497</v>
      </c>
      <c r="Z42" s="4794">
        <f t="shared" si="90"/>
        <v>317.38764105264772</v>
      </c>
      <c r="AA42" s="4794">
        <f t="shared" si="91"/>
        <v>314.97404682411047</v>
      </c>
      <c r="AB42" s="4793">
        <f t="shared" si="92"/>
        <v>112.30014878593742</v>
      </c>
      <c r="AC42" s="4793">
        <f t="shared" si="93"/>
        <v>120.66636670876304</v>
      </c>
      <c r="AD42" s="4793">
        <f t="shared" si="94"/>
        <v>120.67971142686226</v>
      </c>
      <c r="AE42" s="4793">
        <f t="shared" si="95"/>
        <v>120.67971142686226</v>
      </c>
      <c r="AF42" s="4793">
        <f t="shared" si="96"/>
        <v>120.67971142686226</v>
      </c>
      <c r="AG42" s="4793">
        <f t="shared" si="97"/>
        <v>120.67971142686226</v>
      </c>
    </row>
    <row r="43" spans="1:33" ht="24">
      <c r="A43" s="3526">
        <v>3</v>
      </c>
      <c r="B43" s="103" t="s">
        <v>1755</v>
      </c>
      <c r="C43" s="633"/>
      <c r="D43" s="634"/>
      <c r="E43" s="633"/>
      <c r="F43" s="634"/>
      <c r="G43" s="634"/>
      <c r="H43" s="633"/>
      <c r="I43" s="2089">
        <f t="shared" si="86"/>
        <v>0</v>
      </c>
      <c r="J43" s="2087">
        <f t="shared" si="86"/>
        <v>0</v>
      </c>
      <c r="K43" s="2089">
        <f t="shared" si="86"/>
        <v>0</v>
      </c>
      <c r="L43" s="2087">
        <f t="shared" si="86"/>
        <v>0</v>
      </c>
      <c r="M43" s="2087">
        <f t="shared" si="86"/>
        <v>0</v>
      </c>
      <c r="N43" s="2089">
        <f t="shared" si="86"/>
        <v>0</v>
      </c>
      <c r="O43" s="4743"/>
      <c r="P43" s="4743"/>
      <c r="Q43" s="4743"/>
      <c r="R43" s="4743"/>
      <c r="S43" s="4743"/>
      <c r="T43" s="4743"/>
      <c r="U43" s="4775"/>
      <c r="V43" s="4794">
        <f t="shared" si="98"/>
        <v>0</v>
      </c>
      <c r="W43" s="4794">
        <f t="shared" si="87"/>
        <v>0</v>
      </c>
      <c r="X43" s="4794">
        <f t="shared" si="88"/>
        <v>0</v>
      </c>
      <c r="Y43" s="4794">
        <f t="shared" si="89"/>
        <v>0</v>
      </c>
      <c r="Z43" s="4794">
        <f t="shared" si="90"/>
        <v>0</v>
      </c>
      <c r="AA43" s="4794">
        <f t="shared" si="91"/>
        <v>0</v>
      </c>
      <c r="AB43" s="4793">
        <f t="shared" si="92"/>
        <v>0</v>
      </c>
      <c r="AC43" s="4793">
        <f t="shared" si="93"/>
        <v>0</v>
      </c>
      <c r="AD43" s="4793">
        <f t="shared" si="94"/>
        <v>0</v>
      </c>
      <c r="AE43" s="4793">
        <f t="shared" si="95"/>
        <v>0</v>
      </c>
      <c r="AF43" s="4793">
        <f t="shared" si="96"/>
        <v>0</v>
      </c>
      <c r="AG43" s="4793">
        <f t="shared" si="97"/>
        <v>0</v>
      </c>
    </row>
    <row r="44" spans="1:33" ht="39" customHeight="1">
      <c r="A44" s="3526">
        <v>4</v>
      </c>
      <c r="B44" s="654" t="s">
        <v>1783</v>
      </c>
      <c r="C44" s="2089">
        <f>SUM(C45:C47)</f>
        <v>247790</v>
      </c>
      <c r="D44" s="2089">
        <f t="shared" ref="D44" si="99">SUM(D45:D47)</f>
        <v>240000</v>
      </c>
      <c r="E44" s="2089">
        <f t="shared" ref="E44" si="100">SUM(E45:E47)</f>
        <v>240000</v>
      </c>
      <c r="F44" s="2089">
        <f t="shared" ref="F44" si="101">SUM(F45:F47)</f>
        <v>240000</v>
      </c>
      <c r="G44" s="2089">
        <f t="shared" ref="G44" si="102">SUM(G45:G47)</f>
        <v>240000</v>
      </c>
      <c r="H44" s="2089">
        <f t="shared" ref="H44" si="103">SUM(H45:H47)</f>
        <v>240000</v>
      </c>
      <c r="I44" s="2087">
        <f t="shared" ref="I44" si="104">SUM(I45:I47)</f>
        <v>15.75424041</v>
      </c>
      <c r="J44" s="2087">
        <f t="shared" ref="J44" si="105">SUM(J45:J47)</f>
        <v>27.7608</v>
      </c>
      <c r="K44" s="2087">
        <f t="shared" ref="K44" si="106">SUM(K45:K47)</f>
        <v>27.7608</v>
      </c>
      <c r="L44" s="2087">
        <f t="shared" ref="L44" si="107">SUM(L45:L47)</f>
        <v>27.7608</v>
      </c>
      <c r="M44" s="2087">
        <f t="shared" ref="M44" si="108">SUM(M45:M47)</f>
        <v>27.7608</v>
      </c>
      <c r="N44" s="2087">
        <f t="shared" ref="N44" si="109">SUM(N45:N47)</f>
        <v>27.7608</v>
      </c>
      <c r="O44" s="310">
        <f>ROUND((IFERROR((I44*1000)/(C44/1000),0)),3)</f>
        <v>63.579000000000001</v>
      </c>
      <c r="P44" s="310">
        <f t="shared" ref="P44:T44" si="110">ROUND((IFERROR((J44*1000)/(D44/1000),0)),3)</f>
        <v>115.67</v>
      </c>
      <c r="Q44" s="310">
        <f t="shared" si="110"/>
        <v>115.67</v>
      </c>
      <c r="R44" s="310">
        <f t="shared" si="110"/>
        <v>115.67</v>
      </c>
      <c r="S44" s="310">
        <f t="shared" si="110"/>
        <v>115.67</v>
      </c>
      <c r="T44" s="310">
        <f t="shared" si="110"/>
        <v>115.67</v>
      </c>
      <c r="U44" s="4775"/>
      <c r="V44" s="4794">
        <f t="shared" si="98"/>
        <v>8.0550152160463835</v>
      </c>
      <c r="W44" s="4794">
        <f t="shared" si="87"/>
        <v>14.193871655511982</v>
      </c>
      <c r="X44" s="4794">
        <f t="shared" si="88"/>
        <v>14.193871655511982</v>
      </c>
      <c r="Y44" s="4794">
        <f t="shared" si="89"/>
        <v>14.193871655511982</v>
      </c>
      <c r="Z44" s="4794">
        <f t="shared" si="90"/>
        <v>14.193871655511982</v>
      </c>
      <c r="AA44" s="4794">
        <f t="shared" si="91"/>
        <v>14.193871655511982</v>
      </c>
      <c r="AB44" s="4793">
        <f t="shared" si="92"/>
        <v>32.507426514574377</v>
      </c>
      <c r="AC44" s="4793">
        <f t="shared" si="93"/>
        <v>59.141131897966595</v>
      </c>
      <c r="AD44" s="4793">
        <f t="shared" si="94"/>
        <v>59.141131897966595</v>
      </c>
      <c r="AE44" s="4793">
        <f t="shared" si="95"/>
        <v>59.141131897966595</v>
      </c>
      <c r="AF44" s="4793">
        <f t="shared" si="96"/>
        <v>59.141131897966595</v>
      </c>
      <c r="AG44" s="4793">
        <f t="shared" si="97"/>
        <v>59.141131897966595</v>
      </c>
    </row>
    <row r="45" spans="1:33" ht="22.5" customHeight="1">
      <c r="A45" s="3526" t="s">
        <v>566</v>
      </c>
      <c r="B45" s="4744"/>
      <c r="C45" s="633">
        <v>247790</v>
      </c>
      <c r="D45" s="634">
        <v>240000</v>
      </c>
      <c r="E45" s="633">
        <v>240000</v>
      </c>
      <c r="F45" s="634">
        <v>240000</v>
      </c>
      <c r="G45" s="634">
        <v>240000</v>
      </c>
      <c r="H45" s="633">
        <v>240000</v>
      </c>
      <c r="I45" s="2087">
        <f t="shared" ref="I45:N47" si="111">(C45/1000)*(O45/1000)</f>
        <v>15.75424041</v>
      </c>
      <c r="J45" s="2087">
        <f t="shared" si="111"/>
        <v>27.7608</v>
      </c>
      <c r="K45" s="2089">
        <f t="shared" si="111"/>
        <v>27.7608</v>
      </c>
      <c r="L45" s="2087">
        <f t="shared" si="111"/>
        <v>27.7608</v>
      </c>
      <c r="M45" s="2087">
        <f t="shared" si="111"/>
        <v>27.7608</v>
      </c>
      <c r="N45" s="2089">
        <f t="shared" si="111"/>
        <v>27.7608</v>
      </c>
      <c r="O45" s="4743">
        <v>63.579000000000001</v>
      </c>
      <c r="P45" s="4743">
        <v>115.67</v>
      </c>
      <c r="Q45" s="4743">
        <v>115.67</v>
      </c>
      <c r="R45" s="4743">
        <v>115.67</v>
      </c>
      <c r="S45" s="4743">
        <v>115.67</v>
      </c>
      <c r="T45" s="4743">
        <v>115.67</v>
      </c>
      <c r="U45" s="4775"/>
      <c r="V45" s="4794">
        <f t="shared" si="98"/>
        <v>8.0550152160463835</v>
      </c>
      <c r="W45" s="4794">
        <f t="shared" si="87"/>
        <v>14.193871655511982</v>
      </c>
      <c r="X45" s="4794">
        <f t="shared" si="88"/>
        <v>14.193871655511982</v>
      </c>
      <c r="Y45" s="4794">
        <f t="shared" si="89"/>
        <v>14.193871655511982</v>
      </c>
      <c r="Z45" s="4794">
        <f t="shared" si="90"/>
        <v>14.193871655511982</v>
      </c>
      <c r="AA45" s="4794">
        <f t="shared" si="91"/>
        <v>14.193871655511982</v>
      </c>
      <c r="AB45" s="4793">
        <f t="shared" si="92"/>
        <v>32.507426514574377</v>
      </c>
      <c r="AC45" s="4793">
        <f t="shared" si="93"/>
        <v>59.141131897966595</v>
      </c>
      <c r="AD45" s="4793">
        <f t="shared" si="94"/>
        <v>59.141131897966595</v>
      </c>
      <c r="AE45" s="4793">
        <f t="shared" si="95"/>
        <v>59.141131897966595</v>
      </c>
      <c r="AF45" s="4793">
        <f t="shared" si="96"/>
        <v>59.141131897966595</v>
      </c>
      <c r="AG45" s="4793">
        <f t="shared" si="97"/>
        <v>59.141131897966595</v>
      </c>
    </row>
    <row r="46" spans="1:33" ht="22.5" customHeight="1">
      <c r="A46" s="3526" t="s">
        <v>567</v>
      </c>
      <c r="B46" s="4744"/>
      <c r="C46" s="633"/>
      <c r="D46" s="634"/>
      <c r="E46" s="633"/>
      <c r="F46" s="634"/>
      <c r="G46" s="634"/>
      <c r="H46" s="633"/>
      <c r="I46" s="2087">
        <f t="shared" si="111"/>
        <v>0</v>
      </c>
      <c r="J46" s="2087">
        <f t="shared" si="111"/>
        <v>0</v>
      </c>
      <c r="K46" s="2089">
        <f t="shared" si="111"/>
        <v>0</v>
      </c>
      <c r="L46" s="2087">
        <f t="shared" si="111"/>
        <v>0</v>
      </c>
      <c r="M46" s="2087">
        <f t="shared" si="111"/>
        <v>0</v>
      </c>
      <c r="N46" s="2089">
        <f t="shared" si="111"/>
        <v>0</v>
      </c>
      <c r="O46" s="4743"/>
      <c r="P46" s="4743"/>
      <c r="Q46" s="4743"/>
      <c r="R46" s="4743"/>
      <c r="S46" s="4743"/>
      <c r="T46" s="4743"/>
      <c r="U46" s="4775"/>
      <c r="V46" s="4794">
        <f t="shared" si="98"/>
        <v>0</v>
      </c>
      <c r="W46" s="4794">
        <f t="shared" si="87"/>
        <v>0</v>
      </c>
      <c r="X46" s="4794">
        <f t="shared" si="88"/>
        <v>0</v>
      </c>
      <c r="Y46" s="4794">
        <f t="shared" si="89"/>
        <v>0</v>
      </c>
      <c r="Z46" s="4794">
        <f t="shared" si="90"/>
        <v>0</v>
      </c>
      <c r="AA46" s="4794">
        <f t="shared" si="91"/>
        <v>0</v>
      </c>
      <c r="AB46" s="4793">
        <f t="shared" si="92"/>
        <v>0</v>
      </c>
      <c r="AC46" s="4793">
        <f t="shared" si="93"/>
        <v>0</v>
      </c>
      <c r="AD46" s="4793">
        <f t="shared" si="94"/>
        <v>0</v>
      </c>
      <c r="AE46" s="4793">
        <f t="shared" si="95"/>
        <v>0</v>
      </c>
      <c r="AF46" s="4793">
        <f t="shared" si="96"/>
        <v>0</v>
      </c>
      <c r="AG46" s="4793">
        <f t="shared" si="97"/>
        <v>0</v>
      </c>
    </row>
    <row r="47" spans="1:33" ht="22.5" customHeight="1">
      <c r="A47" s="3526" t="s">
        <v>1078</v>
      </c>
      <c r="B47" s="4744"/>
      <c r="C47" s="633"/>
      <c r="D47" s="634"/>
      <c r="E47" s="633"/>
      <c r="F47" s="634"/>
      <c r="G47" s="634"/>
      <c r="H47" s="633"/>
      <c r="I47" s="2087">
        <f t="shared" si="111"/>
        <v>0</v>
      </c>
      <c r="J47" s="2087">
        <f t="shared" si="111"/>
        <v>0</v>
      </c>
      <c r="K47" s="2089">
        <f t="shared" si="111"/>
        <v>0</v>
      </c>
      <c r="L47" s="2087">
        <f t="shared" si="111"/>
        <v>0</v>
      </c>
      <c r="M47" s="2087">
        <f t="shared" si="111"/>
        <v>0</v>
      </c>
      <c r="N47" s="2089">
        <f t="shared" si="111"/>
        <v>0</v>
      </c>
      <c r="O47" s="4743"/>
      <c r="P47" s="4743"/>
      <c r="Q47" s="4743"/>
      <c r="R47" s="4743"/>
      <c r="S47" s="4743"/>
      <c r="T47" s="4743"/>
      <c r="U47" s="4775"/>
      <c r="V47" s="4794">
        <f t="shared" si="98"/>
        <v>0</v>
      </c>
      <c r="W47" s="4794">
        <f t="shared" si="87"/>
        <v>0</v>
      </c>
      <c r="X47" s="4794">
        <f t="shared" si="88"/>
        <v>0</v>
      </c>
      <c r="Y47" s="4794">
        <f t="shared" si="89"/>
        <v>0</v>
      </c>
      <c r="Z47" s="4794">
        <f t="shared" si="90"/>
        <v>0</v>
      </c>
      <c r="AA47" s="4794">
        <f t="shared" si="91"/>
        <v>0</v>
      </c>
      <c r="AB47" s="4793">
        <f t="shared" si="92"/>
        <v>0</v>
      </c>
      <c r="AC47" s="4793">
        <f t="shared" si="93"/>
        <v>0</v>
      </c>
      <c r="AD47" s="4793">
        <f t="shared" si="94"/>
        <v>0</v>
      </c>
      <c r="AE47" s="4793">
        <f t="shared" si="95"/>
        <v>0</v>
      </c>
      <c r="AF47" s="4793">
        <f t="shared" si="96"/>
        <v>0</v>
      </c>
      <c r="AG47" s="4793">
        <f t="shared" si="97"/>
        <v>0</v>
      </c>
    </row>
    <row r="48" spans="1:33" ht="22.5" hidden="1" customHeight="1">
      <c r="A48" s="5248"/>
      <c r="B48" s="5249"/>
      <c r="C48" s="5249"/>
      <c r="D48" s="5249"/>
      <c r="E48" s="5249"/>
      <c r="F48" s="5249"/>
      <c r="G48" s="5249"/>
      <c r="H48" s="5249"/>
      <c r="I48" s="5249"/>
      <c r="J48" s="5249"/>
      <c r="K48" s="5249"/>
      <c r="L48" s="5249"/>
      <c r="M48" s="5249"/>
      <c r="N48" s="5249"/>
      <c r="O48" s="5249"/>
      <c r="P48" s="5249"/>
      <c r="Q48" s="5249"/>
      <c r="R48" s="5249"/>
      <c r="S48" s="5249"/>
      <c r="T48" s="5250"/>
      <c r="U48" s="4775"/>
      <c r="V48" s="4794">
        <f t="shared" si="98"/>
        <v>0</v>
      </c>
      <c r="W48" s="4794">
        <f t="shared" si="87"/>
        <v>0</v>
      </c>
      <c r="X48" s="4794">
        <f t="shared" si="88"/>
        <v>0</v>
      </c>
      <c r="Y48" s="4794">
        <f t="shared" si="89"/>
        <v>0</v>
      </c>
      <c r="Z48" s="4794">
        <f t="shared" si="90"/>
        <v>0</v>
      </c>
      <c r="AA48" s="4794">
        <f t="shared" si="91"/>
        <v>0</v>
      </c>
      <c r="AB48" s="4793">
        <f t="shared" si="92"/>
        <v>0</v>
      </c>
      <c r="AC48" s="4793">
        <f t="shared" si="93"/>
        <v>0</v>
      </c>
      <c r="AD48" s="4793">
        <f t="shared" si="94"/>
        <v>0</v>
      </c>
      <c r="AE48" s="4793">
        <f t="shared" si="95"/>
        <v>0</v>
      </c>
      <c r="AF48" s="4793">
        <f t="shared" si="96"/>
        <v>0</v>
      </c>
      <c r="AG48" s="4793">
        <f t="shared" si="97"/>
        <v>0</v>
      </c>
    </row>
    <row r="49" spans="1:33" ht="24.75" customHeight="1">
      <c r="A49" s="4035">
        <v>5</v>
      </c>
      <c r="B49" s="319" t="s">
        <v>1756</v>
      </c>
      <c r="C49" s="635">
        <f>C41+C42+C43+C44</f>
        <v>2995116</v>
      </c>
      <c r="D49" s="635">
        <f t="shared" ref="D49:H49" si="112">D41+D42+D43+D44</f>
        <v>2980000</v>
      </c>
      <c r="E49" s="635">
        <f t="shared" si="112"/>
        <v>2940000</v>
      </c>
      <c r="F49" s="635">
        <f t="shared" si="112"/>
        <v>2890000</v>
      </c>
      <c r="G49" s="635">
        <f t="shared" si="112"/>
        <v>2870000</v>
      </c>
      <c r="H49" s="635">
        <f t="shared" si="112"/>
        <v>2850000</v>
      </c>
      <c r="I49" s="635">
        <f>I41+I42+I43+I44</f>
        <v>619.17692304999991</v>
      </c>
      <c r="J49" s="635">
        <f t="shared" ref="J49:N49" si="113">J41+J42+J43+J44</f>
        <v>674.40874600000006</v>
      </c>
      <c r="K49" s="635">
        <f t="shared" si="113"/>
        <v>665.03909999999996</v>
      </c>
      <c r="L49" s="635">
        <f t="shared" si="113"/>
        <v>653.23765000000003</v>
      </c>
      <c r="M49" s="635">
        <f t="shared" si="113"/>
        <v>648.51706999999999</v>
      </c>
      <c r="N49" s="635">
        <f t="shared" si="113"/>
        <v>643.79648999999995</v>
      </c>
      <c r="O49" s="311">
        <f t="shared" ref="O49:T49" si="114">IFERROR((I49*1000)/(C49/1000),0)</f>
        <v>206.72886227111067</v>
      </c>
      <c r="P49" s="311">
        <f t="shared" si="114"/>
        <v>226.31165973154364</v>
      </c>
      <c r="Q49" s="311">
        <f t="shared" si="114"/>
        <v>226.20377551020408</v>
      </c>
      <c r="R49" s="311">
        <f t="shared" si="114"/>
        <v>226.03378892733565</v>
      </c>
      <c r="S49" s="311">
        <f t="shared" si="114"/>
        <v>225.96413588850172</v>
      </c>
      <c r="T49" s="311">
        <f t="shared" si="114"/>
        <v>225.89350526315789</v>
      </c>
      <c r="U49" s="4775"/>
      <c r="V49" s="4794">
        <f t="shared" si="98"/>
        <v>316.58013377952068</v>
      </c>
      <c r="W49" s="4794">
        <f t="shared" si="87"/>
        <v>344.81971643752274</v>
      </c>
      <c r="X49" s="4794">
        <f t="shared" si="88"/>
        <v>340.02909250804004</v>
      </c>
      <c r="Y49" s="4794">
        <f t="shared" si="89"/>
        <v>333.99510693669697</v>
      </c>
      <c r="Z49" s="4794">
        <f t="shared" si="90"/>
        <v>331.58151270815972</v>
      </c>
      <c r="AA49" s="4794">
        <f t="shared" si="91"/>
        <v>329.16791847962241</v>
      </c>
      <c r="AB49" s="4793">
        <f t="shared" si="92"/>
        <v>105.69878888815013</v>
      </c>
      <c r="AC49" s="4793">
        <f t="shared" si="93"/>
        <v>115.71131424077944</v>
      </c>
      <c r="AD49" s="4793">
        <f t="shared" si="94"/>
        <v>115.65615391429934</v>
      </c>
      <c r="AE49" s="4793">
        <f t="shared" si="95"/>
        <v>115.56924115456643</v>
      </c>
      <c r="AF49" s="4793">
        <f t="shared" si="96"/>
        <v>115.53362812130999</v>
      </c>
      <c r="AG49" s="4793">
        <f t="shared" si="97"/>
        <v>115.49751525600789</v>
      </c>
    </row>
    <row r="50" spans="1:33" ht="21.75" customHeight="1">
      <c r="A50" s="4036">
        <v>6</v>
      </c>
      <c r="B50" s="103" t="s">
        <v>350</v>
      </c>
      <c r="C50" s="636"/>
      <c r="D50" s="637">
        <f>D49-C49</f>
        <v>-15116</v>
      </c>
      <c r="E50" s="637">
        <f>E49-D49</f>
        <v>-40000</v>
      </c>
      <c r="F50" s="637">
        <f t="shared" ref="F50:H50" si="115">F49-E49</f>
        <v>-50000</v>
      </c>
      <c r="G50" s="637">
        <f t="shared" si="115"/>
        <v>-20000</v>
      </c>
      <c r="H50" s="637">
        <f t="shared" si="115"/>
        <v>-20000</v>
      </c>
      <c r="I50" s="636"/>
      <c r="J50" s="637">
        <f t="shared" ref="J50:N50" si="116">J49-I49</f>
        <v>55.231822950000151</v>
      </c>
      <c r="K50" s="637">
        <f t="shared" si="116"/>
        <v>-9.3696460000001025</v>
      </c>
      <c r="L50" s="637">
        <f t="shared" si="116"/>
        <v>-11.801449999999932</v>
      </c>
      <c r="M50" s="637">
        <f t="shared" si="116"/>
        <v>-4.7205800000000409</v>
      </c>
      <c r="N50" s="637">
        <f t="shared" si="116"/>
        <v>-4.7205800000000409</v>
      </c>
      <c r="O50" s="312"/>
      <c r="P50" s="313">
        <f t="shared" ref="P50:T50" si="117">P49-O49</f>
        <v>19.582797460432971</v>
      </c>
      <c r="Q50" s="313">
        <f t="shared" si="117"/>
        <v>-0.10788422133956033</v>
      </c>
      <c r="R50" s="313">
        <f t="shared" si="117"/>
        <v>-0.16998658286843238</v>
      </c>
      <c r="S50" s="313">
        <f t="shared" si="117"/>
        <v>-6.9653038833934033E-2</v>
      </c>
      <c r="T50" s="313">
        <f t="shared" si="117"/>
        <v>-7.0630625343824249E-2</v>
      </c>
      <c r="U50" s="4775"/>
      <c r="V50" s="4878"/>
      <c r="W50" s="4817">
        <f>W49-V49</f>
        <v>28.239582658002064</v>
      </c>
      <c r="X50" s="4817">
        <f t="shared" ref="X50" si="118">X49-W49</f>
        <v>-4.790623929482706</v>
      </c>
      <c r="Y50" s="4817">
        <f t="shared" ref="Y50" si="119">Y49-X49</f>
        <v>-6.0339855713430666</v>
      </c>
      <c r="Z50" s="4817">
        <f t="shared" ref="Z50" si="120">Z49-Y49</f>
        <v>-2.4135942285372494</v>
      </c>
      <c r="AA50" s="4817">
        <f t="shared" ref="AA50" si="121">AA49-Z49</f>
        <v>-2.4135942285373062</v>
      </c>
      <c r="AB50" s="4878"/>
      <c r="AC50" s="4817">
        <f>AC49-AB49</f>
        <v>10.012525352629311</v>
      </c>
      <c r="AD50" s="4817">
        <f t="shared" ref="AD50" si="122">AD49-AC49</f>
        <v>-5.5160326480105937E-2</v>
      </c>
      <c r="AE50" s="4817">
        <f t="shared" ref="AE50" si="123">AE49-AD49</f>
        <v>-8.6912759732911127E-2</v>
      </c>
      <c r="AF50" s="4817">
        <f t="shared" ref="AF50" si="124">AF49-AE49</f>
        <v>-3.5613033256439053E-2</v>
      </c>
      <c r="AG50" s="4817">
        <f t="shared" ref="AG50" si="125">AG49-AF49</f>
        <v>-3.6112865302101227E-2</v>
      </c>
    </row>
    <row r="51" spans="1:33" ht="25.5">
      <c r="A51" s="4038">
        <v>7</v>
      </c>
      <c r="B51" s="317" t="s">
        <v>1747</v>
      </c>
      <c r="C51" s="314">
        <f>IFERROR(C49/'2. Променливи'!E66,0)</f>
        <v>0.25810675898976015</v>
      </c>
      <c r="D51" s="314">
        <f>IFERROR(D49/'2. Променливи'!F66,0)</f>
        <v>0.25689655172413794</v>
      </c>
      <c r="E51" s="314">
        <f>IFERROR(E49/'2. Променливи'!G66,0)</f>
        <v>0.25344827586206897</v>
      </c>
      <c r="F51" s="314">
        <f>IFERROR(F49/'2. Променливи'!H66,0)</f>
        <v>0.24913793103448276</v>
      </c>
      <c r="G51" s="314">
        <f>IFERROR(G49/'2. Променливи'!I66,0)</f>
        <v>0.24741379310344827</v>
      </c>
      <c r="H51" s="314">
        <f>IFERROR(H49/'2. Променливи'!J66,0)</f>
        <v>0.24568965517241378</v>
      </c>
      <c r="I51" s="312"/>
      <c r="J51" s="312"/>
      <c r="K51" s="312"/>
      <c r="L51" s="312"/>
      <c r="M51" s="312"/>
      <c r="N51" s="312"/>
      <c r="O51" s="312"/>
      <c r="P51" s="312"/>
      <c r="Q51" s="312"/>
      <c r="R51" s="312"/>
      <c r="S51" s="312"/>
      <c r="T51" s="312"/>
      <c r="U51" s="4775"/>
    </row>
    <row r="52" spans="1:33" ht="26.25" thickBot="1">
      <c r="A52" s="4039">
        <v>8</v>
      </c>
      <c r="B52" s="4040" t="s">
        <v>1746</v>
      </c>
      <c r="C52" s="4041">
        <f>IFERROR(C49/'4. Отчет и прогн. потребление'!D53,0)</f>
        <v>0.5599001752541185</v>
      </c>
      <c r="D52" s="4041">
        <f>IFERROR(D49/'4. Отчет и прогн. потребление'!E53,0)</f>
        <v>0.55816378848114778</v>
      </c>
      <c r="E52" s="4041">
        <f>IFERROR(E49/'4. Отчет и прогн. потребление'!F53,0)</f>
        <v>0.567276246360923</v>
      </c>
      <c r="F52" s="4041">
        <f>IFERROR(F49/'4. Отчет и прогн. потребление'!G53,0)</f>
        <v>0.57447510358143372</v>
      </c>
      <c r="G52" s="4041">
        <f>IFERROR(G49/'4. Отчет и прогн. потребление'!H53,0)</f>
        <v>0.58687442002921109</v>
      </c>
      <c r="H52" s="4041">
        <f>IFERROR(H49/'4. Отчет и прогн. потребление'!I53,0)</f>
        <v>0.79847803659636363</v>
      </c>
      <c r="I52" s="427"/>
      <c r="J52" s="427"/>
      <c r="K52" s="427"/>
      <c r="L52" s="427"/>
      <c r="M52" s="427"/>
      <c r="N52" s="427"/>
      <c r="O52" s="427"/>
      <c r="P52" s="427"/>
      <c r="Q52" s="427"/>
      <c r="R52" s="427"/>
      <c r="S52" s="427"/>
      <c r="T52" s="427"/>
      <c r="U52" s="4775"/>
    </row>
    <row r="53" spans="1:33" s="152" customFormat="1" ht="19.5" customHeight="1" thickBot="1">
      <c r="A53" s="318"/>
      <c r="B53" s="70"/>
      <c r="C53" s="315"/>
      <c r="D53" s="316"/>
      <c r="E53" s="316"/>
      <c r="F53" s="316"/>
      <c r="G53" s="316"/>
      <c r="H53" s="316"/>
      <c r="I53" s="315"/>
      <c r="J53" s="316"/>
      <c r="K53" s="316"/>
      <c r="L53" s="316"/>
      <c r="M53" s="316"/>
      <c r="N53" s="316"/>
      <c r="O53" s="315"/>
      <c r="P53" s="316"/>
      <c r="Q53" s="316"/>
      <c r="R53" s="316"/>
      <c r="S53" s="316"/>
      <c r="T53" s="316"/>
      <c r="U53" s="153"/>
      <c r="V53" s="153"/>
      <c r="W53" s="153"/>
      <c r="X53" s="153"/>
      <c r="Y53" s="153"/>
    </row>
    <row r="54" spans="1:33" s="152" customFormat="1" ht="23.25" customHeight="1">
      <c r="A54" s="5239" t="s">
        <v>1</v>
      </c>
      <c r="B54" s="5242" t="s">
        <v>1753</v>
      </c>
      <c r="C54" s="5242" t="s">
        <v>1029</v>
      </c>
      <c r="D54" s="5242"/>
      <c r="E54" s="5242"/>
      <c r="F54" s="5242"/>
      <c r="G54" s="5242"/>
      <c r="H54" s="5242"/>
      <c r="I54" s="5242"/>
      <c r="J54" s="5242"/>
      <c r="K54" s="5242"/>
      <c r="L54" s="5242"/>
      <c r="M54" s="5242"/>
      <c r="N54" s="5242"/>
      <c r="O54" s="5242"/>
      <c r="P54" s="5242"/>
      <c r="Q54" s="5242"/>
      <c r="R54" s="5242"/>
      <c r="S54" s="5242"/>
      <c r="T54" s="5242"/>
      <c r="U54" s="4775"/>
      <c r="V54" s="5233" t="str">
        <f>+C54</f>
        <v>Доставяне на вода с непитейни качества</v>
      </c>
      <c r="W54" s="5233"/>
      <c r="X54" s="5233"/>
      <c r="Y54" s="5233"/>
      <c r="Z54" s="5233"/>
      <c r="AA54" s="5233"/>
      <c r="AB54" s="5233"/>
      <c r="AC54" s="5233"/>
      <c r="AD54" s="5233"/>
      <c r="AE54" s="5233"/>
      <c r="AF54" s="5233"/>
      <c r="AG54" s="5233"/>
    </row>
    <row r="55" spans="1:33" s="152" customFormat="1" ht="23.25" customHeight="1">
      <c r="A55" s="5240"/>
      <c r="B55" s="5243"/>
      <c r="C55" s="5245" t="s">
        <v>348</v>
      </c>
      <c r="D55" s="5245"/>
      <c r="E55" s="5245"/>
      <c r="F55" s="5245"/>
      <c r="G55" s="5245"/>
      <c r="H55" s="5245"/>
      <c r="I55" s="5245" t="s">
        <v>911</v>
      </c>
      <c r="J55" s="5245"/>
      <c r="K55" s="5245"/>
      <c r="L55" s="5245"/>
      <c r="M55" s="5245"/>
      <c r="N55" s="5245"/>
      <c r="O55" s="5262" t="s">
        <v>1765</v>
      </c>
      <c r="P55" s="5263"/>
      <c r="Q55" s="5263"/>
      <c r="R55" s="5263"/>
      <c r="S55" s="5263"/>
      <c r="T55" s="5263"/>
      <c r="U55" s="4775"/>
      <c r="V55" s="5234" t="s">
        <v>1879</v>
      </c>
      <c r="W55" s="5234"/>
      <c r="X55" s="5234"/>
      <c r="Y55" s="5234"/>
      <c r="Z55" s="5234"/>
      <c r="AA55" s="5234"/>
      <c r="AB55" s="5234" t="s">
        <v>1880</v>
      </c>
      <c r="AC55" s="5234"/>
      <c r="AD55" s="5234"/>
      <c r="AE55" s="5234"/>
      <c r="AF55" s="5234"/>
      <c r="AG55" s="5234"/>
    </row>
    <row r="56" spans="1:33" s="152" customFormat="1" ht="23.25" customHeight="1" thickBot="1">
      <c r="A56" s="5241"/>
      <c r="B56" s="5244"/>
      <c r="C56" s="160" t="str">
        <f>'Приложение '!C12</f>
        <v>2024 г.</v>
      </c>
      <c r="D56" s="160" t="str">
        <f>'Приложение '!$C14</f>
        <v>2027 г.</v>
      </c>
      <c r="E56" s="160" t="str">
        <f>'Приложение '!$C15</f>
        <v>2028 г.</v>
      </c>
      <c r="F56" s="160" t="str">
        <f>'Приложение '!$C16</f>
        <v>2029 г.</v>
      </c>
      <c r="G56" s="160" t="str">
        <f>'Приложение '!$C17</f>
        <v>2030 г.</v>
      </c>
      <c r="H56" s="160" t="str">
        <f>'Приложение '!$C18</f>
        <v>2031 г.</v>
      </c>
      <c r="I56" s="160" t="str">
        <f t="shared" ref="I56:T56" si="126">C56</f>
        <v>2024 г.</v>
      </c>
      <c r="J56" s="160" t="str">
        <f t="shared" si="126"/>
        <v>2027 г.</v>
      </c>
      <c r="K56" s="160" t="str">
        <f t="shared" si="126"/>
        <v>2028 г.</v>
      </c>
      <c r="L56" s="160" t="str">
        <f t="shared" si="126"/>
        <v>2029 г.</v>
      </c>
      <c r="M56" s="160" t="str">
        <f t="shared" si="126"/>
        <v>2030 г.</v>
      </c>
      <c r="N56" s="160" t="str">
        <f t="shared" si="126"/>
        <v>2031 г.</v>
      </c>
      <c r="O56" s="160" t="str">
        <f t="shared" si="126"/>
        <v>2024 г.</v>
      </c>
      <c r="P56" s="160" t="str">
        <f t="shared" si="126"/>
        <v>2027 г.</v>
      </c>
      <c r="Q56" s="160" t="str">
        <f t="shared" si="126"/>
        <v>2028 г.</v>
      </c>
      <c r="R56" s="160" t="str">
        <f t="shared" si="126"/>
        <v>2029 г.</v>
      </c>
      <c r="S56" s="160" t="str">
        <f t="shared" si="126"/>
        <v>2030 г.</v>
      </c>
      <c r="T56" s="160" t="str">
        <f t="shared" si="126"/>
        <v>2031 г.</v>
      </c>
      <c r="U56" s="4775"/>
      <c r="V56" s="4792" t="str">
        <f>+I56</f>
        <v>2024 г.</v>
      </c>
      <c r="W56" s="4792" t="str">
        <f t="shared" ref="W56" si="127">+J56</f>
        <v>2027 г.</v>
      </c>
      <c r="X56" s="4792" t="str">
        <f t="shared" ref="X56" si="128">+K56</f>
        <v>2028 г.</v>
      </c>
      <c r="Y56" s="4792" t="str">
        <f t="shared" ref="Y56" si="129">+L56</f>
        <v>2029 г.</v>
      </c>
      <c r="Z56" s="4792" t="str">
        <f t="shared" ref="Z56" si="130">+M56</f>
        <v>2030 г.</v>
      </c>
      <c r="AA56" s="4792" t="str">
        <f t="shared" ref="AA56" si="131">+N56</f>
        <v>2031 г.</v>
      </c>
      <c r="AB56" s="4792" t="str">
        <f t="shared" ref="AB56" si="132">+O56</f>
        <v>2024 г.</v>
      </c>
      <c r="AC56" s="4792" t="str">
        <f t="shared" ref="AC56" si="133">+P56</f>
        <v>2027 г.</v>
      </c>
      <c r="AD56" s="4792" t="str">
        <f t="shared" ref="AD56" si="134">+Q56</f>
        <v>2028 г.</v>
      </c>
      <c r="AE56" s="4792" t="str">
        <f t="shared" ref="AE56" si="135">+R56</f>
        <v>2029 г.</v>
      </c>
      <c r="AF56" s="4792" t="str">
        <f t="shared" ref="AF56" si="136">+S56</f>
        <v>2030 г.</v>
      </c>
      <c r="AG56" s="4792" t="str">
        <f t="shared" ref="AG56" si="137">+T56</f>
        <v>2031 г.</v>
      </c>
    </row>
    <row r="57" spans="1:33" s="152" customFormat="1" ht="23.25" customHeight="1">
      <c r="A57" s="4049">
        <v>1</v>
      </c>
      <c r="B57" s="4050" t="s">
        <v>1752</v>
      </c>
      <c r="C57" s="4054"/>
      <c r="D57" s="4055"/>
      <c r="E57" s="4055"/>
      <c r="F57" s="4055"/>
      <c r="G57" s="4055"/>
      <c r="H57" s="4055"/>
      <c r="I57" s="4723">
        <f t="shared" ref="I57:N59" si="138">(C57/1000)*(O57/1000)</f>
        <v>0</v>
      </c>
      <c r="J57" s="4056">
        <f t="shared" si="138"/>
        <v>0</v>
      </c>
      <c r="K57" s="4056">
        <f t="shared" si="138"/>
        <v>0</v>
      </c>
      <c r="L57" s="4056">
        <f t="shared" si="138"/>
        <v>0</v>
      </c>
      <c r="M57" s="4056">
        <f t="shared" si="138"/>
        <v>0</v>
      </c>
      <c r="N57" s="4056">
        <f t="shared" si="138"/>
        <v>0</v>
      </c>
      <c r="O57" s="4742"/>
      <c r="P57" s="4742"/>
      <c r="Q57" s="4742"/>
      <c r="R57" s="4742"/>
      <c r="S57" s="4742"/>
      <c r="T57" s="4742"/>
      <c r="U57" s="4775"/>
      <c r="V57" s="4794">
        <f>IFERROR(I57/$C$1,0)</f>
        <v>0</v>
      </c>
      <c r="W57" s="4794">
        <f t="shared" ref="W57:W65" si="139">IFERROR(J57/$C$1,0)</f>
        <v>0</v>
      </c>
      <c r="X57" s="4794">
        <f t="shared" ref="X57:X65" si="140">IFERROR(K57/$C$1,0)</f>
        <v>0</v>
      </c>
      <c r="Y57" s="4794">
        <f t="shared" ref="Y57:Y65" si="141">IFERROR(L57/$C$1,0)</f>
        <v>0</v>
      </c>
      <c r="Z57" s="4794">
        <f t="shared" ref="Z57:Z65" si="142">IFERROR(M57/$C$1,0)</f>
        <v>0</v>
      </c>
      <c r="AA57" s="4794">
        <f t="shared" ref="AA57:AA65" si="143">IFERROR(N57/$C$1,0)</f>
        <v>0</v>
      </c>
      <c r="AB57" s="4793">
        <f t="shared" ref="AB57:AB65" si="144">IFERROR(O57/$C$1,0)</f>
        <v>0</v>
      </c>
      <c r="AC57" s="4793">
        <f t="shared" ref="AC57:AC65" si="145">IFERROR(P57/$C$1,0)</f>
        <v>0</v>
      </c>
      <c r="AD57" s="4793">
        <f t="shared" ref="AD57:AD65" si="146">IFERROR(Q57/$C$1,0)</f>
        <v>0</v>
      </c>
      <c r="AE57" s="4793">
        <f t="shared" ref="AE57:AE65" si="147">IFERROR(R57/$C$1,0)</f>
        <v>0</v>
      </c>
      <c r="AF57" s="4793">
        <f t="shared" ref="AF57:AF65" si="148">IFERROR(S57/$C$1,0)</f>
        <v>0</v>
      </c>
      <c r="AG57" s="4793">
        <f t="shared" ref="AG57:AG65" si="149">IFERROR(T57/$C$1,0)</f>
        <v>0</v>
      </c>
    </row>
    <row r="58" spans="1:33" s="152" customFormat="1" ht="23.25" customHeight="1">
      <c r="A58" s="3526">
        <v>2</v>
      </c>
      <c r="B58" s="103" t="s">
        <v>1754</v>
      </c>
      <c r="C58" s="633"/>
      <c r="D58" s="634"/>
      <c r="E58" s="633"/>
      <c r="F58" s="634"/>
      <c r="G58" s="634"/>
      <c r="H58" s="633"/>
      <c r="I58" s="2089">
        <f t="shared" si="138"/>
        <v>0</v>
      </c>
      <c r="J58" s="2089">
        <f t="shared" si="138"/>
        <v>0</v>
      </c>
      <c r="K58" s="2089">
        <f t="shared" si="138"/>
        <v>0</v>
      </c>
      <c r="L58" s="2089">
        <f t="shared" si="138"/>
        <v>0</v>
      </c>
      <c r="M58" s="2089">
        <f t="shared" si="138"/>
        <v>0</v>
      </c>
      <c r="N58" s="2089">
        <f t="shared" si="138"/>
        <v>0</v>
      </c>
      <c r="O58" s="4743"/>
      <c r="P58" s="4743"/>
      <c r="Q58" s="4743"/>
      <c r="R58" s="4743"/>
      <c r="S58" s="4743"/>
      <c r="T58" s="4743"/>
      <c r="U58" s="4775"/>
      <c r="V58" s="4794">
        <f t="shared" ref="V58:V65" si="150">IFERROR(I58/$C$1,0)</f>
        <v>0</v>
      </c>
      <c r="W58" s="4794">
        <f t="shared" si="139"/>
        <v>0</v>
      </c>
      <c r="X58" s="4794">
        <f t="shared" si="140"/>
        <v>0</v>
      </c>
      <c r="Y58" s="4794">
        <f t="shared" si="141"/>
        <v>0</v>
      </c>
      <c r="Z58" s="4794">
        <f t="shared" si="142"/>
        <v>0</v>
      </c>
      <c r="AA58" s="4794">
        <f t="shared" si="143"/>
        <v>0</v>
      </c>
      <c r="AB58" s="4793">
        <f t="shared" si="144"/>
        <v>0</v>
      </c>
      <c r="AC58" s="4793">
        <f t="shared" si="145"/>
        <v>0</v>
      </c>
      <c r="AD58" s="4793">
        <f t="shared" si="146"/>
        <v>0</v>
      </c>
      <c r="AE58" s="4793">
        <f t="shared" si="147"/>
        <v>0</v>
      </c>
      <c r="AF58" s="4793">
        <f t="shared" si="148"/>
        <v>0</v>
      </c>
      <c r="AG58" s="4793">
        <f t="shared" si="149"/>
        <v>0</v>
      </c>
    </row>
    <row r="59" spans="1:33" s="152" customFormat="1" ht="23.25" customHeight="1">
      <c r="A59" s="3526">
        <v>3</v>
      </c>
      <c r="B59" s="103" t="s">
        <v>1755</v>
      </c>
      <c r="C59" s="633"/>
      <c r="D59" s="634"/>
      <c r="E59" s="633"/>
      <c r="F59" s="634"/>
      <c r="G59" s="634"/>
      <c r="H59" s="633"/>
      <c r="I59" s="2089">
        <f t="shared" si="138"/>
        <v>0</v>
      </c>
      <c r="J59" s="2087">
        <f t="shared" si="138"/>
        <v>0</v>
      </c>
      <c r="K59" s="2089">
        <f t="shared" si="138"/>
        <v>0</v>
      </c>
      <c r="L59" s="2087">
        <f t="shared" si="138"/>
        <v>0</v>
      </c>
      <c r="M59" s="2087">
        <f t="shared" si="138"/>
        <v>0</v>
      </c>
      <c r="N59" s="2089">
        <f t="shared" si="138"/>
        <v>0</v>
      </c>
      <c r="O59" s="4743"/>
      <c r="P59" s="4743"/>
      <c r="Q59" s="4743"/>
      <c r="R59" s="4743"/>
      <c r="S59" s="4743"/>
      <c r="T59" s="4743"/>
      <c r="U59" s="4775"/>
      <c r="V59" s="4794">
        <f t="shared" si="150"/>
        <v>0</v>
      </c>
      <c r="W59" s="4794">
        <f t="shared" si="139"/>
        <v>0</v>
      </c>
      <c r="X59" s="4794">
        <f t="shared" si="140"/>
        <v>0</v>
      </c>
      <c r="Y59" s="4794">
        <f t="shared" si="141"/>
        <v>0</v>
      </c>
      <c r="Z59" s="4794">
        <f t="shared" si="142"/>
        <v>0</v>
      </c>
      <c r="AA59" s="4794">
        <f t="shared" si="143"/>
        <v>0</v>
      </c>
      <c r="AB59" s="4793">
        <f t="shared" si="144"/>
        <v>0</v>
      </c>
      <c r="AC59" s="4793">
        <f t="shared" si="145"/>
        <v>0</v>
      </c>
      <c r="AD59" s="4793">
        <f t="shared" si="146"/>
        <v>0</v>
      </c>
      <c r="AE59" s="4793">
        <f t="shared" si="147"/>
        <v>0</v>
      </c>
      <c r="AF59" s="4793">
        <f t="shared" si="148"/>
        <v>0</v>
      </c>
      <c r="AG59" s="4793">
        <f t="shared" si="149"/>
        <v>0</v>
      </c>
    </row>
    <row r="60" spans="1:33" s="152" customFormat="1" ht="40.5" customHeight="1">
      <c r="A60" s="4043">
        <v>4</v>
      </c>
      <c r="B60" s="654" t="s">
        <v>1783</v>
      </c>
      <c r="C60" s="2089">
        <f>SUM(C61:C63)</f>
        <v>0</v>
      </c>
      <c r="D60" s="2089">
        <f t="shared" ref="D60" si="151">SUM(D61:D63)</f>
        <v>0</v>
      </c>
      <c r="E60" s="2089">
        <f t="shared" ref="E60" si="152">SUM(E61:E63)</f>
        <v>0</v>
      </c>
      <c r="F60" s="2089">
        <f t="shared" ref="F60" si="153">SUM(F61:F63)</f>
        <v>0</v>
      </c>
      <c r="G60" s="2089">
        <f t="shared" ref="G60" si="154">SUM(G61:G63)</f>
        <v>0</v>
      </c>
      <c r="H60" s="2089">
        <f t="shared" ref="H60" si="155">SUM(H61:H63)</f>
        <v>0</v>
      </c>
      <c r="I60" s="2087">
        <f t="shared" ref="I60" si="156">SUM(I61:I63)</f>
        <v>0</v>
      </c>
      <c r="J60" s="2087">
        <f t="shared" ref="J60" si="157">SUM(J61:J63)</f>
        <v>0</v>
      </c>
      <c r="K60" s="2087">
        <f t="shared" ref="K60" si="158">SUM(K61:K63)</f>
        <v>0</v>
      </c>
      <c r="L60" s="2087">
        <f t="shared" ref="L60" si="159">SUM(L61:L63)</f>
        <v>0</v>
      </c>
      <c r="M60" s="2087">
        <f t="shared" ref="M60" si="160">SUM(M61:M63)</f>
        <v>0</v>
      </c>
      <c r="N60" s="2087">
        <f t="shared" ref="N60" si="161">SUM(N61:N63)</f>
        <v>0</v>
      </c>
      <c r="O60" s="310">
        <f>ROUND((IFERROR((I60*1000)/(C60/1000),0)),3)</f>
        <v>0</v>
      </c>
      <c r="P60" s="310">
        <f t="shared" ref="P60:T60" si="162">ROUND((IFERROR((J60*1000)/(D60/1000),0)),3)</f>
        <v>0</v>
      </c>
      <c r="Q60" s="310">
        <f t="shared" si="162"/>
        <v>0</v>
      </c>
      <c r="R60" s="310">
        <f t="shared" si="162"/>
        <v>0</v>
      </c>
      <c r="S60" s="310">
        <f t="shared" si="162"/>
        <v>0</v>
      </c>
      <c r="T60" s="310">
        <f t="shared" si="162"/>
        <v>0</v>
      </c>
      <c r="U60" s="4775"/>
      <c r="V60" s="4794">
        <f t="shared" si="150"/>
        <v>0</v>
      </c>
      <c r="W60" s="4794">
        <f t="shared" si="139"/>
        <v>0</v>
      </c>
      <c r="X60" s="4794">
        <f t="shared" si="140"/>
        <v>0</v>
      </c>
      <c r="Y60" s="4794">
        <f t="shared" si="141"/>
        <v>0</v>
      </c>
      <c r="Z60" s="4794">
        <f t="shared" si="142"/>
        <v>0</v>
      </c>
      <c r="AA60" s="4794">
        <f t="shared" si="143"/>
        <v>0</v>
      </c>
      <c r="AB60" s="4793">
        <f t="shared" si="144"/>
        <v>0</v>
      </c>
      <c r="AC60" s="4793">
        <f t="shared" si="145"/>
        <v>0</v>
      </c>
      <c r="AD60" s="4793">
        <f t="shared" si="146"/>
        <v>0</v>
      </c>
      <c r="AE60" s="4793">
        <f t="shared" si="147"/>
        <v>0</v>
      </c>
      <c r="AF60" s="4793">
        <f t="shared" si="148"/>
        <v>0</v>
      </c>
      <c r="AG60" s="4793">
        <f t="shared" si="149"/>
        <v>0</v>
      </c>
    </row>
    <row r="61" spans="1:33" s="152" customFormat="1" ht="22.5" customHeight="1">
      <c r="A61" s="4043" t="s">
        <v>566</v>
      </c>
      <c r="B61" s="4744"/>
      <c r="C61" s="633"/>
      <c r="D61" s="634"/>
      <c r="E61" s="633"/>
      <c r="F61" s="634"/>
      <c r="G61" s="634"/>
      <c r="H61" s="633"/>
      <c r="I61" s="2087">
        <f t="shared" ref="I61:N63" si="163">(C61/1000)*(O61/1000)</f>
        <v>0</v>
      </c>
      <c r="J61" s="2087">
        <f t="shared" si="163"/>
        <v>0</v>
      </c>
      <c r="K61" s="2089">
        <f t="shared" si="163"/>
        <v>0</v>
      </c>
      <c r="L61" s="2087">
        <f t="shared" si="163"/>
        <v>0</v>
      </c>
      <c r="M61" s="2087">
        <f t="shared" si="163"/>
        <v>0</v>
      </c>
      <c r="N61" s="2089">
        <f t="shared" si="163"/>
        <v>0</v>
      </c>
      <c r="O61" s="4743"/>
      <c r="P61" s="4743"/>
      <c r="Q61" s="4743"/>
      <c r="R61" s="4743"/>
      <c r="S61" s="4743"/>
      <c r="T61" s="4743"/>
      <c r="U61" s="4775"/>
      <c r="V61" s="4794">
        <f t="shared" si="150"/>
        <v>0</v>
      </c>
      <c r="W61" s="4794">
        <f t="shared" si="139"/>
        <v>0</v>
      </c>
      <c r="X61" s="4794">
        <f t="shared" si="140"/>
        <v>0</v>
      </c>
      <c r="Y61" s="4794">
        <f t="shared" si="141"/>
        <v>0</v>
      </c>
      <c r="Z61" s="4794">
        <f t="shared" si="142"/>
        <v>0</v>
      </c>
      <c r="AA61" s="4794">
        <f t="shared" si="143"/>
        <v>0</v>
      </c>
      <c r="AB61" s="4793">
        <f t="shared" si="144"/>
        <v>0</v>
      </c>
      <c r="AC61" s="4793">
        <f t="shared" si="145"/>
        <v>0</v>
      </c>
      <c r="AD61" s="4793">
        <f t="shared" si="146"/>
        <v>0</v>
      </c>
      <c r="AE61" s="4793">
        <f t="shared" si="147"/>
        <v>0</v>
      </c>
      <c r="AF61" s="4793">
        <f t="shared" si="148"/>
        <v>0</v>
      </c>
      <c r="AG61" s="4793">
        <f t="shared" si="149"/>
        <v>0</v>
      </c>
    </row>
    <row r="62" spans="1:33" s="152" customFormat="1" ht="22.5" customHeight="1">
      <c r="A62" s="4043" t="s">
        <v>567</v>
      </c>
      <c r="B62" s="4744"/>
      <c r="C62" s="633"/>
      <c r="D62" s="634"/>
      <c r="E62" s="633"/>
      <c r="F62" s="634"/>
      <c r="G62" s="634"/>
      <c r="H62" s="633"/>
      <c r="I62" s="2087">
        <f t="shared" si="163"/>
        <v>0</v>
      </c>
      <c r="J62" s="2087">
        <f t="shared" si="163"/>
        <v>0</v>
      </c>
      <c r="K62" s="2089">
        <f t="shared" si="163"/>
        <v>0</v>
      </c>
      <c r="L62" s="2087">
        <f t="shared" si="163"/>
        <v>0</v>
      </c>
      <c r="M62" s="2087">
        <f t="shared" si="163"/>
        <v>0</v>
      </c>
      <c r="N62" s="2089">
        <f t="shared" si="163"/>
        <v>0</v>
      </c>
      <c r="O62" s="4743"/>
      <c r="P62" s="4743"/>
      <c r="Q62" s="4743"/>
      <c r="R62" s="4743"/>
      <c r="S62" s="4743"/>
      <c r="T62" s="4743"/>
      <c r="U62" s="4775"/>
      <c r="V62" s="4794">
        <f t="shared" si="150"/>
        <v>0</v>
      </c>
      <c r="W62" s="4794">
        <f t="shared" si="139"/>
        <v>0</v>
      </c>
      <c r="X62" s="4794">
        <f t="shared" si="140"/>
        <v>0</v>
      </c>
      <c r="Y62" s="4794">
        <f t="shared" si="141"/>
        <v>0</v>
      </c>
      <c r="Z62" s="4794">
        <f t="shared" si="142"/>
        <v>0</v>
      </c>
      <c r="AA62" s="4794">
        <f t="shared" si="143"/>
        <v>0</v>
      </c>
      <c r="AB62" s="4793">
        <f t="shared" si="144"/>
        <v>0</v>
      </c>
      <c r="AC62" s="4793">
        <f t="shared" si="145"/>
        <v>0</v>
      </c>
      <c r="AD62" s="4793">
        <f t="shared" si="146"/>
        <v>0</v>
      </c>
      <c r="AE62" s="4793">
        <f t="shared" si="147"/>
        <v>0</v>
      </c>
      <c r="AF62" s="4793">
        <f t="shared" si="148"/>
        <v>0</v>
      </c>
      <c r="AG62" s="4793">
        <f t="shared" si="149"/>
        <v>0</v>
      </c>
    </row>
    <row r="63" spans="1:33" s="152" customFormat="1" ht="22.5" customHeight="1">
      <c r="A63" s="4043" t="s">
        <v>1078</v>
      </c>
      <c r="B63" s="4744"/>
      <c r="C63" s="633"/>
      <c r="D63" s="634"/>
      <c r="E63" s="633"/>
      <c r="F63" s="634"/>
      <c r="G63" s="634"/>
      <c r="H63" s="633"/>
      <c r="I63" s="2087">
        <f t="shared" si="163"/>
        <v>0</v>
      </c>
      <c r="J63" s="2087">
        <f t="shared" si="163"/>
        <v>0</v>
      </c>
      <c r="K63" s="2089">
        <f t="shared" si="163"/>
        <v>0</v>
      </c>
      <c r="L63" s="2087">
        <f t="shared" si="163"/>
        <v>0</v>
      </c>
      <c r="M63" s="2087">
        <f t="shared" si="163"/>
        <v>0</v>
      </c>
      <c r="N63" s="2089">
        <f t="shared" si="163"/>
        <v>0</v>
      </c>
      <c r="O63" s="4743"/>
      <c r="P63" s="4743"/>
      <c r="Q63" s="4743"/>
      <c r="R63" s="4743"/>
      <c r="S63" s="4743"/>
      <c r="T63" s="4743"/>
      <c r="U63" s="4775"/>
      <c r="V63" s="4794">
        <f t="shared" si="150"/>
        <v>0</v>
      </c>
      <c r="W63" s="4794">
        <f t="shared" si="139"/>
        <v>0</v>
      </c>
      <c r="X63" s="4794">
        <f t="shared" si="140"/>
        <v>0</v>
      </c>
      <c r="Y63" s="4794">
        <f t="shared" si="141"/>
        <v>0</v>
      </c>
      <c r="Z63" s="4794">
        <f t="shared" si="142"/>
        <v>0</v>
      </c>
      <c r="AA63" s="4794">
        <f t="shared" si="143"/>
        <v>0</v>
      </c>
      <c r="AB63" s="4793">
        <f t="shared" si="144"/>
        <v>0</v>
      </c>
      <c r="AC63" s="4793">
        <f t="shared" si="145"/>
        <v>0</v>
      </c>
      <c r="AD63" s="4793">
        <f t="shared" si="146"/>
        <v>0</v>
      </c>
      <c r="AE63" s="4793">
        <f t="shared" si="147"/>
        <v>0</v>
      </c>
      <c r="AF63" s="4793">
        <f t="shared" si="148"/>
        <v>0</v>
      </c>
      <c r="AG63" s="4793">
        <f t="shared" si="149"/>
        <v>0</v>
      </c>
    </row>
    <row r="64" spans="1:33" s="152" customFormat="1" ht="22.5" hidden="1" customHeight="1">
      <c r="A64" s="5248"/>
      <c r="B64" s="5249"/>
      <c r="C64" s="5249"/>
      <c r="D64" s="5249"/>
      <c r="E64" s="5249"/>
      <c r="F64" s="5249"/>
      <c r="G64" s="5249"/>
      <c r="H64" s="5249"/>
      <c r="I64" s="5249"/>
      <c r="J64" s="5249"/>
      <c r="K64" s="5249"/>
      <c r="L64" s="5249"/>
      <c r="M64" s="5249"/>
      <c r="N64" s="5249"/>
      <c r="O64" s="5249"/>
      <c r="P64" s="5249"/>
      <c r="Q64" s="5249"/>
      <c r="R64" s="5249"/>
      <c r="S64" s="5249"/>
      <c r="T64" s="5250"/>
      <c r="U64" s="4775"/>
      <c r="V64" s="4794">
        <f t="shared" si="150"/>
        <v>0</v>
      </c>
      <c r="W64" s="4794">
        <f t="shared" si="139"/>
        <v>0</v>
      </c>
      <c r="X64" s="4794">
        <f t="shared" si="140"/>
        <v>0</v>
      </c>
      <c r="Y64" s="4794">
        <f t="shared" si="141"/>
        <v>0</v>
      </c>
      <c r="Z64" s="4794">
        <f t="shared" si="142"/>
        <v>0</v>
      </c>
      <c r="AA64" s="4794">
        <f t="shared" si="143"/>
        <v>0</v>
      </c>
      <c r="AB64" s="4793">
        <f t="shared" si="144"/>
        <v>0</v>
      </c>
      <c r="AC64" s="4793">
        <f t="shared" si="145"/>
        <v>0</v>
      </c>
      <c r="AD64" s="4793">
        <f t="shared" si="146"/>
        <v>0</v>
      </c>
      <c r="AE64" s="4793">
        <f t="shared" si="147"/>
        <v>0</v>
      </c>
      <c r="AF64" s="4793">
        <f t="shared" si="148"/>
        <v>0</v>
      </c>
      <c r="AG64" s="4793">
        <f t="shared" si="149"/>
        <v>0</v>
      </c>
    </row>
    <row r="65" spans="1:33" s="152" customFormat="1" ht="23.25" customHeight="1">
      <c r="A65" s="4035">
        <v>5</v>
      </c>
      <c r="B65" s="319" t="s">
        <v>1756</v>
      </c>
      <c r="C65" s="635">
        <f>C57+C58+C59+C60</f>
        <v>0</v>
      </c>
      <c r="D65" s="635">
        <f t="shared" ref="D65:H65" si="164">D57+D58+D59+D60</f>
        <v>0</v>
      </c>
      <c r="E65" s="635">
        <f t="shared" si="164"/>
        <v>0</v>
      </c>
      <c r="F65" s="635">
        <f t="shared" si="164"/>
        <v>0</v>
      </c>
      <c r="G65" s="635">
        <f t="shared" si="164"/>
        <v>0</v>
      </c>
      <c r="H65" s="635">
        <f t="shared" si="164"/>
        <v>0</v>
      </c>
      <c r="I65" s="635">
        <f>I57+I58+I59+I60</f>
        <v>0</v>
      </c>
      <c r="J65" s="635">
        <f t="shared" ref="J65:N65" si="165">J57+J58+J59+J60</f>
        <v>0</v>
      </c>
      <c r="K65" s="635">
        <f t="shared" si="165"/>
        <v>0</v>
      </c>
      <c r="L65" s="635">
        <f t="shared" si="165"/>
        <v>0</v>
      </c>
      <c r="M65" s="635">
        <f t="shared" si="165"/>
        <v>0</v>
      </c>
      <c r="N65" s="635">
        <f t="shared" si="165"/>
        <v>0</v>
      </c>
      <c r="O65" s="311">
        <f t="shared" ref="O65:T65" si="166">IFERROR((I65*1000)/(C65/1000),0)</f>
        <v>0</v>
      </c>
      <c r="P65" s="311">
        <f t="shared" si="166"/>
        <v>0</v>
      </c>
      <c r="Q65" s="311">
        <f t="shared" si="166"/>
        <v>0</v>
      </c>
      <c r="R65" s="311">
        <f t="shared" si="166"/>
        <v>0</v>
      </c>
      <c r="S65" s="311">
        <f t="shared" si="166"/>
        <v>0</v>
      </c>
      <c r="T65" s="311">
        <f t="shared" si="166"/>
        <v>0</v>
      </c>
      <c r="U65" s="4775"/>
      <c r="V65" s="4794">
        <f t="shared" si="150"/>
        <v>0</v>
      </c>
      <c r="W65" s="4794">
        <f t="shared" si="139"/>
        <v>0</v>
      </c>
      <c r="X65" s="4794">
        <f t="shared" si="140"/>
        <v>0</v>
      </c>
      <c r="Y65" s="4794">
        <f t="shared" si="141"/>
        <v>0</v>
      </c>
      <c r="Z65" s="4794">
        <f t="shared" si="142"/>
        <v>0</v>
      </c>
      <c r="AA65" s="4794">
        <f t="shared" si="143"/>
        <v>0</v>
      </c>
      <c r="AB65" s="4793">
        <f t="shared" si="144"/>
        <v>0</v>
      </c>
      <c r="AC65" s="4793">
        <f t="shared" si="145"/>
        <v>0</v>
      </c>
      <c r="AD65" s="4793">
        <f t="shared" si="146"/>
        <v>0</v>
      </c>
      <c r="AE65" s="4793">
        <f t="shared" si="147"/>
        <v>0</v>
      </c>
      <c r="AF65" s="4793">
        <f t="shared" si="148"/>
        <v>0</v>
      </c>
      <c r="AG65" s="4793">
        <f t="shared" si="149"/>
        <v>0</v>
      </c>
    </row>
    <row r="66" spans="1:33" s="152" customFormat="1" ht="23.25" customHeight="1">
      <c r="A66" s="4036">
        <v>6</v>
      </c>
      <c r="B66" s="103" t="s">
        <v>350</v>
      </c>
      <c r="C66" s="636"/>
      <c r="D66" s="637">
        <f t="shared" ref="D66:H66" si="167">D65-C65</f>
        <v>0</v>
      </c>
      <c r="E66" s="637">
        <f t="shared" si="167"/>
        <v>0</v>
      </c>
      <c r="F66" s="637">
        <f t="shared" si="167"/>
        <v>0</v>
      </c>
      <c r="G66" s="637">
        <f t="shared" si="167"/>
        <v>0</v>
      </c>
      <c r="H66" s="637">
        <f t="shared" si="167"/>
        <v>0</v>
      </c>
      <c r="I66" s="636"/>
      <c r="J66" s="637">
        <f t="shared" ref="J66:N66" si="168">J65-I65</f>
        <v>0</v>
      </c>
      <c r="K66" s="637">
        <f t="shared" si="168"/>
        <v>0</v>
      </c>
      <c r="L66" s="637">
        <f t="shared" si="168"/>
        <v>0</v>
      </c>
      <c r="M66" s="637">
        <f t="shared" si="168"/>
        <v>0</v>
      </c>
      <c r="N66" s="637">
        <f t="shared" si="168"/>
        <v>0</v>
      </c>
      <c r="O66" s="312"/>
      <c r="P66" s="613">
        <f t="shared" ref="P66:T66" si="169">P65-O65</f>
        <v>0</v>
      </c>
      <c r="Q66" s="613">
        <f t="shared" si="169"/>
        <v>0</v>
      </c>
      <c r="R66" s="613">
        <f t="shared" si="169"/>
        <v>0</v>
      </c>
      <c r="S66" s="613">
        <f t="shared" si="169"/>
        <v>0</v>
      </c>
      <c r="T66" s="613">
        <f t="shared" si="169"/>
        <v>0</v>
      </c>
      <c r="U66" s="4775"/>
      <c r="V66" s="4878"/>
      <c r="W66" s="4817">
        <f>W65-V65</f>
        <v>0</v>
      </c>
      <c r="X66" s="4817">
        <f t="shared" ref="X66" si="170">X65-W65</f>
        <v>0</v>
      </c>
      <c r="Y66" s="4817">
        <f t="shared" ref="Y66" si="171">Y65-X65</f>
        <v>0</v>
      </c>
      <c r="Z66" s="4817">
        <f t="shared" ref="Z66" si="172">Z65-Y65</f>
        <v>0</v>
      </c>
      <c r="AA66" s="4817">
        <f t="shared" ref="AA66" si="173">AA65-Z65</f>
        <v>0</v>
      </c>
      <c r="AB66" s="4878"/>
      <c r="AC66" s="4817">
        <f>AC65-AB65</f>
        <v>0</v>
      </c>
      <c r="AD66" s="4817">
        <f t="shared" ref="AD66" si="174">AD65-AC65</f>
        <v>0</v>
      </c>
      <c r="AE66" s="4817">
        <f t="shared" ref="AE66" si="175">AE65-AD65</f>
        <v>0</v>
      </c>
      <c r="AF66" s="4817">
        <f t="shared" ref="AF66" si="176">AF65-AE65</f>
        <v>0</v>
      </c>
      <c r="AG66" s="4817">
        <f t="shared" ref="AG66" si="177">AG65-AF65</f>
        <v>0</v>
      </c>
    </row>
    <row r="67" spans="1:33" s="152" customFormat="1" ht="23.25" customHeight="1">
      <c r="A67" s="4159">
        <v>7</v>
      </c>
      <c r="B67" s="317" t="s">
        <v>1745</v>
      </c>
      <c r="C67" s="314">
        <f>IFERROR(C65/'4. Отчет и прогн. потребление'!D62,0)</f>
        <v>0</v>
      </c>
      <c r="D67" s="314">
        <f>IFERROR(D65/'4. Отчет и прогн. потребление'!E62,0)</f>
        <v>0</v>
      </c>
      <c r="E67" s="314">
        <f>IFERROR(E65/'4. Отчет и прогн. потребление'!F62,0)</f>
        <v>0</v>
      </c>
      <c r="F67" s="314">
        <f>IFERROR(F65/'4. Отчет и прогн. потребление'!G62,0)</f>
        <v>0</v>
      </c>
      <c r="G67" s="314">
        <f>IFERROR(G65/'4. Отчет и прогн. потребление'!H62,0)</f>
        <v>0</v>
      </c>
      <c r="H67" s="314">
        <f>IFERROR(H65/'4. Отчет и прогн. потребление'!I62,0)</f>
        <v>0</v>
      </c>
      <c r="I67" s="4160"/>
      <c r="J67" s="312"/>
      <c r="K67" s="312"/>
      <c r="L67" s="312"/>
      <c r="M67" s="312"/>
      <c r="N67" s="312"/>
      <c r="O67" s="4161"/>
      <c r="P67" s="312"/>
      <c r="Q67" s="312"/>
      <c r="R67" s="312"/>
      <c r="S67" s="312"/>
      <c r="T67" s="312"/>
      <c r="U67" s="4775"/>
      <c r="V67" s="153"/>
      <c r="W67" s="153"/>
      <c r="X67" s="153"/>
      <c r="Y67" s="153"/>
    </row>
    <row r="68" spans="1:33" s="152" customFormat="1" ht="25.5" customHeight="1" thickBot="1">
      <c r="A68" s="4039">
        <v>8</v>
      </c>
      <c r="B68" s="4040" t="s">
        <v>1746</v>
      </c>
      <c r="C68" s="4162">
        <f>IFERROR(C65/'4. Отчет и прогн. потребление'!D69,0)</f>
        <v>0</v>
      </c>
      <c r="D68" s="4162">
        <f>IFERROR(D65/'4. Отчет и прогн. потребление'!E69,0)</f>
        <v>0</v>
      </c>
      <c r="E68" s="4162">
        <f>IFERROR(E65/'4. Отчет и прогн. потребление'!F69,0)</f>
        <v>0</v>
      </c>
      <c r="F68" s="4162">
        <f>IFERROR(F65/'4. Отчет и прогн. потребление'!G69,0)</f>
        <v>0</v>
      </c>
      <c r="G68" s="4162">
        <f>IFERROR(G65/'4. Отчет и прогн. потребление'!H69,0)</f>
        <v>0</v>
      </c>
      <c r="H68" s="4162">
        <f>IFERROR(H65/'4. Отчет и прогн. потребление'!I69,0)</f>
        <v>0</v>
      </c>
      <c r="I68" s="427"/>
      <c r="J68" s="427"/>
      <c r="K68" s="427"/>
      <c r="L68" s="427"/>
      <c r="M68" s="427"/>
      <c r="N68" s="427"/>
      <c r="O68" s="427"/>
      <c r="P68" s="427"/>
      <c r="Q68" s="427"/>
      <c r="R68" s="427"/>
      <c r="S68" s="427"/>
      <c r="T68" s="427"/>
      <c r="U68" s="4775"/>
      <c r="V68" s="153"/>
      <c r="W68" s="153"/>
      <c r="X68" s="153"/>
      <c r="Y68" s="153"/>
    </row>
    <row r="69" spans="1:33" s="152" customFormat="1" ht="23.25" customHeight="1" thickBot="1">
      <c r="A69" s="449"/>
      <c r="B69" s="450"/>
      <c r="C69" s="318"/>
      <c r="D69" s="316"/>
      <c r="E69" s="316"/>
      <c r="F69" s="316"/>
      <c r="G69" s="316"/>
      <c r="H69" s="316"/>
      <c r="I69" s="451"/>
      <c r="J69" s="451"/>
      <c r="K69" s="451"/>
      <c r="L69" s="451"/>
      <c r="M69" s="451"/>
      <c r="N69" s="451"/>
      <c r="O69" s="315"/>
      <c r="P69" s="316"/>
      <c r="Q69" s="316"/>
      <c r="R69" s="316"/>
      <c r="S69" s="316"/>
      <c r="T69" s="316"/>
      <c r="U69" s="153"/>
      <c r="V69" s="153"/>
      <c r="W69" s="153"/>
      <c r="X69" s="153"/>
      <c r="Y69" s="153"/>
    </row>
    <row r="70" spans="1:33" s="152" customFormat="1" ht="23.25" customHeight="1">
      <c r="A70" s="5239" t="s">
        <v>1</v>
      </c>
      <c r="B70" s="5242" t="s">
        <v>1753</v>
      </c>
      <c r="C70" s="5242" t="s">
        <v>1092</v>
      </c>
      <c r="D70" s="5242"/>
      <c r="E70" s="5242"/>
      <c r="F70" s="5242"/>
      <c r="G70" s="5242"/>
      <c r="H70" s="5242"/>
      <c r="I70" s="5242"/>
      <c r="J70" s="5242"/>
      <c r="K70" s="5242"/>
      <c r="L70" s="5242"/>
      <c r="M70" s="5242"/>
      <c r="N70" s="5242"/>
      <c r="O70" s="5242"/>
      <c r="P70" s="5242"/>
      <c r="Q70" s="5242"/>
      <c r="R70" s="5242"/>
      <c r="S70" s="5242"/>
      <c r="T70" s="5242"/>
      <c r="U70" s="4775"/>
      <c r="V70" s="5233" t="str">
        <f>+C70</f>
        <v>Доставяне на вода на друг ВиК оператор</v>
      </c>
      <c r="W70" s="5233"/>
      <c r="X70" s="5233"/>
      <c r="Y70" s="5233"/>
      <c r="Z70" s="5233"/>
      <c r="AA70" s="5233"/>
      <c r="AB70" s="5233"/>
      <c r="AC70" s="5233"/>
      <c r="AD70" s="5233"/>
      <c r="AE70" s="5233"/>
      <c r="AF70" s="5233"/>
      <c r="AG70" s="5233"/>
    </row>
    <row r="71" spans="1:33" s="152" customFormat="1" ht="23.25" customHeight="1">
      <c r="A71" s="5240"/>
      <c r="B71" s="5243"/>
      <c r="C71" s="5245" t="s">
        <v>348</v>
      </c>
      <c r="D71" s="5245"/>
      <c r="E71" s="5245"/>
      <c r="F71" s="5245"/>
      <c r="G71" s="5245"/>
      <c r="H71" s="5245"/>
      <c r="I71" s="5245" t="s">
        <v>911</v>
      </c>
      <c r="J71" s="5245"/>
      <c r="K71" s="5245"/>
      <c r="L71" s="5245"/>
      <c r="M71" s="5245"/>
      <c r="N71" s="5245"/>
      <c r="O71" s="5262" t="s">
        <v>1765</v>
      </c>
      <c r="P71" s="5263"/>
      <c r="Q71" s="5263"/>
      <c r="R71" s="5263"/>
      <c r="S71" s="5263"/>
      <c r="T71" s="5263"/>
      <c r="U71" s="4775"/>
      <c r="V71" s="5234" t="s">
        <v>1879</v>
      </c>
      <c r="W71" s="5234"/>
      <c r="X71" s="5234"/>
      <c r="Y71" s="5234"/>
      <c r="Z71" s="5234"/>
      <c r="AA71" s="5234"/>
      <c r="AB71" s="5234" t="s">
        <v>1880</v>
      </c>
      <c r="AC71" s="5234"/>
      <c r="AD71" s="5234"/>
      <c r="AE71" s="5234"/>
      <c r="AF71" s="5234"/>
      <c r="AG71" s="5234"/>
    </row>
    <row r="72" spans="1:33" s="152" customFormat="1" ht="23.25" customHeight="1" thickBot="1">
      <c r="A72" s="5241"/>
      <c r="B72" s="5244"/>
      <c r="C72" s="160" t="str">
        <f>'Приложение '!C12</f>
        <v>2024 г.</v>
      </c>
      <c r="D72" s="160" t="str">
        <f>'Приложение '!C14</f>
        <v>2027 г.</v>
      </c>
      <c r="E72" s="160" t="str">
        <f>'Приложение '!C15</f>
        <v>2028 г.</v>
      </c>
      <c r="F72" s="160" t="str">
        <f>'Приложение '!C16</f>
        <v>2029 г.</v>
      </c>
      <c r="G72" s="160" t="str">
        <f>'Приложение '!C17</f>
        <v>2030 г.</v>
      </c>
      <c r="H72" s="160" t="str">
        <f>'Приложение '!C18</f>
        <v>2031 г.</v>
      </c>
      <c r="I72" s="160" t="str">
        <f t="shared" ref="I72:T72" si="178">C72</f>
        <v>2024 г.</v>
      </c>
      <c r="J72" s="160" t="str">
        <f t="shared" si="178"/>
        <v>2027 г.</v>
      </c>
      <c r="K72" s="160" t="str">
        <f t="shared" si="178"/>
        <v>2028 г.</v>
      </c>
      <c r="L72" s="160" t="str">
        <f t="shared" si="178"/>
        <v>2029 г.</v>
      </c>
      <c r="M72" s="160" t="str">
        <f t="shared" si="178"/>
        <v>2030 г.</v>
      </c>
      <c r="N72" s="160" t="str">
        <f t="shared" si="178"/>
        <v>2031 г.</v>
      </c>
      <c r="O72" s="160" t="str">
        <f t="shared" si="178"/>
        <v>2024 г.</v>
      </c>
      <c r="P72" s="160" t="str">
        <f t="shared" si="178"/>
        <v>2027 г.</v>
      </c>
      <c r="Q72" s="160" t="str">
        <f t="shared" si="178"/>
        <v>2028 г.</v>
      </c>
      <c r="R72" s="160" t="str">
        <f t="shared" si="178"/>
        <v>2029 г.</v>
      </c>
      <c r="S72" s="160" t="str">
        <f t="shared" si="178"/>
        <v>2030 г.</v>
      </c>
      <c r="T72" s="160" t="str">
        <f t="shared" si="178"/>
        <v>2031 г.</v>
      </c>
      <c r="U72" s="4775"/>
      <c r="V72" s="4792" t="str">
        <f>+I72</f>
        <v>2024 г.</v>
      </c>
      <c r="W72" s="4792" t="str">
        <f t="shared" ref="W72" si="179">+J72</f>
        <v>2027 г.</v>
      </c>
      <c r="X72" s="4792" t="str">
        <f t="shared" ref="X72" si="180">+K72</f>
        <v>2028 г.</v>
      </c>
      <c r="Y72" s="4792" t="str">
        <f t="shared" ref="Y72" si="181">+L72</f>
        <v>2029 г.</v>
      </c>
      <c r="Z72" s="4792" t="str">
        <f t="shared" ref="Z72" si="182">+M72</f>
        <v>2030 г.</v>
      </c>
      <c r="AA72" s="4792" t="str">
        <f t="shared" ref="AA72" si="183">+N72</f>
        <v>2031 г.</v>
      </c>
      <c r="AB72" s="4792" t="str">
        <f t="shared" ref="AB72" si="184">+O72</f>
        <v>2024 г.</v>
      </c>
      <c r="AC72" s="4792" t="str">
        <f t="shared" ref="AC72" si="185">+P72</f>
        <v>2027 г.</v>
      </c>
      <c r="AD72" s="4792" t="str">
        <f t="shared" ref="AD72" si="186">+Q72</f>
        <v>2028 г.</v>
      </c>
      <c r="AE72" s="4792" t="str">
        <f t="shared" ref="AE72" si="187">+R72</f>
        <v>2029 г.</v>
      </c>
      <c r="AF72" s="4792" t="str">
        <f t="shared" ref="AF72" si="188">+S72</f>
        <v>2030 г.</v>
      </c>
      <c r="AG72" s="4792" t="str">
        <f t="shared" ref="AG72" si="189">+T72</f>
        <v>2031 г.</v>
      </c>
    </row>
    <row r="73" spans="1:33" s="152" customFormat="1" ht="23.25" customHeight="1">
      <c r="A73" s="4049">
        <v>1</v>
      </c>
      <c r="B73" s="4050" t="s">
        <v>1752</v>
      </c>
      <c r="C73" s="4054"/>
      <c r="D73" s="4055"/>
      <c r="E73" s="4055"/>
      <c r="F73" s="4055"/>
      <c r="G73" s="4055"/>
      <c r="H73" s="4055"/>
      <c r="I73" s="4723">
        <f t="shared" ref="I73:N75" si="190">(C73/1000)*(O73/1000)</f>
        <v>0</v>
      </c>
      <c r="J73" s="4056">
        <f t="shared" si="190"/>
        <v>0</v>
      </c>
      <c r="K73" s="4056">
        <f t="shared" si="190"/>
        <v>0</v>
      </c>
      <c r="L73" s="4056">
        <f t="shared" si="190"/>
        <v>0</v>
      </c>
      <c r="M73" s="4056">
        <f t="shared" si="190"/>
        <v>0</v>
      </c>
      <c r="N73" s="4056">
        <f t="shared" si="190"/>
        <v>0</v>
      </c>
      <c r="O73" s="4742"/>
      <c r="P73" s="4742"/>
      <c r="Q73" s="4742"/>
      <c r="R73" s="4742"/>
      <c r="S73" s="4742"/>
      <c r="T73" s="4742"/>
      <c r="U73" s="4775"/>
      <c r="V73" s="4794">
        <f>IFERROR(I73/$C$1,0)</f>
        <v>0</v>
      </c>
      <c r="W73" s="4794">
        <f t="shared" ref="W73:W81" si="191">IFERROR(J73/$C$1,0)</f>
        <v>0</v>
      </c>
      <c r="X73" s="4794">
        <f t="shared" ref="X73:X81" si="192">IFERROR(K73/$C$1,0)</f>
        <v>0</v>
      </c>
      <c r="Y73" s="4794">
        <f t="shared" ref="Y73:Y81" si="193">IFERROR(L73/$C$1,0)</f>
        <v>0</v>
      </c>
      <c r="Z73" s="4794">
        <f t="shared" ref="Z73:Z81" si="194">IFERROR(M73/$C$1,0)</f>
        <v>0</v>
      </c>
      <c r="AA73" s="4794">
        <f t="shared" ref="AA73:AA81" si="195">IFERROR(N73/$C$1,0)</f>
        <v>0</v>
      </c>
      <c r="AB73" s="4793">
        <f t="shared" ref="AB73:AB81" si="196">IFERROR(O73/$C$1,0)</f>
        <v>0</v>
      </c>
      <c r="AC73" s="4793">
        <f t="shared" ref="AC73:AC81" si="197">IFERROR(P73/$C$1,0)</f>
        <v>0</v>
      </c>
      <c r="AD73" s="4793">
        <f t="shared" ref="AD73:AD81" si="198">IFERROR(Q73/$C$1,0)</f>
        <v>0</v>
      </c>
      <c r="AE73" s="4793">
        <f t="shared" ref="AE73:AE81" si="199">IFERROR(R73/$C$1,0)</f>
        <v>0</v>
      </c>
      <c r="AF73" s="4793">
        <f t="shared" ref="AF73:AF81" si="200">IFERROR(S73/$C$1,0)</f>
        <v>0</v>
      </c>
      <c r="AG73" s="4793">
        <f t="shared" ref="AG73:AG81" si="201">IFERROR(T73/$C$1,0)</f>
        <v>0</v>
      </c>
    </row>
    <row r="74" spans="1:33" s="152" customFormat="1" ht="23.25" customHeight="1">
      <c r="A74" s="3526">
        <v>2</v>
      </c>
      <c r="B74" s="103" t="s">
        <v>1754</v>
      </c>
      <c r="C74" s="633"/>
      <c r="D74" s="634"/>
      <c r="E74" s="633"/>
      <c r="F74" s="634"/>
      <c r="G74" s="634"/>
      <c r="H74" s="633"/>
      <c r="I74" s="2089">
        <f t="shared" si="190"/>
        <v>0</v>
      </c>
      <c r="J74" s="2087">
        <f t="shared" si="190"/>
        <v>0</v>
      </c>
      <c r="K74" s="2087">
        <f t="shared" si="190"/>
        <v>0</v>
      </c>
      <c r="L74" s="2087">
        <f t="shared" si="190"/>
        <v>0</v>
      </c>
      <c r="M74" s="2087">
        <f t="shared" si="190"/>
        <v>0</v>
      </c>
      <c r="N74" s="2087">
        <f t="shared" si="190"/>
        <v>0</v>
      </c>
      <c r="O74" s="4743"/>
      <c r="P74" s="4743"/>
      <c r="Q74" s="4743"/>
      <c r="R74" s="4743"/>
      <c r="S74" s="4743"/>
      <c r="T74" s="4743"/>
      <c r="U74" s="4775"/>
      <c r="V74" s="4794">
        <f t="shared" ref="V74:V81" si="202">IFERROR(I74/$C$1,0)</f>
        <v>0</v>
      </c>
      <c r="W74" s="4794">
        <f t="shared" si="191"/>
        <v>0</v>
      </c>
      <c r="X74" s="4794">
        <f t="shared" si="192"/>
        <v>0</v>
      </c>
      <c r="Y74" s="4794">
        <f t="shared" si="193"/>
        <v>0</v>
      </c>
      <c r="Z74" s="4794">
        <f t="shared" si="194"/>
        <v>0</v>
      </c>
      <c r="AA74" s="4794">
        <f t="shared" si="195"/>
        <v>0</v>
      </c>
      <c r="AB74" s="4793">
        <f t="shared" si="196"/>
        <v>0</v>
      </c>
      <c r="AC74" s="4793">
        <f t="shared" si="197"/>
        <v>0</v>
      </c>
      <c r="AD74" s="4793">
        <f t="shared" si="198"/>
        <v>0</v>
      </c>
      <c r="AE74" s="4793">
        <f t="shared" si="199"/>
        <v>0</v>
      </c>
      <c r="AF74" s="4793">
        <f t="shared" si="200"/>
        <v>0</v>
      </c>
      <c r="AG74" s="4793">
        <f t="shared" si="201"/>
        <v>0</v>
      </c>
    </row>
    <row r="75" spans="1:33" s="152" customFormat="1" ht="23.25" customHeight="1">
      <c r="A75" s="3526">
        <v>3</v>
      </c>
      <c r="B75" s="103" t="s">
        <v>1755</v>
      </c>
      <c r="C75" s="633"/>
      <c r="D75" s="634"/>
      <c r="E75" s="633"/>
      <c r="F75" s="634"/>
      <c r="G75" s="634"/>
      <c r="H75" s="633"/>
      <c r="I75" s="2089">
        <f t="shared" si="190"/>
        <v>0</v>
      </c>
      <c r="J75" s="2087">
        <f t="shared" si="190"/>
        <v>0</v>
      </c>
      <c r="K75" s="2087">
        <f t="shared" si="190"/>
        <v>0</v>
      </c>
      <c r="L75" s="2087">
        <f t="shared" si="190"/>
        <v>0</v>
      </c>
      <c r="M75" s="2087">
        <f t="shared" si="190"/>
        <v>0</v>
      </c>
      <c r="N75" s="2087">
        <f t="shared" si="190"/>
        <v>0</v>
      </c>
      <c r="O75" s="4743"/>
      <c r="P75" s="4743"/>
      <c r="Q75" s="4743"/>
      <c r="R75" s="4743"/>
      <c r="S75" s="4743"/>
      <c r="T75" s="4743"/>
      <c r="U75" s="4775"/>
      <c r="V75" s="4794">
        <f t="shared" si="202"/>
        <v>0</v>
      </c>
      <c r="W75" s="4794">
        <f t="shared" si="191"/>
        <v>0</v>
      </c>
      <c r="X75" s="4794">
        <f t="shared" si="192"/>
        <v>0</v>
      </c>
      <c r="Y75" s="4794">
        <f t="shared" si="193"/>
        <v>0</v>
      </c>
      <c r="Z75" s="4794">
        <f t="shared" si="194"/>
        <v>0</v>
      </c>
      <c r="AA75" s="4794">
        <f t="shared" si="195"/>
        <v>0</v>
      </c>
      <c r="AB75" s="4793">
        <f t="shared" si="196"/>
        <v>0</v>
      </c>
      <c r="AC75" s="4793">
        <f t="shared" si="197"/>
        <v>0</v>
      </c>
      <c r="AD75" s="4793">
        <f t="shared" si="198"/>
        <v>0</v>
      </c>
      <c r="AE75" s="4793">
        <f t="shared" si="199"/>
        <v>0</v>
      </c>
      <c r="AF75" s="4793">
        <f t="shared" si="200"/>
        <v>0</v>
      </c>
      <c r="AG75" s="4793">
        <f t="shared" si="201"/>
        <v>0</v>
      </c>
    </row>
    <row r="76" spans="1:33" s="152" customFormat="1" ht="39" customHeight="1">
      <c r="A76" s="4043">
        <v>4</v>
      </c>
      <c r="B76" s="654" t="s">
        <v>1783</v>
      </c>
      <c r="C76" s="2089">
        <f>SUM(C77:C79)</f>
        <v>0</v>
      </c>
      <c r="D76" s="2089">
        <f t="shared" ref="D76" si="203">SUM(D77:D79)</f>
        <v>0</v>
      </c>
      <c r="E76" s="2089">
        <f t="shared" ref="E76" si="204">SUM(E77:E79)</f>
        <v>0</v>
      </c>
      <c r="F76" s="2089">
        <f t="shared" ref="F76" si="205">SUM(F77:F79)</f>
        <v>0</v>
      </c>
      <c r="G76" s="2089">
        <f t="shared" ref="G76" si="206">SUM(G77:G79)</f>
        <v>0</v>
      </c>
      <c r="H76" s="2089">
        <f t="shared" ref="H76" si="207">SUM(H77:H79)</f>
        <v>0</v>
      </c>
      <c r="I76" s="2087">
        <f t="shared" ref="I76" si="208">SUM(I77:I79)</f>
        <v>0</v>
      </c>
      <c r="J76" s="2087">
        <f t="shared" ref="J76" si="209">SUM(J77:J79)</f>
        <v>0</v>
      </c>
      <c r="K76" s="2087">
        <f t="shared" ref="K76" si="210">SUM(K77:K79)</f>
        <v>0</v>
      </c>
      <c r="L76" s="2087">
        <f t="shared" ref="L76" si="211">SUM(L77:L79)</f>
        <v>0</v>
      </c>
      <c r="M76" s="2087">
        <f t="shared" ref="M76" si="212">SUM(M77:M79)</f>
        <v>0</v>
      </c>
      <c r="N76" s="2087">
        <f t="shared" ref="N76" si="213">SUM(N77:N79)</f>
        <v>0</v>
      </c>
      <c r="O76" s="310">
        <f>ROUND((IFERROR((I76*1000)/(C76/1000),0)),3)</f>
        <v>0</v>
      </c>
      <c r="P76" s="310">
        <f t="shared" ref="P76:T76" si="214">ROUND((IFERROR((J76*1000)/(D76/1000),0)),3)</f>
        <v>0</v>
      </c>
      <c r="Q76" s="310">
        <f t="shared" si="214"/>
        <v>0</v>
      </c>
      <c r="R76" s="310">
        <f t="shared" si="214"/>
        <v>0</v>
      </c>
      <c r="S76" s="310">
        <f t="shared" si="214"/>
        <v>0</v>
      </c>
      <c r="T76" s="310">
        <f t="shared" si="214"/>
        <v>0</v>
      </c>
      <c r="U76" s="4775"/>
      <c r="V76" s="4794">
        <f t="shared" si="202"/>
        <v>0</v>
      </c>
      <c r="W76" s="4794">
        <f t="shared" si="191"/>
        <v>0</v>
      </c>
      <c r="X76" s="4794">
        <f t="shared" si="192"/>
        <v>0</v>
      </c>
      <c r="Y76" s="4794">
        <f t="shared" si="193"/>
        <v>0</v>
      </c>
      <c r="Z76" s="4794">
        <f t="shared" si="194"/>
        <v>0</v>
      </c>
      <c r="AA76" s="4794">
        <f t="shared" si="195"/>
        <v>0</v>
      </c>
      <c r="AB76" s="4793">
        <f t="shared" si="196"/>
        <v>0</v>
      </c>
      <c r="AC76" s="4793">
        <f t="shared" si="197"/>
        <v>0</v>
      </c>
      <c r="AD76" s="4793">
        <f t="shared" si="198"/>
        <v>0</v>
      </c>
      <c r="AE76" s="4793">
        <f t="shared" si="199"/>
        <v>0</v>
      </c>
      <c r="AF76" s="4793">
        <f t="shared" si="200"/>
        <v>0</v>
      </c>
      <c r="AG76" s="4793">
        <f t="shared" si="201"/>
        <v>0</v>
      </c>
    </row>
    <row r="77" spans="1:33" s="152" customFormat="1" ht="22.5" customHeight="1">
      <c r="A77" s="4043" t="s">
        <v>566</v>
      </c>
      <c r="B77" s="4744"/>
      <c r="C77" s="633"/>
      <c r="D77" s="634"/>
      <c r="E77" s="633"/>
      <c r="F77" s="634"/>
      <c r="G77" s="634"/>
      <c r="H77" s="633"/>
      <c r="I77" s="2087">
        <f t="shared" ref="I77:N79" si="215">(C77/1000)*(O77/1000)</f>
        <v>0</v>
      </c>
      <c r="J77" s="2087">
        <f t="shared" si="215"/>
        <v>0</v>
      </c>
      <c r="K77" s="2087">
        <f t="shared" si="215"/>
        <v>0</v>
      </c>
      <c r="L77" s="2087">
        <f t="shared" si="215"/>
        <v>0</v>
      </c>
      <c r="M77" s="2087">
        <f t="shared" si="215"/>
        <v>0</v>
      </c>
      <c r="N77" s="2087">
        <f t="shared" si="215"/>
        <v>0</v>
      </c>
      <c r="O77" s="4743"/>
      <c r="P77" s="4743"/>
      <c r="Q77" s="4743"/>
      <c r="R77" s="4743"/>
      <c r="S77" s="4743"/>
      <c r="T77" s="4743"/>
      <c r="U77" s="4775"/>
      <c r="V77" s="4794">
        <f t="shared" si="202"/>
        <v>0</v>
      </c>
      <c r="W77" s="4794">
        <f t="shared" si="191"/>
        <v>0</v>
      </c>
      <c r="X77" s="4794">
        <f t="shared" si="192"/>
        <v>0</v>
      </c>
      <c r="Y77" s="4794">
        <f t="shared" si="193"/>
        <v>0</v>
      </c>
      <c r="Z77" s="4794">
        <f t="shared" si="194"/>
        <v>0</v>
      </c>
      <c r="AA77" s="4794">
        <f t="shared" si="195"/>
        <v>0</v>
      </c>
      <c r="AB77" s="4793">
        <f t="shared" si="196"/>
        <v>0</v>
      </c>
      <c r="AC77" s="4793">
        <f t="shared" si="197"/>
        <v>0</v>
      </c>
      <c r="AD77" s="4793">
        <f t="shared" si="198"/>
        <v>0</v>
      </c>
      <c r="AE77" s="4793">
        <f t="shared" si="199"/>
        <v>0</v>
      </c>
      <c r="AF77" s="4793">
        <f t="shared" si="200"/>
        <v>0</v>
      </c>
      <c r="AG77" s="4793">
        <f t="shared" si="201"/>
        <v>0</v>
      </c>
    </row>
    <row r="78" spans="1:33" s="152" customFormat="1" ht="22.5" customHeight="1">
      <c r="A78" s="4043" t="s">
        <v>567</v>
      </c>
      <c r="B78" s="4744"/>
      <c r="C78" s="633"/>
      <c r="D78" s="634"/>
      <c r="E78" s="633"/>
      <c r="F78" s="634"/>
      <c r="G78" s="634"/>
      <c r="H78" s="633"/>
      <c r="I78" s="2087">
        <f t="shared" si="215"/>
        <v>0</v>
      </c>
      <c r="J78" s="2087">
        <f t="shared" si="215"/>
        <v>0</v>
      </c>
      <c r="K78" s="2087">
        <f t="shared" si="215"/>
        <v>0</v>
      </c>
      <c r="L78" s="2087">
        <f t="shared" si="215"/>
        <v>0</v>
      </c>
      <c r="M78" s="2087">
        <f t="shared" si="215"/>
        <v>0</v>
      </c>
      <c r="N78" s="2087">
        <f t="shared" si="215"/>
        <v>0</v>
      </c>
      <c r="O78" s="4743"/>
      <c r="P78" s="4743"/>
      <c r="Q78" s="4743"/>
      <c r="R78" s="4743"/>
      <c r="S78" s="4743"/>
      <c r="T78" s="4743"/>
      <c r="U78" s="4775"/>
      <c r="V78" s="4794">
        <f t="shared" si="202"/>
        <v>0</v>
      </c>
      <c r="W78" s="4794">
        <f t="shared" si="191"/>
        <v>0</v>
      </c>
      <c r="X78" s="4794">
        <f t="shared" si="192"/>
        <v>0</v>
      </c>
      <c r="Y78" s="4794">
        <f t="shared" si="193"/>
        <v>0</v>
      </c>
      <c r="Z78" s="4794">
        <f t="shared" si="194"/>
        <v>0</v>
      </c>
      <c r="AA78" s="4794">
        <f t="shared" si="195"/>
        <v>0</v>
      </c>
      <c r="AB78" s="4793">
        <f t="shared" si="196"/>
        <v>0</v>
      </c>
      <c r="AC78" s="4793">
        <f t="shared" si="197"/>
        <v>0</v>
      </c>
      <c r="AD78" s="4793">
        <f t="shared" si="198"/>
        <v>0</v>
      </c>
      <c r="AE78" s="4793">
        <f t="shared" si="199"/>
        <v>0</v>
      </c>
      <c r="AF78" s="4793">
        <f t="shared" si="200"/>
        <v>0</v>
      </c>
      <c r="AG78" s="4793">
        <f t="shared" si="201"/>
        <v>0</v>
      </c>
    </row>
    <row r="79" spans="1:33" s="152" customFormat="1" ht="22.5" customHeight="1">
      <c r="A79" s="4043" t="s">
        <v>1078</v>
      </c>
      <c r="B79" s="4744"/>
      <c r="C79" s="633"/>
      <c r="D79" s="634"/>
      <c r="E79" s="633"/>
      <c r="F79" s="634"/>
      <c r="G79" s="634"/>
      <c r="H79" s="633"/>
      <c r="I79" s="2087">
        <f t="shared" si="215"/>
        <v>0</v>
      </c>
      <c r="J79" s="2087">
        <f t="shared" si="215"/>
        <v>0</v>
      </c>
      <c r="K79" s="2087">
        <f t="shared" si="215"/>
        <v>0</v>
      </c>
      <c r="L79" s="2087">
        <f t="shared" si="215"/>
        <v>0</v>
      </c>
      <c r="M79" s="2087">
        <f t="shared" si="215"/>
        <v>0</v>
      </c>
      <c r="N79" s="2087">
        <f t="shared" si="215"/>
        <v>0</v>
      </c>
      <c r="O79" s="4743"/>
      <c r="P79" s="4743"/>
      <c r="Q79" s="4743"/>
      <c r="R79" s="4743"/>
      <c r="S79" s="4743"/>
      <c r="T79" s="4743"/>
      <c r="U79" s="4775"/>
      <c r="V79" s="4794">
        <f t="shared" si="202"/>
        <v>0</v>
      </c>
      <c r="W79" s="4794">
        <f t="shared" si="191"/>
        <v>0</v>
      </c>
      <c r="X79" s="4794">
        <f t="shared" si="192"/>
        <v>0</v>
      </c>
      <c r="Y79" s="4794">
        <f t="shared" si="193"/>
        <v>0</v>
      </c>
      <c r="Z79" s="4794">
        <f t="shared" si="194"/>
        <v>0</v>
      </c>
      <c r="AA79" s="4794">
        <f t="shared" si="195"/>
        <v>0</v>
      </c>
      <c r="AB79" s="4793">
        <f t="shared" si="196"/>
        <v>0</v>
      </c>
      <c r="AC79" s="4793">
        <f t="shared" si="197"/>
        <v>0</v>
      </c>
      <c r="AD79" s="4793">
        <f t="shared" si="198"/>
        <v>0</v>
      </c>
      <c r="AE79" s="4793">
        <f t="shared" si="199"/>
        <v>0</v>
      </c>
      <c r="AF79" s="4793">
        <f t="shared" si="200"/>
        <v>0</v>
      </c>
      <c r="AG79" s="4793">
        <f t="shared" si="201"/>
        <v>0</v>
      </c>
    </row>
    <row r="80" spans="1:33" s="152" customFormat="1" ht="22.5" hidden="1" customHeight="1">
      <c r="A80" s="5248"/>
      <c r="B80" s="5249"/>
      <c r="C80" s="5249"/>
      <c r="D80" s="5249"/>
      <c r="E80" s="5249"/>
      <c r="F80" s="5249"/>
      <c r="G80" s="5249"/>
      <c r="H80" s="5249"/>
      <c r="I80" s="5249"/>
      <c r="J80" s="5249"/>
      <c r="K80" s="5249"/>
      <c r="L80" s="5249"/>
      <c r="M80" s="5249"/>
      <c r="N80" s="5249"/>
      <c r="O80" s="5249"/>
      <c r="P80" s="5249"/>
      <c r="Q80" s="5249"/>
      <c r="R80" s="5249"/>
      <c r="S80" s="5249"/>
      <c r="T80" s="5250"/>
      <c r="U80" s="4775"/>
      <c r="V80" s="4794">
        <f t="shared" si="202"/>
        <v>0</v>
      </c>
      <c r="W80" s="4794">
        <f t="shared" si="191"/>
        <v>0</v>
      </c>
      <c r="X80" s="4794">
        <f t="shared" si="192"/>
        <v>0</v>
      </c>
      <c r="Y80" s="4794">
        <f t="shared" si="193"/>
        <v>0</v>
      </c>
      <c r="Z80" s="4794">
        <f t="shared" si="194"/>
        <v>0</v>
      </c>
      <c r="AA80" s="4794">
        <f t="shared" si="195"/>
        <v>0</v>
      </c>
      <c r="AB80" s="4793">
        <f t="shared" si="196"/>
        <v>0</v>
      </c>
      <c r="AC80" s="4793">
        <f t="shared" si="197"/>
        <v>0</v>
      </c>
      <c r="AD80" s="4793">
        <f t="shared" si="198"/>
        <v>0</v>
      </c>
      <c r="AE80" s="4793">
        <f t="shared" si="199"/>
        <v>0</v>
      </c>
      <c r="AF80" s="4793">
        <f t="shared" si="200"/>
        <v>0</v>
      </c>
      <c r="AG80" s="4793">
        <f t="shared" si="201"/>
        <v>0</v>
      </c>
    </row>
    <row r="81" spans="1:33" s="152" customFormat="1" ht="23.25" customHeight="1">
      <c r="A81" s="4035">
        <v>5</v>
      </c>
      <c r="B81" s="319" t="s">
        <v>1756</v>
      </c>
      <c r="C81" s="635">
        <f t="shared" ref="C81:N81" si="216">C73+C74+C75+C76</f>
        <v>0</v>
      </c>
      <c r="D81" s="635">
        <f t="shared" si="216"/>
        <v>0</v>
      </c>
      <c r="E81" s="635">
        <f t="shared" si="216"/>
        <v>0</v>
      </c>
      <c r="F81" s="635">
        <f t="shared" si="216"/>
        <v>0</v>
      </c>
      <c r="G81" s="635">
        <f t="shared" si="216"/>
        <v>0</v>
      </c>
      <c r="H81" s="635">
        <f t="shared" si="216"/>
        <v>0</v>
      </c>
      <c r="I81" s="635">
        <f t="shared" si="216"/>
        <v>0</v>
      </c>
      <c r="J81" s="635">
        <f t="shared" si="216"/>
        <v>0</v>
      </c>
      <c r="K81" s="635">
        <f t="shared" si="216"/>
        <v>0</v>
      </c>
      <c r="L81" s="635">
        <f t="shared" si="216"/>
        <v>0</v>
      </c>
      <c r="M81" s="635">
        <f t="shared" si="216"/>
        <v>0</v>
      </c>
      <c r="N81" s="635">
        <f t="shared" si="216"/>
        <v>0</v>
      </c>
      <c r="O81" s="311">
        <f t="shared" ref="O81:T81" si="217">IFERROR((I81*1000)/(C81/1000),0)</f>
        <v>0</v>
      </c>
      <c r="P81" s="311">
        <f t="shared" si="217"/>
        <v>0</v>
      </c>
      <c r="Q81" s="311">
        <f t="shared" si="217"/>
        <v>0</v>
      </c>
      <c r="R81" s="311">
        <f t="shared" si="217"/>
        <v>0</v>
      </c>
      <c r="S81" s="311">
        <f t="shared" si="217"/>
        <v>0</v>
      </c>
      <c r="T81" s="311">
        <f t="shared" si="217"/>
        <v>0</v>
      </c>
      <c r="U81" s="4775"/>
      <c r="V81" s="4794">
        <f t="shared" si="202"/>
        <v>0</v>
      </c>
      <c r="W81" s="4794">
        <f t="shared" si="191"/>
        <v>0</v>
      </c>
      <c r="X81" s="4794">
        <f t="shared" si="192"/>
        <v>0</v>
      </c>
      <c r="Y81" s="4794">
        <f t="shared" si="193"/>
        <v>0</v>
      </c>
      <c r="Z81" s="4794">
        <f t="shared" si="194"/>
        <v>0</v>
      </c>
      <c r="AA81" s="4794">
        <f t="shared" si="195"/>
        <v>0</v>
      </c>
      <c r="AB81" s="4793">
        <f t="shared" si="196"/>
        <v>0</v>
      </c>
      <c r="AC81" s="4793">
        <f t="shared" si="197"/>
        <v>0</v>
      </c>
      <c r="AD81" s="4793">
        <f t="shared" si="198"/>
        <v>0</v>
      </c>
      <c r="AE81" s="4793">
        <f t="shared" si="199"/>
        <v>0</v>
      </c>
      <c r="AF81" s="4793">
        <f t="shared" si="200"/>
        <v>0</v>
      </c>
      <c r="AG81" s="4793">
        <f t="shared" si="201"/>
        <v>0</v>
      </c>
    </row>
    <row r="82" spans="1:33" s="152" customFormat="1" ht="23.25" customHeight="1">
      <c r="A82" s="4036">
        <v>6</v>
      </c>
      <c r="B82" s="103" t="s">
        <v>350</v>
      </c>
      <c r="C82" s="636"/>
      <c r="D82" s="637">
        <f>D81-C81</f>
        <v>0</v>
      </c>
      <c r="E82" s="637">
        <f t="shared" ref="E82:H82" si="218">E81-D81</f>
        <v>0</v>
      </c>
      <c r="F82" s="637">
        <f t="shared" si="218"/>
        <v>0</v>
      </c>
      <c r="G82" s="637">
        <f t="shared" si="218"/>
        <v>0</v>
      </c>
      <c r="H82" s="637">
        <f t="shared" si="218"/>
        <v>0</v>
      </c>
      <c r="I82" s="636"/>
      <c r="J82" s="637">
        <f t="shared" ref="J82:N82" si="219">J81-I81</f>
        <v>0</v>
      </c>
      <c r="K82" s="637">
        <f>K81-J81</f>
        <v>0</v>
      </c>
      <c r="L82" s="637">
        <f t="shared" si="219"/>
        <v>0</v>
      </c>
      <c r="M82" s="637">
        <f t="shared" si="219"/>
        <v>0</v>
      </c>
      <c r="N82" s="637">
        <f t="shared" si="219"/>
        <v>0</v>
      </c>
      <c r="O82" s="312"/>
      <c r="P82" s="613">
        <f t="shared" ref="P82:T82" si="220">P81-O81</f>
        <v>0</v>
      </c>
      <c r="Q82" s="613">
        <f t="shared" si="220"/>
        <v>0</v>
      </c>
      <c r="R82" s="613">
        <f t="shared" si="220"/>
        <v>0</v>
      </c>
      <c r="S82" s="613">
        <f t="shared" si="220"/>
        <v>0</v>
      </c>
      <c r="T82" s="613">
        <f t="shared" si="220"/>
        <v>0</v>
      </c>
      <c r="U82" s="4775"/>
      <c r="V82" s="4878"/>
      <c r="W82" s="4817">
        <f>W81-V81</f>
        <v>0</v>
      </c>
      <c r="X82" s="4817">
        <f t="shared" ref="X82" si="221">X81-W81</f>
        <v>0</v>
      </c>
      <c r="Y82" s="4817">
        <f t="shared" ref="Y82" si="222">Y81-X81</f>
        <v>0</v>
      </c>
      <c r="Z82" s="4817">
        <f t="shared" ref="Z82" si="223">Z81-Y81</f>
        <v>0</v>
      </c>
      <c r="AA82" s="4817">
        <f t="shared" ref="AA82" si="224">AA81-Z81</f>
        <v>0</v>
      </c>
      <c r="AB82" s="4878"/>
      <c r="AC82" s="4817">
        <f>AC81-AB81</f>
        <v>0</v>
      </c>
      <c r="AD82" s="4817">
        <f t="shared" ref="AD82" si="225">AD81-AC81</f>
        <v>0</v>
      </c>
      <c r="AE82" s="4817">
        <f t="shared" ref="AE82" si="226">AE81-AD81</f>
        <v>0</v>
      </c>
      <c r="AF82" s="4817">
        <f t="shared" ref="AF82" si="227">AF81-AE81</f>
        <v>0</v>
      </c>
      <c r="AG82" s="4817">
        <f t="shared" ref="AG82" si="228">AG81-AF81</f>
        <v>0</v>
      </c>
    </row>
    <row r="83" spans="1:33" s="152" customFormat="1" ht="23.25" customHeight="1">
      <c r="A83" s="4159">
        <v>7</v>
      </c>
      <c r="B83" s="317" t="s">
        <v>1745</v>
      </c>
      <c r="C83" s="314">
        <f>IFERROR(C81/'4. Отчет и прогн. потребление'!D93,0)</f>
        <v>0</v>
      </c>
      <c r="D83" s="314">
        <f>IFERROR(D81/'4. Отчет и прогн. потребление'!E93,0)</f>
        <v>0</v>
      </c>
      <c r="E83" s="314">
        <f>IFERROR(E81/'4. Отчет и прогн. потребление'!F93,0)</f>
        <v>0</v>
      </c>
      <c r="F83" s="314">
        <f>IFERROR(F81/'4. Отчет и прогн. потребление'!G93,0)</f>
        <v>0</v>
      </c>
      <c r="G83" s="314">
        <f>IFERROR(G81/'4. Отчет и прогн. потребление'!H93,0)</f>
        <v>0</v>
      </c>
      <c r="H83" s="314">
        <f>IFERROR(H81/'4. Отчет и прогн. потребление'!I93,0)</f>
        <v>0</v>
      </c>
      <c r="I83" s="4160"/>
      <c r="J83" s="312"/>
      <c r="K83" s="312"/>
      <c r="L83" s="312"/>
      <c r="M83" s="312"/>
      <c r="N83" s="312"/>
      <c r="O83" s="4161"/>
      <c r="P83" s="312"/>
      <c r="Q83" s="312"/>
      <c r="R83" s="312"/>
      <c r="S83" s="312"/>
      <c r="T83" s="312"/>
      <c r="U83" s="4775"/>
      <c r="V83" s="153"/>
      <c r="W83" s="153"/>
      <c r="X83" s="153"/>
      <c r="Y83" s="153"/>
    </row>
    <row r="84" spans="1:33" s="152" customFormat="1" ht="24.75" customHeight="1" thickBot="1">
      <c r="A84" s="4039">
        <v>8</v>
      </c>
      <c r="B84" s="4040" t="s">
        <v>1746</v>
      </c>
      <c r="C84" s="4162">
        <f>IFERROR(C81/'4. Отчет и прогн. потребление'!D100,0)</f>
        <v>0</v>
      </c>
      <c r="D84" s="4162">
        <f>IFERROR(D81/'4. Отчет и прогн. потребление'!E100,0)</f>
        <v>0</v>
      </c>
      <c r="E84" s="4162">
        <f>IFERROR(E81/'4. Отчет и прогн. потребление'!F100,0)</f>
        <v>0</v>
      </c>
      <c r="F84" s="4162">
        <f>IFERROR(F81/'4. Отчет и прогн. потребление'!G100,0)</f>
        <v>0</v>
      </c>
      <c r="G84" s="4162">
        <f>IFERROR(G81/'4. Отчет и прогн. потребление'!H100,0)</f>
        <v>0</v>
      </c>
      <c r="H84" s="4162">
        <f>IFERROR(H81/'4. Отчет и прогн. потребление'!I100,0)</f>
        <v>0</v>
      </c>
      <c r="I84" s="427"/>
      <c r="J84" s="427"/>
      <c r="K84" s="427"/>
      <c r="L84" s="427"/>
      <c r="M84" s="427"/>
      <c r="N84" s="427"/>
      <c r="O84" s="427"/>
      <c r="P84" s="427"/>
      <c r="Q84" s="427"/>
      <c r="R84" s="427"/>
      <c r="S84" s="427"/>
      <c r="T84" s="427"/>
      <c r="U84" s="4775"/>
      <c r="V84" s="153"/>
      <c r="W84" s="153"/>
      <c r="X84" s="153"/>
      <c r="Y84" s="153"/>
    </row>
    <row r="85" spans="1:33" s="152" customFormat="1" ht="23.25" customHeight="1" thickBot="1">
      <c r="A85" s="449"/>
      <c r="B85" s="450"/>
      <c r="C85" s="318"/>
      <c r="D85" s="316"/>
      <c r="E85" s="316"/>
      <c r="F85" s="316"/>
      <c r="G85" s="316"/>
      <c r="H85" s="316"/>
      <c r="I85" s="451"/>
      <c r="J85" s="451"/>
      <c r="K85" s="451"/>
      <c r="L85" s="451"/>
      <c r="M85" s="451"/>
      <c r="N85" s="451"/>
      <c r="O85" s="315"/>
      <c r="P85" s="316"/>
      <c r="Q85" s="316"/>
      <c r="R85" s="316"/>
      <c r="S85" s="316"/>
      <c r="T85" s="316"/>
      <c r="U85" s="153"/>
      <c r="V85" s="153"/>
      <c r="W85" s="153"/>
      <c r="X85" s="153"/>
      <c r="Y85" s="153"/>
    </row>
    <row r="86" spans="1:33" ht="23.25" customHeight="1">
      <c r="A86" s="5239" t="s">
        <v>1</v>
      </c>
      <c r="B86" s="5242" t="s">
        <v>1753</v>
      </c>
      <c r="C86" s="5242" t="s">
        <v>1766</v>
      </c>
      <c r="D86" s="5242"/>
      <c r="E86" s="5242"/>
      <c r="F86" s="5242"/>
      <c r="G86" s="5242"/>
      <c r="H86" s="5242"/>
      <c r="I86" s="5242"/>
      <c r="J86" s="5242"/>
      <c r="K86" s="5242"/>
      <c r="L86" s="5242"/>
      <c r="M86" s="5242"/>
      <c r="N86" s="5242"/>
      <c r="O86" s="5242"/>
      <c r="P86" s="5242"/>
      <c r="Q86" s="5242"/>
      <c r="R86" s="5242"/>
      <c r="S86" s="5242"/>
      <c r="T86" s="5242"/>
      <c r="U86" s="4775"/>
      <c r="V86" s="5233" t="str">
        <f>+C86</f>
        <v>Обобщена справка за консумацията и производството на електроенергия</v>
      </c>
      <c r="W86" s="5233"/>
      <c r="X86" s="5233"/>
      <c r="Y86" s="5233"/>
      <c r="Z86" s="5233"/>
      <c r="AA86" s="5233"/>
      <c r="AB86" s="5233"/>
      <c r="AC86" s="5233"/>
      <c r="AD86" s="5233"/>
      <c r="AE86" s="5233"/>
      <c r="AF86" s="5233"/>
      <c r="AG86" s="5233"/>
    </row>
    <row r="87" spans="1:33" ht="24.75" customHeight="1">
      <c r="A87" s="5240"/>
      <c r="B87" s="5243"/>
      <c r="C87" s="5245" t="s">
        <v>348</v>
      </c>
      <c r="D87" s="5245"/>
      <c r="E87" s="5245"/>
      <c r="F87" s="5245"/>
      <c r="G87" s="5245"/>
      <c r="H87" s="5245"/>
      <c r="I87" s="5245" t="s">
        <v>911</v>
      </c>
      <c r="J87" s="5245"/>
      <c r="K87" s="5245"/>
      <c r="L87" s="5245"/>
      <c r="M87" s="5245"/>
      <c r="N87" s="5245"/>
      <c r="O87" s="5262" t="s">
        <v>1765</v>
      </c>
      <c r="P87" s="5263"/>
      <c r="Q87" s="5263"/>
      <c r="R87" s="5263"/>
      <c r="S87" s="5263"/>
      <c r="T87" s="5263"/>
      <c r="U87" s="4775"/>
      <c r="V87" s="5234" t="s">
        <v>1879</v>
      </c>
      <c r="W87" s="5234"/>
      <c r="X87" s="5234"/>
      <c r="Y87" s="5234"/>
      <c r="Z87" s="5234"/>
      <c r="AA87" s="5234"/>
      <c r="AB87" s="5234" t="s">
        <v>1880</v>
      </c>
      <c r="AC87" s="5234"/>
      <c r="AD87" s="5234"/>
      <c r="AE87" s="5234"/>
      <c r="AF87" s="5234"/>
      <c r="AG87" s="5234"/>
    </row>
    <row r="88" spans="1:33" ht="26.25" customHeight="1" thickBot="1">
      <c r="A88" s="5241"/>
      <c r="B88" s="5244"/>
      <c r="C88" s="160" t="str">
        <f t="shared" ref="C88:H88" si="229">C40</f>
        <v>2024 г.</v>
      </c>
      <c r="D88" s="160" t="str">
        <f t="shared" si="229"/>
        <v>2027 г.</v>
      </c>
      <c r="E88" s="160" t="str">
        <f t="shared" si="229"/>
        <v>2028 г.</v>
      </c>
      <c r="F88" s="160" t="str">
        <f t="shared" si="229"/>
        <v>2029 г.</v>
      </c>
      <c r="G88" s="160" t="str">
        <f t="shared" si="229"/>
        <v>2030 г.</v>
      </c>
      <c r="H88" s="160" t="str">
        <f t="shared" si="229"/>
        <v>2031 г.</v>
      </c>
      <c r="I88" s="160" t="str">
        <f t="shared" ref="I88:T88" si="230">C88</f>
        <v>2024 г.</v>
      </c>
      <c r="J88" s="160" t="str">
        <f t="shared" si="230"/>
        <v>2027 г.</v>
      </c>
      <c r="K88" s="160" t="str">
        <f t="shared" si="230"/>
        <v>2028 г.</v>
      </c>
      <c r="L88" s="160" t="str">
        <f t="shared" si="230"/>
        <v>2029 г.</v>
      </c>
      <c r="M88" s="160" t="str">
        <f t="shared" si="230"/>
        <v>2030 г.</v>
      </c>
      <c r="N88" s="160" t="str">
        <f t="shared" si="230"/>
        <v>2031 г.</v>
      </c>
      <c r="O88" s="160" t="str">
        <f t="shared" si="230"/>
        <v>2024 г.</v>
      </c>
      <c r="P88" s="160" t="str">
        <f t="shared" si="230"/>
        <v>2027 г.</v>
      </c>
      <c r="Q88" s="160" t="str">
        <f t="shared" si="230"/>
        <v>2028 г.</v>
      </c>
      <c r="R88" s="160" t="str">
        <f t="shared" si="230"/>
        <v>2029 г.</v>
      </c>
      <c r="S88" s="160" t="str">
        <f t="shared" si="230"/>
        <v>2030 г.</v>
      </c>
      <c r="T88" s="160" t="str">
        <f t="shared" si="230"/>
        <v>2031 г.</v>
      </c>
      <c r="U88" s="4775"/>
      <c r="V88" s="4792" t="str">
        <f>+I88</f>
        <v>2024 г.</v>
      </c>
      <c r="W88" s="4792" t="str">
        <f t="shared" ref="W88" si="231">+J88</f>
        <v>2027 г.</v>
      </c>
      <c r="X88" s="4792" t="str">
        <f t="shared" ref="X88" si="232">+K88</f>
        <v>2028 г.</v>
      </c>
      <c r="Y88" s="4792" t="str">
        <f t="shared" ref="Y88" si="233">+L88</f>
        <v>2029 г.</v>
      </c>
      <c r="Z88" s="4792" t="str">
        <f t="shared" ref="Z88" si="234">+M88</f>
        <v>2030 г.</v>
      </c>
      <c r="AA88" s="4792" t="str">
        <f t="shared" ref="AA88" si="235">+N88</f>
        <v>2031 г.</v>
      </c>
      <c r="AB88" s="4792" t="str">
        <f t="shared" ref="AB88" si="236">+O88</f>
        <v>2024 г.</v>
      </c>
      <c r="AC88" s="4792" t="str">
        <f t="shared" ref="AC88" si="237">+P88</f>
        <v>2027 г.</v>
      </c>
      <c r="AD88" s="4792" t="str">
        <f t="shared" ref="AD88" si="238">+Q88</f>
        <v>2028 г.</v>
      </c>
      <c r="AE88" s="4792" t="str">
        <f t="shared" ref="AE88" si="239">+R88</f>
        <v>2029 г.</v>
      </c>
      <c r="AF88" s="4792" t="str">
        <f t="shared" ref="AF88" si="240">+S88</f>
        <v>2030 г.</v>
      </c>
      <c r="AG88" s="4792" t="str">
        <f t="shared" ref="AG88" si="241">+T88</f>
        <v>2031 г.</v>
      </c>
    </row>
    <row r="89" spans="1:33" ht="24" customHeight="1">
      <c r="A89" s="4049">
        <v>1</v>
      </c>
      <c r="B89" s="4050" t="s">
        <v>1752</v>
      </c>
      <c r="C89" s="4051">
        <f t="shared" ref="C89:N89" si="242">C10+C26+C41+C57+C73</f>
        <v>1226256</v>
      </c>
      <c r="D89" s="4051">
        <f t="shared" si="242"/>
        <v>1220500</v>
      </c>
      <c r="E89" s="4051">
        <f t="shared" si="242"/>
        <v>1160500</v>
      </c>
      <c r="F89" s="4051">
        <f t="shared" si="242"/>
        <v>1120400</v>
      </c>
      <c r="G89" s="4051">
        <f t="shared" si="242"/>
        <v>1080400</v>
      </c>
      <c r="H89" s="4051">
        <f t="shared" si="242"/>
        <v>1030400</v>
      </c>
      <c r="I89" s="4051">
        <f t="shared" si="242"/>
        <v>312.76803697099996</v>
      </c>
      <c r="J89" s="4051">
        <f t="shared" si="242"/>
        <v>325.56516200000004</v>
      </c>
      <c r="K89" s="4051">
        <f t="shared" si="242"/>
        <v>309.56052199999999</v>
      </c>
      <c r="L89" s="4051">
        <f t="shared" si="242"/>
        <v>298.86326560000003</v>
      </c>
      <c r="M89" s="4051">
        <f t="shared" si="242"/>
        <v>288.19350560000004</v>
      </c>
      <c r="N89" s="4051">
        <f t="shared" si="242"/>
        <v>274.85630560000004</v>
      </c>
      <c r="O89" s="4052">
        <f>IFERROR((I89*1000)/(C89/1000),0)</f>
        <v>255.05933261162428</v>
      </c>
      <c r="P89" s="4052">
        <f t="shared" ref="O89:T93" si="243">IFERROR((J89*1000)/(D89/1000),0)</f>
        <v>266.74736747234743</v>
      </c>
      <c r="Q89" s="4052">
        <f t="shared" si="243"/>
        <v>266.74754157690649</v>
      </c>
      <c r="R89" s="4052">
        <f t="shared" si="243"/>
        <v>266.74693466619067</v>
      </c>
      <c r="S89" s="4052">
        <f t="shared" si="243"/>
        <v>266.74704331728992</v>
      </c>
      <c r="T89" s="4053">
        <f t="shared" si="243"/>
        <v>266.74719099378882</v>
      </c>
      <c r="U89" s="4775"/>
      <c r="V89" s="4794">
        <f>IFERROR(I89/$C$1,0)</f>
        <v>159.91575800095097</v>
      </c>
      <c r="W89" s="4794">
        <f t="shared" ref="W89:W96" si="244">IFERROR(J89/$C$1,0)</f>
        <v>166.45882413093165</v>
      </c>
      <c r="X89" s="4794">
        <f t="shared" ref="X89:X96" si="245">IFERROR(K89/$C$1,0)</f>
        <v>158.27578163746338</v>
      </c>
      <c r="Y89" s="4794">
        <f t="shared" ref="Y89:Y96" si="246">IFERROR(L89/$C$1,0)</f>
        <v>152.80636128906912</v>
      </c>
      <c r="Z89" s="4794">
        <f t="shared" ref="Z89:Z96" si="247">IFERROR(M89/$C$1,0)</f>
        <v>147.35099962675696</v>
      </c>
      <c r="AA89" s="4794">
        <f t="shared" ref="AA89:AA96" si="248">IFERROR(N89/$C$1,0)</f>
        <v>140.53179754886673</v>
      </c>
      <c r="AB89" s="4793">
        <f t="shared" ref="AB89:AB96" si="249">IFERROR(O89/$C$1,0)</f>
        <v>130.40976598764939</v>
      </c>
      <c r="AC89" s="4793">
        <f t="shared" ref="AC89:AC96" si="250">IFERROR(P89/$C$1,0)</f>
        <v>136.38576331907549</v>
      </c>
      <c r="AD89" s="4793">
        <f t="shared" ref="AD89:AD96" si="251">IFERROR(Q89/$C$1,0)</f>
        <v>136.38585233732303</v>
      </c>
      <c r="AE89" s="4793">
        <f t="shared" ref="AE89:AE96" si="252">IFERROR(R89/$C$1,0)</f>
        <v>136.38554202880141</v>
      </c>
      <c r="AF89" s="4793">
        <f t="shared" ref="AF89:AF96" si="253">IFERROR(S89/$C$1,0)</f>
        <v>136.38559758122634</v>
      </c>
      <c r="AG89" s="4793">
        <f t="shared" ref="AG89:AG96" si="254">IFERROR(T89/$C$1,0)</f>
        <v>136.38567308702127</v>
      </c>
    </row>
    <row r="90" spans="1:33" ht="24">
      <c r="A90" s="3526">
        <v>2</v>
      </c>
      <c r="B90" s="103" t="s">
        <v>1754</v>
      </c>
      <c r="C90" s="638">
        <f t="shared" ref="C90:N90" si="255">C11+C27+C42+C58+C74</f>
        <v>2945145</v>
      </c>
      <c r="D90" s="638">
        <f t="shared" si="255"/>
        <v>2935000</v>
      </c>
      <c r="E90" s="638">
        <f t="shared" si="255"/>
        <v>2890000</v>
      </c>
      <c r="F90" s="638">
        <f t="shared" si="255"/>
        <v>2825000</v>
      </c>
      <c r="G90" s="638">
        <f t="shared" si="255"/>
        <v>2790000</v>
      </c>
      <c r="H90" s="638">
        <f t="shared" si="255"/>
        <v>2755000</v>
      </c>
      <c r="I90" s="638">
        <f t="shared" si="255"/>
        <v>649.99283598199997</v>
      </c>
      <c r="J90" s="638">
        <f t="shared" si="255"/>
        <v>692.77207600000008</v>
      </c>
      <c r="K90" s="638">
        <f t="shared" si="255"/>
        <v>682.21975999999995</v>
      </c>
      <c r="L90" s="638">
        <f t="shared" si="255"/>
        <v>666.87030000000004</v>
      </c>
      <c r="M90" s="638">
        <f t="shared" si="255"/>
        <v>658.60170999999991</v>
      </c>
      <c r="N90" s="638">
        <f t="shared" si="255"/>
        <v>650.33311999999989</v>
      </c>
      <c r="O90" s="310">
        <f t="shared" si="243"/>
        <v>220.69977402878297</v>
      </c>
      <c r="P90" s="310">
        <f t="shared" si="243"/>
        <v>236.03818603066443</v>
      </c>
      <c r="Q90" s="310">
        <f t="shared" si="243"/>
        <v>236.06220069204153</v>
      </c>
      <c r="R90" s="310">
        <f t="shared" si="243"/>
        <v>236.06028318584072</v>
      </c>
      <c r="S90" s="310">
        <f t="shared" si="243"/>
        <v>236.05796057347669</v>
      </c>
      <c r="T90" s="310">
        <f t="shared" si="243"/>
        <v>236.05557894736839</v>
      </c>
      <c r="U90" s="4775"/>
      <c r="V90" s="4794">
        <f t="shared" ref="V90:V96" si="256">IFERROR(I90/$C$1,0)</f>
        <v>332.33605987330185</v>
      </c>
      <c r="W90" s="4794">
        <f t="shared" si="244"/>
        <v>354.2087379782497</v>
      </c>
      <c r="X90" s="4794">
        <f t="shared" si="245"/>
        <v>348.81342447963266</v>
      </c>
      <c r="Y90" s="4794">
        <f t="shared" si="246"/>
        <v>340.96537020088658</v>
      </c>
      <c r="Z90" s="4794">
        <f t="shared" si="247"/>
        <v>336.73770726494632</v>
      </c>
      <c r="AA90" s="4794">
        <f t="shared" si="248"/>
        <v>332.51004432900606</v>
      </c>
      <c r="AB90" s="4793">
        <f t="shared" si="249"/>
        <v>112.84200264275677</v>
      </c>
      <c r="AC90" s="4793">
        <f t="shared" si="250"/>
        <v>120.6844081697614</v>
      </c>
      <c r="AD90" s="4793">
        <f t="shared" si="251"/>
        <v>120.69668667115319</v>
      </c>
      <c r="AE90" s="4793">
        <f t="shared" si="252"/>
        <v>120.69570626580057</v>
      </c>
      <c r="AF90" s="4793">
        <f t="shared" si="253"/>
        <v>120.69451873295567</v>
      </c>
      <c r="AG90" s="4793">
        <f t="shared" si="254"/>
        <v>120.69330102686246</v>
      </c>
    </row>
    <row r="91" spans="1:33" ht="24">
      <c r="A91" s="3526">
        <v>3</v>
      </c>
      <c r="B91" s="103" t="s">
        <v>1755</v>
      </c>
      <c r="C91" s="638">
        <f t="shared" ref="C91:N91" si="257">C12+C28+C43+C59+C75</f>
        <v>0</v>
      </c>
      <c r="D91" s="638">
        <f t="shared" si="257"/>
        <v>0</v>
      </c>
      <c r="E91" s="638">
        <f t="shared" si="257"/>
        <v>0</v>
      </c>
      <c r="F91" s="638">
        <f t="shared" si="257"/>
        <v>0</v>
      </c>
      <c r="G91" s="638">
        <f t="shared" si="257"/>
        <v>0</v>
      </c>
      <c r="H91" s="638">
        <f t="shared" si="257"/>
        <v>0</v>
      </c>
      <c r="I91" s="638">
        <f t="shared" si="257"/>
        <v>0</v>
      </c>
      <c r="J91" s="638">
        <f t="shared" si="257"/>
        <v>0</v>
      </c>
      <c r="K91" s="638">
        <f t="shared" si="257"/>
        <v>0</v>
      </c>
      <c r="L91" s="638">
        <f t="shared" si="257"/>
        <v>0</v>
      </c>
      <c r="M91" s="638">
        <f t="shared" si="257"/>
        <v>0</v>
      </c>
      <c r="N91" s="638">
        <f t="shared" si="257"/>
        <v>0</v>
      </c>
      <c r="O91" s="310">
        <f t="shared" si="243"/>
        <v>0</v>
      </c>
      <c r="P91" s="310">
        <f t="shared" si="243"/>
        <v>0</v>
      </c>
      <c r="Q91" s="310">
        <f t="shared" si="243"/>
        <v>0</v>
      </c>
      <c r="R91" s="310">
        <f t="shared" si="243"/>
        <v>0</v>
      </c>
      <c r="S91" s="310">
        <f t="shared" si="243"/>
        <v>0</v>
      </c>
      <c r="T91" s="310">
        <f t="shared" si="243"/>
        <v>0</v>
      </c>
      <c r="U91" s="4775"/>
      <c r="V91" s="4794">
        <f t="shared" si="256"/>
        <v>0</v>
      </c>
      <c r="W91" s="4794">
        <f t="shared" si="244"/>
        <v>0</v>
      </c>
      <c r="X91" s="4794">
        <f t="shared" si="245"/>
        <v>0</v>
      </c>
      <c r="Y91" s="4794">
        <f t="shared" si="246"/>
        <v>0</v>
      </c>
      <c r="Z91" s="4794">
        <f t="shared" si="247"/>
        <v>0</v>
      </c>
      <c r="AA91" s="4794">
        <f t="shared" si="248"/>
        <v>0</v>
      </c>
      <c r="AB91" s="4793">
        <f t="shared" si="249"/>
        <v>0</v>
      </c>
      <c r="AC91" s="4793">
        <f t="shared" si="250"/>
        <v>0</v>
      </c>
      <c r="AD91" s="4793">
        <f t="shared" si="251"/>
        <v>0</v>
      </c>
      <c r="AE91" s="4793">
        <f t="shared" si="252"/>
        <v>0</v>
      </c>
      <c r="AF91" s="4793">
        <f t="shared" si="253"/>
        <v>0</v>
      </c>
      <c r="AG91" s="4793">
        <f t="shared" si="254"/>
        <v>0</v>
      </c>
    </row>
    <row r="92" spans="1:33" ht="24" customHeight="1">
      <c r="A92" s="4043">
        <v>4</v>
      </c>
      <c r="B92" s="654" t="s">
        <v>1757</v>
      </c>
      <c r="C92" s="638">
        <f t="shared" ref="C92:N92" si="258">C13+C29+C44+C60+C76</f>
        <v>247790</v>
      </c>
      <c r="D92" s="638">
        <f t="shared" si="258"/>
        <v>240000</v>
      </c>
      <c r="E92" s="638">
        <f t="shared" si="258"/>
        <v>240000</v>
      </c>
      <c r="F92" s="638">
        <f t="shared" si="258"/>
        <v>240000</v>
      </c>
      <c r="G92" s="638">
        <f t="shared" si="258"/>
        <v>240000</v>
      </c>
      <c r="H92" s="638">
        <f t="shared" si="258"/>
        <v>240000</v>
      </c>
      <c r="I92" s="638">
        <f t="shared" si="258"/>
        <v>15.75424041</v>
      </c>
      <c r="J92" s="638">
        <f t="shared" si="258"/>
        <v>27.7608</v>
      </c>
      <c r="K92" s="638">
        <f t="shared" si="258"/>
        <v>27.7608</v>
      </c>
      <c r="L92" s="638">
        <f t="shared" si="258"/>
        <v>27.7608</v>
      </c>
      <c r="M92" s="638">
        <f t="shared" si="258"/>
        <v>27.7608</v>
      </c>
      <c r="N92" s="638">
        <f t="shared" si="258"/>
        <v>27.7608</v>
      </c>
      <c r="O92" s="310">
        <f t="shared" si="243"/>
        <v>63.579000000000001</v>
      </c>
      <c r="P92" s="310">
        <f t="shared" si="243"/>
        <v>115.67</v>
      </c>
      <c r="Q92" s="310">
        <f t="shared" si="243"/>
        <v>115.67</v>
      </c>
      <c r="R92" s="310">
        <f t="shared" si="243"/>
        <v>115.67</v>
      </c>
      <c r="S92" s="310">
        <f t="shared" si="243"/>
        <v>115.67</v>
      </c>
      <c r="T92" s="310">
        <f t="shared" si="243"/>
        <v>115.67</v>
      </c>
      <c r="U92" s="4775"/>
      <c r="V92" s="4794">
        <f t="shared" si="256"/>
        <v>8.0550152160463835</v>
      </c>
      <c r="W92" s="4794">
        <f t="shared" si="244"/>
        <v>14.193871655511982</v>
      </c>
      <c r="X92" s="4794">
        <f t="shared" si="245"/>
        <v>14.193871655511982</v>
      </c>
      <c r="Y92" s="4794">
        <f t="shared" si="246"/>
        <v>14.193871655511982</v>
      </c>
      <c r="Z92" s="4794">
        <f t="shared" si="247"/>
        <v>14.193871655511982</v>
      </c>
      <c r="AA92" s="4794">
        <f t="shared" si="248"/>
        <v>14.193871655511982</v>
      </c>
      <c r="AB92" s="4793">
        <f t="shared" si="249"/>
        <v>32.507426514574377</v>
      </c>
      <c r="AC92" s="4793">
        <f t="shared" si="250"/>
        <v>59.141131897966595</v>
      </c>
      <c r="AD92" s="4793">
        <f t="shared" si="251"/>
        <v>59.141131897966595</v>
      </c>
      <c r="AE92" s="4793">
        <f t="shared" si="252"/>
        <v>59.141131897966595</v>
      </c>
      <c r="AF92" s="4793">
        <f t="shared" si="253"/>
        <v>59.141131897966595</v>
      </c>
      <c r="AG92" s="4793">
        <f t="shared" si="254"/>
        <v>59.141131897966595</v>
      </c>
    </row>
    <row r="93" spans="1:33" ht="24">
      <c r="A93" s="4035">
        <v>5</v>
      </c>
      <c r="B93" s="319" t="s">
        <v>1758</v>
      </c>
      <c r="C93" s="635">
        <f>C89+C90+C91+C92</f>
        <v>4419191</v>
      </c>
      <c r="D93" s="635">
        <f t="shared" ref="D93:H93" si="259">D89+D90+D91+D92</f>
        <v>4395500</v>
      </c>
      <c r="E93" s="635">
        <f t="shared" si="259"/>
        <v>4290500</v>
      </c>
      <c r="F93" s="635">
        <f t="shared" si="259"/>
        <v>4185400</v>
      </c>
      <c r="G93" s="635">
        <f t="shared" si="259"/>
        <v>4110400</v>
      </c>
      <c r="H93" s="635">
        <f t="shared" si="259"/>
        <v>4025400</v>
      </c>
      <c r="I93" s="635">
        <f t="shared" ref="I93" si="260">I89+I90+I91+I92</f>
        <v>978.51511336299995</v>
      </c>
      <c r="J93" s="635">
        <f t="shared" ref="J93" si="261">J89+J90+J91+J92</f>
        <v>1046.0980380000001</v>
      </c>
      <c r="K93" s="635">
        <f t="shared" ref="K93" si="262">K89+K90+K91+K92</f>
        <v>1019.541082</v>
      </c>
      <c r="L93" s="635">
        <f t="shared" ref="L93" si="263">L89+L90+L91+L92</f>
        <v>993.49436560000004</v>
      </c>
      <c r="M93" s="635">
        <f t="shared" ref="M93" si="264">M89+M90+M91+M92</f>
        <v>974.55601559999991</v>
      </c>
      <c r="N93" s="635">
        <f t="shared" ref="N93" si="265">N89+N90+N91+N92</f>
        <v>952.95022559999995</v>
      </c>
      <c r="O93" s="413">
        <f t="shared" si="243"/>
        <v>221.42403742291293</v>
      </c>
      <c r="P93" s="413">
        <f t="shared" si="243"/>
        <v>237.9929559777045</v>
      </c>
      <c r="Q93" s="413">
        <f t="shared" si="243"/>
        <v>237.6275683486773</v>
      </c>
      <c r="R93" s="413">
        <f t="shared" si="243"/>
        <v>237.37142581354234</v>
      </c>
      <c r="S93" s="413">
        <f t="shared" si="243"/>
        <v>237.09517701440248</v>
      </c>
      <c r="T93" s="413">
        <f t="shared" si="243"/>
        <v>236.7342936354151</v>
      </c>
      <c r="U93" s="4775"/>
      <c r="V93" s="4794">
        <f t="shared" si="256"/>
        <v>500.30683309029922</v>
      </c>
      <c r="W93" s="4794">
        <f t="shared" si="244"/>
        <v>534.86143376469329</v>
      </c>
      <c r="X93" s="4794">
        <f t="shared" si="245"/>
        <v>521.28307777260807</v>
      </c>
      <c r="Y93" s="4794">
        <f t="shared" si="246"/>
        <v>507.9656031454677</v>
      </c>
      <c r="Z93" s="4794">
        <f t="shared" si="247"/>
        <v>498.28257854721522</v>
      </c>
      <c r="AA93" s="4794">
        <f t="shared" si="248"/>
        <v>487.2357135333848</v>
      </c>
      <c r="AB93" s="4793">
        <f t="shared" si="249"/>
        <v>113.21231263602304</v>
      </c>
      <c r="AC93" s="4793">
        <f t="shared" si="250"/>
        <v>121.68386617328935</v>
      </c>
      <c r="AD93" s="4793">
        <f t="shared" si="251"/>
        <v>121.49704644507821</v>
      </c>
      <c r="AE93" s="4793">
        <f t="shared" si="252"/>
        <v>121.36608284643468</v>
      </c>
      <c r="AF93" s="4793">
        <f t="shared" si="253"/>
        <v>121.22483907824427</v>
      </c>
      <c r="AG93" s="4793">
        <f t="shared" si="254"/>
        <v>121.04032233650936</v>
      </c>
    </row>
    <row r="94" spans="1:33" ht="29.25" customHeight="1">
      <c r="A94" s="3526">
        <v>6</v>
      </c>
      <c r="B94" s="103" t="s">
        <v>1759</v>
      </c>
      <c r="C94" s="739">
        <v>594779</v>
      </c>
      <c r="D94" s="739"/>
      <c r="E94" s="739"/>
      <c r="F94" s="739"/>
      <c r="G94" s="739"/>
      <c r="H94" s="739"/>
      <c r="I94" s="2089">
        <f>(C94/1000)*(O94/1000)</f>
        <v>146.433400242</v>
      </c>
      <c r="J94" s="2087">
        <f t="shared" ref="J94:N95" si="266">(D94/1000)*(P94/1000)</f>
        <v>0</v>
      </c>
      <c r="K94" s="2087">
        <f t="shared" si="266"/>
        <v>0</v>
      </c>
      <c r="L94" s="2087">
        <f t="shared" si="266"/>
        <v>0</v>
      </c>
      <c r="M94" s="2087">
        <f t="shared" si="266"/>
        <v>0</v>
      </c>
      <c r="N94" s="2087">
        <f t="shared" si="266"/>
        <v>0</v>
      </c>
      <c r="O94" s="4743">
        <v>246.19800000000001</v>
      </c>
      <c r="P94" s="4743"/>
      <c r="Q94" s="4743"/>
      <c r="R94" s="4743"/>
      <c r="S94" s="4743"/>
      <c r="T94" s="4743"/>
      <c r="U94" s="4775"/>
      <c r="V94" s="4794">
        <f t="shared" si="256"/>
        <v>74.870208679690975</v>
      </c>
      <c r="W94" s="4794">
        <f t="shared" si="244"/>
        <v>0</v>
      </c>
      <c r="X94" s="4794">
        <f t="shared" si="245"/>
        <v>0</v>
      </c>
      <c r="Y94" s="4794">
        <f t="shared" si="246"/>
        <v>0</v>
      </c>
      <c r="Z94" s="4794">
        <f t="shared" si="247"/>
        <v>0</v>
      </c>
      <c r="AA94" s="4794">
        <f t="shared" si="248"/>
        <v>0</v>
      </c>
      <c r="AB94" s="4793">
        <f t="shared" si="249"/>
        <v>125.8790385667466</v>
      </c>
      <c r="AC94" s="4793">
        <f t="shared" si="250"/>
        <v>0</v>
      </c>
      <c r="AD94" s="4793">
        <f t="shared" si="251"/>
        <v>0</v>
      </c>
      <c r="AE94" s="4793">
        <f t="shared" si="252"/>
        <v>0</v>
      </c>
      <c r="AF94" s="4793">
        <f t="shared" si="253"/>
        <v>0</v>
      </c>
      <c r="AG94" s="4793">
        <f t="shared" si="254"/>
        <v>0</v>
      </c>
    </row>
    <row r="95" spans="1:33" ht="29.25" customHeight="1">
      <c r="A95" s="3526">
        <v>7</v>
      </c>
      <c r="B95" s="103" t="s">
        <v>1760</v>
      </c>
      <c r="C95" s="633">
        <v>32593</v>
      </c>
      <c r="D95" s="633"/>
      <c r="E95" s="633"/>
      <c r="F95" s="633"/>
      <c r="G95" s="633"/>
      <c r="H95" s="633"/>
      <c r="I95" s="2089">
        <f>(C95/1000)*(O95/1000)</f>
        <v>7.464807383000001</v>
      </c>
      <c r="J95" s="2087">
        <f t="shared" si="266"/>
        <v>0</v>
      </c>
      <c r="K95" s="2087">
        <f t="shared" si="266"/>
        <v>0</v>
      </c>
      <c r="L95" s="2087">
        <f t="shared" si="266"/>
        <v>0</v>
      </c>
      <c r="M95" s="2087">
        <f t="shared" si="266"/>
        <v>0</v>
      </c>
      <c r="N95" s="2087">
        <f t="shared" si="266"/>
        <v>0</v>
      </c>
      <c r="O95" s="4743">
        <v>229.03100000000001</v>
      </c>
      <c r="P95" s="4743"/>
      <c r="Q95" s="4743"/>
      <c r="R95" s="4743"/>
      <c r="S95" s="4743"/>
      <c r="T95" s="4743"/>
      <c r="U95" s="4775"/>
      <c r="V95" s="4794">
        <f t="shared" si="256"/>
        <v>3.8166954096214911</v>
      </c>
      <c r="W95" s="4794">
        <f t="shared" si="244"/>
        <v>0</v>
      </c>
      <c r="X95" s="4794">
        <f t="shared" si="245"/>
        <v>0</v>
      </c>
      <c r="Y95" s="4794">
        <f t="shared" si="246"/>
        <v>0</v>
      </c>
      <c r="Z95" s="4794">
        <f t="shared" si="247"/>
        <v>0</v>
      </c>
      <c r="AA95" s="4794">
        <f t="shared" si="248"/>
        <v>0</v>
      </c>
      <c r="AB95" s="4793">
        <f t="shared" si="249"/>
        <v>117.10169084225112</v>
      </c>
      <c r="AC95" s="4793">
        <f t="shared" si="250"/>
        <v>0</v>
      </c>
      <c r="AD95" s="4793">
        <f t="shared" si="251"/>
        <v>0</v>
      </c>
      <c r="AE95" s="4793">
        <f t="shared" si="252"/>
        <v>0</v>
      </c>
      <c r="AF95" s="4793">
        <f t="shared" si="253"/>
        <v>0</v>
      </c>
      <c r="AG95" s="4793">
        <f t="shared" si="254"/>
        <v>0</v>
      </c>
    </row>
    <row r="96" spans="1:33" ht="24" customHeight="1" thickBot="1">
      <c r="A96" s="4044">
        <v>8</v>
      </c>
      <c r="B96" s="4045" t="s">
        <v>1756</v>
      </c>
      <c r="C96" s="4046">
        <f>C89+C90+C91+C92+C94+C95</f>
        <v>5046563</v>
      </c>
      <c r="D96" s="4046">
        <f t="shared" ref="D96:H96" si="267">D89+D90+D91+D92+D94+D95</f>
        <v>4395500</v>
      </c>
      <c r="E96" s="4046">
        <f t="shared" si="267"/>
        <v>4290500</v>
      </c>
      <c r="F96" s="4046">
        <f t="shared" si="267"/>
        <v>4185400</v>
      </c>
      <c r="G96" s="4046">
        <f t="shared" si="267"/>
        <v>4110400</v>
      </c>
      <c r="H96" s="4046">
        <f t="shared" si="267"/>
        <v>4025400</v>
      </c>
      <c r="I96" s="4046">
        <f>I89+I90+I91+I92+I94+I95</f>
        <v>1132.4133209880001</v>
      </c>
      <c r="J96" s="4046">
        <f>J89+J90+J91+J92+J94+J95</f>
        <v>1046.0980380000001</v>
      </c>
      <c r="K96" s="4046">
        <f>K89+K90+K91+K92+K94+K95</f>
        <v>1019.541082</v>
      </c>
      <c r="L96" s="4046">
        <f>L89+L90+L91+L92+L94+L95</f>
        <v>993.49436560000004</v>
      </c>
      <c r="M96" s="4046">
        <f>M89+M90+M91+M92+M94+M95</f>
        <v>974.55601559999991</v>
      </c>
      <c r="N96" s="4046">
        <f t="shared" ref="N96" si="268">N89+N90+N91+N92+N94+N95</f>
        <v>952.95022559999995</v>
      </c>
      <c r="O96" s="4047">
        <f t="shared" ref="O96:T96" si="269">IFERROR((I96*1000)/(C96/1000),0)</f>
        <v>224.39298211238028</v>
      </c>
      <c r="P96" s="4047">
        <f t="shared" si="269"/>
        <v>237.9929559777045</v>
      </c>
      <c r="Q96" s="4047">
        <f t="shared" si="269"/>
        <v>237.6275683486773</v>
      </c>
      <c r="R96" s="4047">
        <f t="shared" si="269"/>
        <v>237.37142581354234</v>
      </c>
      <c r="S96" s="4047">
        <f t="shared" si="269"/>
        <v>237.09517701440248</v>
      </c>
      <c r="T96" s="4047">
        <f t="shared" si="269"/>
        <v>236.7342936354151</v>
      </c>
      <c r="U96" s="4775"/>
      <c r="V96" s="4794">
        <f t="shared" si="256"/>
        <v>578.9937371796118</v>
      </c>
      <c r="W96" s="4794">
        <f t="shared" si="244"/>
        <v>534.86143376469329</v>
      </c>
      <c r="X96" s="4794">
        <f t="shared" si="245"/>
        <v>521.28307777260807</v>
      </c>
      <c r="Y96" s="4794">
        <f t="shared" si="246"/>
        <v>507.9656031454677</v>
      </c>
      <c r="Z96" s="4794">
        <f t="shared" si="247"/>
        <v>498.28257854721522</v>
      </c>
      <c r="AA96" s="4794">
        <f t="shared" si="248"/>
        <v>487.2357135333848</v>
      </c>
      <c r="AB96" s="4793">
        <f t="shared" si="249"/>
        <v>114.73030995146831</v>
      </c>
      <c r="AC96" s="4793">
        <f t="shared" si="250"/>
        <v>121.68386617328935</v>
      </c>
      <c r="AD96" s="4793">
        <f t="shared" si="251"/>
        <v>121.49704644507821</v>
      </c>
      <c r="AE96" s="4793">
        <f t="shared" si="252"/>
        <v>121.36608284643468</v>
      </c>
      <c r="AF96" s="4793">
        <f t="shared" si="253"/>
        <v>121.22483907824427</v>
      </c>
      <c r="AG96" s="4793">
        <f t="shared" si="254"/>
        <v>121.04032233650936</v>
      </c>
    </row>
    <row r="97" spans="1:27" ht="13.5" thickBot="1">
      <c r="A97" s="2086"/>
      <c r="B97" s="2086"/>
      <c r="C97" s="2090"/>
      <c r="D97" s="2090"/>
      <c r="E97" s="2090"/>
      <c r="F97" s="2090"/>
      <c r="G97" s="2090"/>
      <c r="H97" s="2090"/>
      <c r="I97" s="2090"/>
      <c r="J97" s="2090"/>
      <c r="K97" s="2090"/>
      <c r="L97" s="2090"/>
      <c r="M97" s="2090"/>
      <c r="N97" s="2090"/>
      <c r="O97" s="2090"/>
      <c r="P97" s="2090"/>
      <c r="Q97" s="2090"/>
      <c r="R97" s="2090"/>
      <c r="S97" s="2090"/>
      <c r="T97" s="2090"/>
      <c r="V97" s="151"/>
      <c r="W97" s="151"/>
      <c r="X97" s="151"/>
      <c r="Y97" s="151"/>
    </row>
    <row r="98" spans="1:27" ht="21" customHeight="1">
      <c r="A98" s="5239" t="s">
        <v>1</v>
      </c>
      <c r="B98" s="5242" t="s">
        <v>1753</v>
      </c>
      <c r="C98" s="5242" t="s">
        <v>1761</v>
      </c>
      <c r="D98" s="5242"/>
      <c r="E98" s="5242"/>
      <c r="F98" s="5242"/>
      <c r="G98" s="5242"/>
      <c r="H98" s="5242"/>
      <c r="I98" s="5242"/>
      <c r="J98" s="5242"/>
      <c r="K98" s="5242"/>
      <c r="L98" s="5242"/>
      <c r="M98" s="5242"/>
      <c r="N98" s="5261"/>
      <c r="O98" s="2090"/>
      <c r="P98" s="2090"/>
      <c r="Q98" s="2090"/>
      <c r="R98" s="2090"/>
      <c r="S98" s="2090"/>
      <c r="T98" s="2090"/>
      <c r="U98" s="4775"/>
      <c r="V98" s="5235" t="str">
        <f>+C98</f>
        <v>Обобщена справка за произведена и оползотворена/продадена електроенергия</v>
      </c>
      <c r="W98" s="5236"/>
      <c r="X98" s="5236"/>
      <c r="Y98" s="5236"/>
      <c r="Z98" s="5236"/>
      <c r="AA98" s="5237"/>
    </row>
    <row r="99" spans="1:27" ht="21" customHeight="1">
      <c r="A99" s="5240"/>
      <c r="B99" s="5243"/>
      <c r="C99" s="5245" t="s">
        <v>348</v>
      </c>
      <c r="D99" s="5245"/>
      <c r="E99" s="5245"/>
      <c r="F99" s="5245"/>
      <c r="G99" s="5245"/>
      <c r="H99" s="5245"/>
      <c r="I99" s="5245" t="s">
        <v>912</v>
      </c>
      <c r="J99" s="5245"/>
      <c r="K99" s="5245"/>
      <c r="L99" s="5245"/>
      <c r="M99" s="5245"/>
      <c r="N99" s="5264"/>
      <c r="O99" s="2090"/>
      <c r="P99" s="2090"/>
      <c r="Q99" s="2090"/>
      <c r="R99" s="2090"/>
      <c r="S99" s="2090"/>
      <c r="T99" s="2090"/>
      <c r="U99" s="4775"/>
      <c r="V99" s="5234" t="s">
        <v>1881</v>
      </c>
      <c r="W99" s="5234"/>
      <c r="X99" s="5234"/>
      <c r="Y99" s="5234"/>
      <c r="Z99" s="5234"/>
      <c r="AA99" s="5234"/>
    </row>
    <row r="100" spans="1:27" ht="21.75" customHeight="1" thickBot="1">
      <c r="A100" s="5241"/>
      <c r="B100" s="5244"/>
      <c r="C100" s="160" t="str">
        <f t="shared" ref="C100:H100" si="270">C88</f>
        <v>2024 г.</v>
      </c>
      <c r="D100" s="160" t="str">
        <f t="shared" si="270"/>
        <v>2027 г.</v>
      </c>
      <c r="E100" s="160" t="str">
        <f t="shared" si="270"/>
        <v>2028 г.</v>
      </c>
      <c r="F100" s="160" t="str">
        <f t="shared" si="270"/>
        <v>2029 г.</v>
      </c>
      <c r="G100" s="160" t="str">
        <f t="shared" si="270"/>
        <v>2030 г.</v>
      </c>
      <c r="H100" s="160" t="str">
        <f t="shared" si="270"/>
        <v>2031 г.</v>
      </c>
      <c r="I100" s="160" t="str">
        <f>C100</f>
        <v>2024 г.</v>
      </c>
      <c r="J100" s="160" t="str">
        <f t="shared" ref="J100:N100" si="271">D100</f>
        <v>2027 г.</v>
      </c>
      <c r="K100" s="160" t="str">
        <f t="shared" si="271"/>
        <v>2028 г.</v>
      </c>
      <c r="L100" s="160" t="str">
        <f t="shared" si="271"/>
        <v>2029 г.</v>
      </c>
      <c r="M100" s="160" t="str">
        <f t="shared" si="271"/>
        <v>2030 г.</v>
      </c>
      <c r="N100" s="161" t="str">
        <f t="shared" si="271"/>
        <v>2031 г.</v>
      </c>
      <c r="O100" s="2090"/>
      <c r="P100" s="2090"/>
      <c r="Q100" s="2090"/>
      <c r="R100" s="2090"/>
      <c r="S100" s="2090"/>
      <c r="T100" s="2090"/>
      <c r="U100" s="4775"/>
      <c r="V100" s="4792" t="str">
        <f>+I100</f>
        <v>2024 г.</v>
      </c>
      <c r="W100" s="4792" t="str">
        <f t="shared" ref="W100" si="272">+J100</f>
        <v>2027 г.</v>
      </c>
      <c r="X100" s="4792" t="str">
        <f t="shared" ref="X100" si="273">+K100</f>
        <v>2028 г.</v>
      </c>
      <c r="Y100" s="4792" t="str">
        <f t="shared" ref="Y100" si="274">+L100</f>
        <v>2029 г.</v>
      </c>
      <c r="Z100" s="4792" t="str">
        <f t="shared" ref="Z100" si="275">+M100</f>
        <v>2030 г.</v>
      </c>
      <c r="AA100" s="4792" t="str">
        <f t="shared" ref="AA100" si="276">+N100</f>
        <v>2031 г.</v>
      </c>
    </row>
    <row r="101" spans="1:27" ht="24">
      <c r="A101" s="4049">
        <v>1</v>
      </c>
      <c r="B101" s="4057" t="s">
        <v>1762</v>
      </c>
      <c r="C101" s="4034">
        <f>C102+C103</f>
        <v>247790</v>
      </c>
      <c r="D101" s="4034">
        <f t="shared" ref="D101:H101" si="277">D102+D103</f>
        <v>240000</v>
      </c>
      <c r="E101" s="4034">
        <f t="shared" si="277"/>
        <v>240000</v>
      </c>
      <c r="F101" s="4034">
        <f t="shared" si="277"/>
        <v>240000</v>
      </c>
      <c r="G101" s="4034">
        <f t="shared" si="277"/>
        <v>240000</v>
      </c>
      <c r="H101" s="4034">
        <f t="shared" si="277"/>
        <v>240000</v>
      </c>
      <c r="I101" s="4058"/>
      <c r="J101" s="4058"/>
      <c r="K101" s="4058"/>
      <c r="L101" s="4058"/>
      <c r="M101" s="4058"/>
      <c r="N101" s="4059"/>
      <c r="O101" s="2090"/>
      <c r="P101" s="2090"/>
      <c r="Q101" s="2090"/>
      <c r="R101" s="2090"/>
      <c r="S101" s="2090"/>
      <c r="T101" s="2090"/>
      <c r="U101" s="4775"/>
      <c r="V101" s="4794"/>
      <c r="W101" s="4794"/>
      <c r="X101" s="4794"/>
      <c r="Y101" s="4794"/>
      <c r="Z101" s="4794"/>
      <c r="AA101" s="4794"/>
    </row>
    <row r="102" spans="1:27" ht="24">
      <c r="A102" s="3526">
        <v>2</v>
      </c>
      <c r="B102" s="106" t="s">
        <v>1763</v>
      </c>
      <c r="C102" s="2091">
        <f t="shared" ref="C102:H102" si="278">C13+C29+C44+C60+C76</f>
        <v>247790</v>
      </c>
      <c r="D102" s="2091">
        <f t="shared" si="278"/>
        <v>240000</v>
      </c>
      <c r="E102" s="2091">
        <f t="shared" si="278"/>
        <v>240000</v>
      </c>
      <c r="F102" s="2091">
        <f t="shared" si="278"/>
        <v>240000</v>
      </c>
      <c r="G102" s="2091">
        <f t="shared" si="278"/>
        <v>240000</v>
      </c>
      <c r="H102" s="2091">
        <f t="shared" si="278"/>
        <v>240000</v>
      </c>
      <c r="I102" s="312"/>
      <c r="J102" s="312"/>
      <c r="K102" s="312"/>
      <c r="L102" s="312"/>
      <c r="M102" s="312"/>
      <c r="N102" s="4037"/>
      <c r="O102" s="2090"/>
      <c r="P102" s="2090"/>
      <c r="Q102" s="2090"/>
      <c r="R102" s="2090"/>
      <c r="S102" s="2090"/>
      <c r="T102" s="2090"/>
      <c r="U102" s="4775"/>
      <c r="V102" s="4794"/>
      <c r="W102" s="4794"/>
      <c r="X102" s="4794"/>
      <c r="Y102" s="4794"/>
      <c r="Z102" s="4794"/>
      <c r="AA102" s="4794"/>
    </row>
    <row r="103" spans="1:27" ht="24">
      <c r="A103" s="4315">
        <v>3</v>
      </c>
      <c r="B103" s="106" t="s">
        <v>1764</v>
      </c>
      <c r="C103" s="182"/>
      <c r="D103" s="182"/>
      <c r="E103" s="182"/>
      <c r="F103" s="182"/>
      <c r="G103" s="182"/>
      <c r="H103" s="182"/>
      <c r="I103" s="182"/>
      <c r="J103" s="182"/>
      <c r="K103" s="182"/>
      <c r="L103" s="182"/>
      <c r="M103" s="182"/>
      <c r="N103" s="4048"/>
      <c r="O103" s="2090"/>
      <c r="P103" s="2090"/>
      <c r="Q103" s="2090"/>
      <c r="R103" s="2090"/>
      <c r="S103" s="2090"/>
      <c r="T103" s="2090"/>
      <c r="U103" s="4775"/>
      <c r="V103" s="4794">
        <f t="shared" ref="V103" si="279">IFERROR(I103/$C$1,0)</f>
        <v>0</v>
      </c>
      <c r="W103" s="4794">
        <f t="shared" ref="W103" si="280">IFERROR(J103/$C$1,0)</f>
        <v>0</v>
      </c>
      <c r="X103" s="4794">
        <f t="shared" ref="X103" si="281">IFERROR(K103/$C$1,0)</f>
        <v>0</v>
      </c>
      <c r="Y103" s="4794">
        <f t="shared" ref="Y103" si="282">IFERROR(L103/$C$1,0)</f>
        <v>0</v>
      </c>
      <c r="Z103" s="4794">
        <f t="shared" ref="Z103" si="283">IFERROR(M103/$C$1,0)</f>
        <v>0</v>
      </c>
      <c r="AA103" s="4794">
        <f t="shared" ref="AA103" si="284">IFERROR(N103/$C$1,0)</f>
        <v>0</v>
      </c>
    </row>
    <row r="104" spans="1:27" ht="13.5" thickBot="1">
      <c r="A104" s="5259"/>
      <c r="B104" s="5260"/>
      <c r="C104" s="5260"/>
      <c r="D104" s="5260"/>
      <c r="E104" s="5260"/>
      <c r="F104" s="5260"/>
      <c r="G104" s="5260"/>
      <c r="H104" s="5260"/>
      <c r="I104" s="5260"/>
      <c r="J104" s="5260"/>
      <c r="K104" s="5260"/>
      <c r="L104" s="5260"/>
      <c r="M104" s="5260"/>
      <c r="N104" s="5260"/>
      <c r="O104" s="5260"/>
      <c r="P104" s="5260"/>
      <c r="Q104" s="5260"/>
      <c r="R104" s="5260"/>
      <c r="S104" s="5260"/>
      <c r="T104" s="5260"/>
    </row>
    <row r="105" spans="1:27" ht="22.5" customHeight="1">
      <c r="A105" s="5239" t="s">
        <v>1784</v>
      </c>
      <c r="B105" s="5242"/>
      <c r="C105" s="5242"/>
      <c r="D105" s="5242"/>
      <c r="E105" s="5242"/>
      <c r="F105" s="5242"/>
      <c r="G105" s="5242"/>
      <c r="H105" s="5242"/>
      <c r="I105" s="5242"/>
      <c r="J105" s="5242"/>
      <c r="K105" s="5242"/>
      <c r="L105" s="5242"/>
      <c r="M105" s="5242"/>
      <c r="N105" s="5261"/>
      <c r="O105" s="2090"/>
      <c r="P105" s="2090"/>
      <c r="Q105" s="2090"/>
      <c r="R105" s="2090"/>
      <c r="S105" s="2090"/>
      <c r="T105" s="2090"/>
    </row>
    <row r="106" spans="1:27" ht="24.95" customHeight="1" thickBot="1">
      <c r="A106" s="5256" t="s">
        <v>207</v>
      </c>
      <c r="B106" s="5257"/>
      <c r="C106" s="5257" t="s">
        <v>174</v>
      </c>
      <c r="D106" s="5257"/>
      <c r="E106" s="5257"/>
      <c r="F106" s="5257" t="s">
        <v>184</v>
      </c>
      <c r="G106" s="5257"/>
      <c r="H106" s="5257"/>
      <c r="I106" s="5257" t="s">
        <v>1029</v>
      </c>
      <c r="J106" s="5257"/>
      <c r="K106" s="5257"/>
      <c r="L106" s="5257" t="s">
        <v>1092</v>
      </c>
      <c r="M106" s="5257"/>
      <c r="N106" s="5258"/>
      <c r="O106" s="2090"/>
      <c r="P106" s="2090"/>
      <c r="Q106" s="2090"/>
      <c r="R106" s="2090"/>
      <c r="S106" s="2090"/>
      <c r="T106" s="2090"/>
    </row>
    <row r="107" spans="1:27" ht="57.75" customHeight="1">
      <c r="A107" s="5251"/>
      <c r="B107" s="5251"/>
      <c r="C107" s="5252"/>
      <c r="D107" s="5252"/>
      <c r="E107" s="5252"/>
      <c r="F107" s="5253"/>
      <c r="G107" s="5254"/>
      <c r="H107" s="5255"/>
      <c r="I107" s="5252"/>
      <c r="J107" s="5252"/>
      <c r="K107" s="5252"/>
      <c r="L107" s="5252"/>
      <c r="M107" s="5252"/>
      <c r="N107" s="5252"/>
      <c r="O107" s="2090"/>
      <c r="P107" s="2090"/>
      <c r="Q107" s="2090"/>
      <c r="R107" s="2090"/>
      <c r="S107" s="2090"/>
      <c r="T107" s="2090"/>
    </row>
    <row r="108" spans="1:27" ht="20.25" customHeight="1">
      <c r="A108" s="2086"/>
      <c r="B108" s="2086"/>
      <c r="C108" s="2090"/>
      <c r="D108" s="2090"/>
      <c r="E108" s="2090"/>
      <c r="F108" s="2090"/>
      <c r="G108" s="2090"/>
      <c r="H108" s="2090"/>
      <c r="I108" s="2090"/>
      <c r="J108" s="2090"/>
      <c r="K108" s="2090"/>
      <c r="L108" s="2090"/>
      <c r="M108" s="2090"/>
      <c r="N108" s="2090"/>
      <c r="O108" s="2090"/>
      <c r="P108" s="2090"/>
      <c r="Q108" s="2090"/>
      <c r="R108" s="2090"/>
      <c r="S108" s="2090"/>
      <c r="T108" s="2090"/>
    </row>
    <row r="109" spans="1:27">
      <c r="A109" s="2086"/>
      <c r="B109" s="2086"/>
      <c r="C109" s="2090"/>
      <c r="D109" s="2090"/>
      <c r="E109" s="2090"/>
      <c r="F109" s="2090"/>
      <c r="G109" s="2090"/>
      <c r="H109" s="2090"/>
      <c r="I109" s="2090"/>
      <c r="J109" s="2090"/>
      <c r="K109" s="2090"/>
      <c r="L109" s="2090"/>
      <c r="M109" s="2090"/>
      <c r="N109" s="2090"/>
      <c r="O109" s="2090"/>
      <c r="P109" s="2090"/>
      <c r="Q109" s="2090"/>
      <c r="R109" s="2090"/>
      <c r="S109" s="2090"/>
      <c r="T109" s="2090"/>
    </row>
    <row r="110" spans="1:27">
      <c r="A110" s="2086"/>
      <c r="B110" s="2086"/>
      <c r="C110" s="2090"/>
      <c r="D110" s="2090"/>
      <c r="E110" s="2090"/>
      <c r="F110" s="2090"/>
      <c r="G110" s="2090"/>
      <c r="H110" s="2090"/>
      <c r="I110" s="2090"/>
      <c r="J110" s="2090"/>
      <c r="K110" s="2090"/>
      <c r="L110" s="2090"/>
      <c r="M110" s="2090"/>
      <c r="N110" s="2090"/>
      <c r="O110" s="2090"/>
      <c r="P110" s="2090"/>
      <c r="Q110" s="2090"/>
      <c r="R110" s="2090"/>
      <c r="S110" s="2090"/>
      <c r="T110" s="2090"/>
    </row>
    <row r="111" spans="1:27">
      <c r="A111" s="2092"/>
      <c r="B111" s="2093" t="str">
        <f>'Приложение '!B82</f>
        <v>Дата: 15.04.2026 г.</v>
      </c>
      <c r="C111" s="2094"/>
      <c r="D111" s="2094"/>
      <c r="E111" s="2090"/>
      <c r="F111" s="2090"/>
      <c r="G111" s="2090"/>
      <c r="H111" s="2090"/>
      <c r="I111" s="2090"/>
      <c r="J111" s="2095"/>
      <c r="K111" s="2096"/>
      <c r="L111" s="2090"/>
      <c r="M111" s="2090"/>
      <c r="N111" s="2090"/>
      <c r="O111" s="2090"/>
      <c r="P111" s="2090"/>
      <c r="Q111" s="2090"/>
      <c r="R111" s="2090"/>
      <c r="S111" s="2090"/>
      <c r="T111" s="2090"/>
    </row>
    <row r="112" spans="1:27">
      <c r="A112" s="2097"/>
      <c r="B112" s="2098"/>
      <c r="C112" s="5267"/>
      <c r="D112" s="5267"/>
      <c r="E112" s="2090"/>
      <c r="F112" s="2090"/>
      <c r="G112" s="2090"/>
      <c r="H112" s="2090"/>
      <c r="I112" s="2090"/>
      <c r="J112" s="2099"/>
      <c r="K112" s="2100"/>
      <c r="L112" s="2090"/>
      <c r="M112" s="2090"/>
      <c r="N112" s="2090"/>
      <c r="O112" s="2090"/>
      <c r="P112" s="2090"/>
      <c r="Q112" s="2090"/>
      <c r="R112" s="2090"/>
      <c r="S112" s="2090"/>
      <c r="T112" s="2090"/>
    </row>
    <row r="113" spans="1:20">
      <c r="A113" s="2086"/>
      <c r="B113" s="2086"/>
      <c r="C113" s="2090"/>
      <c r="D113" s="2090"/>
      <c r="E113" s="2090"/>
      <c r="F113" s="2106"/>
      <c r="G113" s="2090"/>
      <c r="H113" s="2090"/>
      <c r="I113" s="2090"/>
      <c r="J113" s="2090"/>
      <c r="K113" s="2090"/>
      <c r="L113" s="2090"/>
      <c r="M113" s="2090"/>
      <c r="N113" s="2090"/>
      <c r="O113" s="2090"/>
      <c r="P113" s="2090"/>
      <c r="Q113" s="2090"/>
      <c r="R113" s="2090"/>
      <c r="S113" s="2090"/>
      <c r="T113" s="2090"/>
    </row>
    <row r="114" spans="1:20">
      <c r="A114" s="5265" t="s">
        <v>187</v>
      </c>
      <c r="B114" s="5265"/>
      <c r="C114" s="5265"/>
      <c r="D114" s="2107"/>
      <c r="E114" s="2107"/>
      <c r="F114" s="2107"/>
      <c r="G114" s="2107"/>
      <c r="H114" s="2107"/>
      <c r="I114" s="2107"/>
      <c r="J114" s="2107"/>
      <c r="K114" s="2107"/>
      <c r="L114" s="2107"/>
      <c r="M114" s="2107"/>
      <c r="N114" s="2107"/>
      <c r="O114" s="2107"/>
      <c r="P114" s="2107"/>
      <c r="Q114" s="2107"/>
      <c r="R114" s="2107"/>
      <c r="S114" s="2090"/>
      <c r="T114" s="2090"/>
    </row>
    <row r="115" spans="1:20">
      <c r="A115" s="5266" t="s">
        <v>188</v>
      </c>
      <c r="B115" s="5266"/>
      <c r="C115" s="5266"/>
      <c r="D115" s="2107"/>
      <c r="E115" s="2107"/>
      <c r="F115" s="2107"/>
      <c r="G115" s="2107"/>
      <c r="H115" s="2107"/>
      <c r="I115" s="2107"/>
      <c r="J115" s="2107"/>
      <c r="K115" s="2107"/>
      <c r="L115" s="2107"/>
      <c r="M115" s="2107"/>
      <c r="N115" s="2107"/>
      <c r="O115" s="2107"/>
      <c r="P115" s="2107"/>
      <c r="Q115" s="2107"/>
      <c r="R115" s="2107"/>
      <c r="S115" s="2090"/>
      <c r="T115" s="2090"/>
    </row>
    <row r="116" spans="1:20" ht="14.25" customHeight="1">
      <c r="A116" s="5173" t="s">
        <v>1785</v>
      </c>
      <c r="B116" s="5173"/>
      <c r="C116" s="5173"/>
      <c r="D116" s="5173"/>
      <c r="E116" s="5173"/>
      <c r="F116" s="5173"/>
      <c r="G116" s="5173"/>
      <c r="H116" s="5173"/>
      <c r="I116" s="5173"/>
      <c r="J116" s="5173"/>
      <c r="K116" s="5173"/>
      <c r="L116" s="5173"/>
      <c r="M116" s="5173"/>
      <c r="N116" s="5173"/>
      <c r="O116" s="5173"/>
      <c r="P116" s="5173"/>
      <c r="Q116" s="5173"/>
      <c r="R116" s="5173"/>
      <c r="S116" s="2090"/>
      <c r="T116" s="2090"/>
    </row>
    <row r="119" spans="1:20">
      <c r="B119" s="658"/>
    </row>
  </sheetData>
  <sheetProtection password="EF75" sheet="1" formatCells="0" formatColumns="0" formatRows="0" insertRows="0"/>
  <mergeCells count="89">
    <mergeCell ref="B23:B25"/>
    <mergeCell ref="A23:A25"/>
    <mergeCell ref="I39:N39"/>
    <mergeCell ref="A38:A40"/>
    <mergeCell ref="B38:B40"/>
    <mergeCell ref="C39:H39"/>
    <mergeCell ref="C23:T23"/>
    <mergeCell ref="C38:T38"/>
    <mergeCell ref="C24:H24"/>
    <mergeCell ref="I24:N24"/>
    <mergeCell ref="O24:T24"/>
    <mergeCell ref="O39:T39"/>
    <mergeCell ref="A54:A56"/>
    <mergeCell ref="B54:B56"/>
    <mergeCell ref="C55:H55"/>
    <mergeCell ref="C54:T54"/>
    <mergeCell ref="O55:T55"/>
    <mergeCell ref="I55:N55"/>
    <mergeCell ref="A116:R116"/>
    <mergeCell ref="I99:N99"/>
    <mergeCell ref="C98:N98"/>
    <mergeCell ref="A114:C114"/>
    <mergeCell ref="A115:C115"/>
    <mergeCell ref="A98:A100"/>
    <mergeCell ref="B98:B100"/>
    <mergeCell ref="C99:H99"/>
    <mergeCell ref="C112:D112"/>
    <mergeCell ref="A86:A88"/>
    <mergeCell ref="A70:A72"/>
    <mergeCell ref="B70:B72"/>
    <mergeCell ref="C71:H71"/>
    <mergeCell ref="I71:N71"/>
    <mergeCell ref="B86:B88"/>
    <mergeCell ref="C87:H87"/>
    <mergeCell ref="C70:T70"/>
    <mergeCell ref="O71:T71"/>
    <mergeCell ref="O87:T87"/>
    <mergeCell ref="I87:N87"/>
    <mergeCell ref="C86:T86"/>
    <mergeCell ref="A80:T80"/>
    <mergeCell ref="A17:T17"/>
    <mergeCell ref="A33:T33"/>
    <mergeCell ref="A48:T48"/>
    <mergeCell ref="A64:T64"/>
    <mergeCell ref="A107:B107"/>
    <mergeCell ref="C107:E107"/>
    <mergeCell ref="F107:H107"/>
    <mergeCell ref="I107:K107"/>
    <mergeCell ref="L107:N107"/>
    <mergeCell ref="A106:B106"/>
    <mergeCell ref="C106:E106"/>
    <mergeCell ref="F106:H106"/>
    <mergeCell ref="I106:K106"/>
    <mergeCell ref="L106:N106"/>
    <mergeCell ref="A104:T104"/>
    <mergeCell ref="A105:N105"/>
    <mergeCell ref="V8:AA8"/>
    <mergeCell ref="AB8:AG8"/>
    <mergeCell ref="V7:AG7"/>
    <mergeCell ref="A1:B1"/>
    <mergeCell ref="C1:D1"/>
    <mergeCell ref="S6:T6"/>
    <mergeCell ref="A7:A9"/>
    <mergeCell ref="B7:B9"/>
    <mergeCell ref="C8:H8"/>
    <mergeCell ref="I8:N8"/>
    <mergeCell ref="C7:T7"/>
    <mergeCell ref="O8:T8"/>
    <mergeCell ref="A3:T3"/>
    <mergeCell ref="A2:T2"/>
    <mergeCell ref="A4:T4"/>
    <mergeCell ref="A5:T5"/>
    <mergeCell ref="V23:AG23"/>
    <mergeCell ref="V24:AA24"/>
    <mergeCell ref="AB24:AG24"/>
    <mergeCell ref="V38:AG38"/>
    <mergeCell ref="V39:AA39"/>
    <mergeCell ref="AB39:AG39"/>
    <mergeCell ref="V54:AG54"/>
    <mergeCell ref="V55:AA55"/>
    <mergeCell ref="AB55:AG55"/>
    <mergeCell ref="V70:AG70"/>
    <mergeCell ref="V71:AA71"/>
    <mergeCell ref="AB71:AG71"/>
    <mergeCell ref="V86:AG86"/>
    <mergeCell ref="V87:AA87"/>
    <mergeCell ref="AB87:AG87"/>
    <mergeCell ref="V99:AA99"/>
    <mergeCell ref="V98:AA98"/>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37" max="20" man="1"/>
    <brk id="69" max="20" man="1"/>
    <brk id="9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38</vt:i4>
      </vt:variant>
    </vt:vector>
  </HeadingPairs>
  <TitlesOfParts>
    <vt:vector size="75"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11.3. ДА Базова година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(ТЧ€)</vt:lpstr>
      <vt:lpstr>Анализ (ОЧ)</vt:lpstr>
      <vt:lpstr>Анализ (ОЧ€)</vt:lpstr>
      <vt:lpstr>Анализ (ИЧ)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'11.3. ДА Базова година'!Print_Area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'20.Цени '!Print_Area</vt:lpstr>
      <vt:lpstr>'3. Показатели за качество'!Print_Area</vt:lpstr>
      <vt:lpstr>'4. Отчет и прогн. потребление'!Print_Area</vt:lpstr>
      <vt:lpstr>'4.1. Фактурирани количества'!Print_Area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'11.3. ДА Базова година'!Print_Titles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BOGI</cp:lastModifiedBy>
  <cp:lastPrinted>2026-06-24T10:49:03Z</cp:lastPrinted>
  <dcterms:created xsi:type="dcterms:W3CDTF">2015-02-06T07:26:45Z</dcterms:created>
  <dcterms:modified xsi:type="dcterms:W3CDTF">2026-06-24T12:33:57Z</dcterms:modified>
</cp:coreProperties>
</file>